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drawings/drawing1.xml" ContentType="application/vnd.openxmlformats-officedocument.drawing+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omments9.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929"/>
  <workbookPr showInkAnnotation="0" codeName="ThisWorkbook" defaultThemeVersion="124226"/>
  <mc:AlternateContent xmlns:mc="http://schemas.openxmlformats.org/markup-compatibility/2006">
    <mc:Choice Requires="x15">
      <x15ac:absPath xmlns:x15ac="http://schemas.microsoft.com/office/spreadsheetml/2010/11/ac" url="C:\Users\Stephen.Barrett\OneDrive - Georgia Department of Community Affairs\Documents\FundgRds\2020\OrigApps\9Pct\Cores\GORA\"/>
    </mc:Choice>
  </mc:AlternateContent>
  <xr:revisionPtr revIDLastSave="0" documentId="8_{6ABA6398-071A-4AFA-BACD-BD68EEE47FAB}" xr6:coauthVersionLast="44" xr6:coauthVersionMax="44" xr10:uidLastSave="{00000000-0000-0000-0000-000000000000}"/>
  <workbookProtection workbookAlgorithmName="SHA-512" workbookHashValue="cGHE8i9AIWFJzp8p+SAGAoRItnK5upR04kjeLIX+vLvKDoenKoI3lUw+m7jupvl8wzjgfNL+i+fA/ADH8SG9hQ==" workbookSaltValue="U6RiOYjqXsh6lc/ao0GM7w==" workbookSpinCount="100000" lockStructure="1"/>
  <bookViews>
    <workbookView xWindow="2052" yWindow="3816" windowWidth="20940" windowHeight="6828" tabRatio="876" activeTab="2" xr2:uid="{00000000-000D-0000-FFFF-FFFF00000000}"/>
  </bookViews>
  <sheets>
    <sheet name="Project Narrative" sheetId="79" r:id="rId1"/>
    <sheet name="Part I-Project Information" sheetId="66" r:id="rId2"/>
    <sheet name="Part II-Development Team" sheetId="67" r:id="rId3"/>
    <sheet name="Part III-Sources of Funds" sheetId="68" r:id="rId4"/>
    <sheet name="Part III B-USDA 538 Loan" sheetId="26" state="hidden" r:id="rId5"/>
    <sheet name="Part III C-HUD Insured Loan" sheetId="25" state="hidden" r:id="rId6"/>
    <sheet name="Part IV-A-Uses of Funds" sheetId="78" r:id="rId7"/>
    <sheet name="Part IV-B-Other Items" sheetId="77" r:id="rId8"/>
    <sheet name="Part V-Utility Allowances" sheetId="76" r:id="rId9"/>
    <sheet name="Part VI-Revenues &amp; Expenses" sheetId="75" r:id="rId10"/>
    <sheet name="Part VII-Pro Forma" sheetId="74" r:id="rId11"/>
    <sheet name="Part VIII-Threshold Criteria" sheetId="73" r:id="rId12"/>
    <sheet name="Part IX Scoring Criteria" sheetId="72" r:id="rId13"/>
    <sheet name="Executive Summary" sheetId="83" state="hidden" r:id="rId14"/>
    <sheet name="Subsidy Layering Memo" sheetId="85" state="hidden" r:id="rId15"/>
    <sheet name="Sensitivity Analysis" sheetId="84" state="hidden" r:id="rId16"/>
    <sheet name="D&amp;E Sensitivity Analysis" sheetId="82" state="hidden" r:id="rId17"/>
    <sheet name="After-Tax Analysis" sheetId="86" state="hidden" r:id="rId18"/>
    <sheet name="Payments-Ex B" sheetId="87" state="hidden" r:id="rId19"/>
    <sheet name="HOME Allocation Limit WS" sheetId="88" state="hidden" r:id="rId20"/>
    <sheet name="Preview term" sheetId="89" state="hidden" r:id="rId21"/>
    <sheet name="Closing term sheet" sheetId="90" state="hidden" r:id="rId22"/>
    <sheet name="Proration Method Cost Allocatn" sheetId="93" state="hidden" r:id="rId23"/>
    <sheet name="Closing ExhA" sheetId="91" state="hidden" r:id="rId24"/>
    <sheet name="Closing ExhA New" sheetId="95" state="hidden" r:id="rId25"/>
    <sheet name="IDIS Setup" sheetId="92" state="hidden" r:id="rId26"/>
    <sheet name="Part X - Applicant Cert Ltr" sheetId="80" r:id="rId27"/>
    <sheet name="DCA Underwriting Assumptions" sheetId="81" state="hidden" r:id="rId28"/>
    <sheet name="StephenBarrettOnly" sheetId="94" state="hidden" r:id="rId29"/>
  </sheets>
  <externalReferences>
    <externalReference r:id="rId30"/>
  </externalReferences>
  <definedNames>
    <definedName name="Address">'[1]Selection of Method'!$D$5</definedName>
    <definedName name="Name">'[1]Selection of Method'!$D$4</definedName>
    <definedName name="_xlnm.Print_Area" localSheetId="21">'Closing term sheet'!$A$1:$J$213</definedName>
    <definedName name="_xlnm.Print_Area" localSheetId="16">'D&amp;E Sensitivity Analysis'!$A$2:$K$82</definedName>
    <definedName name="_xlnm.Print_Area" localSheetId="27">'DCA Underwriting Assumptions'!$A$1:$R$332</definedName>
    <definedName name="_xlnm.Print_Area" localSheetId="13">'Executive Summary'!$A$1:$J$29</definedName>
    <definedName name="_xlnm.Print_Area" localSheetId="2">'Part II-Development Team'!$A$1:$S$154</definedName>
    <definedName name="_xlnm.Print_Area" localSheetId="4">'Part III B-USDA 538 Loan'!$A$1:$F$111</definedName>
    <definedName name="_xlnm.Print_Area" localSheetId="5">'Part III C-HUD Insured Loan'!$A$1:$F$47</definedName>
    <definedName name="_xlnm.Print_Area" localSheetId="3">'Part III-Sources of Funds'!$A$1:$Q$64</definedName>
    <definedName name="_xlnm.Print_Area" localSheetId="1">'Part I-Project Information'!$A$1:$P$193</definedName>
    <definedName name="_xlnm.Print_Area" localSheetId="6">'Part IV-A-Uses of Funds'!$A$1:$T$188</definedName>
    <definedName name="_xlnm.Print_Area" localSheetId="7">'Part IV-B-Other Items'!$A$1:$H$81</definedName>
    <definedName name="_xlnm.Print_Area" localSheetId="12">'Part IX Scoring Criteria'!$A$1:$P$449</definedName>
    <definedName name="_xlnm.Print_Area" localSheetId="11">'Part VIII-Threshold Criteria'!$A$1:$Q$476</definedName>
    <definedName name="_xlnm.Print_Area" localSheetId="10">'Part VII-Pro Forma'!$A$1:$K$139</definedName>
    <definedName name="_xlnm.Print_Area" localSheetId="9">'Part VI-Revenues &amp; Expenses'!$A$1:$Q$255</definedName>
    <definedName name="_xlnm.Print_Area" localSheetId="8">'Part V-Utility Allowances'!$A$1:$M$46</definedName>
    <definedName name="_xlnm.Print_Area" localSheetId="26">'Part X - Applicant Cert Ltr'!$A$1:$M$41</definedName>
    <definedName name="_xlnm.Print_Area" localSheetId="20">'Preview term'!$A$1:$H$77</definedName>
    <definedName name="_xlnm.Print_Area" localSheetId="0">'Project Narrative'!$A$1:$A$23</definedName>
    <definedName name="_xlnm.Print_Area" localSheetId="22">'Proration Method Cost Allocatn'!$A$1:$K$70</definedName>
    <definedName name="_xlnm.Print_Area" localSheetId="15">'Sensitivity Analysis'!$A$1:$L$76</definedName>
    <definedName name="_xlnm.Print_Area" localSheetId="14">'Subsidy Layering Memo'!$A$2:$J$115</definedName>
    <definedName name="_xlnm.Print_Titles" localSheetId="2">'Part II-Development Team'!$1:$1</definedName>
    <definedName name="_xlnm.Print_Titles" localSheetId="4">'Part III B-USDA 538 Loan'!$58:$62</definedName>
    <definedName name="_xlnm.Print_Titles" localSheetId="5">'Part III C-HUD Insured Loan'!$50:$54</definedName>
    <definedName name="_xlnm.Print_Titles" localSheetId="3">'Part III-Sources of Funds'!$1:$2</definedName>
    <definedName name="_xlnm.Print_Titles" localSheetId="1">'Part I-Project Information'!$1:$2</definedName>
    <definedName name="_xlnm.Print_Titles" localSheetId="7">'Part IV-B-Other Items'!$5:$6</definedName>
    <definedName name="_xlnm.Print_Titles" localSheetId="12">'Part IX Scoring Criteria'!$1:$6</definedName>
    <definedName name="_xlnm.Print_Titles" localSheetId="11">'Part VIII-Threshold Criteria'!$1:$4</definedName>
    <definedName name="_xlnm.Print_Titles" localSheetId="10">'Part VII-Pro Forma'!$1:$10</definedName>
    <definedName name="_xlnm.Print_Titles" localSheetId="9">'Part VI-Revenues &amp; Expenses'!$1:$2</definedName>
    <definedName name="_xlnm.Print_Titles" localSheetId="22">'Proration Method Cost Allocatn'!$1:$6</definedName>
    <definedName name="ReviewDate">'[1]Selection of Method'!$D$6</definedName>
    <definedName name="rf"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rf"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TotSqFt">'[1]Selection of Method'!$F$23</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localSheetId="26"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 name="wrn.projection." hidden="1">{#N/A,#N/A,TRUE,"TOC";#N/A,#N/A,TRUE,"GEN";#N/A,#N/A,TRUE,"FINANCING ";#N/A,#N/A,TRUE,"SYND";#N/A,#N/A,TRUE,"RENT";#N/A,#N/A,TRUE,"RENTUP";#N/A,#N/A,TRUE,"CASH";#N/A,#N/A,TRUE,"LOSS";#N/A,#N/A,TRUE,"BENEFITS";#N/A,#N/A,TRUE,"SOURCE";#N/A,#N/A,TRUE,"FLOW";#N/A,#N/A,TRUE,"TAX CREDIT";#N/A,#N/A,TRUE,"DEPREC";#N/A,#N/A,TRUE,"RESERVES";#N/A,#N/A,TRUE,"AMORT_4";#N/A,#N/A,TRUE,"UT SU ";#N/A,#N/A,TRUE,"UT FLOW";#N/A,#N/A,TRUE,"UT BRIDGE LOAN";#N/A,#N/A,TRUE,"UT LOSS";#N/A,#N/A,TRUE,"UT BENEFITS";#N/A,#N/A,TRUE,"UT FUNDED";#N/A,#N/A,TRUE,"SALES1";#N/A,#N/A,TRUE,"SALES2"}</definedName>
  </definedNames>
  <calcPr calcId="191029" iterate="1" iterateCount="500"/>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P1249" i="94" l="1"/>
  <c r="J818" i="94" l="1"/>
  <c r="J817" i="94"/>
  <c r="P301" i="72"/>
  <c r="O301" i="72"/>
  <c r="J49" i="75"/>
  <c r="J48" i="75"/>
  <c r="MY47" i="75" l="1"/>
  <c r="MX47" i="75"/>
  <c r="MW47" i="75"/>
  <c r="MV47" i="75"/>
  <c r="MU47" i="75"/>
  <c r="MT47" i="75"/>
  <c r="MS47" i="75"/>
  <c r="MR47" i="75"/>
  <c r="MQ47" i="75"/>
  <c r="MP47" i="75"/>
  <c r="MY46" i="75"/>
  <c r="MX46" i="75"/>
  <c r="MW46" i="75"/>
  <c r="MV46" i="75"/>
  <c r="MU46" i="75"/>
  <c r="MT46" i="75"/>
  <c r="MS46" i="75"/>
  <c r="MR46" i="75"/>
  <c r="MQ46" i="75"/>
  <c r="MP46" i="75"/>
  <c r="MY45" i="75"/>
  <c r="MX45" i="75"/>
  <c r="MW45" i="75"/>
  <c r="MV45" i="75"/>
  <c r="MU45" i="75"/>
  <c r="MT45" i="75"/>
  <c r="MS45" i="75"/>
  <c r="MR45" i="75"/>
  <c r="MQ45" i="75"/>
  <c r="MP45" i="75"/>
  <c r="MY44" i="75"/>
  <c r="MX44" i="75"/>
  <c r="MW44" i="75"/>
  <c r="MV44" i="75"/>
  <c r="MU44" i="75"/>
  <c r="MT44" i="75"/>
  <c r="MS44" i="75"/>
  <c r="MR44" i="75"/>
  <c r="MQ44" i="75"/>
  <c r="MP44" i="75"/>
  <c r="MY43" i="75"/>
  <c r="MX43" i="75"/>
  <c r="MW43" i="75"/>
  <c r="MV43" i="75"/>
  <c r="MU43" i="75"/>
  <c r="MT43" i="75"/>
  <c r="MS43" i="75"/>
  <c r="MR43" i="75"/>
  <c r="MQ43" i="75"/>
  <c r="MP43" i="75"/>
  <c r="MY42" i="75"/>
  <c r="MX42" i="75"/>
  <c r="MW42" i="75"/>
  <c r="MV42" i="75"/>
  <c r="MU42" i="75"/>
  <c r="MT42" i="75"/>
  <c r="MS42" i="75"/>
  <c r="MR42" i="75"/>
  <c r="MQ42" i="75"/>
  <c r="MP42" i="75"/>
  <c r="MY41" i="75"/>
  <c r="MX41" i="75"/>
  <c r="MW41" i="75"/>
  <c r="MV41" i="75"/>
  <c r="MU41" i="75"/>
  <c r="MT41" i="75"/>
  <c r="MS41" i="75"/>
  <c r="MR41" i="75"/>
  <c r="MQ41" i="75"/>
  <c r="MP41" i="75"/>
  <c r="MY40" i="75"/>
  <c r="MX40" i="75"/>
  <c r="MW40" i="75"/>
  <c r="MV40" i="75"/>
  <c r="MU40" i="75"/>
  <c r="MT40" i="75"/>
  <c r="MS40" i="75"/>
  <c r="MR40" i="75"/>
  <c r="MQ40" i="75"/>
  <c r="MP40" i="75"/>
  <c r="MY39" i="75"/>
  <c r="MX39" i="75"/>
  <c r="MW39" i="75"/>
  <c r="MV39" i="75"/>
  <c r="MU39" i="75"/>
  <c r="MT39" i="75"/>
  <c r="MS39" i="75"/>
  <c r="MR39" i="75"/>
  <c r="MQ39" i="75"/>
  <c r="MP39" i="75"/>
  <c r="MY38" i="75"/>
  <c r="MX38" i="75"/>
  <c r="MW38" i="75"/>
  <c r="MV38" i="75"/>
  <c r="MU38" i="75"/>
  <c r="MT38" i="75"/>
  <c r="MS38" i="75"/>
  <c r="MR38" i="75"/>
  <c r="MQ38" i="75"/>
  <c r="MP38" i="75"/>
  <c r="MY37" i="75"/>
  <c r="MX37" i="75"/>
  <c r="MW37" i="75"/>
  <c r="MV37" i="75"/>
  <c r="MU37" i="75"/>
  <c r="MT37" i="75"/>
  <c r="MS37" i="75"/>
  <c r="MR37" i="75"/>
  <c r="MQ37" i="75"/>
  <c r="MP37" i="75"/>
  <c r="MY36" i="75"/>
  <c r="MX36" i="75"/>
  <c r="MW36" i="75"/>
  <c r="MV36" i="75"/>
  <c r="MU36" i="75"/>
  <c r="MT36" i="75"/>
  <c r="MS36" i="75"/>
  <c r="MR36" i="75"/>
  <c r="MQ36" i="75"/>
  <c r="MP36" i="75"/>
  <c r="MY35" i="75"/>
  <c r="MX35" i="75"/>
  <c r="MW35" i="75"/>
  <c r="MV35" i="75"/>
  <c r="MU35" i="75"/>
  <c r="MT35" i="75"/>
  <c r="MS35" i="75"/>
  <c r="MR35" i="75"/>
  <c r="MQ35" i="75"/>
  <c r="MP35" i="75"/>
  <c r="MY34" i="75"/>
  <c r="MX34" i="75"/>
  <c r="MW34" i="75"/>
  <c r="MV34" i="75"/>
  <c r="MU34" i="75"/>
  <c r="MT34" i="75"/>
  <c r="MS34" i="75"/>
  <c r="MR34" i="75"/>
  <c r="MQ34" i="75"/>
  <c r="MP34" i="75"/>
  <c r="MY33" i="75"/>
  <c r="MX33" i="75"/>
  <c r="MW33" i="75"/>
  <c r="MV33" i="75"/>
  <c r="MU33" i="75"/>
  <c r="MT33" i="75"/>
  <c r="MS33" i="75"/>
  <c r="MR33" i="75"/>
  <c r="MQ33" i="75"/>
  <c r="MP33" i="75"/>
  <c r="MY32" i="75"/>
  <c r="MX32" i="75"/>
  <c r="MW32" i="75"/>
  <c r="MV32" i="75"/>
  <c r="MU32" i="75"/>
  <c r="MT32" i="75"/>
  <c r="MS32" i="75"/>
  <c r="MR32" i="75"/>
  <c r="MQ32" i="75"/>
  <c r="MP32" i="75"/>
  <c r="MY31" i="75"/>
  <c r="MX31" i="75"/>
  <c r="MW31" i="75"/>
  <c r="MV31" i="75"/>
  <c r="MU31" i="75"/>
  <c r="MT31" i="75"/>
  <c r="MS31" i="75"/>
  <c r="MR31" i="75"/>
  <c r="MQ31" i="75"/>
  <c r="MP31" i="75"/>
  <c r="MY30" i="75"/>
  <c r="MX30" i="75"/>
  <c r="MW30" i="75"/>
  <c r="MV30" i="75"/>
  <c r="MU30" i="75"/>
  <c r="MT30" i="75"/>
  <c r="MS30" i="75"/>
  <c r="MR30" i="75"/>
  <c r="MQ30" i="75"/>
  <c r="MP30" i="75"/>
  <c r="MY29" i="75"/>
  <c r="MX29" i="75"/>
  <c r="MW29" i="75"/>
  <c r="MV29" i="75"/>
  <c r="MU29" i="75"/>
  <c r="MT29" i="75"/>
  <c r="MS29" i="75"/>
  <c r="MR29" i="75"/>
  <c r="MQ29" i="75"/>
  <c r="MP29" i="75"/>
  <c r="MY28" i="75"/>
  <c r="MX28" i="75"/>
  <c r="MW28" i="75"/>
  <c r="MV28" i="75"/>
  <c r="MU28" i="75"/>
  <c r="MT28" i="75"/>
  <c r="MS28" i="75"/>
  <c r="MR28" i="75"/>
  <c r="MQ28" i="75"/>
  <c r="MP28" i="75"/>
  <c r="MY27" i="75"/>
  <c r="MX27" i="75"/>
  <c r="MW27" i="75"/>
  <c r="MV27" i="75"/>
  <c r="MU27" i="75"/>
  <c r="MT27" i="75"/>
  <c r="MS27" i="75"/>
  <c r="MR27" i="75"/>
  <c r="MQ27" i="75"/>
  <c r="MP27" i="75"/>
  <c r="MY26" i="75"/>
  <c r="MX26" i="75"/>
  <c r="MW26" i="75"/>
  <c r="MV26" i="75"/>
  <c r="MU26" i="75"/>
  <c r="MT26" i="75"/>
  <c r="MS26" i="75"/>
  <c r="MR26" i="75"/>
  <c r="MQ26" i="75"/>
  <c r="MP26" i="75"/>
  <c r="MY25" i="75"/>
  <c r="MX25" i="75"/>
  <c r="MW25" i="75"/>
  <c r="MV25" i="75"/>
  <c r="MU25" i="75"/>
  <c r="MT25" i="75"/>
  <c r="MS25" i="75"/>
  <c r="MR25" i="75"/>
  <c r="MQ25" i="75"/>
  <c r="MP25" i="75"/>
  <c r="MY24" i="75"/>
  <c r="MX24" i="75"/>
  <c r="MW24" i="75"/>
  <c r="MV24" i="75"/>
  <c r="MU24" i="75"/>
  <c r="MT24" i="75"/>
  <c r="MS24" i="75"/>
  <c r="MR24" i="75"/>
  <c r="MQ24" i="75"/>
  <c r="MP24" i="75"/>
  <c r="MY23" i="75"/>
  <c r="MX23" i="75"/>
  <c r="MW23" i="75"/>
  <c r="MV23" i="75"/>
  <c r="MU23" i="75"/>
  <c r="MT23" i="75"/>
  <c r="MS23" i="75"/>
  <c r="MR23" i="75"/>
  <c r="MQ23" i="75"/>
  <c r="MP23" i="75"/>
  <c r="MY22" i="75"/>
  <c r="MX22" i="75"/>
  <c r="MW22" i="75"/>
  <c r="MV22" i="75"/>
  <c r="MU22" i="75"/>
  <c r="MT22" i="75"/>
  <c r="MS22" i="75"/>
  <c r="MR22" i="75"/>
  <c r="MQ22" i="75"/>
  <c r="MP22" i="75"/>
  <c r="MY21" i="75"/>
  <c r="MX21" i="75"/>
  <c r="MW21" i="75"/>
  <c r="MV21" i="75"/>
  <c r="MU21" i="75"/>
  <c r="MT21" i="75"/>
  <c r="MS21" i="75"/>
  <c r="MR21" i="75"/>
  <c r="MQ21" i="75"/>
  <c r="MP21" i="75"/>
  <c r="MY20" i="75"/>
  <c r="MX20" i="75"/>
  <c r="MW20" i="75"/>
  <c r="MV20" i="75"/>
  <c r="MU20" i="75"/>
  <c r="MT20" i="75"/>
  <c r="MS20" i="75"/>
  <c r="MR20" i="75"/>
  <c r="MQ20" i="75"/>
  <c r="MP20" i="75"/>
  <c r="MY19" i="75"/>
  <c r="MX19" i="75"/>
  <c r="MW19" i="75"/>
  <c r="MV19" i="75"/>
  <c r="MU19" i="75"/>
  <c r="MT19" i="75"/>
  <c r="MS19" i="75"/>
  <c r="MR19" i="75"/>
  <c r="MQ19" i="75"/>
  <c r="MP19" i="75"/>
  <c r="MY18" i="75"/>
  <c r="MX18" i="75"/>
  <c r="MW18" i="75"/>
  <c r="MV18" i="75"/>
  <c r="MU18" i="75"/>
  <c r="MT18" i="75"/>
  <c r="MS18" i="75"/>
  <c r="MR18" i="75"/>
  <c r="MQ18" i="75"/>
  <c r="MP18" i="75"/>
  <c r="MY17" i="75"/>
  <c r="MX17" i="75"/>
  <c r="MW17" i="75"/>
  <c r="MV17" i="75"/>
  <c r="MU17" i="75"/>
  <c r="MT17" i="75"/>
  <c r="MS17" i="75"/>
  <c r="MR17" i="75"/>
  <c r="MQ17" i="75"/>
  <c r="MP17" i="75"/>
  <c r="MY16" i="75"/>
  <c r="MX16" i="75"/>
  <c r="MW16" i="75"/>
  <c r="MV16" i="75"/>
  <c r="MU16" i="75"/>
  <c r="MT16" i="75"/>
  <c r="MS16" i="75"/>
  <c r="MR16" i="75"/>
  <c r="MQ16" i="75"/>
  <c r="MP16" i="75"/>
  <c r="MY15" i="75"/>
  <c r="MX15" i="75"/>
  <c r="MW15" i="75"/>
  <c r="MV15" i="75"/>
  <c r="MU15" i="75"/>
  <c r="MT15" i="75"/>
  <c r="MS15" i="75"/>
  <c r="MR15" i="75"/>
  <c r="MQ15" i="75"/>
  <c r="MP15" i="75"/>
  <c r="MY14" i="75"/>
  <c r="MX14" i="75"/>
  <c r="MW14" i="75"/>
  <c r="MV14" i="75"/>
  <c r="MU14" i="75"/>
  <c r="MT14" i="75"/>
  <c r="MS14" i="75"/>
  <c r="MR14" i="75"/>
  <c r="MQ14" i="75"/>
  <c r="MP14" i="75"/>
  <c r="MY13" i="75"/>
  <c r="MX13" i="75"/>
  <c r="MW13" i="75"/>
  <c r="MV13" i="75"/>
  <c r="MU13" i="75"/>
  <c r="MT13" i="75"/>
  <c r="MS13" i="75"/>
  <c r="MR13" i="75"/>
  <c r="MQ13" i="75"/>
  <c r="MP13" i="75"/>
  <c r="MY12" i="75"/>
  <c r="MX12" i="75"/>
  <c r="MW12" i="75"/>
  <c r="MV12" i="75"/>
  <c r="MU12" i="75"/>
  <c r="MT12" i="75"/>
  <c r="MS12" i="75"/>
  <c r="MR12" i="75"/>
  <c r="MQ12" i="75"/>
  <c r="MP12" i="75"/>
  <c r="MY11" i="75"/>
  <c r="MX11" i="75"/>
  <c r="MW11" i="75"/>
  <c r="MV11" i="75"/>
  <c r="MU11" i="75"/>
  <c r="MT11" i="75"/>
  <c r="MS11" i="75"/>
  <c r="MR11" i="75"/>
  <c r="MQ11" i="75"/>
  <c r="MP11" i="75"/>
  <c r="MY10" i="75"/>
  <c r="MX10" i="75"/>
  <c r="MW10" i="75"/>
  <c r="MV10" i="75"/>
  <c r="MU10" i="75"/>
  <c r="MT10" i="75"/>
  <c r="MS10" i="75"/>
  <c r="MR10" i="75"/>
  <c r="MQ10" i="75"/>
  <c r="MP10" i="75"/>
  <c r="K181" i="72" l="1"/>
  <c r="A192" i="95" l="1"/>
  <c r="A187" i="95"/>
  <c r="A182" i="95"/>
  <c r="A178" i="95"/>
  <c r="A168" i="95"/>
  <c r="A163" i="95"/>
  <c r="A158" i="95"/>
  <c r="A154" i="95"/>
  <c r="A144" i="95"/>
  <c r="A139" i="95"/>
  <c r="A134" i="95"/>
  <c r="A130" i="95"/>
  <c r="A120" i="95"/>
  <c r="A115" i="95"/>
  <c r="A110" i="95"/>
  <c r="A106" i="95"/>
  <c r="A96" i="95"/>
  <c r="A91" i="95"/>
  <c r="A86" i="95"/>
  <c r="A82" i="95"/>
  <c r="A72" i="95"/>
  <c r="A67" i="95"/>
  <c r="A62" i="95"/>
  <c r="A58" i="95"/>
  <c r="A48" i="95"/>
  <c r="A43" i="95"/>
  <c r="A38" i="95"/>
  <c r="A34" i="95"/>
  <c r="L11" i="95"/>
  <c r="G58" i="93"/>
  <c r="G59" i="93"/>
  <c r="G60" i="93"/>
  <c r="G61" i="93"/>
  <c r="G62" i="93"/>
  <c r="G63" i="93"/>
  <c r="G5" i="87"/>
  <c r="D5" i="87"/>
  <c r="A5" i="87"/>
  <c r="P2081" i="94" l="1"/>
  <c r="O2081" i="94"/>
  <c r="P2074" i="94"/>
  <c r="O2074" i="94"/>
  <c r="Q2074" i="94" s="1"/>
  <c r="P2061" i="94"/>
  <c r="O2061" i="94"/>
  <c r="P2019" i="94"/>
  <c r="O2019" i="94"/>
  <c r="E1671" i="94"/>
  <c r="I1837" i="94"/>
  <c r="I1836" i="94"/>
  <c r="M1862" i="94"/>
  <c r="M1861" i="94"/>
  <c r="M1860" i="94"/>
  <c r="M1856" i="94"/>
  <c r="M1854" i="94"/>
  <c r="B2079" i="94"/>
  <c r="D2072" i="94"/>
  <c r="I2020" i="94"/>
  <c r="L1960" i="94"/>
  <c r="L1959" i="94"/>
  <c r="J1907" i="94"/>
  <c r="K1899" i="94"/>
  <c r="K1898" i="94"/>
  <c r="E1899" i="94"/>
  <c r="E1898" i="94"/>
  <c r="D1879" i="94"/>
  <c r="D1878" i="94"/>
  <c r="D1877" i="94"/>
  <c r="J1880" i="94"/>
  <c r="J1881" i="94" s="1"/>
  <c r="O1875" i="94"/>
  <c r="J1872" i="94"/>
  <c r="J1871" i="94"/>
  <c r="K1858" i="94"/>
  <c r="K1857" i="94"/>
  <c r="K1856" i="94"/>
  <c r="B1825" i="94"/>
  <c r="B1824" i="94"/>
  <c r="B1823" i="94"/>
  <c r="B1822" i="94"/>
  <c r="B1821" i="94"/>
  <c r="B1820" i="94"/>
  <c r="B1827" i="94"/>
  <c r="B1826" i="94"/>
  <c r="B1819" i="94"/>
  <c r="B1818" i="94"/>
  <c r="I1810" i="94"/>
  <c r="G1799" i="94"/>
  <c r="G1798" i="94"/>
  <c r="G1797" i="94"/>
  <c r="G1796" i="94"/>
  <c r="C1799" i="94"/>
  <c r="C1798" i="94"/>
  <c r="C1797" i="94"/>
  <c r="C1796" i="94"/>
  <c r="O1794" i="94"/>
  <c r="L1783" i="94"/>
  <c r="L1782" i="94"/>
  <c r="L1781" i="94"/>
  <c r="L1780" i="94"/>
  <c r="C1783" i="94"/>
  <c r="C1782" i="94"/>
  <c r="C1781" i="94"/>
  <c r="C1780" i="94"/>
  <c r="G1776" i="94"/>
  <c r="E1772" i="94"/>
  <c r="D1771" i="94"/>
  <c r="I1756" i="94"/>
  <c r="I1754" i="94"/>
  <c r="I1752" i="94"/>
  <c r="L1750" i="94"/>
  <c r="I1750" i="94"/>
  <c r="A2104" i="94"/>
  <c r="A2086" i="94"/>
  <c r="A2066" i="94"/>
  <c r="A2030" i="94"/>
  <c r="A1984" i="94"/>
  <c r="A1967" i="94"/>
  <c r="A1952" i="94"/>
  <c r="A1936" i="94"/>
  <c r="A1916" i="94"/>
  <c r="A1883" i="94"/>
  <c r="A1844" i="94"/>
  <c r="A1801" i="94"/>
  <c r="A1762" i="94"/>
  <c r="A1725" i="94"/>
  <c r="O1783" i="94"/>
  <c r="Q1783" i="94" s="1"/>
  <c r="O1782" i="94"/>
  <c r="Q1782" i="94" s="1"/>
  <c r="O1781" i="94"/>
  <c r="O1780" i="94"/>
  <c r="J1740" i="94"/>
  <c r="J1739" i="94"/>
  <c r="J1738" i="94"/>
  <c r="J1737" i="94"/>
  <c r="F1740" i="94"/>
  <c r="F1739" i="94"/>
  <c r="F1738" i="94"/>
  <c r="F1737" i="94"/>
  <c r="J1827" i="94"/>
  <c r="I1827" i="94"/>
  <c r="J1826" i="94"/>
  <c r="I1826" i="94"/>
  <c r="J1825" i="94"/>
  <c r="I1825" i="94"/>
  <c r="K1825" i="94" s="1"/>
  <c r="M1825" i="94" s="1"/>
  <c r="U1825" i="94" s="1"/>
  <c r="J1824" i="94"/>
  <c r="I1824" i="94"/>
  <c r="J1823" i="94"/>
  <c r="I1823" i="94"/>
  <c r="J1822" i="94"/>
  <c r="I1822" i="94"/>
  <c r="J1821" i="94"/>
  <c r="I1821" i="94"/>
  <c r="J1820" i="94"/>
  <c r="I1820" i="94"/>
  <c r="J1819" i="94"/>
  <c r="I1819" i="94"/>
  <c r="J1818" i="94"/>
  <c r="I1818" i="94"/>
  <c r="K1818" i="94" s="1"/>
  <c r="H1827" i="94"/>
  <c r="K1827" i="94" s="1"/>
  <c r="M1827" i="94" s="1"/>
  <c r="G1827" i="94"/>
  <c r="H1826" i="94"/>
  <c r="G1826" i="94"/>
  <c r="H1825" i="94"/>
  <c r="G1825" i="94"/>
  <c r="H1824" i="94"/>
  <c r="G1824" i="94"/>
  <c r="H1823" i="94"/>
  <c r="G1823" i="94"/>
  <c r="H1822" i="94"/>
  <c r="G1822" i="94"/>
  <c r="H1821" i="94"/>
  <c r="G1821" i="94"/>
  <c r="H1820" i="94"/>
  <c r="G1820" i="94"/>
  <c r="H1819" i="94"/>
  <c r="G1819" i="94"/>
  <c r="H1818" i="94"/>
  <c r="G1818" i="94"/>
  <c r="F1827" i="94"/>
  <c r="E1827" i="94"/>
  <c r="F1826" i="94"/>
  <c r="E1826" i="94"/>
  <c r="F1825" i="94"/>
  <c r="E1825" i="94"/>
  <c r="F1824" i="94"/>
  <c r="E1824" i="94"/>
  <c r="F1823" i="94"/>
  <c r="E1823" i="94"/>
  <c r="F1822" i="94"/>
  <c r="E1822" i="94"/>
  <c r="F1821" i="94"/>
  <c r="E1821" i="94"/>
  <c r="F1820" i="94"/>
  <c r="E1820" i="94"/>
  <c r="F1819" i="94"/>
  <c r="E1819" i="94"/>
  <c r="F1818" i="94"/>
  <c r="E1818" i="94"/>
  <c r="K2053" i="94"/>
  <c r="J2053" i="94"/>
  <c r="K2052" i="94"/>
  <c r="J2052" i="94"/>
  <c r="K2051" i="94"/>
  <c r="J2051" i="94"/>
  <c r="K2050" i="94"/>
  <c r="J2050" i="94"/>
  <c r="K2049" i="94"/>
  <c r="J2049" i="94"/>
  <c r="K2048" i="94"/>
  <c r="J2048" i="94"/>
  <c r="K2047" i="94"/>
  <c r="J2047" i="94"/>
  <c r="K2046" i="94"/>
  <c r="J2046" i="94"/>
  <c r="K2045" i="94"/>
  <c r="J2045" i="94"/>
  <c r="K2044" i="94"/>
  <c r="J2044" i="94"/>
  <c r="O2009" i="94"/>
  <c r="O2008" i="94"/>
  <c r="O2007" i="94"/>
  <c r="O2006" i="94"/>
  <c r="O2005" i="94"/>
  <c r="O2004" i="94"/>
  <c r="O2003" i="94"/>
  <c r="O1965" i="94"/>
  <c r="O1964" i="94"/>
  <c r="O1963" i="94"/>
  <c r="O1962" i="94"/>
  <c r="O1961" i="94"/>
  <c r="O1958" i="94"/>
  <c r="J1959" i="94"/>
  <c r="J1960" i="94"/>
  <c r="L1827" i="94"/>
  <c r="L1826" i="94"/>
  <c r="L1825" i="94"/>
  <c r="L1824" i="94"/>
  <c r="L1823" i="94"/>
  <c r="L1822" i="94"/>
  <c r="L1821" i="94"/>
  <c r="L1820" i="94"/>
  <c r="L1819" i="94"/>
  <c r="L1818" i="94"/>
  <c r="O1827" i="94"/>
  <c r="O1826" i="94"/>
  <c r="O1825" i="94"/>
  <c r="O1824" i="94"/>
  <c r="O1823" i="94"/>
  <c r="O1822" i="94"/>
  <c r="O1821" i="94"/>
  <c r="O1820" i="94"/>
  <c r="O1819" i="94"/>
  <c r="O1818" i="94"/>
  <c r="O1793" i="94"/>
  <c r="O1792" i="94"/>
  <c r="O1791" i="94"/>
  <c r="O1790" i="94"/>
  <c r="O1789" i="94"/>
  <c r="O1788" i="94"/>
  <c r="O1787" i="94"/>
  <c r="O1786" i="94"/>
  <c r="Q1786" i="94" s="1"/>
  <c r="O1785" i="94"/>
  <c r="O1784" i="94"/>
  <c r="O1755" i="94"/>
  <c r="Q1755" i="94" s="1"/>
  <c r="O1751" i="94"/>
  <c r="O1752" i="94"/>
  <c r="O1753" i="94"/>
  <c r="O1754" i="94"/>
  <c r="Q1754" i="94" s="1"/>
  <c r="O1734" i="94"/>
  <c r="O1733" i="94"/>
  <c r="O1732" i="94"/>
  <c r="O1731" i="94"/>
  <c r="O1927" i="94"/>
  <c r="O1926" i="94"/>
  <c r="O1925" i="94"/>
  <c r="O1924" i="94"/>
  <c r="O2014" i="94"/>
  <c r="O2013" i="94"/>
  <c r="O2012" i="94"/>
  <c r="O2011" i="94"/>
  <c r="O2039" i="94"/>
  <c r="O2038" i="94"/>
  <c r="O2037" i="94"/>
  <c r="O2036" i="94"/>
  <c r="O2064" i="94"/>
  <c r="O2063" i="94"/>
  <c r="O2062" i="94"/>
  <c r="I2059" i="94"/>
  <c r="I2058" i="94"/>
  <c r="I2057" i="94"/>
  <c r="O2026" i="94"/>
  <c r="O2025" i="94"/>
  <c r="O2024" i="94"/>
  <c r="O1992" i="94"/>
  <c r="O1991" i="94"/>
  <c r="O1990" i="94"/>
  <c r="O1933" i="94"/>
  <c r="O1932" i="94"/>
  <c r="O1931" i="94"/>
  <c r="Q1931" i="94" s="1"/>
  <c r="O1892" i="94"/>
  <c r="O1891" i="94"/>
  <c r="O1890" i="94"/>
  <c r="J1875" i="94"/>
  <c r="J1874" i="94"/>
  <c r="J1873" i="94"/>
  <c r="K1862" i="94"/>
  <c r="K1861" i="94"/>
  <c r="K1860" i="94"/>
  <c r="Q1860" i="94" s="1"/>
  <c r="O1747" i="94"/>
  <c r="O1746" i="94"/>
  <c r="O1745" i="94"/>
  <c r="Q1745" i="94" s="1"/>
  <c r="O1723" i="94"/>
  <c r="O1722" i="94"/>
  <c r="Q1722" i="94" s="1"/>
  <c r="O1721" i="94"/>
  <c r="O1711" i="94"/>
  <c r="O1710" i="94"/>
  <c r="Q1710" i="94" s="1"/>
  <c r="O1770" i="94"/>
  <c r="O1769" i="94"/>
  <c r="O1775" i="94"/>
  <c r="O1774" i="94"/>
  <c r="Q1774" i="94" s="1"/>
  <c r="O1778" i="94"/>
  <c r="O1777" i="94"/>
  <c r="O1808" i="94"/>
  <c r="O1807" i="94"/>
  <c r="Q1807" i="94" s="1"/>
  <c r="O1895" i="94"/>
  <c r="O1894" i="94"/>
  <c r="O1909" i="94"/>
  <c r="O1908" i="94"/>
  <c r="O1914" i="94"/>
  <c r="O1913" i="94"/>
  <c r="O1943" i="94"/>
  <c r="Q1943" i="94" s="1"/>
  <c r="O1942" i="94"/>
  <c r="O1950" i="94"/>
  <c r="O1949" i="94"/>
  <c r="O1975" i="94"/>
  <c r="Q1975" i="94" s="1"/>
  <c r="O1974" i="94"/>
  <c r="L1974" i="94" s="1"/>
  <c r="O1979" i="94"/>
  <c r="Q1979" i="94" s="1"/>
  <c r="O1978" i="94"/>
  <c r="Q1978" i="94" s="1"/>
  <c r="O1982" i="94"/>
  <c r="Q1982" i="94" s="1"/>
  <c r="O1981" i="94"/>
  <c r="O2022" i="94"/>
  <c r="O2021" i="94"/>
  <c r="O2094" i="94"/>
  <c r="O2093" i="94"/>
  <c r="O2041" i="94"/>
  <c r="L2022" i="94"/>
  <c r="O1996" i="94"/>
  <c r="O1994" i="94"/>
  <c r="K1929" i="94"/>
  <c r="J1929" i="94"/>
  <c r="L1931" i="94"/>
  <c r="I1931" i="94"/>
  <c r="I1925" i="94"/>
  <c r="O1911" i="94"/>
  <c r="O1906" i="94"/>
  <c r="O1904" i="94"/>
  <c r="O1902" i="94"/>
  <c r="I1899" i="94"/>
  <c r="O1888" i="94"/>
  <c r="O1874" i="94"/>
  <c r="O1869" i="94"/>
  <c r="T1870" i="94" s="1"/>
  <c r="O1866" i="94"/>
  <c r="Q1866" i="94" s="1"/>
  <c r="K1854" i="94"/>
  <c r="K1852" i="94"/>
  <c r="O1811" i="94"/>
  <c r="O1758" i="94"/>
  <c r="O1740" i="94"/>
  <c r="O1738" i="94"/>
  <c r="O1715" i="94"/>
  <c r="H1714" i="94"/>
  <c r="O1685" i="94"/>
  <c r="O1684" i="94"/>
  <c r="O1683" i="94"/>
  <c r="O1688" i="94"/>
  <c r="O1663" i="94"/>
  <c r="P2099" i="94"/>
  <c r="M2098" i="94"/>
  <c r="Q2081" i="94"/>
  <c r="L2072" i="94"/>
  <c r="L2061" i="94"/>
  <c r="M2054" i="94"/>
  <c r="S2036" i="94"/>
  <c r="R2036" i="94"/>
  <c r="M2059" i="94" s="1"/>
  <c r="G2010" i="94"/>
  <c r="O2002" i="94"/>
  <c r="M2002" i="94"/>
  <c r="G2002" i="94"/>
  <c r="P2001" i="94"/>
  <c r="P2100" i="94" s="1"/>
  <c r="J1976" i="94"/>
  <c r="J1972" i="94"/>
  <c r="J1971" i="94"/>
  <c r="Q1957" i="94"/>
  <c r="L1957" i="94"/>
  <c r="J1957" i="94"/>
  <c r="L1956" i="94"/>
  <c r="Q1950" i="94"/>
  <c r="Q1949" i="94"/>
  <c r="M1949" i="94"/>
  <c r="Q1942" i="94"/>
  <c r="K1941" i="94"/>
  <c r="G1923" i="94"/>
  <c r="O1922" i="94"/>
  <c r="I1922" i="94"/>
  <c r="L1895" i="94"/>
  <c r="K1895" i="94"/>
  <c r="K1894" i="94"/>
  <c r="K1893" i="94"/>
  <c r="K1891" i="94"/>
  <c r="L1890" i="94"/>
  <c r="K1890" i="94"/>
  <c r="L1888" i="94"/>
  <c r="L1881" i="94"/>
  <c r="I1872" i="94"/>
  <c r="J1870" i="94"/>
  <c r="L1868" i="94"/>
  <c r="L1867" i="94"/>
  <c r="L1866" i="94"/>
  <c r="V1862" i="94"/>
  <c r="Q1862" i="94"/>
  <c r="V1861" i="94"/>
  <c r="Q1861" i="94"/>
  <c r="V1860" i="94"/>
  <c r="J1841" i="94"/>
  <c r="J1840" i="94"/>
  <c r="J1839" i="94"/>
  <c r="K1837" i="94"/>
  <c r="T1831" i="94"/>
  <c r="K1826" i="94"/>
  <c r="M1826" i="94" s="1"/>
  <c r="U1826" i="94" s="1"/>
  <c r="K1824" i="94"/>
  <c r="K1822" i="94"/>
  <c r="F1812" i="94"/>
  <c r="Q1781" i="94"/>
  <c r="Q1780" i="94"/>
  <c r="Q1769" i="94"/>
  <c r="L1769" i="94"/>
  <c r="J1769" i="94"/>
  <c r="Q1758" i="94"/>
  <c r="Q1753" i="94"/>
  <c r="F1748" i="94"/>
  <c r="Q1747" i="94"/>
  <c r="Q1746" i="94"/>
  <c r="J1730" i="94"/>
  <c r="Q1711" i="94"/>
  <c r="K1707" i="94"/>
  <c r="O1691" i="94"/>
  <c r="P1688" i="94" s="1"/>
  <c r="J1691" i="94"/>
  <c r="F1691" i="94"/>
  <c r="P1683" i="94" s="1"/>
  <c r="P1684" i="94"/>
  <c r="P1665" i="94"/>
  <c r="M1661" i="94"/>
  <c r="B1661" i="94"/>
  <c r="A1656" i="94"/>
  <c r="Q276" i="72"/>
  <c r="M1925" i="94" l="1"/>
  <c r="M1818" i="94"/>
  <c r="U1818" i="94" s="1"/>
  <c r="K1820" i="94"/>
  <c r="M1820" i="94" s="1"/>
  <c r="A1820" i="94" s="1"/>
  <c r="M1822" i="94"/>
  <c r="U1822" i="94" s="1"/>
  <c r="L1710" i="94"/>
  <c r="Q1924" i="94"/>
  <c r="Q1826" i="94"/>
  <c r="Q1819" i="94"/>
  <c r="Q1825" i="94"/>
  <c r="Q1822" i="94"/>
  <c r="H1837" i="94"/>
  <c r="Q1821" i="94"/>
  <c r="A1827" i="94"/>
  <c r="Q1818" i="94"/>
  <c r="K1821" i="94"/>
  <c r="M1821" i="94" s="1"/>
  <c r="U1821" i="94" s="1"/>
  <c r="L2041" i="94"/>
  <c r="K1819" i="94"/>
  <c r="M1819" i="94" s="1"/>
  <c r="A1819" i="94" s="1"/>
  <c r="Q1823" i="94"/>
  <c r="Q1827" i="94"/>
  <c r="Q2041" i="94"/>
  <c r="K1823" i="94"/>
  <c r="M1823" i="94" s="1"/>
  <c r="A1823" i="94" s="1"/>
  <c r="Q1820" i="94"/>
  <c r="M1824" i="94"/>
  <c r="A1824" i="94" s="1"/>
  <c r="J2054" i="94"/>
  <c r="A1826" i="94"/>
  <c r="Q1824" i="94"/>
  <c r="S1826" i="94"/>
  <c r="A1822" i="94"/>
  <c r="L1786" i="94"/>
  <c r="F1756" i="94"/>
  <c r="L1975" i="94"/>
  <c r="L2036" i="94"/>
  <c r="I1839" i="94"/>
  <c r="H1746" i="94"/>
  <c r="L1774" i="94"/>
  <c r="I1841" i="94"/>
  <c r="I1840" i="94"/>
  <c r="K1836" i="94"/>
  <c r="Q1974" i="94"/>
  <c r="L1978" i="94"/>
  <c r="Q1981" i="94"/>
  <c r="R2070" i="94"/>
  <c r="L1869" i="94"/>
  <c r="Q1869" i="94"/>
  <c r="S1823" i="94"/>
  <c r="A1825" i="94"/>
  <c r="S1827" i="94"/>
  <c r="U1823" i="94"/>
  <c r="U1827" i="94"/>
  <c r="S1821" i="94"/>
  <c r="S1825" i="94"/>
  <c r="P1651" i="94"/>
  <c r="P1636" i="94"/>
  <c r="P1629" i="94"/>
  <c r="L1632" i="94"/>
  <c r="P1635" i="94"/>
  <c r="P1634" i="94"/>
  <c r="P1633" i="94"/>
  <c r="P1632" i="94"/>
  <c r="B1601" i="94"/>
  <c r="P1605" i="94"/>
  <c r="P1597" i="94"/>
  <c r="G1599" i="94"/>
  <c r="G1598" i="94"/>
  <c r="M1599" i="94"/>
  <c r="M1595" i="94"/>
  <c r="J1596" i="94"/>
  <c r="J1595" i="94"/>
  <c r="J1594" i="94"/>
  <c r="P1622" i="94"/>
  <c r="P1621" i="94"/>
  <c r="P1620" i="94"/>
  <c r="P1619" i="94"/>
  <c r="P1618" i="94"/>
  <c r="P1617" i="94"/>
  <c r="P1616" i="94"/>
  <c r="P1615" i="94"/>
  <c r="P1614" i="94"/>
  <c r="P1613" i="94"/>
  <c r="H1575" i="94"/>
  <c r="J1592" i="94"/>
  <c r="J1591" i="94"/>
  <c r="J1590" i="94"/>
  <c r="P1591" i="94"/>
  <c r="P1590" i="94"/>
  <c r="P1589" i="94"/>
  <c r="P1588" i="94"/>
  <c r="P1587" i="94"/>
  <c r="P1585" i="94"/>
  <c r="P1584" i="94"/>
  <c r="P1583" i="94"/>
  <c r="P1575" i="94"/>
  <c r="P1574" i="94"/>
  <c r="P1573" i="94"/>
  <c r="P1572" i="94"/>
  <c r="P1571" i="94"/>
  <c r="M1561" i="94"/>
  <c r="E1561" i="94"/>
  <c r="J1551" i="94"/>
  <c r="J1546" i="94"/>
  <c r="J1544" i="94"/>
  <c r="J1543" i="94"/>
  <c r="J1541" i="94"/>
  <c r="P1539" i="94"/>
  <c r="J1540" i="94"/>
  <c r="J1539" i="94"/>
  <c r="P1542" i="94"/>
  <c r="P1545" i="94"/>
  <c r="P1547" i="94"/>
  <c r="P1549" i="94"/>
  <c r="P1564" i="94"/>
  <c r="P1563" i="94"/>
  <c r="P1562" i="94"/>
  <c r="P1553" i="94"/>
  <c r="P1552" i="94"/>
  <c r="P1551" i="94"/>
  <c r="P1531" i="94"/>
  <c r="P1530" i="94"/>
  <c r="P1529" i="94"/>
  <c r="P1528" i="94"/>
  <c r="P1527" i="94"/>
  <c r="P1526" i="94"/>
  <c r="P1525" i="94"/>
  <c r="P1524" i="94"/>
  <c r="I1523" i="94"/>
  <c r="I1522" i="94"/>
  <c r="P1513" i="94"/>
  <c r="P1512" i="94"/>
  <c r="P1511" i="94"/>
  <c r="P1510" i="94"/>
  <c r="P1503" i="94"/>
  <c r="P1502" i="94"/>
  <c r="O1514" i="94"/>
  <c r="C1503" i="94"/>
  <c r="C1502" i="94"/>
  <c r="G1499" i="94"/>
  <c r="G1498" i="94"/>
  <c r="L1483" i="94"/>
  <c r="P1496" i="94"/>
  <c r="P1482" i="94"/>
  <c r="P1499" i="94"/>
  <c r="P1498" i="94"/>
  <c r="P1494" i="94"/>
  <c r="P1493" i="94"/>
  <c r="P1487" i="94"/>
  <c r="P1486" i="94"/>
  <c r="P1485" i="94"/>
  <c r="P1484" i="94"/>
  <c r="P1478" i="94"/>
  <c r="K1478" i="94"/>
  <c r="P1461" i="94"/>
  <c r="K1476" i="94"/>
  <c r="K1475" i="94"/>
  <c r="P1459" i="94"/>
  <c r="P1458" i="94"/>
  <c r="P1477" i="94"/>
  <c r="P1476" i="94"/>
  <c r="P1475" i="94"/>
  <c r="P1471" i="94"/>
  <c r="P1470" i="94"/>
  <c r="P1469" i="94"/>
  <c r="P1451" i="94"/>
  <c r="P1450" i="94"/>
  <c r="P1449" i="94"/>
  <c r="P1448" i="94"/>
  <c r="P1447" i="94"/>
  <c r="P1446" i="94"/>
  <c r="P1439" i="94"/>
  <c r="P1438" i="94"/>
  <c r="P1437" i="94"/>
  <c r="P1436" i="94"/>
  <c r="P1435" i="94"/>
  <c r="P1434" i="94"/>
  <c r="P1428" i="94"/>
  <c r="P1432" i="94"/>
  <c r="P1431" i="94"/>
  <c r="L1432" i="94"/>
  <c r="L1431" i="94"/>
  <c r="K1433" i="94"/>
  <c r="K1429" i="94"/>
  <c r="K1427" i="94"/>
  <c r="K1426" i="94"/>
  <c r="K1425" i="94"/>
  <c r="I1405" i="94"/>
  <c r="I1406" i="94"/>
  <c r="I1407" i="94"/>
  <c r="I1404" i="94"/>
  <c r="C1405" i="94"/>
  <c r="C1406" i="94"/>
  <c r="C1407" i="94"/>
  <c r="C1404" i="94"/>
  <c r="K1400" i="94"/>
  <c r="K1399" i="94"/>
  <c r="M1398" i="94"/>
  <c r="K1398" i="94"/>
  <c r="K1397" i="94"/>
  <c r="P1401" i="94"/>
  <c r="P1418" i="94"/>
  <c r="P1417" i="94"/>
  <c r="P1416" i="94"/>
  <c r="P1415" i="94"/>
  <c r="P1414" i="94"/>
  <c r="P1413" i="94"/>
  <c r="P1412" i="94"/>
  <c r="P1411" i="94"/>
  <c r="P1410" i="94"/>
  <c r="P1409" i="94"/>
  <c r="P1408" i="94"/>
  <c r="P1396" i="94"/>
  <c r="P1395" i="94"/>
  <c r="A1821" i="94" l="1"/>
  <c r="S1822" i="94"/>
  <c r="S1820" i="94"/>
  <c r="U1820" i="94"/>
  <c r="S1818" i="94"/>
  <c r="A1818" i="94"/>
  <c r="U1824" i="94"/>
  <c r="R1818" i="94"/>
  <c r="S1819" i="94"/>
  <c r="U1819" i="94"/>
  <c r="S1824" i="94"/>
  <c r="J1386" i="94"/>
  <c r="J1385" i="94"/>
  <c r="J1379" i="94"/>
  <c r="J1378" i="94"/>
  <c r="V1818" i="94" l="1"/>
  <c r="T1818" i="94"/>
  <c r="P1379" i="94"/>
  <c r="P1378" i="94"/>
  <c r="P1370" i="94"/>
  <c r="P1369" i="94"/>
  <c r="P1368" i="94"/>
  <c r="P1388" i="94"/>
  <c r="P1387" i="94"/>
  <c r="P1386" i="94"/>
  <c r="P1385" i="94"/>
  <c r="P1367" i="94"/>
  <c r="P1366" i="94"/>
  <c r="P1365" i="94"/>
  <c r="P1364" i="94"/>
  <c r="P1363" i="94"/>
  <c r="P1362" i="94"/>
  <c r="P1361" i="94"/>
  <c r="P1360" i="94"/>
  <c r="K1343" i="94"/>
  <c r="P1353" i="94"/>
  <c r="P1352" i="94"/>
  <c r="P1351" i="94"/>
  <c r="P1350" i="94"/>
  <c r="P1341" i="94"/>
  <c r="P1340" i="94"/>
  <c r="N1342" i="94"/>
  <c r="K1342" i="94" s="1"/>
  <c r="M1341" i="94"/>
  <c r="M1340" i="94"/>
  <c r="N1332" i="94"/>
  <c r="C1325" i="94"/>
  <c r="P1330" i="94"/>
  <c r="P1329" i="94"/>
  <c r="P1328" i="94"/>
  <c r="P1327" i="94"/>
  <c r="L1306" i="94"/>
  <c r="P1322" i="94"/>
  <c r="P1318" i="94"/>
  <c r="P1317" i="94"/>
  <c r="P1316" i="94"/>
  <c r="P1315" i="94"/>
  <c r="P1314" i="94"/>
  <c r="P1313" i="94"/>
  <c r="P1312" i="94"/>
  <c r="P1321" i="94"/>
  <c r="P1320" i="94"/>
  <c r="L1323" i="94"/>
  <c r="L1322" i="94"/>
  <c r="L1321" i="94"/>
  <c r="L1320" i="94"/>
  <c r="F1323" i="94"/>
  <c r="F1322" i="94"/>
  <c r="F1321" i="94"/>
  <c r="F1320" i="94"/>
  <c r="P1311" i="94"/>
  <c r="P1310" i="94"/>
  <c r="P1308" i="94"/>
  <c r="P1307" i="94"/>
  <c r="P1305" i="94"/>
  <c r="P1304" i="94"/>
  <c r="L1303" i="94"/>
  <c r="P1296" i="94"/>
  <c r="P1295" i="94"/>
  <c r="P1294" i="94"/>
  <c r="P1292" i="94"/>
  <c r="P1291" i="94"/>
  <c r="P1290" i="94"/>
  <c r="P1289" i="94"/>
  <c r="P1288" i="94"/>
  <c r="P1287" i="94"/>
  <c r="P1286" i="94"/>
  <c r="P1285" i="94"/>
  <c r="P1284" i="94"/>
  <c r="P1283" i="94"/>
  <c r="M1282" i="94"/>
  <c r="P1281" i="94"/>
  <c r="A1644" i="94"/>
  <c r="A1638" i="94"/>
  <c r="A1624" i="94"/>
  <c r="A1607" i="94"/>
  <c r="A1577" i="94"/>
  <c r="A1566" i="94"/>
  <c r="A1555" i="94"/>
  <c r="A1533" i="94"/>
  <c r="A1517" i="94"/>
  <c r="A1506" i="94"/>
  <c r="A1489" i="94"/>
  <c r="A1463" i="94"/>
  <c r="A1453" i="94"/>
  <c r="A1441" i="94"/>
  <c r="A1420" i="94"/>
  <c r="A1390" i="94"/>
  <c r="A1380" i="94"/>
  <c r="A1372" i="94"/>
  <c r="A1355" i="94"/>
  <c r="A1345" i="94"/>
  <c r="A1334" i="94"/>
  <c r="A1298" i="94"/>
  <c r="A1276" i="94"/>
  <c r="P1274" i="94"/>
  <c r="P1273" i="94"/>
  <c r="P1272" i="94"/>
  <c r="O1271" i="94"/>
  <c r="N1271" i="94"/>
  <c r="O1270" i="94"/>
  <c r="N1270" i="94"/>
  <c r="J1271" i="94"/>
  <c r="I1271" i="94"/>
  <c r="J1270" i="94"/>
  <c r="I1270" i="94"/>
  <c r="E1271" i="94"/>
  <c r="D1271" i="94"/>
  <c r="E1270" i="94"/>
  <c r="D1270" i="94"/>
  <c r="P1267" i="94"/>
  <c r="M1267" i="94"/>
  <c r="M1266" i="94"/>
  <c r="M1265" i="94"/>
  <c r="M1264" i="94"/>
  <c r="P1257" i="94"/>
  <c r="L1256" i="94"/>
  <c r="P1253" i="94"/>
  <c r="P1254" i="94"/>
  <c r="P1255" i="94"/>
  <c r="P1252" i="94"/>
  <c r="A1260" i="94"/>
  <c r="A1245" i="94"/>
  <c r="A1241" i="94"/>
  <c r="Q1208" i="94"/>
  <c r="A1202" i="94"/>
  <c r="AF568" i="94"/>
  <c r="AF567" i="94"/>
  <c r="AC564" i="94"/>
  <c r="AA564" i="94"/>
  <c r="AC563" i="94"/>
  <c r="AB563" i="94"/>
  <c r="AA563" i="94"/>
  <c r="AC562" i="94"/>
  <c r="AB562" i="94"/>
  <c r="AA562" i="94"/>
  <c r="AC561" i="94"/>
  <c r="AA561" i="94"/>
  <c r="AC560" i="94"/>
  <c r="AB560" i="94"/>
  <c r="AA560" i="94"/>
  <c r="AC559" i="94"/>
  <c r="AB559" i="94"/>
  <c r="AA559" i="94"/>
  <c r="B31" i="94"/>
  <c r="O31" i="94"/>
  <c r="O1551" i="94"/>
  <c r="N1551" i="94"/>
  <c r="F1545" i="94"/>
  <c r="J1545" i="94" s="1"/>
  <c r="J1542" i="94"/>
  <c r="AG1480" i="94"/>
  <c r="AF1480" i="94" s="1"/>
  <c r="AE1480" i="94" s="1"/>
  <c r="AD1480" i="94" s="1"/>
  <c r="AC1480" i="94" s="1"/>
  <c r="AB1480" i="94" s="1"/>
  <c r="AA1480" i="94" s="1"/>
  <c r="Z1480" i="94" s="1"/>
  <c r="N1478" i="94"/>
  <c r="AG1477" i="94"/>
  <c r="AF1477" i="94" s="1"/>
  <c r="AE1477" i="94" s="1"/>
  <c r="AD1477" i="94" s="1"/>
  <c r="AC1477" i="94" s="1"/>
  <c r="AB1477" i="94" s="1"/>
  <c r="AA1477" i="94" s="1"/>
  <c r="Z1477" i="94" s="1"/>
  <c r="N1476" i="94"/>
  <c r="M1476" i="94"/>
  <c r="L1476" i="94" s="1"/>
  <c r="AG1475" i="94"/>
  <c r="AF1475" i="94" s="1"/>
  <c r="AE1475" i="94" s="1"/>
  <c r="AD1475" i="94" s="1"/>
  <c r="AC1475" i="94" s="1"/>
  <c r="AB1475" i="94" s="1"/>
  <c r="AA1475" i="94" s="1"/>
  <c r="Z1475" i="94" s="1"/>
  <c r="N1475" i="94"/>
  <c r="N1416" i="94"/>
  <c r="H1342" i="94"/>
  <c r="F1342" i="94"/>
  <c r="M1262" i="94"/>
  <c r="K1262" i="94"/>
  <c r="J1243" i="94"/>
  <c r="N1221" i="94"/>
  <c r="N1220" i="94"/>
  <c r="N1219" i="94"/>
  <c r="K1223" i="94"/>
  <c r="A1173" i="94"/>
  <c r="H1173" i="94" s="1"/>
  <c r="R1171" i="94"/>
  <c r="A1171" i="94"/>
  <c r="AD559" i="94" l="1"/>
  <c r="I1342" i="94"/>
  <c r="L1342" i="94"/>
  <c r="N1218" i="94"/>
  <c r="N1222" i="94"/>
  <c r="AD562" i="94"/>
  <c r="AG562" i="94"/>
  <c r="N1223" i="94"/>
  <c r="AD560" i="94"/>
  <c r="AD561" i="94" s="1"/>
  <c r="AD563" i="94"/>
  <c r="G1167" i="94"/>
  <c r="A1167" i="94"/>
  <c r="C1151" i="94"/>
  <c r="D1151" i="94"/>
  <c r="E1151" i="94"/>
  <c r="F1151" i="94"/>
  <c r="B1151" i="94"/>
  <c r="C1121" i="94"/>
  <c r="D1121" i="94"/>
  <c r="E1121" i="94"/>
  <c r="F1121" i="94"/>
  <c r="G1121" i="94"/>
  <c r="H1121" i="94"/>
  <c r="I1121" i="94"/>
  <c r="J1121" i="94"/>
  <c r="K1121" i="94"/>
  <c r="B1121" i="94"/>
  <c r="K1091" i="94"/>
  <c r="J1091" i="94"/>
  <c r="I1091" i="94"/>
  <c r="H1091" i="94"/>
  <c r="G1091" i="94"/>
  <c r="K1089" i="94"/>
  <c r="J1089" i="94"/>
  <c r="I1089" i="94"/>
  <c r="H1089" i="94"/>
  <c r="G1089" i="94"/>
  <c r="F1089" i="94"/>
  <c r="E1089" i="94"/>
  <c r="D1089" i="94"/>
  <c r="C1089" i="94"/>
  <c r="B1089" i="94"/>
  <c r="C1057" i="94"/>
  <c r="D1057" i="94"/>
  <c r="E1057" i="94"/>
  <c r="F1057" i="94"/>
  <c r="G1057" i="94"/>
  <c r="H1057" i="94"/>
  <c r="I1057" i="94"/>
  <c r="J1057" i="94"/>
  <c r="K1057" i="94"/>
  <c r="B1057" i="94"/>
  <c r="K1037" i="94"/>
  <c r="K1036" i="94"/>
  <c r="G1037" i="94"/>
  <c r="G1036" i="94"/>
  <c r="G1033" i="94"/>
  <c r="B1036" i="94"/>
  <c r="C1036" i="94" s="1"/>
  <c r="A1096" i="94"/>
  <c r="A1127" i="94" s="1"/>
  <c r="A1157" i="94" s="1"/>
  <c r="A1088" i="94"/>
  <c r="A1120" i="94" s="1"/>
  <c r="A1150" i="94" s="1"/>
  <c r="A1087" i="94"/>
  <c r="A1119" i="94" s="1"/>
  <c r="A1149" i="94" s="1"/>
  <c r="A1086" i="94"/>
  <c r="A1118" i="94" s="1"/>
  <c r="A1148" i="94" s="1"/>
  <c r="A1085" i="94"/>
  <c r="A1117" i="94" s="1"/>
  <c r="A1147" i="94" s="1"/>
  <c r="A1063" i="94"/>
  <c r="A1095" i="94" s="1"/>
  <c r="A1126" i="94" s="1"/>
  <c r="A1156" i="94" s="1"/>
  <c r="A1062" i="94"/>
  <c r="A1094" i="94" s="1"/>
  <c r="A1125" i="94" s="1"/>
  <c r="A1155" i="94" s="1"/>
  <c r="A1061" i="94"/>
  <c r="A1093" i="94" s="1"/>
  <c r="A1124" i="94" s="1"/>
  <c r="A1154" i="94" s="1"/>
  <c r="C1041" i="94"/>
  <c r="D1041" i="94" s="1"/>
  <c r="N1039" i="94"/>
  <c r="N1031" i="94"/>
  <c r="C1031" i="94"/>
  <c r="A1029" i="94"/>
  <c r="N1029" i="94" s="1"/>
  <c r="N1024" i="94"/>
  <c r="A1024" i="94"/>
  <c r="L1021" i="94"/>
  <c r="J1021" i="94"/>
  <c r="Q1021" i="94"/>
  <c r="N1021" i="94"/>
  <c r="N1019" i="94"/>
  <c r="K1019" i="94"/>
  <c r="Q1019" i="94" s="1"/>
  <c r="I1014" i="94"/>
  <c r="I1007" i="94"/>
  <c r="I998" i="94"/>
  <c r="B1014" i="94"/>
  <c r="B1003" i="94"/>
  <c r="B994" i="94"/>
  <c r="L1013" i="94"/>
  <c r="L1014" i="94"/>
  <c r="F1008" i="94"/>
  <c r="F1009" i="94"/>
  <c r="F1010" i="94"/>
  <c r="F1011" i="94"/>
  <c r="F1012" i="94"/>
  <c r="F1013" i="94"/>
  <c r="F1014" i="94"/>
  <c r="F999" i="94"/>
  <c r="F1000" i="94"/>
  <c r="F1001" i="94"/>
  <c r="F1002" i="94"/>
  <c r="F1003" i="94"/>
  <c r="L1004" i="94"/>
  <c r="L1005" i="94"/>
  <c r="L1006" i="94"/>
  <c r="L1007" i="94"/>
  <c r="L996" i="94"/>
  <c r="L997" i="94"/>
  <c r="L998" i="94"/>
  <c r="L990" i="94"/>
  <c r="F1007" i="94"/>
  <c r="F998" i="94"/>
  <c r="L1012" i="94"/>
  <c r="L1003" i="94"/>
  <c r="L995" i="94"/>
  <c r="L989" i="94"/>
  <c r="F990" i="94"/>
  <c r="F991" i="94"/>
  <c r="F992" i="94"/>
  <c r="F993" i="94"/>
  <c r="F994" i="94"/>
  <c r="F989" i="94"/>
  <c r="L983" i="94"/>
  <c r="K983" i="94"/>
  <c r="J983" i="94"/>
  <c r="I983" i="94"/>
  <c r="H983" i="94"/>
  <c r="L982" i="94"/>
  <c r="K982" i="94"/>
  <c r="J982" i="94"/>
  <c r="J984" i="94" s="1"/>
  <c r="I982" i="94"/>
  <c r="H982" i="94"/>
  <c r="H984" i="94" s="1"/>
  <c r="L979" i="94"/>
  <c r="K979" i="94"/>
  <c r="J979" i="94"/>
  <c r="I979" i="94"/>
  <c r="H979" i="94"/>
  <c r="H980" i="94" s="1"/>
  <c r="L978" i="94"/>
  <c r="L980" i="94" s="1"/>
  <c r="K978" i="94"/>
  <c r="J978" i="94"/>
  <c r="I978" i="94"/>
  <c r="H978" i="94"/>
  <c r="Q974" i="94"/>
  <c r="P974" i="94"/>
  <c r="O974" i="94"/>
  <c r="N974" i="94"/>
  <c r="M974" i="94"/>
  <c r="M975" i="94" s="1"/>
  <c r="L974" i="94"/>
  <c r="K974" i="94"/>
  <c r="J974" i="94"/>
  <c r="I974" i="94"/>
  <c r="H974" i="94"/>
  <c r="Q973" i="94"/>
  <c r="Q975" i="94" s="1"/>
  <c r="P973" i="94"/>
  <c r="P975" i="94" s="1"/>
  <c r="O973" i="94"/>
  <c r="N973" i="94"/>
  <c r="M973" i="94"/>
  <c r="L973" i="94"/>
  <c r="K973" i="94"/>
  <c r="J973" i="94"/>
  <c r="I973" i="94"/>
  <c r="I975" i="94" s="1"/>
  <c r="H973" i="94"/>
  <c r="H975" i="94" s="1"/>
  <c r="Q970" i="94"/>
  <c r="P970" i="94"/>
  <c r="O970" i="94"/>
  <c r="O971" i="94" s="1"/>
  <c r="N970" i="94"/>
  <c r="M970" i="94"/>
  <c r="L970" i="94"/>
  <c r="K970" i="94"/>
  <c r="K971" i="94" s="1"/>
  <c r="J970" i="94"/>
  <c r="I970" i="94"/>
  <c r="H970" i="94"/>
  <c r="Q969" i="94"/>
  <c r="Q971" i="94" s="1"/>
  <c r="P969" i="94"/>
  <c r="O969" i="94"/>
  <c r="N969" i="94"/>
  <c r="M969" i="94"/>
  <c r="M971" i="94" s="1"/>
  <c r="L969" i="94"/>
  <c r="L971" i="94" s="1"/>
  <c r="K969" i="94"/>
  <c r="J969" i="94"/>
  <c r="I969" i="94"/>
  <c r="H969" i="94"/>
  <c r="Q965" i="94"/>
  <c r="P965" i="94"/>
  <c r="O965" i="94"/>
  <c r="N965" i="94"/>
  <c r="M965" i="94"/>
  <c r="L965" i="94"/>
  <c r="K965" i="94"/>
  <c r="K966" i="94" s="1"/>
  <c r="J965" i="94"/>
  <c r="I965" i="94"/>
  <c r="H965" i="94"/>
  <c r="Q964" i="94"/>
  <c r="Q966" i="94" s="1"/>
  <c r="P964" i="94"/>
  <c r="P966" i="94" s="1"/>
  <c r="O964" i="94"/>
  <c r="N964" i="94"/>
  <c r="M964" i="94"/>
  <c r="M966" i="94" s="1"/>
  <c r="L964" i="94"/>
  <c r="K964" i="94"/>
  <c r="J964" i="94"/>
  <c r="I964" i="94"/>
  <c r="I966" i="94" s="1"/>
  <c r="H964" i="94"/>
  <c r="H966" i="94" s="1"/>
  <c r="Q961" i="94"/>
  <c r="P961" i="94"/>
  <c r="O961" i="94"/>
  <c r="O962" i="94" s="1"/>
  <c r="N961" i="94"/>
  <c r="M961" i="94"/>
  <c r="L961" i="94"/>
  <c r="K961" i="94"/>
  <c r="J961" i="94"/>
  <c r="I961" i="94"/>
  <c r="H961" i="94"/>
  <c r="Q960" i="94"/>
  <c r="P960" i="94"/>
  <c r="O960" i="94"/>
  <c r="N960" i="94"/>
  <c r="M960" i="94"/>
  <c r="L960" i="94"/>
  <c r="L962" i="94" s="1"/>
  <c r="K960" i="94"/>
  <c r="J960" i="94"/>
  <c r="I960" i="94"/>
  <c r="I962" i="94" s="1"/>
  <c r="H960" i="94"/>
  <c r="Q956" i="94"/>
  <c r="P956" i="94"/>
  <c r="O956" i="94"/>
  <c r="N956" i="94"/>
  <c r="M956" i="94"/>
  <c r="L956" i="94"/>
  <c r="K956" i="94"/>
  <c r="J956" i="94"/>
  <c r="I956" i="94"/>
  <c r="H956" i="94"/>
  <c r="Q955" i="94"/>
  <c r="Q957" i="94" s="1"/>
  <c r="P955" i="94"/>
  <c r="P957" i="94" s="1"/>
  <c r="O955" i="94"/>
  <c r="N955" i="94"/>
  <c r="M955" i="94"/>
  <c r="L955" i="94"/>
  <c r="K955" i="94"/>
  <c r="J955" i="94"/>
  <c r="I955" i="94"/>
  <c r="I957" i="94" s="1"/>
  <c r="H955" i="94"/>
  <c r="H957" i="94" s="1"/>
  <c r="I951" i="94"/>
  <c r="J951" i="94"/>
  <c r="K951" i="94"/>
  <c r="L951" i="94"/>
  <c r="M951" i="94"/>
  <c r="N951" i="94"/>
  <c r="O951" i="94"/>
  <c r="P951" i="94"/>
  <c r="Q951" i="94"/>
  <c r="I952" i="94"/>
  <c r="J952" i="94"/>
  <c r="K952" i="94"/>
  <c r="L952" i="94"/>
  <c r="M952" i="94"/>
  <c r="N952" i="94"/>
  <c r="N953" i="94" s="1"/>
  <c r="O952" i="94"/>
  <c r="O953" i="94" s="1"/>
  <c r="P952" i="94"/>
  <c r="Q952" i="94"/>
  <c r="H952" i="94"/>
  <c r="H951" i="94"/>
  <c r="C983" i="94"/>
  <c r="C979" i="94"/>
  <c r="C974" i="94"/>
  <c r="C970" i="94"/>
  <c r="C965" i="94"/>
  <c r="C961" i="94"/>
  <c r="C956" i="94"/>
  <c r="C952" i="94"/>
  <c r="L891" i="94"/>
  <c r="M891" i="94"/>
  <c r="N891" i="94"/>
  <c r="O891" i="94"/>
  <c r="L892" i="94"/>
  <c r="M892" i="94"/>
  <c r="N892" i="94"/>
  <c r="O892" i="94"/>
  <c r="K892" i="94"/>
  <c r="K891" i="94"/>
  <c r="J780" i="94"/>
  <c r="J781" i="94"/>
  <c r="J782" i="94"/>
  <c r="J783" i="94"/>
  <c r="J784" i="94"/>
  <c r="J785" i="94"/>
  <c r="N780" i="94"/>
  <c r="O780" i="94"/>
  <c r="P780" i="94"/>
  <c r="Q780" i="94"/>
  <c r="N781" i="94"/>
  <c r="O781" i="94"/>
  <c r="P781" i="94"/>
  <c r="Q781" i="94"/>
  <c r="N782" i="94"/>
  <c r="O782" i="94"/>
  <c r="P782" i="94"/>
  <c r="Q782" i="94"/>
  <c r="N783" i="94"/>
  <c r="O783" i="94"/>
  <c r="P783" i="94"/>
  <c r="Q783" i="94"/>
  <c r="N784" i="94"/>
  <c r="O784" i="94"/>
  <c r="P784" i="94"/>
  <c r="Q784" i="94"/>
  <c r="N785" i="94"/>
  <c r="O785" i="94"/>
  <c r="P785" i="94"/>
  <c r="Q785" i="94"/>
  <c r="N786" i="94"/>
  <c r="O786" i="94"/>
  <c r="P786" i="94"/>
  <c r="Q786" i="94"/>
  <c r="NC786" i="94" s="1"/>
  <c r="N787" i="94"/>
  <c r="O787" i="94"/>
  <c r="P787" i="94"/>
  <c r="Q787" i="94"/>
  <c r="N788" i="94"/>
  <c r="O788" i="94"/>
  <c r="P788" i="94"/>
  <c r="Q788" i="94"/>
  <c r="JT788" i="94" s="1"/>
  <c r="N789" i="94"/>
  <c r="O789" i="94"/>
  <c r="P789" i="94"/>
  <c r="Q789" i="94"/>
  <c r="N790" i="94"/>
  <c r="O790" i="94"/>
  <c r="P790" i="94"/>
  <c r="Q790" i="94"/>
  <c r="LM790" i="94" s="1"/>
  <c r="N791" i="94"/>
  <c r="O791" i="94"/>
  <c r="P791" i="94"/>
  <c r="Q791" i="94"/>
  <c r="N792" i="94"/>
  <c r="O792" i="94"/>
  <c r="P792" i="94"/>
  <c r="Q792" i="94"/>
  <c r="N793" i="94"/>
  <c r="O793" i="94"/>
  <c r="P793" i="94"/>
  <c r="Q793" i="94"/>
  <c r="N794" i="94"/>
  <c r="O794" i="94"/>
  <c r="P794" i="94"/>
  <c r="Q794" i="94"/>
  <c r="N795" i="94"/>
  <c r="O795" i="94"/>
  <c r="P795" i="94"/>
  <c r="Q795" i="94"/>
  <c r="N796" i="94"/>
  <c r="O796" i="94"/>
  <c r="P796" i="94"/>
  <c r="Q796" i="94"/>
  <c r="N797" i="94"/>
  <c r="O797" i="94"/>
  <c r="P797" i="94"/>
  <c r="Q797" i="94"/>
  <c r="N798" i="94"/>
  <c r="O798" i="94"/>
  <c r="P798" i="94"/>
  <c r="Q798" i="94"/>
  <c r="N799" i="94"/>
  <c r="O799" i="94"/>
  <c r="P799" i="94"/>
  <c r="Q799" i="94"/>
  <c r="N800" i="94"/>
  <c r="O800" i="94"/>
  <c r="P800" i="94"/>
  <c r="Q800" i="94"/>
  <c r="N801" i="94"/>
  <c r="O801" i="94"/>
  <c r="P801" i="94"/>
  <c r="Q801" i="94"/>
  <c r="N802" i="94"/>
  <c r="O802" i="94"/>
  <c r="P802" i="94"/>
  <c r="Q802" i="94"/>
  <c r="N803" i="94"/>
  <c r="O803" i="94"/>
  <c r="P803" i="94"/>
  <c r="Q803" i="94"/>
  <c r="N804" i="94"/>
  <c r="O804" i="94"/>
  <c r="P804" i="94"/>
  <c r="Q804" i="94"/>
  <c r="N805" i="94"/>
  <c r="O805" i="94"/>
  <c r="P805" i="94"/>
  <c r="Q805" i="94"/>
  <c r="N806" i="94"/>
  <c r="O806" i="94"/>
  <c r="P806" i="94"/>
  <c r="Q806" i="94"/>
  <c r="N807" i="94"/>
  <c r="O807" i="94"/>
  <c r="P807" i="94"/>
  <c r="Q807" i="94"/>
  <c r="N808" i="94"/>
  <c r="O808" i="94"/>
  <c r="P808" i="94"/>
  <c r="Q808" i="94"/>
  <c r="N809" i="94"/>
  <c r="O809" i="94"/>
  <c r="P809" i="94"/>
  <c r="Q809" i="94"/>
  <c r="N810" i="94"/>
  <c r="O810" i="94"/>
  <c r="P810" i="94"/>
  <c r="Q810" i="94"/>
  <c r="KY810" i="94" s="1"/>
  <c r="N811" i="94"/>
  <c r="O811" i="94"/>
  <c r="P811" i="94"/>
  <c r="Q811" i="94"/>
  <c r="N812" i="94"/>
  <c r="O812" i="94"/>
  <c r="P812" i="94"/>
  <c r="Q812" i="94"/>
  <c r="JW812" i="94" s="1"/>
  <c r="N813" i="94"/>
  <c r="O813" i="94"/>
  <c r="P813" i="94"/>
  <c r="Q813" i="94"/>
  <c r="N814" i="94"/>
  <c r="O814" i="94"/>
  <c r="P814" i="94"/>
  <c r="Q814" i="94"/>
  <c r="N815" i="94"/>
  <c r="O815" i="94"/>
  <c r="P815" i="94"/>
  <c r="Q815" i="94"/>
  <c r="N816" i="94"/>
  <c r="O816" i="94"/>
  <c r="P816" i="94"/>
  <c r="Q816" i="94"/>
  <c r="K780" i="94"/>
  <c r="K781" i="94"/>
  <c r="K782" i="94"/>
  <c r="K783" i="94"/>
  <c r="K784" i="94"/>
  <c r="K785" i="94"/>
  <c r="K786" i="94"/>
  <c r="K787" i="94"/>
  <c r="K788" i="94"/>
  <c r="K789" i="94"/>
  <c r="K790" i="94"/>
  <c r="K791" i="94"/>
  <c r="K792" i="94"/>
  <c r="K793" i="94"/>
  <c r="K794" i="94"/>
  <c r="K795" i="94"/>
  <c r="K796" i="94"/>
  <c r="K797" i="94"/>
  <c r="K798" i="94"/>
  <c r="K799" i="94"/>
  <c r="K800" i="94"/>
  <c r="K801" i="94"/>
  <c r="K802" i="94"/>
  <c r="K803" i="94"/>
  <c r="K804" i="94"/>
  <c r="K805" i="94"/>
  <c r="K806" i="94"/>
  <c r="K807" i="94"/>
  <c r="K808" i="94"/>
  <c r="K809" i="94"/>
  <c r="K810" i="94"/>
  <c r="K811" i="94"/>
  <c r="K812" i="94"/>
  <c r="K813" i="94"/>
  <c r="K814" i="94"/>
  <c r="K815" i="94"/>
  <c r="K816" i="94"/>
  <c r="B780" i="94"/>
  <c r="C780" i="94"/>
  <c r="D780" i="94"/>
  <c r="E780" i="94"/>
  <c r="F780" i="94"/>
  <c r="G780" i="94"/>
  <c r="H780" i="94"/>
  <c r="I780" i="94"/>
  <c r="B781" i="94"/>
  <c r="C781" i="94"/>
  <c r="D781" i="94"/>
  <c r="E781" i="94"/>
  <c r="F781" i="94"/>
  <c r="G781" i="94"/>
  <c r="H781" i="94"/>
  <c r="I781" i="94"/>
  <c r="B782" i="94"/>
  <c r="C782" i="94"/>
  <c r="D782" i="94"/>
  <c r="E782" i="94"/>
  <c r="F782" i="94"/>
  <c r="G782" i="94"/>
  <c r="H782" i="94"/>
  <c r="I782" i="94"/>
  <c r="B783" i="94"/>
  <c r="C783" i="94"/>
  <c r="D783" i="94"/>
  <c r="E783" i="94"/>
  <c r="F783" i="94"/>
  <c r="G783" i="94"/>
  <c r="H783" i="94"/>
  <c r="I783" i="94"/>
  <c r="B784" i="94"/>
  <c r="C784" i="94"/>
  <c r="D784" i="94"/>
  <c r="E784" i="94"/>
  <c r="F784" i="94"/>
  <c r="G784" i="94"/>
  <c r="H784" i="94"/>
  <c r="I784" i="94"/>
  <c r="B785" i="94"/>
  <c r="C785" i="94"/>
  <c r="D785" i="94"/>
  <c r="E785" i="94"/>
  <c r="F785" i="94"/>
  <c r="G785" i="94"/>
  <c r="H785" i="94"/>
  <c r="L785" i="94" s="1"/>
  <c r="I785" i="94"/>
  <c r="B786" i="94"/>
  <c r="C786" i="94"/>
  <c r="D786" i="94"/>
  <c r="E786" i="94"/>
  <c r="F786" i="94"/>
  <c r="G786" i="94"/>
  <c r="H786" i="94"/>
  <c r="I786" i="94"/>
  <c r="B787" i="94"/>
  <c r="C787" i="94"/>
  <c r="D787" i="94"/>
  <c r="E787" i="94"/>
  <c r="F787" i="94"/>
  <c r="G787" i="94"/>
  <c r="H787" i="94"/>
  <c r="I787" i="94"/>
  <c r="B788" i="94"/>
  <c r="C788" i="94"/>
  <c r="D788" i="94"/>
  <c r="E788" i="94"/>
  <c r="F788" i="94"/>
  <c r="G788" i="94"/>
  <c r="H788" i="94"/>
  <c r="I788" i="94"/>
  <c r="B789" i="94"/>
  <c r="C789" i="94"/>
  <c r="D789" i="94"/>
  <c r="E789" i="94"/>
  <c r="F789" i="94"/>
  <c r="G789" i="94"/>
  <c r="H789" i="94"/>
  <c r="I789" i="94"/>
  <c r="B790" i="94"/>
  <c r="C790" i="94"/>
  <c r="D790" i="94"/>
  <c r="E790" i="94"/>
  <c r="F790" i="94"/>
  <c r="G790" i="94"/>
  <c r="H790" i="94"/>
  <c r="I790" i="94"/>
  <c r="B791" i="94"/>
  <c r="C791" i="94"/>
  <c r="D791" i="94"/>
  <c r="E791" i="94"/>
  <c r="F791" i="94"/>
  <c r="G791" i="94"/>
  <c r="H791" i="94"/>
  <c r="I791" i="94"/>
  <c r="B792" i="94"/>
  <c r="C792" i="94"/>
  <c r="D792" i="94"/>
  <c r="E792" i="94"/>
  <c r="F792" i="94"/>
  <c r="G792" i="94"/>
  <c r="H792" i="94"/>
  <c r="I792" i="94"/>
  <c r="B793" i="94"/>
  <c r="C793" i="94"/>
  <c r="D793" i="94"/>
  <c r="E793" i="94"/>
  <c r="F793" i="94"/>
  <c r="G793" i="94"/>
  <c r="H793" i="94"/>
  <c r="I793" i="94"/>
  <c r="B794" i="94"/>
  <c r="C794" i="94"/>
  <c r="D794" i="94"/>
  <c r="E794" i="94"/>
  <c r="F794" i="94"/>
  <c r="G794" i="94"/>
  <c r="H794" i="94"/>
  <c r="I794" i="94"/>
  <c r="B795" i="94"/>
  <c r="C795" i="94"/>
  <c r="D795" i="94"/>
  <c r="E795" i="94"/>
  <c r="F795" i="94"/>
  <c r="G795" i="94"/>
  <c r="H795" i="94"/>
  <c r="I795" i="94"/>
  <c r="B796" i="94"/>
  <c r="C796" i="94"/>
  <c r="D796" i="94"/>
  <c r="E796" i="94"/>
  <c r="F796" i="94"/>
  <c r="G796" i="94"/>
  <c r="H796" i="94"/>
  <c r="I796" i="94"/>
  <c r="B797" i="94"/>
  <c r="C797" i="94"/>
  <c r="D797" i="94"/>
  <c r="E797" i="94"/>
  <c r="F797" i="94"/>
  <c r="G797" i="94"/>
  <c r="H797" i="94"/>
  <c r="I797" i="94"/>
  <c r="B798" i="94"/>
  <c r="C798" i="94"/>
  <c r="D798" i="94"/>
  <c r="E798" i="94"/>
  <c r="F798" i="94"/>
  <c r="G798" i="94"/>
  <c r="H798" i="94"/>
  <c r="I798" i="94"/>
  <c r="B799" i="94"/>
  <c r="C799" i="94"/>
  <c r="D799" i="94"/>
  <c r="E799" i="94"/>
  <c r="F799" i="94"/>
  <c r="G799" i="94"/>
  <c r="H799" i="94"/>
  <c r="I799" i="94"/>
  <c r="B800" i="94"/>
  <c r="C800" i="94"/>
  <c r="D800" i="94"/>
  <c r="E800" i="94"/>
  <c r="F800" i="94"/>
  <c r="G800" i="94"/>
  <c r="H800" i="94"/>
  <c r="I800" i="94"/>
  <c r="B801" i="94"/>
  <c r="C801" i="94"/>
  <c r="D801" i="94"/>
  <c r="E801" i="94"/>
  <c r="F801" i="94"/>
  <c r="G801" i="94"/>
  <c r="H801" i="94"/>
  <c r="I801" i="94"/>
  <c r="B802" i="94"/>
  <c r="C802" i="94"/>
  <c r="D802" i="94"/>
  <c r="E802" i="94"/>
  <c r="F802" i="94"/>
  <c r="G802" i="94"/>
  <c r="H802" i="94"/>
  <c r="I802" i="94"/>
  <c r="B803" i="94"/>
  <c r="C803" i="94"/>
  <c r="D803" i="94"/>
  <c r="E803" i="94"/>
  <c r="F803" i="94"/>
  <c r="G803" i="94"/>
  <c r="H803" i="94"/>
  <c r="I803" i="94"/>
  <c r="B804" i="94"/>
  <c r="C804" i="94"/>
  <c r="D804" i="94"/>
  <c r="E804" i="94"/>
  <c r="F804" i="94"/>
  <c r="G804" i="94"/>
  <c r="H804" i="94"/>
  <c r="I804" i="94"/>
  <c r="B805" i="94"/>
  <c r="C805" i="94"/>
  <c r="D805" i="94"/>
  <c r="E805" i="94"/>
  <c r="F805" i="94"/>
  <c r="G805" i="94"/>
  <c r="H805" i="94"/>
  <c r="I805" i="94"/>
  <c r="B806" i="94"/>
  <c r="C806" i="94"/>
  <c r="D806" i="94"/>
  <c r="E806" i="94"/>
  <c r="F806" i="94"/>
  <c r="G806" i="94"/>
  <c r="H806" i="94"/>
  <c r="I806" i="94"/>
  <c r="B807" i="94"/>
  <c r="C807" i="94"/>
  <c r="D807" i="94"/>
  <c r="E807" i="94"/>
  <c r="F807" i="94"/>
  <c r="G807" i="94"/>
  <c r="H807" i="94"/>
  <c r="I807" i="94"/>
  <c r="B808" i="94"/>
  <c r="C808" i="94"/>
  <c r="D808" i="94"/>
  <c r="E808" i="94"/>
  <c r="F808" i="94"/>
  <c r="G808" i="94"/>
  <c r="H808" i="94"/>
  <c r="I808" i="94"/>
  <c r="B809" i="94"/>
  <c r="C809" i="94"/>
  <c r="D809" i="94"/>
  <c r="E809" i="94"/>
  <c r="F809" i="94"/>
  <c r="G809" i="94"/>
  <c r="H809" i="94"/>
  <c r="I809" i="94"/>
  <c r="B810" i="94"/>
  <c r="C810" i="94"/>
  <c r="D810" i="94"/>
  <c r="E810" i="94"/>
  <c r="F810" i="94"/>
  <c r="G810" i="94"/>
  <c r="H810" i="94"/>
  <c r="I810" i="94"/>
  <c r="B811" i="94"/>
  <c r="C811" i="94"/>
  <c r="D811" i="94"/>
  <c r="E811" i="94"/>
  <c r="F811" i="94"/>
  <c r="G811" i="94"/>
  <c r="H811" i="94"/>
  <c r="I811" i="94"/>
  <c r="B812" i="94"/>
  <c r="C812" i="94"/>
  <c r="D812" i="94"/>
  <c r="E812" i="94"/>
  <c r="F812" i="94"/>
  <c r="G812" i="94"/>
  <c r="H812" i="94"/>
  <c r="I812" i="94"/>
  <c r="B813" i="94"/>
  <c r="C813" i="94"/>
  <c r="D813" i="94"/>
  <c r="E813" i="94"/>
  <c r="F813" i="94"/>
  <c r="G813" i="94"/>
  <c r="H813" i="94"/>
  <c r="I813" i="94"/>
  <c r="B814" i="94"/>
  <c r="C814" i="94"/>
  <c r="D814" i="94"/>
  <c r="E814" i="94"/>
  <c r="F814" i="94"/>
  <c r="G814" i="94"/>
  <c r="H814" i="94"/>
  <c r="I814" i="94"/>
  <c r="B815" i="94"/>
  <c r="C815" i="94"/>
  <c r="D815" i="94"/>
  <c r="E815" i="94"/>
  <c r="F815" i="94"/>
  <c r="G815" i="94"/>
  <c r="H815" i="94"/>
  <c r="I815" i="94"/>
  <c r="B816" i="94"/>
  <c r="C816" i="94"/>
  <c r="D816" i="94"/>
  <c r="E816" i="94"/>
  <c r="F816" i="94"/>
  <c r="G816" i="94"/>
  <c r="H816" i="94"/>
  <c r="I816" i="94"/>
  <c r="Q779" i="94"/>
  <c r="P779" i="94"/>
  <c r="O779" i="94"/>
  <c r="N779" i="94"/>
  <c r="K779" i="94"/>
  <c r="J779" i="94"/>
  <c r="I779" i="94"/>
  <c r="H779" i="94"/>
  <c r="G779" i="94"/>
  <c r="F779" i="94"/>
  <c r="E779" i="94"/>
  <c r="D779" i="94"/>
  <c r="C779" i="94"/>
  <c r="B779" i="94"/>
  <c r="F775" i="94"/>
  <c r="G774" i="94"/>
  <c r="S986" i="94"/>
  <c r="L984" i="94"/>
  <c r="S981" i="94"/>
  <c r="T977" i="94"/>
  <c r="J975" i="94"/>
  <c r="S972" i="94"/>
  <c r="T968" i="94"/>
  <c r="S963" i="94"/>
  <c r="Q962" i="94"/>
  <c r="M962" i="94"/>
  <c r="T959" i="94"/>
  <c r="S954" i="94"/>
  <c r="M953" i="94"/>
  <c r="L953" i="94"/>
  <c r="S950" i="94"/>
  <c r="S949" i="94"/>
  <c r="S947" i="94"/>
  <c r="S927" i="94"/>
  <c r="S917" i="94"/>
  <c r="S916" i="94"/>
  <c r="L916" i="94"/>
  <c r="S895" i="94"/>
  <c r="S881" i="94"/>
  <c r="S872" i="94"/>
  <c r="S871" i="94"/>
  <c r="L871" i="94"/>
  <c r="S861" i="94"/>
  <c r="S838" i="94"/>
  <c r="S822" i="94"/>
  <c r="L822" i="94"/>
  <c r="NE817" i="94"/>
  <c r="LY816" i="94"/>
  <c r="LS816" i="94"/>
  <c r="HR816" i="94"/>
  <c r="HF816" i="94"/>
  <c r="FX816" i="94"/>
  <c r="FT816" i="94"/>
  <c r="FD816" i="94"/>
  <c r="ER816" i="94"/>
  <c r="DC816" i="94"/>
  <c r="CV816" i="94"/>
  <c r="CD816" i="94"/>
  <c r="BR816" i="94"/>
  <c r="AL816" i="94"/>
  <c r="AH816" i="94"/>
  <c r="LS815" i="94"/>
  <c r="FV815" i="94"/>
  <c r="EP815" i="94"/>
  <c r="EI815" i="94"/>
  <c r="BA815" i="94"/>
  <c r="AR815" i="94"/>
  <c r="MB814" i="94"/>
  <c r="LX814" i="94"/>
  <c r="IB814" i="94"/>
  <c r="HU814" i="94"/>
  <c r="GY814" i="94"/>
  <c r="GV814" i="94"/>
  <c r="GK814" i="94"/>
  <c r="GD814" i="94"/>
  <c r="FE814" i="94"/>
  <c r="FA814" i="94"/>
  <c r="ET814" i="94"/>
  <c r="EQ814" i="94"/>
  <c r="ED814" i="94"/>
  <c r="BI814" i="94"/>
  <c r="BB814" i="94"/>
  <c r="AZ814" i="94"/>
  <c r="AL814" i="94"/>
  <c r="AJ814" i="94"/>
  <c r="AC814" i="94"/>
  <c r="Y814" i="94"/>
  <c r="FS813" i="94"/>
  <c r="FK813" i="94"/>
  <c r="FB813" i="94"/>
  <c r="EU813" i="94"/>
  <c r="ED813" i="94"/>
  <c r="BJ813" i="94"/>
  <c r="BB813" i="94"/>
  <c r="AY813" i="94"/>
  <c r="AI813" i="94"/>
  <c r="AC813" i="94"/>
  <c r="MN812" i="94"/>
  <c r="MK812" i="94"/>
  <c r="MA812" i="94"/>
  <c r="LY812" i="94"/>
  <c r="LU812" i="94"/>
  <c r="LS812" i="94"/>
  <c r="IB812" i="94"/>
  <c r="HZ812" i="94"/>
  <c r="HV812" i="94"/>
  <c r="HT812" i="94"/>
  <c r="HL812" i="94"/>
  <c r="HJ812" i="94"/>
  <c r="HF812" i="94"/>
  <c r="HD812" i="94"/>
  <c r="GV812" i="94"/>
  <c r="GT812" i="94"/>
  <c r="GP812" i="94"/>
  <c r="GN812" i="94"/>
  <c r="GF812" i="94"/>
  <c r="GD812" i="94"/>
  <c r="FZ812" i="94"/>
  <c r="FW812" i="94"/>
  <c r="FO812" i="94"/>
  <c r="FM812" i="94"/>
  <c r="FI812" i="94"/>
  <c r="FG812" i="94"/>
  <c r="EY812" i="94"/>
  <c r="EW812" i="94"/>
  <c r="ES812" i="94"/>
  <c r="EQ812" i="94"/>
  <c r="EI812" i="94"/>
  <c r="EG812" i="94"/>
  <c r="EC812" i="94"/>
  <c r="EA812" i="94"/>
  <c r="DS812" i="94"/>
  <c r="DQ812" i="94"/>
  <c r="DM812" i="94"/>
  <c r="DK812" i="94"/>
  <c r="DC812" i="94"/>
  <c r="DA812" i="94"/>
  <c r="CY812" i="94"/>
  <c r="CW812" i="94"/>
  <c r="CQ812" i="94"/>
  <c r="CM812" i="94"/>
  <c r="CL812" i="94"/>
  <c r="CK812" i="94"/>
  <c r="CD812" i="94"/>
  <c r="CA812" i="94"/>
  <c r="BY812" i="94"/>
  <c r="BW812" i="94"/>
  <c r="BQ812" i="94"/>
  <c r="BN812" i="94"/>
  <c r="BM812" i="94"/>
  <c r="BK812" i="94"/>
  <c r="BE812" i="94"/>
  <c r="BA812" i="94"/>
  <c r="AY812" i="94"/>
  <c r="AX812" i="94"/>
  <c r="AQ812" i="94"/>
  <c r="AO812" i="94"/>
  <c r="AM812" i="94"/>
  <c r="AK812" i="94"/>
  <c r="AE812" i="94"/>
  <c r="AA812" i="94"/>
  <c r="Z812" i="94"/>
  <c r="Y812" i="94"/>
  <c r="LU811" i="94"/>
  <c r="LR811" i="94"/>
  <c r="HZ811" i="94"/>
  <c r="GE811" i="94"/>
  <c r="FU811" i="94"/>
  <c r="FR811" i="94"/>
  <c r="FQ811" i="94"/>
  <c r="FO811" i="94"/>
  <c r="FI811" i="94"/>
  <c r="FE811" i="94"/>
  <c r="FC811" i="94"/>
  <c r="FB811" i="94"/>
  <c r="EU811" i="94"/>
  <c r="ES811" i="94"/>
  <c r="EQ811" i="94"/>
  <c r="EO811" i="94"/>
  <c r="EI811" i="94"/>
  <c r="EE811" i="94"/>
  <c r="ED811" i="94"/>
  <c r="BK811" i="94"/>
  <c r="BD811" i="94"/>
  <c r="BA811" i="94"/>
  <c r="AY811" i="94"/>
  <c r="AW811" i="94"/>
  <c r="AQ811" i="94"/>
  <c r="AN811" i="94"/>
  <c r="AM811" i="94"/>
  <c r="AK811" i="94"/>
  <c r="AE811" i="94"/>
  <c r="AB811" i="94"/>
  <c r="AA811" i="94"/>
  <c r="Y811" i="94"/>
  <c r="MM810" i="94"/>
  <c r="MJ810" i="94"/>
  <c r="MI810" i="94"/>
  <c r="MH810" i="94"/>
  <c r="MB810" i="94"/>
  <c r="LZ810" i="94"/>
  <c r="LX810" i="94"/>
  <c r="LW810" i="94"/>
  <c r="LR810" i="94"/>
  <c r="IM810" i="94"/>
  <c r="HZ810" i="94"/>
  <c r="HW810" i="94"/>
  <c r="HV810" i="94"/>
  <c r="HU810" i="94"/>
  <c r="HO810" i="94"/>
  <c r="HM810" i="94"/>
  <c r="HK810" i="94"/>
  <c r="HJ810" i="94"/>
  <c r="HE810" i="94"/>
  <c r="HB810" i="94"/>
  <c r="HA810" i="94"/>
  <c r="GY810" i="94"/>
  <c r="GT810" i="94"/>
  <c r="GR810" i="94"/>
  <c r="GQ810" i="94"/>
  <c r="GP810" i="94"/>
  <c r="GK810" i="94"/>
  <c r="GI810" i="94"/>
  <c r="GH810" i="94"/>
  <c r="GG810" i="94"/>
  <c r="GB810" i="94"/>
  <c r="FZ810" i="94"/>
  <c r="FY810" i="94"/>
  <c r="FW810" i="94"/>
  <c r="FS810" i="94"/>
  <c r="FQ810" i="94"/>
  <c r="FO810" i="94"/>
  <c r="FN810" i="94"/>
  <c r="FJ810" i="94"/>
  <c r="FG810" i="94"/>
  <c r="FF810" i="94"/>
  <c r="FE810" i="94"/>
  <c r="FA810" i="94"/>
  <c r="EX810" i="94"/>
  <c r="EW810" i="94"/>
  <c r="EV810" i="94"/>
  <c r="ET810" i="94"/>
  <c r="EQ810" i="94"/>
  <c r="EO810" i="94"/>
  <c r="EN810" i="94"/>
  <c r="EM810" i="94"/>
  <c r="EK810" i="94"/>
  <c r="EH810" i="94"/>
  <c r="EF810" i="94"/>
  <c r="EE810" i="94"/>
  <c r="ED810" i="94"/>
  <c r="EA810" i="94"/>
  <c r="DY810" i="94"/>
  <c r="DW810" i="94"/>
  <c r="DV810" i="94"/>
  <c r="DU810" i="94"/>
  <c r="DS810" i="94"/>
  <c r="DQ810" i="94"/>
  <c r="DO810" i="94"/>
  <c r="DN810" i="94"/>
  <c r="DM810" i="94"/>
  <c r="DK810" i="94"/>
  <c r="DI810" i="94"/>
  <c r="DG810" i="94"/>
  <c r="DF810" i="94"/>
  <c r="DE810" i="94"/>
  <c r="DC810" i="94"/>
  <c r="DB810" i="94"/>
  <c r="DA810" i="94"/>
  <c r="CY810" i="94"/>
  <c r="CX810" i="94"/>
  <c r="CW810" i="94"/>
  <c r="CU810" i="94"/>
  <c r="CT810" i="94"/>
  <c r="CS810" i="94"/>
  <c r="CQ810" i="94"/>
  <c r="CP810" i="94"/>
  <c r="CO810" i="94"/>
  <c r="CM810" i="94"/>
  <c r="CL810" i="94"/>
  <c r="CK810" i="94"/>
  <c r="CI810" i="94"/>
  <c r="CH810" i="94"/>
  <c r="CG810" i="94"/>
  <c r="CE810" i="94"/>
  <c r="CD810" i="94"/>
  <c r="CC810" i="94"/>
  <c r="CA810" i="94"/>
  <c r="BZ810" i="94"/>
  <c r="BY810" i="94"/>
  <c r="BW810" i="94"/>
  <c r="BV810" i="94"/>
  <c r="BU810" i="94"/>
  <c r="BS810" i="94"/>
  <c r="BR810" i="94"/>
  <c r="BQ810" i="94"/>
  <c r="BO810" i="94"/>
  <c r="BN810" i="94"/>
  <c r="BM810" i="94"/>
  <c r="BK810" i="94"/>
  <c r="BJ810" i="94"/>
  <c r="BI810" i="94"/>
  <c r="BG810" i="94"/>
  <c r="BF810" i="94"/>
  <c r="BE810" i="94"/>
  <c r="BC810" i="94"/>
  <c r="BB810" i="94"/>
  <c r="BA810" i="94"/>
  <c r="AY810" i="94"/>
  <c r="AX810" i="94"/>
  <c r="AW810" i="94"/>
  <c r="AU810" i="94"/>
  <c r="AT810" i="94"/>
  <c r="AS810" i="94"/>
  <c r="AQ810" i="94"/>
  <c r="AP810" i="94"/>
  <c r="AO810" i="94"/>
  <c r="AM810" i="94"/>
  <c r="AL810" i="94"/>
  <c r="AK810" i="94"/>
  <c r="AI810" i="94"/>
  <c r="AH810" i="94"/>
  <c r="AG810" i="94"/>
  <c r="AE810" i="94"/>
  <c r="AD810" i="94"/>
  <c r="AC810" i="94"/>
  <c r="AA810" i="94"/>
  <c r="Z810" i="94"/>
  <c r="Y810" i="94"/>
  <c r="LZ809" i="94"/>
  <c r="LY809" i="94"/>
  <c r="LX809" i="94"/>
  <c r="LV809" i="94"/>
  <c r="LU809" i="94"/>
  <c r="LT809" i="94"/>
  <c r="LR809" i="94"/>
  <c r="LQ809" i="94"/>
  <c r="IC809" i="94"/>
  <c r="GE809" i="94"/>
  <c r="GD809" i="94"/>
  <c r="GC809" i="94"/>
  <c r="GA809" i="94"/>
  <c r="FZ809" i="94"/>
  <c r="FY809" i="94"/>
  <c r="FW809" i="94"/>
  <c r="FV809" i="94"/>
  <c r="FU809" i="94"/>
  <c r="FS809" i="94"/>
  <c r="FR809" i="94"/>
  <c r="FQ809" i="94"/>
  <c r="FO809" i="94"/>
  <c r="FN809" i="94"/>
  <c r="FM809" i="94"/>
  <c r="FK809" i="94"/>
  <c r="FJ809" i="94"/>
  <c r="FI809" i="94"/>
  <c r="FG809" i="94"/>
  <c r="FF809" i="94"/>
  <c r="FE809" i="94"/>
  <c r="FC809" i="94"/>
  <c r="FB809" i="94"/>
  <c r="FA809" i="94"/>
  <c r="EY809" i="94"/>
  <c r="EX809" i="94"/>
  <c r="EW809" i="94"/>
  <c r="EU809" i="94"/>
  <c r="ET809" i="94"/>
  <c r="ES809" i="94"/>
  <c r="EQ809" i="94"/>
  <c r="EP809" i="94"/>
  <c r="EO809" i="94"/>
  <c r="EM809" i="94"/>
  <c r="EL809" i="94"/>
  <c r="EK809" i="94"/>
  <c r="EI809" i="94"/>
  <c r="EH809" i="94"/>
  <c r="EG809" i="94"/>
  <c r="EE809" i="94"/>
  <c r="ED809" i="94"/>
  <c r="EC809" i="94"/>
  <c r="EA809" i="94"/>
  <c r="DZ809" i="94"/>
  <c r="DY809" i="94"/>
  <c r="DW809" i="94"/>
  <c r="DV809" i="94"/>
  <c r="DU809" i="94"/>
  <c r="DS809" i="94"/>
  <c r="DR809" i="94"/>
  <c r="DQ809" i="94"/>
  <c r="DO809" i="94"/>
  <c r="DN809" i="94"/>
  <c r="DM809" i="94"/>
  <c r="DK809" i="94"/>
  <c r="DJ809" i="94"/>
  <c r="DI809" i="94"/>
  <c r="DG809" i="94"/>
  <c r="DF809" i="94"/>
  <c r="DE809" i="94"/>
  <c r="DC809" i="94"/>
  <c r="DB809" i="94"/>
  <c r="DA809" i="94"/>
  <c r="CY809" i="94"/>
  <c r="CX809" i="94"/>
  <c r="CW809" i="94"/>
  <c r="CU809" i="94"/>
  <c r="CT809" i="94"/>
  <c r="CS809" i="94"/>
  <c r="CQ809" i="94"/>
  <c r="CP809" i="94"/>
  <c r="CO809" i="94"/>
  <c r="CM809" i="94"/>
  <c r="CL809" i="94"/>
  <c r="CK809" i="94"/>
  <c r="CI809" i="94"/>
  <c r="CH809" i="94"/>
  <c r="CG809" i="94"/>
  <c r="CE809" i="94"/>
  <c r="CD809" i="94"/>
  <c r="CC809" i="94"/>
  <c r="CA809" i="94"/>
  <c r="BZ809" i="94"/>
  <c r="BY809" i="94"/>
  <c r="BW809" i="94"/>
  <c r="BV809" i="94"/>
  <c r="BU809" i="94"/>
  <c r="BS809" i="94"/>
  <c r="BR809" i="94"/>
  <c r="BQ809" i="94"/>
  <c r="BO809" i="94"/>
  <c r="BN809" i="94"/>
  <c r="BM809" i="94"/>
  <c r="BK809" i="94"/>
  <c r="BJ809" i="94"/>
  <c r="BI809" i="94"/>
  <c r="BG809" i="94"/>
  <c r="BF809" i="94"/>
  <c r="BE809" i="94"/>
  <c r="BC809" i="94"/>
  <c r="BB809" i="94"/>
  <c r="BA809" i="94"/>
  <c r="AY809" i="94"/>
  <c r="AX809" i="94"/>
  <c r="AW809" i="94"/>
  <c r="AU809" i="94"/>
  <c r="AT809" i="94"/>
  <c r="AS809" i="94"/>
  <c r="AQ809" i="94"/>
  <c r="AP809" i="94"/>
  <c r="AO809" i="94"/>
  <c r="AM809" i="94"/>
  <c r="AL809" i="94"/>
  <c r="AK809" i="94"/>
  <c r="AI809" i="94"/>
  <c r="AH809" i="94"/>
  <c r="AG809" i="94"/>
  <c r="AE809" i="94"/>
  <c r="AD809" i="94"/>
  <c r="AC809" i="94"/>
  <c r="AA809" i="94"/>
  <c r="Z809" i="94"/>
  <c r="Y809" i="94"/>
  <c r="MO808" i="94"/>
  <c r="MN808" i="94"/>
  <c r="MM808" i="94"/>
  <c r="MK808" i="94"/>
  <c r="MJ808" i="94"/>
  <c r="MI808" i="94"/>
  <c r="MG808" i="94"/>
  <c r="MF808" i="94"/>
  <c r="ME808" i="94"/>
  <c r="MC808" i="94"/>
  <c r="MB808" i="94"/>
  <c r="MA808" i="94"/>
  <c r="LY808" i="94"/>
  <c r="LX808" i="94"/>
  <c r="LW808" i="94"/>
  <c r="LU808" i="94"/>
  <c r="LT808" i="94"/>
  <c r="LS808" i="94"/>
  <c r="LQ808" i="94"/>
  <c r="LO808" i="94"/>
  <c r="LL808" i="94"/>
  <c r="LD808" i="94"/>
  <c r="KY808" i="94"/>
  <c r="KV808" i="94"/>
  <c r="KU808" i="94"/>
  <c r="KK808" i="94"/>
  <c r="KF808" i="94"/>
  <c r="KE808" i="94"/>
  <c r="KC808" i="94"/>
  <c r="JS808" i="94"/>
  <c r="JO808" i="94"/>
  <c r="JM808" i="94"/>
  <c r="JL808" i="94"/>
  <c r="JE808" i="94"/>
  <c r="JC808" i="94"/>
  <c r="IZ808" i="94"/>
  <c r="IY808" i="94"/>
  <c r="IR808" i="94"/>
  <c r="IP808" i="94"/>
  <c r="IO808" i="94"/>
  <c r="IM808" i="94"/>
  <c r="IG808" i="94"/>
  <c r="IE808" i="94"/>
  <c r="ID808" i="94"/>
  <c r="IC808" i="94"/>
  <c r="IA808" i="94"/>
  <c r="HZ808" i="94"/>
  <c r="HY808" i="94"/>
  <c r="HX808" i="94"/>
  <c r="HW808" i="94"/>
  <c r="HV808" i="94"/>
  <c r="HU808" i="94"/>
  <c r="HS808" i="94"/>
  <c r="HR808" i="94"/>
  <c r="HQ808" i="94"/>
  <c r="HP808" i="94"/>
  <c r="HO808" i="94"/>
  <c r="HN808" i="94"/>
  <c r="HM808" i="94"/>
  <c r="HL808" i="94"/>
  <c r="HK808" i="94"/>
  <c r="HJ808" i="94"/>
  <c r="HI808" i="94"/>
  <c r="HH808" i="94"/>
  <c r="HG808" i="94"/>
  <c r="HF808" i="94"/>
  <c r="HE808" i="94"/>
  <c r="HD808" i="94"/>
  <c r="HC808" i="94"/>
  <c r="HB808" i="94"/>
  <c r="HA808" i="94"/>
  <c r="GZ808" i="94"/>
  <c r="GY808" i="94"/>
  <c r="GX808" i="94"/>
  <c r="GW808" i="94"/>
  <c r="GV808" i="94"/>
  <c r="GU808" i="94"/>
  <c r="GT808" i="94"/>
  <c r="GS808" i="94"/>
  <c r="GR808" i="94"/>
  <c r="GQ808" i="94"/>
  <c r="GP808" i="94"/>
  <c r="GO808" i="94"/>
  <c r="GN808" i="94"/>
  <c r="GM808" i="94"/>
  <c r="GL808" i="94"/>
  <c r="GK808" i="94"/>
  <c r="GJ808" i="94"/>
  <c r="GI808" i="94"/>
  <c r="GH808" i="94"/>
  <c r="GG808" i="94"/>
  <c r="GF808" i="94"/>
  <c r="GE808" i="94"/>
  <c r="GD808" i="94"/>
  <c r="GC808" i="94"/>
  <c r="GB808" i="94"/>
  <c r="GA808" i="94"/>
  <c r="FZ808" i="94"/>
  <c r="FY808" i="94"/>
  <c r="FX808" i="94"/>
  <c r="FW808" i="94"/>
  <c r="FV808" i="94"/>
  <c r="FU808" i="94"/>
  <c r="FT808" i="94"/>
  <c r="FS808" i="94"/>
  <c r="FR808" i="94"/>
  <c r="FQ808" i="94"/>
  <c r="FP808" i="94"/>
  <c r="FO808" i="94"/>
  <c r="FN808" i="94"/>
  <c r="FM808" i="94"/>
  <c r="FL808" i="94"/>
  <c r="FK808" i="94"/>
  <c r="FJ808" i="94"/>
  <c r="FI808" i="94"/>
  <c r="FH808" i="94"/>
  <c r="FG808" i="94"/>
  <c r="FF808" i="94"/>
  <c r="FE808" i="94"/>
  <c r="FD808" i="94"/>
  <c r="FC808" i="94"/>
  <c r="FB808" i="94"/>
  <c r="FA808" i="94"/>
  <c r="EZ808" i="94"/>
  <c r="EY808" i="94"/>
  <c r="EX808" i="94"/>
  <c r="EW808" i="94"/>
  <c r="EV808" i="94"/>
  <c r="EU808" i="94"/>
  <c r="ET808" i="94"/>
  <c r="ES808" i="94"/>
  <c r="ER808" i="94"/>
  <c r="EQ808" i="94"/>
  <c r="EP808" i="94"/>
  <c r="EO808" i="94"/>
  <c r="EN808" i="94"/>
  <c r="EM808" i="94"/>
  <c r="EL808" i="94"/>
  <c r="EK808" i="94"/>
  <c r="EJ808" i="94"/>
  <c r="EI808" i="94"/>
  <c r="EH808" i="94"/>
  <c r="EG808" i="94"/>
  <c r="EF808" i="94"/>
  <c r="EE808" i="94"/>
  <c r="ED808" i="94"/>
  <c r="EC808" i="94"/>
  <c r="EB808" i="94"/>
  <c r="EA808" i="94"/>
  <c r="DZ808" i="94"/>
  <c r="DY808" i="94"/>
  <c r="DX808" i="94"/>
  <c r="DW808" i="94"/>
  <c r="DV808" i="94"/>
  <c r="DU808" i="94"/>
  <c r="DT808" i="94"/>
  <c r="DS808" i="94"/>
  <c r="DR808" i="94"/>
  <c r="DQ808" i="94"/>
  <c r="DP808" i="94"/>
  <c r="DO808" i="94"/>
  <c r="DN808" i="94"/>
  <c r="DM808" i="94"/>
  <c r="DL808" i="94"/>
  <c r="DK808" i="94"/>
  <c r="DJ808" i="94"/>
  <c r="DI808" i="94"/>
  <c r="DH808" i="94"/>
  <c r="DG808" i="94"/>
  <c r="DF808" i="94"/>
  <c r="DE808" i="94"/>
  <c r="DD808" i="94"/>
  <c r="DC808" i="94"/>
  <c r="DB808" i="94"/>
  <c r="DA808" i="94"/>
  <c r="CZ808" i="94"/>
  <c r="CY808" i="94"/>
  <c r="CX808" i="94"/>
  <c r="CW808" i="94"/>
  <c r="CV808" i="94"/>
  <c r="CU808" i="94"/>
  <c r="CT808" i="94"/>
  <c r="CS808" i="94"/>
  <c r="CR808" i="94"/>
  <c r="CQ808" i="94"/>
  <c r="CP808" i="94"/>
  <c r="CO808" i="94"/>
  <c r="CN808" i="94"/>
  <c r="CM808" i="94"/>
  <c r="CL808" i="94"/>
  <c r="CK808" i="94"/>
  <c r="CJ808" i="94"/>
  <c r="CI808" i="94"/>
  <c r="CH808" i="94"/>
  <c r="CG808" i="94"/>
  <c r="CF808" i="94"/>
  <c r="CE808" i="94"/>
  <c r="CD808" i="94"/>
  <c r="CC808" i="94"/>
  <c r="CB808" i="94"/>
  <c r="CA808" i="94"/>
  <c r="BZ808" i="94"/>
  <c r="BY808" i="94"/>
  <c r="BX808" i="94"/>
  <c r="BW808" i="94"/>
  <c r="BV808" i="94"/>
  <c r="BU808" i="94"/>
  <c r="BT808" i="94"/>
  <c r="BS808" i="94"/>
  <c r="BR808" i="94"/>
  <c r="BQ808" i="94"/>
  <c r="BP808" i="94"/>
  <c r="BO808" i="94"/>
  <c r="BN808" i="94"/>
  <c r="BM808" i="94"/>
  <c r="BL808" i="94"/>
  <c r="BK808" i="94"/>
  <c r="BJ808" i="94"/>
  <c r="BI808" i="94"/>
  <c r="BH808" i="94"/>
  <c r="BG808" i="94"/>
  <c r="BF808" i="94"/>
  <c r="BE808" i="94"/>
  <c r="BD808" i="94"/>
  <c r="BC808" i="94"/>
  <c r="BB808" i="94"/>
  <c r="BA808" i="94"/>
  <c r="AZ808" i="94"/>
  <c r="AY808" i="94"/>
  <c r="AX808" i="94"/>
  <c r="AW808" i="94"/>
  <c r="AV808" i="94"/>
  <c r="AU808" i="94"/>
  <c r="AT808" i="94"/>
  <c r="AS808" i="94"/>
  <c r="AR808" i="94"/>
  <c r="AQ808" i="94"/>
  <c r="AP808" i="94"/>
  <c r="AO808" i="94"/>
  <c r="AN808" i="94"/>
  <c r="AM808" i="94"/>
  <c r="AL808" i="94"/>
  <c r="AK808" i="94"/>
  <c r="AJ808" i="94"/>
  <c r="AI808" i="94"/>
  <c r="AH808" i="94"/>
  <c r="AG808" i="94"/>
  <c r="AF808" i="94"/>
  <c r="AE808" i="94"/>
  <c r="AD808" i="94"/>
  <c r="AC808" i="94"/>
  <c r="AB808" i="94"/>
  <c r="AA808" i="94"/>
  <c r="Z808" i="94"/>
  <c r="Y808" i="94"/>
  <c r="X808" i="94"/>
  <c r="LZ807" i="94"/>
  <c r="LY807" i="94"/>
  <c r="LX807" i="94"/>
  <c r="LW807" i="94"/>
  <c r="LV807" i="94"/>
  <c r="LU807" i="94"/>
  <c r="LT807" i="94"/>
  <c r="LS807" i="94"/>
  <c r="LR807" i="94"/>
  <c r="LQ807" i="94"/>
  <c r="GF807" i="94"/>
  <c r="GE807" i="94"/>
  <c r="GD807" i="94"/>
  <c r="GC807" i="94"/>
  <c r="GB807" i="94"/>
  <c r="FV807" i="94"/>
  <c r="FU807" i="94"/>
  <c r="FT807" i="94"/>
  <c r="FS807" i="94"/>
  <c r="FR807" i="94"/>
  <c r="FQ807" i="94"/>
  <c r="FP807" i="94"/>
  <c r="FO807" i="94"/>
  <c r="FN807" i="94"/>
  <c r="FM807" i="94"/>
  <c r="FL807" i="94"/>
  <c r="FK807" i="94"/>
  <c r="FJ807" i="94"/>
  <c r="FI807" i="94"/>
  <c r="FH807" i="94"/>
  <c r="FG807" i="94"/>
  <c r="FF807" i="94"/>
  <c r="FE807" i="94"/>
  <c r="FD807" i="94"/>
  <c r="FC807" i="94"/>
  <c r="FB807" i="94"/>
  <c r="FA807" i="94"/>
  <c r="EZ807" i="94"/>
  <c r="EY807" i="94"/>
  <c r="EX807" i="94"/>
  <c r="EW807" i="94"/>
  <c r="EV807" i="94"/>
  <c r="EU807" i="94"/>
  <c r="ET807" i="94"/>
  <c r="ES807" i="94"/>
  <c r="ER807" i="94"/>
  <c r="EQ807" i="94"/>
  <c r="EP807" i="94"/>
  <c r="EO807" i="94"/>
  <c r="EN807" i="94"/>
  <c r="EM807" i="94"/>
  <c r="EL807" i="94"/>
  <c r="EK807" i="94"/>
  <c r="EJ807" i="94"/>
  <c r="EI807" i="94"/>
  <c r="EH807" i="94"/>
  <c r="EG807" i="94"/>
  <c r="EF807" i="94"/>
  <c r="EE807" i="94"/>
  <c r="ED807" i="94"/>
  <c r="BK807" i="94"/>
  <c r="BJ807" i="94"/>
  <c r="BI807" i="94"/>
  <c r="BH807" i="94"/>
  <c r="BG807" i="94"/>
  <c r="BF807" i="94"/>
  <c r="BE807" i="94"/>
  <c r="BD807" i="94"/>
  <c r="BC807" i="94"/>
  <c r="BB807" i="94"/>
  <c r="BA807" i="94"/>
  <c r="AZ807" i="94"/>
  <c r="AY807" i="94"/>
  <c r="AX807" i="94"/>
  <c r="AW807" i="94"/>
  <c r="AV807" i="94"/>
  <c r="AU807" i="94"/>
  <c r="AT807" i="94"/>
  <c r="AS807" i="94"/>
  <c r="AR807" i="94"/>
  <c r="AQ807" i="94"/>
  <c r="AP807" i="94"/>
  <c r="AO807" i="94"/>
  <c r="AN807" i="94"/>
  <c r="AM807" i="94"/>
  <c r="AL807" i="94"/>
  <c r="AK807" i="94"/>
  <c r="AJ807" i="94"/>
  <c r="AI807" i="94"/>
  <c r="AH807" i="94"/>
  <c r="AG807" i="94"/>
  <c r="AF807" i="94"/>
  <c r="AE807" i="94"/>
  <c r="AD807" i="94"/>
  <c r="AC807" i="94"/>
  <c r="AB807" i="94"/>
  <c r="AA807" i="94"/>
  <c r="Z807" i="94"/>
  <c r="Y807" i="94"/>
  <c r="X807" i="94"/>
  <c r="ND806" i="94"/>
  <c r="NB806" i="94"/>
  <c r="MZ806" i="94"/>
  <c r="MO806" i="94"/>
  <c r="MN806" i="94"/>
  <c r="MM806" i="94"/>
  <c r="ML806" i="94"/>
  <c r="MK806" i="94"/>
  <c r="MJ806" i="94"/>
  <c r="MI806" i="94"/>
  <c r="MH806" i="94"/>
  <c r="MG806" i="94"/>
  <c r="MF806" i="94"/>
  <c r="ME806" i="94"/>
  <c r="MD806" i="94"/>
  <c r="MC806" i="94"/>
  <c r="MB806" i="94"/>
  <c r="MA806" i="94"/>
  <c r="LZ806" i="94"/>
  <c r="LY806" i="94"/>
  <c r="LX806" i="94"/>
  <c r="LW806" i="94"/>
  <c r="LV806" i="94"/>
  <c r="LU806" i="94"/>
  <c r="LT806" i="94"/>
  <c r="LS806" i="94"/>
  <c r="LR806" i="94"/>
  <c r="LQ806" i="94"/>
  <c r="LP806" i="94"/>
  <c r="LN806" i="94"/>
  <c r="LL806" i="94"/>
  <c r="LJ806" i="94"/>
  <c r="LI806" i="94"/>
  <c r="LH806" i="94"/>
  <c r="LF806" i="94"/>
  <c r="LD806" i="94"/>
  <c r="LB806" i="94"/>
  <c r="LA806" i="94"/>
  <c r="KZ806" i="94"/>
  <c r="KX806" i="94"/>
  <c r="KV806" i="94"/>
  <c r="KT806" i="94"/>
  <c r="KS806" i="94"/>
  <c r="KR806" i="94"/>
  <c r="KP806" i="94"/>
  <c r="KN806" i="94"/>
  <c r="KL806" i="94"/>
  <c r="KK806" i="94"/>
  <c r="KJ806" i="94"/>
  <c r="KH806" i="94"/>
  <c r="KF806" i="94"/>
  <c r="KD806" i="94"/>
  <c r="KC806" i="94"/>
  <c r="KB806" i="94"/>
  <c r="JZ806" i="94"/>
  <c r="JX806" i="94"/>
  <c r="JV806" i="94"/>
  <c r="JU806" i="94"/>
  <c r="JT806" i="94"/>
  <c r="JR806" i="94"/>
  <c r="JP806" i="94"/>
  <c r="JN806" i="94"/>
  <c r="JM806" i="94"/>
  <c r="JL806" i="94"/>
  <c r="JJ806" i="94"/>
  <c r="JH806" i="94"/>
  <c r="JF806" i="94"/>
  <c r="JE806" i="94"/>
  <c r="JD806" i="94"/>
  <c r="JB806" i="94"/>
  <c r="IZ806" i="94"/>
  <c r="IX806" i="94"/>
  <c r="IW806" i="94"/>
  <c r="IV806" i="94"/>
  <c r="IT806" i="94"/>
  <c r="IR806" i="94"/>
  <c r="IP806" i="94"/>
  <c r="IO806" i="94"/>
  <c r="IN806" i="94"/>
  <c r="IL806" i="94"/>
  <c r="IJ806" i="94"/>
  <c r="IH806" i="94"/>
  <c r="IG806" i="94"/>
  <c r="IF806" i="94"/>
  <c r="ID806" i="94"/>
  <c r="IC806" i="94"/>
  <c r="IB806" i="94"/>
  <c r="IA806" i="94"/>
  <c r="HZ806" i="94"/>
  <c r="HY806" i="94"/>
  <c r="HX806" i="94"/>
  <c r="HW806" i="94"/>
  <c r="HV806" i="94"/>
  <c r="HU806" i="94"/>
  <c r="HT806" i="94"/>
  <c r="HS806" i="94"/>
  <c r="HR806" i="94"/>
  <c r="HQ806" i="94"/>
  <c r="HP806" i="94"/>
  <c r="HO806" i="94"/>
  <c r="HN806" i="94"/>
  <c r="HM806" i="94"/>
  <c r="HL806" i="94"/>
  <c r="HK806" i="94"/>
  <c r="HJ806" i="94"/>
  <c r="HI806" i="94"/>
  <c r="HH806" i="94"/>
  <c r="HG806" i="94"/>
  <c r="HF806" i="94"/>
  <c r="HE806" i="94"/>
  <c r="HD806" i="94"/>
  <c r="HC806" i="94"/>
  <c r="HB806" i="94"/>
  <c r="HA806" i="94"/>
  <c r="GZ806" i="94"/>
  <c r="GY806" i="94"/>
  <c r="GX806" i="94"/>
  <c r="GW806" i="94"/>
  <c r="GV806" i="94"/>
  <c r="GU806" i="94"/>
  <c r="GT806" i="94"/>
  <c r="GS806" i="94"/>
  <c r="GR806" i="94"/>
  <c r="GQ806" i="94"/>
  <c r="GP806" i="94"/>
  <c r="GO806" i="94"/>
  <c r="GN806" i="94"/>
  <c r="GM806" i="94"/>
  <c r="GL806" i="94"/>
  <c r="GK806" i="94"/>
  <c r="GJ806" i="94"/>
  <c r="GI806" i="94"/>
  <c r="GH806" i="94"/>
  <c r="GG806" i="94"/>
  <c r="GF806" i="94"/>
  <c r="GE806" i="94"/>
  <c r="GD806" i="94"/>
  <c r="GC806" i="94"/>
  <c r="GB806" i="94"/>
  <c r="FV806" i="94"/>
  <c r="FU806" i="94"/>
  <c r="FT806" i="94"/>
  <c r="FS806" i="94"/>
  <c r="FR806" i="94"/>
  <c r="FQ806" i="94"/>
  <c r="FP806" i="94"/>
  <c r="FO806" i="94"/>
  <c r="FN806" i="94"/>
  <c r="FM806" i="94"/>
  <c r="FL806" i="94"/>
  <c r="FK806" i="94"/>
  <c r="FJ806" i="94"/>
  <c r="FI806" i="94"/>
  <c r="FH806" i="94"/>
  <c r="FG806" i="94"/>
  <c r="FF806" i="94"/>
  <c r="FE806" i="94"/>
  <c r="FD806" i="94"/>
  <c r="FC806" i="94"/>
  <c r="FB806" i="94"/>
  <c r="FA806" i="94"/>
  <c r="EZ806" i="94"/>
  <c r="EY806" i="94"/>
  <c r="EX806" i="94"/>
  <c r="EW806" i="94"/>
  <c r="EV806" i="94"/>
  <c r="EU806" i="94"/>
  <c r="ET806" i="94"/>
  <c r="ES806" i="94"/>
  <c r="ER806" i="94"/>
  <c r="EQ806" i="94"/>
  <c r="EP806" i="94"/>
  <c r="EO806" i="94"/>
  <c r="EN806" i="94"/>
  <c r="EM806" i="94"/>
  <c r="EL806" i="94"/>
  <c r="EK806" i="94"/>
  <c r="EJ806" i="94"/>
  <c r="EI806" i="94"/>
  <c r="EH806" i="94"/>
  <c r="EG806" i="94"/>
  <c r="EF806" i="94"/>
  <c r="EE806" i="94"/>
  <c r="ED806" i="94"/>
  <c r="BK806" i="94"/>
  <c r="BJ806" i="94"/>
  <c r="BI806" i="94"/>
  <c r="BH806" i="94"/>
  <c r="BG806" i="94"/>
  <c r="BF806" i="94"/>
  <c r="BE806" i="94"/>
  <c r="BD806" i="94"/>
  <c r="BC806" i="94"/>
  <c r="BB806" i="94"/>
  <c r="BA806" i="94"/>
  <c r="AZ806" i="94"/>
  <c r="AY806" i="94"/>
  <c r="AX806" i="94"/>
  <c r="AW806" i="94"/>
  <c r="AV806" i="94"/>
  <c r="AU806" i="94"/>
  <c r="AT806" i="94"/>
  <c r="AS806" i="94"/>
  <c r="AR806" i="94"/>
  <c r="AQ806" i="94"/>
  <c r="AP806" i="94"/>
  <c r="AO806" i="94"/>
  <c r="AN806" i="94"/>
  <c r="AM806" i="94"/>
  <c r="AL806" i="94"/>
  <c r="AK806" i="94"/>
  <c r="AJ806" i="94"/>
  <c r="AI806" i="94"/>
  <c r="AH806" i="94"/>
  <c r="AG806" i="94"/>
  <c r="AF806" i="94"/>
  <c r="AE806" i="94"/>
  <c r="AD806" i="94"/>
  <c r="AC806" i="94"/>
  <c r="AB806" i="94"/>
  <c r="AA806" i="94"/>
  <c r="Z806" i="94"/>
  <c r="Y806" i="94"/>
  <c r="X806" i="94"/>
  <c r="LZ805" i="94"/>
  <c r="LY805" i="94"/>
  <c r="LX805" i="94"/>
  <c r="LW805" i="94"/>
  <c r="LV805" i="94"/>
  <c r="LU805" i="94"/>
  <c r="LT805" i="94"/>
  <c r="LS805" i="94"/>
  <c r="LR805" i="94"/>
  <c r="LQ805" i="94"/>
  <c r="ID805" i="94"/>
  <c r="GF805" i="94"/>
  <c r="GE805" i="94"/>
  <c r="GD805" i="94"/>
  <c r="GC805" i="94"/>
  <c r="GB805" i="94"/>
  <c r="FV805" i="94"/>
  <c r="FU805" i="94"/>
  <c r="FT805" i="94"/>
  <c r="FS805" i="94"/>
  <c r="FR805" i="94"/>
  <c r="FQ805" i="94"/>
  <c r="FP805" i="94"/>
  <c r="FO805" i="94"/>
  <c r="FN805" i="94"/>
  <c r="FM805" i="94"/>
  <c r="FL805" i="94"/>
  <c r="FK805" i="94"/>
  <c r="FJ805" i="94"/>
  <c r="FI805" i="94"/>
  <c r="FH805" i="94"/>
  <c r="FG805" i="94"/>
  <c r="FF805" i="94"/>
  <c r="FE805" i="94"/>
  <c r="FD805" i="94"/>
  <c r="FC805" i="94"/>
  <c r="FB805" i="94"/>
  <c r="FA805" i="94"/>
  <c r="EZ805" i="94"/>
  <c r="EY805" i="94"/>
  <c r="EX805" i="94"/>
  <c r="EW805" i="94"/>
  <c r="EV805" i="94"/>
  <c r="EU805" i="94"/>
  <c r="ET805" i="94"/>
  <c r="ES805" i="94"/>
  <c r="ER805" i="94"/>
  <c r="EQ805" i="94"/>
  <c r="EP805" i="94"/>
  <c r="EO805" i="94"/>
  <c r="EN805" i="94"/>
  <c r="EM805" i="94"/>
  <c r="EL805" i="94"/>
  <c r="EK805" i="94"/>
  <c r="EJ805" i="94"/>
  <c r="EI805" i="94"/>
  <c r="EH805" i="94"/>
  <c r="EG805" i="94"/>
  <c r="EF805" i="94"/>
  <c r="EE805" i="94"/>
  <c r="ED805" i="94"/>
  <c r="DY805" i="94"/>
  <c r="DQ805" i="94"/>
  <c r="DI805" i="94"/>
  <c r="CS805" i="94"/>
  <c r="CK805" i="94"/>
  <c r="CC805" i="94"/>
  <c r="BU805" i="94"/>
  <c r="BM805" i="94"/>
  <c r="BK805" i="94"/>
  <c r="BJ805" i="94"/>
  <c r="BI805" i="94"/>
  <c r="BH805" i="94"/>
  <c r="BG805" i="94"/>
  <c r="BF805" i="94"/>
  <c r="BE805" i="94"/>
  <c r="BD805" i="94"/>
  <c r="BC805" i="94"/>
  <c r="BB805" i="94"/>
  <c r="BA805" i="94"/>
  <c r="AZ805" i="94"/>
  <c r="AY805" i="94"/>
  <c r="AX805" i="94"/>
  <c r="AW805" i="94"/>
  <c r="AV805" i="94"/>
  <c r="AU805" i="94"/>
  <c r="AT805" i="94"/>
  <c r="AS805" i="94"/>
  <c r="AR805" i="94"/>
  <c r="AQ805" i="94"/>
  <c r="AP805" i="94"/>
  <c r="AO805" i="94"/>
  <c r="AN805" i="94"/>
  <c r="AM805" i="94"/>
  <c r="AL805" i="94"/>
  <c r="AK805" i="94"/>
  <c r="AJ805" i="94"/>
  <c r="AI805" i="94"/>
  <c r="AH805" i="94"/>
  <c r="AG805" i="94"/>
  <c r="AF805" i="94"/>
  <c r="AE805" i="94"/>
  <c r="AD805" i="94"/>
  <c r="AC805" i="94"/>
  <c r="AB805" i="94"/>
  <c r="AA805" i="94"/>
  <c r="Z805" i="94"/>
  <c r="Y805" i="94"/>
  <c r="X805" i="94"/>
  <c r="NC804" i="94"/>
  <c r="NA804" i="94"/>
  <c r="MZ804" i="94"/>
  <c r="MO804" i="94"/>
  <c r="MN804" i="94"/>
  <c r="MM804" i="94"/>
  <c r="ML804" i="94"/>
  <c r="MK804" i="94"/>
  <c r="MJ804" i="94"/>
  <c r="MI804" i="94"/>
  <c r="MH804" i="94"/>
  <c r="MG804" i="94"/>
  <c r="MF804" i="94"/>
  <c r="ME804" i="94"/>
  <c r="MD804" i="94"/>
  <c r="MC804" i="94"/>
  <c r="MB804" i="94"/>
  <c r="MA804" i="94"/>
  <c r="LZ804" i="94"/>
  <c r="LY804" i="94"/>
  <c r="LX804" i="94"/>
  <c r="LW804" i="94"/>
  <c r="LV804" i="94"/>
  <c r="LU804" i="94"/>
  <c r="LT804" i="94"/>
  <c r="LS804" i="94"/>
  <c r="LR804" i="94"/>
  <c r="LQ804" i="94"/>
  <c r="LO804" i="94"/>
  <c r="LM804" i="94"/>
  <c r="LK804" i="94"/>
  <c r="LJ804" i="94"/>
  <c r="LI804" i="94"/>
  <c r="LG804" i="94"/>
  <c r="LE804" i="94"/>
  <c r="LC804" i="94"/>
  <c r="LB804" i="94"/>
  <c r="LA804" i="94"/>
  <c r="KY804" i="94"/>
  <c r="KW804" i="94"/>
  <c r="KU804" i="94"/>
  <c r="KT804" i="94"/>
  <c r="KS804" i="94"/>
  <c r="KQ804" i="94"/>
  <c r="KO804" i="94"/>
  <c r="KM804" i="94"/>
  <c r="KL804" i="94"/>
  <c r="KK804" i="94"/>
  <c r="KI804" i="94"/>
  <c r="KG804" i="94"/>
  <c r="KE804" i="94"/>
  <c r="KD804" i="94"/>
  <c r="KC804" i="94"/>
  <c r="KA804" i="94"/>
  <c r="JY804" i="94"/>
  <c r="JW804" i="94"/>
  <c r="JV804" i="94"/>
  <c r="JU804" i="94"/>
  <c r="JS804" i="94"/>
  <c r="JQ804" i="94"/>
  <c r="JO804" i="94"/>
  <c r="JN804" i="94"/>
  <c r="JM804" i="94"/>
  <c r="JK804" i="94"/>
  <c r="JI804" i="94"/>
  <c r="JG804" i="94"/>
  <c r="JF804" i="94"/>
  <c r="JE804" i="94"/>
  <c r="JC804" i="94"/>
  <c r="JA804" i="94"/>
  <c r="IY804" i="94"/>
  <c r="IX804" i="94"/>
  <c r="IW804" i="94"/>
  <c r="IU804" i="94"/>
  <c r="IS804" i="94"/>
  <c r="IQ804" i="94"/>
  <c r="IP804" i="94"/>
  <c r="IO804" i="94"/>
  <c r="IM804" i="94"/>
  <c r="IK804" i="94"/>
  <c r="II804" i="94"/>
  <c r="IH804" i="94"/>
  <c r="IG804" i="94"/>
  <c r="IE804" i="94"/>
  <c r="ID804" i="94"/>
  <c r="IC804" i="94"/>
  <c r="IB804" i="94"/>
  <c r="IA804" i="94"/>
  <c r="HZ804" i="94"/>
  <c r="HY804" i="94"/>
  <c r="HX804" i="94"/>
  <c r="HW804" i="94"/>
  <c r="HV804" i="94"/>
  <c r="HU804" i="94"/>
  <c r="HT804" i="94"/>
  <c r="HS804" i="94"/>
  <c r="HR804" i="94"/>
  <c r="HQ804" i="94"/>
  <c r="HP804" i="94"/>
  <c r="HO804" i="94"/>
  <c r="HN804" i="94"/>
  <c r="HM804" i="94"/>
  <c r="HL804" i="94"/>
  <c r="HK804" i="94"/>
  <c r="HJ804" i="94"/>
  <c r="HI804" i="94"/>
  <c r="HH804" i="94"/>
  <c r="HG804" i="94"/>
  <c r="HF804" i="94"/>
  <c r="HE804" i="94"/>
  <c r="HD804" i="94"/>
  <c r="HC804" i="94"/>
  <c r="HB804" i="94"/>
  <c r="HA804" i="94"/>
  <c r="GZ804" i="94"/>
  <c r="GY804" i="94"/>
  <c r="GX804" i="94"/>
  <c r="GW804" i="94"/>
  <c r="GV804" i="94"/>
  <c r="GU804" i="94"/>
  <c r="GT804" i="94"/>
  <c r="GS804" i="94"/>
  <c r="GR804" i="94"/>
  <c r="GQ804" i="94"/>
  <c r="GP804" i="94"/>
  <c r="GO804" i="94"/>
  <c r="GN804" i="94"/>
  <c r="GM804" i="94"/>
  <c r="GL804" i="94"/>
  <c r="GK804" i="94"/>
  <c r="GJ804" i="94"/>
  <c r="GI804" i="94"/>
  <c r="GH804" i="94"/>
  <c r="GG804" i="94"/>
  <c r="GF804" i="94"/>
  <c r="GE804" i="94"/>
  <c r="GD804" i="94"/>
  <c r="GC804" i="94"/>
  <c r="GB804" i="94"/>
  <c r="GA804" i="94"/>
  <c r="FZ804" i="94"/>
  <c r="FY804" i="94"/>
  <c r="FX804" i="94"/>
  <c r="FW804" i="94"/>
  <c r="FV804" i="94"/>
  <c r="FU804" i="94"/>
  <c r="FT804" i="94"/>
  <c r="FS804" i="94"/>
  <c r="FR804" i="94"/>
  <c r="FQ804" i="94"/>
  <c r="FP804" i="94"/>
  <c r="FO804" i="94"/>
  <c r="FN804" i="94"/>
  <c r="FM804" i="94"/>
  <c r="FL804" i="94"/>
  <c r="FK804" i="94"/>
  <c r="FJ804" i="94"/>
  <c r="FI804" i="94"/>
  <c r="FH804" i="94"/>
  <c r="FG804" i="94"/>
  <c r="FF804" i="94"/>
  <c r="FE804" i="94"/>
  <c r="FD804" i="94"/>
  <c r="FC804" i="94"/>
  <c r="FB804" i="94"/>
  <c r="FA804" i="94"/>
  <c r="EZ804" i="94"/>
  <c r="EY804" i="94"/>
  <c r="EX804" i="94"/>
  <c r="EW804" i="94"/>
  <c r="EV804" i="94"/>
  <c r="EU804" i="94"/>
  <c r="ET804" i="94"/>
  <c r="ES804" i="94"/>
  <c r="ER804" i="94"/>
  <c r="EQ804" i="94"/>
  <c r="EP804" i="94"/>
  <c r="EO804" i="94"/>
  <c r="EN804" i="94"/>
  <c r="EM804" i="94"/>
  <c r="EL804" i="94"/>
  <c r="EK804" i="94"/>
  <c r="EJ804" i="94"/>
  <c r="EI804" i="94"/>
  <c r="EH804" i="94"/>
  <c r="EG804" i="94"/>
  <c r="EF804" i="94"/>
  <c r="EE804" i="94"/>
  <c r="ED804" i="94"/>
  <c r="EC804" i="94"/>
  <c r="EB804" i="94"/>
  <c r="EA804" i="94"/>
  <c r="DZ804" i="94"/>
  <c r="DY804" i="94"/>
  <c r="DX804" i="94"/>
  <c r="DW804" i="94"/>
  <c r="DV804" i="94"/>
  <c r="DU804" i="94"/>
  <c r="DT804" i="94"/>
  <c r="DS804" i="94"/>
  <c r="DR804" i="94"/>
  <c r="DQ804" i="94"/>
  <c r="DP804" i="94"/>
  <c r="DO804" i="94"/>
  <c r="DN804" i="94"/>
  <c r="DM804" i="94"/>
  <c r="DL804" i="94"/>
  <c r="DK804" i="94"/>
  <c r="DJ804" i="94"/>
  <c r="DI804" i="94"/>
  <c r="DH804" i="94"/>
  <c r="DG804" i="94"/>
  <c r="DF804" i="94"/>
  <c r="DE804" i="94"/>
  <c r="DD804" i="94"/>
  <c r="DC804" i="94"/>
  <c r="DB804" i="94"/>
  <c r="DA804" i="94"/>
  <c r="CZ804" i="94"/>
  <c r="CY804" i="94"/>
  <c r="CX804" i="94"/>
  <c r="CW804" i="94"/>
  <c r="CV804" i="94"/>
  <c r="CU804" i="94"/>
  <c r="CT804" i="94"/>
  <c r="CS804" i="94"/>
  <c r="CR804" i="94"/>
  <c r="CQ804" i="94"/>
  <c r="CP804" i="94"/>
  <c r="CO804" i="94"/>
  <c r="CN804" i="94"/>
  <c r="CM804" i="94"/>
  <c r="CL804" i="94"/>
  <c r="CK804" i="94"/>
  <c r="CJ804" i="94"/>
  <c r="CI804" i="94"/>
  <c r="CH804" i="94"/>
  <c r="CG804" i="94"/>
  <c r="CF804" i="94"/>
  <c r="CE804" i="94"/>
  <c r="CD804" i="94"/>
  <c r="CC804" i="94"/>
  <c r="CB804" i="94"/>
  <c r="CA804" i="94"/>
  <c r="BZ804" i="94"/>
  <c r="BY804" i="94"/>
  <c r="BX804" i="94"/>
  <c r="BW804" i="94"/>
  <c r="BV804" i="94"/>
  <c r="BU804" i="94"/>
  <c r="BT804" i="94"/>
  <c r="BS804" i="94"/>
  <c r="BR804" i="94"/>
  <c r="BQ804" i="94"/>
  <c r="BP804" i="94"/>
  <c r="BO804" i="94"/>
  <c r="BN804" i="94"/>
  <c r="BM804" i="94"/>
  <c r="BL804" i="94"/>
  <c r="BK804" i="94"/>
  <c r="BJ804" i="94"/>
  <c r="BI804" i="94"/>
  <c r="BH804" i="94"/>
  <c r="BG804" i="94"/>
  <c r="BF804" i="94"/>
  <c r="BE804" i="94"/>
  <c r="BD804" i="94"/>
  <c r="BC804" i="94"/>
  <c r="BB804" i="94"/>
  <c r="BA804" i="94"/>
  <c r="AZ804" i="94"/>
  <c r="AY804" i="94"/>
  <c r="AX804" i="94"/>
  <c r="AW804" i="94"/>
  <c r="AV804" i="94"/>
  <c r="AU804" i="94"/>
  <c r="AT804" i="94"/>
  <c r="AS804" i="94"/>
  <c r="AR804" i="94"/>
  <c r="AQ804" i="94"/>
  <c r="AP804" i="94"/>
  <c r="AO804" i="94"/>
  <c r="AN804" i="94"/>
  <c r="AM804" i="94"/>
  <c r="AL804" i="94"/>
  <c r="AK804" i="94"/>
  <c r="AJ804" i="94"/>
  <c r="AI804" i="94"/>
  <c r="AH804" i="94"/>
  <c r="AG804" i="94"/>
  <c r="AF804" i="94"/>
  <c r="AE804" i="94"/>
  <c r="AD804" i="94"/>
  <c r="AC804" i="94"/>
  <c r="AB804" i="94"/>
  <c r="AA804" i="94"/>
  <c r="Z804" i="94"/>
  <c r="Y804" i="94"/>
  <c r="X804" i="94"/>
  <c r="LZ803" i="94"/>
  <c r="LY803" i="94"/>
  <c r="LX803" i="94"/>
  <c r="LW803" i="94"/>
  <c r="LV803" i="94"/>
  <c r="LU803" i="94"/>
  <c r="LT803" i="94"/>
  <c r="LS803" i="94"/>
  <c r="LR803" i="94"/>
  <c r="LQ803" i="94"/>
  <c r="IB803" i="94"/>
  <c r="GF803" i="94"/>
  <c r="GE803" i="94"/>
  <c r="GD803" i="94"/>
  <c r="GC803" i="94"/>
  <c r="GB803" i="94"/>
  <c r="FZ803" i="94"/>
  <c r="FV803" i="94"/>
  <c r="FU803" i="94"/>
  <c r="FT803" i="94"/>
  <c r="FS803" i="94"/>
  <c r="FR803" i="94"/>
  <c r="FQ803" i="94"/>
  <c r="FP803" i="94"/>
  <c r="FO803" i="94"/>
  <c r="FN803" i="94"/>
  <c r="FM803" i="94"/>
  <c r="FL803" i="94"/>
  <c r="FK803" i="94"/>
  <c r="FJ803" i="94"/>
  <c r="FI803" i="94"/>
  <c r="FH803" i="94"/>
  <c r="FG803" i="94"/>
  <c r="FF803" i="94"/>
  <c r="FE803" i="94"/>
  <c r="FD803" i="94"/>
  <c r="FC803" i="94"/>
  <c r="FB803" i="94"/>
  <c r="FA803" i="94"/>
  <c r="EZ803" i="94"/>
  <c r="EY803" i="94"/>
  <c r="EX803" i="94"/>
  <c r="EW803" i="94"/>
  <c r="EV803" i="94"/>
  <c r="EU803" i="94"/>
  <c r="ET803" i="94"/>
  <c r="ES803" i="94"/>
  <c r="ER803" i="94"/>
  <c r="EQ803" i="94"/>
  <c r="EP803" i="94"/>
  <c r="EO803" i="94"/>
  <c r="EN803" i="94"/>
  <c r="EM803" i="94"/>
  <c r="EL803" i="94"/>
  <c r="EK803" i="94"/>
  <c r="EJ803" i="94"/>
  <c r="EI803" i="94"/>
  <c r="EH803" i="94"/>
  <c r="EG803" i="94"/>
  <c r="EF803" i="94"/>
  <c r="EE803" i="94"/>
  <c r="ED803" i="94"/>
  <c r="DV803" i="94"/>
  <c r="DF803" i="94"/>
  <c r="CX803" i="94"/>
  <c r="CP803" i="94"/>
  <c r="BZ803" i="94"/>
  <c r="BR803" i="94"/>
  <c r="BK803" i="94"/>
  <c r="BJ803" i="94"/>
  <c r="BI803" i="94"/>
  <c r="BH803" i="94"/>
  <c r="BG803" i="94"/>
  <c r="BF803" i="94"/>
  <c r="BE803" i="94"/>
  <c r="BD803" i="94"/>
  <c r="BC803" i="94"/>
  <c r="BB803" i="94"/>
  <c r="BA803" i="94"/>
  <c r="AZ803" i="94"/>
  <c r="AY803" i="94"/>
  <c r="AX803" i="94"/>
  <c r="AW803" i="94"/>
  <c r="AV803" i="94"/>
  <c r="AU803" i="94"/>
  <c r="AT803" i="94"/>
  <c r="AS803" i="94"/>
  <c r="AR803" i="94"/>
  <c r="AQ803" i="94"/>
  <c r="AP803" i="94"/>
  <c r="AO803" i="94"/>
  <c r="AN803" i="94"/>
  <c r="AM803" i="94"/>
  <c r="AL803" i="94"/>
  <c r="AK803" i="94"/>
  <c r="AJ803" i="94"/>
  <c r="AI803" i="94"/>
  <c r="AH803" i="94"/>
  <c r="AG803" i="94"/>
  <c r="AF803" i="94"/>
  <c r="AE803" i="94"/>
  <c r="AD803" i="94"/>
  <c r="AC803" i="94"/>
  <c r="AB803" i="94"/>
  <c r="AA803" i="94"/>
  <c r="Z803" i="94"/>
  <c r="Y803" i="94"/>
  <c r="X803" i="94"/>
  <c r="ND802" i="94"/>
  <c r="NB802" i="94"/>
  <c r="NA802" i="94"/>
  <c r="MZ802" i="94"/>
  <c r="MO802" i="94"/>
  <c r="MN802" i="94"/>
  <c r="MM802" i="94"/>
  <c r="ML802" i="94"/>
  <c r="MK802" i="94"/>
  <c r="MJ802" i="94"/>
  <c r="MI802" i="94"/>
  <c r="MH802" i="94"/>
  <c r="MG802" i="94"/>
  <c r="MF802" i="94"/>
  <c r="ME802" i="94"/>
  <c r="MD802" i="94"/>
  <c r="MC802" i="94"/>
  <c r="MB802" i="94"/>
  <c r="MA802" i="94"/>
  <c r="LZ802" i="94"/>
  <c r="LY802" i="94"/>
  <c r="LX802" i="94"/>
  <c r="LW802" i="94"/>
  <c r="LV802" i="94"/>
  <c r="LU802" i="94"/>
  <c r="LT802" i="94"/>
  <c r="LS802" i="94"/>
  <c r="LR802" i="94"/>
  <c r="LQ802" i="94"/>
  <c r="LP802" i="94"/>
  <c r="LO802" i="94"/>
  <c r="LN802" i="94"/>
  <c r="LL802" i="94"/>
  <c r="LK802" i="94"/>
  <c r="LJ802" i="94"/>
  <c r="LH802" i="94"/>
  <c r="LG802" i="94"/>
  <c r="LF802" i="94"/>
  <c r="LD802" i="94"/>
  <c r="LC802" i="94"/>
  <c r="LB802" i="94"/>
  <c r="KZ802" i="94"/>
  <c r="KY802" i="94"/>
  <c r="KX802" i="94"/>
  <c r="KV802" i="94"/>
  <c r="KU802" i="94"/>
  <c r="KT802" i="94"/>
  <c r="KR802" i="94"/>
  <c r="KQ802" i="94"/>
  <c r="KP802" i="94"/>
  <c r="KN802" i="94"/>
  <c r="KM802" i="94"/>
  <c r="KL802" i="94"/>
  <c r="KJ802" i="94"/>
  <c r="KI802" i="94"/>
  <c r="KH802" i="94"/>
  <c r="KF802" i="94"/>
  <c r="KE802" i="94"/>
  <c r="KD802" i="94"/>
  <c r="KB802" i="94"/>
  <c r="KA802" i="94"/>
  <c r="JZ802" i="94"/>
  <c r="JX802" i="94"/>
  <c r="JW802" i="94"/>
  <c r="JV802" i="94"/>
  <c r="JT802" i="94"/>
  <c r="JS802" i="94"/>
  <c r="JR802" i="94"/>
  <c r="JP802" i="94"/>
  <c r="JO802" i="94"/>
  <c r="JN802" i="94"/>
  <c r="JL802" i="94"/>
  <c r="JK802" i="94"/>
  <c r="JJ802" i="94"/>
  <c r="JH802" i="94"/>
  <c r="JG802" i="94"/>
  <c r="JF802" i="94"/>
  <c r="JD802" i="94"/>
  <c r="JC802" i="94"/>
  <c r="JB802" i="94"/>
  <c r="IZ802" i="94"/>
  <c r="IY802" i="94"/>
  <c r="IX802" i="94"/>
  <c r="IV802" i="94"/>
  <c r="IU802" i="94"/>
  <c r="IT802" i="94"/>
  <c r="IR802" i="94"/>
  <c r="IQ802" i="94"/>
  <c r="IP802" i="94"/>
  <c r="IN802" i="94"/>
  <c r="IM802" i="94"/>
  <c r="IL802" i="94"/>
  <c r="IJ802" i="94"/>
  <c r="II802" i="94"/>
  <c r="IH802" i="94"/>
  <c r="IF802" i="94"/>
  <c r="IE802" i="94"/>
  <c r="ID802" i="94"/>
  <c r="IC802" i="94"/>
  <c r="IB802" i="94"/>
  <c r="IA802" i="94"/>
  <c r="HZ802" i="94"/>
  <c r="HY802" i="94"/>
  <c r="HX802" i="94"/>
  <c r="HW802" i="94"/>
  <c r="HV802" i="94"/>
  <c r="HU802" i="94"/>
  <c r="HT802" i="94"/>
  <c r="HS802" i="94"/>
  <c r="HR802" i="94"/>
  <c r="HQ802" i="94"/>
  <c r="HP802" i="94"/>
  <c r="HO802" i="94"/>
  <c r="HN802" i="94"/>
  <c r="HM802" i="94"/>
  <c r="HL802" i="94"/>
  <c r="HK802" i="94"/>
  <c r="HJ802" i="94"/>
  <c r="HI802" i="94"/>
  <c r="HH802" i="94"/>
  <c r="HG802" i="94"/>
  <c r="HF802" i="94"/>
  <c r="HE802" i="94"/>
  <c r="HD802" i="94"/>
  <c r="HC802" i="94"/>
  <c r="HB802" i="94"/>
  <c r="HA802" i="94"/>
  <c r="GZ802" i="94"/>
  <c r="GY802" i="94"/>
  <c r="GX802" i="94"/>
  <c r="GW802" i="94"/>
  <c r="GV802" i="94"/>
  <c r="GU802" i="94"/>
  <c r="GT802" i="94"/>
  <c r="GS802" i="94"/>
  <c r="GR802" i="94"/>
  <c r="GQ802" i="94"/>
  <c r="GP802" i="94"/>
  <c r="GO802" i="94"/>
  <c r="GN802" i="94"/>
  <c r="GM802" i="94"/>
  <c r="GL802" i="94"/>
  <c r="GK802" i="94"/>
  <c r="GJ802" i="94"/>
  <c r="GI802" i="94"/>
  <c r="GH802" i="94"/>
  <c r="GG802" i="94"/>
  <c r="GF802" i="94"/>
  <c r="GE802" i="94"/>
  <c r="GD802" i="94"/>
  <c r="GC802" i="94"/>
  <c r="GB802" i="94"/>
  <c r="GA802" i="94"/>
  <c r="FZ802" i="94"/>
  <c r="FY802" i="94"/>
  <c r="FX802" i="94"/>
  <c r="FW802" i="94"/>
  <c r="FV802" i="94"/>
  <c r="FU802" i="94"/>
  <c r="FT802" i="94"/>
  <c r="FS802" i="94"/>
  <c r="FR802" i="94"/>
  <c r="FQ802" i="94"/>
  <c r="FP802" i="94"/>
  <c r="FO802" i="94"/>
  <c r="FN802" i="94"/>
  <c r="FM802" i="94"/>
  <c r="FL802" i="94"/>
  <c r="FK802" i="94"/>
  <c r="FJ802" i="94"/>
  <c r="FI802" i="94"/>
  <c r="FH802" i="94"/>
  <c r="FG802" i="94"/>
  <c r="FF802" i="94"/>
  <c r="FE802" i="94"/>
  <c r="FD802" i="94"/>
  <c r="FC802" i="94"/>
  <c r="FB802" i="94"/>
  <c r="FA802" i="94"/>
  <c r="EZ802" i="94"/>
  <c r="EY802" i="94"/>
  <c r="EX802" i="94"/>
  <c r="EW802" i="94"/>
  <c r="EV802" i="94"/>
  <c r="EU802" i="94"/>
  <c r="ET802" i="94"/>
  <c r="ES802" i="94"/>
  <c r="ER802" i="94"/>
  <c r="EQ802" i="94"/>
  <c r="EP802" i="94"/>
  <c r="EO802" i="94"/>
  <c r="EN802" i="94"/>
  <c r="EM802" i="94"/>
  <c r="EL802" i="94"/>
  <c r="EK802" i="94"/>
  <c r="EJ802" i="94"/>
  <c r="EI802" i="94"/>
  <c r="EH802" i="94"/>
  <c r="EG802" i="94"/>
  <c r="EF802" i="94"/>
  <c r="EE802" i="94"/>
  <c r="ED802" i="94"/>
  <c r="EC802" i="94"/>
  <c r="EB802" i="94"/>
  <c r="EA802" i="94"/>
  <c r="DZ802" i="94"/>
  <c r="DY802" i="94"/>
  <c r="DX802" i="94"/>
  <c r="DW802" i="94"/>
  <c r="DV802" i="94"/>
  <c r="DU802" i="94"/>
  <c r="DT802" i="94"/>
  <c r="DS802" i="94"/>
  <c r="DR802" i="94"/>
  <c r="DQ802" i="94"/>
  <c r="DP802" i="94"/>
  <c r="DO802" i="94"/>
  <c r="DN802" i="94"/>
  <c r="DM802" i="94"/>
  <c r="DL802" i="94"/>
  <c r="DK802" i="94"/>
  <c r="DJ802" i="94"/>
  <c r="DI802" i="94"/>
  <c r="DH802" i="94"/>
  <c r="DG802" i="94"/>
  <c r="DF802" i="94"/>
  <c r="DE802" i="94"/>
  <c r="DD802" i="94"/>
  <c r="DC802" i="94"/>
  <c r="DB802" i="94"/>
  <c r="DA802" i="94"/>
  <c r="CZ802" i="94"/>
  <c r="CY802" i="94"/>
  <c r="CX802" i="94"/>
  <c r="CW802" i="94"/>
  <c r="CV802" i="94"/>
  <c r="CU802" i="94"/>
  <c r="CT802" i="94"/>
  <c r="CS802" i="94"/>
  <c r="CR802" i="94"/>
  <c r="CQ802" i="94"/>
  <c r="CP802" i="94"/>
  <c r="CO802" i="94"/>
  <c r="CN802" i="94"/>
  <c r="CM802" i="94"/>
  <c r="CL802" i="94"/>
  <c r="CK802" i="94"/>
  <c r="CJ802" i="94"/>
  <c r="CI802" i="94"/>
  <c r="CH802" i="94"/>
  <c r="CG802" i="94"/>
  <c r="CF802" i="94"/>
  <c r="CE802" i="94"/>
  <c r="CD802" i="94"/>
  <c r="CC802" i="94"/>
  <c r="CB802" i="94"/>
  <c r="CA802" i="94"/>
  <c r="BZ802" i="94"/>
  <c r="BY802" i="94"/>
  <c r="BX802" i="94"/>
  <c r="BW802" i="94"/>
  <c r="BV802" i="94"/>
  <c r="BU802" i="94"/>
  <c r="BT802" i="94"/>
  <c r="BS802" i="94"/>
  <c r="BR802" i="94"/>
  <c r="BQ802" i="94"/>
  <c r="BP802" i="94"/>
  <c r="BO802" i="94"/>
  <c r="BN802" i="94"/>
  <c r="BM802" i="94"/>
  <c r="BL802" i="94"/>
  <c r="BK802" i="94"/>
  <c r="BJ802" i="94"/>
  <c r="BI802" i="94"/>
  <c r="BH802" i="94"/>
  <c r="BG802" i="94"/>
  <c r="BF802" i="94"/>
  <c r="BE802" i="94"/>
  <c r="BD802" i="94"/>
  <c r="BC802" i="94"/>
  <c r="BB802" i="94"/>
  <c r="BA802" i="94"/>
  <c r="AZ802" i="94"/>
  <c r="AY802" i="94"/>
  <c r="AX802" i="94"/>
  <c r="AW802" i="94"/>
  <c r="AV802" i="94"/>
  <c r="AU802" i="94"/>
  <c r="AT802" i="94"/>
  <c r="AS802" i="94"/>
  <c r="AR802" i="94"/>
  <c r="AQ802" i="94"/>
  <c r="AP802" i="94"/>
  <c r="AO802" i="94"/>
  <c r="AN802" i="94"/>
  <c r="AM802" i="94"/>
  <c r="AL802" i="94"/>
  <c r="AK802" i="94"/>
  <c r="AJ802" i="94"/>
  <c r="AI802" i="94"/>
  <c r="AH802" i="94"/>
  <c r="AG802" i="94"/>
  <c r="AF802" i="94"/>
  <c r="AE802" i="94"/>
  <c r="AD802" i="94"/>
  <c r="AC802" i="94"/>
  <c r="AB802" i="94"/>
  <c r="AA802" i="94"/>
  <c r="Z802" i="94"/>
  <c r="Y802" i="94"/>
  <c r="X802" i="94"/>
  <c r="LZ801" i="94"/>
  <c r="LY801" i="94"/>
  <c r="LX801" i="94"/>
  <c r="LW801" i="94"/>
  <c r="LV801" i="94"/>
  <c r="LU801" i="94"/>
  <c r="LT801" i="94"/>
  <c r="LS801" i="94"/>
  <c r="LR801" i="94"/>
  <c r="LQ801" i="94"/>
  <c r="ID801" i="94"/>
  <c r="GF801" i="94"/>
  <c r="GE801" i="94"/>
  <c r="GD801" i="94"/>
  <c r="GC801" i="94"/>
  <c r="GB801" i="94"/>
  <c r="GA801" i="94"/>
  <c r="FZ801" i="94"/>
  <c r="FY801" i="94"/>
  <c r="FX801" i="94"/>
  <c r="FW801" i="94"/>
  <c r="FV801" i="94"/>
  <c r="FU801" i="94"/>
  <c r="FT801" i="94"/>
  <c r="FS801" i="94"/>
  <c r="FR801" i="94"/>
  <c r="FQ801" i="94"/>
  <c r="FP801" i="94"/>
  <c r="FO801" i="94"/>
  <c r="FN801" i="94"/>
  <c r="FM801" i="94"/>
  <c r="FL801" i="94"/>
  <c r="FK801" i="94"/>
  <c r="FJ801" i="94"/>
  <c r="FI801" i="94"/>
  <c r="FH801" i="94"/>
  <c r="FG801" i="94"/>
  <c r="FF801" i="94"/>
  <c r="FE801" i="94"/>
  <c r="FD801" i="94"/>
  <c r="FC801" i="94"/>
  <c r="FB801" i="94"/>
  <c r="FA801" i="94"/>
  <c r="EZ801" i="94"/>
  <c r="EY801" i="94"/>
  <c r="EX801" i="94"/>
  <c r="EW801" i="94"/>
  <c r="EV801" i="94"/>
  <c r="EU801" i="94"/>
  <c r="ET801" i="94"/>
  <c r="ES801" i="94"/>
  <c r="ER801" i="94"/>
  <c r="EQ801" i="94"/>
  <c r="EP801" i="94"/>
  <c r="EO801" i="94"/>
  <c r="EN801" i="94"/>
  <c r="EM801" i="94"/>
  <c r="EL801" i="94"/>
  <c r="EK801" i="94"/>
  <c r="EJ801" i="94"/>
  <c r="EI801" i="94"/>
  <c r="EH801" i="94"/>
  <c r="EG801" i="94"/>
  <c r="EF801" i="94"/>
  <c r="EE801" i="94"/>
  <c r="ED801" i="94"/>
  <c r="EC801" i="94"/>
  <c r="EB801" i="94"/>
  <c r="EA801" i="94"/>
  <c r="DZ801" i="94"/>
  <c r="DY801" i="94"/>
  <c r="DX801" i="94"/>
  <c r="DW801" i="94"/>
  <c r="DV801" i="94"/>
  <c r="DU801" i="94"/>
  <c r="DT801" i="94"/>
  <c r="DS801" i="94"/>
  <c r="DR801" i="94"/>
  <c r="DQ801" i="94"/>
  <c r="DP801" i="94"/>
  <c r="DO801" i="94"/>
  <c r="DN801" i="94"/>
  <c r="DM801" i="94"/>
  <c r="DL801" i="94"/>
  <c r="DK801" i="94"/>
  <c r="DJ801" i="94"/>
  <c r="DI801" i="94"/>
  <c r="DH801" i="94"/>
  <c r="DG801" i="94"/>
  <c r="DF801" i="94"/>
  <c r="DE801" i="94"/>
  <c r="DD801" i="94"/>
  <c r="DC801" i="94"/>
  <c r="DB801" i="94"/>
  <c r="DA801" i="94"/>
  <c r="CZ801" i="94"/>
  <c r="CY801" i="94"/>
  <c r="CX801" i="94"/>
  <c r="CW801" i="94"/>
  <c r="CV801" i="94"/>
  <c r="CU801" i="94"/>
  <c r="CT801" i="94"/>
  <c r="CS801" i="94"/>
  <c r="CR801" i="94"/>
  <c r="CQ801" i="94"/>
  <c r="CP801" i="94"/>
  <c r="CO801" i="94"/>
  <c r="CN801" i="94"/>
  <c r="CM801" i="94"/>
  <c r="CL801" i="94"/>
  <c r="CK801" i="94"/>
  <c r="CJ801" i="94"/>
  <c r="CI801" i="94"/>
  <c r="CH801" i="94"/>
  <c r="CG801" i="94"/>
  <c r="CF801" i="94"/>
  <c r="CE801" i="94"/>
  <c r="CD801" i="94"/>
  <c r="CC801" i="94"/>
  <c r="CB801" i="94"/>
  <c r="CA801" i="94"/>
  <c r="BZ801" i="94"/>
  <c r="BY801" i="94"/>
  <c r="BX801" i="94"/>
  <c r="BW801" i="94"/>
  <c r="BV801" i="94"/>
  <c r="BU801" i="94"/>
  <c r="BT801" i="94"/>
  <c r="BS801" i="94"/>
  <c r="BR801" i="94"/>
  <c r="BQ801" i="94"/>
  <c r="BP801" i="94"/>
  <c r="BO801" i="94"/>
  <c r="BN801" i="94"/>
  <c r="BM801" i="94"/>
  <c r="BL801" i="94"/>
  <c r="BK801" i="94"/>
  <c r="BJ801" i="94"/>
  <c r="BI801" i="94"/>
  <c r="BH801" i="94"/>
  <c r="BG801" i="94"/>
  <c r="BF801" i="94"/>
  <c r="BE801" i="94"/>
  <c r="BD801" i="94"/>
  <c r="BC801" i="94"/>
  <c r="BB801" i="94"/>
  <c r="BA801" i="94"/>
  <c r="AZ801" i="94"/>
  <c r="AY801" i="94"/>
  <c r="AX801" i="94"/>
  <c r="AW801" i="94"/>
  <c r="AV801" i="94"/>
  <c r="AU801" i="94"/>
  <c r="AT801" i="94"/>
  <c r="AS801" i="94"/>
  <c r="AR801" i="94"/>
  <c r="AQ801" i="94"/>
  <c r="AP801" i="94"/>
  <c r="AO801" i="94"/>
  <c r="AN801" i="94"/>
  <c r="AM801" i="94"/>
  <c r="AL801" i="94"/>
  <c r="AK801" i="94"/>
  <c r="AJ801" i="94"/>
  <c r="AI801" i="94"/>
  <c r="AH801" i="94"/>
  <c r="AG801" i="94"/>
  <c r="AF801" i="94"/>
  <c r="AE801" i="94"/>
  <c r="AD801" i="94"/>
  <c r="AC801" i="94"/>
  <c r="AB801" i="94"/>
  <c r="AA801" i="94"/>
  <c r="Z801" i="94"/>
  <c r="Y801" i="94"/>
  <c r="X801" i="94"/>
  <c r="ND800" i="94"/>
  <c r="NC800" i="94"/>
  <c r="NB800" i="94"/>
  <c r="NA800" i="94"/>
  <c r="MZ800" i="94"/>
  <c r="MO800" i="94"/>
  <c r="MN800" i="94"/>
  <c r="MM800" i="94"/>
  <c r="ML800" i="94"/>
  <c r="MK800" i="94"/>
  <c r="MJ800" i="94"/>
  <c r="MI800" i="94"/>
  <c r="MH800" i="94"/>
  <c r="MG800" i="94"/>
  <c r="MF800" i="94"/>
  <c r="ME800" i="94"/>
  <c r="MD800" i="94"/>
  <c r="MC800" i="94"/>
  <c r="MB800" i="94"/>
  <c r="MA800" i="94"/>
  <c r="LZ800" i="94"/>
  <c r="LY800" i="94"/>
  <c r="LX800" i="94"/>
  <c r="LW800" i="94"/>
  <c r="LV800" i="94"/>
  <c r="LU800" i="94"/>
  <c r="LT800" i="94"/>
  <c r="LS800" i="94"/>
  <c r="LR800" i="94"/>
  <c r="LQ800" i="94"/>
  <c r="LP800" i="94"/>
  <c r="LO800" i="94"/>
  <c r="LN800" i="94"/>
  <c r="LM800" i="94"/>
  <c r="LL800" i="94"/>
  <c r="LK800" i="94"/>
  <c r="LJ800" i="94"/>
  <c r="LI800" i="94"/>
  <c r="LH800" i="94"/>
  <c r="LG800" i="94"/>
  <c r="LF800" i="94"/>
  <c r="LE800" i="94"/>
  <c r="LD800" i="94"/>
  <c r="LC800" i="94"/>
  <c r="LB800" i="94"/>
  <c r="LA800" i="94"/>
  <c r="KZ800" i="94"/>
  <c r="KY800" i="94"/>
  <c r="KX800" i="94"/>
  <c r="KW800" i="94"/>
  <c r="KV800" i="94"/>
  <c r="KU800" i="94"/>
  <c r="KT800" i="94"/>
  <c r="KS800" i="94"/>
  <c r="KR800" i="94"/>
  <c r="KQ800" i="94"/>
  <c r="KP800" i="94"/>
  <c r="KO800" i="94"/>
  <c r="KN800" i="94"/>
  <c r="KM800" i="94"/>
  <c r="KL800" i="94"/>
  <c r="KK800" i="94"/>
  <c r="KJ800" i="94"/>
  <c r="KI800" i="94"/>
  <c r="KH800" i="94"/>
  <c r="KG800" i="94"/>
  <c r="KF800" i="94"/>
  <c r="KE800" i="94"/>
  <c r="KD800" i="94"/>
  <c r="KC800" i="94"/>
  <c r="KB800" i="94"/>
  <c r="KA800" i="94"/>
  <c r="JZ800" i="94"/>
  <c r="JY800" i="94"/>
  <c r="JX800" i="94"/>
  <c r="JW800" i="94"/>
  <c r="JV800" i="94"/>
  <c r="JU800" i="94"/>
  <c r="JT800" i="94"/>
  <c r="JS800" i="94"/>
  <c r="JR800" i="94"/>
  <c r="JQ800" i="94"/>
  <c r="JP800" i="94"/>
  <c r="JO800" i="94"/>
  <c r="JN800" i="94"/>
  <c r="JM800" i="94"/>
  <c r="JL800" i="94"/>
  <c r="JK800" i="94"/>
  <c r="JJ800" i="94"/>
  <c r="JI800" i="94"/>
  <c r="JH800" i="94"/>
  <c r="JG800" i="94"/>
  <c r="JF800" i="94"/>
  <c r="JE800" i="94"/>
  <c r="JD800" i="94"/>
  <c r="JC800" i="94"/>
  <c r="JB800" i="94"/>
  <c r="JA800" i="94"/>
  <c r="IZ800" i="94"/>
  <c r="IY800" i="94"/>
  <c r="IX800" i="94"/>
  <c r="IW800" i="94"/>
  <c r="IV800" i="94"/>
  <c r="IU800" i="94"/>
  <c r="IT800" i="94"/>
  <c r="IS800" i="94"/>
  <c r="IR800" i="94"/>
  <c r="IQ800" i="94"/>
  <c r="IP800" i="94"/>
  <c r="IO800" i="94"/>
  <c r="IN800" i="94"/>
  <c r="IM800" i="94"/>
  <c r="IL800" i="94"/>
  <c r="IK800" i="94"/>
  <c r="IJ800" i="94"/>
  <c r="II800" i="94"/>
  <c r="IH800" i="94"/>
  <c r="IG800" i="94"/>
  <c r="IF800" i="94"/>
  <c r="IE800" i="94"/>
  <c r="ID800" i="94"/>
  <c r="IC800" i="94"/>
  <c r="IB800" i="94"/>
  <c r="IA800" i="94"/>
  <c r="HZ800" i="94"/>
  <c r="HY800" i="94"/>
  <c r="HX800" i="94"/>
  <c r="HW800" i="94"/>
  <c r="HV800" i="94"/>
  <c r="HU800" i="94"/>
  <c r="HT800" i="94"/>
  <c r="HS800" i="94"/>
  <c r="HR800" i="94"/>
  <c r="HQ800" i="94"/>
  <c r="HP800" i="94"/>
  <c r="HO800" i="94"/>
  <c r="HN800" i="94"/>
  <c r="HM800" i="94"/>
  <c r="HL800" i="94"/>
  <c r="HK800" i="94"/>
  <c r="HJ800" i="94"/>
  <c r="HI800" i="94"/>
  <c r="HH800" i="94"/>
  <c r="HG800" i="94"/>
  <c r="HF800" i="94"/>
  <c r="HE800" i="94"/>
  <c r="HD800" i="94"/>
  <c r="HC800" i="94"/>
  <c r="HB800" i="94"/>
  <c r="HA800" i="94"/>
  <c r="GZ800" i="94"/>
  <c r="GY800" i="94"/>
  <c r="GX800" i="94"/>
  <c r="GW800" i="94"/>
  <c r="GV800" i="94"/>
  <c r="GU800" i="94"/>
  <c r="GT800" i="94"/>
  <c r="GS800" i="94"/>
  <c r="GR800" i="94"/>
  <c r="GQ800" i="94"/>
  <c r="GP800" i="94"/>
  <c r="GO800" i="94"/>
  <c r="GN800" i="94"/>
  <c r="GM800" i="94"/>
  <c r="GL800" i="94"/>
  <c r="GK800" i="94"/>
  <c r="GJ800" i="94"/>
  <c r="GI800" i="94"/>
  <c r="GH800" i="94"/>
  <c r="GG800" i="94"/>
  <c r="GF800" i="94"/>
  <c r="GE800" i="94"/>
  <c r="GD800" i="94"/>
  <c r="GC800" i="94"/>
  <c r="GB800" i="94"/>
  <c r="GA800" i="94"/>
  <c r="FZ800" i="94"/>
  <c r="FY800" i="94"/>
  <c r="FX800" i="94"/>
  <c r="FW800" i="94"/>
  <c r="FV800" i="94"/>
  <c r="FU800" i="94"/>
  <c r="FT800" i="94"/>
  <c r="FS800" i="94"/>
  <c r="FR800" i="94"/>
  <c r="FQ800" i="94"/>
  <c r="FP800" i="94"/>
  <c r="FO800" i="94"/>
  <c r="FN800" i="94"/>
  <c r="FM800" i="94"/>
  <c r="FL800" i="94"/>
  <c r="FK800" i="94"/>
  <c r="FJ800" i="94"/>
  <c r="FI800" i="94"/>
  <c r="FH800" i="94"/>
  <c r="FG800" i="94"/>
  <c r="FF800" i="94"/>
  <c r="FE800" i="94"/>
  <c r="FD800" i="94"/>
  <c r="FC800" i="94"/>
  <c r="FB800" i="94"/>
  <c r="FA800" i="94"/>
  <c r="EZ800" i="94"/>
  <c r="EY800" i="94"/>
  <c r="EX800" i="94"/>
  <c r="EW800" i="94"/>
  <c r="EV800" i="94"/>
  <c r="EU800" i="94"/>
  <c r="ET800" i="94"/>
  <c r="ES800" i="94"/>
  <c r="ER800" i="94"/>
  <c r="EQ800" i="94"/>
  <c r="EP800" i="94"/>
  <c r="EO800" i="94"/>
  <c r="EN800" i="94"/>
  <c r="EM800" i="94"/>
  <c r="EL800" i="94"/>
  <c r="EK800" i="94"/>
  <c r="EJ800" i="94"/>
  <c r="EI800" i="94"/>
  <c r="EH800" i="94"/>
  <c r="EG800" i="94"/>
  <c r="EF800" i="94"/>
  <c r="EE800" i="94"/>
  <c r="ED800" i="94"/>
  <c r="EC800" i="94"/>
  <c r="EB800" i="94"/>
  <c r="EA800" i="94"/>
  <c r="DZ800" i="94"/>
  <c r="DY800" i="94"/>
  <c r="DX800" i="94"/>
  <c r="DW800" i="94"/>
  <c r="DV800" i="94"/>
  <c r="DU800" i="94"/>
  <c r="DT800" i="94"/>
  <c r="DS800" i="94"/>
  <c r="DR800" i="94"/>
  <c r="DQ800" i="94"/>
  <c r="DP800" i="94"/>
  <c r="DO800" i="94"/>
  <c r="DN800" i="94"/>
  <c r="DM800" i="94"/>
  <c r="DL800" i="94"/>
  <c r="DK800" i="94"/>
  <c r="DJ800" i="94"/>
  <c r="DI800" i="94"/>
  <c r="DH800" i="94"/>
  <c r="DG800" i="94"/>
  <c r="DF800" i="94"/>
  <c r="DE800" i="94"/>
  <c r="DD800" i="94"/>
  <c r="DC800" i="94"/>
  <c r="DB800" i="94"/>
  <c r="DA800" i="94"/>
  <c r="CZ800" i="94"/>
  <c r="CY800" i="94"/>
  <c r="CX800" i="94"/>
  <c r="CW800" i="94"/>
  <c r="CV800" i="94"/>
  <c r="CU800" i="94"/>
  <c r="CT800" i="94"/>
  <c r="CS800" i="94"/>
  <c r="CR800" i="94"/>
  <c r="CQ800" i="94"/>
  <c r="CP800" i="94"/>
  <c r="CO800" i="94"/>
  <c r="CN800" i="94"/>
  <c r="CM800" i="94"/>
  <c r="CL800" i="94"/>
  <c r="CK800" i="94"/>
  <c r="CJ800" i="94"/>
  <c r="CI800" i="94"/>
  <c r="CH800" i="94"/>
  <c r="CG800" i="94"/>
  <c r="CF800" i="94"/>
  <c r="CE800" i="94"/>
  <c r="CD800" i="94"/>
  <c r="CC800" i="94"/>
  <c r="CB800" i="94"/>
  <c r="CA800" i="94"/>
  <c r="BZ800" i="94"/>
  <c r="BY800" i="94"/>
  <c r="BX800" i="94"/>
  <c r="BW800" i="94"/>
  <c r="BV800" i="94"/>
  <c r="BU800" i="94"/>
  <c r="BT800" i="94"/>
  <c r="BS800" i="94"/>
  <c r="BR800" i="94"/>
  <c r="BQ800" i="94"/>
  <c r="BP800" i="94"/>
  <c r="BO800" i="94"/>
  <c r="BN800" i="94"/>
  <c r="BM800" i="94"/>
  <c r="BL800" i="94"/>
  <c r="BK800" i="94"/>
  <c r="BJ800" i="94"/>
  <c r="BI800" i="94"/>
  <c r="BH800" i="94"/>
  <c r="BG800" i="94"/>
  <c r="BF800" i="94"/>
  <c r="BE800" i="94"/>
  <c r="BD800" i="94"/>
  <c r="BC800" i="94"/>
  <c r="BB800" i="94"/>
  <c r="BA800" i="94"/>
  <c r="AZ800" i="94"/>
  <c r="AY800" i="94"/>
  <c r="AX800" i="94"/>
  <c r="AW800" i="94"/>
  <c r="AV800" i="94"/>
  <c r="AU800" i="94"/>
  <c r="AT800" i="94"/>
  <c r="AS800" i="94"/>
  <c r="AR800" i="94"/>
  <c r="AQ800" i="94"/>
  <c r="AP800" i="94"/>
  <c r="AO800" i="94"/>
  <c r="AN800" i="94"/>
  <c r="AM800" i="94"/>
  <c r="AL800" i="94"/>
  <c r="AK800" i="94"/>
  <c r="AJ800" i="94"/>
  <c r="AI800" i="94"/>
  <c r="AH800" i="94"/>
  <c r="AG800" i="94"/>
  <c r="AF800" i="94"/>
  <c r="AE800" i="94"/>
  <c r="AD800" i="94"/>
  <c r="AC800" i="94"/>
  <c r="AB800" i="94"/>
  <c r="AA800" i="94"/>
  <c r="Z800" i="94"/>
  <c r="Y800" i="94"/>
  <c r="X800" i="94"/>
  <c r="LZ799" i="94"/>
  <c r="LY799" i="94"/>
  <c r="LX799" i="94"/>
  <c r="LW799" i="94"/>
  <c r="LV799" i="94"/>
  <c r="LU799" i="94"/>
  <c r="LT799" i="94"/>
  <c r="LS799" i="94"/>
  <c r="LR799" i="94"/>
  <c r="LQ799" i="94"/>
  <c r="HZ799" i="94"/>
  <c r="GF799" i="94"/>
  <c r="GE799" i="94"/>
  <c r="GD799" i="94"/>
  <c r="GC799" i="94"/>
  <c r="GB799" i="94"/>
  <c r="FV799" i="94"/>
  <c r="FU799" i="94"/>
  <c r="FT799" i="94"/>
  <c r="FS799" i="94"/>
  <c r="FR799" i="94"/>
  <c r="FQ799" i="94"/>
  <c r="FP799" i="94"/>
  <c r="FO799" i="94"/>
  <c r="FN799" i="94"/>
  <c r="FM799" i="94"/>
  <c r="FL799" i="94"/>
  <c r="FK799" i="94"/>
  <c r="FJ799" i="94"/>
  <c r="FI799" i="94"/>
  <c r="FH799" i="94"/>
  <c r="FG799" i="94"/>
  <c r="FF799" i="94"/>
  <c r="FE799" i="94"/>
  <c r="FD799" i="94"/>
  <c r="FC799" i="94"/>
  <c r="FB799" i="94"/>
  <c r="FA799" i="94"/>
  <c r="EZ799" i="94"/>
  <c r="EY799" i="94"/>
  <c r="EX799" i="94"/>
  <c r="EW799" i="94"/>
  <c r="EV799" i="94"/>
  <c r="EU799" i="94"/>
  <c r="ET799" i="94"/>
  <c r="ES799" i="94"/>
  <c r="ER799" i="94"/>
  <c r="EQ799" i="94"/>
  <c r="EP799" i="94"/>
  <c r="EO799" i="94"/>
  <c r="EN799" i="94"/>
  <c r="EM799" i="94"/>
  <c r="EL799" i="94"/>
  <c r="EK799" i="94"/>
  <c r="EJ799" i="94"/>
  <c r="EI799" i="94"/>
  <c r="EH799" i="94"/>
  <c r="EG799" i="94"/>
  <c r="EF799" i="94"/>
  <c r="EE799" i="94"/>
  <c r="ED799" i="94"/>
  <c r="DC799" i="94"/>
  <c r="BK799" i="94"/>
  <c r="BJ799" i="94"/>
  <c r="BI799" i="94"/>
  <c r="BH799" i="94"/>
  <c r="BG799" i="94"/>
  <c r="BF799" i="94"/>
  <c r="BE799" i="94"/>
  <c r="BD799" i="94"/>
  <c r="BC799" i="94"/>
  <c r="BB799" i="94"/>
  <c r="BA799" i="94"/>
  <c r="AZ799" i="94"/>
  <c r="AY799" i="94"/>
  <c r="AX799" i="94"/>
  <c r="AW799" i="94"/>
  <c r="AV799" i="94"/>
  <c r="AU799" i="94"/>
  <c r="AT799" i="94"/>
  <c r="AS799" i="94"/>
  <c r="AR799" i="94"/>
  <c r="AQ799" i="94"/>
  <c r="AP799" i="94"/>
  <c r="AO799" i="94"/>
  <c r="AN799" i="94"/>
  <c r="AM799" i="94"/>
  <c r="AL799" i="94"/>
  <c r="AK799" i="94"/>
  <c r="AJ799" i="94"/>
  <c r="AI799" i="94"/>
  <c r="AH799" i="94"/>
  <c r="AG799" i="94"/>
  <c r="AF799" i="94"/>
  <c r="AE799" i="94"/>
  <c r="AD799" i="94"/>
  <c r="AC799" i="94"/>
  <c r="AB799" i="94"/>
  <c r="AA799" i="94"/>
  <c r="Z799" i="94"/>
  <c r="Y799" i="94"/>
  <c r="X799" i="94"/>
  <c r="ND798" i="94"/>
  <c r="NC798" i="94"/>
  <c r="NB798" i="94"/>
  <c r="NA798" i="94"/>
  <c r="MZ798" i="94"/>
  <c r="MO798" i="94"/>
  <c r="MN798" i="94"/>
  <c r="MM798" i="94"/>
  <c r="ML798" i="94"/>
  <c r="MK798" i="94"/>
  <c r="MJ798" i="94"/>
  <c r="MI798" i="94"/>
  <c r="MH798" i="94"/>
  <c r="MG798" i="94"/>
  <c r="MF798" i="94"/>
  <c r="ME798" i="94"/>
  <c r="MD798" i="94"/>
  <c r="MC798" i="94"/>
  <c r="MB798" i="94"/>
  <c r="MA798" i="94"/>
  <c r="LZ798" i="94"/>
  <c r="LY798" i="94"/>
  <c r="LX798" i="94"/>
  <c r="LW798" i="94"/>
  <c r="LV798" i="94"/>
  <c r="LU798" i="94"/>
  <c r="LT798" i="94"/>
  <c r="LS798" i="94"/>
  <c r="LR798" i="94"/>
  <c r="LQ798" i="94"/>
  <c r="LP798" i="94"/>
  <c r="LO798" i="94"/>
  <c r="LN798" i="94"/>
  <c r="LM798" i="94"/>
  <c r="LL798" i="94"/>
  <c r="LK798" i="94"/>
  <c r="LJ798" i="94"/>
  <c r="LI798" i="94"/>
  <c r="LH798" i="94"/>
  <c r="LG798" i="94"/>
  <c r="LF798" i="94"/>
  <c r="LE798" i="94"/>
  <c r="LD798" i="94"/>
  <c r="LC798" i="94"/>
  <c r="LB798" i="94"/>
  <c r="LA798" i="94"/>
  <c r="KZ798" i="94"/>
  <c r="KY798" i="94"/>
  <c r="KX798" i="94"/>
  <c r="KW798" i="94"/>
  <c r="KV798" i="94"/>
  <c r="KU798" i="94"/>
  <c r="KT798" i="94"/>
  <c r="KS798" i="94"/>
  <c r="KR798" i="94"/>
  <c r="KQ798" i="94"/>
  <c r="KP798" i="94"/>
  <c r="KO798" i="94"/>
  <c r="KN798" i="94"/>
  <c r="KM798" i="94"/>
  <c r="KL798" i="94"/>
  <c r="KK798" i="94"/>
  <c r="KJ798" i="94"/>
  <c r="KI798" i="94"/>
  <c r="KH798" i="94"/>
  <c r="KG798" i="94"/>
  <c r="KF798" i="94"/>
  <c r="KE798" i="94"/>
  <c r="KD798" i="94"/>
  <c r="KC798" i="94"/>
  <c r="KB798" i="94"/>
  <c r="KA798" i="94"/>
  <c r="JZ798" i="94"/>
  <c r="JY798" i="94"/>
  <c r="JX798" i="94"/>
  <c r="JW798" i="94"/>
  <c r="JV798" i="94"/>
  <c r="JU798" i="94"/>
  <c r="JT798" i="94"/>
  <c r="JS798" i="94"/>
  <c r="JR798" i="94"/>
  <c r="JQ798" i="94"/>
  <c r="JP798" i="94"/>
  <c r="JO798" i="94"/>
  <c r="JN798" i="94"/>
  <c r="JM798" i="94"/>
  <c r="JL798" i="94"/>
  <c r="JK798" i="94"/>
  <c r="JJ798" i="94"/>
  <c r="JI798" i="94"/>
  <c r="JH798" i="94"/>
  <c r="JG798" i="94"/>
  <c r="JF798" i="94"/>
  <c r="JE798" i="94"/>
  <c r="JD798" i="94"/>
  <c r="JC798" i="94"/>
  <c r="JB798" i="94"/>
  <c r="JA798" i="94"/>
  <c r="IZ798" i="94"/>
  <c r="IY798" i="94"/>
  <c r="IX798" i="94"/>
  <c r="IW798" i="94"/>
  <c r="IV798" i="94"/>
  <c r="IU798" i="94"/>
  <c r="IT798" i="94"/>
  <c r="IS798" i="94"/>
  <c r="IR798" i="94"/>
  <c r="IQ798" i="94"/>
  <c r="IP798" i="94"/>
  <c r="IO798" i="94"/>
  <c r="IN798" i="94"/>
  <c r="IM798" i="94"/>
  <c r="IL798" i="94"/>
  <c r="IK798" i="94"/>
  <c r="IJ798" i="94"/>
  <c r="II798" i="94"/>
  <c r="IH798" i="94"/>
  <c r="IG798" i="94"/>
  <c r="IF798" i="94"/>
  <c r="IE798" i="94"/>
  <c r="ID798" i="94"/>
  <c r="IC798" i="94"/>
  <c r="IB798" i="94"/>
  <c r="IA798" i="94"/>
  <c r="HZ798" i="94"/>
  <c r="HY798" i="94"/>
  <c r="HX798" i="94"/>
  <c r="HW798" i="94"/>
  <c r="HV798" i="94"/>
  <c r="HU798" i="94"/>
  <c r="HT798" i="94"/>
  <c r="HS798" i="94"/>
  <c r="HR798" i="94"/>
  <c r="HQ798" i="94"/>
  <c r="HP798" i="94"/>
  <c r="HO798" i="94"/>
  <c r="HN798" i="94"/>
  <c r="HM798" i="94"/>
  <c r="HL798" i="94"/>
  <c r="HK798" i="94"/>
  <c r="HJ798" i="94"/>
  <c r="HI798" i="94"/>
  <c r="HH798" i="94"/>
  <c r="HG798" i="94"/>
  <c r="HF798" i="94"/>
  <c r="HE798" i="94"/>
  <c r="HD798" i="94"/>
  <c r="HC798" i="94"/>
  <c r="HB798" i="94"/>
  <c r="HA798" i="94"/>
  <c r="GZ798" i="94"/>
  <c r="GY798" i="94"/>
  <c r="GX798" i="94"/>
  <c r="GW798" i="94"/>
  <c r="GV798" i="94"/>
  <c r="GU798" i="94"/>
  <c r="GT798" i="94"/>
  <c r="GS798" i="94"/>
  <c r="GR798" i="94"/>
  <c r="GQ798" i="94"/>
  <c r="GP798" i="94"/>
  <c r="GO798" i="94"/>
  <c r="GN798" i="94"/>
  <c r="GM798" i="94"/>
  <c r="GL798" i="94"/>
  <c r="GK798" i="94"/>
  <c r="GJ798" i="94"/>
  <c r="GI798" i="94"/>
  <c r="GH798" i="94"/>
  <c r="GG798" i="94"/>
  <c r="GF798" i="94"/>
  <c r="GE798" i="94"/>
  <c r="GD798" i="94"/>
  <c r="GC798" i="94"/>
  <c r="GB798" i="94"/>
  <c r="FV798" i="94"/>
  <c r="FU798" i="94"/>
  <c r="FT798" i="94"/>
  <c r="FS798" i="94"/>
  <c r="FR798" i="94"/>
  <c r="FQ798" i="94"/>
  <c r="FP798" i="94"/>
  <c r="FO798" i="94"/>
  <c r="FN798" i="94"/>
  <c r="FM798" i="94"/>
  <c r="FL798" i="94"/>
  <c r="FK798" i="94"/>
  <c r="FJ798" i="94"/>
  <c r="FI798" i="94"/>
  <c r="FH798" i="94"/>
  <c r="FG798" i="94"/>
  <c r="FF798" i="94"/>
  <c r="FE798" i="94"/>
  <c r="FD798" i="94"/>
  <c r="FC798" i="94"/>
  <c r="FB798" i="94"/>
  <c r="FA798" i="94"/>
  <c r="EZ798" i="94"/>
  <c r="EY798" i="94"/>
  <c r="EX798" i="94"/>
  <c r="EW798" i="94"/>
  <c r="EV798" i="94"/>
  <c r="EU798" i="94"/>
  <c r="ET798" i="94"/>
  <c r="ES798" i="94"/>
  <c r="ER798" i="94"/>
  <c r="EQ798" i="94"/>
  <c r="EP798" i="94"/>
  <c r="EO798" i="94"/>
  <c r="EN798" i="94"/>
  <c r="EM798" i="94"/>
  <c r="EL798" i="94"/>
  <c r="EK798" i="94"/>
  <c r="EJ798" i="94"/>
  <c r="EI798" i="94"/>
  <c r="EH798" i="94"/>
  <c r="EG798" i="94"/>
  <c r="EF798" i="94"/>
  <c r="EE798" i="94"/>
  <c r="ED798" i="94"/>
  <c r="BK798" i="94"/>
  <c r="BJ798" i="94"/>
  <c r="BI798" i="94"/>
  <c r="BH798" i="94"/>
  <c r="BG798" i="94"/>
  <c r="BF798" i="94"/>
  <c r="BE798" i="94"/>
  <c r="BD798" i="94"/>
  <c r="BC798" i="94"/>
  <c r="BB798" i="94"/>
  <c r="BA798" i="94"/>
  <c r="AZ798" i="94"/>
  <c r="AY798" i="94"/>
  <c r="AX798" i="94"/>
  <c r="AW798" i="94"/>
  <c r="AV798" i="94"/>
  <c r="AU798" i="94"/>
  <c r="AT798" i="94"/>
  <c r="AS798" i="94"/>
  <c r="AR798" i="94"/>
  <c r="AQ798" i="94"/>
  <c r="AP798" i="94"/>
  <c r="AO798" i="94"/>
  <c r="AN798" i="94"/>
  <c r="AM798" i="94"/>
  <c r="AL798" i="94"/>
  <c r="AK798" i="94"/>
  <c r="AJ798" i="94"/>
  <c r="AI798" i="94"/>
  <c r="AH798" i="94"/>
  <c r="AG798" i="94"/>
  <c r="AF798" i="94"/>
  <c r="AE798" i="94"/>
  <c r="AD798" i="94"/>
  <c r="AC798" i="94"/>
  <c r="AB798" i="94"/>
  <c r="AA798" i="94"/>
  <c r="Z798" i="94"/>
  <c r="Y798" i="94"/>
  <c r="X798" i="94"/>
  <c r="LZ797" i="94"/>
  <c r="LY797" i="94"/>
  <c r="LX797" i="94"/>
  <c r="LW797" i="94"/>
  <c r="LV797" i="94"/>
  <c r="LU797" i="94"/>
  <c r="LT797" i="94"/>
  <c r="LS797" i="94"/>
  <c r="LR797" i="94"/>
  <c r="LQ797" i="94"/>
  <c r="ID797" i="94"/>
  <c r="GF797" i="94"/>
  <c r="GE797" i="94"/>
  <c r="GD797" i="94"/>
  <c r="GC797" i="94"/>
  <c r="GB797" i="94"/>
  <c r="FZ797" i="94"/>
  <c r="FV797" i="94"/>
  <c r="FU797" i="94"/>
  <c r="FT797" i="94"/>
  <c r="FS797" i="94"/>
  <c r="FR797" i="94"/>
  <c r="FQ797" i="94"/>
  <c r="FP797" i="94"/>
  <c r="FO797" i="94"/>
  <c r="FN797" i="94"/>
  <c r="FM797" i="94"/>
  <c r="FL797" i="94"/>
  <c r="FK797" i="94"/>
  <c r="FJ797" i="94"/>
  <c r="FI797" i="94"/>
  <c r="FH797" i="94"/>
  <c r="FG797" i="94"/>
  <c r="FF797" i="94"/>
  <c r="FE797" i="94"/>
  <c r="FD797" i="94"/>
  <c r="FC797" i="94"/>
  <c r="FB797" i="94"/>
  <c r="FA797" i="94"/>
  <c r="EZ797" i="94"/>
  <c r="EY797" i="94"/>
  <c r="EX797" i="94"/>
  <c r="EW797" i="94"/>
  <c r="EV797" i="94"/>
  <c r="EU797" i="94"/>
  <c r="ET797" i="94"/>
  <c r="ES797" i="94"/>
  <c r="ER797" i="94"/>
  <c r="EQ797" i="94"/>
  <c r="EP797" i="94"/>
  <c r="EO797" i="94"/>
  <c r="EN797" i="94"/>
  <c r="EM797" i="94"/>
  <c r="EL797" i="94"/>
  <c r="EK797" i="94"/>
  <c r="EJ797" i="94"/>
  <c r="EI797" i="94"/>
  <c r="EH797" i="94"/>
  <c r="EG797" i="94"/>
  <c r="EF797" i="94"/>
  <c r="EE797" i="94"/>
  <c r="ED797" i="94"/>
  <c r="DV797" i="94"/>
  <c r="DN797" i="94"/>
  <c r="DF797" i="94"/>
  <c r="CX797" i="94"/>
  <c r="CP797" i="94"/>
  <c r="CH797" i="94"/>
  <c r="BZ797" i="94"/>
  <c r="BR797" i="94"/>
  <c r="BK797" i="94"/>
  <c r="BJ797" i="94"/>
  <c r="BI797" i="94"/>
  <c r="BH797" i="94"/>
  <c r="BG797" i="94"/>
  <c r="BF797" i="94"/>
  <c r="BE797" i="94"/>
  <c r="BD797" i="94"/>
  <c r="BC797" i="94"/>
  <c r="BB797" i="94"/>
  <c r="BA797" i="94"/>
  <c r="AZ797" i="94"/>
  <c r="AY797" i="94"/>
  <c r="AX797" i="94"/>
  <c r="AW797" i="94"/>
  <c r="AV797" i="94"/>
  <c r="AU797" i="94"/>
  <c r="AT797" i="94"/>
  <c r="AS797" i="94"/>
  <c r="AR797" i="94"/>
  <c r="AQ797" i="94"/>
  <c r="AP797" i="94"/>
  <c r="AO797" i="94"/>
  <c r="AN797" i="94"/>
  <c r="AM797" i="94"/>
  <c r="AL797" i="94"/>
  <c r="AK797" i="94"/>
  <c r="AJ797" i="94"/>
  <c r="AI797" i="94"/>
  <c r="AH797" i="94"/>
  <c r="AG797" i="94"/>
  <c r="AF797" i="94"/>
  <c r="AE797" i="94"/>
  <c r="AD797" i="94"/>
  <c r="AC797" i="94"/>
  <c r="AB797" i="94"/>
  <c r="AA797" i="94"/>
  <c r="Z797" i="94"/>
  <c r="Y797" i="94"/>
  <c r="X797" i="94"/>
  <c r="ND796" i="94"/>
  <c r="NC796" i="94"/>
  <c r="NB796" i="94"/>
  <c r="NA796" i="94"/>
  <c r="MZ796" i="94"/>
  <c r="MO796" i="94"/>
  <c r="MN796" i="94"/>
  <c r="MM796" i="94"/>
  <c r="ML796" i="94"/>
  <c r="MK796" i="94"/>
  <c r="MJ796" i="94"/>
  <c r="MI796" i="94"/>
  <c r="MH796" i="94"/>
  <c r="MG796" i="94"/>
  <c r="MF796" i="94"/>
  <c r="ME796" i="94"/>
  <c r="MD796" i="94"/>
  <c r="MC796" i="94"/>
  <c r="MB796" i="94"/>
  <c r="MA796" i="94"/>
  <c r="LZ796" i="94"/>
  <c r="LY796" i="94"/>
  <c r="LX796" i="94"/>
  <c r="LW796" i="94"/>
  <c r="LV796" i="94"/>
  <c r="LU796" i="94"/>
  <c r="LT796" i="94"/>
  <c r="LS796" i="94"/>
  <c r="LR796" i="94"/>
  <c r="LQ796" i="94"/>
  <c r="LP796" i="94"/>
  <c r="LO796" i="94"/>
  <c r="LN796" i="94"/>
  <c r="LM796" i="94"/>
  <c r="LL796" i="94"/>
  <c r="LK796" i="94"/>
  <c r="LJ796" i="94"/>
  <c r="LI796" i="94"/>
  <c r="LH796" i="94"/>
  <c r="LG796" i="94"/>
  <c r="LF796" i="94"/>
  <c r="LE796" i="94"/>
  <c r="LD796" i="94"/>
  <c r="LC796" i="94"/>
  <c r="LB796" i="94"/>
  <c r="LA796" i="94"/>
  <c r="KZ796" i="94"/>
  <c r="KY796" i="94"/>
  <c r="KX796" i="94"/>
  <c r="KW796" i="94"/>
  <c r="KV796" i="94"/>
  <c r="KU796" i="94"/>
  <c r="KT796" i="94"/>
  <c r="KS796" i="94"/>
  <c r="KR796" i="94"/>
  <c r="KQ796" i="94"/>
  <c r="KP796" i="94"/>
  <c r="KO796" i="94"/>
  <c r="KN796" i="94"/>
  <c r="KM796" i="94"/>
  <c r="KL796" i="94"/>
  <c r="KK796" i="94"/>
  <c r="KJ796" i="94"/>
  <c r="KI796" i="94"/>
  <c r="KH796" i="94"/>
  <c r="KG796" i="94"/>
  <c r="KF796" i="94"/>
  <c r="KE796" i="94"/>
  <c r="KD796" i="94"/>
  <c r="KC796" i="94"/>
  <c r="KB796" i="94"/>
  <c r="KA796" i="94"/>
  <c r="JZ796" i="94"/>
  <c r="JY796" i="94"/>
  <c r="JX796" i="94"/>
  <c r="JW796" i="94"/>
  <c r="JV796" i="94"/>
  <c r="JU796" i="94"/>
  <c r="JT796" i="94"/>
  <c r="JS796" i="94"/>
  <c r="JR796" i="94"/>
  <c r="JQ796" i="94"/>
  <c r="JP796" i="94"/>
  <c r="JO796" i="94"/>
  <c r="JN796" i="94"/>
  <c r="JM796" i="94"/>
  <c r="JL796" i="94"/>
  <c r="JK796" i="94"/>
  <c r="JJ796" i="94"/>
  <c r="JI796" i="94"/>
  <c r="JH796" i="94"/>
  <c r="JG796" i="94"/>
  <c r="JF796" i="94"/>
  <c r="JE796" i="94"/>
  <c r="JD796" i="94"/>
  <c r="JC796" i="94"/>
  <c r="JB796" i="94"/>
  <c r="JA796" i="94"/>
  <c r="IZ796" i="94"/>
  <c r="IY796" i="94"/>
  <c r="IX796" i="94"/>
  <c r="IW796" i="94"/>
  <c r="IV796" i="94"/>
  <c r="IU796" i="94"/>
  <c r="IT796" i="94"/>
  <c r="IS796" i="94"/>
  <c r="IR796" i="94"/>
  <c r="IQ796" i="94"/>
  <c r="IP796" i="94"/>
  <c r="IO796" i="94"/>
  <c r="IN796" i="94"/>
  <c r="IM796" i="94"/>
  <c r="IL796" i="94"/>
  <c r="IK796" i="94"/>
  <c r="IJ796" i="94"/>
  <c r="II796" i="94"/>
  <c r="IH796" i="94"/>
  <c r="IG796" i="94"/>
  <c r="IF796" i="94"/>
  <c r="IE796" i="94"/>
  <c r="ID796" i="94"/>
  <c r="IC796" i="94"/>
  <c r="IB796" i="94"/>
  <c r="IA796" i="94"/>
  <c r="HZ796" i="94"/>
  <c r="HY796" i="94"/>
  <c r="HX796" i="94"/>
  <c r="HW796" i="94"/>
  <c r="HV796" i="94"/>
  <c r="HU796" i="94"/>
  <c r="HT796" i="94"/>
  <c r="HS796" i="94"/>
  <c r="HR796" i="94"/>
  <c r="HQ796" i="94"/>
  <c r="HP796" i="94"/>
  <c r="HO796" i="94"/>
  <c r="HN796" i="94"/>
  <c r="HM796" i="94"/>
  <c r="HL796" i="94"/>
  <c r="HK796" i="94"/>
  <c r="HJ796" i="94"/>
  <c r="HI796" i="94"/>
  <c r="HH796" i="94"/>
  <c r="HG796" i="94"/>
  <c r="HF796" i="94"/>
  <c r="HE796" i="94"/>
  <c r="HD796" i="94"/>
  <c r="HC796" i="94"/>
  <c r="HB796" i="94"/>
  <c r="HA796" i="94"/>
  <c r="GZ796" i="94"/>
  <c r="GY796" i="94"/>
  <c r="GX796" i="94"/>
  <c r="GW796" i="94"/>
  <c r="GV796" i="94"/>
  <c r="GU796" i="94"/>
  <c r="GT796" i="94"/>
  <c r="GS796" i="94"/>
  <c r="GR796" i="94"/>
  <c r="GQ796" i="94"/>
  <c r="GP796" i="94"/>
  <c r="GO796" i="94"/>
  <c r="GN796" i="94"/>
  <c r="GM796" i="94"/>
  <c r="GL796" i="94"/>
  <c r="GK796" i="94"/>
  <c r="GJ796" i="94"/>
  <c r="GI796" i="94"/>
  <c r="GH796" i="94"/>
  <c r="GG796" i="94"/>
  <c r="GF796" i="94"/>
  <c r="GE796" i="94"/>
  <c r="GD796" i="94"/>
  <c r="GC796" i="94"/>
  <c r="GB796" i="94"/>
  <c r="GA796" i="94"/>
  <c r="FZ796" i="94"/>
  <c r="FY796" i="94"/>
  <c r="FX796" i="94"/>
  <c r="FW796" i="94"/>
  <c r="FV796" i="94"/>
  <c r="FU796" i="94"/>
  <c r="FT796" i="94"/>
  <c r="FS796" i="94"/>
  <c r="FR796" i="94"/>
  <c r="FQ796" i="94"/>
  <c r="FP796" i="94"/>
  <c r="FO796" i="94"/>
  <c r="FN796" i="94"/>
  <c r="FM796" i="94"/>
  <c r="FL796" i="94"/>
  <c r="FK796" i="94"/>
  <c r="FJ796" i="94"/>
  <c r="FI796" i="94"/>
  <c r="FH796" i="94"/>
  <c r="FG796" i="94"/>
  <c r="FF796" i="94"/>
  <c r="FE796" i="94"/>
  <c r="FD796" i="94"/>
  <c r="FC796" i="94"/>
  <c r="FB796" i="94"/>
  <c r="FA796" i="94"/>
  <c r="EZ796" i="94"/>
  <c r="EY796" i="94"/>
  <c r="EX796" i="94"/>
  <c r="EW796" i="94"/>
  <c r="EV796" i="94"/>
  <c r="EU796" i="94"/>
  <c r="ET796" i="94"/>
  <c r="ES796" i="94"/>
  <c r="ER796" i="94"/>
  <c r="EQ796" i="94"/>
  <c r="EP796" i="94"/>
  <c r="EO796" i="94"/>
  <c r="EN796" i="94"/>
  <c r="EM796" i="94"/>
  <c r="EL796" i="94"/>
  <c r="EK796" i="94"/>
  <c r="EJ796" i="94"/>
  <c r="EI796" i="94"/>
  <c r="EH796" i="94"/>
  <c r="EG796" i="94"/>
  <c r="EF796" i="94"/>
  <c r="EE796" i="94"/>
  <c r="ED796" i="94"/>
  <c r="EC796" i="94"/>
  <c r="EB796" i="94"/>
  <c r="EA796" i="94"/>
  <c r="DZ796" i="94"/>
  <c r="DY796" i="94"/>
  <c r="DX796" i="94"/>
  <c r="DW796" i="94"/>
  <c r="DV796" i="94"/>
  <c r="DU796" i="94"/>
  <c r="DT796" i="94"/>
  <c r="DS796" i="94"/>
  <c r="DR796" i="94"/>
  <c r="DQ796" i="94"/>
  <c r="DP796" i="94"/>
  <c r="DO796" i="94"/>
  <c r="DN796" i="94"/>
  <c r="DM796" i="94"/>
  <c r="DL796" i="94"/>
  <c r="DK796" i="94"/>
  <c r="DJ796" i="94"/>
  <c r="DI796" i="94"/>
  <c r="DH796" i="94"/>
  <c r="DG796" i="94"/>
  <c r="DF796" i="94"/>
  <c r="DE796" i="94"/>
  <c r="DD796" i="94"/>
  <c r="DC796" i="94"/>
  <c r="DB796" i="94"/>
  <c r="DA796" i="94"/>
  <c r="CZ796" i="94"/>
  <c r="CY796" i="94"/>
  <c r="CX796" i="94"/>
  <c r="CW796" i="94"/>
  <c r="CV796" i="94"/>
  <c r="CU796" i="94"/>
  <c r="CT796" i="94"/>
  <c r="CS796" i="94"/>
  <c r="CR796" i="94"/>
  <c r="CQ796" i="94"/>
  <c r="CP796" i="94"/>
  <c r="CO796" i="94"/>
  <c r="CN796" i="94"/>
  <c r="CM796" i="94"/>
  <c r="CL796" i="94"/>
  <c r="CK796" i="94"/>
  <c r="CJ796" i="94"/>
  <c r="CI796" i="94"/>
  <c r="CH796" i="94"/>
  <c r="CG796" i="94"/>
  <c r="CF796" i="94"/>
  <c r="CE796" i="94"/>
  <c r="CD796" i="94"/>
  <c r="CC796" i="94"/>
  <c r="CB796" i="94"/>
  <c r="CA796" i="94"/>
  <c r="BZ796" i="94"/>
  <c r="BY796" i="94"/>
  <c r="BX796" i="94"/>
  <c r="BW796" i="94"/>
  <c r="BV796" i="94"/>
  <c r="BU796" i="94"/>
  <c r="BT796" i="94"/>
  <c r="BS796" i="94"/>
  <c r="BR796" i="94"/>
  <c r="BQ796" i="94"/>
  <c r="BP796" i="94"/>
  <c r="BO796" i="94"/>
  <c r="BN796" i="94"/>
  <c r="BM796" i="94"/>
  <c r="BL796" i="94"/>
  <c r="BK796" i="94"/>
  <c r="BJ796" i="94"/>
  <c r="BI796" i="94"/>
  <c r="BH796" i="94"/>
  <c r="BG796" i="94"/>
  <c r="BF796" i="94"/>
  <c r="BE796" i="94"/>
  <c r="BD796" i="94"/>
  <c r="BC796" i="94"/>
  <c r="BB796" i="94"/>
  <c r="BA796" i="94"/>
  <c r="AZ796" i="94"/>
  <c r="AY796" i="94"/>
  <c r="AX796" i="94"/>
  <c r="AW796" i="94"/>
  <c r="AV796" i="94"/>
  <c r="AU796" i="94"/>
  <c r="AT796" i="94"/>
  <c r="AS796" i="94"/>
  <c r="AR796" i="94"/>
  <c r="AQ796" i="94"/>
  <c r="AP796" i="94"/>
  <c r="AO796" i="94"/>
  <c r="AN796" i="94"/>
  <c r="AM796" i="94"/>
  <c r="AL796" i="94"/>
  <c r="AK796" i="94"/>
  <c r="AJ796" i="94"/>
  <c r="AI796" i="94"/>
  <c r="AH796" i="94"/>
  <c r="AG796" i="94"/>
  <c r="AF796" i="94"/>
  <c r="AE796" i="94"/>
  <c r="AD796" i="94"/>
  <c r="AC796" i="94"/>
  <c r="AB796" i="94"/>
  <c r="AA796" i="94"/>
  <c r="Z796" i="94"/>
  <c r="Y796" i="94"/>
  <c r="X796" i="94"/>
  <c r="LZ795" i="94"/>
  <c r="LY795" i="94"/>
  <c r="LX795" i="94"/>
  <c r="LW795" i="94"/>
  <c r="LV795" i="94"/>
  <c r="LU795" i="94"/>
  <c r="LT795" i="94"/>
  <c r="LS795" i="94"/>
  <c r="LR795" i="94"/>
  <c r="LQ795" i="94"/>
  <c r="IB795" i="94"/>
  <c r="GQ795" i="94"/>
  <c r="GF795" i="94"/>
  <c r="GE795" i="94"/>
  <c r="GD795" i="94"/>
  <c r="GC795" i="94"/>
  <c r="GB795" i="94"/>
  <c r="FV795" i="94"/>
  <c r="FU795" i="94"/>
  <c r="FT795" i="94"/>
  <c r="FS795" i="94"/>
  <c r="FR795" i="94"/>
  <c r="FQ795" i="94"/>
  <c r="FP795" i="94"/>
  <c r="FO795" i="94"/>
  <c r="FN795" i="94"/>
  <c r="FM795" i="94"/>
  <c r="FL795" i="94"/>
  <c r="FK795" i="94"/>
  <c r="FJ795" i="94"/>
  <c r="FI795" i="94"/>
  <c r="FH795" i="94"/>
  <c r="FG795" i="94"/>
  <c r="FF795" i="94"/>
  <c r="FE795" i="94"/>
  <c r="FD795" i="94"/>
  <c r="FC795" i="94"/>
  <c r="FB795" i="94"/>
  <c r="FA795" i="94"/>
  <c r="EZ795" i="94"/>
  <c r="EY795" i="94"/>
  <c r="EX795" i="94"/>
  <c r="EW795" i="94"/>
  <c r="EV795" i="94"/>
  <c r="EU795" i="94"/>
  <c r="ET795" i="94"/>
  <c r="ES795" i="94"/>
  <c r="ER795" i="94"/>
  <c r="EQ795" i="94"/>
  <c r="EP795" i="94"/>
  <c r="EO795" i="94"/>
  <c r="EN795" i="94"/>
  <c r="EM795" i="94"/>
  <c r="EL795" i="94"/>
  <c r="EK795" i="94"/>
  <c r="EJ795" i="94"/>
  <c r="EI795" i="94"/>
  <c r="EH795" i="94"/>
  <c r="EG795" i="94"/>
  <c r="EF795" i="94"/>
  <c r="EE795" i="94"/>
  <c r="ED795" i="94"/>
  <c r="DY795" i="94"/>
  <c r="DQ795" i="94"/>
  <c r="DI795" i="94"/>
  <c r="DA795" i="94"/>
  <c r="CS795" i="94"/>
  <c r="CK795" i="94"/>
  <c r="CC795" i="94"/>
  <c r="BU795" i="94"/>
  <c r="BM795" i="94"/>
  <c r="BK795" i="94"/>
  <c r="BJ795" i="94"/>
  <c r="BI795" i="94"/>
  <c r="BH795" i="94"/>
  <c r="BG795" i="94"/>
  <c r="BF795" i="94"/>
  <c r="BE795" i="94"/>
  <c r="BD795" i="94"/>
  <c r="BC795" i="94"/>
  <c r="BB795" i="94"/>
  <c r="BA795" i="94"/>
  <c r="AZ795" i="94"/>
  <c r="AY795" i="94"/>
  <c r="AX795" i="94"/>
  <c r="AW795" i="94"/>
  <c r="AV795" i="94"/>
  <c r="AU795" i="94"/>
  <c r="AT795" i="94"/>
  <c r="AS795" i="94"/>
  <c r="AR795" i="94"/>
  <c r="AQ795" i="94"/>
  <c r="AP795" i="94"/>
  <c r="AO795" i="94"/>
  <c r="AN795" i="94"/>
  <c r="AM795" i="94"/>
  <c r="AL795" i="94"/>
  <c r="AK795" i="94"/>
  <c r="AJ795" i="94"/>
  <c r="AI795" i="94"/>
  <c r="AH795" i="94"/>
  <c r="AG795" i="94"/>
  <c r="AF795" i="94"/>
  <c r="AE795" i="94"/>
  <c r="AD795" i="94"/>
  <c r="AC795" i="94"/>
  <c r="AB795" i="94"/>
  <c r="AA795" i="94"/>
  <c r="Z795" i="94"/>
  <c r="Y795" i="94"/>
  <c r="X795" i="94"/>
  <c r="ND794" i="94"/>
  <c r="NC794" i="94"/>
  <c r="NB794" i="94"/>
  <c r="NA794" i="94"/>
  <c r="MZ794" i="94"/>
  <c r="MN794" i="94"/>
  <c r="ML794" i="94"/>
  <c r="MH794" i="94"/>
  <c r="MF794" i="94"/>
  <c r="MD794" i="94"/>
  <c r="LZ794" i="94"/>
  <c r="LX794" i="94"/>
  <c r="LV794" i="94"/>
  <c r="LR794" i="94"/>
  <c r="LP794" i="94"/>
  <c r="LO794" i="94"/>
  <c r="LN794" i="94"/>
  <c r="LM794" i="94"/>
  <c r="LL794" i="94"/>
  <c r="LK794" i="94"/>
  <c r="LJ794" i="94"/>
  <c r="LI794" i="94"/>
  <c r="LH794" i="94"/>
  <c r="LG794" i="94"/>
  <c r="LF794" i="94"/>
  <c r="LE794" i="94"/>
  <c r="LD794" i="94"/>
  <c r="LC794" i="94"/>
  <c r="LB794" i="94"/>
  <c r="LA794" i="94"/>
  <c r="KZ794" i="94"/>
  <c r="KY794" i="94"/>
  <c r="KX794" i="94"/>
  <c r="KW794" i="94"/>
  <c r="KV794" i="94"/>
  <c r="KU794" i="94"/>
  <c r="KT794" i="94"/>
  <c r="KS794" i="94"/>
  <c r="KR794" i="94"/>
  <c r="KQ794" i="94"/>
  <c r="KP794" i="94"/>
  <c r="KO794" i="94"/>
  <c r="KN794" i="94"/>
  <c r="KM794" i="94"/>
  <c r="KL794" i="94"/>
  <c r="KK794" i="94"/>
  <c r="KJ794" i="94"/>
  <c r="KI794" i="94"/>
  <c r="KH794" i="94"/>
  <c r="KG794" i="94"/>
  <c r="KF794" i="94"/>
  <c r="KE794" i="94"/>
  <c r="KD794" i="94"/>
  <c r="KC794" i="94"/>
  <c r="KB794" i="94"/>
  <c r="KA794" i="94"/>
  <c r="JZ794" i="94"/>
  <c r="JY794" i="94"/>
  <c r="JX794" i="94"/>
  <c r="JW794" i="94"/>
  <c r="JV794" i="94"/>
  <c r="JU794" i="94"/>
  <c r="JT794" i="94"/>
  <c r="JS794" i="94"/>
  <c r="JR794" i="94"/>
  <c r="JQ794" i="94"/>
  <c r="JP794" i="94"/>
  <c r="JO794" i="94"/>
  <c r="JN794" i="94"/>
  <c r="JM794" i="94"/>
  <c r="JL794" i="94"/>
  <c r="JK794" i="94"/>
  <c r="JJ794" i="94"/>
  <c r="JI794" i="94"/>
  <c r="JH794" i="94"/>
  <c r="JG794" i="94"/>
  <c r="JF794" i="94"/>
  <c r="JE794" i="94"/>
  <c r="JD794" i="94"/>
  <c r="JC794" i="94"/>
  <c r="JB794" i="94"/>
  <c r="JA794" i="94"/>
  <c r="IZ794" i="94"/>
  <c r="IY794" i="94"/>
  <c r="IX794" i="94"/>
  <c r="IW794" i="94"/>
  <c r="IV794" i="94"/>
  <c r="IU794" i="94"/>
  <c r="IT794" i="94"/>
  <c r="IS794" i="94"/>
  <c r="IR794" i="94"/>
  <c r="IQ794" i="94"/>
  <c r="IP794" i="94"/>
  <c r="IO794" i="94"/>
  <c r="IN794" i="94"/>
  <c r="IM794" i="94"/>
  <c r="IL794" i="94"/>
  <c r="IK794" i="94"/>
  <c r="IJ794" i="94"/>
  <c r="II794" i="94"/>
  <c r="IH794" i="94"/>
  <c r="IG794" i="94"/>
  <c r="IF794" i="94"/>
  <c r="IE794" i="94"/>
  <c r="ID794" i="94"/>
  <c r="IC794" i="94"/>
  <c r="IB794" i="94"/>
  <c r="IA794" i="94"/>
  <c r="HZ794" i="94"/>
  <c r="HX794" i="94"/>
  <c r="HV794" i="94"/>
  <c r="HR794" i="94"/>
  <c r="HP794" i="94"/>
  <c r="HN794" i="94"/>
  <c r="HJ794" i="94"/>
  <c r="HH794" i="94"/>
  <c r="HF794" i="94"/>
  <c r="HB794" i="94"/>
  <c r="GZ794" i="94"/>
  <c r="GX794" i="94"/>
  <c r="GT794" i="94"/>
  <c r="GR794" i="94"/>
  <c r="GP794" i="94"/>
  <c r="GL794" i="94"/>
  <c r="GJ794" i="94"/>
  <c r="GH794" i="94"/>
  <c r="GF794" i="94"/>
  <c r="GE794" i="94"/>
  <c r="GD794" i="94"/>
  <c r="GC794" i="94"/>
  <c r="GB794" i="94"/>
  <c r="GA794" i="94"/>
  <c r="FZ794" i="94"/>
  <c r="FY794" i="94"/>
  <c r="FX794" i="94"/>
  <c r="FW794" i="94"/>
  <c r="FV794" i="94"/>
  <c r="FT794" i="94"/>
  <c r="FR794" i="94"/>
  <c r="FN794" i="94"/>
  <c r="FL794" i="94"/>
  <c r="FJ794" i="94"/>
  <c r="FF794" i="94"/>
  <c r="FD794" i="94"/>
  <c r="FB794" i="94"/>
  <c r="EX794" i="94"/>
  <c r="EV794" i="94"/>
  <c r="ET794" i="94"/>
  <c r="EP794" i="94"/>
  <c r="EN794" i="94"/>
  <c r="EL794" i="94"/>
  <c r="EH794" i="94"/>
  <c r="EG794" i="94"/>
  <c r="EF794" i="94"/>
  <c r="EE794" i="94"/>
  <c r="ED794" i="94"/>
  <c r="DZ794" i="94"/>
  <c r="DX794" i="94"/>
  <c r="DV794" i="94"/>
  <c r="DR794" i="94"/>
  <c r="DP794" i="94"/>
  <c r="DN794" i="94"/>
  <c r="DJ794" i="94"/>
  <c r="DH794" i="94"/>
  <c r="DF794" i="94"/>
  <c r="DB794" i="94"/>
  <c r="CZ794" i="94"/>
  <c r="CX794" i="94"/>
  <c r="CT794" i="94"/>
  <c r="CR794" i="94"/>
  <c r="CP794" i="94"/>
  <c r="CL794" i="94"/>
  <c r="CJ794" i="94"/>
  <c r="CH794" i="94"/>
  <c r="CD794" i="94"/>
  <c r="CB794" i="94"/>
  <c r="BZ794" i="94"/>
  <c r="BV794" i="94"/>
  <c r="BT794" i="94"/>
  <c r="BR794" i="94"/>
  <c r="BN794" i="94"/>
  <c r="BL794" i="94"/>
  <c r="BJ794" i="94"/>
  <c r="BF794" i="94"/>
  <c r="BD794" i="94"/>
  <c r="BB794" i="94"/>
  <c r="AX794" i="94"/>
  <c r="AV794" i="94"/>
  <c r="AT794" i="94"/>
  <c r="AP794" i="94"/>
  <c r="AN794" i="94"/>
  <c r="AL794" i="94"/>
  <c r="AH794" i="94"/>
  <c r="AF794" i="94"/>
  <c r="AD794" i="94"/>
  <c r="Z794" i="94"/>
  <c r="X794" i="94"/>
  <c r="LY793" i="94"/>
  <c r="LU793" i="94"/>
  <c r="LS793" i="94"/>
  <c r="LQ793" i="94"/>
  <c r="GF793" i="94"/>
  <c r="GE793" i="94"/>
  <c r="GD793" i="94"/>
  <c r="GC793" i="94"/>
  <c r="GB793" i="94"/>
  <c r="GA793" i="94"/>
  <c r="FZ793" i="94"/>
  <c r="FY793" i="94"/>
  <c r="FX793" i="94"/>
  <c r="FW793" i="94"/>
  <c r="FV793" i="94"/>
  <c r="FT793" i="94"/>
  <c r="FR793" i="94"/>
  <c r="FN793" i="94"/>
  <c r="FL793" i="94"/>
  <c r="FJ793" i="94"/>
  <c r="FF793" i="94"/>
  <c r="FD793" i="94"/>
  <c r="FB793" i="94"/>
  <c r="EX793" i="94"/>
  <c r="EV793" i="94"/>
  <c r="ET793" i="94"/>
  <c r="EP793" i="94"/>
  <c r="EN793" i="94"/>
  <c r="EL793" i="94"/>
  <c r="EH793" i="94"/>
  <c r="EG793" i="94"/>
  <c r="EF793" i="94"/>
  <c r="EE793" i="94"/>
  <c r="ED793" i="94"/>
  <c r="DZ793" i="94"/>
  <c r="DX793" i="94"/>
  <c r="DV793" i="94"/>
  <c r="DR793" i="94"/>
  <c r="DP793" i="94"/>
  <c r="DN793" i="94"/>
  <c r="DJ793" i="94"/>
  <c r="DH793" i="94"/>
  <c r="DF793" i="94"/>
  <c r="DB793" i="94"/>
  <c r="CZ793" i="94"/>
  <c r="CX793" i="94"/>
  <c r="CT793" i="94"/>
  <c r="CR793" i="94"/>
  <c r="CP793" i="94"/>
  <c r="CL793" i="94"/>
  <c r="CJ793" i="94"/>
  <c r="CH793" i="94"/>
  <c r="CD793" i="94"/>
  <c r="CB793" i="94"/>
  <c r="BZ793" i="94"/>
  <c r="BV793" i="94"/>
  <c r="BT793" i="94"/>
  <c r="BR793" i="94"/>
  <c r="BN793" i="94"/>
  <c r="BL793" i="94"/>
  <c r="BJ793" i="94"/>
  <c r="BF793" i="94"/>
  <c r="BD793" i="94"/>
  <c r="BB793" i="94"/>
  <c r="AX793" i="94"/>
  <c r="AV793" i="94"/>
  <c r="AT793" i="94"/>
  <c r="AP793" i="94"/>
  <c r="AN793" i="94"/>
  <c r="AL793" i="94"/>
  <c r="AH793" i="94"/>
  <c r="AF793" i="94"/>
  <c r="AD793" i="94"/>
  <c r="Z793" i="94"/>
  <c r="X793" i="94"/>
  <c r="ND792" i="94"/>
  <c r="NC792" i="94"/>
  <c r="NB792" i="94"/>
  <c r="NA792" i="94"/>
  <c r="MZ792" i="94"/>
  <c r="MO792" i="94"/>
  <c r="MM792" i="94"/>
  <c r="MK792" i="94"/>
  <c r="MG792" i="94"/>
  <c r="ME792" i="94"/>
  <c r="MC792" i="94"/>
  <c r="LY792" i="94"/>
  <c r="LW792" i="94"/>
  <c r="LU792" i="94"/>
  <c r="LQ792" i="94"/>
  <c r="LP792" i="94"/>
  <c r="LO792" i="94"/>
  <c r="LN792" i="94"/>
  <c r="LM792" i="94"/>
  <c r="LL792" i="94"/>
  <c r="LK792" i="94"/>
  <c r="LJ792" i="94"/>
  <c r="LI792" i="94"/>
  <c r="LH792" i="94"/>
  <c r="LG792" i="94"/>
  <c r="LF792" i="94"/>
  <c r="LE792" i="94"/>
  <c r="LD792" i="94"/>
  <c r="LC792" i="94"/>
  <c r="LB792" i="94"/>
  <c r="LA792" i="94"/>
  <c r="KZ792" i="94"/>
  <c r="KY792" i="94"/>
  <c r="KX792" i="94"/>
  <c r="KW792" i="94"/>
  <c r="KV792" i="94"/>
  <c r="KU792" i="94"/>
  <c r="KT792" i="94"/>
  <c r="KS792" i="94"/>
  <c r="KR792" i="94"/>
  <c r="KQ792" i="94"/>
  <c r="KP792" i="94"/>
  <c r="KO792" i="94"/>
  <c r="KN792" i="94"/>
  <c r="KM792" i="94"/>
  <c r="KL792" i="94"/>
  <c r="KK792" i="94"/>
  <c r="KJ792" i="94"/>
  <c r="KI792" i="94"/>
  <c r="KH792" i="94"/>
  <c r="KG792" i="94"/>
  <c r="KF792" i="94"/>
  <c r="KE792" i="94"/>
  <c r="KD792" i="94"/>
  <c r="KC792" i="94"/>
  <c r="KB792" i="94"/>
  <c r="KA792" i="94"/>
  <c r="JZ792" i="94"/>
  <c r="JY792" i="94"/>
  <c r="JX792" i="94"/>
  <c r="JW792" i="94"/>
  <c r="JV792" i="94"/>
  <c r="JU792" i="94"/>
  <c r="JT792" i="94"/>
  <c r="JS792" i="94"/>
  <c r="JR792" i="94"/>
  <c r="JQ792" i="94"/>
  <c r="JP792" i="94"/>
  <c r="JO792" i="94"/>
  <c r="JN792" i="94"/>
  <c r="JM792" i="94"/>
  <c r="JL792" i="94"/>
  <c r="JK792" i="94"/>
  <c r="JJ792" i="94"/>
  <c r="JI792" i="94"/>
  <c r="JH792" i="94"/>
  <c r="JG792" i="94"/>
  <c r="JF792" i="94"/>
  <c r="JE792" i="94"/>
  <c r="JD792" i="94"/>
  <c r="JC792" i="94"/>
  <c r="JB792" i="94"/>
  <c r="JA792" i="94"/>
  <c r="IZ792" i="94"/>
  <c r="IY792" i="94"/>
  <c r="IX792" i="94"/>
  <c r="IW792" i="94"/>
  <c r="IV792" i="94"/>
  <c r="IU792" i="94"/>
  <c r="IT792" i="94"/>
  <c r="IS792" i="94"/>
  <c r="IR792" i="94"/>
  <c r="IQ792" i="94"/>
  <c r="IP792" i="94"/>
  <c r="IO792" i="94"/>
  <c r="IN792" i="94"/>
  <c r="IM792" i="94"/>
  <c r="IL792" i="94"/>
  <c r="IK792" i="94"/>
  <c r="IJ792" i="94"/>
  <c r="II792" i="94"/>
  <c r="IH792" i="94"/>
  <c r="IG792" i="94"/>
  <c r="IF792" i="94"/>
  <c r="IE792" i="94"/>
  <c r="ID792" i="94"/>
  <c r="IC792" i="94"/>
  <c r="IB792" i="94"/>
  <c r="IA792" i="94"/>
  <c r="HZ792" i="94"/>
  <c r="HY792" i="94"/>
  <c r="HW792" i="94"/>
  <c r="HU792" i="94"/>
  <c r="HQ792" i="94"/>
  <c r="HO792" i="94"/>
  <c r="HM792" i="94"/>
  <c r="HI792" i="94"/>
  <c r="HG792" i="94"/>
  <c r="HE792" i="94"/>
  <c r="HA792" i="94"/>
  <c r="GY792" i="94"/>
  <c r="GW792" i="94"/>
  <c r="GS792" i="94"/>
  <c r="GQ792" i="94"/>
  <c r="GO792" i="94"/>
  <c r="GK792" i="94"/>
  <c r="GI792" i="94"/>
  <c r="GG792" i="94"/>
  <c r="GF792" i="94"/>
  <c r="GE792" i="94"/>
  <c r="GD792" i="94"/>
  <c r="GC792" i="94"/>
  <c r="GB792" i="94"/>
  <c r="GA792" i="94"/>
  <c r="FZ792" i="94"/>
  <c r="FY792" i="94"/>
  <c r="FX792" i="94"/>
  <c r="FW792" i="94"/>
  <c r="FU792" i="94"/>
  <c r="FS792" i="94"/>
  <c r="FQ792" i="94"/>
  <c r="FM792" i="94"/>
  <c r="FK792" i="94"/>
  <c r="FI792" i="94"/>
  <c r="FE792" i="94"/>
  <c r="FC792" i="94"/>
  <c r="FA792" i="94"/>
  <c r="EW792" i="94"/>
  <c r="EU792" i="94"/>
  <c r="ES792" i="94"/>
  <c r="EO792" i="94"/>
  <c r="EM792" i="94"/>
  <c r="EK792" i="94"/>
  <c r="EH792" i="94"/>
  <c r="EG792" i="94"/>
  <c r="EF792" i="94"/>
  <c r="EE792" i="94"/>
  <c r="ED792" i="94"/>
  <c r="EC792" i="94"/>
  <c r="DY792" i="94"/>
  <c r="DW792" i="94"/>
  <c r="DU792" i="94"/>
  <c r="DQ792" i="94"/>
  <c r="DO792" i="94"/>
  <c r="DM792" i="94"/>
  <c r="DI792" i="94"/>
  <c r="DG792" i="94"/>
  <c r="DE792" i="94"/>
  <c r="DA792" i="94"/>
  <c r="CY792" i="94"/>
  <c r="CW792" i="94"/>
  <c r="CS792" i="94"/>
  <c r="CQ792" i="94"/>
  <c r="CO792" i="94"/>
  <c r="CK792" i="94"/>
  <c r="CI792" i="94"/>
  <c r="CG792" i="94"/>
  <c r="CC792" i="94"/>
  <c r="CA792" i="94"/>
  <c r="BY792" i="94"/>
  <c r="BU792" i="94"/>
  <c r="BS792" i="94"/>
  <c r="BQ792" i="94"/>
  <c r="BM792" i="94"/>
  <c r="BK792" i="94"/>
  <c r="BI792" i="94"/>
  <c r="BE792" i="94"/>
  <c r="BC792" i="94"/>
  <c r="BA792" i="94"/>
  <c r="AW792" i="94"/>
  <c r="AU792" i="94"/>
  <c r="AS792" i="94"/>
  <c r="AO792" i="94"/>
  <c r="AM792" i="94"/>
  <c r="AK792" i="94"/>
  <c r="AG792" i="94"/>
  <c r="AE792" i="94"/>
  <c r="AC792" i="94"/>
  <c r="Y792" i="94"/>
  <c r="LX791" i="94"/>
  <c r="LT791" i="94"/>
  <c r="GB791" i="94"/>
  <c r="FU791" i="94"/>
  <c r="EQ791" i="94"/>
  <c r="EE791" i="94"/>
  <c r="BD791" i="94"/>
  <c r="BB791" i="94"/>
  <c r="AR791" i="94"/>
  <c r="AN791" i="94"/>
  <c r="AL791" i="94"/>
  <c r="AF791" i="94"/>
  <c r="AA791" i="94"/>
  <c r="MO790" i="94"/>
  <c r="MN790" i="94"/>
  <c r="MF790" i="94"/>
  <c r="LY790" i="94"/>
  <c r="LX790" i="94"/>
  <c r="LP790" i="94"/>
  <c r="IC790" i="94"/>
  <c r="HX790" i="94"/>
  <c r="HQ790" i="94"/>
  <c r="HP790" i="94"/>
  <c r="HH790" i="94"/>
  <c r="HA790" i="94"/>
  <c r="GZ790" i="94"/>
  <c r="GR790" i="94"/>
  <c r="GK790" i="94"/>
  <c r="GJ790" i="94"/>
  <c r="GE790" i="94"/>
  <c r="GB790" i="94"/>
  <c r="FV790" i="94"/>
  <c r="FO790" i="94"/>
  <c r="FI790" i="94"/>
  <c r="FH790" i="94"/>
  <c r="FA790" i="94"/>
  <c r="EX790" i="94"/>
  <c r="EV790" i="94"/>
  <c r="EP790" i="94"/>
  <c r="EI790" i="94"/>
  <c r="EE790" i="94"/>
  <c r="BK790" i="94"/>
  <c r="BJ790" i="94"/>
  <c r="BC790" i="94"/>
  <c r="AY790" i="94"/>
  <c r="AV790" i="94"/>
  <c r="AQ790" i="94"/>
  <c r="AL790" i="94"/>
  <c r="AK790" i="94"/>
  <c r="AD790" i="94"/>
  <c r="X790" i="94"/>
  <c r="LZ789" i="94"/>
  <c r="LY789" i="94"/>
  <c r="LX789" i="94"/>
  <c r="LV789" i="94"/>
  <c r="LU789" i="94"/>
  <c r="LT789" i="94"/>
  <c r="LS789" i="94"/>
  <c r="LR789" i="94"/>
  <c r="LQ789" i="94"/>
  <c r="HZ789" i="94"/>
  <c r="GF789" i="94"/>
  <c r="GE789" i="94"/>
  <c r="GD789" i="94"/>
  <c r="GC789" i="94"/>
  <c r="GB789" i="94"/>
  <c r="FV789" i="94"/>
  <c r="FU789" i="94"/>
  <c r="FS789" i="94"/>
  <c r="FR789" i="94"/>
  <c r="FQ789" i="94"/>
  <c r="FP789" i="94"/>
  <c r="FO789" i="94"/>
  <c r="FN789" i="94"/>
  <c r="FM789" i="94"/>
  <c r="FK789" i="94"/>
  <c r="FJ789" i="94"/>
  <c r="FI789" i="94"/>
  <c r="FH789" i="94"/>
  <c r="FG789" i="94"/>
  <c r="FF789" i="94"/>
  <c r="FE789" i="94"/>
  <c r="FC789" i="94"/>
  <c r="FB789" i="94"/>
  <c r="FA789" i="94"/>
  <c r="EZ789" i="94"/>
  <c r="EY789" i="94"/>
  <c r="EX789" i="94"/>
  <c r="EW789" i="94"/>
  <c r="EU789" i="94"/>
  <c r="ET789" i="94"/>
  <c r="ES789" i="94"/>
  <c r="ER789" i="94"/>
  <c r="EQ789" i="94"/>
  <c r="EP789" i="94"/>
  <c r="EO789" i="94"/>
  <c r="EM789" i="94"/>
  <c r="EL789" i="94"/>
  <c r="EK789" i="94"/>
  <c r="EJ789" i="94"/>
  <c r="EI789" i="94"/>
  <c r="EH789" i="94"/>
  <c r="EG789" i="94"/>
  <c r="EF789" i="94"/>
  <c r="EE789" i="94"/>
  <c r="ED789" i="94"/>
  <c r="DZ789" i="94"/>
  <c r="DR789" i="94"/>
  <c r="DJ789" i="94"/>
  <c r="DB789" i="94"/>
  <c r="CT789" i="94"/>
  <c r="CD789" i="94"/>
  <c r="BV789" i="94"/>
  <c r="BN789" i="94"/>
  <c r="BK789" i="94"/>
  <c r="BJ789" i="94"/>
  <c r="BI789" i="94"/>
  <c r="BH789" i="94"/>
  <c r="BF789" i="94"/>
  <c r="BE789" i="94"/>
  <c r="BD789" i="94"/>
  <c r="BC789" i="94"/>
  <c r="BB789" i="94"/>
  <c r="BA789" i="94"/>
  <c r="AZ789" i="94"/>
  <c r="AX789" i="94"/>
  <c r="AW789" i="94"/>
  <c r="AV789" i="94"/>
  <c r="AU789" i="94"/>
  <c r="AT789" i="94"/>
  <c r="AS789" i="94"/>
  <c r="AR789" i="94"/>
  <c r="AP789" i="94"/>
  <c r="AO789" i="94"/>
  <c r="AN789" i="94"/>
  <c r="AM789" i="94"/>
  <c r="AL789" i="94"/>
  <c r="AK789" i="94"/>
  <c r="AJ789" i="94"/>
  <c r="AH789" i="94"/>
  <c r="AG789" i="94"/>
  <c r="AF789" i="94"/>
  <c r="AE789" i="94"/>
  <c r="AD789" i="94"/>
  <c r="AC789" i="94"/>
  <c r="AB789" i="94"/>
  <c r="Z789" i="94"/>
  <c r="Y789" i="94"/>
  <c r="X789" i="94"/>
  <c r="MO788" i="94"/>
  <c r="MM788" i="94"/>
  <c r="MK788" i="94"/>
  <c r="MJ788" i="94"/>
  <c r="MH788" i="94"/>
  <c r="MG788" i="94"/>
  <c r="ME788" i="94"/>
  <c r="MC788" i="94"/>
  <c r="MB788" i="94"/>
  <c r="LZ788" i="94"/>
  <c r="LY788" i="94"/>
  <c r="LX788" i="94"/>
  <c r="LW788" i="94"/>
  <c r="LV788" i="94"/>
  <c r="LU788" i="94"/>
  <c r="LT788" i="94"/>
  <c r="LS788" i="94"/>
  <c r="LR788" i="94"/>
  <c r="LQ788" i="94"/>
  <c r="HY788" i="94"/>
  <c r="HW788" i="94"/>
  <c r="HV788" i="94"/>
  <c r="HT788" i="94"/>
  <c r="HR788" i="94"/>
  <c r="HQ788" i="94"/>
  <c r="HO788" i="94"/>
  <c r="HN788" i="94"/>
  <c r="HL788" i="94"/>
  <c r="HJ788" i="94"/>
  <c r="HI788" i="94"/>
  <c r="HG788" i="94"/>
  <c r="HF788" i="94"/>
  <c r="HD788" i="94"/>
  <c r="HB788" i="94"/>
  <c r="HA788" i="94"/>
  <c r="GY788" i="94"/>
  <c r="GX788" i="94"/>
  <c r="GV788" i="94"/>
  <c r="GT788" i="94"/>
  <c r="GS788" i="94"/>
  <c r="GQ788" i="94"/>
  <c r="GP788" i="94"/>
  <c r="GN788" i="94"/>
  <c r="GL788" i="94"/>
  <c r="GK788" i="94"/>
  <c r="GI788" i="94"/>
  <c r="GH788" i="94"/>
  <c r="GF788" i="94"/>
  <c r="GE788" i="94"/>
  <c r="GD788" i="94"/>
  <c r="GC788" i="94"/>
  <c r="GB788" i="94"/>
  <c r="GA788" i="94"/>
  <c r="FZ788" i="94"/>
  <c r="FY788" i="94"/>
  <c r="FX788" i="94"/>
  <c r="FW788" i="94"/>
  <c r="FV788" i="94"/>
  <c r="FU788" i="94"/>
  <c r="FT788" i="94"/>
  <c r="FS788" i="94"/>
  <c r="FR788" i="94"/>
  <c r="FQ788" i="94"/>
  <c r="FP788" i="94"/>
  <c r="FO788" i="94"/>
  <c r="FN788" i="94"/>
  <c r="FM788" i="94"/>
  <c r="FL788" i="94"/>
  <c r="FK788" i="94"/>
  <c r="FJ788" i="94"/>
  <c r="FI788" i="94"/>
  <c r="FH788" i="94"/>
  <c r="FG788" i="94"/>
  <c r="FF788" i="94"/>
  <c r="FE788" i="94"/>
  <c r="FD788" i="94"/>
  <c r="FC788" i="94"/>
  <c r="FB788" i="94"/>
  <c r="FA788" i="94"/>
  <c r="EZ788" i="94"/>
  <c r="EY788" i="94"/>
  <c r="EX788" i="94"/>
  <c r="EW788" i="94"/>
  <c r="EV788" i="94"/>
  <c r="EU788" i="94"/>
  <c r="ES788" i="94"/>
  <c r="ER788" i="94"/>
  <c r="EQ788" i="94"/>
  <c r="EP788" i="94"/>
  <c r="EO788" i="94"/>
  <c r="EN788" i="94"/>
  <c r="EM788" i="94"/>
  <c r="EL788" i="94"/>
  <c r="EK788" i="94"/>
  <c r="EJ788" i="94"/>
  <c r="EI788" i="94"/>
  <c r="EH788" i="94"/>
  <c r="EG788" i="94"/>
  <c r="EF788" i="94"/>
  <c r="EE788" i="94"/>
  <c r="ED788" i="94"/>
  <c r="EC788" i="94"/>
  <c r="EB788" i="94"/>
  <c r="EA788" i="94"/>
  <c r="DZ788" i="94"/>
  <c r="DY788" i="94"/>
  <c r="DX788" i="94"/>
  <c r="DW788" i="94"/>
  <c r="DV788" i="94"/>
  <c r="DU788" i="94"/>
  <c r="DT788" i="94"/>
  <c r="DS788" i="94"/>
  <c r="DR788" i="94"/>
  <c r="DQ788" i="94"/>
  <c r="DP788" i="94"/>
  <c r="DO788" i="94"/>
  <c r="DN788" i="94"/>
  <c r="DM788" i="94"/>
  <c r="DL788" i="94"/>
  <c r="DK788" i="94"/>
  <c r="DJ788" i="94"/>
  <c r="DI788" i="94"/>
  <c r="DH788" i="94"/>
  <c r="DG788" i="94"/>
  <c r="DF788" i="94"/>
  <c r="DE788" i="94"/>
  <c r="DD788" i="94"/>
  <c r="DC788" i="94"/>
  <c r="DB788" i="94"/>
  <c r="DA788" i="94"/>
  <c r="CZ788" i="94"/>
  <c r="CY788" i="94"/>
  <c r="CX788" i="94"/>
  <c r="CW788" i="94"/>
  <c r="CV788" i="94"/>
  <c r="CU788" i="94"/>
  <c r="CT788" i="94"/>
  <c r="CS788" i="94"/>
  <c r="CR788" i="94"/>
  <c r="CQ788" i="94"/>
  <c r="CP788" i="94"/>
  <c r="CO788" i="94"/>
  <c r="CN788" i="94"/>
  <c r="CM788" i="94"/>
  <c r="CL788" i="94"/>
  <c r="CK788" i="94"/>
  <c r="CJ788" i="94"/>
  <c r="CI788" i="94"/>
  <c r="CH788" i="94"/>
  <c r="CG788" i="94"/>
  <c r="CF788" i="94"/>
  <c r="CE788" i="94"/>
  <c r="CD788" i="94"/>
  <c r="CC788" i="94"/>
  <c r="CB788" i="94"/>
  <c r="CA788" i="94"/>
  <c r="BZ788" i="94"/>
  <c r="BY788" i="94"/>
  <c r="BX788" i="94"/>
  <c r="BW788" i="94"/>
  <c r="BV788" i="94"/>
  <c r="BU788" i="94"/>
  <c r="BT788" i="94"/>
  <c r="BS788" i="94"/>
  <c r="BR788" i="94"/>
  <c r="BQ788" i="94"/>
  <c r="BP788" i="94"/>
  <c r="BO788" i="94"/>
  <c r="BN788" i="94"/>
  <c r="BM788" i="94"/>
  <c r="BL788" i="94"/>
  <c r="BK788" i="94"/>
  <c r="BJ788" i="94"/>
  <c r="BI788" i="94"/>
  <c r="BH788" i="94"/>
  <c r="BG788" i="94"/>
  <c r="BF788" i="94"/>
  <c r="BE788" i="94"/>
  <c r="BD788" i="94"/>
  <c r="BC788" i="94"/>
  <c r="BB788" i="94"/>
  <c r="BA788" i="94"/>
  <c r="AZ788" i="94"/>
  <c r="AY788" i="94"/>
  <c r="AX788" i="94"/>
  <c r="AW788" i="94"/>
  <c r="AV788" i="94"/>
  <c r="AU788" i="94"/>
  <c r="AT788" i="94"/>
  <c r="AS788" i="94"/>
  <c r="AR788" i="94"/>
  <c r="AQ788" i="94"/>
  <c r="AP788" i="94"/>
  <c r="AO788" i="94"/>
  <c r="AN788" i="94"/>
  <c r="AM788" i="94"/>
  <c r="AL788" i="94"/>
  <c r="AK788" i="94"/>
  <c r="AJ788" i="94"/>
  <c r="AH788" i="94"/>
  <c r="AG788" i="94"/>
  <c r="AF788" i="94"/>
  <c r="AE788" i="94"/>
  <c r="AD788" i="94"/>
  <c r="AC788" i="94"/>
  <c r="AB788" i="94"/>
  <c r="AA788" i="94"/>
  <c r="Z788" i="94"/>
  <c r="Y788" i="94"/>
  <c r="X788" i="94"/>
  <c r="LQ787" i="94"/>
  <c r="HT787" i="94"/>
  <c r="FV787" i="94"/>
  <c r="FT787" i="94"/>
  <c r="FH787" i="94"/>
  <c r="FG787" i="94"/>
  <c r="EV787" i="94"/>
  <c r="ET787" i="94"/>
  <c r="EI787" i="94"/>
  <c r="EH787" i="94"/>
  <c r="DE787" i="94"/>
  <c r="CO787" i="94"/>
  <c r="BC787" i="94"/>
  <c r="BB787" i="94"/>
  <c r="AQ787" i="94"/>
  <c r="AO787" i="94"/>
  <c r="AD787" i="94"/>
  <c r="AC787" i="94"/>
  <c r="ND786" i="94"/>
  <c r="MC786" i="94"/>
  <c r="MB786" i="94"/>
  <c r="LZ786" i="94"/>
  <c r="LR786" i="94"/>
  <c r="LC786" i="94"/>
  <c r="ID786" i="94"/>
  <c r="IB786" i="94"/>
  <c r="HZ786" i="94"/>
  <c r="HS786" i="94"/>
  <c r="HP786" i="94"/>
  <c r="HL786" i="94"/>
  <c r="GZ786" i="94"/>
  <c r="GX786" i="94"/>
  <c r="GW786" i="94"/>
  <c r="GJ786" i="94"/>
  <c r="GF786" i="94"/>
  <c r="GE786" i="94"/>
  <c r="FY786" i="94"/>
  <c r="FX786" i="94"/>
  <c r="FW786" i="94"/>
  <c r="FO786" i="94"/>
  <c r="FN786" i="94"/>
  <c r="FL786" i="94"/>
  <c r="FB786" i="94"/>
  <c r="FA786" i="94"/>
  <c r="EZ786" i="94"/>
  <c r="ER786" i="94"/>
  <c r="EQ786" i="94"/>
  <c r="EP786" i="94"/>
  <c r="EH786" i="94"/>
  <c r="EG786" i="94"/>
  <c r="EF786" i="94"/>
  <c r="DZ786" i="94"/>
  <c r="DX786" i="94"/>
  <c r="DV786" i="94"/>
  <c r="DN786" i="94"/>
  <c r="DM786" i="94"/>
  <c r="DL786" i="94"/>
  <c r="DD786" i="94"/>
  <c r="DC786" i="94"/>
  <c r="DB786" i="94"/>
  <c r="CT786" i="94"/>
  <c r="CR786" i="94"/>
  <c r="CP786" i="94"/>
  <c r="CH786" i="94"/>
  <c r="CG786" i="94"/>
  <c r="CF786" i="94"/>
  <c r="BX786" i="94"/>
  <c r="BW786" i="94"/>
  <c r="BV786" i="94"/>
  <c r="BN786" i="94"/>
  <c r="BL786" i="94"/>
  <c r="BJ786" i="94"/>
  <c r="BB786" i="94"/>
  <c r="BA786" i="94"/>
  <c r="AZ786" i="94"/>
  <c r="AQ786" i="94"/>
  <c r="AP786" i="94"/>
  <c r="AN786" i="94"/>
  <c r="AF786" i="94"/>
  <c r="AD786" i="94"/>
  <c r="AC786" i="94"/>
  <c r="ML785" i="94"/>
  <c r="LZ785" i="94"/>
  <c r="LY785" i="94"/>
  <c r="LX785" i="94"/>
  <c r="LW785" i="94"/>
  <c r="LV785" i="94"/>
  <c r="LU785" i="94"/>
  <c r="LT785" i="94"/>
  <c r="LS785" i="94"/>
  <c r="LR785" i="94"/>
  <c r="LQ785" i="94"/>
  <c r="IC785" i="94"/>
  <c r="HP785" i="94"/>
  <c r="GJ785" i="94"/>
  <c r="GF785" i="94"/>
  <c r="GE785" i="94"/>
  <c r="GD785" i="94"/>
  <c r="GC785" i="94"/>
  <c r="GB785" i="94"/>
  <c r="GA785" i="94"/>
  <c r="FZ785" i="94"/>
  <c r="FY785" i="94"/>
  <c r="FX785" i="94"/>
  <c r="FW785" i="94"/>
  <c r="FV785" i="94"/>
  <c r="FU785" i="94"/>
  <c r="FT785" i="94"/>
  <c r="FS785" i="94"/>
  <c r="FR785" i="94"/>
  <c r="FQ785" i="94"/>
  <c r="FP785" i="94"/>
  <c r="FO785" i="94"/>
  <c r="FN785" i="94"/>
  <c r="FM785" i="94"/>
  <c r="FL785" i="94"/>
  <c r="FK785" i="94"/>
  <c r="FJ785" i="94"/>
  <c r="FI785" i="94"/>
  <c r="FH785" i="94"/>
  <c r="FG785" i="94"/>
  <c r="FF785" i="94"/>
  <c r="FE785" i="94"/>
  <c r="FD785" i="94"/>
  <c r="FC785" i="94"/>
  <c r="FB785" i="94"/>
  <c r="FA785" i="94"/>
  <c r="EZ785" i="94"/>
  <c r="EY785" i="94"/>
  <c r="EX785" i="94"/>
  <c r="EW785" i="94"/>
  <c r="EV785" i="94"/>
  <c r="EU785" i="94"/>
  <c r="ET785" i="94"/>
  <c r="ES785" i="94"/>
  <c r="ER785" i="94"/>
  <c r="EQ785" i="94"/>
  <c r="EP785" i="94"/>
  <c r="EO785" i="94"/>
  <c r="EN785" i="94"/>
  <c r="EM785" i="94"/>
  <c r="EL785" i="94"/>
  <c r="EK785" i="94"/>
  <c r="EJ785" i="94"/>
  <c r="EI785" i="94"/>
  <c r="EH785" i="94"/>
  <c r="EG785" i="94"/>
  <c r="EF785" i="94"/>
  <c r="EE785" i="94"/>
  <c r="ED785" i="94"/>
  <c r="EC785" i="94"/>
  <c r="EB785" i="94"/>
  <c r="EA785" i="94"/>
  <c r="DZ785" i="94"/>
  <c r="DY785" i="94"/>
  <c r="DX785" i="94"/>
  <c r="DW785" i="94"/>
  <c r="DV785" i="94"/>
  <c r="DU785" i="94"/>
  <c r="DT785" i="94"/>
  <c r="DS785" i="94"/>
  <c r="DR785" i="94"/>
  <c r="DQ785" i="94"/>
  <c r="DP785" i="94"/>
  <c r="DO785" i="94"/>
  <c r="DN785" i="94"/>
  <c r="DM785" i="94"/>
  <c r="DL785" i="94"/>
  <c r="DK785" i="94"/>
  <c r="DJ785" i="94"/>
  <c r="DI785" i="94"/>
  <c r="DH785" i="94"/>
  <c r="DG785" i="94"/>
  <c r="DF785" i="94"/>
  <c r="DE785" i="94"/>
  <c r="DD785" i="94"/>
  <c r="DC785" i="94"/>
  <c r="DB785" i="94"/>
  <c r="DA785" i="94"/>
  <c r="CZ785" i="94"/>
  <c r="CY785" i="94"/>
  <c r="CX785" i="94"/>
  <c r="CW785" i="94"/>
  <c r="CV785" i="94"/>
  <c r="CU785" i="94"/>
  <c r="CT785" i="94"/>
  <c r="CS785" i="94"/>
  <c r="CR785" i="94"/>
  <c r="CQ785" i="94"/>
  <c r="CP785" i="94"/>
  <c r="CO785" i="94"/>
  <c r="CN785" i="94"/>
  <c r="CM785" i="94"/>
  <c r="CL785" i="94"/>
  <c r="CK785" i="94"/>
  <c r="CJ785" i="94"/>
  <c r="CI785" i="94"/>
  <c r="CH785" i="94"/>
  <c r="CG785" i="94"/>
  <c r="CF785" i="94"/>
  <c r="CE785" i="94"/>
  <c r="CD785" i="94"/>
  <c r="CC785" i="94"/>
  <c r="CB785" i="94"/>
  <c r="CA785" i="94"/>
  <c r="BZ785" i="94"/>
  <c r="BY785" i="94"/>
  <c r="BX785" i="94"/>
  <c r="BW785" i="94"/>
  <c r="BV785" i="94"/>
  <c r="BU785" i="94"/>
  <c r="BT785" i="94"/>
  <c r="BS785" i="94"/>
  <c r="BR785" i="94"/>
  <c r="BQ785" i="94"/>
  <c r="BP785" i="94"/>
  <c r="BO785" i="94"/>
  <c r="BN785" i="94"/>
  <c r="BM785" i="94"/>
  <c r="BL785" i="94"/>
  <c r="BK785" i="94"/>
  <c r="BJ785" i="94"/>
  <c r="BI785" i="94"/>
  <c r="BH785" i="94"/>
  <c r="BG785" i="94"/>
  <c r="BF785" i="94"/>
  <c r="BE785" i="94"/>
  <c r="BD785" i="94"/>
  <c r="BC785" i="94"/>
  <c r="BB785" i="94"/>
  <c r="BA785" i="94"/>
  <c r="AZ785" i="94"/>
  <c r="AY785" i="94"/>
  <c r="AX785" i="94"/>
  <c r="AW785" i="94"/>
  <c r="AV785" i="94"/>
  <c r="AU785" i="94"/>
  <c r="AT785" i="94"/>
  <c r="AS785" i="94"/>
  <c r="AR785" i="94"/>
  <c r="AQ785" i="94"/>
  <c r="AP785" i="94"/>
  <c r="AO785" i="94"/>
  <c r="AN785" i="94"/>
  <c r="AM785" i="94"/>
  <c r="AL785" i="94"/>
  <c r="AK785" i="94"/>
  <c r="AJ785" i="94"/>
  <c r="AI785" i="94"/>
  <c r="AH785" i="94"/>
  <c r="AG785" i="94"/>
  <c r="AF785" i="94"/>
  <c r="AE785" i="94"/>
  <c r="AD785" i="94"/>
  <c r="AC785" i="94"/>
  <c r="AB785" i="94"/>
  <c r="AA785" i="94"/>
  <c r="Z785" i="94"/>
  <c r="Y785" i="94"/>
  <c r="X785" i="94"/>
  <c r="ND784" i="94"/>
  <c r="NC784" i="94"/>
  <c r="NB784" i="94"/>
  <c r="NA784" i="94"/>
  <c r="MZ784" i="94"/>
  <c r="MO784" i="94"/>
  <c r="MN784" i="94"/>
  <c r="MM784" i="94"/>
  <c r="ML784" i="94"/>
  <c r="MK784" i="94"/>
  <c r="MJ784" i="94"/>
  <c r="MI784" i="94"/>
  <c r="MH784" i="94"/>
  <c r="MG784" i="94"/>
  <c r="MF784" i="94"/>
  <c r="ME784" i="94"/>
  <c r="MD784" i="94"/>
  <c r="MC784" i="94"/>
  <c r="MB784" i="94"/>
  <c r="MA784" i="94"/>
  <c r="LZ784" i="94"/>
  <c r="LY784" i="94"/>
  <c r="LX784" i="94"/>
  <c r="LW784" i="94"/>
  <c r="LV784" i="94"/>
  <c r="LU784" i="94"/>
  <c r="LT784" i="94"/>
  <c r="LS784" i="94"/>
  <c r="LR784" i="94"/>
  <c r="LQ784" i="94"/>
  <c r="LP784" i="94"/>
  <c r="LO784" i="94"/>
  <c r="LN784" i="94"/>
  <c r="LM784" i="94"/>
  <c r="LL784" i="94"/>
  <c r="LK784" i="94"/>
  <c r="LJ784" i="94"/>
  <c r="LI784" i="94"/>
  <c r="LH784" i="94"/>
  <c r="LG784" i="94"/>
  <c r="LF784" i="94"/>
  <c r="LE784" i="94"/>
  <c r="LD784" i="94"/>
  <c r="LC784" i="94"/>
  <c r="LB784" i="94"/>
  <c r="LA784" i="94"/>
  <c r="KZ784" i="94"/>
  <c r="KY784" i="94"/>
  <c r="KX784" i="94"/>
  <c r="KW784" i="94"/>
  <c r="KV784" i="94"/>
  <c r="KU784" i="94"/>
  <c r="KT784" i="94"/>
  <c r="KS784" i="94"/>
  <c r="KR784" i="94"/>
  <c r="KQ784" i="94"/>
  <c r="KP784" i="94"/>
  <c r="KO784" i="94"/>
  <c r="KN784" i="94"/>
  <c r="KM784" i="94"/>
  <c r="KL784" i="94"/>
  <c r="KK784" i="94"/>
  <c r="KJ784" i="94"/>
  <c r="KI784" i="94"/>
  <c r="KH784" i="94"/>
  <c r="KG784" i="94"/>
  <c r="KF784" i="94"/>
  <c r="KE784" i="94"/>
  <c r="KD784" i="94"/>
  <c r="KC784" i="94"/>
  <c r="KB784" i="94"/>
  <c r="KA784" i="94"/>
  <c r="JZ784" i="94"/>
  <c r="JY784" i="94"/>
  <c r="JX784" i="94"/>
  <c r="JW784" i="94"/>
  <c r="JV784" i="94"/>
  <c r="JU784" i="94"/>
  <c r="JT784" i="94"/>
  <c r="JS784" i="94"/>
  <c r="JR784" i="94"/>
  <c r="JQ784" i="94"/>
  <c r="JP784" i="94"/>
  <c r="JO784" i="94"/>
  <c r="JN784" i="94"/>
  <c r="JM784" i="94"/>
  <c r="JL784" i="94"/>
  <c r="JK784" i="94"/>
  <c r="JJ784" i="94"/>
  <c r="JI784" i="94"/>
  <c r="JH784" i="94"/>
  <c r="JG784" i="94"/>
  <c r="JF784" i="94"/>
  <c r="JE784" i="94"/>
  <c r="JD784" i="94"/>
  <c r="JC784" i="94"/>
  <c r="JB784" i="94"/>
  <c r="JA784" i="94"/>
  <c r="IZ784" i="94"/>
  <c r="IY784" i="94"/>
  <c r="IX784" i="94"/>
  <c r="IW784" i="94"/>
  <c r="IV784" i="94"/>
  <c r="IU784" i="94"/>
  <c r="IT784" i="94"/>
  <c r="IS784" i="94"/>
  <c r="IR784" i="94"/>
  <c r="IQ784" i="94"/>
  <c r="IP784" i="94"/>
  <c r="IO784" i="94"/>
  <c r="IN784" i="94"/>
  <c r="IM784" i="94"/>
  <c r="IL784" i="94"/>
  <c r="IK784" i="94"/>
  <c r="IJ784" i="94"/>
  <c r="II784" i="94"/>
  <c r="IH784" i="94"/>
  <c r="IG784" i="94"/>
  <c r="IF784" i="94"/>
  <c r="IE784" i="94"/>
  <c r="ID784" i="94"/>
  <c r="IC784" i="94"/>
  <c r="IB784" i="94"/>
  <c r="IA784" i="94"/>
  <c r="HZ784" i="94"/>
  <c r="HY784" i="94"/>
  <c r="HX784" i="94"/>
  <c r="HW784" i="94"/>
  <c r="HV784" i="94"/>
  <c r="HU784" i="94"/>
  <c r="HT784" i="94"/>
  <c r="HS784" i="94"/>
  <c r="HR784" i="94"/>
  <c r="HQ784" i="94"/>
  <c r="HP784" i="94"/>
  <c r="HO784" i="94"/>
  <c r="HN784" i="94"/>
  <c r="HM784" i="94"/>
  <c r="HL784" i="94"/>
  <c r="HK784" i="94"/>
  <c r="HJ784" i="94"/>
  <c r="HI784" i="94"/>
  <c r="HH784" i="94"/>
  <c r="HG784" i="94"/>
  <c r="HF784" i="94"/>
  <c r="HE784" i="94"/>
  <c r="HD784" i="94"/>
  <c r="HC784" i="94"/>
  <c r="HB784" i="94"/>
  <c r="HA784" i="94"/>
  <c r="GZ784" i="94"/>
  <c r="GY784" i="94"/>
  <c r="GX784" i="94"/>
  <c r="GW784" i="94"/>
  <c r="GV784" i="94"/>
  <c r="GU784" i="94"/>
  <c r="GT784" i="94"/>
  <c r="GS784" i="94"/>
  <c r="GR784" i="94"/>
  <c r="GQ784" i="94"/>
  <c r="GP784" i="94"/>
  <c r="GO784" i="94"/>
  <c r="GN784" i="94"/>
  <c r="GM784" i="94"/>
  <c r="GL784" i="94"/>
  <c r="GK784" i="94"/>
  <c r="GJ784" i="94"/>
  <c r="GI784" i="94"/>
  <c r="GH784" i="94"/>
  <c r="GG784" i="94"/>
  <c r="GF784" i="94"/>
  <c r="GE784" i="94"/>
  <c r="GD784" i="94"/>
  <c r="GC784" i="94"/>
  <c r="GB784" i="94"/>
  <c r="GA784" i="94"/>
  <c r="FZ784" i="94"/>
  <c r="FY784" i="94"/>
  <c r="FX784" i="94"/>
  <c r="FW784" i="94"/>
  <c r="FV784" i="94"/>
  <c r="FU784" i="94"/>
  <c r="FT784" i="94"/>
  <c r="FS784" i="94"/>
  <c r="FR784" i="94"/>
  <c r="FQ784" i="94"/>
  <c r="FP784" i="94"/>
  <c r="FO784" i="94"/>
  <c r="FN784" i="94"/>
  <c r="FM784" i="94"/>
  <c r="FL784" i="94"/>
  <c r="FK784" i="94"/>
  <c r="FJ784" i="94"/>
  <c r="FI784" i="94"/>
  <c r="FH784" i="94"/>
  <c r="FG784" i="94"/>
  <c r="FF784" i="94"/>
  <c r="FE784" i="94"/>
  <c r="FD784" i="94"/>
  <c r="FC784" i="94"/>
  <c r="FB784" i="94"/>
  <c r="FA784" i="94"/>
  <c r="EZ784" i="94"/>
  <c r="EY784" i="94"/>
  <c r="EX784" i="94"/>
  <c r="EW784" i="94"/>
  <c r="EV784" i="94"/>
  <c r="EU784" i="94"/>
  <c r="ET784" i="94"/>
  <c r="ES784" i="94"/>
  <c r="ER784" i="94"/>
  <c r="EQ784" i="94"/>
  <c r="EP784" i="94"/>
  <c r="EO784" i="94"/>
  <c r="EN784" i="94"/>
  <c r="EM784" i="94"/>
  <c r="EL784" i="94"/>
  <c r="EK784" i="94"/>
  <c r="EJ784" i="94"/>
  <c r="EI784" i="94"/>
  <c r="EH784" i="94"/>
  <c r="EG784" i="94"/>
  <c r="EF784" i="94"/>
  <c r="EE784" i="94"/>
  <c r="ED784" i="94"/>
  <c r="EC784" i="94"/>
  <c r="EB784" i="94"/>
  <c r="EA784" i="94"/>
  <c r="DZ784" i="94"/>
  <c r="DY784" i="94"/>
  <c r="DX784" i="94"/>
  <c r="DW784" i="94"/>
  <c r="DV784" i="94"/>
  <c r="DU784" i="94"/>
  <c r="DT784" i="94"/>
  <c r="DS784" i="94"/>
  <c r="DR784" i="94"/>
  <c r="DQ784" i="94"/>
  <c r="DP784" i="94"/>
  <c r="DO784" i="94"/>
  <c r="DN784" i="94"/>
  <c r="DM784" i="94"/>
  <c r="DL784" i="94"/>
  <c r="DK784" i="94"/>
  <c r="DJ784" i="94"/>
  <c r="DI784" i="94"/>
  <c r="DH784" i="94"/>
  <c r="DG784" i="94"/>
  <c r="DF784" i="94"/>
  <c r="DE784" i="94"/>
  <c r="DD784" i="94"/>
  <c r="DC784" i="94"/>
  <c r="DB784" i="94"/>
  <c r="DA784" i="94"/>
  <c r="CZ784" i="94"/>
  <c r="CY784" i="94"/>
  <c r="CX784" i="94"/>
  <c r="CW784" i="94"/>
  <c r="CV784" i="94"/>
  <c r="CU784" i="94"/>
  <c r="CT784" i="94"/>
  <c r="CS784" i="94"/>
  <c r="CR784" i="94"/>
  <c r="CQ784" i="94"/>
  <c r="CP784" i="94"/>
  <c r="CO784" i="94"/>
  <c r="CN784" i="94"/>
  <c r="CM784" i="94"/>
  <c r="CL784" i="94"/>
  <c r="CK784" i="94"/>
  <c r="CJ784" i="94"/>
  <c r="CI784" i="94"/>
  <c r="CH784" i="94"/>
  <c r="CG784" i="94"/>
  <c r="CF784" i="94"/>
  <c r="CE784" i="94"/>
  <c r="CD784" i="94"/>
  <c r="CC784" i="94"/>
  <c r="CB784" i="94"/>
  <c r="CA784" i="94"/>
  <c r="BZ784" i="94"/>
  <c r="BY784" i="94"/>
  <c r="BX784" i="94"/>
  <c r="BW784" i="94"/>
  <c r="BV784" i="94"/>
  <c r="BU784" i="94"/>
  <c r="BT784" i="94"/>
  <c r="BS784" i="94"/>
  <c r="BR784" i="94"/>
  <c r="BQ784" i="94"/>
  <c r="BP784" i="94"/>
  <c r="BO784" i="94"/>
  <c r="BN784" i="94"/>
  <c r="BM784" i="94"/>
  <c r="BL784" i="94"/>
  <c r="BK784" i="94"/>
  <c r="BJ784" i="94"/>
  <c r="BI784" i="94"/>
  <c r="BH784" i="94"/>
  <c r="BG784" i="94"/>
  <c r="BF784" i="94"/>
  <c r="BE784" i="94"/>
  <c r="BD784" i="94"/>
  <c r="BC784" i="94"/>
  <c r="BB784" i="94"/>
  <c r="BA784" i="94"/>
  <c r="AZ784" i="94"/>
  <c r="AY784" i="94"/>
  <c r="AX784" i="94"/>
  <c r="AW784" i="94"/>
  <c r="AV784" i="94"/>
  <c r="AU784" i="94"/>
  <c r="AT784" i="94"/>
  <c r="AS784" i="94"/>
  <c r="AR784" i="94"/>
  <c r="AQ784" i="94"/>
  <c r="AP784" i="94"/>
  <c r="AO784" i="94"/>
  <c r="AN784" i="94"/>
  <c r="AM784" i="94"/>
  <c r="AL784" i="94"/>
  <c r="AK784" i="94"/>
  <c r="AJ784" i="94"/>
  <c r="AI784" i="94"/>
  <c r="AH784" i="94"/>
  <c r="AG784" i="94"/>
  <c r="AF784" i="94"/>
  <c r="AE784" i="94"/>
  <c r="AD784" i="94"/>
  <c r="AC784" i="94"/>
  <c r="AB784" i="94"/>
  <c r="AA784" i="94"/>
  <c r="Z784" i="94"/>
  <c r="Y784" i="94"/>
  <c r="X784" i="94"/>
  <c r="MJ783" i="94"/>
  <c r="MB783" i="94"/>
  <c r="LZ783" i="94"/>
  <c r="LY783" i="94"/>
  <c r="LX783" i="94"/>
  <c r="LW783" i="94"/>
  <c r="LV783" i="94"/>
  <c r="LU783" i="94"/>
  <c r="LT783" i="94"/>
  <c r="LS783" i="94"/>
  <c r="LR783" i="94"/>
  <c r="LQ783" i="94"/>
  <c r="IA783" i="94"/>
  <c r="HQ783" i="94"/>
  <c r="HI783" i="94"/>
  <c r="GK783" i="94"/>
  <c r="GF783" i="94"/>
  <c r="GE783" i="94"/>
  <c r="GD783" i="94"/>
  <c r="GC783" i="94"/>
  <c r="GB783" i="94"/>
  <c r="FZ783" i="94"/>
  <c r="FV783" i="94"/>
  <c r="FU783" i="94"/>
  <c r="FT783" i="94"/>
  <c r="FS783" i="94"/>
  <c r="FR783" i="94"/>
  <c r="FQ783" i="94"/>
  <c r="FP783" i="94"/>
  <c r="FO783" i="94"/>
  <c r="FN783" i="94"/>
  <c r="FM783" i="94"/>
  <c r="FL783" i="94"/>
  <c r="FK783" i="94"/>
  <c r="FJ783" i="94"/>
  <c r="FI783" i="94"/>
  <c r="FH783" i="94"/>
  <c r="FG783" i="94"/>
  <c r="FF783" i="94"/>
  <c r="FE783" i="94"/>
  <c r="FD783" i="94"/>
  <c r="FC783" i="94"/>
  <c r="FB783" i="94"/>
  <c r="FA783" i="94"/>
  <c r="EZ783" i="94"/>
  <c r="EY783" i="94"/>
  <c r="EX783" i="94"/>
  <c r="EW783" i="94"/>
  <c r="EV783" i="94"/>
  <c r="EU783" i="94"/>
  <c r="ET783" i="94"/>
  <c r="ES783" i="94"/>
  <c r="ER783" i="94"/>
  <c r="EQ783" i="94"/>
  <c r="EP783" i="94"/>
  <c r="EO783" i="94"/>
  <c r="EN783" i="94"/>
  <c r="EM783" i="94"/>
  <c r="EL783" i="94"/>
  <c r="EK783" i="94"/>
  <c r="EJ783" i="94"/>
  <c r="EI783" i="94"/>
  <c r="EH783" i="94"/>
  <c r="EG783" i="94"/>
  <c r="EF783" i="94"/>
  <c r="EE783" i="94"/>
  <c r="ED783" i="94"/>
  <c r="DO783" i="94"/>
  <c r="CI783" i="94"/>
  <c r="BK783" i="94"/>
  <c r="BJ783" i="94"/>
  <c r="BI783" i="94"/>
  <c r="BH783" i="94"/>
  <c r="BG783" i="94"/>
  <c r="BF783" i="94"/>
  <c r="BE783" i="94"/>
  <c r="BD783" i="94"/>
  <c r="BC783" i="94"/>
  <c r="BB783" i="94"/>
  <c r="BA783" i="94"/>
  <c r="AZ783" i="94"/>
  <c r="AY783" i="94"/>
  <c r="AX783" i="94"/>
  <c r="AW783" i="94"/>
  <c r="AV783" i="94"/>
  <c r="AU783" i="94"/>
  <c r="AT783" i="94"/>
  <c r="AS783" i="94"/>
  <c r="AR783" i="94"/>
  <c r="AQ783" i="94"/>
  <c r="AP783" i="94"/>
  <c r="AO783" i="94"/>
  <c r="AN783" i="94"/>
  <c r="AM783" i="94"/>
  <c r="AL783" i="94"/>
  <c r="AK783" i="94"/>
  <c r="AJ783" i="94"/>
  <c r="AI783" i="94"/>
  <c r="AH783" i="94"/>
  <c r="AG783" i="94"/>
  <c r="AF783" i="94"/>
  <c r="AE783" i="94"/>
  <c r="AD783" i="94"/>
  <c r="AC783" i="94"/>
  <c r="AB783" i="94"/>
  <c r="AA783" i="94"/>
  <c r="Z783" i="94"/>
  <c r="Y783" i="94"/>
  <c r="X783" i="94"/>
  <c r="ND782" i="94"/>
  <c r="NC782" i="94"/>
  <c r="NB782" i="94"/>
  <c r="NA782" i="94"/>
  <c r="MZ782" i="94"/>
  <c r="MO782" i="94"/>
  <c r="MN782" i="94"/>
  <c r="MM782" i="94"/>
  <c r="ML782" i="94"/>
  <c r="MK782" i="94"/>
  <c r="MJ782" i="94"/>
  <c r="MI782" i="94"/>
  <c r="MH782" i="94"/>
  <c r="MG782" i="94"/>
  <c r="MF782" i="94"/>
  <c r="ME782" i="94"/>
  <c r="MD782" i="94"/>
  <c r="MC782" i="94"/>
  <c r="MB782" i="94"/>
  <c r="MA782" i="94"/>
  <c r="LZ782" i="94"/>
  <c r="LY782" i="94"/>
  <c r="LX782" i="94"/>
  <c r="LW782" i="94"/>
  <c r="LV782" i="94"/>
  <c r="LU782" i="94"/>
  <c r="LT782" i="94"/>
  <c r="LS782" i="94"/>
  <c r="LR782" i="94"/>
  <c r="LQ782" i="94"/>
  <c r="LP782" i="94"/>
  <c r="LO782" i="94"/>
  <c r="LN782" i="94"/>
  <c r="LM782" i="94"/>
  <c r="LL782" i="94"/>
  <c r="LK782" i="94"/>
  <c r="LJ782" i="94"/>
  <c r="LI782" i="94"/>
  <c r="LH782" i="94"/>
  <c r="LG782" i="94"/>
  <c r="LF782" i="94"/>
  <c r="LE782" i="94"/>
  <c r="LD782" i="94"/>
  <c r="LC782" i="94"/>
  <c r="LB782" i="94"/>
  <c r="LA782" i="94"/>
  <c r="KZ782" i="94"/>
  <c r="KY782" i="94"/>
  <c r="KX782" i="94"/>
  <c r="KW782" i="94"/>
  <c r="KV782" i="94"/>
  <c r="KU782" i="94"/>
  <c r="KT782" i="94"/>
  <c r="KS782" i="94"/>
  <c r="KR782" i="94"/>
  <c r="KQ782" i="94"/>
  <c r="KP782" i="94"/>
  <c r="KO782" i="94"/>
  <c r="KN782" i="94"/>
  <c r="KM782" i="94"/>
  <c r="KL782" i="94"/>
  <c r="KK782" i="94"/>
  <c r="KJ782" i="94"/>
  <c r="KI782" i="94"/>
  <c r="KH782" i="94"/>
  <c r="KG782" i="94"/>
  <c r="KF782" i="94"/>
  <c r="KE782" i="94"/>
  <c r="KD782" i="94"/>
  <c r="KC782" i="94"/>
  <c r="KB782" i="94"/>
  <c r="KA782" i="94"/>
  <c r="JZ782" i="94"/>
  <c r="JY782" i="94"/>
  <c r="JX782" i="94"/>
  <c r="JW782" i="94"/>
  <c r="JV782" i="94"/>
  <c r="JU782" i="94"/>
  <c r="JT782" i="94"/>
  <c r="JS782" i="94"/>
  <c r="JR782" i="94"/>
  <c r="JQ782" i="94"/>
  <c r="JP782" i="94"/>
  <c r="JO782" i="94"/>
  <c r="JN782" i="94"/>
  <c r="JM782" i="94"/>
  <c r="JL782" i="94"/>
  <c r="JK782" i="94"/>
  <c r="JJ782" i="94"/>
  <c r="JI782" i="94"/>
  <c r="JH782" i="94"/>
  <c r="JG782" i="94"/>
  <c r="JF782" i="94"/>
  <c r="JE782" i="94"/>
  <c r="JD782" i="94"/>
  <c r="JC782" i="94"/>
  <c r="JB782" i="94"/>
  <c r="JA782" i="94"/>
  <c r="IZ782" i="94"/>
  <c r="IY782" i="94"/>
  <c r="IX782" i="94"/>
  <c r="IW782" i="94"/>
  <c r="IV782" i="94"/>
  <c r="IU782" i="94"/>
  <c r="IT782" i="94"/>
  <c r="IS782" i="94"/>
  <c r="IR782" i="94"/>
  <c r="IQ782" i="94"/>
  <c r="IP782" i="94"/>
  <c r="IO782" i="94"/>
  <c r="IN782" i="94"/>
  <c r="IM782" i="94"/>
  <c r="IL782" i="94"/>
  <c r="IK782" i="94"/>
  <c r="IJ782" i="94"/>
  <c r="II782" i="94"/>
  <c r="IH782" i="94"/>
  <c r="IG782" i="94"/>
  <c r="IF782" i="94"/>
  <c r="IE782" i="94"/>
  <c r="ID782" i="94"/>
  <c r="IC782" i="94"/>
  <c r="IB782" i="94"/>
  <c r="IA782" i="94"/>
  <c r="HZ782" i="94"/>
  <c r="HY782" i="94"/>
  <c r="HX782" i="94"/>
  <c r="HW782" i="94"/>
  <c r="HV782" i="94"/>
  <c r="HU782" i="94"/>
  <c r="HT782" i="94"/>
  <c r="HS782" i="94"/>
  <c r="HR782" i="94"/>
  <c r="HQ782" i="94"/>
  <c r="HP782" i="94"/>
  <c r="HO782" i="94"/>
  <c r="HN782" i="94"/>
  <c r="HM782" i="94"/>
  <c r="HL782" i="94"/>
  <c r="HK782" i="94"/>
  <c r="HJ782" i="94"/>
  <c r="HI782" i="94"/>
  <c r="HH782" i="94"/>
  <c r="HG782" i="94"/>
  <c r="HF782" i="94"/>
  <c r="HE782" i="94"/>
  <c r="HD782" i="94"/>
  <c r="HC782" i="94"/>
  <c r="HB782" i="94"/>
  <c r="HA782" i="94"/>
  <c r="GZ782" i="94"/>
  <c r="GY782" i="94"/>
  <c r="GX782" i="94"/>
  <c r="GW782" i="94"/>
  <c r="GV782" i="94"/>
  <c r="GU782" i="94"/>
  <c r="GT782" i="94"/>
  <c r="GS782" i="94"/>
  <c r="GR782" i="94"/>
  <c r="GQ782" i="94"/>
  <c r="GP782" i="94"/>
  <c r="GO782" i="94"/>
  <c r="GN782" i="94"/>
  <c r="GM782" i="94"/>
  <c r="GL782" i="94"/>
  <c r="GK782" i="94"/>
  <c r="GJ782" i="94"/>
  <c r="GI782" i="94"/>
  <c r="GH782" i="94"/>
  <c r="GG782" i="94"/>
  <c r="GF782" i="94"/>
  <c r="GE782" i="94"/>
  <c r="GD782" i="94"/>
  <c r="GC782" i="94"/>
  <c r="GB782" i="94"/>
  <c r="GA782" i="94"/>
  <c r="FV782" i="94"/>
  <c r="FU782" i="94"/>
  <c r="FT782" i="94"/>
  <c r="FS782" i="94"/>
  <c r="FR782" i="94"/>
  <c r="FQ782" i="94"/>
  <c r="FP782" i="94"/>
  <c r="FO782" i="94"/>
  <c r="FN782" i="94"/>
  <c r="FM782" i="94"/>
  <c r="FL782" i="94"/>
  <c r="FK782" i="94"/>
  <c r="FJ782" i="94"/>
  <c r="FI782" i="94"/>
  <c r="FH782" i="94"/>
  <c r="FG782" i="94"/>
  <c r="FF782" i="94"/>
  <c r="FE782" i="94"/>
  <c r="FD782" i="94"/>
  <c r="FC782" i="94"/>
  <c r="FB782" i="94"/>
  <c r="FA782" i="94"/>
  <c r="EZ782" i="94"/>
  <c r="EY782" i="94"/>
  <c r="EX782" i="94"/>
  <c r="EW782" i="94"/>
  <c r="EV782" i="94"/>
  <c r="EU782" i="94"/>
  <c r="ET782" i="94"/>
  <c r="ES782" i="94"/>
  <c r="ER782" i="94"/>
  <c r="EQ782" i="94"/>
  <c r="EP782" i="94"/>
  <c r="EO782" i="94"/>
  <c r="EN782" i="94"/>
  <c r="EM782" i="94"/>
  <c r="EL782" i="94"/>
  <c r="EK782" i="94"/>
  <c r="EJ782" i="94"/>
  <c r="EI782" i="94"/>
  <c r="EH782" i="94"/>
  <c r="EG782" i="94"/>
  <c r="EF782" i="94"/>
  <c r="EE782" i="94"/>
  <c r="ED782" i="94"/>
  <c r="DR782" i="94"/>
  <c r="DJ782" i="94"/>
  <c r="CL782" i="94"/>
  <c r="CD782" i="94"/>
  <c r="BK782" i="94"/>
  <c r="BJ782" i="94"/>
  <c r="BI782" i="94"/>
  <c r="BH782" i="94"/>
  <c r="BG782" i="94"/>
  <c r="BF782" i="94"/>
  <c r="BE782" i="94"/>
  <c r="BD782" i="94"/>
  <c r="BC782" i="94"/>
  <c r="BB782" i="94"/>
  <c r="BA782" i="94"/>
  <c r="AZ782" i="94"/>
  <c r="AY782" i="94"/>
  <c r="AX782" i="94"/>
  <c r="AW782" i="94"/>
  <c r="AV782" i="94"/>
  <c r="AU782" i="94"/>
  <c r="AT782" i="94"/>
  <c r="AS782" i="94"/>
  <c r="AR782" i="94"/>
  <c r="AQ782" i="94"/>
  <c r="AP782" i="94"/>
  <c r="AO782" i="94"/>
  <c r="AN782" i="94"/>
  <c r="AM782" i="94"/>
  <c r="AL782" i="94"/>
  <c r="AK782" i="94"/>
  <c r="AJ782" i="94"/>
  <c r="AI782" i="94"/>
  <c r="AH782" i="94"/>
  <c r="AG782" i="94"/>
  <c r="AF782" i="94"/>
  <c r="AE782" i="94"/>
  <c r="AD782" i="94"/>
  <c r="AC782" i="94"/>
  <c r="AB782" i="94"/>
  <c r="AA782" i="94"/>
  <c r="Z782" i="94"/>
  <c r="Y782" i="94"/>
  <c r="X782" i="94"/>
  <c r="MK781" i="94"/>
  <c r="MC781" i="94"/>
  <c r="LZ781" i="94"/>
  <c r="LY781" i="94"/>
  <c r="LX781" i="94"/>
  <c r="LW781" i="94"/>
  <c r="LV781" i="94"/>
  <c r="LU781" i="94"/>
  <c r="LT781" i="94"/>
  <c r="LS781" i="94"/>
  <c r="LR781" i="94"/>
  <c r="LQ781" i="94"/>
  <c r="JE781" i="94"/>
  <c r="HZ781" i="94"/>
  <c r="HU781" i="94"/>
  <c r="HM781" i="94"/>
  <c r="GO781" i="94"/>
  <c r="GG781" i="94"/>
  <c r="GF781" i="94"/>
  <c r="GE781" i="94"/>
  <c r="GD781" i="94"/>
  <c r="GC781" i="94"/>
  <c r="GB781" i="94"/>
  <c r="GA781" i="94"/>
  <c r="FV781" i="94"/>
  <c r="FU781" i="94"/>
  <c r="FT781" i="94"/>
  <c r="FS781" i="94"/>
  <c r="FR781" i="94"/>
  <c r="FQ781" i="94"/>
  <c r="FP781" i="94"/>
  <c r="FO781" i="94"/>
  <c r="FN781" i="94"/>
  <c r="FM781" i="94"/>
  <c r="FL781" i="94"/>
  <c r="FK781" i="94"/>
  <c r="FJ781" i="94"/>
  <c r="FI781" i="94"/>
  <c r="FH781" i="94"/>
  <c r="FG781" i="94"/>
  <c r="FF781" i="94"/>
  <c r="FE781" i="94"/>
  <c r="FD781" i="94"/>
  <c r="FC781" i="94"/>
  <c r="FB781" i="94"/>
  <c r="FA781" i="94"/>
  <c r="EZ781" i="94"/>
  <c r="EY781" i="94"/>
  <c r="EX781" i="94"/>
  <c r="EW781" i="94"/>
  <c r="EV781" i="94"/>
  <c r="EU781" i="94"/>
  <c r="ET781" i="94"/>
  <c r="ES781" i="94"/>
  <c r="ER781" i="94"/>
  <c r="EQ781" i="94"/>
  <c r="EP781" i="94"/>
  <c r="EO781" i="94"/>
  <c r="EN781" i="94"/>
  <c r="EM781" i="94"/>
  <c r="EL781" i="94"/>
  <c r="EK781" i="94"/>
  <c r="EJ781" i="94"/>
  <c r="EI781" i="94"/>
  <c r="EH781" i="94"/>
  <c r="EG781" i="94"/>
  <c r="EF781" i="94"/>
  <c r="EE781" i="94"/>
  <c r="ED781" i="94"/>
  <c r="DZ781" i="94"/>
  <c r="DX781" i="94"/>
  <c r="DW781" i="94"/>
  <c r="DR781" i="94"/>
  <c r="DP781" i="94"/>
  <c r="DO781" i="94"/>
  <c r="DJ781" i="94"/>
  <c r="DH781" i="94"/>
  <c r="DG781" i="94"/>
  <c r="DB781" i="94"/>
  <c r="CZ781" i="94"/>
  <c r="CY781" i="94"/>
  <c r="CT781" i="94"/>
  <c r="CR781" i="94"/>
  <c r="CQ781" i="94"/>
  <c r="CL781" i="94"/>
  <c r="CJ781" i="94"/>
  <c r="CI781" i="94"/>
  <c r="CD781" i="94"/>
  <c r="CB781" i="94"/>
  <c r="CA781" i="94"/>
  <c r="BV781" i="94"/>
  <c r="BT781" i="94"/>
  <c r="BS781" i="94"/>
  <c r="BN781" i="94"/>
  <c r="BL781" i="94"/>
  <c r="BK781" i="94"/>
  <c r="BJ781" i="94"/>
  <c r="BI781" i="94"/>
  <c r="BH781" i="94"/>
  <c r="BG781" i="94"/>
  <c r="BF781" i="94"/>
  <c r="BE781" i="94"/>
  <c r="BD781" i="94"/>
  <c r="BC781" i="94"/>
  <c r="BB781" i="94"/>
  <c r="BA781" i="94"/>
  <c r="AZ781" i="94"/>
  <c r="AY781" i="94"/>
  <c r="AX781" i="94"/>
  <c r="AW781" i="94"/>
  <c r="AV781" i="94"/>
  <c r="AU781" i="94"/>
  <c r="AT781" i="94"/>
  <c r="AS781" i="94"/>
  <c r="AR781" i="94"/>
  <c r="AQ781" i="94"/>
  <c r="AP781" i="94"/>
  <c r="AO781" i="94"/>
  <c r="AN781" i="94"/>
  <c r="AM781" i="94"/>
  <c r="AL781" i="94"/>
  <c r="AK781" i="94"/>
  <c r="AJ781" i="94"/>
  <c r="AI781" i="94"/>
  <c r="AH781" i="94"/>
  <c r="AG781" i="94"/>
  <c r="AF781" i="94"/>
  <c r="AE781" i="94"/>
  <c r="AD781" i="94"/>
  <c r="AC781" i="94"/>
  <c r="AB781" i="94"/>
  <c r="AA781" i="94"/>
  <c r="Z781" i="94"/>
  <c r="Y781" i="94"/>
  <c r="X781" i="94"/>
  <c r="ND780" i="94"/>
  <c r="NC780" i="94"/>
  <c r="NB780" i="94"/>
  <c r="NA780" i="94"/>
  <c r="MZ780" i="94"/>
  <c r="MO780" i="94"/>
  <c r="MN780" i="94"/>
  <c r="MM780" i="94"/>
  <c r="ML780" i="94"/>
  <c r="MK780" i="94"/>
  <c r="MJ780" i="94"/>
  <c r="MI780" i="94"/>
  <c r="MH780" i="94"/>
  <c r="MG780" i="94"/>
  <c r="MF780" i="94"/>
  <c r="ME780" i="94"/>
  <c r="MD780" i="94"/>
  <c r="MC780" i="94"/>
  <c r="MB780" i="94"/>
  <c r="MA780" i="94"/>
  <c r="LZ780" i="94"/>
  <c r="LY780" i="94"/>
  <c r="LX780" i="94"/>
  <c r="LW780" i="94"/>
  <c r="LV780" i="94"/>
  <c r="LU780" i="94"/>
  <c r="LT780" i="94"/>
  <c r="LS780" i="94"/>
  <c r="LR780" i="94"/>
  <c r="LQ780" i="94"/>
  <c r="LP780" i="94"/>
  <c r="LO780" i="94"/>
  <c r="LN780" i="94"/>
  <c r="LM780" i="94"/>
  <c r="LL780" i="94"/>
  <c r="LK780" i="94"/>
  <c r="LJ780" i="94"/>
  <c r="LI780" i="94"/>
  <c r="LH780" i="94"/>
  <c r="LG780" i="94"/>
  <c r="LF780" i="94"/>
  <c r="LE780" i="94"/>
  <c r="LD780" i="94"/>
  <c r="LC780" i="94"/>
  <c r="LB780" i="94"/>
  <c r="LA780" i="94"/>
  <c r="KZ780" i="94"/>
  <c r="KY780" i="94"/>
  <c r="KX780" i="94"/>
  <c r="KW780" i="94"/>
  <c r="KV780" i="94"/>
  <c r="KU780" i="94"/>
  <c r="KT780" i="94"/>
  <c r="KS780" i="94"/>
  <c r="KR780" i="94"/>
  <c r="KQ780" i="94"/>
  <c r="KP780" i="94"/>
  <c r="KO780" i="94"/>
  <c r="KN780" i="94"/>
  <c r="KM780" i="94"/>
  <c r="KL780" i="94"/>
  <c r="KK780" i="94"/>
  <c r="KJ780" i="94"/>
  <c r="KI780" i="94"/>
  <c r="KH780" i="94"/>
  <c r="KG780" i="94"/>
  <c r="KF780" i="94"/>
  <c r="KE780" i="94"/>
  <c r="KD780" i="94"/>
  <c r="KC780" i="94"/>
  <c r="KB780" i="94"/>
  <c r="KA780" i="94"/>
  <c r="JZ780" i="94"/>
  <c r="JY780" i="94"/>
  <c r="JX780" i="94"/>
  <c r="JW780" i="94"/>
  <c r="JV780" i="94"/>
  <c r="JU780" i="94"/>
  <c r="JT780" i="94"/>
  <c r="JS780" i="94"/>
  <c r="JR780" i="94"/>
  <c r="JQ780" i="94"/>
  <c r="JP780" i="94"/>
  <c r="JO780" i="94"/>
  <c r="JN780" i="94"/>
  <c r="JM780" i="94"/>
  <c r="JL780" i="94"/>
  <c r="JK780" i="94"/>
  <c r="JJ780" i="94"/>
  <c r="JI780" i="94"/>
  <c r="JH780" i="94"/>
  <c r="JG780" i="94"/>
  <c r="JF780" i="94"/>
  <c r="JE780" i="94"/>
  <c r="JD780" i="94"/>
  <c r="JC780" i="94"/>
  <c r="JB780" i="94"/>
  <c r="JA780" i="94"/>
  <c r="IZ780" i="94"/>
  <c r="IY780" i="94"/>
  <c r="IX780" i="94"/>
  <c r="IW780" i="94"/>
  <c r="IV780" i="94"/>
  <c r="IU780" i="94"/>
  <c r="IT780" i="94"/>
  <c r="IS780" i="94"/>
  <c r="IR780" i="94"/>
  <c r="IQ780" i="94"/>
  <c r="IP780" i="94"/>
  <c r="IO780" i="94"/>
  <c r="IN780" i="94"/>
  <c r="IM780" i="94"/>
  <c r="IL780" i="94"/>
  <c r="IK780" i="94"/>
  <c r="IJ780" i="94"/>
  <c r="II780" i="94"/>
  <c r="IH780" i="94"/>
  <c r="IG780" i="94"/>
  <c r="IF780" i="94"/>
  <c r="IE780" i="94"/>
  <c r="ID780" i="94"/>
  <c r="IC780" i="94"/>
  <c r="IB780" i="94"/>
  <c r="IA780" i="94"/>
  <c r="HZ780" i="94"/>
  <c r="HY780" i="94"/>
  <c r="HX780" i="94"/>
  <c r="HW780" i="94"/>
  <c r="HV780" i="94"/>
  <c r="HU780" i="94"/>
  <c r="HT780" i="94"/>
  <c r="HS780" i="94"/>
  <c r="HR780" i="94"/>
  <c r="HQ780" i="94"/>
  <c r="HP780" i="94"/>
  <c r="HO780" i="94"/>
  <c r="HN780" i="94"/>
  <c r="HM780" i="94"/>
  <c r="HL780" i="94"/>
  <c r="HK780" i="94"/>
  <c r="HJ780" i="94"/>
  <c r="HI780" i="94"/>
  <c r="HH780" i="94"/>
  <c r="HG780" i="94"/>
  <c r="HF780" i="94"/>
  <c r="HE780" i="94"/>
  <c r="HD780" i="94"/>
  <c r="HC780" i="94"/>
  <c r="HB780" i="94"/>
  <c r="HA780" i="94"/>
  <c r="GZ780" i="94"/>
  <c r="GY780" i="94"/>
  <c r="GX780" i="94"/>
  <c r="GW780" i="94"/>
  <c r="GV780" i="94"/>
  <c r="GU780" i="94"/>
  <c r="GT780" i="94"/>
  <c r="GS780" i="94"/>
  <c r="GR780" i="94"/>
  <c r="GQ780" i="94"/>
  <c r="GP780" i="94"/>
  <c r="GO780" i="94"/>
  <c r="GN780" i="94"/>
  <c r="GM780" i="94"/>
  <c r="GL780" i="94"/>
  <c r="GK780" i="94"/>
  <c r="GJ780" i="94"/>
  <c r="GI780" i="94"/>
  <c r="GH780" i="94"/>
  <c r="GG780" i="94"/>
  <c r="GF780" i="94"/>
  <c r="GE780" i="94"/>
  <c r="GD780" i="94"/>
  <c r="GC780" i="94"/>
  <c r="GB780" i="94"/>
  <c r="GA780" i="94"/>
  <c r="FZ780" i="94"/>
  <c r="FY780" i="94"/>
  <c r="FX780" i="94"/>
  <c r="FW780" i="94"/>
  <c r="FV780" i="94"/>
  <c r="FU780" i="94"/>
  <c r="FT780" i="94"/>
  <c r="FS780" i="94"/>
  <c r="FR780" i="94"/>
  <c r="FQ780" i="94"/>
  <c r="FP780" i="94"/>
  <c r="FO780" i="94"/>
  <c r="FN780" i="94"/>
  <c r="FM780" i="94"/>
  <c r="FL780" i="94"/>
  <c r="FK780" i="94"/>
  <c r="FJ780" i="94"/>
  <c r="FI780" i="94"/>
  <c r="FH780" i="94"/>
  <c r="FG780" i="94"/>
  <c r="FF780" i="94"/>
  <c r="FE780" i="94"/>
  <c r="FD780" i="94"/>
  <c r="FC780" i="94"/>
  <c r="FB780" i="94"/>
  <c r="FA780" i="94"/>
  <c r="EZ780" i="94"/>
  <c r="EY780" i="94"/>
  <c r="EX780" i="94"/>
  <c r="EW780" i="94"/>
  <c r="EV780" i="94"/>
  <c r="EU780" i="94"/>
  <c r="ET780" i="94"/>
  <c r="ES780" i="94"/>
  <c r="ER780" i="94"/>
  <c r="EQ780" i="94"/>
  <c r="EP780" i="94"/>
  <c r="EO780" i="94"/>
  <c r="EN780" i="94"/>
  <c r="EM780" i="94"/>
  <c r="EL780" i="94"/>
  <c r="EK780" i="94"/>
  <c r="EJ780" i="94"/>
  <c r="EI780" i="94"/>
  <c r="EH780" i="94"/>
  <c r="EG780" i="94"/>
  <c r="EF780" i="94"/>
  <c r="EE780" i="94"/>
  <c r="ED780" i="94"/>
  <c r="EC780" i="94"/>
  <c r="EB780" i="94"/>
  <c r="EA780" i="94"/>
  <c r="DZ780" i="94"/>
  <c r="DY780" i="94"/>
  <c r="DX780" i="94"/>
  <c r="DW780" i="94"/>
  <c r="DV780" i="94"/>
  <c r="DU780" i="94"/>
  <c r="DT780" i="94"/>
  <c r="DS780" i="94"/>
  <c r="DR780" i="94"/>
  <c r="DQ780" i="94"/>
  <c r="DP780" i="94"/>
  <c r="DO780" i="94"/>
  <c r="DN780" i="94"/>
  <c r="DM780" i="94"/>
  <c r="DL780" i="94"/>
  <c r="DK780" i="94"/>
  <c r="DJ780" i="94"/>
  <c r="DI780" i="94"/>
  <c r="DH780" i="94"/>
  <c r="DG780" i="94"/>
  <c r="DF780" i="94"/>
  <c r="DE780" i="94"/>
  <c r="DD780" i="94"/>
  <c r="DC780" i="94"/>
  <c r="DB780" i="94"/>
  <c r="DA780" i="94"/>
  <c r="CZ780" i="94"/>
  <c r="CY780" i="94"/>
  <c r="CX780" i="94"/>
  <c r="CW780" i="94"/>
  <c r="CV780" i="94"/>
  <c r="CU780" i="94"/>
  <c r="CT780" i="94"/>
  <c r="CS780" i="94"/>
  <c r="CR780" i="94"/>
  <c r="CQ780" i="94"/>
  <c r="CP780" i="94"/>
  <c r="CO780" i="94"/>
  <c r="CN780" i="94"/>
  <c r="CM780" i="94"/>
  <c r="CL780" i="94"/>
  <c r="CK780" i="94"/>
  <c r="CJ780" i="94"/>
  <c r="CI780" i="94"/>
  <c r="CH780" i="94"/>
  <c r="CG780" i="94"/>
  <c r="CF780" i="94"/>
  <c r="CE780" i="94"/>
  <c r="CD780" i="94"/>
  <c r="CC780" i="94"/>
  <c r="CB780" i="94"/>
  <c r="CA780" i="94"/>
  <c r="BZ780" i="94"/>
  <c r="BY780" i="94"/>
  <c r="BX780" i="94"/>
  <c r="BW780" i="94"/>
  <c r="BV780" i="94"/>
  <c r="BU780" i="94"/>
  <c r="BT780" i="94"/>
  <c r="BS780" i="94"/>
  <c r="BR780" i="94"/>
  <c r="BQ780" i="94"/>
  <c r="BP780" i="94"/>
  <c r="BO780" i="94"/>
  <c r="BN780" i="94"/>
  <c r="BM780" i="94"/>
  <c r="BL780" i="94"/>
  <c r="BK780" i="94"/>
  <c r="BJ780" i="94"/>
  <c r="BI780" i="94"/>
  <c r="BH780" i="94"/>
  <c r="BG780" i="94"/>
  <c r="BF780" i="94"/>
  <c r="BE780" i="94"/>
  <c r="BD780" i="94"/>
  <c r="BC780" i="94"/>
  <c r="BB780" i="94"/>
  <c r="BA780" i="94"/>
  <c r="AZ780" i="94"/>
  <c r="AY780" i="94"/>
  <c r="AX780" i="94"/>
  <c r="AW780" i="94"/>
  <c r="AV780" i="94"/>
  <c r="AU780" i="94"/>
  <c r="AT780" i="94"/>
  <c r="AS780" i="94"/>
  <c r="AR780" i="94"/>
  <c r="AQ780" i="94"/>
  <c r="AP780" i="94"/>
  <c r="AO780" i="94"/>
  <c r="AN780" i="94"/>
  <c r="AM780" i="94"/>
  <c r="AL780" i="94"/>
  <c r="AK780" i="94"/>
  <c r="AJ780" i="94"/>
  <c r="AI780" i="94"/>
  <c r="AH780" i="94"/>
  <c r="AG780" i="94"/>
  <c r="AF780" i="94"/>
  <c r="AE780" i="94"/>
  <c r="AD780" i="94"/>
  <c r="AC780" i="94"/>
  <c r="AB780" i="94"/>
  <c r="AA780" i="94"/>
  <c r="Z780" i="94"/>
  <c r="Y780" i="94"/>
  <c r="X780" i="94"/>
  <c r="NC779" i="94"/>
  <c r="NB779" i="94"/>
  <c r="NA779" i="94"/>
  <c r="MZ779" i="94"/>
  <c r="MJ779" i="94"/>
  <c r="MD779" i="94"/>
  <c r="LS779" i="94"/>
  <c r="LO779" i="94"/>
  <c r="LN779" i="94"/>
  <c r="LM779" i="94"/>
  <c r="LL779" i="94"/>
  <c r="LK779" i="94"/>
  <c r="LJ779" i="94"/>
  <c r="LI779" i="94"/>
  <c r="LG779" i="94"/>
  <c r="LF779" i="94"/>
  <c r="LE779" i="94"/>
  <c r="LD779" i="94"/>
  <c r="LC779" i="94"/>
  <c r="LB779" i="94"/>
  <c r="LA779" i="94"/>
  <c r="KY779" i="94"/>
  <c r="KX779" i="94"/>
  <c r="KW779" i="94"/>
  <c r="KV779" i="94"/>
  <c r="KU779" i="94"/>
  <c r="KT779" i="94"/>
  <c r="KS779" i="94"/>
  <c r="KQ779" i="94"/>
  <c r="KP779" i="94"/>
  <c r="KO779" i="94"/>
  <c r="KN779" i="94"/>
  <c r="KM779" i="94"/>
  <c r="KL779" i="94"/>
  <c r="KK779" i="94"/>
  <c r="KI779" i="94"/>
  <c r="KH779" i="94"/>
  <c r="KG779" i="94"/>
  <c r="KF779" i="94"/>
  <c r="KE779" i="94"/>
  <c r="KD779" i="94"/>
  <c r="KC779" i="94"/>
  <c r="KA779" i="94"/>
  <c r="JZ779" i="94"/>
  <c r="JY779" i="94"/>
  <c r="JX779" i="94"/>
  <c r="JW779" i="94"/>
  <c r="JV779" i="94"/>
  <c r="JU779" i="94"/>
  <c r="JS779" i="94"/>
  <c r="JR779" i="94"/>
  <c r="JQ779" i="94"/>
  <c r="JP779" i="94"/>
  <c r="JO779" i="94"/>
  <c r="JN779" i="94"/>
  <c r="JM779" i="94"/>
  <c r="JK779" i="94"/>
  <c r="JJ779" i="94"/>
  <c r="JI779" i="94"/>
  <c r="JH779" i="94"/>
  <c r="JG779" i="94"/>
  <c r="JF779" i="94"/>
  <c r="JE779" i="94"/>
  <c r="JD779" i="94"/>
  <c r="JC779" i="94"/>
  <c r="JB779" i="94"/>
  <c r="JA779" i="94"/>
  <c r="IZ779" i="94"/>
  <c r="IY779" i="94"/>
  <c r="IX779" i="94"/>
  <c r="IW779" i="94"/>
  <c r="IV779" i="94"/>
  <c r="IU779" i="94"/>
  <c r="IT779" i="94"/>
  <c r="IS779" i="94"/>
  <c r="IR779" i="94"/>
  <c r="IQ779" i="94"/>
  <c r="IP779" i="94"/>
  <c r="IO779" i="94"/>
  <c r="IN779" i="94"/>
  <c r="IM779" i="94"/>
  <c r="IL779" i="94"/>
  <c r="IK779" i="94"/>
  <c r="IJ779" i="94"/>
  <c r="II779" i="94"/>
  <c r="IH779" i="94"/>
  <c r="IG779" i="94"/>
  <c r="IF779" i="94"/>
  <c r="IE779" i="94"/>
  <c r="ID779" i="94"/>
  <c r="IC779" i="94"/>
  <c r="IB779" i="94"/>
  <c r="IA779" i="94"/>
  <c r="HZ779" i="94"/>
  <c r="HW779" i="94"/>
  <c r="HQ779" i="94"/>
  <c r="HN779" i="94"/>
  <c r="HH779" i="94"/>
  <c r="HF779" i="94"/>
  <c r="GZ779" i="94"/>
  <c r="GX779" i="94"/>
  <c r="GR779" i="94"/>
  <c r="GP779" i="94"/>
  <c r="GJ779" i="94"/>
  <c r="GH779" i="94"/>
  <c r="GF779" i="94"/>
  <c r="GE779" i="94"/>
  <c r="GD779" i="94"/>
  <c r="GC779" i="94"/>
  <c r="GB779" i="94"/>
  <c r="GA779" i="94"/>
  <c r="FZ779" i="94"/>
  <c r="FY779" i="94"/>
  <c r="FX779" i="94"/>
  <c r="FW779" i="94"/>
  <c r="FT779" i="94"/>
  <c r="FR779" i="94"/>
  <c r="FL779" i="94"/>
  <c r="FJ779" i="94"/>
  <c r="FD779" i="94"/>
  <c r="FB779" i="94"/>
  <c r="EV779" i="94"/>
  <c r="ET779" i="94"/>
  <c r="EN779" i="94"/>
  <c r="EL779" i="94"/>
  <c r="EH779" i="94"/>
  <c r="EG779" i="94"/>
  <c r="EF779" i="94"/>
  <c r="EE779" i="94"/>
  <c r="ED779" i="94"/>
  <c r="DX779" i="94"/>
  <c r="DV779" i="94"/>
  <c r="DP779" i="94"/>
  <c r="DN779" i="94"/>
  <c r="DH779" i="94"/>
  <c r="DF779" i="94"/>
  <c r="CZ779" i="94"/>
  <c r="CX779" i="94"/>
  <c r="CR779" i="94"/>
  <c r="CP779" i="94"/>
  <c r="CJ779" i="94"/>
  <c r="CH779" i="94"/>
  <c r="CB779" i="94"/>
  <c r="BZ779" i="94"/>
  <c r="BT779" i="94"/>
  <c r="BR779" i="94"/>
  <c r="BL779" i="94"/>
  <c r="BJ779" i="94"/>
  <c r="BD779" i="94"/>
  <c r="BB779" i="94"/>
  <c r="AV779" i="94"/>
  <c r="AT779" i="94"/>
  <c r="AN779" i="94"/>
  <c r="AL779" i="94"/>
  <c r="AF779" i="94"/>
  <c r="AD779" i="94"/>
  <c r="X779" i="94"/>
  <c r="L774" i="94"/>
  <c r="T772" i="94"/>
  <c r="A770" i="94"/>
  <c r="T770" i="94" s="1"/>
  <c r="B766" i="94"/>
  <c r="B763" i="94"/>
  <c r="C758" i="94"/>
  <c r="C741" i="94"/>
  <c r="M758" i="94"/>
  <c r="L758" i="94"/>
  <c r="K758" i="94"/>
  <c r="J758" i="94"/>
  <c r="I758" i="94"/>
  <c r="G758" i="94"/>
  <c r="F758" i="94"/>
  <c r="M757" i="94"/>
  <c r="L757" i="94"/>
  <c r="K757" i="94"/>
  <c r="J757" i="94"/>
  <c r="I757" i="94"/>
  <c r="G757" i="94"/>
  <c r="F757" i="94"/>
  <c r="M756" i="94"/>
  <c r="L756" i="94"/>
  <c r="K756" i="94"/>
  <c r="J756" i="94"/>
  <c r="I756" i="94"/>
  <c r="G756" i="94"/>
  <c r="F756" i="94"/>
  <c r="M755" i="94"/>
  <c r="L755" i="94"/>
  <c r="K755" i="94"/>
  <c r="J755" i="94"/>
  <c r="I755" i="94"/>
  <c r="G755" i="94"/>
  <c r="F755" i="94"/>
  <c r="M754" i="94"/>
  <c r="L754" i="94"/>
  <c r="K754" i="94"/>
  <c r="J754" i="94"/>
  <c r="I754" i="94"/>
  <c r="G754" i="94"/>
  <c r="F754" i="94"/>
  <c r="M753" i="94"/>
  <c r="L753" i="94"/>
  <c r="K753" i="94"/>
  <c r="J753" i="94"/>
  <c r="I753" i="94"/>
  <c r="G753" i="94"/>
  <c r="F753" i="94"/>
  <c r="M752" i="94"/>
  <c r="L752" i="94"/>
  <c r="K752" i="94"/>
  <c r="J752" i="94"/>
  <c r="I752" i="94"/>
  <c r="G752" i="94"/>
  <c r="F752" i="94"/>
  <c r="M751" i="94"/>
  <c r="L751" i="94"/>
  <c r="K751" i="94"/>
  <c r="J751" i="94"/>
  <c r="I751" i="94"/>
  <c r="G751" i="94"/>
  <c r="F751" i="94"/>
  <c r="M750" i="94"/>
  <c r="L750" i="94"/>
  <c r="K750" i="94"/>
  <c r="J750" i="94"/>
  <c r="I750" i="94"/>
  <c r="G750" i="94"/>
  <c r="F750" i="94"/>
  <c r="M749" i="94"/>
  <c r="L749" i="94"/>
  <c r="K749" i="94"/>
  <c r="J749" i="94"/>
  <c r="I749" i="94"/>
  <c r="G749" i="94"/>
  <c r="F749" i="94"/>
  <c r="E756" i="94"/>
  <c r="E739" i="94"/>
  <c r="I733" i="94"/>
  <c r="J733" i="94"/>
  <c r="K733" i="94"/>
  <c r="L733" i="94"/>
  <c r="M733" i="94"/>
  <c r="I734" i="94"/>
  <c r="J734" i="94"/>
  <c r="K734" i="94"/>
  <c r="L734" i="94"/>
  <c r="M734" i="94"/>
  <c r="I735" i="94"/>
  <c r="J735" i="94"/>
  <c r="K735" i="94"/>
  <c r="L735" i="94"/>
  <c r="M735" i="94"/>
  <c r="I736" i="94"/>
  <c r="J736" i="94"/>
  <c r="K736" i="94"/>
  <c r="L736" i="94"/>
  <c r="M736" i="94"/>
  <c r="I737" i="94"/>
  <c r="J737" i="94"/>
  <c r="K737" i="94"/>
  <c r="L737" i="94"/>
  <c r="M737" i="94"/>
  <c r="I738" i="94"/>
  <c r="J738" i="94"/>
  <c r="K738" i="94"/>
  <c r="L738" i="94"/>
  <c r="M738" i="94"/>
  <c r="I739" i="94"/>
  <c r="J739" i="94"/>
  <c r="K739" i="94"/>
  <c r="L739" i="94"/>
  <c r="M739" i="94"/>
  <c r="I740" i="94"/>
  <c r="J740" i="94"/>
  <c r="K740" i="94"/>
  <c r="L740" i="94"/>
  <c r="M740" i="94"/>
  <c r="I741" i="94"/>
  <c r="J741" i="94"/>
  <c r="K741" i="94"/>
  <c r="L741" i="94"/>
  <c r="M741" i="94"/>
  <c r="J732" i="94"/>
  <c r="K732" i="94"/>
  <c r="L732" i="94"/>
  <c r="M732" i="94"/>
  <c r="I732" i="94"/>
  <c r="F733" i="94"/>
  <c r="G733" i="94"/>
  <c r="F734" i="94"/>
  <c r="G734" i="94"/>
  <c r="F735" i="94"/>
  <c r="G735" i="94"/>
  <c r="F736" i="94"/>
  <c r="G736" i="94"/>
  <c r="F737" i="94"/>
  <c r="G737" i="94"/>
  <c r="F738" i="94"/>
  <c r="G738" i="94"/>
  <c r="F739" i="94"/>
  <c r="G739" i="94"/>
  <c r="F740" i="94"/>
  <c r="G740" i="94"/>
  <c r="F741" i="94"/>
  <c r="G741" i="94"/>
  <c r="G732" i="94"/>
  <c r="F732" i="94"/>
  <c r="D751" i="94"/>
  <c r="D750" i="94"/>
  <c r="D749" i="94"/>
  <c r="D733" i="94"/>
  <c r="D734" i="94"/>
  <c r="D732" i="94"/>
  <c r="L745" i="94"/>
  <c r="I745" i="94"/>
  <c r="I744" i="94"/>
  <c r="L728" i="94"/>
  <c r="I728" i="94"/>
  <c r="I727" i="94"/>
  <c r="B723" i="94"/>
  <c r="A721" i="94"/>
  <c r="H714" i="94"/>
  <c r="F714" i="94"/>
  <c r="H708" i="94"/>
  <c r="F708" i="94"/>
  <c r="F702" i="94"/>
  <c r="F696" i="94"/>
  <c r="F691" i="94"/>
  <c r="F685" i="94"/>
  <c r="H673" i="94"/>
  <c r="F673" i="94"/>
  <c r="H668" i="94"/>
  <c r="F668" i="94"/>
  <c r="H679" i="94"/>
  <c r="F679" i="94"/>
  <c r="H662" i="94"/>
  <c r="F662" i="94"/>
  <c r="H656" i="94"/>
  <c r="H651" i="94"/>
  <c r="H646" i="94"/>
  <c r="F651" i="94"/>
  <c r="F656" i="94"/>
  <c r="F646" i="94"/>
  <c r="A646" i="94"/>
  <c r="B649" i="94"/>
  <c r="D649" i="94"/>
  <c r="A651" i="94"/>
  <c r="B654" i="94"/>
  <c r="D654" i="94"/>
  <c r="A656" i="94"/>
  <c r="B659" i="94"/>
  <c r="D659" i="94"/>
  <c r="A662" i="94"/>
  <c r="B665" i="94"/>
  <c r="D665" i="94"/>
  <c r="A668" i="94"/>
  <c r="B671" i="94"/>
  <c r="D671" i="94"/>
  <c r="A673" i="94"/>
  <c r="B676" i="94"/>
  <c r="D676" i="94"/>
  <c r="A679" i="94"/>
  <c r="B682" i="94"/>
  <c r="D682" i="94"/>
  <c r="A685" i="94"/>
  <c r="B688" i="94"/>
  <c r="A691" i="94"/>
  <c r="B694" i="94"/>
  <c r="A696" i="94"/>
  <c r="B699" i="94"/>
  <c r="A702" i="94"/>
  <c r="B705" i="94"/>
  <c r="A708" i="94"/>
  <c r="B711" i="94"/>
  <c r="D711" i="94"/>
  <c r="A714" i="94"/>
  <c r="B717" i="94"/>
  <c r="D717" i="94"/>
  <c r="N634" i="94"/>
  <c r="A634" i="94"/>
  <c r="J628" i="94"/>
  <c r="Q621" i="94"/>
  <c r="N621" i="94"/>
  <c r="T618" i="94"/>
  <c r="C591" i="94"/>
  <c r="P602" i="94"/>
  <c r="M602" i="94"/>
  <c r="J602" i="94"/>
  <c r="R598" i="94"/>
  <c r="H598" i="94"/>
  <c r="P598" i="94"/>
  <c r="J598" i="94"/>
  <c r="J591" i="94"/>
  <c r="J590" i="94"/>
  <c r="P591" i="94"/>
  <c r="P590" i="94"/>
  <c r="P589" i="94"/>
  <c r="P588" i="94"/>
  <c r="P587" i="94"/>
  <c r="P586" i="94"/>
  <c r="J587" i="94"/>
  <c r="J588" i="94"/>
  <c r="J589" i="94"/>
  <c r="J586" i="94"/>
  <c r="S575" i="94"/>
  <c r="S574" i="94"/>
  <c r="P575" i="94"/>
  <c r="P574" i="94"/>
  <c r="M575" i="94"/>
  <c r="M574" i="94"/>
  <c r="J575" i="94"/>
  <c r="J574" i="94"/>
  <c r="G575" i="94"/>
  <c r="G574" i="94"/>
  <c r="P571" i="94"/>
  <c r="P570" i="94"/>
  <c r="M571" i="94"/>
  <c r="M570" i="94"/>
  <c r="J571" i="94"/>
  <c r="S571" i="94"/>
  <c r="S570" i="94"/>
  <c r="S569" i="94"/>
  <c r="S568" i="94"/>
  <c r="S567" i="94"/>
  <c r="S566" i="94"/>
  <c r="G567" i="94"/>
  <c r="G568" i="94"/>
  <c r="G569" i="94"/>
  <c r="G570" i="94"/>
  <c r="G571" i="94"/>
  <c r="S563" i="94"/>
  <c r="S562" i="94"/>
  <c r="S561" i="94"/>
  <c r="P563" i="94"/>
  <c r="P562" i="94"/>
  <c r="P561" i="94"/>
  <c r="M563" i="94"/>
  <c r="M562" i="94"/>
  <c r="M561" i="94"/>
  <c r="J563" i="94"/>
  <c r="J562" i="94"/>
  <c r="J561" i="94"/>
  <c r="G562" i="94"/>
  <c r="G563" i="94"/>
  <c r="S559" i="94"/>
  <c r="P559" i="94"/>
  <c r="M559" i="94"/>
  <c r="J559" i="94"/>
  <c r="S556" i="94"/>
  <c r="S555" i="94"/>
  <c r="S554" i="94"/>
  <c r="S553" i="94"/>
  <c r="G554" i="94"/>
  <c r="G555" i="94"/>
  <c r="G556" i="94"/>
  <c r="E528" i="94"/>
  <c r="E527" i="94"/>
  <c r="S550" i="94"/>
  <c r="S549" i="94"/>
  <c r="S548" i="94"/>
  <c r="S547" i="94"/>
  <c r="S546" i="94"/>
  <c r="S545" i="94"/>
  <c r="S544" i="94"/>
  <c r="S543" i="94"/>
  <c r="S542" i="94"/>
  <c r="G543" i="94"/>
  <c r="G544" i="94"/>
  <c r="G545" i="94"/>
  <c r="G546" i="94"/>
  <c r="G547" i="94"/>
  <c r="G548" i="94"/>
  <c r="G549" i="94"/>
  <c r="G550" i="94"/>
  <c r="S536" i="94"/>
  <c r="S535" i="94"/>
  <c r="S534" i="94"/>
  <c r="S533" i="94"/>
  <c r="S532" i="94"/>
  <c r="S531" i="94"/>
  <c r="G532" i="94"/>
  <c r="G533" i="94"/>
  <c r="G534" i="94"/>
  <c r="G535" i="94"/>
  <c r="G536" i="94"/>
  <c r="S528" i="94"/>
  <c r="S527" i="94"/>
  <c r="S526" i="94"/>
  <c r="S525" i="94"/>
  <c r="P528" i="94"/>
  <c r="P527" i="94"/>
  <c r="P526" i="94"/>
  <c r="P525" i="94"/>
  <c r="M528" i="94"/>
  <c r="M527" i="94"/>
  <c r="M526" i="94"/>
  <c r="M525" i="94"/>
  <c r="J528" i="94"/>
  <c r="J527" i="94"/>
  <c r="J526" i="94"/>
  <c r="J525" i="94"/>
  <c r="G526" i="94"/>
  <c r="G527" i="94"/>
  <c r="G528" i="94"/>
  <c r="S522" i="94"/>
  <c r="S521" i="94"/>
  <c r="S520" i="94"/>
  <c r="S519" i="94"/>
  <c r="S518" i="94"/>
  <c r="S517" i="94"/>
  <c r="S516" i="94"/>
  <c r="S515" i="94"/>
  <c r="S514" i="94"/>
  <c r="S513" i="94"/>
  <c r="S512" i="94"/>
  <c r="P522" i="94"/>
  <c r="P521" i="94"/>
  <c r="P520" i="94"/>
  <c r="P519" i="94"/>
  <c r="P518" i="94"/>
  <c r="P517" i="94"/>
  <c r="P516" i="94"/>
  <c r="P515" i="94"/>
  <c r="P514" i="94"/>
  <c r="P513" i="94"/>
  <c r="P512" i="94"/>
  <c r="M522" i="94"/>
  <c r="M521" i="94"/>
  <c r="M520" i="94"/>
  <c r="M519" i="94"/>
  <c r="M518" i="94"/>
  <c r="M517" i="94"/>
  <c r="M516" i="94"/>
  <c r="M515" i="94"/>
  <c r="M514" i="94"/>
  <c r="M513" i="94"/>
  <c r="M512" i="94"/>
  <c r="J522" i="94"/>
  <c r="J521" i="94"/>
  <c r="J520" i="94"/>
  <c r="J519" i="94"/>
  <c r="J518" i="94"/>
  <c r="J517" i="94"/>
  <c r="J516" i="94"/>
  <c r="J515" i="94"/>
  <c r="J514" i="94"/>
  <c r="J513" i="94"/>
  <c r="J512" i="94"/>
  <c r="G513" i="94"/>
  <c r="G514" i="94"/>
  <c r="G515" i="94"/>
  <c r="G516" i="94"/>
  <c r="G517" i="94"/>
  <c r="G518" i="94"/>
  <c r="G519" i="94"/>
  <c r="G520" i="94"/>
  <c r="G521" i="94"/>
  <c r="G522" i="94"/>
  <c r="S509" i="94"/>
  <c r="S508" i="94"/>
  <c r="S507" i="94"/>
  <c r="S506" i="94"/>
  <c r="S505" i="94"/>
  <c r="S504" i="94"/>
  <c r="S503" i="94"/>
  <c r="S502" i="94"/>
  <c r="S501" i="94"/>
  <c r="S500" i="94"/>
  <c r="S499" i="94"/>
  <c r="S498" i="94"/>
  <c r="P509" i="94"/>
  <c r="P508" i="94"/>
  <c r="P507" i="94"/>
  <c r="P506" i="94"/>
  <c r="P505" i="94"/>
  <c r="P504" i="94"/>
  <c r="P503" i="94"/>
  <c r="P502" i="94"/>
  <c r="P501" i="94"/>
  <c r="P500" i="94"/>
  <c r="P499" i="94"/>
  <c r="P498" i="94"/>
  <c r="M509" i="94"/>
  <c r="M508" i="94"/>
  <c r="M507" i="94"/>
  <c r="M506" i="94"/>
  <c r="M505" i="94"/>
  <c r="M504" i="94"/>
  <c r="M503" i="94"/>
  <c r="M502" i="94"/>
  <c r="M501" i="94"/>
  <c r="M500" i="94"/>
  <c r="M499" i="94"/>
  <c r="M498" i="94"/>
  <c r="J509" i="94"/>
  <c r="J508" i="94"/>
  <c r="J507" i="94"/>
  <c r="J506" i="94"/>
  <c r="J505" i="94"/>
  <c r="J504" i="94"/>
  <c r="J503" i="94"/>
  <c r="J502" i="94"/>
  <c r="J501" i="94"/>
  <c r="J500" i="94"/>
  <c r="J499" i="94"/>
  <c r="J498" i="94"/>
  <c r="G499" i="94"/>
  <c r="G500" i="94"/>
  <c r="G501" i="94"/>
  <c r="G502" i="94"/>
  <c r="G503" i="94"/>
  <c r="G504" i="94"/>
  <c r="G505" i="94"/>
  <c r="G506" i="94"/>
  <c r="G507" i="94"/>
  <c r="G508" i="94"/>
  <c r="G509" i="94"/>
  <c r="C575" i="94"/>
  <c r="C571" i="94"/>
  <c r="C556" i="94"/>
  <c r="C550" i="94"/>
  <c r="C549" i="94"/>
  <c r="C536" i="94"/>
  <c r="C522" i="94"/>
  <c r="C509" i="94"/>
  <c r="C508" i="94"/>
  <c r="C487" i="94"/>
  <c r="C462" i="94"/>
  <c r="C461" i="94"/>
  <c r="S483" i="94"/>
  <c r="S482" i="94"/>
  <c r="S481" i="94"/>
  <c r="P483" i="94"/>
  <c r="P482" i="94"/>
  <c r="P481" i="94"/>
  <c r="M483" i="94"/>
  <c r="M482" i="94"/>
  <c r="M481" i="94"/>
  <c r="J483" i="94"/>
  <c r="J482" i="94"/>
  <c r="J481" i="94"/>
  <c r="G482" i="94"/>
  <c r="G483" i="94"/>
  <c r="S478" i="94"/>
  <c r="S477" i="94"/>
  <c r="S476" i="94"/>
  <c r="S475" i="94"/>
  <c r="P478" i="94"/>
  <c r="P477" i="94"/>
  <c r="P476" i="94"/>
  <c r="P475" i="94"/>
  <c r="M478" i="94"/>
  <c r="M477" i="94"/>
  <c r="M476" i="94"/>
  <c r="M475" i="94"/>
  <c r="J478" i="94"/>
  <c r="J477" i="94"/>
  <c r="J476" i="94"/>
  <c r="J475" i="94"/>
  <c r="G478" i="94"/>
  <c r="G477" i="94"/>
  <c r="G476" i="94"/>
  <c r="G475" i="94"/>
  <c r="G472" i="94"/>
  <c r="J472" i="94"/>
  <c r="S472" i="94"/>
  <c r="S466" i="94"/>
  <c r="S467" i="94"/>
  <c r="S468" i="94"/>
  <c r="M468" i="94"/>
  <c r="G466" i="94"/>
  <c r="G467" i="94"/>
  <c r="G468" i="94"/>
  <c r="C460" i="94"/>
  <c r="J570" i="94"/>
  <c r="G566" i="94"/>
  <c r="G561" i="94"/>
  <c r="G559" i="94"/>
  <c r="G553" i="94"/>
  <c r="G542" i="94"/>
  <c r="G531" i="94"/>
  <c r="G525" i="94"/>
  <c r="G512" i="94"/>
  <c r="G498" i="94"/>
  <c r="S493" i="94"/>
  <c r="P493" i="94"/>
  <c r="M493" i="94"/>
  <c r="J493" i="94"/>
  <c r="G493" i="94"/>
  <c r="S487" i="94"/>
  <c r="P487" i="94"/>
  <c r="M487" i="94"/>
  <c r="J487" i="94"/>
  <c r="G487" i="94"/>
  <c r="G481" i="94"/>
  <c r="G471" i="94"/>
  <c r="J471" i="94"/>
  <c r="M471" i="94"/>
  <c r="P471" i="94"/>
  <c r="S471" i="94"/>
  <c r="S465" i="94"/>
  <c r="M467" i="94"/>
  <c r="G465" i="94"/>
  <c r="KA810" i="94" l="1"/>
  <c r="DN803" i="94"/>
  <c r="CH803" i="94"/>
  <c r="LI808" i="94"/>
  <c r="KQ808" i="94"/>
  <c r="JX808" i="94"/>
  <c r="JG808" i="94"/>
  <c r="IV808" i="94"/>
  <c r="II808" i="94"/>
  <c r="LG808" i="94"/>
  <c r="KN808" i="94"/>
  <c r="JU808" i="94"/>
  <c r="JF808" i="94"/>
  <c r="IU808" i="94"/>
  <c r="IH808" i="94"/>
  <c r="IQ808" i="94"/>
  <c r="IF808" i="94"/>
  <c r="LO806" i="94"/>
  <c r="LG806" i="94"/>
  <c r="KY806" i="94"/>
  <c r="KQ806" i="94"/>
  <c r="KI806" i="94"/>
  <c r="KA806" i="94"/>
  <c r="JS806" i="94"/>
  <c r="JK806" i="94"/>
  <c r="JC806" i="94"/>
  <c r="IU806" i="94"/>
  <c r="IM806" i="94"/>
  <c r="IE806" i="94"/>
  <c r="NC806" i="94"/>
  <c r="LM806" i="94"/>
  <c r="LE806" i="94"/>
  <c r="KW806" i="94"/>
  <c r="KO806" i="94"/>
  <c r="KG806" i="94"/>
  <c r="JY806" i="94"/>
  <c r="JQ806" i="94"/>
  <c r="JI806" i="94"/>
  <c r="JA806" i="94"/>
  <c r="IS806" i="94"/>
  <c r="IK806" i="94"/>
  <c r="NA806" i="94"/>
  <c r="LK806" i="94"/>
  <c r="LC806" i="94"/>
  <c r="KU806" i="94"/>
  <c r="KM806" i="94"/>
  <c r="KE806" i="94"/>
  <c r="JW806" i="94"/>
  <c r="JO806" i="94"/>
  <c r="JG806" i="94"/>
  <c r="IY806" i="94"/>
  <c r="IQ806" i="94"/>
  <c r="II806" i="94"/>
  <c r="LP804" i="94"/>
  <c r="LH804" i="94"/>
  <c r="KZ804" i="94"/>
  <c r="KR804" i="94"/>
  <c r="KJ804" i="94"/>
  <c r="KB804" i="94"/>
  <c r="JT804" i="94"/>
  <c r="JL804" i="94"/>
  <c r="JD804" i="94"/>
  <c r="IV804" i="94"/>
  <c r="IN804" i="94"/>
  <c r="IF804" i="94"/>
  <c r="ND804" i="94"/>
  <c r="LN804" i="94"/>
  <c r="LF804" i="94"/>
  <c r="KX804" i="94"/>
  <c r="KP804" i="94"/>
  <c r="KH804" i="94"/>
  <c r="JZ804" i="94"/>
  <c r="JR804" i="94"/>
  <c r="JJ804" i="94"/>
  <c r="JB804" i="94"/>
  <c r="IT804" i="94"/>
  <c r="IL804" i="94"/>
  <c r="NB804" i="94"/>
  <c r="LL804" i="94"/>
  <c r="LD804" i="94"/>
  <c r="KV804" i="94"/>
  <c r="KN804" i="94"/>
  <c r="KF804" i="94"/>
  <c r="JX804" i="94"/>
  <c r="JP804" i="94"/>
  <c r="JH804" i="94"/>
  <c r="IZ804" i="94"/>
  <c r="IR804" i="94"/>
  <c r="IJ804" i="94"/>
  <c r="NC802" i="94"/>
  <c r="LM802" i="94"/>
  <c r="LE802" i="94"/>
  <c r="KW802" i="94"/>
  <c r="KO802" i="94"/>
  <c r="KG802" i="94"/>
  <c r="JY802" i="94"/>
  <c r="JQ802" i="94"/>
  <c r="JI802" i="94"/>
  <c r="JA802" i="94"/>
  <c r="IS802" i="94"/>
  <c r="IK802" i="94"/>
  <c r="LI802" i="94"/>
  <c r="LA802" i="94"/>
  <c r="KS802" i="94"/>
  <c r="KK802" i="94"/>
  <c r="KC802" i="94"/>
  <c r="JU802" i="94"/>
  <c r="JM802" i="94"/>
  <c r="JE802" i="94"/>
  <c r="IW802" i="94"/>
  <c r="IO802" i="94"/>
  <c r="IG802" i="94"/>
  <c r="MY816" i="94"/>
  <c r="MQ816" i="94"/>
  <c r="MX816" i="94"/>
  <c r="MP816" i="94"/>
  <c r="MW816" i="94"/>
  <c r="MV816" i="94"/>
  <c r="MR816" i="94"/>
  <c r="MU816" i="94"/>
  <c r="MT816" i="94"/>
  <c r="MS816" i="94"/>
  <c r="MK816" i="94"/>
  <c r="IC816" i="94"/>
  <c r="HM816" i="94"/>
  <c r="GW816" i="94"/>
  <c r="GG816" i="94"/>
  <c r="FO816" i="94"/>
  <c r="EY816" i="94"/>
  <c r="EI816" i="94"/>
  <c r="DM816" i="94"/>
  <c r="CQ816" i="94"/>
  <c r="BY816" i="94"/>
  <c r="BI816" i="94"/>
  <c r="AS816" i="94"/>
  <c r="AC816" i="94"/>
  <c r="MI816" i="94"/>
  <c r="IB816" i="94"/>
  <c r="HL816" i="94"/>
  <c r="GV816" i="94"/>
  <c r="GF816" i="94"/>
  <c r="FN816" i="94"/>
  <c r="EX816" i="94"/>
  <c r="EH816" i="94"/>
  <c r="DL816" i="94"/>
  <c r="CO816" i="94"/>
  <c r="BX816" i="94"/>
  <c r="BH816" i="94"/>
  <c r="AR816" i="94"/>
  <c r="AB816" i="94"/>
  <c r="MF816" i="94"/>
  <c r="HZ816" i="94"/>
  <c r="HJ816" i="94"/>
  <c r="GT816" i="94"/>
  <c r="GD816" i="94"/>
  <c r="FL816" i="94"/>
  <c r="EV816" i="94"/>
  <c r="EF816" i="94"/>
  <c r="DI816" i="94"/>
  <c r="CM816" i="94"/>
  <c r="BV816" i="94"/>
  <c r="BF816" i="94"/>
  <c r="AP816" i="94"/>
  <c r="Z816" i="94"/>
  <c r="LX816" i="94"/>
  <c r="HU816" i="94"/>
  <c r="HE816" i="94"/>
  <c r="GO816" i="94"/>
  <c r="FW816" i="94"/>
  <c r="FG816" i="94"/>
  <c r="EQ816" i="94"/>
  <c r="EA816" i="94"/>
  <c r="DA816" i="94"/>
  <c r="CG816" i="94"/>
  <c r="BQ816" i="94"/>
  <c r="BA816" i="94"/>
  <c r="AK816" i="94"/>
  <c r="ID816" i="94"/>
  <c r="GX816" i="94"/>
  <c r="FP816" i="94"/>
  <c r="EJ816" i="94"/>
  <c r="CR816" i="94"/>
  <c r="BJ816" i="94"/>
  <c r="AD816" i="94"/>
  <c r="HV816" i="94"/>
  <c r="GP816" i="94"/>
  <c r="FH816" i="94"/>
  <c r="EB816" i="94"/>
  <c r="CI816" i="94"/>
  <c r="BB816" i="94"/>
  <c r="HT816" i="94"/>
  <c r="GN816" i="94"/>
  <c r="FF816" i="94"/>
  <c r="DY816" i="94"/>
  <c r="CF816" i="94"/>
  <c r="AZ816" i="94"/>
  <c r="ML816" i="94"/>
  <c r="HN816" i="94"/>
  <c r="GH816" i="94"/>
  <c r="EZ816" i="94"/>
  <c r="DP816" i="94"/>
  <c r="BZ816" i="94"/>
  <c r="AT816" i="94"/>
  <c r="MS815" i="94"/>
  <c r="MR815" i="94"/>
  <c r="MY815" i="94"/>
  <c r="MQ815" i="94"/>
  <c r="MX815" i="94"/>
  <c r="MP815" i="94"/>
  <c r="MW815" i="94"/>
  <c r="MV815" i="94"/>
  <c r="MU815" i="94"/>
  <c r="MT815" i="94"/>
  <c r="FL815" i="94"/>
  <c r="EV815" i="94"/>
  <c r="EF815" i="94"/>
  <c r="AX815" i="94"/>
  <c r="AH815" i="94"/>
  <c r="GC815" i="94"/>
  <c r="FH815" i="94"/>
  <c r="ER815" i="94"/>
  <c r="BJ815" i="94"/>
  <c r="AT815" i="94"/>
  <c r="AD815" i="94"/>
  <c r="GB815" i="94"/>
  <c r="FG815" i="94"/>
  <c r="EQ815" i="94"/>
  <c r="BI815" i="94"/>
  <c r="AS815" i="94"/>
  <c r="AC815" i="94"/>
  <c r="LY815" i="94"/>
  <c r="FT815" i="94"/>
  <c r="FD815" i="94"/>
  <c r="EN815" i="94"/>
  <c r="BF815" i="94"/>
  <c r="AP815" i="94"/>
  <c r="Z815" i="94"/>
  <c r="FN815" i="94"/>
  <c r="EH815" i="94"/>
  <c r="AJ815" i="94"/>
  <c r="LZ815" i="94"/>
  <c r="FF815" i="94"/>
  <c r="BH815" i="94"/>
  <c r="AB815" i="94"/>
  <c r="LW815" i="94"/>
  <c r="EZ815" i="94"/>
  <c r="BB815" i="94"/>
  <c r="LR815" i="94"/>
  <c r="EX815" i="94"/>
  <c r="AZ815" i="94"/>
  <c r="MU814" i="94"/>
  <c r="MT814" i="94"/>
  <c r="MS814" i="94"/>
  <c r="MR814" i="94"/>
  <c r="MY814" i="94"/>
  <c r="MQ814" i="94"/>
  <c r="MV814" i="94"/>
  <c r="MX814" i="94"/>
  <c r="MP814" i="94"/>
  <c r="MW814" i="94"/>
  <c r="MI814" i="94"/>
  <c r="LU814" i="94"/>
  <c r="HY814" i="94"/>
  <c r="HN814" i="94"/>
  <c r="HD814" i="94"/>
  <c r="GS814" i="94"/>
  <c r="GH814" i="94"/>
  <c r="FR814" i="94"/>
  <c r="FG814" i="94"/>
  <c r="EW814" i="94"/>
  <c r="EO814" i="94"/>
  <c r="EG814" i="94"/>
  <c r="BG814" i="94"/>
  <c r="AY814" i="94"/>
  <c r="AQ814" i="94"/>
  <c r="AI814" i="94"/>
  <c r="AA814" i="94"/>
  <c r="MG814" i="94"/>
  <c r="LT814" i="94"/>
  <c r="HW814" i="94"/>
  <c r="HM814" i="94"/>
  <c r="HB814" i="94"/>
  <c r="GQ814" i="94"/>
  <c r="GG814" i="94"/>
  <c r="FQ814" i="94"/>
  <c r="FF814" i="94"/>
  <c r="EV814" i="94"/>
  <c r="EN814" i="94"/>
  <c r="EF814" i="94"/>
  <c r="BF814" i="94"/>
  <c r="AX814" i="94"/>
  <c r="AP814" i="94"/>
  <c r="AH814" i="94"/>
  <c r="Z814" i="94"/>
  <c r="MC814" i="94"/>
  <c r="LS814" i="94"/>
  <c r="HV814" i="94"/>
  <c r="HL814" i="94"/>
  <c r="HA814" i="94"/>
  <c r="GP814" i="94"/>
  <c r="GF814" i="94"/>
  <c r="FO814" i="94"/>
  <c r="MA814" i="94"/>
  <c r="ID814" i="94"/>
  <c r="HT814" i="94"/>
  <c r="HI814" i="94"/>
  <c r="GX814" i="94"/>
  <c r="GN814" i="94"/>
  <c r="GC814" i="94"/>
  <c r="FM814" i="94"/>
  <c r="FB814" i="94"/>
  <c r="ES814" i="94"/>
  <c r="EK814" i="94"/>
  <c r="BK814" i="94"/>
  <c r="BC814" i="94"/>
  <c r="AU814" i="94"/>
  <c r="AM814" i="94"/>
  <c r="AE814" i="94"/>
  <c r="LV814" i="94"/>
  <c r="HO814" i="94"/>
  <c r="GT814" i="94"/>
  <c r="FT814" i="94"/>
  <c r="EY814" i="94"/>
  <c r="EL814" i="94"/>
  <c r="BH814" i="94"/>
  <c r="AT814" i="94"/>
  <c r="AG814" i="94"/>
  <c r="LQ814" i="94"/>
  <c r="HJ814" i="94"/>
  <c r="GO814" i="94"/>
  <c r="FN814" i="94"/>
  <c r="EX814" i="94"/>
  <c r="EJ814" i="94"/>
  <c r="BE814" i="94"/>
  <c r="AS814" i="94"/>
  <c r="AF814" i="94"/>
  <c r="MO814" i="94"/>
  <c r="IC814" i="94"/>
  <c r="HG814" i="94"/>
  <c r="GL814" i="94"/>
  <c r="FL814" i="94"/>
  <c r="EU814" i="94"/>
  <c r="EI814" i="94"/>
  <c r="BD814" i="94"/>
  <c r="AR814" i="94"/>
  <c r="AD814" i="94"/>
  <c r="MJ814" i="94"/>
  <c r="HZ814" i="94"/>
  <c r="HE814" i="94"/>
  <c r="GI814" i="94"/>
  <c r="FI814" i="94"/>
  <c r="ER814" i="94"/>
  <c r="EE814" i="94"/>
  <c r="BA814" i="94"/>
  <c r="AN814" i="94"/>
  <c r="AB814" i="94"/>
  <c r="MW813" i="94"/>
  <c r="MX813" i="94"/>
  <c r="MV813" i="94"/>
  <c r="MU813" i="94"/>
  <c r="MP813" i="94"/>
  <c r="MT813" i="94"/>
  <c r="MS813" i="94"/>
  <c r="MR813" i="94"/>
  <c r="MY813" i="94"/>
  <c r="MQ813" i="94"/>
  <c r="LR813" i="94"/>
  <c r="FQ813" i="94"/>
  <c r="FA813" i="94"/>
  <c r="EM813" i="94"/>
  <c r="CK813" i="94"/>
  <c r="AZ813" i="94"/>
  <c r="AL813" i="94"/>
  <c r="AA813" i="94"/>
  <c r="IA813" i="94"/>
  <c r="FO813" i="94"/>
  <c r="EY813" i="94"/>
  <c r="LZ813" i="94"/>
  <c r="GD813" i="94"/>
  <c r="FI813" i="94"/>
  <c r="ET813" i="94"/>
  <c r="EF813" i="94"/>
  <c r="BG813" i="94"/>
  <c r="AS813" i="94"/>
  <c r="AG813" i="94"/>
  <c r="LT813" i="94"/>
  <c r="FJ813" i="94"/>
  <c r="EN813" i="94"/>
  <c r="BI813" i="94"/>
  <c r="AR813" i="94"/>
  <c r="AB813" i="94"/>
  <c r="LS813" i="94"/>
  <c r="FG813" i="94"/>
  <c r="EL813" i="94"/>
  <c r="BH813" i="94"/>
  <c r="AQ813" i="94"/>
  <c r="Y813" i="94"/>
  <c r="GF813" i="94"/>
  <c r="FC813" i="94"/>
  <c r="EK813" i="94"/>
  <c r="BE813" i="94"/>
  <c r="AO813" i="94"/>
  <c r="GB813" i="94"/>
  <c r="EV813" i="94"/>
  <c r="EE813" i="94"/>
  <c r="BA813" i="94"/>
  <c r="AJ813" i="94"/>
  <c r="MY812" i="94"/>
  <c r="MQ812" i="94"/>
  <c r="MX812" i="94"/>
  <c r="MP812" i="94"/>
  <c r="MR812" i="94"/>
  <c r="MW812" i="94"/>
  <c r="MV812" i="94"/>
  <c r="MU812" i="94"/>
  <c r="MT812" i="94"/>
  <c r="MS812" i="94"/>
  <c r="MI812" i="94"/>
  <c r="MM812" i="94"/>
  <c r="ME812" i="94"/>
  <c r="MG812" i="94"/>
  <c r="LX812" i="94"/>
  <c r="LC812" i="94"/>
  <c r="HY812" i="94"/>
  <c r="HQ812" i="94"/>
  <c r="HI812" i="94"/>
  <c r="HA812" i="94"/>
  <c r="GS812" i="94"/>
  <c r="GK812" i="94"/>
  <c r="GC812" i="94"/>
  <c r="FT812" i="94"/>
  <c r="FL812" i="94"/>
  <c r="FD812" i="94"/>
  <c r="EV812" i="94"/>
  <c r="EN812" i="94"/>
  <c r="EF812" i="94"/>
  <c r="DX812" i="94"/>
  <c r="DP812" i="94"/>
  <c r="DH812" i="94"/>
  <c r="CZ812" i="94"/>
  <c r="CR812" i="94"/>
  <c r="CJ812" i="94"/>
  <c r="CB812" i="94"/>
  <c r="BT812" i="94"/>
  <c r="BL812" i="94"/>
  <c r="BD812" i="94"/>
  <c r="AV812" i="94"/>
  <c r="AN812" i="94"/>
  <c r="AF812" i="94"/>
  <c r="X812" i="94"/>
  <c r="MF812" i="94"/>
  <c r="LW812" i="94"/>
  <c r="JO812" i="94"/>
  <c r="HX812" i="94"/>
  <c r="HP812" i="94"/>
  <c r="HH812" i="94"/>
  <c r="GZ812" i="94"/>
  <c r="GR812" i="94"/>
  <c r="GJ812" i="94"/>
  <c r="GB812" i="94"/>
  <c r="FS812" i="94"/>
  <c r="FK812" i="94"/>
  <c r="FC812" i="94"/>
  <c r="EU812" i="94"/>
  <c r="EM812" i="94"/>
  <c r="EE812" i="94"/>
  <c r="DW812" i="94"/>
  <c r="DO812" i="94"/>
  <c r="DG812" i="94"/>
  <c r="MO812" i="94"/>
  <c r="MD812" i="94"/>
  <c r="LV812" i="94"/>
  <c r="IQ812" i="94"/>
  <c r="HW812" i="94"/>
  <c r="HO812" i="94"/>
  <c r="HG812" i="94"/>
  <c r="GY812" i="94"/>
  <c r="GQ812" i="94"/>
  <c r="GI812" i="94"/>
  <c r="GA812" i="94"/>
  <c r="FR812" i="94"/>
  <c r="FJ812" i="94"/>
  <c r="FB812" i="94"/>
  <c r="ET812" i="94"/>
  <c r="EL812" i="94"/>
  <c r="ED812" i="94"/>
  <c r="DV812" i="94"/>
  <c r="DN812" i="94"/>
  <c r="DF812" i="94"/>
  <c r="CX812" i="94"/>
  <c r="CP812" i="94"/>
  <c r="CH812" i="94"/>
  <c r="BZ812" i="94"/>
  <c r="BR812" i="94"/>
  <c r="BJ812" i="94"/>
  <c r="BB812" i="94"/>
  <c r="AT812" i="94"/>
  <c r="AL812" i="94"/>
  <c r="AD812" i="94"/>
  <c r="ML812" i="94"/>
  <c r="MB812" i="94"/>
  <c r="LT812" i="94"/>
  <c r="IC812" i="94"/>
  <c r="HU812" i="94"/>
  <c r="HM812" i="94"/>
  <c r="HE812" i="94"/>
  <c r="GW812" i="94"/>
  <c r="GO812" i="94"/>
  <c r="GG812" i="94"/>
  <c r="FY812" i="94"/>
  <c r="FP812" i="94"/>
  <c r="FH812" i="94"/>
  <c r="EZ812" i="94"/>
  <c r="ER812" i="94"/>
  <c r="EJ812" i="94"/>
  <c r="EB812" i="94"/>
  <c r="DT812" i="94"/>
  <c r="DL812" i="94"/>
  <c r="DD812" i="94"/>
  <c r="CV812" i="94"/>
  <c r="CN812" i="94"/>
  <c r="CF812" i="94"/>
  <c r="BX812" i="94"/>
  <c r="BP812" i="94"/>
  <c r="BH812" i="94"/>
  <c r="AZ812" i="94"/>
  <c r="AR812" i="94"/>
  <c r="AJ812" i="94"/>
  <c r="AB812" i="94"/>
  <c r="MS811" i="94"/>
  <c r="MR811" i="94"/>
  <c r="MY811" i="94"/>
  <c r="MQ811" i="94"/>
  <c r="MX811" i="94"/>
  <c r="MP811" i="94"/>
  <c r="MW811" i="94"/>
  <c r="MV811" i="94"/>
  <c r="MU811" i="94"/>
  <c r="MT811" i="94"/>
  <c r="LS811" i="94"/>
  <c r="GB811" i="94"/>
  <c r="FP811" i="94"/>
  <c r="FH811" i="94"/>
  <c r="EZ811" i="94"/>
  <c r="ER811" i="94"/>
  <c r="EJ811" i="94"/>
  <c r="BJ811" i="94"/>
  <c r="BB811" i="94"/>
  <c r="AT811" i="94"/>
  <c r="AL811" i="94"/>
  <c r="AD811" i="94"/>
  <c r="LY811" i="94"/>
  <c r="LQ811" i="94"/>
  <c r="FV811" i="94"/>
  <c r="FN811" i="94"/>
  <c r="FF811" i="94"/>
  <c r="EX811" i="94"/>
  <c r="EP811" i="94"/>
  <c r="EH811" i="94"/>
  <c r="BH811" i="94"/>
  <c r="AZ811" i="94"/>
  <c r="AR811" i="94"/>
  <c r="AJ811" i="94"/>
  <c r="LW811" i="94"/>
  <c r="GF811" i="94"/>
  <c r="FT811" i="94"/>
  <c r="FL811" i="94"/>
  <c r="FD811" i="94"/>
  <c r="EV811" i="94"/>
  <c r="EN811" i="94"/>
  <c r="EF811" i="94"/>
  <c r="BF811" i="94"/>
  <c r="AX811" i="94"/>
  <c r="AP811" i="94"/>
  <c r="AH811" i="94"/>
  <c r="Z811" i="94"/>
  <c r="MU810" i="94"/>
  <c r="MV810" i="94"/>
  <c r="MT810" i="94"/>
  <c r="MS810" i="94"/>
  <c r="MR810" i="94"/>
  <c r="MY810" i="94"/>
  <c r="MQ810" i="94"/>
  <c r="MX810" i="94"/>
  <c r="MP810" i="94"/>
  <c r="MW810" i="94"/>
  <c r="MO810" i="94"/>
  <c r="MG810" i="94"/>
  <c r="LY810" i="94"/>
  <c r="LQ810" i="94"/>
  <c r="IB810" i="94"/>
  <c r="HT810" i="94"/>
  <c r="HL810" i="94"/>
  <c r="HD810" i="94"/>
  <c r="GV810" i="94"/>
  <c r="GN810" i="94"/>
  <c r="GF810" i="94"/>
  <c r="FX810" i="94"/>
  <c r="FP810" i="94"/>
  <c r="FH810" i="94"/>
  <c r="EZ810" i="94"/>
  <c r="ER810" i="94"/>
  <c r="EJ810" i="94"/>
  <c r="EB810" i="94"/>
  <c r="MK810" i="94"/>
  <c r="MC810" i="94"/>
  <c r="LU810" i="94"/>
  <c r="IU810" i="94"/>
  <c r="HX810" i="94"/>
  <c r="HP810" i="94"/>
  <c r="HH810" i="94"/>
  <c r="GZ810" i="94"/>
  <c r="MW809" i="94"/>
  <c r="MX809" i="94"/>
  <c r="MV809" i="94"/>
  <c r="MU809" i="94"/>
  <c r="MT809" i="94"/>
  <c r="MS809" i="94"/>
  <c r="MR809" i="94"/>
  <c r="MY809" i="94"/>
  <c r="MQ809" i="94"/>
  <c r="MP809" i="94"/>
  <c r="MY808" i="94"/>
  <c r="MQ808" i="94"/>
  <c r="MX808" i="94"/>
  <c r="MP808" i="94"/>
  <c r="MR808" i="94"/>
  <c r="MW808" i="94"/>
  <c r="MV808" i="94"/>
  <c r="MU808" i="94"/>
  <c r="MT808" i="94"/>
  <c r="MS808" i="94"/>
  <c r="MS807" i="94"/>
  <c r="MT807" i="94"/>
  <c r="MR807" i="94"/>
  <c r="MY807" i="94"/>
  <c r="MQ807" i="94"/>
  <c r="MX807" i="94"/>
  <c r="MP807" i="94"/>
  <c r="MW807" i="94"/>
  <c r="MV807" i="94"/>
  <c r="MU807" i="94"/>
  <c r="MU806" i="94"/>
  <c r="MT806" i="94"/>
  <c r="MS806" i="94"/>
  <c r="MR806" i="94"/>
  <c r="MY806" i="94"/>
  <c r="MQ806" i="94"/>
  <c r="MX806" i="94"/>
  <c r="MP806" i="94"/>
  <c r="MW806" i="94"/>
  <c r="MV806" i="94"/>
  <c r="MW805" i="94"/>
  <c r="MP805" i="94"/>
  <c r="MV805" i="94"/>
  <c r="MU805" i="94"/>
  <c r="MT805" i="94"/>
  <c r="MX805" i="94"/>
  <c r="MS805" i="94"/>
  <c r="MR805" i="94"/>
  <c r="MY805" i="94"/>
  <c r="MQ805" i="94"/>
  <c r="MY804" i="94"/>
  <c r="MQ804" i="94"/>
  <c r="MX804" i="94"/>
  <c r="MP804" i="94"/>
  <c r="MW804" i="94"/>
  <c r="MV804" i="94"/>
  <c r="MU804" i="94"/>
  <c r="MT804" i="94"/>
  <c r="MS804" i="94"/>
  <c r="MR804" i="94"/>
  <c r="MS803" i="94"/>
  <c r="MR803" i="94"/>
  <c r="MT803" i="94"/>
  <c r="MY803" i="94"/>
  <c r="MQ803" i="94"/>
  <c r="MX803" i="94"/>
  <c r="MP803" i="94"/>
  <c r="MW803" i="94"/>
  <c r="MV803" i="94"/>
  <c r="MU803" i="94"/>
  <c r="MU802" i="94"/>
  <c r="MV802" i="94"/>
  <c r="MT802" i="94"/>
  <c r="MS802" i="94"/>
  <c r="MR802" i="94"/>
  <c r="MY802" i="94"/>
  <c r="MQ802" i="94"/>
  <c r="MX802" i="94"/>
  <c r="MP802" i="94"/>
  <c r="MW802" i="94"/>
  <c r="MW801" i="94"/>
  <c r="MV801" i="94"/>
  <c r="MU801" i="94"/>
  <c r="MT801" i="94"/>
  <c r="MP801" i="94"/>
  <c r="MS801" i="94"/>
  <c r="MR801" i="94"/>
  <c r="MY801" i="94"/>
  <c r="MQ801" i="94"/>
  <c r="MX801" i="94"/>
  <c r="MY800" i="94"/>
  <c r="MQ800" i="94"/>
  <c r="MR800" i="94"/>
  <c r="MX800" i="94"/>
  <c r="MP800" i="94"/>
  <c r="MW800" i="94"/>
  <c r="MV800" i="94"/>
  <c r="MU800" i="94"/>
  <c r="MT800" i="94"/>
  <c r="MS800" i="94"/>
  <c r="MS799" i="94"/>
  <c r="MR799" i="94"/>
  <c r="MY799" i="94"/>
  <c r="MQ799" i="94"/>
  <c r="MX799" i="94"/>
  <c r="MP799" i="94"/>
  <c r="MW799" i="94"/>
  <c r="MV799" i="94"/>
  <c r="MU799" i="94"/>
  <c r="MT799" i="94"/>
  <c r="MU798" i="94"/>
  <c r="MT798" i="94"/>
  <c r="MV798" i="94"/>
  <c r="MS798" i="94"/>
  <c r="MR798" i="94"/>
  <c r="MY798" i="94"/>
  <c r="MQ798" i="94"/>
  <c r="MX798" i="94"/>
  <c r="MP798" i="94"/>
  <c r="MW798" i="94"/>
  <c r="MW797" i="94"/>
  <c r="MP797" i="94"/>
  <c r="MV797" i="94"/>
  <c r="MU797" i="94"/>
  <c r="MT797" i="94"/>
  <c r="MS797" i="94"/>
  <c r="MR797" i="94"/>
  <c r="MY797" i="94"/>
  <c r="MQ797" i="94"/>
  <c r="MX797" i="94"/>
  <c r="MY796" i="94"/>
  <c r="MQ796" i="94"/>
  <c r="MX796" i="94"/>
  <c r="MP796" i="94"/>
  <c r="MW796" i="94"/>
  <c r="MV796" i="94"/>
  <c r="MU796" i="94"/>
  <c r="MS796" i="94"/>
  <c r="MT796" i="94"/>
  <c r="MR796" i="94"/>
  <c r="MS795" i="94"/>
  <c r="MR795" i="94"/>
  <c r="MY795" i="94"/>
  <c r="MQ795" i="94"/>
  <c r="MX795" i="94"/>
  <c r="MP795" i="94"/>
  <c r="MT795" i="94"/>
  <c r="MW795" i="94"/>
  <c r="MV795" i="94"/>
  <c r="MU795" i="94"/>
  <c r="MU794" i="94"/>
  <c r="MT794" i="94"/>
  <c r="MV794" i="94"/>
  <c r="MS794" i="94"/>
  <c r="MR794" i="94"/>
  <c r="MY794" i="94"/>
  <c r="MQ794" i="94"/>
  <c r="MX794" i="94"/>
  <c r="MP794" i="94"/>
  <c r="MW794" i="94"/>
  <c r="MW793" i="94"/>
  <c r="MX793" i="94"/>
  <c r="MV793" i="94"/>
  <c r="MU793" i="94"/>
  <c r="MY793" i="94"/>
  <c r="MT793" i="94"/>
  <c r="MS793" i="94"/>
  <c r="MR793" i="94"/>
  <c r="MQ793" i="94"/>
  <c r="MP793" i="94"/>
  <c r="MY792" i="94"/>
  <c r="MQ792" i="94"/>
  <c r="MX792" i="94"/>
  <c r="MP792" i="94"/>
  <c r="MW792" i="94"/>
  <c r="MV792" i="94"/>
  <c r="MR792" i="94"/>
  <c r="MU792" i="94"/>
  <c r="MT792" i="94"/>
  <c r="MS792" i="94"/>
  <c r="MS785" i="94"/>
  <c r="MU785" i="94"/>
  <c r="MR785" i="94"/>
  <c r="MY785" i="94"/>
  <c r="MQ785" i="94"/>
  <c r="MX785" i="94"/>
  <c r="MP785" i="94"/>
  <c r="MW785" i="94"/>
  <c r="MV785" i="94"/>
  <c r="MT785" i="94"/>
  <c r="MU784" i="94"/>
  <c r="MT784" i="94"/>
  <c r="MV784" i="94"/>
  <c r="MS784" i="94"/>
  <c r="MR784" i="94"/>
  <c r="MW784" i="94"/>
  <c r="MY784" i="94"/>
  <c r="MQ784" i="94"/>
  <c r="MX784" i="94"/>
  <c r="MP784" i="94"/>
  <c r="MW783" i="94"/>
  <c r="MP783" i="94"/>
  <c r="MV783" i="94"/>
  <c r="MQ783" i="94"/>
  <c r="MU783" i="94"/>
  <c r="MT783" i="94"/>
  <c r="MS783" i="94"/>
  <c r="MR783" i="94"/>
  <c r="MY783" i="94"/>
  <c r="MX783" i="94"/>
  <c r="MY782" i="94"/>
  <c r="MQ782" i="94"/>
  <c r="MX782" i="94"/>
  <c r="MP782" i="94"/>
  <c r="MW782" i="94"/>
  <c r="MV782" i="94"/>
  <c r="MU782" i="94"/>
  <c r="MT782" i="94"/>
  <c r="MS782" i="94"/>
  <c r="MR782" i="94"/>
  <c r="MS781" i="94"/>
  <c r="MR781" i="94"/>
  <c r="MY781" i="94"/>
  <c r="MQ781" i="94"/>
  <c r="MX781" i="94"/>
  <c r="MP781" i="94"/>
  <c r="MW781" i="94"/>
  <c r="MV781" i="94"/>
  <c r="MU781" i="94"/>
  <c r="MT781" i="94"/>
  <c r="MU780" i="94"/>
  <c r="MT780" i="94"/>
  <c r="MS780" i="94"/>
  <c r="MR780" i="94"/>
  <c r="MY780" i="94"/>
  <c r="MQ780" i="94"/>
  <c r="MX780" i="94"/>
  <c r="MP780" i="94"/>
  <c r="MW780" i="94"/>
  <c r="MV780" i="94"/>
  <c r="JD808" i="94"/>
  <c r="JP808" i="94"/>
  <c r="KI808" i="94"/>
  <c r="LA808" i="94"/>
  <c r="LR808" i="94"/>
  <c r="LZ808" i="94"/>
  <c r="MH808" i="94"/>
  <c r="X809" i="94"/>
  <c r="AF809" i="94"/>
  <c r="AN809" i="94"/>
  <c r="AV809" i="94"/>
  <c r="BD809" i="94"/>
  <c r="BL809" i="94"/>
  <c r="BT809" i="94"/>
  <c r="CB809" i="94"/>
  <c r="CJ809" i="94"/>
  <c r="CR809" i="94"/>
  <c r="CZ809" i="94"/>
  <c r="DH809" i="94"/>
  <c r="DP809" i="94"/>
  <c r="DX809" i="94"/>
  <c r="EF809" i="94"/>
  <c r="EN809" i="94"/>
  <c r="EV809" i="94"/>
  <c r="FD809" i="94"/>
  <c r="FL809" i="94"/>
  <c r="FT809" i="94"/>
  <c r="GB809" i="94"/>
  <c r="LS809" i="94"/>
  <c r="X810" i="94"/>
  <c r="AF810" i="94"/>
  <c r="AN810" i="94"/>
  <c r="AV810" i="94"/>
  <c r="BD810" i="94"/>
  <c r="BL810" i="94"/>
  <c r="BT810" i="94"/>
  <c r="CB810" i="94"/>
  <c r="CJ810" i="94"/>
  <c r="CR810" i="94"/>
  <c r="CZ810" i="94"/>
  <c r="DH810" i="94"/>
  <c r="DP810" i="94"/>
  <c r="DX810" i="94"/>
  <c r="EG810" i="94"/>
  <c r="EP810" i="94"/>
  <c r="EY810" i="94"/>
  <c r="FI810" i="94"/>
  <c r="FR810" i="94"/>
  <c r="GA810" i="94"/>
  <c r="GJ810" i="94"/>
  <c r="GS810" i="94"/>
  <c r="HC810" i="94"/>
  <c r="HN810" i="94"/>
  <c r="HY810" i="94"/>
  <c r="LG810" i="94"/>
  <c r="MA810" i="94"/>
  <c r="ML810" i="94"/>
  <c r="AC811" i="94"/>
  <c r="AO811" i="94"/>
  <c r="BC811" i="94"/>
  <c r="EG811" i="94"/>
  <c r="ET811" i="94"/>
  <c r="FG811" i="94"/>
  <c r="FS811" i="94"/>
  <c r="LT811" i="94"/>
  <c r="AC812" i="94"/>
  <c r="AP812" i="94"/>
  <c r="BC812" i="94"/>
  <c r="BO812" i="94"/>
  <c r="CC812" i="94"/>
  <c r="CO812" i="94"/>
  <c r="DB812" i="94"/>
  <c r="DR812" i="94"/>
  <c r="EH812" i="94"/>
  <c r="EX812" i="94"/>
  <c r="FN812" i="94"/>
  <c r="GE812" i="94"/>
  <c r="GU812" i="94"/>
  <c r="HK812" i="94"/>
  <c r="IA812" i="94"/>
  <c r="LZ812" i="94"/>
  <c r="AD813" i="94"/>
  <c r="DQ813" i="94"/>
  <c r="FR813" i="94"/>
  <c r="AK814" i="94"/>
  <c r="BJ814" i="94"/>
  <c r="FD814" i="94"/>
  <c r="GW814" i="94"/>
  <c r="LY814" i="94"/>
  <c r="EJ815" i="94"/>
  <c r="AJ816" i="94"/>
  <c r="CZ816" i="94"/>
  <c r="FV816" i="94"/>
  <c r="LV816" i="94"/>
  <c r="DJ810" i="94"/>
  <c r="DR810" i="94"/>
  <c r="DZ810" i="94"/>
  <c r="EI810" i="94"/>
  <c r="ES810" i="94"/>
  <c r="FB810" i="94"/>
  <c r="FK810" i="94"/>
  <c r="FT810" i="94"/>
  <c r="GC810" i="94"/>
  <c r="GL810" i="94"/>
  <c r="GU810" i="94"/>
  <c r="HF810" i="94"/>
  <c r="HQ810" i="94"/>
  <c r="IA810" i="94"/>
  <c r="LS810" i="94"/>
  <c r="MD810" i="94"/>
  <c r="MN810" i="94"/>
  <c r="AF811" i="94"/>
  <c r="AS811" i="94"/>
  <c r="BE811" i="94"/>
  <c r="EK811" i="94"/>
  <c r="EW811" i="94"/>
  <c r="FJ811" i="94"/>
  <c r="FX811" i="94"/>
  <c r="LV811" i="94"/>
  <c r="AG812" i="94"/>
  <c r="AS812" i="94"/>
  <c r="BF812" i="94"/>
  <c r="BS812" i="94"/>
  <c r="CE812" i="94"/>
  <c r="CS812" i="94"/>
  <c r="DE812" i="94"/>
  <c r="DU812" i="94"/>
  <c r="EK812" i="94"/>
  <c r="FA812" i="94"/>
  <c r="FQ812" i="94"/>
  <c r="GH812" i="94"/>
  <c r="GX812" i="94"/>
  <c r="HN812" i="94"/>
  <c r="ID812" i="94"/>
  <c r="MC812" i="94"/>
  <c r="AK813" i="94"/>
  <c r="EI813" i="94"/>
  <c r="GE813" i="94"/>
  <c r="AO814" i="94"/>
  <c r="EH814" i="94"/>
  <c r="FJ814" i="94"/>
  <c r="HF814" i="94"/>
  <c r="MK814" i="94"/>
  <c r="EY815" i="94"/>
  <c r="AX816" i="94"/>
  <c r="DU816" i="94"/>
  <c r="GL816" i="94"/>
  <c r="FC810" i="94"/>
  <c r="FL810" i="94"/>
  <c r="FU810" i="94"/>
  <c r="GD810" i="94"/>
  <c r="GM810" i="94"/>
  <c r="GW810" i="94"/>
  <c r="HG810" i="94"/>
  <c r="HR810" i="94"/>
  <c r="IC810" i="94"/>
  <c r="LT810" i="94"/>
  <c r="ME810" i="94"/>
  <c r="NC810" i="94"/>
  <c r="AG811" i="94"/>
  <c r="AU811" i="94"/>
  <c r="BG811" i="94"/>
  <c r="EL811" i="94"/>
  <c r="EY811" i="94"/>
  <c r="FK811" i="94"/>
  <c r="GC811" i="94"/>
  <c r="LX811" i="94"/>
  <c r="AH812" i="94"/>
  <c r="AU812" i="94"/>
  <c r="BG812" i="94"/>
  <c r="BU812" i="94"/>
  <c r="CG812" i="94"/>
  <c r="CT812" i="94"/>
  <c r="DI812" i="94"/>
  <c r="DY812" i="94"/>
  <c r="EO812" i="94"/>
  <c r="FE812" i="94"/>
  <c r="FU812" i="94"/>
  <c r="GL812" i="94"/>
  <c r="HB812" i="94"/>
  <c r="HR812" i="94"/>
  <c r="LQ812" i="94"/>
  <c r="MH812" i="94"/>
  <c r="AT813" i="94"/>
  <c r="EQ813" i="94"/>
  <c r="LX813" i="94"/>
  <c r="AV814" i="94"/>
  <c r="EM814" i="94"/>
  <c r="FU814" i="94"/>
  <c r="HQ814" i="94"/>
  <c r="AK815" i="94"/>
  <c r="FO815" i="94"/>
  <c r="BN816" i="94"/>
  <c r="EN816" i="94"/>
  <c r="HB816" i="94"/>
  <c r="HT808" i="94"/>
  <c r="IB808" i="94"/>
  <c r="IJ808" i="94"/>
  <c r="IW808" i="94"/>
  <c r="JK808" i="94"/>
  <c r="KA808" i="94"/>
  <c r="KS808" i="94"/>
  <c r="LK808" i="94"/>
  <c r="LV808" i="94"/>
  <c r="MD808" i="94"/>
  <c r="ML808" i="94"/>
  <c r="AB809" i="94"/>
  <c r="AJ809" i="94"/>
  <c r="AR809" i="94"/>
  <c r="AZ809" i="94"/>
  <c r="BH809" i="94"/>
  <c r="BP809" i="94"/>
  <c r="BX809" i="94"/>
  <c r="CF809" i="94"/>
  <c r="CN809" i="94"/>
  <c r="CV809" i="94"/>
  <c r="DD809" i="94"/>
  <c r="DL809" i="94"/>
  <c r="DT809" i="94"/>
  <c r="EB809" i="94"/>
  <c r="EJ809" i="94"/>
  <c r="ER809" i="94"/>
  <c r="EZ809" i="94"/>
  <c r="FH809" i="94"/>
  <c r="FP809" i="94"/>
  <c r="FX809" i="94"/>
  <c r="GF809" i="94"/>
  <c r="LW809" i="94"/>
  <c r="AB810" i="94"/>
  <c r="AJ810" i="94"/>
  <c r="AR810" i="94"/>
  <c r="AZ810" i="94"/>
  <c r="BH810" i="94"/>
  <c r="BP810" i="94"/>
  <c r="BX810" i="94"/>
  <c r="CF810" i="94"/>
  <c r="CN810" i="94"/>
  <c r="CV810" i="94"/>
  <c r="DD810" i="94"/>
  <c r="DL810" i="94"/>
  <c r="DT810" i="94"/>
  <c r="EC810" i="94"/>
  <c r="EL810" i="94"/>
  <c r="EU810" i="94"/>
  <c r="FD810" i="94"/>
  <c r="FM810" i="94"/>
  <c r="FV810" i="94"/>
  <c r="GE810" i="94"/>
  <c r="GO810" i="94"/>
  <c r="GX810" i="94"/>
  <c r="HI810" i="94"/>
  <c r="HS810" i="94"/>
  <c r="ID810" i="94"/>
  <c r="LV810" i="94"/>
  <c r="MF810" i="94"/>
  <c r="X811" i="94"/>
  <c r="AI811" i="94"/>
  <c r="AV811" i="94"/>
  <c r="BI811" i="94"/>
  <c r="EM811" i="94"/>
  <c r="FA811" i="94"/>
  <c r="FM811" i="94"/>
  <c r="GD811" i="94"/>
  <c r="LZ811" i="94"/>
  <c r="AI812" i="94"/>
  <c r="AW812" i="94"/>
  <c r="BI812" i="94"/>
  <c r="BV812" i="94"/>
  <c r="CI812" i="94"/>
  <c r="CU812" i="94"/>
  <c r="DJ812" i="94"/>
  <c r="DZ812" i="94"/>
  <c r="EP812" i="94"/>
  <c r="FF812" i="94"/>
  <c r="FV812" i="94"/>
  <c r="GM812" i="94"/>
  <c r="HC812" i="94"/>
  <c r="HS812" i="94"/>
  <c r="LR812" i="94"/>
  <c r="MJ812" i="94"/>
  <c r="AW813" i="94"/>
  <c r="ES813" i="94"/>
  <c r="X814" i="94"/>
  <c r="AW814" i="94"/>
  <c r="EP814" i="94"/>
  <c r="FV814" i="94"/>
  <c r="HR814" i="94"/>
  <c r="AL815" i="94"/>
  <c r="FP815" i="94"/>
  <c r="BP816" i="94"/>
  <c r="EP816" i="94"/>
  <c r="HD816" i="94"/>
  <c r="LQ815" i="94"/>
  <c r="ML786" i="94"/>
  <c r="HR779" i="94"/>
  <c r="HG795" i="94"/>
  <c r="MM783" i="94"/>
  <c r="H953" i="94"/>
  <c r="K953" i="94"/>
  <c r="I980" i="94"/>
  <c r="MW779" i="94"/>
  <c r="MV779" i="94"/>
  <c r="MU779" i="94"/>
  <c r="MT779" i="94"/>
  <c r="MS779" i="94"/>
  <c r="MR779" i="94"/>
  <c r="MY779" i="94"/>
  <c r="MQ779" i="94"/>
  <c r="MX779" i="94"/>
  <c r="MP779" i="94"/>
  <c r="FX812" i="94"/>
  <c r="M957" i="94"/>
  <c r="K962" i="94"/>
  <c r="O966" i="94"/>
  <c r="I971" i="94"/>
  <c r="K980" i="94"/>
  <c r="I984" i="94"/>
  <c r="LY787" i="94"/>
  <c r="MN788" i="94"/>
  <c r="ET788" i="94"/>
  <c r="MK786" i="94"/>
  <c r="BD786" i="94"/>
  <c r="BY786" i="94"/>
  <c r="DE786" i="94"/>
  <c r="EI786" i="94"/>
  <c r="FP786" i="94"/>
  <c r="HB786" i="94"/>
  <c r="LS786" i="94"/>
  <c r="AB786" i="94"/>
  <c r="AL786" i="94"/>
  <c r="AY786" i="94"/>
  <c r="BI786" i="94"/>
  <c r="BT786" i="94"/>
  <c r="CE786" i="94"/>
  <c r="CO786" i="94"/>
  <c r="CZ786" i="94"/>
  <c r="DK786" i="94"/>
  <c r="DU786" i="94"/>
  <c r="EE786" i="94"/>
  <c r="EN786" i="94"/>
  <c r="EY786" i="94"/>
  <c r="FJ786" i="94"/>
  <c r="FV786" i="94"/>
  <c r="GD786" i="94"/>
  <c r="GU786" i="94"/>
  <c r="HK786" i="94"/>
  <c r="LX786" i="94"/>
  <c r="MN786" i="94"/>
  <c r="AH786" i="94"/>
  <c r="BO786" i="94"/>
  <c r="CU786" i="94"/>
  <c r="EA786" i="94"/>
  <c r="FF786" i="94"/>
  <c r="FZ786" i="94"/>
  <c r="HT786" i="94"/>
  <c r="X786" i="94"/>
  <c r="AI786" i="94"/>
  <c r="AT786" i="94"/>
  <c r="BF786" i="94"/>
  <c r="BP786" i="94"/>
  <c r="BZ786" i="94"/>
  <c r="CL786" i="94"/>
  <c r="CV786" i="94"/>
  <c r="DF786" i="94"/>
  <c r="DR786" i="94"/>
  <c r="EB786" i="94"/>
  <c r="EJ786" i="94"/>
  <c r="ET786" i="94"/>
  <c r="FG786" i="94"/>
  <c r="FQ786" i="94"/>
  <c r="GA786" i="94"/>
  <c r="GN786" i="94"/>
  <c r="HE786" i="94"/>
  <c r="HU786" i="94"/>
  <c r="LT786" i="94"/>
  <c r="MF786" i="94"/>
  <c r="AR786" i="94"/>
  <c r="CJ786" i="94"/>
  <c r="DP786" i="94"/>
  <c r="ES786" i="94"/>
  <c r="GM786" i="94"/>
  <c r="MD786" i="94"/>
  <c r="Z786" i="94"/>
  <c r="AJ786" i="94"/>
  <c r="AV786" i="94"/>
  <c r="BG786" i="94"/>
  <c r="BQ786" i="94"/>
  <c r="CB786" i="94"/>
  <c r="CM786" i="94"/>
  <c r="CW786" i="94"/>
  <c r="DH786" i="94"/>
  <c r="DS786" i="94"/>
  <c r="EC786" i="94"/>
  <c r="EK786" i="94"/>
  <c r="EV786" i="94"/>
  <c r="FH786" i="94"/>
  <c r="FR786" i="94"/>
  <c r="GB786" i="94"/>
  <c r="GO786" i="94"/>
  <c r="HH786" i="94"/>
  <c r="HV786" i="94"/>
  <c r="LU786" i="94"/>
  <c r="MJ786" i="94"/>
  <c r="FD786" i="94"/>
  <c r="AA786" i="94"/>
  <c r="AK786" i="94"/>
  <c r="AX786" i="94"/>
  <c r="BH786" i="94"/>
  <c r="BR786" i="94"/>
  <c r="CD786" i="94"/>
  <c r="CN786" i="94"/>
  <c r="CX786" i="94"/>
  <c r="DJ786" i="94"/>
  <c r="DT786" i="94"/>
  <c r="ED786" i="94"/>
  <c r="EL786" i="94"/>
  <c r="EX786" i="94"/>
  <c r="FI786" i="94"/>
  <c r="FT786" i="94"/>
  <c r="GC786" i="94"/>
  <c r="GP786" i="94"/>
  <c r="HJ786" i="94"/>
  <c r="LV786" i="94"/>
  <c r="JA790" i="94"/>
  <c r="KF790" i="94"/>
  <c r="JD790" i="94"/>
  <c r="JH790" i="94"/>
  <c r="IF790" i="94"/>
  <c r="JI790" i="94"/>
  <c r="KV790" i="94"/>
  <c r="IJ790" i="94"/>
  <c r="JT790" i="94"/>
  <c r="KW790" i="94"/>
  <c r="IK790" i="94"/>
  <c r="JX790" i="94"/>
  <c r="KZ790" i="94"/>
  <c r="KO790" i="94"/>
  <c r="KR790" i="94"/>
  <c r="LH790" i="94"/>
  <c r="IN790" i="94"/>
  <c r="JY790" i="94"/>
  <c r="LL790" i="94"/>
  <c r="IZ790" i="94"/>
  <c r="KB790" i="94"/>
  <c r="NB790" i="94"/>
  <c r="IY788" i="94"/>
  <c r="KE788" i="94"/>
  <c r="LK788" i="94"/>
  <c r="KJ788" i="94"/>
  <c r="II788" i="94"/>
  <c r="KU788" i="94"/>
  <c r="LM788" i="94"/>
  <c r="IN788" i="94"/>
  <c r="KZ788" i="94"/>
  <c r="JD788" i="94"/>
  <c r="LP788" i="94"/>
  <c r="JO788" i="94"/>
  <c r="LO786" i="94"/>
  <c r="IQ786" i="94"/>
  <c r="JC786" i="94"/>
  <c r="JP786" i="94"/>
  <c r="KD786" i="94"/>
  <c r="KP786" i="94"/>
  <c r="IE786" i="94"/>
  <c r="IR786" i="94"/>
  <c r="JF786" i="94"/>
  <c r="JR786" i="94"/>
  <c r="KE786" i="94"/>
  <c r="KQ786" i="94"/>
  <c r="LD786" i="94"/>
  <c r="IH786" i="94"/>
  <c r="IT786" i="94"/>
  <c r="JG786" i="94"/>
  <c r="JS786" i="94"/>
  <c r="KF786" i="94"/>
  <c r="KT786" i="94"/>
  <c r="LF786" i="94"/>
  <c r="LI786" i="94"/>
  <c r="II786" i="94"/>
  <c r="IU786" i="94"/>
  <c r="JH786" i="94"/>
  <c r="JV786" i="94"/>
  <c r="KH786" i="94"/>
  <c r="KU786" i="94"/>
  <c r="LG786" i="94"/>
  <c r="IJ786" i="94"/>
  <c r="IX786" i="94"/>
  <c r="JJ786" i="94"/>
  <c r="JW786" i="94"/>
  <c r="KI786" i="94"/>
  <c r="KV786" i="94"/>
  <c r="LJ786" i="94"/>
  <c r="IL786" i="94"/>
  <c r="IY786" i="94"/>
  <c r="JK786" i="94"/>
  <c r="JX786" i="94"/>
  <c r="KL786" i="94"/>
  <c r="KX786" i="94"/>
  <c r="LK786" i="94"/>
  <c r="IM786" i="94"/>
  <c r="IZ786" i="94"/>
  <c r="JN786" i="94"/>
  <c r="JZ786" i="94"/>
  <c r="KM786" i="94"/>
  <c r="KY786" i="94"/>
  <c r="LL786" i="94"/>
  <c r="IP786" i="94"/>
  <c r="JB786" i="94"/>
  <c r="JO786" i="94"/>
  <c r="KA786" i="94"/>
  <c r="KN786" i="94"/>
  <c r="LB786" i="94"/>
  <c r="LN786" i="94"/>
  <c r="GJ788" i="94"/>
  <c r="GR788" i="94"/>
  <c r="GZ788" i="94"/>
  <c r="HH788" i="94"/>
  <c r="HP788" i="94"/>
  <c r="HX788" i="94"/>
  <c r="MA788" i="94"/>
  <c r="MI788" i="94"/>
  <c r="GM788" i="94"/>
  <c r="GU788" i="94"/>
  <c r="HC788" i="94"/>
  <c r="HK788" i="94"/>
  <c r="HS788" i="94"/>
  <c r="MD788" i="94"/>
  <c r="ML788" i="94"/>
  <c r="GG788" i="94"/>
  <c r="GO788" i="94"/>
  <c r="GW788" i="94"/>
  <c r="HE788" i="94"/>
  <c r="HM788" i="94"/>
  <c r="HU788" i="94"/>
  <c r="MF788" i="94"/>
  <c r="GG786" i="94"/>
  <c r="GR786" i="94"/>
  <c r="HC786" i="94"/>
  <c r="HM786" i="94"/>
  <c r="HX786" i="94"/>
  <c r="MH786" i="94"/>
  <c r="GH786" i="94"/>
  <c r="GT786" i="94"/>
  <c r="HD786" i="94"/>
  <c r="HN786" i="94"/>
  <c r="MI786" i="94"/>
  <c r="GL786" i="94"/>
  <c r="GV786" i="94"/>
  <c r="HF786" i="94"/>
  <c r="HR786" i="94"/>
  <c r="MA786" i="94"/>
  <c r="IR790" i="94"/>
  <c r="JL790" i="94"/>
  <c r="KG790" i="94"/>
  <c r="LD790" i="94"/>
  <c r="IS790" i="94"/>
  <c r="JP790" i="94"/>
  <c r="KJ790" i="94"/>
  <c r="LE790" i="94"/>
  <c r="IB790" i="94"/>
  <c r="IV790" i="94"/>
  <c r="JQ790" i="94"/>
  <c r="KN790" i="94"/>
  <c r="IM788" i="94"/>
  <c r="JC788" i="94"/>
  <c r="JS788" i="94"/>
  <c r="KI788" i="94"/>
  <c r="KY788" i="94"/>
  <c r="LO788" i="94"/>
  <c r="IP788" i="94"/>
  <c r="JF788" i="94"/>
  <c r="JV788" i="94"/>
  <c r="KL788" i="94"/>
  <c r="LB788" i="94"/>
  <c r="HZ788" i="94"/>
  <c r="IQ788" i="94"/>
  <c r="JG788" i="94"/>
  <c r="JW788" i="94"/>
  <c r="KM788" i="94"/>
  <c r="LC788" i="94"/>
  <c r="IE788" i="94"/>
  <c r="IU788" i="94"/>
  <c r="JK788" i="94"/>
  <c r="KA788" i="94"/>
  <c r="KQ788" i="94"/>
  <c r="LG788" i="94"/>
  <c r="IF788" i="94"/>
  <c r="IV788" i="94"/>
  <c r="JL788" i="94"/>
  <c r="KB788" i="94"/>
  <c r="KR788" i="94"/>
  <c r="LH788" i="94"/>
  <c r="IH788" i="94"/>
  <c r="IX788" i="94"/>
  <c r="JN788" i="94"/>
  <c r="KD788" i="94"/>
  <c r="KT788" i="94"/>
  <c r="LJ788" i="94"/>
  <c r="ID788" i="94"/>
  <c r="IL788" i="94"/>
  <c r="IT788" i="94"/>
  <c r="JB788" i="94"/>
  <c r="JJ788" i="94"/>
  <c r="JR788" i="94"/>
  <c r="JZ788" i="94"/>
  <c r="KH788" i="94"/>
  <c r="KP788" i="94"/>
  <c r="KX788" i="94"/>
  <c r="LF788" i="94"/>
  <c r="LN788" i="94"/>
  <c r="IG788" i="94"/>
  <c r="IO788" i="94"/>
  <c r="IW788" i="94"/>
  <c r="JE788" i="94"/>
  <c r="JM788" i="94"/>
  <c r="JU788" i="94"/>
  <c r="KC788" i="94"/>
  <c r="KK788" i="94"/>
  <c r="KS788" i="94"/>
  <c r="LA788" i="94"/>
  <c r="LI788" i="94"/>
  <c r="IB788" i="94"/>
  <c r="IJ788" i="94"/>
  <c r="IR788" i="94"/>
  <c r="IZ788" i="94"/>
  <c r="JH788" i="94"/>
  <c r="JP788" i="94"/>
  <c r="JX788" i="94"/>
  <c r="KF788" i="94"/>
  <c r="KN788" i="94"/>
  <c r="KV788" i="94"/>
  <c r="LD788" i="94"/>
  <c r="LL788" i="94"/>
  <c r="IC788" i="94"/>
  <c r="IK788" i="94"/>
  <c r="IS788" i="94"/>
  <c r="JA788" i="94"/>
  <c r="JI788" i="94"/>
  <c r="JQ788" i="94"/>
  <c r="JY788" i="94"/>
  <c r="KG788" i="94"/>
  <c r="KO788" i="94"/>
  <c r="KW788" i="94"/>
  <c r="LE788" i="94"/>
  <c r="NA788" i="94"/>
  <c r="IC786" i="94"/>
  <c r="IK786" i="94"/>
  <c r="IS786" i="94"/>
  <c r="JA786" i="94"/>
  <c r="JI786" i="94"/>
  <c r="JQ786" i="94"/>
  <c r="JY786" i="94"/>
  <c r="KG786" i="94"/>
  <c r="KO786" i="94"/>
  <c r="KW786" i="94"/>
  <c r="LE786" i="94"/>
  <c r="LM786" i="94"/>
  <c r="IF786" i="94"/>
  <c r="IN786" i="94"/>
  <c r="IV786" i="94"/>
  <c r="JD786" i="94"/>
  <c r="JL786" i="94"/>
  <c r="JT786" i="94"/>
  <c r="KB786" i="94"/>
  <c r="KJ786" i="94"/>
  <c r="KR786" i="94"/>
  <c r="KZ786" i="94"/>
  <c r="LH786" i="94"/>
  <c r="LP786" i="94"/>
  <c r="IG786" i="94"/>
  <c r="IO786" i="94"/>
  <c r="IW786" i="94"/>
  <c r="JE786" i="94"/>
  <c r="JM786" i="94"/>
  <c r="JU786" i="94"/>
  <c r="KC786" i="94"/>
  <c r="KK786" i="94"/>
  <c r="KS786" i="94"/>
  <c r="LA786" i="94"/>
  <c r="NB786" i="94"/>
  <c r="EJ790" i="94"/>
  <c r="NB788" i="94"/>
  <c r="NC788" i="94"/>
  <c r="ND788" i="94"/>
  <c r="AS786" i="94"/>
  <c r="IA786" i="94"/>
  <c r="MZ786" i="94"/>
  <c r="NA786" i="94"/>
  <c r="EK791" i="94"/>
  <c r="Z791" i="94"/>
  <c r="E818" i="94"/>
  <c r="MZ788" i="94"/>
  <c r="AI788" i="94"/>
  <c r="IA788" i="94"/>
  <c r="MS791" i="94"/>
  <c r="MP791" i="94"/>
  <c r="MR791" i="94"/>
  <c r="MY791" i="94"/>
  <c r="MQ791" i="94"/>
  <c r="MX791" i="94"/>
  <c r="MW791" i="94"/>
  <c r="MV791" i="94"/>
  <c r="MU791" i="94"/>
  <c r="MT791" i="94"/>
  <c r="AB791" i="94"/>
  <c r="AP791" i="94"/>
  <c r="BJ791" i="94"/>
  <c r="EW791" i="94"/>
  <c r="GC791" i="94"/>
  <c r="FO791" i="94"/>
  <c r="AD791" i="94"/>
  <c r="AQ791" i="94"/>
  <c r="ED791" i="94"/>
  <c r="EY791" i="94"/>
  <c r="GD791" i="94"/>
  <c r="FA791" i="94"/>
  <c r="AT791" i="94"/>
  <c r="FG791" i="94"/>
  <c r="AI791" i="94"/>
  <c r="AV791" i="94"/>
  <c r="EG791" i="94"/>
  <c r="FM791" i="94"/>
  <c r="ID791" i="94"/>
  <c r="GE791" i="94"/>
  <c r="AH791" i="94"/>
  <c r="EF791" i="94"/>
  <c r="GF791" i="94"/>
  <c r="X791" i="94"/>
  <c r="AJ791" i="94"/>
  <c r="BA791" i="94"/>
  <c r="EH791" i="94"/>
  <c r="FQ791" i="94"/>
  <c r="LR791" i="94"/>
  <c r="MU790" i="94"/>
  <c r="MR790" i="94"/>
  <c r="MQ790" i="94"/>
  <c r="MX790" i="94"/>
  <c r="MW790" i="94"/>
  <c r="MV790" i="94"/>
  <c r="MT790" i="94"/>
  <c r="MS790" i="94"/>
  <c r="MY790" i="94"/>
  <c r="MP790" i="94"/>
  <c r="AA790" i="94"/>
  <c r="AM790" i="94"/>
  <c r="BA790" i="94"/>
  <c r="CL790" i="94"/>
  <c r="EK790" i="94"/>
  <c r="EY790" i="94"/>
  <c r="FL790" i="94"/>
  <c r="GC790" i="94"/>
  <c r="GO790" i="94"/>
  <c r="HE790" i="94"/>
  <c r="HU790" i="94"/>
  <c r="ID790" i="94"/>
  <c r="IL790" i="94"/>
  <c r="IT790" i="94"/>
  <c r="JB790" i="94"/>
  <c r="JJ790" i="94"/>
  <c r="JR790" i="94"/>
  <c r="JZ790" i="94"/>
  <c r="KH790" i="94"/>
  <c r="KP790" i="94"/>
  <c r="KX790" i="94"/>
  <c r="LF790" i="94"/>
  <c r="LN790" i="94"/>
  <c r="MC790" i="94"/>
  <c r="MZ790" i="94"/>
  <c r="ML790" i="94"/>
  <c r="AC790" i="94"/>
  <c r="AN790" i="94"/>
  <c r="BB790" i="94"/>
  <c r="ED790" i="94"/>
  <c r="EN790" i="94"/>
  <c r="EZ790" i="94"/>
  <c r="FN790" i="94"/>
  <c r="GD790" i="94"/>
  <c r="GQ790" i="94"/>
  <c r="HG790" i="94"/>
  <c r="HW790" i="94"/>
  <c r="IE790" i="94"/>
  <c r="IM790" i="94"/>
  <c r="IU790" i="94"/>
  <c r="JC790" i="94"/>
  <c r="JK790" i="94"/>
  <c r="JS790" i="94"/>
  <c r="KA790" i="94"/>
  <c r="KI790" i="94"/>
  <c r="KQ790" i="94"/>
  <c r="KY790" i="94"/>
  <c r="LG790" i="94"/>
  <c r="LO790" i="94"/>
  <c r="ME790" i="94"/>
  <c r="NA790" i="94"/>
  <c r="AE790" i="94"/>
  <c r="BD790" i="94"/>
  <c r="EQ790" i="94"/>
  <c r="FP790" i="94"/>
  <c r="GF790" i="94"/>
  <c r="HI790" i="94"/>
  <c r="IG790" i="94"/>
  <c r="IW790" i="94"/>
  <c r="JM790" i="94"/>
  <c r="KC790" i="94"/>
  <c r="KS790" i="94"/>
  <c r="LQ790" i="94"/>
  <c r="NC790" i="94"/>
  <c r="AF790" i="94"/>
  <c r="AT790" i="94"/>
  <c r="BG790" i="94"/>
  <c r="EG790" i="94"/>
  <c r="ER790" i="94"/>
  <c r="FF790" i="94"/>
  <c r="FQ790" i="94"/>
  <c r="GG790" i="94"/>
  <c r="GW790" i="94"/>
  <c r="HM790" i="94"/>
  <c r="HZ790" i="94"/>
  <c r="IH790" i="94"/>
  <c r="IP790" i="94"/>
  <c r="IX790" i="94"/>
  <c r="JF790" i="94"/>
  <c r="JN790" i="94"/>
  <c r="JV790" i="94"/>
  <c r="KD790" i="94"/>
  <c r="KL790" i="94"/>
  <c r="KT790" i="94"/>
  <c r="LB790" i="94"/>
  <c r="LJ790" i="94"/>
  <c r="LU790" i="94"/>
  <c r="MK790" i="94"/>
  <c r="ND790" i="94"/>
  <c r="AS790" i="94"/>
  <c r="EF790" i="94"/>
  <c r="FD790" i="94"/>
  <c r="GS790" i="94"/>
  <c r="HY790" i="94"/>
  <c r="IO790" i="94"/>
  <c r="JE790" i="94"/>
  <c r="JU790" i="94"/>
  <c r="KK790" i="94"/>
  <c r="LA790" i="94"/>
  <c r="LI790" i="94"/>
  <c r="MG790" i="94"/>
  <c r="AI790" i="94"/>
  <c r="AU790" i="94"/>
  <c r="BI790" i="94"/>
  <c r="EH790" i="94"/>
  <c r="ES790" i="94"/>
  <c r="FG790" i="94"/>
  <c r="FT790" i="94"/>
  <c r="GI790" i="94"/>
  <c r="GY790" i="94"/>
  <c r="HO790" i="94"/>
  <c r="IA790" i="94"/>
  <c r="II790" i="94"/>
  <c r="IQ790" i="94"/>
  <c r="IY790" i="94"/>
  <c r="JG790" i="94"/>
  <c r="JO790" i="94"/>
  <c r="JW790" i="94"/>
  <c r="KE790" i="94"/>
  <c r="KM790" i="94"/>
  <c r="KU790" i="94"/>
  <c r="LC790" i="94"/>
  <c r="LK790" i="94"/>
  <c r="LW790" i="94"/>
  <c r="MM790" i="94"/>
  <c r="MW789" i="94"/>
  <c r="MV789" i="94"/>
  <c r="MU789" i="94"/>
  <c r="MT789" i="94"/>
  <c r="MS789" i="94"/>
  <c r="MR789" i="94"/>
  <c r="MP789" i="94"/>
  <c r="MY789" i="94"/>
  <c r="MQ789" i="94"/>
  <c r="MX789" i="94"/>
  <c r="LW789" i="94"/>
  <c r="MY788" i="94"/>
  <c r="MQ788" i="94"/>
  <c r="MR788" i="94"/>
  <c r="MX788" i="94"/>
  <c r="MP788" i="94"/>
  <c r="MW788" i="94"/>
  <c r="MV788" i="94"/>
  <c r="MU788" i="94"/>
  <c r="MT788" i="94"/>
  <c r="MS788" i="94"/>
  <c r="AE787" i="94"/>
  <c r="BE787" i="94"/>
  <c r="EJ787" i="94"/>
  <c r="FJ787" i="94"/>
  <c r="LR787" i="94"/>
  <c r="LW787" i="94"/>
  <c r="AT787" i="94"/>
  <c r="BG787" i="94"/>
  <c r="DU787" i="94"/>
  <c r="EL787" i="94"/>
  <c r="EY787" i="94"/>
  <c r="FL787" i="94"/>
  <c r="LT787" i="94"/>
  <c r="AI787" i="94"/>
  <c r="BI787" i="94"/>
  <c r="EN787" i="94"/>
  <c r="FN787" i="94"/>
  <c r="GC787" i="94"/>
  <c r="FO787" i="94"/>
  <c r="Y787" i="94"/>
  <c r="AL787" i="94"/>
  <c r="AY787" i="94"/>
  <c r="BK787" i="94"/>
  <c r="EF787" i="94"/>
  <c r="EQ787" i="94"/>
  <c r="FD787" i="94"/>
  <c r="FP787" i="94"/>
  <c r="GE787" i="94"/>
  <c r="MS787" i="94"/>
  <c r="MR787" i="94"/>
  <c r="MW787" i="94"/>
  <c r="MV787" i="94"/>
  <c r="MY787" i="94"/>
  <c r="MQ787" i="94"/>
  <c r="MX787" i="94"/>
  <c r="MP787" i="94"/>
  <c r="MU787" i="94"/>
  <c r="MT787" i="94"/>
  <c r="AS787" i="94"/>
  <c r="DM787" i="94"/>
  <c r="EX787" i="94"/>
  <c r="FY787" i="94"/>
  <c r="AG787" i="94"/>
  <c r="GB787" i="94"/>
  <c r="AU787" i="94"/>
  <c r="ED787" i="94"/>
  <c r="EZ787" i="94"/>
  <c r="LV787" i="94"/>
  <c r="AK787" i="94"/>
  <c r="AW787" i="94"/>
  <c r="BJ787" i="94"/>
  <c r="EE787" i="94"/>
  <c r="EP787" i="94"/>
  <c r="FB787" i="94"/>
  <c r="GD787" i="94"/>
  <c r="LX787" i="94"/>
  <c r="AA787" i="94"/>
  <c r="AM787" i="94"/>
  <c r="BA787" i="94"/>
  <c r="BY787" i="94"/>
  <c r="EG787" i="94"/>
  <c r="ER787" i="94"/>
  <c r="FF787" i="94"/>
  <c r="FR787" i="94"/>
  <c r="GF787" i="94"/>
  <c r="LZ787" i="94"/>
  <c r="MO786" i="94"/>
  <c r="MS786" i="94"/>
  <c r="MR786" i="94"/>
  <c r="MU786" i="94"/>
  <c r="MT786" i="94"/>
  <c r="MY786" i="94"/>
  <c r="MQ786" i="94"/>
  <c r="MX786" i="94"/>
  <c r="MP786" i="94"/>
  <c r="MW786" i="94"/>
  <c r="MV786" i="94"/>
  <c r="AC791" i="94"/>
  <c r="AK791" i="94"/>
  <c r="AS791" i="94"/>
  <c r="BH791" i="94"/>
  <c r="EI791" i="94"/>
  <c r="FE791" i="94"/>
  <c r="LZ791" i="94"/>
  <c r="AE791" i="94"/>
  <c r="AM791" i="94"/>
  <c r="AU791" i="94"/>
  <c r="CK791" i="94"/>
  <c r="EO791" i="94"/>
  <c r="FI791" i="94"/>
  <c r="Y791" i="94"/>
  <c r="AG791" i="94"/>
  <c r="AO791" i="94"/>
  <c r="AZ791" i="94"/>
  <c r="ES791" i="94"/>
  <c r="GT790" i="94"/>
  <c r="HJ790" i="94"/>
  <c r="LR790" i="94"/>
  <c r="LZ790" i="94"/>
  <c r="Y790" i="94"/>
  <c r="AG790" i="94"/>
  <c r="AO790" i="94"/>
  <c r="AW790" i="94"/>
  <c r="BE790" i="94"/>
  <c r="EL790" i="94"/>
  <c r="ET790" i="94"/>
  <c r="FB790" i="94"/>
  <c r="FJ790" i="94"/>
  <c r="FR790" i="94"/>
  <c r="GM790" i="94"/>
  <c r="GU790" i="94"/>
  <c r="HC790" i="94"/>
  <c r="HK790" i="94"/>
  <c r="HS790" i="94"/>
  <c r="LS790" i="94"/>
  <c r="MA790" i="94"/>
  <c r="MI790" i="94"/>
  <c r="GL790" i="94"/>
  <c r="HB790" i="94"/>
  <c r="HR790" i="94"/>
  <c r="MH790" i="94"/>
  <c r="Z790" i="94"/>
  <c r="AH790" i="94"/>
  <c r="AP790" i="94"/>
  <c r="AX790" i="94"/>
  <c r="BF790" i="94"/>
  <c r="EM790" i="94"/>
  <c r="EU790" i="94"/>
  <c r="FC790" i="94"/>
  <c r="FK790" i="94"/>
  <c r="FS790" i="94"/>
  <c r="GN790" i="94"/>
  <c r="GV790" i="94"/>
  <c r="HD790" i="94"/>
  <c r="HL790" i="94"/>
  <c r="HT790" i="94"/>
  <c r="LT790" i="94"/>
  <c r="MB790" i="94"/>
  <c r="MJ790" i="94"/>
  <c r="AB790" i="94"/>
  <c r="AJ790" i="94"/>
  <c r="AR790" i="94"/>
  <c r="AZ790" i="94"/>
  <c r="BH790" i="94"/>
  <c r="EO790" i="94"/>
  <c r="EW790" i="94"/>
  <c r="FE790" i="94"/>
  <c r="FM790" i="94"/>
  <c r="FU790" i="94"/>
  <c r="GH790" i="94"/>
  <c r="GP790" i="94"/>
  <c r="GX790" i="94"/>
  <c r="HF790" i="94"/>
  <c r="HN790" i="94"/>
  <c r="HV790" i="94"/>
  <c r="LV790" i="94"/>
  <c r="MD790" i="94"/>
  <c r="AA789" i="94"/>
  <c r="AI789" i="94"/>
  <c r="AQ789" i="94"/>
  <c r="AY789" i="94"/>
  <c r="BG789" i="94"/>
  <c r="CL789" i="94"/>
  <c r="EN789" i="94"/>
  <c r="EV789" i="94"/>
  <c r="FD789" i="94"/>
  <c r="FL789" i="94"/>
  <c r="FT789" i="94"/>
  <c r="HT789" i="94"/>
  <c r="X787" i="94"/>
  <c r="AF787" i="94"/>
  <c r="AN787" i="94"/>
  <c r="AV787" i="94"/>
  <c r="BD787" i="94"/>
  <c r="BQ787" i="94"/>
  <c r="EC787" i="94"/>
  <c r="EK787" i="94"/>
  <c r="ES787" i="94"/>
  <c r="FA787" i="94"/>
  <c r="FI787" i="94"/>
  <c r="FQ787" i="94"/>
  <c r="LS787" i="94"/>
  <c r="Z787" i="94"/>
  <c r="AH787" i="94"/>
  <c r="AP787" i="94"/>
  <c r="AX787" i="94"/>
  <c r="BF787" i="94"/>
  <c r="CG787" i="94"/>
  <c r="EM787" i="94"/>
  <c r="EU787" i="94"/>
  <c r="FC787" i="94"/>
  <c r="FK787" i="94"/>
  <c r="FS787" i="94"/>
  <c r="LU787" i="94"/>
  <c r="AB787" i="94"/>
  <c r="AJ787" i="94"/>
  <c r="AR787" i="94"/>
  <c r="AZ787" i="94"/>
  <c r="BH787" i="94"/>
  <c r="CW787" i="94"/>
  <c r="EO787" i="94"/>
  <c r="EW787" i="94"/>
  <c r="FE787" i="94"/>
  <c r="FM787" i="94"/>
  <c r="FU787" i="94"/>
  <c r="GN787" i="94"/>
  <c r="AE786" i="94"/>
  <c r="AM786" i="94"/>
  <c r="AU786" i="94"/>
  <c r="BC786" i="94"/>
  <c r="BK786" i="94"/>
  <c r="BS786" i="94"/>
  <c r="CA786" i="94"/>
  <c r="CI786" i="94"/>
  <c r="CQ786" i="94"/>
  <c r="CY786" i="94"/>
  <c r="DG786" i="94"/>
  <c r="DO786" i="94"/>
  <c r="DW786" i="94"/>
  <c r="EM786" i="94"/>
  <c r="EU786" i="94"/>
  <c r="FC786" i="94"/>
  <c r="FK786" i="94"/>
  <c r="FS786" i="94"/>
  <c r="GI786" i="94"/>
  <c r="GQ786" i="94"/>
  <c r="GY786" i="94"/>
  <c r="HG786" i="94"/>
  <c r="HO786" i="94"/>
  <c r="HW786" i="94"/>
  <c r="LW786" i="94"/>
  <c r="ME786" i="94"/>
  <c r="MM786" i="94"/>
  <c r="Y786" i="94"/>
  <c r="AG786" i="94"/>
  <c r="AO786" i="94"/>
  <c r="AW786" i="94"/>
  <c r="BE786" i="94"/>
  <c r="BM786" i="94"/>
  <c r="BU786" i="94"/>
  <c r="CC786" i="94"/>
  <c r="CK786" i="94"/>
  <c r="CS786" i="94"/>
  <c r="DA786" i="94"/>
  <c r="DI786" i="94"/>
  <c r="DQ786" i="94"/>
  <c r="DY786" i="94"/>
  <c r="EO786" i="94"/>
  <c r="EW786" i="94"/>
  <c r="FE786" i="94"/>
  <c r="FM786" i="94"/>
  <c r="FU786" i="94"/>
  <c r="GK786" i="94"/>
  <c r="GS786" i="94"/>
  <c r="HA786" i="94"/>
  <c r="HI786" i="94"/>
  <c r="HQ786" i="94"/>
  <c r="HY786" i="94"/>
  <c r="LQ786" i="94"/>
  <c r="LY786" i="94"/>
  <c r="MG786" i="94"/>
  <c r="MM794" i="94"/>
  <c r="ME794" i="94"/>
  <c r="LW794" i="94"/>
  <c r="HW794" i="94"/>
  <c r="HO794" i="94"/>
  <c r="HG794" i="94"/>
  <c r="GY794" i="94"/>
  <c r="GQ794" i="94"/>
  <c r="GI794" i="94"/>
  <c r="FS794" i="94"/>
  <c r="FK794" i="94"/>
  <c r="FC794" i="94"/>
  <c r="EU794" i="94"/>
  <c r="EM794" i="94"/>
  <c r="DW794" i="94"/>
  <c r="DO794" i="94"/>
  <c r="DG794" i="94"/>
  <c r="CY794" i="94"/>
  <c r="CQ794" i="94"/>
  <c r="CI794" i="94"/>
  <c r="CA794" i="94"/>
  <c r="BS794" i="94"/>
  <c r="BK794" i="94"/>
  <c r="BC794" i="94"/>
  <c r="AU794" i="94"/>
  <c r="AM794" i="94"/>
  <c r="AE794" i="94"/>
  <c r="MK794" i="94"/>
  <c r="MC794" i="94"/>
  <c r="LU794" i="94"/>
  <c r="HU794" i="94"/>
  <c r="HM794" i="94"/>
  <c r="HE794" i="94"/>
  <c r="GW794" i="94"/>
  <c r="GO794" i="94"/>
  <c r="GG794" i="94"/>
  <c r="FQ794" i="94"/>
  <c r="FI794" i="94"/>
  <c r="FA794" i="94"/>
  <c r="ES794" i="94"/>
  <c r="EK794" i="94"/>
  <c r="EC794" i="94"/>
  <c r="DU794" i="94"/>
  <c r="DM794" i="94"/>
  <c r="DE794" i="94"/>
  <c r="CW794" i="94"/>
  <c r="CO794" i="94"/>
  <c r="CG794" i="94"/>
  <c r="BY794" i="94"/>
  <c r="BQ794" i="94"/>
  <c r="BI794" i="94"/>
  <c r="BA794" i="94"/>
  <c r="AS794" i="94"/>
  <c r="AK794" i="94"/>
  <c r="AC794" i="94"/>
  <c r="MJ794" i="94"/>
  <c r="MB794" i="94"/>
  <c r="LT794" i="94"/>
  <c r="HT794" i="94"/>
  <c r="HL794" i="94"/>
  <c r="HD794" i="94"/>
  <c r="GV794" i="94"/>
  <c r="GN794" i="94"/>
  <c r="FP794" i="94"/>
  <c r="FH794" i="94"/>
  <c r="EZ794" i="94"/>
  <c r="ER794" i="94"/>
  <c r="EJ794" i="94"/>
  <c r="EB794" i="94"/>
  <c r="DT794" i="94"/>
  <c r="DL794" i="94"/>
  <c r="DD794" i="94"/>
  <c r="CV794" i="94"/>
  <c r="CN794" i="94"/>
  <c r="CF794" i="94"/>
  <c r="BX794" i="94"/>
  <c r="BP794" i="94"/>
  <c r="BH794" i="94"/>
  <c r="AZ794" i="94"/>
  <c r="AR794" i="94"/>
  <c r="AJ794" i="94"/>
  <c r="AB794" i="94"/>
  <c r="MI794" i="94"/>
  <c r="MA794" i="94"/>
  <c r="LS794" i="94"/>
  <c r="HS794" i="94"/>
  <c r="HK794" i="94"/>
  <c r="HC794" i="94"/>
  <c r="GU794" i="94"/>
  <c r="GM794" i="94"/>
  <c r="FO794" i="94"/>
  <c r="FG794" i="94"/>
  <c r="EY794" i="94"/>
  <c r="EQ794" i="94"/>
  <c r="EI794" i="94"/>
  <c r="EA794" i="94"/>
  <c r="DS794" i="94"/>
  <c r="DK794" i="94"/>
  <c r="DC794" i="94"/>
  <c r="CU794" i="94"/>
  <c r="CM794" i="94"/>
  <c r="CE794" i="94"/>
  <c r="BW794" i="94"/>
  <c r="BO794" i="94"/>
  <c r="BG794" i="94"/>
  <c r="AY794" i="94"/>
  <c r="AQ794" i="94"/>
  <c r="AI794" i="94"/>
  <c r="AA794" i="94"/>
  <c r="MO794" i="94"/>
  <c r="MG794" i="94"/>
  <c r="LY794" i="94"/>
  <c r="LQ794" i="94"/>
  <c r="HY794" i="94"/>
  <c r="HQ794" i="94"/>
  <c r="HI794" i="94"/>
  <c r="HA794" i="94"/>
  <c r="GS794" i="94"/>
  <c r="GK794" i="94"/>
  <c r="FU794" i="94"/>
  <c r="FM794" i="94"/>
  <c r="FE794" i="94"/>
  <c r="EW794" i="94"/>
  <c r="EO794" i="94"/>
  <c r="DY794" i="94"/>
  <c r="DQ794" i="94"/>
  <c r="DI794" i="94"/>
  <c r="DA794" i="94"/>
  <c r="CS794" i="94"/>
  <c r="CK794" i="94"/>
  <c r="CC794" i="94"/>
  <c r="BU794" i="94"/>
  <c r="BM794" i="94"/>
  <c r="BE794" i="94"/>
  <c r="AW794" i="94"/>
  <c r="AO794" i="94"/>
  <c r="AG794" i="94"/>
  <c r="Y794" i="94"/>
  <c r="LZ793" i="94"/>
  <c r="LR793" i="94"/>
  <c r="FS793" i="94"/>
  <c r="FK793" i="94"/>
  <c r="FC793" i="94"/>
  <c r="EU793" i="94"/>
  <c r="EM793" i="94"/>
  <c r="DW793" i="94"/>
  <c r="DO793" i="94"/>
  <c r="DG793" i="94"/>
  <c r="CY793" i="94"/>
  <c r="CQ793" i="94"/>
  <c r="CI793" i="94"/>
  <c r="CA793" i="94"/>
  <c r="BS793" i="94"/>
  <c r="BK793" i="94"/>
  <c r="BC793" i="94"/>
  <c r="AU793" i="94"/>
  <c r="AM793" i="94"/>
  <c r="AE793" i="94"/>
  <c r="LX793" i="94"/>
  <c r="HU793" i="94"/>
  <c r="FQ793" i="94"/>
  <c r="FI793" i="94"/>
  <c r="FA793" i="94"/>
  <c r="ES793" i="94"/>
  <c r="EK793" i="94"/>
  <c r="EC793" i="94"/>
  <c r="DU793" i="94"/>
  <c r="DM793" i="94"/>
  <c r="DE793" i="94"/>
  <c r="CW793" i="94"/>
  <c r="CO793" i="94"/>
  <c r="CG793" i="94"/>
  <c r="BY793" i="94"/>
  <c r="BQ793" i="94"/>
  <c r="BI793" i="94"/>
  <c r="BA793" i="94"/>
  <c r="AS793" i="94"/>
  <c r="AK793" i="94"/>
  <c r="AC793" i="94"/>
  <c r="LW793" i="94"/>
  <c r="FP793" i="94"/>
  <c r="FH793" i="94"/>
  <c r="EZ793" i="94"/>
  <c r="ER793" i="94"/>
  <c r="EJ793" i="94"/>
  <c r="EB793" i="94"/>
  <c r="DT793" i="94"/>
  <c r="DL793" i="94"/>
  <c r="DD793" i="94"/>
  <c r="CV793" i="94"/>
  <c r="CN793" i="94"/>
  <c r="CF793" i="94"/>
  <c r="BX793" i="94"/>
  <c r="BP793" i="94"/>
  <c r="BH793" i="94"/>
  <c r="AZ793" i="94"/>
  <c r="AR793" i="94"/>
  <c r="AJ793" i="94"/>
  <c r="AB793" i="94"/>
  <c r="LV793" i="94"/>
  <c r="FO793" i="94"/>
  <c r="FG793" i="94"/>
  <c r="EY793" i="94"/>
  <c r="EQ793" i="94"/>
  <c r="EI793" i="94"/>
  <c r="EA793" i="94"/>
  <c r="DS793" i="94"/>
  <c r="DK793" i="94"/>
  <c r="DC793" i="94"/>
  <c r="CU793" i="94"/>
  <c r="CM793" i="94"/>
  <c r="CE793" i="94"/>
  <c r="BW793" i="94"/>
  <c r="BO793" i="94"/>
  <c r="BG793" i="94"/>
  <c r="AY793" i="94"/>
  <c r="AQ793" i="94"/>
  <c r="AI793" i="94"/>
  <c r="AA793" i="94"/>
  <c r="LT793" i="94"/>
  <c r="FU793" i="94"/>
  <c r="FM793" i="94"/>
  <c r="FE793" i="94"/>
  <c r="EW793" i="94"/>
  <c r="EO793" i="94"/>
  <c r="DY793" i="94"/>
  <c r="DQ793" i="94"/>
  <c r="DI793" i="94"/>
  <c r="DA793" i="94"/>
  <c r="CS793" i="94"/>
  <c r="CK793" i="94"/>
  <c r="CC793" i="94"/>
  <c r="BU793" i="94"/>
  <c r="BM793" i="94"/>
  <c r="BE793" i="94"/>
  <c r="AW793" i="94"/>
  <c r="AO793" i="94"/>
  <c r="AG793" i="94"/>
  <c r="Y793" i="94"/>
  <c r="ML792" i="94"/>
  <c r="MD792" i="94"/>
  <c r="LV792" i="94"/>
  <c r="HV792" i="94"/>
  <c r="HN792" i="94"/>
  <c r="HF792" i="94"/>
  <c r="GX792" i="94"/>
  <c r="GP792" i="94"/>
  <c r="GH792" i="94"/>
  <c r="FR792" i="94"/>
  <c r="FJ792" i="94"/>
  <c r="FB792" i="94"/>
  <c r="ET792" i="94"/>
  <c r="EL792" i="94"/>
  <c r="DV792" i="94"/>
  <c r="DN792" i="94"/>
  <c r="DF792" i="94"/>
  <c r="CX792" i="94"/>
  <c r="CP792" i="94"/>
  <c r="CH792" i="94"/>
  <c r="BZ792" i="94"/>
  <c r="BR792" i="94"/>
  <c r="BJ792" i="94"/>
  <c r="BB792" i="94"/>
  <c r="AT792" i="94"/>
  <c r="AL792" i="94"/>
  <c r="AD792" i="94"/>
  <c r="MJ792" i="94"/>
  <c r="MB792" i="94"/>
  <c r="LT792" i="94"/>
  <c r="HT792" i="94"/>
  <c r="HL792" i="94"/>
  <c r="HD792" i="94"/>
  <c r="GV792" i="94"/>
  <c r="GN792" i="94"/>
  <c r="FP792" i="94"/>
  <c r="FH792" i="94"/>
  <c r="EZ792" i="94"/>
  <c r="ER792" i="94"/>
  <c r="EJ792" i="94"/>
  <c r="EB792" i="94"/>
  <c r="DT792" i="94"/>
  <c r="DL792" i="94"/>
  <c r="DD792" i="94"/>
  <c r="CV792" i="94"/>
  <c r="CN792" i="94"/>
  <c r="CF792" i="94"/>
  <c r="BX792" i="94"/>
  <c r="BP792" i="94"/>
  <c r="BH792" i="94"/>
  <c r="AZ792" i="94"/>
  <c r="AR792" i="94"/>
  <c r="AJ792" i="94"/>
  <c r="AB792" i="94"/>
  <c r="MI792" i="94"/>
  <c r="MA792" i="94"/>
  <c r="LS792" i="94"/>
  <c r="HS792" i="94"/>
  <c r="HK792" i="94"/>
  <c r="HC792" i="94"/>
  <c r="GU792" i="94"/>
  <c r="GM792" i="94"/>
  <c r="FO792" i="94"/>
  <c r="FG792" i="94"/>
  <c r="EY792" i="94"/>
  <c r="EQ792" i="94"/>
  <c r="EI792" i="94"/>
  <c r="EA792" i="94"/>
  <c r="DS792" i="94"/>
  <c r="DK792" i="94"/>
  <c r="DC792" i="94"/>
  <c r="CU792" i="94"/>
  <c r="CM792" i="94"/>
  <c r="CE792" i="94"/>
  <c r="BW792" i="94"/>
  <c r="BO792" i="94"/>
  <c r="BG792" i="94"/>
  <c r="AY792" i="94"/>
  <c r="AQ792" i="94"/>
  <c r="AI792" i="94"/>
  <c r="AA792" i="94"/>
  <c r="MH792" i="94"/>
  <c r="LZ792" i="94"/>
  <c r="LR792" i="94"/>
  <c r="HR792" i="94"/>
  <c r="HJ792" i="94"/>
  <c r="HB792" i="94"/>
  <c r="GT792" i="94"/>
  <c r="GL792" i="94"/>
  <c r="FV792" i="94"/>
  <c r="FN792" i="94"/>
  <c r="FF792" i="94"/>
  <c r="EX792" i="94"/>
  <c r="EP792" i="94"/>
  <c r="DZ792" i="94"/>
  <c r="DR792" i="94"/>
  <c r="DJ792" i="94"/>
  <c r="DB792" i="94"/>
  <c r="CT792" i="94"/>
  <c r="CL792" i="94"/>
  <c r="CD792" i="94"/>
  <c r="BV792" i="94"/>
  <c r="BN792" i="94"/>
  <c r="BF792" i="94"/>
  <c r="AX792" i="94"/>
  <c r="AP792" i="94"/>
  <c r="AH792" i="94"/>
  <c r="Z792" i="94"/>
  <c r="MN792" i="94"/>
  <c r="MF792" i="94"/>
  <c r="LX792" i="94"/>
  <c r="HX792" i="94"/>
  <c r="HP792" i="94"/>
  <c r="HH792" i="94"/>
  <c r="GZ792" i="94"/>
  <c r="GR792" i="94"/>
  <c r="GJ792" i="94"/>
  <c r="FT792" i="94"/>
  <c r="FL792" i="94"/>
  <c r="FD792" i="94"/>
  <c r="EV792" i="94"/>
  <c r="EN792" i="94"/>
  <c r="DX792" i="94"/>
  <c r="DP792" i="94"/>
  <c r="DH792" i="94"/>
  <c r="CZ792" i="94"/>
  <c r="CR792" i="94"/>
  <c r="CJ792" i="94"/>
  <c r="CB792" i="94"/>
  <c r="BT792" i="94"/>
  <c r="BL792" i="94"/>
  <c r="BD792" i="94"/>
  <c r="AV792" i="94"/>
  <c r="AN792" i="94"/>
  <c r="AF792" i="94"/>
  <c r="X792" i="94"/>
  <c r="LY791" i="94"/>
  <c r="LQ791" i="94"/>
  <c r="FV791" i="94"/>
  <c r="FN791" i="94"/>
  <c r="FF791" i="94"/>
  <c r="EX791" i="94"/>
  <c r="EP791" i="94"/>
  <c r="BI791" i="94"/>
  <c r="LW791" i="94"/>
  <c r="HG791" i="94"/>
  <c r="FT791" i="94"/>
  <c r="FL791" i="94"/>
  <c r="FD791" i="94"/>
  <c r="EV791" i="94"/>
  <c r="EN791" i="94"/>
  <c r="BG791" i="94"/>
  <c r="AY791" i="94"/>
  <c r="LV791" i="94"/>
  <c r="FS791" i="94"/>
  <c r="FK791" i="94"/>
  <c r="FC791" i="94"/>
  <c r="EU791" i="94"/>
  <c r="EM791" i="94"/>
  <c r="BF791" i="94"/>
  <c r="AX791" i="94"/>
  <c r="LU791" i="94"/>
  <c r="FR791" i="94"/>
  <c r="FJ791" i="94"/>
  <c r="FB791" i="94"/>
  <c r="ET791" i="94"/>
  <c r="EL791" i="94"/>
  <c r="BE791" i="94"/>
  <c r="AW791" i="94"/>
  <c r="LS791" i="94"/>
  <c r="FP791" i="94"/>
  <c r="FH791" i="94"/>
  <c r="EZ791" i="94"/>
  <c r="ER791" i="94"/>
  <c r="EJ791" i="94"/>
  <c r="BK791" i="94"/>
  <c r="BC791" i="94"/>
  <c r="CU790" i="94"/>
  <c r="HS791" i="94"/>
  <c r="HW787" i="94"/>
  <c r="CZ814" i="94"/>
  <c r="BT814" i="94"/>
  <c r="DX814" i="94"/>
  <c r="CR814" i="94"/>
  <c r="BL814" i="94"/>
  <c r="DW814" i="94"/>
  <c r="CQ814" i="94"/>
  <c r="GA814" i="94"/>
  <c r="DP814" i="94"/>
  <c r="CJ814" i="94"/>
  <c r="DO814" i="94"/>
  <c r="DH814" i="94"/>
  <c r="DG814" i="94"/>
  <c r="CY814" i="94"/>
  <c r="CI814" i="94"/>
  <c r="CB814" i="94"/>
  <c r="CA814" i="94"/>
  <c r="DY798" i="94"/>
  <c r="DQ798" i="94"/>
  <c r="DI798" i="94"/>
  <c r="DA798" i="94"/>
  <c r="CS798" i="94"/>
  <c r="CK798" i="94"/>
  <c r="CC798" i="94"/>
  <c r="BU798" i="94"/>
  <c r="BM798" i="94"/>
  <c r="DX798" i="94"/>
  <c r="DP798" i="94"/>
  <c r="DH798" i="94"/>
  <c r="CZ798" i="94"/>
  <c r="CR798" i="94"/>
  <c r="CJ798" i="94"/>
  <c r="CB798" i="94"/>
  <c r="BT798" i="94"/>
  <c r="BL798" i="94"/>
  <c r="FZ798" i="94"/>
  <c r="DV798" i="94"/>
  <c r="DN798" i="94"/>
  <c r="DF798" i="94"/>
  <c r="CX798" i="94"/>
  <c r="CP798" i="94"/>
  <c r="CH798" i="94"/>
  <c r="BZ798" i="94"/>
  <c r="BR798" i="94"/>
  <c r="FY798" i="94"/>
  <c r="EC798" i="94"/>
  <c r="DU798" i="94"/>
  <c r="DM798" i="94"/>
  <c r="DE798" i="94"/>
  <c r="CW798" i="94"/>
  <c r="CO798" i="94"/>
  <c r="CG798" i="94"/>
  <c r="BY798" i="94"/>
  <c r="BQ798" i="94"/>
  <c r="FX798" i="94"/>
  <c r="EB798" i="94"/>
  <c r="DT798" i="94"/>
  <c r="DL798" i="94"/>
  <c r="DD798" i="94"/>
  <c r="CV798" i="94"/>
  <c r="CN798" i="94"/>
  <c r="CF798" i="94"/>
  <c r="BX798" i="94"/>
  <c r="BP798" i="94"/>
  <c r="DR798" i="94"/>
  <c r="CU798" i="94"/>
  <c r="CA798" i="94"/>
  <c r="DO798" i="94"/>
  <c r="CT798" i="94"/>
  <c r="BW798" i="94"/>
  <c r="DK798" i="94"/>
  <c r="CQ798" i="94"/>
  <c r="BV798" i="94"/>
  <c r="DJ798" i="94"/>
  <c r="CM798" i="94"/>
  <c r="BS798" i="94"/>
  <c r="EA798" i="94"/>
  <c r="DG798" i="94"/>
  <c r="CL798" i="94"/>
  <c r="BO798" i="94"/>
  <c r="GA798" i="94"/>
  <c r="DZ798" i="94"/>
  <c r="DC798" i="94"/>
  <c r="CI798" i="94"/>
  <c r="BN798" i="94"/>
  <c r="FW798" i="94"/>
  <c r="DW798" i="94"/>
  <c r="DB798" i="94"/>
  <c r="CE798" i="94"/>
  <c r="DY782" i="94"/>
  <c r="DQ782" i="94"/>
  <c r="DI782" i="94"/>
  <c r="DA782" i="94"/>
  <c r="CS782" i="94"/>
  <c r="CK782" i="94"/>
  <c r="CC782" i="94"/>
  <c r="BU782" i="94"/>
  <c r="BM782" i="94"/>
  <c r="DX782" i="94"/>
  <c r="DP782" i="94"/>
  <c r="DH782" i="94"/>
  <c r="CZ782" i="94"/>
  <c r="CR782" i="94"/>
  <c r="CJ782" i="94"/>
  <c r="CB782" i="94"/>
  <c r="BT782" i="94"/>
  <c r="BL782" i="94"/>
  <c r="FZ782" i="94"/>
  <c r="DV782" i="94"/>
  <c r="DN782" i="94"/>
  <c r="DF782" i="94"/>
  <c r="CX782" i="94"/>
  <c r="CP782" i="94"/>
  <c r="CH782" i="94"/>
  <c r="BZ782" i="94"/>
  <c r="BR782" i="94"/>
  <c r="FY782" i="94"/>
  <c r="EC782" i="94"/>
  <c r="DU782" i="94"/>
  <c r="DM782" i="94"/>
  <c r="DE782" i="94"/>
  <c r="CW782" i="94"/>
  <c r="CO782" i="94"/>
  <c r="CG782" i="94"/>
  <c r="BY782" i="94"/>
  <c r="BQ782" i="94"/>
  <c r="FX782" i="94"/>
  <c r="EB782" i="94"/>
  <c r="DT782" i="94"/>
  <c r="DL782" i="94"/>
  <c r="DD782" i="94"/>
  <c r="CV782" i="94"/>
  <c r="CN782" i="94"/>
  <c r="CF782" i="94"/>
  <c r="BX782" i="94"/>
  <c r="BP782" i="94"/>
  <c r="FW782" i="94"/>
  <c r="EA782" i="94"/>
  <c r="DS782" i="94"/>
  <c r="DK782" i="94"/>
  <c r="DC782" i="94"/>
  <c r="CU782" i="94"/>
  <c r="CM782" i="94"/>
  <c r="CE782" i="94"/>
  <c r="BW782" i="94"/>
  <c r="BO782" i="94"/>
  <c r="GT811" i="94"/>
  <c r="HS811" i="94"/>
  <c r="GM811" i="94"/>
  <c r="MK811" i="94"/>
  <c r="HR811" i="94"/>
  <c r="GL811" i="94"/>
  <c r="MJ811" i="94"/>
  <c r="HK811" i="94"/>
  <c r="MC811" i="94"/>
  <c r="HJ811" i="94"/>
  <c r="MB811" i="94"/>
  <c r="HC811" i="94"/>
  <c r="HB811" i="94"/>
  <c r="MF807" i="94"/>
  <c r="HF807" i="94"/>
  <c r="ME807" i="94"/>
  <c r="HE807" i="94"/>
  <c r="GX807" i="94"/>
  <c r="GW807" i="94"/>
  <c r="HV807" i="94"/>
  <c r="GP807" i="94"/>
  <c r="HU807" i="94"/>
  <c r="GO807" i="94"/>
  <c r="MN807" i="94"/>
  <c r="HN807" i="94"/>
  <c r="GH807" i="94"/>
  <c r="HM807" i="94"/>
  <c r="GG807" i="94"/>
  <c r="MM807" i="94"/>
  <c r="MO803" i="94"/>
  <c r="HO803" i="94"/>
  <c r="GY803" i="94"/>
  <c r="GI803" i="94"/>
  <c r="MM803" i="94"/>
  <c r="HM803" i="94"/>
  <c r="GW803" i="94"/>
  <c r="GG803" i="94"/>
  <c r="MI803" i="94"/>
  <c r="HY803" i="94"/>
  <c r="HI803" i="94"/>
  <c r="GS803" i="94"/>
  <c r="MH803" i="94"/>
  <c r="HX803" i="94"/>
  <c r="HH803" i="94"/>
  <c r="GR803" i="94"/>
  <c r="MG803" i="94"/>
  <c r="HW803" i="94"/>
  <c r="HG803" i="94"/>
  <c r="GQ803" i="94"/>
  <c r="ME803" i="94"/>
  <c r="HU803" i="94"/>
  <c r="HE803" i="94"/>
  <c r="GO803" i="94"/>
  <c r="MA803" i="94"/>
  <c r="HQ803" i="94"/>
  <c r="HA803" i="94"/>
  <c r="GK803" i="94"/>
  <c r="HP803" i="94"/>
  <c r="GZ803" i="94"/>
  <c r="GJ803" i="94"/>
  <c r="MM801" i="94"/>
  <c r="MC801" i="94"/>
  <c r="HU801" i="94"/>
  <c r="HL801" i="94"/>
  <c r="HD801" i="94"/>
  <c r="GV801" i="94"/>
  <c r="GN801" i="94"/>
  <c r="ML801" i="94"/>
  <c r="MA801" i="94"/>
  <c r="HT801" i="94"/>
  <c r="HK801" i="94"/>
  <c r="HC801" i="94"/>
  <c r="GU801" i="94"/>
  <c r="GM801" i="94"/>
  <c r="MI801" i="94"/>
  <c r="HR801" i="94"/>
  <c r="HI801" i="94"/>
  <c r="HA801" i="94"/>
  <c r="GS801" i="94"/>
  <c r="GK801" i="94"/>
  <c r="MH801" i="94"/>
  <c r="HQ801" i="94"/>
  <c r="HH801" i="94"/>
  <c r="GZ801" i="94"/>
  <c r="GR801" i="94"/>
  <c r="GJ801" i="94"/>
  <c r="MG801" i="94"/>
  <c r="HY801" i="94"/>
  <c r="HP801" i="94"/>
  <c r="HG801" i="94"/>
  <c r="GY801" i="94"/>
  <c r="GQ801" i="94"/>
  <c r="GI801" i="94"/>
  <c r="ME801" i="94"/>
  <c r="HX801" i="94"/>
  <c r="HO801" i="94"/>
  <c r="HF801" i="94"/>
  <c r="GX801" i="94"/>
  <c r="GP801" i="94"/>
  <c r="GH801" i="94"/>
  <c r="HS801" i="94"/>
  <c r="GL801" i="94"/>
  <c r="MO801" i="94"/>
  <c r="HM801" i="94"/>
  <c r="GG801" i="94"/>
  <c r="MK801" i="94"/>
  <c r="HJ801" i="94"/>
  <c r="MD801" i="94"/>
  <c r="HE801" i="94"/>
  <c r="HB801" i="94"/>
  <c r="GW801" i="94"/>
  <c r="GT801" i="94"/>
  <c r="MI797" i="94"/>
  <c r="MA797" i="94"/>
  <c r="HU797" i="94"/>
  <c r="HM797" i="94"/>
  <c r="HE797" i="94"/>
  <c r="GW797" i="94"/>
  <c r="GO797" i="94"/>
  <c r="GG797" i="94"/>
  <c r="MH797" i="94"/>
  <c r="HT797" i="94"/>
  <c r="HL797" i="94"/>
  <c r="HD797" i="94"/>
  <c r="GV797" i="94"/>
  <c r="GN797" i="94"/>
  <c r="MN797" i="94"/>
  <c r="MF797" i="94"/>
  <c r="HR797" i="94"/>
  <c r="HJ797" i="94"/>
  <c r="HB797" i="94"/>
  <c r="GT797" i="94"/>
  <c r="GL797" i="94"/>
  <c r="MM797" i="94"/>
  <c r="ME797" i="94"/>
  <c r="HY797" i="94"/>
  <c r="HQ797" i="94"/>
  <c r="HI797" i="94"/>
  <c r="HA797" i="94"/>
  <c r="GS797" i="94"/>
  <c r="GK797" i="94"/>
  <c r="ML797" i="94"/>
  <c r="MD797" i="94"/>
  <c r="HX797" i="94"/>
  <c r="HP797" i="94"/>
  <c r="HH797" i="94"/>
  <c r="GZ797" i="94"/>
  <c r="GR797" i="94"/>
  <c r="GJ797" i="94"/>
  <c r="MJ797" i="94"/>
  <c r="HV797" i="94"/>
  <c r="GY797" i="94"/>
  <c r="MG797" i="94"/>
  <c r="HS797" i="94"/>
  <c r="GX797" i="94"/>
  <c r="MC797" i="94"/>
  <c r="HO797" i="94"/>
  <c r="GU797" i="94"/>
  <c r="MB797" i="94"/>
  <c r="HN797" i="94"/>
  <c r="GQ797" i="94"/>
  <c r="HK797" i="94"/>
  <c r="GP797" i="94"/>
  <c r="HG797" i="94"/>
  <c r="GM797" i="94"/>
  <c r="MO797" i="94"/>
  <c r="HF797" i="94"/>
  <c r="GI797" i="94"/>
  <c r="MH793" i="94"/>
  <c r="HS793" i="94"/>
  <c r="HK793" i="94"/>
  <c r="HC793" i="94"/>
  <c r="GU793" i="94"/>
  <c r="GM793" i="94"/>
  <c r="MN793" i="94"/>
  <c r="MF793" i="94"/>
  <c r="HY793" i="94"/>
  <c r="HQ793" i="94"/>
  <c r="HI793" i="94"/>
  <c r="HA793" i="94"/>
  <c r="GS793" i="94"/>
  <c r="GK793" i="94"/>
  <c r="ML793" i="94"/>
  <c r="MD793" i="94"/>
  <c r="HW793" i="94"/>
  <c r="HO793" i="94"/>
  <c r="HG793" i="94"/>
  <c r="GY793" i="94"/>
  <c r="GQ793" i="94"/>
  <c r="GI793" i="94"/>
  <c r="MC793" i="94"/>
  <c r="HT793" i="94"/>
  <c r="HF793" i="94"/>
  <c r="GT793" i="94"/>
  <c r="GG793" i="94"/>
  <c r="MO793" i="94"/>
  <c r="MB793" i="94"/>
  <c r="HR793" i="94"/>
  <c r="HE793" i="94"/>
  <c r="GR793" i="94"/>
  <c r="MM793" i="94"/>
  <c r="MA793" i="94"/>
  <c r="HP793" i="94"/>
  <c r="HD793" i="94"/>
  <c r="GP793" i="94"/>
  <c r="MK793" i="94"/>
  <c r="HN793" i="94"/>
  <c r="HB793" i="94"/>
  <c r="GO793" i="94"/>
  <c r="MJ793" i="94"/>
  <c r="HM793" i="94"/>
  <c r="GZ793" i="94"/>
  <c r="GN793" i="94"/>
  <c r="MI793" i="94"/>
  <c r="HX793" i="94"/>
  <c r="HL793" i="94"/>
  <c r="GX793" i="94"/>
  <c r="GL793" i="94"/>
  <c r="MG793" i="94"/>
  <c r="HV793" i="94"/>
  <c r="HJ793" i="94"/>
  <c r="GW793" i="94"/>
  <c r="GJ793" i="94"/>
  <c r="MO789" i="94"/>
  <c r="MG789" i="94"/>
  <c r="HS789" i="94"/>
  <c r="HK789" i="94"/>
  <c r="HC789" i="94"/>
  <c r="GU789" i="94"/>
  <c r="GM789" i="94"/>
  <c r="MN789" i="94"/>
  <c r="MF789" i="94"/>
  <c r="HR789" i="94"/>
  <c r="HJ789" i="94"/>
  <c r="HB789" i="94"/>
  <c r="GT789" i="94"/>
  <c r="GL789" i="94"/>
  <c r="MM789" i="94"/>
  <c r="ME789" i="94"/>
  <c r="HY789" i="94"/>
  <c r="HQ789" i="94"/>
  <c r="HI789" i="94"/>
  <c r="HA789" i="94"/>
  <c r="GS789" i="94"/>
  <c r="GK789" i="94"/>
  <c r="ML789" i="94"/>
  <c r="MD789" i="94"/>
  <c r="HX789" i="94"/>
  <c r="HP789" i="94"/>
  <c r="HH789" i="94"/>
  <c r="GZ789" i="94"/>
  <c r="GR789" i="94"/>
  <c r="GJ789" i="94"/>
  <c r="MK789" i="94"/>
  <c r="MC789" i="94"/>
  <c r="HW789" i="94"/>
  <c r="HO789" i="94"/>
  <c r="HG789" i="94"/>
  <c r="GY789" i="94"/>
  <c r="GQ789" i="94"/>
  <c r="GI789" i="94"/>
  <c r="MJ789" i="94"/>
  <c r="MB789" i="94"/>
  <c r="HV789" i="94"/>
  <c r="HN789" i="94"/>
  <c r="HF789" i="94"/>
  <c r="GX789" i="94"/>
  <c r="GP789" i="94"/>
  <c r="GH789" i="94"/>
  <c r="MI789" i="94"/>
  <c r="MA789" i="94"/>
  <c r="HU789" i="94"/>
  <c r="HM789" i="94"/>
  <c r="HE789" i="94"/>
  <c r="GW789" i="94"/>
  <c r="GO789" i="94"/>
  <c r="GG789" i="94"/>
  <c r="MN785" i="94"/>
  <c r="MF785" i="94"/>
  <c r="HR785" i="94"/>
  <c r="HJ785" i="94"/>
  <c r="HB785" i="94"/>
  <c r="GT785" i="94"/>
  <c r="GL785" i="94"/>
  <c r="MM785" i="94"/>
  <c r="ME785" i="94"/>
  <c r="HY785" i="94"/>
  <c r="HQ785" i="94"/>
  <c r="HI785" i="94"/>
  <c r="HA785" i="94"/>
  <c r="GS785" i="94"/>
  <c r="GK785" i="94"/>
  <c r="MK785" i="94"/>
  <c r="MC785" i="94"/>
  <c r="HW785" i="94"/>
  <c r="HO785" i="94"/>
  <c r="HG785" i="94"/>
  <c r="GY785" i="94"/>
  <c r="GQ785" i="94"/>
  <c r="GI785" i="94"/>
  <c r="MJ785" i="94"/>
  <c r="MB785" i="94"/>
  <c r="HV785" i="94"/>
  <c r="HN785" i="94"/>
  <c r="HF785" i="94"/>
  <c r="GX785" i="94"/>
  <c r="GP785" i="94"/>
  <c r="GH785" i="94"/>
  <c r="MI785" i="94"/>
  <c r="MA785" i="94"/>
  <c r="HU785" i="94"/>
  <c r="HM785" i="94"/>
  <c r="HE785" i="94"/>
  <c r="GW785" i="94"/>
  <c r="GO785" i="94"/>
  <c r="GG785" i="94"/>
  <c r="MH785" i="94"/>
  <c r="HT785" i="94"/>
  <c r="HL785" i="94"/>
  <c r="HD785" i="94"/>
  <c r="GV785" i="94"/>
  <c r="GN785" i="94"/>
  <c r="MJ781" i="94"/>
  <c r="MB781" i="94"/>
  <c r="HW781" i="94"/>
  <c r="HO781" i="94"/>
  <c r="HG781" i="94"/>
  <c r="GY781" i="94"/>
  <c r="GQ781" i="94"/>
  <c r="GI781" i="94"/>
  <c r="MI781" i="94"/>
  <c r="MA781" i="94"/>
  <c r="HV781" i="94"/>
  <c r="HN781" i="94"/>
  <c r="HF781" i="94"/>
  <c r="GX781" i="94"/>
  <c r="GP781" i="94"/>
  <c r="GH781" i="94"/>
  <c r="MO781" i="94"/>
  <c r="MG781" i="94"/>
  <c r="HT781" i="94"/>
  <c r="HL781" i="94"/>
  <c r="HD781" i="94"/>
  <c r="GV781" i="94"/>
  <c r="GN781" i="94"/>
  <c r="MN781" i="94"/>
  <c r="MF781" i="94"/>
  <c r="HS781" i="94"/>
  <c r="HK781" i="94"/>
  <c r="HC781" i="94"/>
  <c r="GU781" i="94"/>
  <c r="GM781" i="94"/>
  <c r="MM781" i="94"/>
  <c r="ME781" i="94"/>
  <c r="HR781" i="94"/>
  <c r="HJ781" i="94"/>
  <c r="HB781" i="94"/>
  <c r="GT781" i="94"/>
  <c r="GL781" i="94"/>
  <c r="ML781" i="94"/>
  <c r="MD781" i="94"/>
  <c r="HY781" i="94"/>
  <c r="HQ781" i="94"/>
  <c r="HI781" i="94"/>
  <c r="HA781" i="94"/>
  <c r="GS781" i="94"/>
  <c r="GK781" i="94"/>
  <c r="Y779" i="94"/>
  <c r="AO779" i="94"/>
  <c r="BE779" i="94"/>
  <c r="BU779" i="94"/>
  <c r="CK779" i="94"/>
  <c r="DA779" i="94"/>
  <c r="EW779" i="94"/>
  <c r="FE779" i="94"/>
  <c r="FM779" i="94"/>
  <c r="FU779" i="94"/>
  <c r="GK779" i="94"/>
  <c r="GS779" i="94"/>
  <c r="HA779" i="94"/>
  <c r="HI779" i="94"/>
  <c r="GR781" i="94"/>
  <c r="HX781" i="94"/>
  <c r="CQ782" i="94"/>
  <c r="DW782" i="94"/>
  <c r="HV783" i="94"/>
  <c r="GM785" i="94"/>
  <c r="HS785" i="94"/>
  <c r="MO785" i="94"/>
  <c r="GQ787" i="94"/>
  <c r="MK797" i="94"/>
  <c r="GO801" i="94"/>
  <c r="GU811" i="94"/>
  <c r="BS814" i="94"/>
  <c r="ML779" i="94"/>
  <c r="MC779" i="94"/>
  <c r="MI779" i="94"/>
  <c r="LZ779" i="94"/>
  <c r="LQ779" i="94"/>
  <c r="MH779" i="94"/>
  <c r="LY779" i="94"/>
  <c r="HX779" i="94"/>
  <c r="HP779" i="94"/>
  <c r="MO779" i="94"/>
  <c r="ME779" i="94"/>
  <c r="LV779" i="94"/>
  <c r="DM806" i="94"/>
  <c r="CP806" i="94"/>
  <c r="BV806" i="94"/>
  <c r="DJ806" i="94"/>
  <c r="CO806" i="94"/>
  <c r="BR806" i="94"/>
  <c r="EC806" i="94"/>
  <c r="DF806" i="94"/>
  <c r="CL806" i="94"/>
  <c r="BQ806" i="94"/>
  <c r="FZ806" i="94"/>
  <c r="DZ806" i="94"/>
  <c r="DE806" i="94"/>
  <c r="CH806" i="94"/>
  <c r="BN806" i="94"/>
  <c r="FY806" i="94"/>
  <c r="DV806" i="94"/>
  <c r="DB806" i="94"/>
  <c r="CG806" i="94"/>
  <c r="DU806" i="94"/>
  <c r="CX806" i="94"/>
  <c r="CD806" i="94"/>
  <c r="DR806" i="94"/>
  <c r="CW806" i="94"/>
  <c r="BZ806" i="94"/>
  <c r="DN806" i="94"/>
  <c r="CT806" i="94"/>
  <c r="BY806" i="94"/>
  <c r="GA790" i="94"/>
  <c r="DW790" i="94"/>
  <c r="DO790" i="94"/>
  <c r="DG790" i="94"/>
  <c r="CY790" i="94"/>
  <c r="CQ790" i="94"/>
  <c r="CI790" i="94"/>
  <c r="CA790" i="94"/>
  <c r="BS790" i="94"/>
  <c r="FY790" i="94"/>
  <c r="FW790" i="94"/>
  <c r="EA790" i="94"/>
  <c r="DS790" i="94"/>
  <c r="DV790" i="94"/>
  <c r="DL790" i="94"/>
  <c r="DC790" i="94"/>
  <c r="CT790" i="94"/>
  <c r="CK790" i="94"/>
  <c r="CB790" i="94"/>
  <c r="BR790" i="94"/>
  <c r="DU790" i="94"/>
  <c r="DK790" i="94"/>
  <c r="DB790" i="94"/>
  <c r="CS790" i="94"/>
  <c r="CJ790" i="94"/>
  <c r="BZ790" i="94"/>
  <c r="BQ790" i="94"/>
  <c r="DT790" i="94"/>
  <c r="DJ790" i="94"/>
  <c r="DA790" i="94"/>
  <c r="CR790" i="94"/>
  <c r="CH790" i="94"/>
  <c r="BY790" i="94"/>
  <c r="BP790" i="94"/>
  <c r="EC790" i="94"/>
  <c r="DR790" i="94"/>
  <c r="DI790" i="94"/>
  <c r="CZ790" i="94"/>
  <c r="CP790" i="94"/>
  <c r="CG790" i="94"/>
  <c r="BX790" i="94"/>
  <c r="BO790" i="94"/>
  <c r="FZ790" i="94"/>
  <c r="EB790" i="94"/>
  <c r="DQ790" i="94"/>
  <c r="DH790" i="94"/>
  <c r="CX790" i="94"/>
  <c r="CO790" i="94"/>
  <c r="CF790" i="94"/>
  <c r="BW790" i="94"/>
  <c r="BN790" i="94"/>
  <c r="FX790" i="94"/>
  <c r="DZ790" i="94"/>
  <c r="DP790" i="94"/>
  <c r="DF790" i="94"/>
  <c r="CW790" i="94"/>
  <c r="CN790" i="94"/>
  <c r="CE790" i="94"/>
  <c r="BV790" i="94"/>
  <c r="BM790" i="94"/>
  <c r="DY790" i="94"/>
  <c r="DN790" i="94"/>
  <c r="DE790" i="94"/>
  <c r="CV790" i="94"/>
  <c r="CM790" i="94"/>
  <c r="CD790" i="94"/>
  <c r="BU790" i="94"/>
  <c r="BL790" i="94"/>
  <c r="GQ815" i="94"/>
  <c r="GI815" i="94"/>
  <c r="HW815" i="94"/>
  <c r="MH815" i="94"/>
  <c r="GZ815" i="94"/>
  <c r="GY815" i="94"/>
  <c r="GW813" i="94"/>
  <c r="HU813" i="94"/>
  <c r="GO813" i="94"/>
  <c r="MM813" i="94"/>
  <c r="HT813" i="94"/>
  <c r="GN813" i="94"/>
  <c r="ML813" i="94"/>
  <c r="HM813" i="94"/>
  <c r="GG813" i="94"/>
  <c r="ME813" i="94"/>
  <c r="HL813" i="94"/>
  <c r="MD813" i="94"/>
  <c r="HE813" i="94"/>
  <c r="HD813" i="94"/>
  <c r="GV813" i="94"/>
  <c r="HW809" i="94"/>
  <c r="GQ809" i="94"/>
  <c r="MO809" i="94"/>
  <c r="HP809" i="94"/>
  <c r="GJ809" i="94"/>
  <c r="MH809" i="94"/>
  <c r="HO809" i="94"/>
  <c r="GI809" i="94"/>
  <c r="MG809" i="94"/>
  <c r="HH809" i="94"/>
  <c r="HG809" i="94"/>
  <c r="GZ809" i="94"/>
  <c r="GY809" i="94"/>
  <c r="HX809" i="94"/>
  <c r="GR809" i="94"/>
  <c r="MC805" i="94"/>
  <c r="HO805" i="94"/>
  <c r="GT805" i="94"/>
  <c r="MB805" i="94"/>
  <c r="HK805" i="94"/>
  <c r="GQ805" i="94"/>
  <c r="HJ805" i="94"/>
  <c r="GM805" i="94"/>
  <c r="HG805" i="94"/>
  <c r="GL805" i="94"/>
  <c r="MO805" i="94"/>
  <c r="HC805" i="94"/>
  <c r="GI805" i="94"/>
  <c r="MK805" i="94"/>
  <c r="HW805" i="94"/>
  <c r="HB805" i="94"/>
  <c r="MJ805" i="94"/>
  <c r="HS805" i="94"/>
  <c r="GY805" i="94"/>
  <c r="HR805" i="94"/>
  <c r="GU805" i="94"/>
  <c r="MG805" i="94"/>
  <c r="MN799" i="94"/>
  <c r="MF799" i="94"/>
  <c r="HR799" i="94"/>
  <c r="HJ799" i="94"/>
  <c r="HB799" i="94"/>
  <c r="GT799" i="94"/>
  <c r="GL799" i="94"/>
  <c r="MM799" i="94"/>
  <c r="ME799" i="94"/>
  <c r="HY799" i="94"/>
  <c r="HQ799" i="94"/>
  <c r="HI799" i="94"/>
  <c r="HA799" i="94"/>
  <c r="GS799" i="94"/>
  <c r="GK799" i="94"/>
  <c r="MK799" i="94"/>
  <c r="MC799" i="94"/>
  <c r="HW799" i="94"/>
  <c r="HO799" i="94"/>
  <c r="HG799" i="94"/>
  <c r="GY799" i="94"/>
  <c r="GQ799" i="94"/>
  <c r="GI799" i="94"/>
  <c r="MJ799" i="94"/>
  <c r="MB799" i="94"/>
  <c r="HV799" i="94"/>
  <c r="HN799" i="94"/>
  <c r="HF799" i="94"/>
  <c r="GX799" i="94"/>
  <c r="GP799" i="94"/>
  <c r="GH799" i="94"/>
  <c r="MI799" i="94"/>
  <c r="MA799" i="94"/>
  <c r="HU799" i="94"/>
  <c r="HM799" i="94"/>
  <c r="HE799" i="94"/>
  <c r="GW799" i="94"/>
  <c r="GO799" i="94"/>
  <c r="GG799" i="94"/>
  <c r="HD799" i="94"/>
  <c r="GJ799" i="94"/>
  <c r="MO799" i="94"/>
  <c r="HX799" i="94"/>
  <c r="HC799" i="94"/>
  <c r="ML799" i="94"/>
  <c r="HT799" i="94"/>
  <c r="GZ799" i="94"/>
  <c r="MH799" i="94"/>
  <c r="HS799" i="94"/>
  <c r="GV799" i="94"/>
  <c r="MG799" i="94"/>
  <c r="HP799" i="94"/>
  <c r="GU799" i="94"/>
  <c r="MD799" i="94"/>
  <c r="HL799" i="94"/>
  <c r="GR799" i="94"/>
  <c r="HK799" i="94"/>
  <c r="GN799" i="94"/>
  <c r="MM795" i="94"/>
  <c r="ME795" i="94"/>
  <c r="HY795" i="94"/>
  <c r="HQ795" i="94"/>
  <c r="HI795" i="94"/>
  <c r="HA795" i="94"/>
  <c r="GS795" i="94"/>
  <c r="GK795" i="94"/>
  <c r="ML795" i="94"/>
  <c r="MD795" i="94"/>
  <c r="HX795" i="94"/>
  <c r="HP795" i="94"/>
  <c r="HH795" i="94"/>
  <c r="GZ795" i="94"/>
  <c r="GR795" i="94"/>
  <c r="GJ795" i="94"/>
  <c r="MJ795" i="94"/>
  <c r="MB795" i="94"/>
  <c r="HV795" i="94"/>
  <c r="HN795" i="94"/>
  <c r="HF795" i="94"/>
  <c r="GX795" i="94"/>
  <c r="GP795" i="94"/>
  <c r="GH795" i="94"/>
  <c r="MH795" i="94"/>
  <c r="HT795" i="94"/>
  <c r="HL795" i="94"/>
  <c r="HD795" i="94"/>
  <c r="GV795" i="94"/>
  <c r="GN795" i="94"/>
  <c r="MG795" i="94"/>
  <c r="HU795" i="94"/>
  <c r="HE795" i="94"/>
  <c r="GO795" i="94"/>
  <c r="MF795" i="94"/>
  <c r="HS795" i="94"/>
  <c r="HC795" i="94"/>
  <c r="GM795" i="94"/>
  <c r="MC795" i="94"/>
  <c r="HR795" i="94"/>
  <c r="HB795" i="94"/>
  <c r="GL795" i="94"/>
  <c r="MA795" i="94"/>
  <c r="HO795" i="94"/>
  <c r="GY795" i="94"/>
  <c r="GI795" i="94"/>
  <c r="MO795" i="94"/>
  <c r="HM795" i="94"/>
  <c r="GW795" i="94"/>
  <c r="GG795" i="94"/>
  <c r="MN795" i="94"/>
  <c r="HK795" i="94"/>
  <c r="GU795" i="94"/>
  <c r="MK795" i="94"/>
  <c r="HJ795" i="94"/>
  <c r="GT795" i="94"/>
  <c r="ML791" i="94"/>
  <c r="MD791" i="94"/>
  <c r="HX791" i="94"/>
  <c r="HP791" i="94"/>
  <c r="HH791" i="94"/>
  <c r="GZ791" i="94"/>
  <c r="GR791" i="94"/>
  <c r="GJ791" i="94"/>
  <c r="MJ791" i="94"/>
  <c r="MB791" i="94"/>
  <c r="HV791" i="94"/>
  <c r="HN791" i="94"/>
  <c r="HF791" i="94"/>
  <c r="GX791" i="94"/>
  <c r="GP791" i="94"/>
  <c r="GH791" i="94"/>
  <c r="MH791" i="94"/>
  <c r="HT791" i="94"/>
  <c r="HL791" i="94"/>
  <c r="HD791" i="94"/>
  <c r="GV791" i="94"/>
  <c r="GN791" i="94"/>
  <c r="MN791" i="94"/>
  <c r="MA791" i="94"/>
  <c r="HR791" i="94"/>
  <c r="HE791" i="94"/>
  <c r="GS791" i="94"/>
  <c r="MM791" i="94"/>
  <c r="HQ791" i="94"/>
  <c r="HC791" i="94"/>
  <c r="GQ791" i="94"/>
  <c r="MK791" i="94"/>
  <c r="HO791" i="94"/>
  <c r="HB791" i="94"/>
  <c r="GO791" i="94"/>
  <c r="MI791" i="94"/>
  <c r="HM791" i="94"/>
  <c r="HA791" i="94"/>
  <c r="GM791" i="94"/>
  <c r="MG791" i="94"/>
  <c r="HY791" i="94"/>
  <c r="HK791" i="94"/>
  <c r="GY791" i="94"/>
  <c r="GL791" i="94"/>
  <c r="MF791" i="94"/>
  <c r="HW791" i="94"/>
  <c r="HJ791" i="94"/>
  <c r="GW791" i="94"/>
  <c r="GK791" i="94"/>
  <c r="ME791" i="94"/>
  <c r="HU791" i="94"/>
  <c r="HI791" i="94"/>
  <c r="GU791" i="94"/>
  <c r="GI791" i="94"/>
  <c r="MK787" i="94"/>
  <c r="MC787" i="94"/>
  <c r="HV787" i="94"/>
  <c r="HN787" i="94"/>
  <c r="HF787" i="94"/>
  <c r="GX787" i="94"/>
  <c r="GP787" i="94"/>
  <c r="GH787" i="94"/>
  <c r="MJ787" i="94"/>
  <c r="MB787" i="94"/>
  <c r="HU787" i="94"/>
  <c r="HM787" i="94"/>
  <c r="HE787" i="94"/>
  <c r="GW787" i="94"/>
  <c r="GO787" i="94"/>
  <c r="GG787" i="94"/>
  <c r="MH787" i="94"/>
  <c r="HS787" i="94"/>
  <c r="HK787" i="94"/>
  <c r="HC787" i="94"/>
  <c r="GU787" i="94"/>
  <c r="GM787" i="94"/>
  <c r="MO787" i="94"/>
  <c r="MG787" i="94"/>
  <c r="HR787" i="94"/>
  <c r="HJ787" i="94"/>
  <c r="HB787" i="94"/>
  <c r="GT787" i="94"/>
  <c r="GL787" i="94"/>
  <c r="MN787" i="94"/>
  <c r="MF787" i="94"/>
  <c r="HY787" i="94"/>
  <c r="HQ787" i="94"/>
  <c r="HI787" i="94"/>
  <c r="HA787" i="94"/>
  <c r="GS787" i="94"/>
  <c r="GK787" i="94"/>
  <c r="MM787" i="94"/>
  <c r="ME787" i="94"/>
  <c r="HX787" i="94"/>
  <c r="HP787" i="94"/>
  <c r="HH787" i="94"/>
  <c r="GZ787" i="94"/>
  <c r="GR787" i="94"/>
  <c r="GJ787" i="94"/>
  <c r="ML783" i="94"/>
  <c r="MD783" i="94"/>
  <c r="HX783" i="94"/>
  <c r="HP783" i="94"/>
  <c r="HH783" i="94"/>
  <c r="GZ783" i="94"/>
  <c r="GR783" i="94"/>
  <c r="GJ783" i="94"/>
  <c r="MK783" i="94"/>
  <c r="MC783" i="94"/>
  <c r="HW783" i="94"/>
  <c r="HO783" i="94"/>
  <c r="HG783" i="94"/>
  <c r="GY783" i="94"/>
  <c r="GQ783" i="94"/>
  <c r="GI783" i="94"/>
  <c r="MI783" i="94"/>
  <c r="MA783" i="94"/>
  <c r="HU783" i="94"/>
  <c r="HM783" i="94"/>
  <c r="HE783" i="94"/>
  <c r="GW783" i="94"/>
  <c r="GO783" i="94"/>
  <c r="GG783" i="94"/>
  <c r="MH783" i="94"/>
  <c r="HT783" i="94"/>
  <c r="HL783" i="94"/>
  <c r="HD783" i="94"/>
  <c r="GV783" i="94"/>
  <c r="GN783" i="94"/>
  <c r="MO783" i="94"/>
  <c r="MG783" i="94"/>
  <c r="HS783" i="94"/>
  <c r="HK783" i="94"/>
  <c r="HC783" i="94"/>
  <c r="GU783" i="94"/>
  <c r="GM783" i="94"/>
  <c r="MN783" i="94"/>
  <c r="MF783" i="94"/>
  <c r="HR783" i="94"/>
  <c r="HJ783" i="94"/>
  <c r="HB783" i="94"/>
  <c r="GT783" i="94"/>
  <c r="GL783" i="94"/>
  <c r="AG779" i="94"/>
  <c r="AW779" i="94"/>
  <c r="BM779" i="94"/>
  <c r="CC779" i="94"/>
  <c r="CS779" i="94"/>
  <c r="DI779" i="94"/>
  <c r="DQ779" i="94"/>
  <c r="DY779" i="94"/>
  <c r="EO779" i="94"/>
  <c r="LT779" i="94"/>
  <c r="MK779" i="94"/>
  <c r="GP783" i="94"/>
  <c r="Z779" i="94"/>
  <c r="AH779" i="94"/>
  <c r="AP779" i="94"/>
  <c r="AX779" i="94"/>
  <c r="BF779" i="94"/>
  <c r="BN779" i="94"/>
  <c r="BV779" i="94"/>
  <c r="CD779" i="94"/>
  <c r="CL779" i="94"/>
  <c r="CT779" i="94"/>
  <c r="DB779" i="94"/>
  <c r="DJ779" i="94"/>
  <c r="DR779" i="94"/>
  <c r="DZ779" i="94"/>
  <c r="EP779" i="94"/>
  <c r="EX779" i="94"/>
  <c r="FF779" i="94"/>
  <c r="FN779" i="94"/>
  <c r="FV779" i="94"/>
  <c r="GL779" i="94"/>
  <c r="GT779" i="94"/>
  <c r="HB779" i="94"/>
  <c r="HJ779" i="94"/>
  <c r="HS779" i="94"/>
  <c r="LU779" i="94"/>
  <c r="MM779" i="94"/>
  <c r="GW781" i="94"/>
  <c r="BN782" i="94"/>
  <c r="CT782" i="94"/>
  <c r="DZ782" i="94"/>
  <c r="GS783" i="94"/>
  <c r="HY783" i="94"/>
  <c r="GR785" i="94"/>
  <c r="HX785" i="94"/>
  <c r="GV787" i="94"/>
  <c r="DD790" i="94"/>
  <c r="HW795" i="94"/>
  <c r="CD798" i="94"/>
  <c r="HW801" i="94"/>
  <c r="AA779" i="94"/>
  <c r="AY779" i="94"/>
  <c r="CE779" i="94"/>
  <c r="DC779" i="94"/>
  <c r="GM779" i="94"/>
  <c r="HC779" i="94"/>
  <c r="LW779" i="94"/>
  <c r="GZ781" i="94"/>
  <c r="CY782" i="94"/>
  <c r="DM790" i="94"/>
  <c r="ME793" i="94"/>
  <c r="GH797" i="94"/>
  <c r="CY798" i="94"/>
  <c r="AI779" i="94"/>
  <c r="BG779" i="94"/>
  <c r="BW779" i="94"/>
  <c r="CM779" i="94"/>
  <c r="DK779" i="94"/>
  <c r="EA779" i="94"/>
  <c r="EI779" i="94"/>
  <c r="EQ779" i="94"/>
  <c r="FG779" i="94"/>
  <c r="FO779" i="94"/>
  <c r="GU779" i="94"/>
  <c r="HK779" i="94"/>
  <c r="HT779" i="94"/>
  <c r="BS782" i="94"/>
  <c r="GX783" i="94"/>
  <c r="GU785" i="94"/>
  <c r="GY787" i="94"/>
  <c r="AB779" i="94"/>
  <c r="AJ779" i="94"/>
  <c r="AR779" i="94"/>
  <c r="AZ779" i="94"/>
  <c r="BH779" i="94"/>
  <c r="BP779" i="94"/>
  <c r="BX779" i="94"/>
  <c r="CF779" i="94"/>
  <c r="CN779" i="94"/>
  <c r="CV779" i="94"/>
  <c r="DD779" i="94"/>
  <c r="DL779" i="94"/>
  <c r="DT779" i="94"/>
  <c r="EB779" i="94"/>
  <c r="EJ779" i="94"/>
  <c r="ER779" i="94"/>
  <c r="EZ779" i="94"/>
  <c r="FH779" i="94"/>
  <c r="FP779" i="94"/>
  <c r="GN779" i="94"/>
  <c r="GV779" i="94"/>
  <c r="HD779" i="94"/>
  <c r="HL779" i="94"/>
  <c r="HU779" i="94"/>
  <c r="MA779" i="94"/>
  <c r="HE781" i="94"/>
  <c r="BV782" i="94"/>
  <c r="DB782" i="94"/>
  <c r="HA783" i="94"/>
  <c r="GZ785" i="94"/>
  <c r="HD787" i="94"/>
  <c r="MA787" i="94"/>
  <c r="GN789" i="94"/>
  <c r="MH789" i="94"/>
  <c r="DX790" i="94"/>
  <c r="HC797" i="94"/>
  <c r="DS798" i="94"/>
  <c r="AQ779" i="94"/>
  <c r="BO779" i="94"/>
  <c r="CU779" i="94"/>
  <c r="DS779" i="94"/>
  <c r="EY779" i="94"/>
  <c r="AC779" i="94"/>
  <c r="AK779" i="94"/>
  <c r="AS779" i="94"/>
  <c r="BA779" i="94"/>
  <c r="BI779" i="94"/>
  <c r="BQ779" i="94"/>
  <c r="BY779" i="94"/>
  <c r="CG779" i="94"/>
  <c r="CO779" i="94"/>
  <c r="CW779" i="94"/>
  <c r="DE779" i="94"/>
  <c r="DM779" i="94"/>
  <c r="DU779" i="94"/>
  <c r="EC779" i="94"/>
  <c r="EK779" i="94"/>
  <c r="ES779" i="94"/>
  <c r="FA779" i="94"/>
  <c r="FI779" i="94"/>
  <c r="FQ779" i="94"/>
  <c r="GG779" i="94"/>
  <c r="GO779" i="94"/>
  <c r="GW779" i="94"/>
  <c r="HE779" i="94"/>
  <c r="HM779" i="94"/>
  <c r="HV779" i="94"/>
  <c r="MB779" i="94"/>
  <c r="HH781" i="94"/>
  <c r="CA782" i="94"/>
  <c r="DG782" i="94"/>
  <c r="HF783" i="94"/>
  <c r="HC785" i="94"/>
  <c r="HG787" i="94"/>
  <c r="MD787" i="94"/>
  <c r="GV789" i="94"/>
  <c r="MC791" i="94"/>
  <c r="GH793" i="94"/>
  <c r="HW797" i="94"/>
  <c r="L759" i="94"/>
  <c r="HH785" i="94"/>
  <c r="MD785" i="94"/>
  <c r="MI787" i="94"/>
  <c r="GG791" i="94"/>
  <c r="MO791" i="94"/>
  <c r="GV793" i="94"/>
  <c r="MI795" i="94"/>
  <c r="GM799" i="94"/>
  <c r="L742" i="94"/>
  <c r="HL787" i="94"/>
  <c r="HD789" i="94"/>
  <c r="BT790" i="94"/>
  <c r="AE779" i="94"/>
  <c r="AM779" i="94"/>
  <c r="AU779" i="94"/>
  <c r="BC779" i="94"/>
  <c r="BK779" i="94"/>
  <c r="BS779" i="94"/>
  <c r="CA779" i="94"/>
  <c r="CI779" i="94"/>
  <c r="CQ779" i="94"/>
  <c r="CY779" i="94"/>
  <c r="DG779" i="94"/>
  <c r="DO779" i="94"/>
  <c r="DW779" i="94"/>
  <c r="EM779" i="94"/>
  <c r="EU779" i="94"/>
  <c r="FC779" i="94"/>
  <c r="FK779" i="94"/>
  <c r="FS779" i="94"/>
  <c r="GI779" i="94"/>
  <c r="GQ779" i="94"/>
  <c r="GY779" i="94"/>
  <c r="HG779" i="94"/>
  <c r="HO779" i="94"/>
  <c r="HY779" i="94"/>
  <c r="LR779" i="94"/>
  <c r="MG779" i="94"/>
  <c r="GJ781" i="94"/>
  <c r="HP781" i="94"/>
  <c r="MH781" i="94"/>
  <c r="CI782" i="94"/>
  <c r="DO782" i="94"/>
  <c r="GH783" i="94"/>
  <c r="HN783" i="94"/>
  <c r="ME783" i="94"/>
  <c r="HK785" i="94"/>
  <c r="MG785" i="94"/>
  <c r="GI787" i="94"/>
  <c r="HO787" i="94"/>
  <c r="ML787" i="94"/>
  <c r="HL789" i="94"/>
  <c r="CC790" i="94"/>
  <c r="GT791" i="94"/>
  <c r="HH793" i="94"/>
  <c r="HH799" i="94"/>
  <c r="LY813" i="94"/>
  <c r="LQ813" i="94"/>
  <c r="GC813" i="94"/>
  <c r="FP813" i="94"/>
  <c r="FH813" i="94"/>
  <c r="EZ813" i="94"/>
  <c r="ER813" i="94"/>
  <c r="EJ813" i="94"/>
  <c r="DI813" i="94"/>
  <c r="BF813" i="94"/>
  <c r="AX813" i="94"/>
  <c r="AP813" i="94"/>
  <c r="AH813" i="94"/>
  <c r="Z813" i="94"/>
  <c r="LW813" i="94"/>
  <c r="FV813" i="94"/>
  <c r="FN813" i="94"/>
  <c r="FF813" i="94"/>
  <c r="EX813" i="94"/>
  <c r="EP813" i="94"/>
  <c r="EH813" i="94"/>
  <c r="CC813" i="94"/>
  <c r="BD813" i="94"/>
  <c r="AV813" i="94"/>
  <c r="AN813" i="94"/>
  <c r="AF813" i="94"/>
  <c r="X813" i="94"/>
  <c r="LV813" i="94"/>
  <c r="FU813" i="94"/>
  <c r="FM813" i="94"/>
  <c r="FE813" i="94"/>
  <c r="EW813" i="94"/>
  <c r="EO813" i="94"/>
  <c r="EG813" i="94"/>
  <c r="BK813" i="94"/>
  <c r="BC813" i="94"/>
  <c r="AU813" i="94"/>
  <c r="AM813" i="94"/>
  <c r="AE813" i="94"/>
  <c r="LU813" i="94"/>
  <c r="FT813" i="94"/>
  <c r="FL813" i="94"/>
  <c r="FD813" i="94"/>
  <c r="KY814" i="94"/>
  <c r="IM814" i="94"/>
  <c r="P953" i="94"/>
  <c r="LX815" i="94"/>
  <c r="MD814" i="94"/>
  <c r="ML814" i="94"/>
  <c r="AE815" i="94"/>
  <c r="AM815" i="94"/>
  <c r="AU815" i="94"/>
  <c r="BC815" i="94"/>
  <c r="BK815" i="94"/>
  <c r="EK815" i="94"/>
  <c r="ES815" i="94"/>
  <c r="FA815" i="94"/>
  <c r="FI815" i="94"/>
  <c r="FQ815" i="94"/>
  <c r="GD815" i="94"/>
  <c r="HH815" i="94"/>
  <c r="LT815" i="94"/>
  <c r="MO815" i="94"/>
  <c r="AE816" i="94"/>
  <c r="AM816" i="94"/>
  <c r="AU816" i="94"/>
  <c r="BC816" i="94"/>
  <c r="BK816" i="94"/>
  <c r="BS816" i="94"/>
  <c r="CA816" i="94"/>
  <c r="CJ816" i="94"/>
  <c r="CS816" i="94"/>
  <c r="DD816" i="94"/>
  <c r="DQ816" i="94"/>
  <c r="EC816" i="94"/>
  <c r="EK816" i="94"/>
  <c r="ES816" i="94"/>
  <c r="FA816" i="94"/>
  <c r="FI816" i="94"/>
  <c r="FQ816" i="94"/>
  <c r="FY816" i="94"/>
  <c r="GI816" i="94"/>
  <c r="GQ816" i="94"/>
  <c r="GY816" i="94"/>
  <c r="HG816" i="94"/>
  <c r="HO816" i="94"/>
  <c r="HW816" i="94"/>
  <c r="JF816" i="94"/>
  <c r="MA816" i="94"/>
  <c r="MN816" i="94"/>
  <c r="EZ814" i="94"/>
  <c r="FH814" i="94"/>
  <c r="FP814" i="94"/>
  <c r="GB814" i="94"/>
  <c r="GJ814" i="94"/>
  <c r="GR814" i="94"/>
  <c r="GZ814" i="94"/>
  <c r="HH814" i="94"/>
  <c r="HP814" i="94"/>
  <c r="HX814" i="94"/>
  <c r="JS814" i="94"/>
  <c r="LW814" i="94"/>
  <c r="ME814" i="94"/>
  <c r="MM814" i="94"/>
  <c r="X815" i="94"/>
  <c r="AF815" i="94"/>
  <c r="AN815" i="94"/>
  <c r="AV815" i="94"/>
  <c r="BD815" i="94"/>
  <c r="ED815" i="94"/>
  <c r="EL815" i="94"/>
  <c r="ET815" i="94"/>
  <c r="FB815" i="94"/>
  <c r="FJ815" i="94"/>
  <c r="FR815" i="94"/>
  <c r="GE815" i="94"/>
  <c r="HO815" i="94"/>
  <c r="LU815" i="94"/>
  <c r="X816" i="94"/>
  <c r="AF816" i="94"/>
  <c r="AN816" i="94"/>
  <c r="AV816" i="94"/>
  <c r="BD816" i="94"/>
  <c r="BL816" i="94"/>
  <c r="BT816" i="94"/>
  <c r="CB816" i="94"/>
  <c r="CK816" i="94"/>
  <c r="CT816" i="94"/>
  <c r="DE816" i="94"/>
  <c r="DS816" i="94"/>
  <c r="ED816" i="94"/>
  <c r="EL816" i="94"/>
  <c r="ET816" i="94"/>
  <c r="FB816" i="94"/>
  <c r="FJ816" i="94"/>
  <c r="FR816" i="94"/>
  <c r="GB816" i="94"/>
  <c r="GJ816" i="94"/>
  <c r="GR816" i="94"/>
  <c r="GZ816" i="94"/>
  <c r="HH816" i="94"/>
  <c r="HP816" i="94"/>
  <c r="HX816" i="94"/>
  <c r="KL816" i="94"/>
  <c r="MC816" i="94"/>
  <c r="MO816" i="94"/>
  <c r="K957" i="94"/>
  <c r="K975" i="94"/>
  <c r="AD564" i="94"/>
  <c r="MF814" i="94"/>
  <c r="MN814" i="94"/>
  <c r="Y815" i="94"/>
  <c r="AG815" i="94"/>
  <c r="AO815" i="94"/>
  <c r="AW815" i="94"/>
  <c r="BE815" i="94"/>
  <c r="EE815" i="94"/>
  <c r="EM815" i="94"/>
  <c r="EU815" i="94"/>
  <c r="FC815" i="94"/>
  <c r="FK815" i="94"/>
  <c r="FS815" i="94"/>
  <c r="GF815" i="94"/>
  <c r="HP815" i="94"/>
  <c r="LV815" i="94"/>
  <c r="Y816" i="94"/>
  <c r="AG816" i="94"/>
  <c r="AO816" i="94"/>
  <c r="AW816" i="94"/>
  <c r="BE816" i="94"/>
  <c r="BM816" i="94"/>
  <c r="BU816" i="94"/>
  <c r="CC816" i="94"/>
  <c r="CL816" i="94"/>
  <c r="CU816" i="94"/>
  <c r="DH816" i="94"/>
  <c r="DT816" i="94"/>
  <c r="EE816" i="94"/>
  <c r="EM816" i="94"/>
  <c r="EU816" i="94"/>
  <c r="FC816" i="94"/>
  <c r="FK816" i="94"/>
  <c r="FS816" i="94"/>
  <c r="GC816" i="94"/>
  <c r="GK816" i="94"/>
  <c r="GS816" i="94"/>
  <c r="HA816" i="94"/>
  <c r="HI816" i="94"/>
  <c r="HQ816" i="94"/>
  <c r="HY816" i="94"/>
  <c r="LQ816" i="94"/>
  <c r="MD816" i="94"/>
  <c r="L779" i="94"/>
  <c r="M785" i="94"/>
  <c r="L784" i="94"/>
  <c r="M784" i="94" s="1"/>
  <c r="L782" i="94"/>
  <c r="M782" i="94" s="1"/>
  <c r="L780" i="94"/>
  <c r="M780" i="94" s="1"/>
  <c r="DY799" i="94"/>
  <c r="GA791" i="94"/>
  <c r="FY783" i="94"/>
  <c r="J957" i="94"/>
  <c r="N962" i="94"/>
  <c r="J966" i="94"/>
  <c r="FC814" i="94"/>
  <c r="FK814" i="94"/>
  <c r="FS814" i="94"/>
  <c r="GE814" i="94"/>
  <c r="GM814" i="94"/>
  <c r="GU814" i="94"/>
  <c r="HC814" i="94"/>
  <c r="HK814" i="94"/>
  <c r="HS814" i="94"/>
  <c r="IA814" i="94"/>
  <c r="LR814" i="94"/>
  <c r="LZ814" i="94"/>
  <c r="MH814" i="94"/>
  <c r="AA815" i="94"/>
  <c r="AI815" i="94"/>
  <c r="AQ815" i="94"/>
  <c r="AY815" i="94"/>
  <c r="BG815" i="94"/>
  <c r="EG815" i="94"/>
  <c r="EO815" i="94"/>
  <c r="EW815" i="94"/>
  <c r="FE815" i="94"/>
  <c r="FM815" i="94"/>
  <c r="FU815" i="94"/>
  <c r="GJ815" i="94"/>
  <c r="IC815" i="94"/>
  <c r="AA816" i="94"/>
  <c r="AI816" i="94"/>
  <c r="AQ816" i="94"/>
  <c r="AY816" i="94"/>
  <c r="BG816" i="94"/>
  <c r="BO816" i="94"/>
  <c r="BW816" i="94"/>
  <c r="CE816" i="94"/>
  <c r="CN816" i="94"/>
  <c r="CW816" i="94"/>
  <c r="DK816" i="94"/>
  <c r="DX816" i="94"/>
  <c r="EG816" i="94"/>
  <c r="EO816" i="94"/>
  <c r="EW816" i="94"/>
  <c r="FE816" i="94"/>
  <c r="FM816" i="94"/>
  <c r="FU816" i="94"/>
  <c r="GE816" i="94"/>
  <c r="GM816" i="94"/>
  <c r="GU816" i="94"/>
  <c r="HC816" i="94"/>
  <c r="HK816" i="94"/>
  <c r="HS816" i="94"/>
  <c r="IA816" i="94"/>
  <c r="LU816" i="94"/>
  <c r="MG816" i="94"/>
  <c r="DA813" i="94"/>
  <c r="DA805" i="94"/>
  <c r="Q953" i="94"/>
  <c r="I953" i="94"/>
  <c r="J953" i="94"/>
  <c r="K984" i="94"/>
  <c r="L999" i="94"/>
  <c r="F1015" i="94"/>
  <c r="E1041" i="94"/>
  <c r="CS813" i="94"/>
  <c r="ND779" i="94"/>
  <c r="MN779" i="94"/>
  <c r="MF779" i="94"/>
  <c r="LX779" i="94"/>
  <c r="LP779" i="94"/>
  <c r="LH779" i="94"/>
  <c r="KZ779" i="94"/>
  <c r="KR779" i="94"/>
  <c r="KJ779" i="94"/>
  <c r="KB779" i="94"/>
  <c r="JT779" i="94"/>
  <c r="JL779" i="94"/>
  <c r="DX813" i="94"/>
  <c r="DP813" i="94"/>
  <c r="DH813" i="94"/>
  <c r="CZ813" i="94"/>
  <c r="CR813" i="94"/>
  <c r="CJ813" i="94"/>
  <c r="CB813" i="94"/>
  <c r="BT813" i="94"/>
  <c r="BL813" i="94"/>
  <c r="GA813" i="94"/>
  <c r="DW813" i="94"/>
  <c r="DO813" i="94"/>
  <c r="DG813" i="94"/>
  <c r="CY813" i="94"/>
  <c r="CQ813" i="94"/>
  <c r="CI813" i="94"/>
  <c r="CA813" i="94"/>
  <c r="BS813" i="94"/>
  <c r="FZ813" i="94"/>
  <c r="DV813" i="94"/>
  <c r="DN813" i="94"/>
  <c r="DF813" i="94"/>
  <c r="CX813" i="94"/>
  <c r="CP813" i="94"/>
  <c r="CH813" i="94"/>
  <c r="BZ813" i="94"/>
  <c r="BR813" i="94"/>
  <c r="FY813" i="94"/>
  <c r="EC813" i="94"/>
  <c r="DU813" i="94"/>
  <c r="DM813" i="94"/>
  <c r="DE813" i="94"/>
  <c r="CW813" i="94"/>
  <c r="CO813" i="94"/>
  <c r="CG813" i="94"/>
  <c r="BY813" i="94"/>
  <c r="BQ813" i="94"/>
  <c r="FX813" i="94"/>
  <c r="EB813" i="94"/>
  <c r="DT813" i="94"/>
  <c r="DL813" i="94"/>
  <c r="DD813" i="94"/>
  <c r="CV813" i="94"/>
  <c r="CN813" i="94"/>
  <c r="CF813" i="94"/>
  <c r="BX813" i="94"/>
  <c r="BP813" i="94"/>
  <c r="FW813" i="94"/>
  <c r="EA813" i="94"/>
  <c r="DS813" i="94"/>
  <c r="DK813" i="94"/>
  <c r="DC813" i="94"/>
  <c r="CU813" i="94"/>
  <c r="CM813" i="94"/>
  <c r="CE813" i="94"/>
  <c r="BW813" i="94"/>
  <c r="BO813" i="94"/>
  <c r="DZ813" i="94"/>
  <c r="DR813" i="94"/>
  <c r="DJ813" i="94"/>
  <c r="DB813" i="94"/>
  <c r="CT813" i="94"/>
  <c r="CL813" i="94"/>
  <c r="CD813" i="94"/>
  <c r="BV813" i="94"/>
  <c r="BN813" i="94"/>
  <c r="DX805" i="94"/>
  <c r="DP805" i="94"/>
  <c r="DH805" i="94"/>
  <c r="CZ805" i="94"/>
  <c r="CR805" i="94"/>
  <c r="CJ805" i="94"/>
  <c r="CB805" i="94"/>
  <c r="BT805" i="94"/>
  <c r="BL805" i="94"/>
  <c r="GA805" i="94"/>
  <c r="DW805" i="94"/>
  <c r="DO805" i="94"/>
  <c r="DG805" i="94"/>
  <c r="CY805" i="94"/>
  <c r="CQ805" i="94"/>
  <c r="CI805" i="94"/>
  <c r="CA805" i="94"/>
  <c r="BS805" i="94"/>
  <c r="FZ805" i="94"/>
  <c r="DV805" i="94"/>
  <c r="DN805" i="94"/>
  <c r="DF805" i="94"/>
  <c r="CX805" i="94"/>
  <c r="CP805" i="94"/>
  <c r="CH805" i="94"/>
  <c r="BZ805" i="94"/>
  <c r="BR805" i="94"/>
  <c r="FY805" i="94"/>
  <c r="EC805" i="94"/>
  <c r="DU805" i="94"/>
  <c r="DM805" i="94"/>
  <c r="DE805" i="94"/>
  <c r="CW805" i="94"/>
  <c r="CO805" i="94"/>
  <c r="CG805" i="94"/>
  <c r="BY805" i="94"/>
  <c r="BQ805" i="94"/>
  <c r="FX805" i="94"/>
  <c r="EB805" i="94"/>
  <c r="DT805" i="94"/>
  <c r="DL805" i="94"/>
  <c r="DD805" i="94"/>
  <c r="CV805" i="94"/>
  <c r="CN805" i="94"/>
  <c r="CF805" i="94"/>
  <c r="BX805" i="94"/>
  <c r="BP805" i="94"/>
  <c r="FW805" i="94"/>
  <c r="EA805" i="94"/>
  <c r="DS805" i="94"/>
  <c r="DK805" i="94"/>
  <c r="DC805" i="94"/>
  <c r="CU805" i="94"/>
  <c r="CM805" i="94"/>
  <c r="CE805" i="94"/>
  <c r="BW805" i="94"/>
  <c r="BO805" i="94"/>
  <c r="DZ805" i="94"/>
  <c r="DR805" i="94"/>
  <c r="DJ805" i="94"/>
  <c r="DB805" i="94"/>
  <c r="CT805" i="94"/>
  <c r="CL805" i="94"/>
  <c r="CD805" i="94"/>
  <c r="BV805" i="94"/>
  <c r="BN805" i="94"/>
  <c r="FY797" i="94"/>
  <c r="EC797" i="94"/>
  <c r="DU797" i="94"/>
  <c r="DM797" i="94"/>
  <c r="DE797" i="94"/>
  <c r="CW797" i="94"/>
  <c r="CO797" i="94"/>
  <c r="CG797" i="94"/>
  <c r="BY797" i="94"/>
  <c r="BQ797" i="94"/>
  <c r="FX797" i="94"/>
  <c r="EB797" i="94"/>
  <c r="DT797" i="94"/>
  <c r="DL797" i="94"/>
  <c r="DD797" i="94"/>
  <c r="CV797" i="94"/>
  <c r="CN797" i="94"/>
  <c r="CF797" i="94"/>
  <c r="BX797" i="94"/>
  <c r="BP797" i="94"/>
  <c r="FW797" i="94"/>
  <c r="EA797" i="94"/>
  <c r="DS797" i="94"/>
  <c r="DK797" i="94"/>
  <c r="DC797" i="94"/>
  <c r="CU797" i="94"/>
  <c r="CM797" i="94"/>
  <c r="CE797" i="94"/>
  <c r="BW797" i="94"/>
  <c r="BO797" i="94"/>
  <c r="DZ797" i="94"/>
  <c r="DR797" i="94"/>
  <c r="DJ797" i="94"/>
  <c r="DB797" i="94"/>
  <c r="CT797" i="94"/>
  <c r="CL797" i="94"/>
  <c r="CD797" i="94"/>
  <c r="BV797" i="94"/>
  <c r="BN797" i="94"/>
  <c r="DY797" i="94"/>
  <c r="DQ797" i="94"/>
  <c r="DI797" i="94"/>
  <c r="DA797" i="94"/>
  <c r="CS797" i="94"/>
  <c r="CK797" i="94"/>
  <c r="CC797" i="94"/>
  <c r="BU797" i="94"/>
  <c r="BM797" i="94"/>
  <c r="DX797" i="94"/>
  <c r="DP797" i="94"/>
  <c r="DH797" i="94"/>
  <c r="CZ797" i="94"/>
  <c r="CR797" i="94"/>
  <c r="CJ797" i="94"/>
  <c r="CB797" i="94"/>
  <c r="BT797" i="94"/>
  <c r="BL797" i="94"/>
  <c r="GA797" i="94"/>
  <c r="DW797" i="94"/>
  <c r="DO797" i="94"/>
  <c r="DG797" i="94"/>
  <c r="CY797" i="94"/>
  <c r="CQ797" i="94"/>
  <c r="CI797" i="94"/>
  <c r="CA797" i="94"/>
  <c r="BS797" i="94"/>
  <c r="DY789" i="94"/>
  <c r="DQ789" i="94"/>
  <c r="DI789" i="94"/>
  <c r="DA789" i="94"/>
  <c r="CS789" i="94"/>
  <c r="CK789" i="94"/>
  <c r="CC789" i="94"/>
  <c r="BU789" i="94"/>
  <c r="BM789" i="94"/>
  <c r="DX789" i="94"/>
  <c r="DP789" i="94"/>
  <c r="DH789" i="94"/>
  <c r="CZ789" i="94"/>
  <c r="CR789" i="94"/>
  <c r="CJ789" i="94"/>
  <c r="CB789" i="94"/>
  <c r="BT789" i="94"/>
  <c r="BL789" i="94"/>
  <c r="GA789" i="94"/>
  <c r="DW789" i="94"/>
  <c r="DO789" i="94"/>
  <c r="DG789" i="94"/>
  <c r="CY789" i="94"/>
  <c r="CQ789" i="94"/>
  <c r="CI789" i="94"/>
  <c r="CA789" i="94"/>
  <c r="BS789" i="94"/>
  <c r="FZ789" i="94"/>
  <c r="DV789" i="94"/>
  <c r="DN789" i="94"/>
  <c r="DF789" i="94"/>
  <c r="CX789" i="94"/>
  <c r="CP789" i="94"/>
  <c r="CH789" i="94"/>
  <c r="BZ789" i="94"/>
  <c r="BR789" i="94"/>
  <c r="FY789" i="94"/>
  <c r="EC789" i="94"/>
  <c r="DU789" i="94"/>
  <c r="DM789" i="94"/>
  <c r="DE789" i="94"/>
  <c r="CW789" i="94"/>
  <c r="CO789" i="94"/>
  <c r="CG789" i="94"/>
  <c r="BY789" i="94"/>
  <c r="BQ789" i="94"/>
  <c r="FX789" i="94"/>
  <c r="EB789" i="94"/>
  <c r="DT789" i="94"/>
  <c r="DL789" i="94"/>
  <c r="DD789" i="94"/>
  <c r="CV789" i="94"/>
  <c r="CN789" i="94"/>
  <c r="CF789" i="94"/>
  <c r="BX789" i="94"/>
  <c r="BP789" i="94"/>
  <c r="FW789" i="94"/>
  <c r="EA789" i="94"/>
  <c r="DS789" i="94"/>
  <c r="DK789" i="94"/>
  <c r="DC789" i="94"/>
  <c r="CU789" i="94"/>
  <c r="CM789" i="94"/>
  <c r="CE789" i="94"/>
  <c r="BW789" i="94"/>
  <c r="BO789" i="94"/>
  <c r="DY781" i="94"/>
  <c r="DQ781" i="94"/>
  <c r="DI781" i="94"/>
  <c r="DA781" i="94"/>
  <c r="CS781" i="94"/>
  <c r="CK781" i="94"/>
  <c r="CC781" i="94"/>
  <c r="BU781" i="94"/>
  <c r="BM781" i="94"/>
  <c r="FZ781" i="94"/>
  <c r="DV781" i="94"/>
  <c r="DN781" i="94"/>
  <c r="DF781" i="94"/>
  <c r="CX781" i="94"/>
  <c r="CP781" i="94"/>
  <c r="CH781" i="94"/>
  <c r="BZ781" i="94"/>
  <c r="BR781" i="94"/>
  <c r="FY781" i="94"/>
  <c r="EC781" i="94"/>
  <c r="DU781" i="94"/>
  <c r="DM781" i="94"/>
  <c r="DE781" i="94"/>
  <c r="CW781" i="94"/>
  <c r="CO781" i="94"/>
  <c r="CG781" i="94"/>
  <c r="BY781" i="94"/>
  <c r="BQ781" i="94"/>
  <c r="FX781" i="94"/>
  <c r="EB781" i="94"/>
  <c r="DT781" i="94"/>
  <c r="DL781" i="94"/>
  <c r="DD781" i="94"/>
  <c r="CV781" i="94"/>
  <c r="CN781" i="94"/>
  <c r="CF781" i="94"/>
  <c r="BX781" i="94"/>
  <c r="BP781" i="94"/>
  <c r="FW781" i="94"/>
  <c r="EA781" i="94"/>
  <c r="DS781" i="94"/>
  <c r="DK781" i="94"/>
  <c r="DC781" i="94"/>
  <c r="CU781" i="94"/>
  <c r="CM781" i="94"/>
  <c r="CE781" i="94"/>
  <c r="BW781" i="94"/>
  <c r="BO781" i="94"/>
  <c r="IB815" i="94"/>
  <c r="IA815" i="94"/>
  <c r="HZ815" i="94"/>
  <c r="ID815" i="94"/>
  <c r="HZ813" i="94"/>
  <c r="ID813" i="94"/>
  <c r="IC813" i="94"/>
  <c r="IB813" i="94"/>
  <c r="ID811" i="94"/>
  <c r="IC811" i="94"/>
  <c r="IB811" i="94"/>
  <c r="IA811" i="94"/>
  <c r="IB809" i="94"/>
  <c r="IA809" i="94"/>
  <c r="HZ809" i="94"/>
  <c r="ID809" i="94"/>
  <c r="ID807" i="94"/>
  <c r="IC807" i="94"/>
  <c r="IB807" i="94"/>
  <c r="IA807" i="94"/>
  <c r="HZ807" i="94"/>
  <c r="IC805" i="94"/>
  <c r="IB805" i="94"/>
  <c r="IA805" i="94"/>
  <c r="HZ805" i="94"/>
  <c r="IA803" i="94"/>
  <c r="HZ803" i="94"/>
  <c r="ID803" i="94"/>
  <c r="IC803" i="94"/>
  <c r="IC801" i="94"/>
  <c r="IB801" i="94"/>
  <c r="IA801" i="94"/>
  <c r="HZ801" i="94"/>
  <c r="ID799" i="94"/>
  <c r="IC799" i="94"/>
  <c r="IB799" i="94"/>
  <c r="IA799" i="94"/>
  <c r="IC797" i="94"/>
  <c r="IB797" i="94"/>
  <c r="IA797" i="94"/>
  <c r="HZ797" i="94"/>
  <c r="IA795" i="94"/>
  <c r="HZ795" i="94"/>
  <c r="ID795" i="94"/>
  <c r="IC795" i="94"/>
  <c r="ID793" i="94"/>
  <c r="IC793" i="94"/>
  <c r="IB793" i="94"/>
  <c r="IA793" i="94"/>
  <c r="HZ793" i="94"/>
  <c r="IC791" i="94"/>
  <c r="IB791" i="94"/>
  <c r="IA791" i="94"/>
  <c r="HZ791" i="94"/>
  <c r="ID789" i="94"/>
  <c r="IC789" i="94"/>
  <c r="IB789" i="94"/>
  <c r="IA789" i="94"/>
  <c r="ID787" i="94"/>
  <c r="IC787" i="94"/>
  <c r="IB787" i="94"/>
  <c r="IA787" i="94"/>
  <c r="HZ787" i="94"/>
  <c r="IB785" i="94"/>
  <c r="IA785" i="94"/>
  <c r="HZ785" i="94"/>
  <c r="ID785" i="94"/>
  <c r="HZ783" i="94"/>
  <c r="ID783" i="94"/>
  <c r="IC783" i="94"/>
  <c r="IB783" i="94"/>
  <c r="ID781" i="94"/>
  <c r="IC781" i="94"/>
  <c r="IB781" i="94"/>
  <c r="IA781" i="94"/>
  <c r="BM813" i="94"/>
  <c r="DY813" i="94"/>
  <c r="BU813" i="94"/>
  <c r="O957" i="94"/>
  <c r="O975" i="94"/>
  <c r="DL811" i="94"/>
  <c r="KD816" i="94"/>
  <c r="JK814" i="94"/>
  <c r="KU812" i="94"/>
  <c r="JS810" i="94"/>
  <c r="NC808" i="94"/>
  <c r="N957" i="94"/>
  <c r="N966" i="94"/>
  <c r="F995" i="94"/>
  <c r="L1008" i="94"/>
  <c r="F1004" i="94"/>
  <c r="L1015" i="94"/>
  <c r="L783" i="94"/>
  <c r="M783" i="94" s="1"/>
  <c r="L957" i="94"/>
  <c r="H962" i="94"/>
  <c r="P962" i="94"/>
  <c r="L966" i="94"/>
  <c r="L975" i="94"/>
  <c r="MZ808" i="94"/>
  <c r="JC810" i="94"/>
  <c r="LO810" i="94"/>
  <c r="KE812" i="94"/>
  <c r="IU814" i="94"/>
  <c r="LG814" i="94"/>
  <c r="NC814" i="94"/>
  <c r="JN816" i="94"/>
  <c r="IN808" i="94"/>
  <c r="IX808" i="94"/>
  <c r="JH808" i="94"/>
  <c r="JW808" i="94"/>
  <c r="KM808" i="94"/>
  <c r="LC808" i="94"/>
  <c r="JK810" i="94"/>
  <c r="KM812" i="94"/>
  <c r="JC814" i="94"/>
  <c r="LO814" i="94"/>
  <c r="JV816" i="94"/>
  <c r="II812" i="94"/>
  <c r="DD811" i="94"/>
  <c r="CV811" i="94"/>
  <c r="CN811" i="94"/>
  <c r="CF811" i="94"/>
  <c r="BX811" i="94"/>
  <c r="EB811" i="94"/>
  <c r="BP811" i="94"/>
  <c r="DT811" i="94"/>
  <c r="LJ816" i="94"/>
  <c r="LA816" i="94"/>
  <c r="KS816" i="94"/>
  <c r="KK816" i="94"/>
  <c r="KC816" i="94"/>
  <c r="JU816" i="94"/>
  <c r="JM816" i="94"/>
  <c r="JE816" i="94"/>
  <c r="IW816" i="94"/>
  <c r="IO816" i="94"/>
  <c r="IG816" i="94"/>
  <c r="LI816" i="94"/>
  <c r="KZ816" i="94"/>
  <c r="KR816" i="94"/>
  <c r="KJ816" i="94"/>
  <c r="KB816" i="94"/>
  <c r="JT816" i="94"/>
  <c r="JL816" i="94"/>
  <c r="JD816" i="94"/>
  <c r="IV816" i="94"/>
  <c r="IN816" i="94"/>
  <c r="IF816" i="94"/>
  <c r="ND816" i="94"/>
  <c r="LH816" i="94"/>
  <c r="KY816" i="94"/>
  <c r="KQ816" i="94"/>
  <c r="KI816" i="94"/>
  <c r="KA816" i="94"/>
  <c r="JS816" i="94"/>
  <c r="JK816" i="94"/>
  <c r="JC816" i="94"/>
  <c r="IU816" i="94"/>
  <c r="IM816" i="94"/>
  <c r="IE816" i="94"/>
  <c r="NB816" i="94"/>
  <c r="LP816" i="94"/>
  <c r="LF816" i="94"/>
  <c r="KX816" i="94"/>
  <c r="KP816" i="94"/>
  <c r="KH816" i="94"/>
  <c r="JZ816" i="94"/>
  <c r="JR816" i="94"/>
  <c r="JJ816" i="94"/>
  <c r="JB816" i="94"/>
  <c r="IT816" i="94"/>
  <c r="IL816" i="94"/>
  <c r="NA816" i="94"/>
  <c r="LN816" i="94"/>
  <c r="LE816" i="94"/>
  <c r="KW816" i="94"/>
  <c r="KO816" i="94"/>
  <c r="KG816" i="94"/>
  <c r="JY816" i="94"/>
  <c r="JQ816" i="94"/>
  <c r="JI816" i="94"/>
  <c r="JA816" i="94"/>
  <c r="IS816" i="94"/>
  <c r="IK816" i="94"/>
  <c r="LM816" i="94"/>
  <c r="LD816" i="94"/>
  <c r="KV816" i="94"/>
  <c r="KN816" i="94"/>
  <c r="KF816" i="94"/>
  <c r="JX816" i="94"/>
  <c r="JP816" i="94"/>
  <c r="JH816" i="94"/>
  <c r="IZ816" i="94"/>
  <c r="IR816" i="94"/>
  <c r="IJ816" i="94"/>
  <c r="LL816" i="94"/>
  <c r="LC816" i="94"/>
  <c r="KU816" i="94"/>
  <c r="KM816" i="94"/>
  <c r="KE816" i="94"/>
  <c r="JW816" i="94"/>
  <c r="JO816" i="94"/>
  <c r="JG816" i="94"/>
  <c r="IY816" i="94"/>
  <c r="IQ816" i="94"/>
  <c r="II816" i="94"/>
  <c r="NB814" i="94"/>
  <c r="LN814" i="94"/>
  <c r="LF814" i="94"/>
  <c r="KX814" i="94"/>
  <c r="KP814" i="94"/>
  <c r="KH814" i="94"/>
  <c r="JZ814" i="94"/>
  <c r="JR814" i="94"/>
  <c r="JJ814" i="94"/>
  <c r="JB814" i="94"/>
  <c r="IT814" i="94"/>
  <c r="IL814" i="94"/>
  <c r="NA814" i="94"/>
  <c r="LM814" i="94"/>
  <c r="LE814" i="94"/>
  <c r="KW814" i="94"/>
  <c r="KO814" i="94"/>
  <c r="KG814" i="94"/>
  <c r="JY814" i="94"/>
  <c r="JQ814" i="94"/>
  <c r="JI814" i="94"/>
  <c r="JA814" i="94"/>
  <c r="IS814" i="94"/>
  <c r="IK814" i="94"/>
  <c r="MZ814" i="94"/>
  <c r="LL814" i="94"/>
  <c r="LD814" i="94"/>
  <c r="KV814" i="94"/>
  <c r="KN814" i="94"/>
  <c r="KF814" i="94"/>
  <c r="JX814" i="94"/>
  <c r="JP814" i="94"/>
  <c r="JH814" i="94"/>
  <c r="IZ814" i="94"/>
  <c r="IR814" i="94"/>
  <c r="IJ814" i="94"/>
  <c r="LK814" i="94"/>
  <c r="LC814" i="94"/>
  <c r="KU814" i="94"/>
  <c r="KM814" i="94"/>
  <c r="KE814" i="94"/>
  <c r="JW814" i="94"/>
  <c r="JO814" i="94"/>
  <c r="JG814" i="94"/>
  <c r="IY814" i="94"/>
  <c r="IQ814" i="94"/>
  <c r="II814" i="94"/>
  <c r="LJ814" i="94"/>
  <c r="LB814" i="94"/>
  <c r="KT814" i="94"/>
  <c r="KL814" i="94"/>
  <c r="KD814" i="94"/>
  <c r="JV814" i="94"/>
  <c r="JN814" i="94"/>
  <c r="JF814" i="94"/>
  <c r="IX814" i="94"/>
  <c r="IP814" i="94"/>
  <c r="IH814" i="94"/>
  <c r="LI814" i="94"/>
  <c r="LA814" i="94"/>
  <c r="KS814" i="94"/>
  <c r="KK814" i="94"/>
  <c r="KC814" i="94"/>
  <c r="JU814" i="94"/>
  <c r="JM814" i="94"/>
  <c r="JE814" i="94"/>
  <c r="IW814" i="94"/>
  <c r="IO814" i="94"/>
  <c r="IG814" i="94"/>
  <c r="ND814" i="94"/>
  <c r="LP814" i="94"/>
  <c r="LH814" i="94"/>
  <c r="KZ814" i="94"/>
  <c r="KR814" i="94"/>
  <c r="KJ814" i="94"/>
  <c r="KB814" i="94"/>
  <c r="JT814" i="94"/>
  <c r="JL814" i="94"/>
  <c r="JD814" i="94"/>
  <c r="IV814" i="94"/>
  <c r="IN814" i="94"/>
  <c r="IF814" i="94"/>
  <c r="LJ812" i="94"/>
  <c r="LB812" i="94"/>
  <c r="KT812" i="94"/>
  <c r="KL812" i="94"/>
  <c r="KD812" i="94"/>
  <c r="JV812" i="94"/>
  <c r="JN812" i="94"/>
  <c r="JF812" i="94"/>
  <c r="IX812" i="94"/>
  <c r="IP812" i="94"/>
  <c r="IH812" i="94"/>
  <c r="LI812" i="94"/>
  <c r="LA812" i="94"/>
  <c r="KS812" i="94"/>
  <c r="KK812" i="94"/>
  <c r="KC812" i="94"/>
  <c r="JU812" i="94"/>
  <c r="JM812" i="94"/>
  <c r="JE812" i="94"/>
  <c r="IW812" i="94"/>
  <c r="IO812" i="94"/>
  <c r="IG812" i="94"/>
  <c r="ND812" i="94"/>
  <c r="LP812" i="94"/>
  <c r="LH812" i="94"/>
  <c r="KZ812" i="94"/>
  <c r="KR812" i="94"/>
  <c r="KJ812" i="94"/>
  <c r="KB812" i="94"/>
  <c r="JT812" i="94"/>
  <c r="JL812" i="94"/>
  <c r="JD812" i="94"/>
  <c r="IV812" i="94"/>
  <c r="IN812" i="94"/>
  <c r="IF812" i="94"/>
  <c r="NC812" i="94"/>
  <c r="LO812" i="94"/>
  <c r="LG812" i="94"/>
  <c r="KY812" i="94"/>
  <c r="KQ812" i="94"/>
  <c r="KI812" i="94"/>
  <c r="KA812" i="94"/>
  <c r="JS812" i="94"/>
  <c r="JK812" i="94"/>
  <c r="JC812" i="94"/>
  <c r="IU812" i="94"/>
  <c r="IM812" i="94"/>
  <c r="IE812" i="94"/>
  <c r="NB812" i="94"/>
  <c r="LN812" i="94"/>
  <c r="LF812" i="94"/>
  <c r="KX812" i="94"/>
  <c r="KP812" i="94"/>
  <c r="KH812" i="94"/>
  <c r="JZ812" i="94"/>
  <c r="JR812" i="94"/>
  <c r="JJ812" i="94"/>
  <c r="JB812" i="94"/>
  <c r="IT812" i="94"/>
  <c r="IL812" i="94"/>
  <c r="NA812" i="94"/>
  <c r="LM812" i="94"/>
  <c r="LE812" i="94"/>
  <c r="KW812" i="94"/>
  <c r="KO812" i="94"/>
  <c r="KG812" i="94"/>
  <c r="JY812" i="94"/>
  <c r="JQ812" i="94"/>
  <c r="JI812" i="94"/>
  <c r="JA812" i="94"/>
  <c r="IS812" i="94"/>
  <c r="IK812" i="94"/>
  <c r="MZ812" i="94"/>
  <c r="LL812" i="94"/>
  <c r="LD812" i="94"/>
  <c r="KV812" i="94"/>
  <c r="KN812" i="94"/>
  <c r="KF812" i="94"/>
  <c r="JX812" i="94"/>
  <c r="JP812" i="94"/>
  <c r="JH812" i="94"/>
  <c r="IZ812" i="94"/>
  <c r="IR812" i="94"/>
  <c r="IJ812" i="94"/>
  <c r="NB810" i="94"/>
  <c r="LN810" i="94"/>
  <c r="LF810" i="94"/>
  <c r="KX810" i="94"/>
  <c r="KP810" i="94"/>
  <c r="KH810" i="94"/>
  <c r="JZ810" i="94"/>
  <c r="JR810" i="94"/>
  <c r="JJ810" i="94"/>
  <c r="JB810" i="94"/>
  <c r="IT810" i="94"/>
  <c r="IL810" i="94"/>
  <c r="NA810" i="94"/>
  <c r="LM810" i="94"/>
  <c r="LE810" i="94"/>
  <c r="KW810" i="94"/>
  <c r="KO810" i="94"/>
  <c r="KG810" i="94"/>
  <c r="JY810" i="94"/>
  <c r="JQ810" i="94"/>
  <c r="JI810" i="94"/>
  <c r="JA810" i="94"/>
  <c r="IS810" i="94"/>
  <c r="IK810" i="94"/>
  <c r="MZ810" i="94"/>
  <c r="LL810" i="94"/>
  <c r="LD810" i="94"/>
  <c r="KV810" i="94"/>
  <c r="KN810" i="94"/>
  <c r="KF810" i="94"/>
  <c r="JX810" i="94"/>
  <c r="JP810" i="94"/>
  <c r="JH810" i="94"/>
  <c r="IZ810" i="94"/>
  <c r="IR810" i="94"/>
  <c r="IJ810" i="94"/>
  <c r="LK810" i="94"/>
  <c r="LC810" i="94"/>
  <c r="KU810" i="94"/>
  <c r="KM810" i="94"/>
  <c r="KE810" i="94"/>
  <c r="JW810" i="94"/>
  <c r="JO810" i="94"/>
  <c r="JG810" i="94"/>
  <c r="IY810" i="94"/>
  <c r="IQ810" i="94"/>
  <c r="II810" i="94"/>
  <c r="LJ810" i="94"/>
  <c r="LB810" i="94"/>
  <c r="KT810" i="94"/>
  <c r="KL810" i="94"/>
  <c r="KD810" i="94"/>
  <c r="JV810" i="94"/>
  <c r="JN810" i="94"/>
  <c r="JF810" i="94"/>
  <c r="IX810" i="94"/>
  <c r="IP810" i="94"/>
  <c r="IH810" i="94"/>
  <c r="LI810" i="94"/>
  <c r="LA810" i="94"/>
  <c r="KS810" i="94"/>
  <c r="KK810" i="94"/>
  <c r="KC810" i="94"/>
  <c r="JU810" i="94"/>
  <c r="JM810" i="94"/>
  <c r="JE810" i="94"/>
  <c r="IW810" i="94"/>
  <c r="IO810" i="94"/>
  <c r="IG810" i="94"/>
  <c r="ND810" i="94"/>
  <c r="LP810" i="94"/>
  <c r="LH810" i="94"/>
  <c r="KZ810" i="94"/>
  <c r="KR810" i="94"/>
  <c r="KJ810" i="94"/>
  <c r="KB810" i="94"/>
  <c r="JT810" i="94"/>
  <c r="JL810" i="94"/>
  <c r="JD810" i="94"/>
  <c r="IV810" i="94"/>
  <c r="IN810" i="94"/>
  <c r="IF810" i="94"/>
  <c r="LJ808" i="94"/>
  <c r="LB808" i="94"/>
  <c r="KT808" i="94"/>
  <c r="KL808" i="94"/>
  <c r="KD808" i="94"/>
  <c r="JV808" i="94"/>
  <c r="JN808" i="94"/>
  <c r="ND808" i="94"/>
  <c r="LP808" i="94"/>
  <c r="LH808" i="94"/>
  <c r="KZ808" i="94"/>
  <c r="KR808" i="94"/>
  <c r="KJ808" i="94"/>
  <c r="KB808" i="94"/>
  <c r="JT808" i="94"/>
  <c r="NB808" i="94"/>
  <c r="LN808" i="94"/>
  <c r="LF808" i="94"/>
  <c r="KX808" i="94"/>
  <c r="KP808" i="94"/>
  <c r="KH808" i="94"/>
  <c r="JZ808" i="94"/>
  <c r="JR808" i="94"/>
  <c r="JJ808" i="94"/>
  <c r="JB808" i="94"/>
  <c r="IT808" i="94"/>
  <c r="IL808" i="94"/>
  <c r="NA808" i="94"/>
  <c r="LM808" i="94"/>
  <c r="LE808" i="94"/>
  <c r="KW808" i="94"/>
  <c r="KO808" i="94"/>
  <c r="KG808" i="94"/>
  <c r="JY808" i="94"/>
  <c r="JQ808" i="94"/>
  <c r="JI808" i="94"/>
  <c r="JA808" i="94"/>
  <c r="IS808" i="94"/>
  <c r="IK808" i="94"/>
  <c r="J742" i="94"/>
  <c r="I759" i="94"/>
  <c r="J759" i="94"/>
  <c r="KI810" i="94"/>
  <c r="IY812" i="94"/>
  <c r="LK812" i="94"/>
  <c r="KA814" i="94"/>
  <c r="IH816" i="94"/>
  <c r="KT816" i="94"/>
  <c r="IE810" i="94"/>
  <c r="KQ810" i="94"/>
  <c r="JG812" i="94"/>
  <c r="KI814" i="94"/>
  <c r="IP816" i="94"/>
  <c r="LB816" i="94"/>
  <c r="IE814" i="94"/>
  <c r="KQ814" i="94"/>
  <c r="IX816" i="94"/>
  <c r="LK816" i="94"/>
  <c r="MZ816" i="94"/>
  <c r="N971" i="94"/>
  <c r="M779" i="94"/>
  <c r="A814" i="94"/>
  <c r="A812" i="94"/>
  <c r="A810" i="94"/>
  <c r="A802" i="94"/>
  <c r="A796" i="94"/>
  <c r="A794" i="94"/>
  <c r="A792" i="94"/>
  <c r="A788" i="94"/>
  <c r="A786" i="94"/>
  <c r="L781" i="94"/>
  <c r="M781" i="94" s="1"/>
  <c r="KJ811" i="94"/>
  <c r="LN797" i="94"/>
  <c r="LO795" i="94"/>
  <c r="IM793" i="94"/>
  <c r="KL791" i="94"/>
  <c r="JG789" i="94"/>
  <c r="KC787" i="94"/>
  <c r="KP785" i="94"/>
  <c r="ND781" i="94"/>
  <c r="J962" i="94"/>
  <c r="J971" i="94"/>
  <c r="H971" i="94"/>
  <c r="P971" i="94"/>
  <c r="N975" i="94"/>
  <c r="J980" i="94"/>
  <c r="L991" i="94"/>
  <c r="DZ815" i="94"/>
  <c r="DD815" i="94"/>
  <c r="CV815" i="94"/>
  <c r="CN815" i="94"/>
  <c r="CF815" i="94"/>
  <c r="BX815" i="94"/>
  <c r="EB815" i="94"/>
  <c r="BP815" i="94"/>
  <c r="DY807" i="94"/>
  <c r="CM807" i="94"/>
  <c r="CE807" i="94"/>
  <c r="BW807" i="94"/>
  <c r="EA807" i="94"/>
  <c r="BO807" i="94"/>
  <c r="DS807" i="94"/>
  <c r="FW807" i="94"/>
  <c r="DK807" i="94"/>
  <c r="J592" i="94"/>
  <c r="J596" i="94" s="1"/>
  <c r="JM781" i="94"/>
  <c r="CP783" i="94"/>
  <c r="DV783" i="94"/>
  <c r="GA783" i="94"/>
  <c r="IP783" i="94"/>
  <c r="JJ785" i="94"/>
  <c r="CS791" i="94"/>
  <c r="NB797" i="94"/>
  <c r="DK799" i="94"/>
  <c r="FW799" i="94"/>
  <c r="CU807" i="94"/>
  <c r="FX815" i="94"/>
  <c r="FZ814" i="94"/>
  <c r="DV814" i="94"/>
  <c r="DN814" i="94"/>
  <c r="DF814" i="94"/>
  <c r="CX814" i="94"/>
  <c r="CP814" i="94"/>
  <c r="CH814" i="94"/>
  <c r="BZ814" i="94"/>
  <c r="BR814" i="94"/>
  <c r="FY814" i="94"/>
  <c r="EC814" i="94"/>
  <c r="DU814" i="94"/>
  <c r="DM814" i="94"/>
  <c r="DE814" i="94"/>
  <c r="CW814" i="94"/>
  <c r="CO814" i="94"/>
  <c r="CG814" i="94"/>
  <c r="BY814" i="94"/>
  <c r="BQ814" i="94"/>
  <c r="FX814" i="94"/>
  <c r="EB814" i="94"/>
  <c r="DT814" i="94"/>
  <c r="DL814" i="94"/>
  <c r="DD814" i="94"/>
  <c r="CV814" i="94"/>
  <c r="CN814" i="94"/>
  <c r="CF814" i="94"/>
  <c r="BX814" i="94"/>
  <c r="BP814" i="94"/>
  <c r="FW814" i="94"/>
  <c r="EA814" i="94"/>
  <c r="DS814" i="94"/>
  <c r="DK814" i="94"/>
  <c r="DC814" i="94"/>
  <c r="CU814" i="94"/>
  <c r="CM814" i="94"/>
  <c r="CE814" i="94"/>
  <c r="BW814" i="94"/>
  <c r="BO814" i="94"/>
  <c r="DZ814" i="94"/>
  <c r="DR814" i="94"/>
  <c r="DJ814" i="94"/>
  <c r="DB814" i="94"/>
  <c r="CT814" i="94"/>
  <c r="CL814" i="94"/>
  <c r="CD814" i="94"/>
  <c r="BV814" i="94"/>
  <c r="BN814" i="94"/>
  <c r="DY814" i="94"/>
  <c r="DQ814" i="94"/>
  <c r="DI814" i="94"/>
  <c r="DA814" i="94"/>
  <c r="CS814" i="94"/>
  <c r="CK814" i="94"/>
  <c r="CC814" i="94"/>
  <c r="BU814" i="94"/>
  <c r="BM814" i="94"/>
  <c r="FX806" i="94"/>
  <c r="EB806" i="94"/>
  <c r="DT806" i="94"/>
  <c r="DL806" i="94"/>
  <c r="DD806" i="94"/>
  <c r="CV806" i="94"/>
  <c r="CN806" i="94"/>
  <c r="CF806" i="94"/>
  <c r="BX806" i="94"/>
  <c r="BP806" i="94"/>
  <c r="FW806" i="94"/>
  <c r="EA806" i="94"/>
  <c r="DS806" i="94"/>
  <c r="DK806" i="94"/>
  <c r="DC806" i="94"/>
  <c r="CU806" i="94"/>
  <c r="CM806" i="94"/>
  <c r="CE806" i="94"/>
  <c r="BW806" i="94"/>
  <c r="BO806" i="94"/>
  <c r="DY806" i="94"/>
  <c r="DQ806" i="94"/>
  <c r="DI806" i="94"/>
  <c r="DA806" i="94"/>
  <c r="CS806" i="94"/>
  <c r="CK806" i="94"/>
  <c r="CC806" i="94"/>
  <c r="BU806" i="94"/>
  <c r="BM806" i="94"/>
  <c r="DX806" i="94"/>
  <c r="DP806" i="94"/>
  <c r="DH806" i="94"/>
  <c r="CZ806" i="94"/>
  <c r="CR806" i="94"/>
  <c r="CJ806" i="94"/>
  <c r="CB806" i="94"/>
  <c r="BT806" i="94"/>
  <c r="BL806" i="94"/>
  <c r="GA806" i="94"/>
  <c r="DW806" i="94"/>
  <c r="DO806" i="94"/>
  <c r="DG806" i="94"/>
  <c r="CY806" i="94"/>
  <c r="CQ806" i="94"/>
  <c r="CI806" i="94"/>
  <c r="CA806" i="94"/>
  <c r="BS806" i="94"/>
  <c r="MN815" i="94"/>
  <c r="MF815" i="94"/>
  <c r="HV815" i="94"/>
  <c r="HN815" i="94"/>
  <c r="HF815" i="94"/>
  <c r="GX815" i="94"/>
  <c r="GP815" i="94"/>
  <c r="GH815" i="94"/>
  <c r="MM815" i="94"/>
  <c r="ME815" i="94"/>
  <c r="HU815" i="94"/>
  <c r="HM815" i="94"/>
  <c r="HE815" i="94"/>
  <c r="GW815" i="94"/>
  <c r="GO815" i="94"/>
  <c r="GG815" i="94"/>
  <c r="ML815" i="94"/>
  <c r="MD815" i="94"/>
  <c r="HT815" i="94"/>
  <c r="HL815" i="94"/>
  <c r="HD815" i="94"/>
  <c r="GV815" i="94"/>
  <c r="GN815" i="94"/>
  <c r="MK815" i="94"/>
  <c r="MC815" i="94"/>
  <c r="HS815" i="94"/>
  <c r="HK815" i="94"/>
  <c r="HC815" i="94"/>
  <c r="GU815" i="94"/>
  <c r="GM815" i="94"/>
  <c r="MJ815" i="94"/>
  <c r="MB815" i="94"/>
  <c r="HR815" i="94"/>
  <c r="HJ815" i="94"/>
  <c r="HB815" i="94"/>
  <c r="GT815" i="94"/>
  <c r="GL815" i="94"/>
  <c r="MI815" i="94"/>
  <c r="MA815" i="94"/>
  <c r="HY815" i="94"/>
  <c r="HQ815" i="94"/>
  <c r="HI815" i="94"/>
  <c r="HA815" i="94"/>
  <c r="GS815" i="94"/>
  <c r="GK815" i="94"/>
  <c r="MK813" i="94"/>
  <c r="MC813" i="94"/>
  <c r="HS813" i="94"/>
  <c r="HK813" i="94"/>
  <c r="HC813" i="94"/>
  <c r="GU813" i="94"/>
  <c r="GM813" i="94"/>
  <c r="MJ813" i="94"/>
  <c r="MB813" i="94"/>
  <c r="HR813" i="94"/>
  <c r="HJ813" i="94"/>
  <c r="HB813" i="94"/>
  <c r="GT813" i="94"/>
  <c r="GL813" i="94"/>
  <c r="MI813" i="94"/>
  <c r="MA813" i="94"/>
  <c r="HY813" i="94"/>
  <c r="HQ813" i="94"/>
  <c r="HI813" i="94"/>
  <c r="HA813" i="94"/>
  <c r="GS813" i="94"/>
  <c r="GK813" i="94"/>
  <c r="MH813" i="94"/>
  <c r="HX813" i="94"/>
  <c r="HP813" i="94"/>
  <c r="HH813" i="94"/>
  <c r="GZ813" i="94"/>
  <c r="GR813" i="94"/>
  <c r="GJ813" i="94"/>
  <c r="MO813" i="94"/>
  <c r="MG813" i="94"/>
  <c r="HW813" i="94"/>
  <c r="HO813" i="94"/>
  <c r="HG813" i="94"/>
  <c r="GY813" i="94"/>
  <c r="GQ813" i="94"/>
  <c r="GI813" i="94"/>
  <c r="MN813" i="94"/>
  <c r="MF813" i="94"/>
  <c r="HV813" i="94"/>
  <c r="HN813" i="94"/>
  <c r="HF813" i="94"/>
  <c r="GX813" i="94"/>
  <c r="GP813" i="94"/>
  <c r="GH813" i="94"/>
  <c r="MI811" i="94"/>
  <c r="MA811" i="94"/>
  <c r="HY811" i="94"/>
  <c r="HQ811" i="94"/>
  <c r="HI811" i="94"/>
  <c r="HA811" i="94"/>
  <c r="GS811" i="94"/>
  <c r="GK811" i="94"/>
  <c r="MH811" i="94"/>
  <c r="HX811" i="94"/>
  <c r="HP811" i="94"/>
  <c r="HH811" i="94"/>
  <c r="GZ811" i="94"/>
  <c r="GR811" i="94"/>
  <c r="GJ811" i="94"/>
  <c r="MO811" i="94"/>
  <c r="MG811" i="94"/>
  <c r="HW811" i="94"/>
  <c r="HO811" i="94"/>
  <c r="HG811" i="94"/>
  <c r="GY811" i="94"/>
  <c r="GQ811" i="94"/>
  <c r="GI811" i="94"/>
  <c r="MN811" i="94"/>
  <c r="MF811" i="94"/>
  <c r="HV811" i="94"/>
  <c r="HN811" i="94"/>
  <c r="HF811" i="94"/>
  <c r="GX811" i="94"/>
  <c r="GP811" i="94"/>
  <c r="GH811" i="94"/>
  <c r="MM811" i="94"/>
  <c r="ME811" i="94"/>
  <c r="HU811" i="94"/>
  <c r="HM811" i="94"/>
  <c r="HE811" i="94"/>
  <c r="GW811" i="94"/>
  <c r="GO811" i="94"/>
  <c r="GG811" i="94"/>
  <c r="ML811" i="94"/>
  <c r="MD811" i="94"/>
  <c r="HT811" i="94"/>
  <c r="HL811" i="94"/>
  <c r="HD811" i="94"/>
  <c r="GV811" i="94"/>
  <c r="GN811" i="94"/>
  <c r="MN809" i="94"/>
  <c r="MF809" i="94"/>
  <c r="HV809" i="94"/>
  <c r="HN809" i="94"/>
  <c r="HF809" i="94"/>
  <c r="GX809" i="94"/>
  <c r="GP809" i="94"/>
  <c r="GH809" i="94"/>
  <c r="MM809" i="94"/>
  <c r="ME809" i="94"/>
  <c r="HU809" i="94"/>
  <c r="HM809" i="94"/>
  <c r="HE809" i="94"/>
  <c r="GW809" i="94"/>
  <c r="GO809" i="94"/>
  <c r="GG809" i="94"/>
  <c r="ML809" i="94"/>
  <c r="MD809" i="94"/>
  <c r="HT809" i="94"/>
  <c r="HL809" i="94"/>
  <c r="HD809" i="94"/>
  <c r="GV809" i="94"/>
  <c r="GN809" i="94"/>
  <c r="MK809" i="94"/>
  <c r="MC809" i="94"/>
  <c r="HS809" i="94"/>
  <c r="HK809" i="94"/>
  <c r="HC809" i="94"/>
  <c r="GU809" i="94"/>
  <c r="GM809" i="94"/>
  <c r="MJ809" i="94"/>
  <c r="MB809" i="94"/>
  <c r="HR809" i="94"/>
  <c r="HJ809" i="94"/>
  <c r="HB809" i="94"/>
  <c r="GT809" i="94"/>
  <c r="GL809" i="94"/>
  <c r="MI809" i="94"/>
  <c r="MA809" i="94"/>
  <c r="HY809" i="94"/>
  <c r="HQ809" i="94"/>
  <c r="HI809" i="94"/>
  <c r="HA809" i="94"/>
  <c r="GS809" i="94"/>
  <c r="GK809" i="94"/>
  <c r="ML807" i="94"/>
  <c r="MD807" i="94"/>
  <c r="HT807" i="94"/>
  <c r="HL807" i="94"/>
  <c r="HD807" i="94"/>
  <c r="GV807" i="94"/>
  <c r="GN807" i="94"/>
  <c r="MK807" i="94"/>
  <c r="MC807" i="94"/>
  <c r="HS807" i="94"/>
  <c r="HK807" i="94"/>
  <c r="HC807" i="94"/>
  <c r="GU807" i="94"/>
  <c r="GM807" i="94"/>
  <c r="MJ807" i="94"/>
  <c r="MB807" i="94"/>
  <c r="HR807" i="94"/>
  <c r="HJ807" i="94"/>
  <c r="HB807" i="94"/>
  <c r="GT807" i="94"/>
  <c r="GL807" i="94"/>
  <c r="MI807" i="94"/>
  <c r="MA807" i="94"/>
  <c r="HY807" i="94"/>
  <c r="HQ807" i="94"/>
  <c r="HI807" i="94"/>
  <c r="HA807" i="94"/>
  <c r="GS807" i="94"/>
  <c r="GK807" i="94"/>
  <c r="MH807" i="94"/>
  <c r="HX807" i="94"/>
  <c r="HP807" i="94"/>
  <c r="HH807" i="94"/>
  <c r="GZ807" i="94"/>
  <c r="GR807" i="94"/>
  <c r="GJ807" i="94"/>
  <c r="MO807" i="94"/>
  <c r="MG807" i="94"/>
  <c r="HW807" i="94"/>
  <c r="HO807" i="94"/>
  <c r="HG807" i="94"/>
  <c r="GY807" i="94"/>
  <c r="GQ807" i="94"/>
  <c r="GI807" i="94"/>
  <c r="MI805" i="94"/>
  <c r="MA805" i="94"/>
  <c r="HY805" i="94"/>
  <c r="HQ805" i="94"/>
  <c r="HI805" i="94"/>
  <c r="HA805" i="94"/>
  <c r="GS805" i="94"/>
  <c r="GK805" i="94"/>
  <c r="MH805" i="94"/>
  <c r="HX805" i="94"/>
  <c r="HP805" i="94"/>
  <c r="HH805" i="94"/>
  <c r="GZ805" i="94"/>
  <c r="GR805" i="94"/>
  <c r="GJ805" i="94"/>
  <c r="MN805" i="94"/>
  <c r="MF805" i="94"/>
  <c r="HV805" i="94"/>
  <c r="HN805" i="94"/>
  <c r="HF805" i="94"/>
  <c r="GX805" i="94"/>
  <c r="GP805" i="94"/>
  <c r="GH805" i="94"/>
  <c r="MM805" i="94"/>
  <c r="ME805" i="94"/>
  <c r="HU805" i="94"/>
  <c r="HM805" i="94"/>
  <c r="HE805" i="94"/>
  <c r="GW805" i="94"/>
  <c r="GO805" i="94"/>
  <c r="GG805" i="94"/>
  <c r="ML805" i="94"/>
  <c r="MD805" i="94"/>
  <c r="HT805" i="94"/>
  <c r="HL805" i="94"/>
  <c r="HD805" i="94"/>
  <c r="GV805" i="94"/>
  <c r="GN805" i="94"/>
  <c r="MN803" i="94"/>
  <c r="MF803" i="94"/>
  <c r="HV803" i="94"/>
  <c r="HN803" i="94"/>
  <c r="HF803" i="94"/>
  <c r="GX803" i="94"/>
  <c r="GP803" i="94"/>
  <c r="GH803" i="94"/>
  <c r="ML803" i="94"/>
  <c r="MD803" i="94"/>
  <c r="HT803" i="94"/>
  <c r="HL803" i="94"/>
  <c r="HD803" i="94"/>
  <c r="GV803" i="94"/>
  <c r="GN803" i="94"/>
  <c r="MK803" i="94"/>
  <c r="MC803" i="94"/>
  <c r="HS803" i="94"/>
  <c r="HK803" i="94"/>
  <c r="HC803" i="94"/>
  <c r="GU803" i="94"/>
  <c r="GM803" i="94"/>
  <c r="MJ803" i="94"/>
  <c r="MB803" i="94"/>
  <c r="HR803" i="94"/>
  <c r="HJ803" i="94"/>
  <c r="HB803" i="94"/>
  <c r="GT803" i="94"/>
  <c r="GL803" i="94"/>
  <c r="MJ801" i="94"/>
  <c r="MB801" i="94"/>
  <c r="MN801" i="94"/>
  <c r="MF801" i="94"/>
  <c r="HV801" i="94"/>
  <c r="HN801" i="94"/>
  <c r="K759" i="94"/>
  <c r="KC781" i="94"/>
  <c r="CQ783" i="94"/>
  <c r="DW783" i="94"/>
  <c r="DA791" i="94"/>
  <c r="DS799" i="94"/>
  <c r="DC807" i="94"/>
  <c r="DL815" i="94"/>
  <c r="GR815" i="94"/>
  <c r="HX815" i="94"/>
  <c r="MG815" i="94"/>
  <c r="BR783" i="94"/>
  <c r="CX783" i="94"/>
  <c r="DI791" i="94"/>
  <c r="BO799" i="94"/>
  <c r="EA799" i="94"/>
  <c r="DT815" i="94"/>
  <c r="I742" i="94"/>
  <c r="M759" i="94"/>
  <c r="BS783" i="94"/>
  <c r="CY783" i="94"/>
  <c r="DQ791" i="94"/>
  <c r="BW799" i="94"/>
  <c r="BZ783" i="94"/>
  <c r="DF783" i="94"/>
  <c r="BM791" i="94"/>
  <c r="DY791" i="94"/>
  <c r="CE799" i="94"/>
  <c r="HG815" i="94"/>
  <c r="CA783" i="94"/>
  <c r="DG783" i="94"/>
  <c r="BU791" i="94"/>
  <c r="CM799" i="94"/>
  <c r="M742" i="94"/>
  <c r="A780" i="94"/>
  <c r="CH783" i="94"/>
  <c r="DN783" i="94"/>
  <c r="CC791" i="94"/>
  <c r="CU799" i="94"/>
  <c r="F818" i="94"/>
  <c r="B818" i="94"/>
  <c r="DZ816" i="94"/>
  <c r="LT816" i="94"/>
  <c r="BL791" i="94"/>
  <c r="BT791" i="94"/>
  <c r="CB791" i="94"/>
  <c r="CJ791" i="94"/>
  <c r="CR791" i="94"/>
  <c r="CZ791" i="94"/>
  <c r="DH791" i="94"/>
  <c r="DP791" i="94"/>
  <c r="DX791" i="94"/>
  <c r="LJ791" i="94"/>
  <c r="BN799" i="94"/>
  <c r="BV799" i="94"/>
  <c r="CD799" i="94"/>
  <c r="CL799" i="94"/>
  <c r="CT799" i="94"/>
  <c r="DB799" i="94"/>
  <c r="DJ799" i="94"/>
  <c r="DR799" i="94"/>
  <c r="DZ799" i="94"/>
  <c r="BN807" i="94"/>
  <c r="BV807" i="94"/>
  <c r="CD807" i="94"/>
  <c r="CL807" i="94"/>
  <c r="CT807" i="94"/>
  <c r="DB807" i="94"/>
  <c r="DJ807" i="94"/>
  <c r="DR807" i="94"/>
  <c r="DZ807" i="94"/>
  <c r="BO815" i="94"/>
  <c r="BW815" i="94"/>
  <c r="CE815" i="94"/>
  <c r="CM815" i="94"/>
  <c r="CU815" i="94"/>
  <c r="DC815" i="94"/>
  <c r="DK815" i="94"/>
  <c r="DS815" i="94"/>
  <c r="EA815" i="94"/>
  <c r="FW815" i="94"/>
  <c r="P892" i="94"/>
  <c r="JU781" i="94"/>
  <c r="BL783" i="94"/>
  <c r="BT783" i="94"/>
  <c r="CB783" i="94"/>
  <c r="CJ783" i="94"/>
  <c r="CR783" i="94"/>
  <c r="CZ783" i="94"/>
  <c r="DH783" i="94"/>
  <c r="DP783" i="94"/>
  <c r="DX783" i="94"/>
  <c r="JF783" i="94"/>
  <c r="BN791" i="94"/>
  <c r="BV791" i="94"/>
  <c r="CD791" i="94"/>
  <c r="CL791" i="94"/>
  <c r="CT791" i="94"/>
  <c r="DB791" i="94"/>
  <c r="DJ791" i="94"/>
  <c r="DR791" i="94"/>
  <c r="DZ791" i="94"/>
  <c r="KV793" i="94"/>
  <c r="JU797" i="94"/>
  <c r="A798" i="94"/>
  <c r="BP799" i="94"/>
  <c r="BX799" i="94"/>
  <c r="CF799" i="94"/>
  <c r="CN799" i="94"/>
  <c r="CV799" i="94"/>
  <c r="DD799" i="94"/>
  <c r="DL799" i="94"/>
  <c r="DT799" i="94"/>
  <c r="EB799" i="94"/>
  <c r="FX799" i="94"/>
  <c r="A804" i="94"/>
  <c r="BP807" i="94"/>
  <c r="BX807" i="94"/>
  <c r="CF807" i="94"/>
  <c r="CN807" i="94"/>
  <c r="CV807" i="94"/>
  <c r="DD807" i="94"/>
  <c r="DL807" i="94"/>
  <c r="DT807" i="94"/>
  <c r="EB807" i="94"/>
  <c r="FX807" i="94"/>
  <c r="BQ815" i="94"/>
  <c r="BY815" i="94"/>
  <c r="CG815" i="94"/>
  <c r="CO815" i="94"/>
  <c r="CW815" i="94"/>
  <c r="DE815" i="94"/>
  <c r="DM815" i="94"/>
  <c r="DU815" i="94"/>
  <c r="EC815" i="94"/>
  <c r="FY815" i="94"/>
  <c r="LG816" i="94"/>
  <c r="LO816" i="94"/>
  <c r="LW816" i="94"/>
  <c r="ME816" i="94"/>
  <c r="MM816" i="94"/>
  <c r="NC816" i="94"/>
  <c r="CS783" i="94"/>
  <c r="IY789" i="94"/>
  <c r="A790" i="94"/>
  <c r="BO791" i="94"/>
  <c r="BW791" i="94"/>
  <c r="CE791" i="94"/>
  <c r="CM791" i="94"/>
  <c r="CU791" i="94"/>
  <c r="DC791" i="94"/>
  <c r="DK791" i="94"/>
  <c r="DS791" i="94"/>
  <c r="EA791" i="94"/>
  <c r="FW791" i="94"/>
  <c r="BQ799" i="94"/>
  <c r="BY799" i="94"/>
  <c r="CG799" i="94"/>
  <c r="CO799" i="94"/>
  <c r="CW799" i="94"/>
  <c r="DE799" i="94"/>
  <c r="DM799" i="94"/>
  <c r="DU799" i="94"/>
  <c r="EC799" i="94"/>
  <c r="FY799" i="94"/>
  <c r="A800" i="94"/>
  <c r="A806" i="94"/>
  <c r="BQ807" i="94"/>
  <c r="BY807" i="94"/>
  <c r="CG807" i="94"/>
  <c r="CO807" i="94"/>
  <c r="CW807" i="94"/>
  <c r="DE807" i="94"/>
  <c r="DM807" i="94"/>
  <c r="DU807" i="94"/>
  <c r="EC807" i="94"/>
  <c r="FY807" i="94"/>
  <c r="A808" i="94"/>
  <c r="BR815" i="94"/>
  <c r="BZ815" i="94"/>
  <c r="CH815" i="94"/>
  <c r="CP815" i="94"/>
  <c r="CX815" i="94"/>
  <c r="DF815" i="94"/>
  <c r="DN815" i="94"/>
  <c r="DV815" i="94"/>
  <c r="FZ815" i="94"/>
  <c r="BU783" i="94"/>
  <c r="KK781" i="94"/>
  <c r="BN783" i="94"/>
  <c r="BV783" i="94"/>
  <c r="CD783" i="94"/>
  <c r="CL783" i="94"/>
  <c r="CT783" i="94"/>
  <c r="DB783" i="94"/>
  <c r="DJ783" i="94"/>
  <c r="DR783" i="94"/>
  <c r="DZ783" i="94"/>
  <c r="KL783" i="94"/>
  <c r="LK789" i="94"/>
  <c r="BP791" i="94"/>
  <c r="BX791" i="94"/>
  <c r="CF791" i="94"/>
  <c r="CN791" i="94"/>
  <c r="CV791" i="94"/>
  <c r="DD791" i="94"/>
  <c r="DL791" i="94"/>
  <c r="DT791" i="94"/>
  <c r="EB791" i="94"/>
  <c r="FX791" i="94"/>
  <c r="BR799" i="94"/>
  <c r="BZ799" i="94"/>
  <c r="CH799" i="94"/>
  <c r="CP799" i="94"/>
  <c r="CX799" i="94"/>
  <c r="DF799" i="94"/>
  <c r="DN799" i="94"/>
  <c r="DV799" i="94"/>
  <c r="FZ799" i="94"/>
  <c r="BR807" i="94"/>
  <c r="BZ807" i="94"/>
  <c r="CH807" i="94"/>
  <c r="CP807" i="94"/>
  <c r="CX807" i="94"/>
  <c r="DF807" i="94"/>
  <c r="DN807" i="94"/>
  <c r="DV807" i="94"/>
  <c r="FZ807" i="94"/>
  <c r="BS815" i="94"/>
  <c r="CA815" i="94"/>
  <c r="CI815" i="94"/>
  <c r="CQ815" i="94"/>
  <c r="CY815" i="94"/>
  <c r="DG815" i="94"/>
  <c r="DO815" i="94"/>
  <c r="DW815" i="94"/>
  <c r="GA815" i="94"/>
  <c r="CK783" i="94"/>
  <c r="DQ783" i="94"/>
  <c r="JV783" i="94"/>
  <c r="IG781" i="94"/>
  <c r="KS781" i="94"/>
  <c r="BO783" i="94"/>
  <c r="BW783" i="94"/>
  <c r="CE783" i="94"/>
  <c r="CM783" i="94"/>
  <c r="CU783" i="94"/>
  <c r="DC783" i="94"/>
  <c r="DK783" i="94"/>
  <c r="DS783" i="94"/>
  <c r="EA783" i="94"/>
  <c r="FW783" i="94"/>
  <c r="LB783" i="94"/>
  <c r="NA783" i="94"/>
  <c r="BQ791" i="94"/>
  <c r="BY791" i="94"/>
  <c r="CG791" i="94"/>
  <c r="CO791" i="94"/>
  <c r="CW791" i="94"/>
  <c r="DE791" i="94"/>
  <c r="DM791" i="94"/>
  <c r="DU791" i="94"/>
  <c r="EC791" i="94"/>
  <c r="FY791" i="94"/>
  <c r="BS799" i="94"/>
  <c r="CA799" i="94"/>
  <c r="CI799" i="94"/>
  <c r="CQ799" i="94"/>
  <c r="CY799" i="94"/>
  <c r="DG799" i="94"/>
  <c r="DO799" i="94"/>
  <c r="DW799" i="94"/>
  <c r="GA799" i="94"/>
  <c r="BS807" i="94"/>
  <c r="CA807" i="94"/>
  <c r="CI807" i="94"/>
  <c r="CQ807" i="94"/>
  <c r="CY807" i="94"/>
  <c r="DG807" i="94"/>
  <c r="DO807" i="94"/>
  <c r="DW807" i="94"/>
  <c r="GA807" i="94"/>
  <c r="BL815" i="94"/>
  <c r="BT815" i="94"/>
  <c r="CB815" i="94"/>
  <c r="CJ815" i="94"/>
  <c r="CR815" i="94"/>
  <c r="CZ815" i="94"/>
  <c r="DH815" i="94"/>
  <c r="DP815" i="94"/>
  <c r="DX815" i="94"/>
  <c r="LR816" i="94"/>
  <c r="LZ816" i="94"/>
  <c r="MH816" i="94"/>
  <c r="FW811" i="94"/>
  <c r="FY803" i="94"/>
  <c r="DX795" i="94"/>
  <c r="FX787" i="94"/>
  <c r="CC783" i="94"/>
  <c r="DA783" i="94"/>
  <c r="DI783" i="94"/>
  <c r="DY783" i="94"/>
  <c r="A779" i="94"/>
  <c r="IO781" i="94"/>
  <c r="LA781" i="94"/>
  <c r="A782" i="94"/>
  <c r="BP783" i="94"/>
  <c r="BX783" i="94"/>
  <c r="CF783" i="94"/>
  <c r="CN783" i="94"/>
  <c r="CV783" i="94"/>
  <c r="DD783" i="94"/>
  <c r="DL783" i="94"/>
  <c r="DT783" i="94"/>
  <c r="EB783" i="94"/>
  <c r="FX783" i="94"/>
  <c r="A784" i="94"/>
  <c r="BR791" i="94"/>
  <c r="BZ791" i="94"/>
  <c r="CH791" i="94"/>
  <c r="CP791" i="94"/>
  <c r="CX791" i="94"/>
  <c r="DF791" i="94"/>
  <c r="DN791" i="94"/>
  <c r="DV791" i="94"/>
  <c r="FZ791" i="94"/>
  <c r="BL799" i="94"/>
  <c r="BT799" i="94"/>
  <c r="CB799" i="94"/>
  <c r="CJ799" i="94"/>
  <c r="CR799" i="94"/>
  <c r="CZ799" i="94"/>
  <c r="DH799" i="94"/>
  <c r="DP799" i="94"/>
  <c r="DX799" i="94"/>
  <c r="BL807" i="94"/>
  <c r="BT807" i="94"/>
  <c r="CB807" i="94"/>
  <c r="CJ807" i="94"/>
  <c r="CR807" i="94"/>
  <c r="CZ807" i="94"/>
  <c r="DH807" i="94"/>
  <c r="DP807" i="94"/>
  <c r="DX807" i="94"/>
  <c r="BM815" i="94"/>
  <c r="BU815" i="94"/>
  <c r="CC815" i="94"/>
  <c r="CK815" i="94"/>
  <c r="CS815" i="94"/>
  <c r="DA815" i="94"/>
  <c r="DI815" i="94"/>
  <c r="DQ815" i="94"/>
  <c r="DY815" i="94"/>
  <c r="BM783" i="94"/>
  <c r="IW781" i="94"/>
  <c r="LI781" i="94"/>
  <c r="BQ783" i="94"/>
  <c r="BY783" i="94"/>
  <c r="CG783" i="94"/>
  <c r="CO783" i="94"/>
  <c r="CW783" i="94"/>
  <c r="DE783" i="94"/>
  <c r="DM783" i="94"/>
  <c r="DU783" i="94"/>
  <c r="EC783" i="94"/>
  <c r="BS791" i="94"/>
  <c r="CA791" i="94"/>
  <c r="CI791" i="94"/>
  <c r="CQ791" i="94"/>
  <c r="CY791" i="94"/>
  <c r="DG791" i="94"/>
  <c r="DO791" i="94"/>
  <c r="DW791" i="94"/>
  <c r="IX791" i="94"/>
  <c r="BM799" i="94"/>
  <c r="BU799" i="94"/>
  <c r="CC799" i="94"/>
  <c r="CK799" i="94"/>
  <c r="CS799" i="94"/>
  <c r="DA799" i="94"/>
  <c r="DI799" i="94"/>
  <c r="DQ799" i="94"/>
  <c r="BM807" i="94"/>
  <c r="BU807" i="94"/>
  <c r="CC807" i="94"/>
  <c r="CK807" i="94"/>
  <c r="CS807" i="94"/>
  <c r="DA807" i="94"/>
  <c r="DI807" i="94"/>
  <c r="DQ807" i="94"/>
  <c r="BN815" i="94"/>
  <c r="BV815" i="94"/>
  <c r="CD815" i="94"/>
  <c r="CL815" i="94"/>
  <c r="CT815" i="94"/>
  <c r="DB815" i="94"/>
  <c r="DJ815" i="94"/>
  <c r="DR815" i="94"/>
  <c r="MB816" i="94"/>
  <c r="MJ816" i="94"/>
  <c r="P891" i="94"/>
  <c r="NB803" i="94"/>
  <c r="NA803" i="94"/>
  <c r="LM803" i="94"/>
  <c r="LE803" i="94"/>
  <c r="KW803" i="94"/>
  <c r="KO803" i="94"/>
  <c r="KG803" i="94"/>
  <c r="JY803" i="94"/>
  <c r="MZ803" i="94"/>
  <c r="NC803" i="94"/>
  <c r="LP803" i="94"/>
  <c r="LG803" i="94"/>
  <c r="KX803" i="94"/>
  <c r="KN803" i="94"/>
  <c r="KE803" i="94"/>
  <c r="JV803" i="94"/>
  <c r="JN803" i="94"/>
  <c r="JF803" i="94"/>
  <c r="IX803" i="94"/>
  <c r="IP803" i="94"/>
  <c r="IH803" i="94"/>
  <c r="LO803" i="94"/>
  <c r="LF803" i="94"/>
  <c r="KV803" i="94"/>
  <c r="KM803" i="94"/>
  <c r="KD803" i="94"/>
  <c r="JU803" i="94"/>
  <c r="JM803" i="94"/>
  <c r="JE803" i="94"/>
  <c r="IW803" i="94"/>
  <c r="IO803" i="94"/>
  <c r="IG803" i="94"/>
  <c r="LN803" i="94"/>
  <c r="LD803" i="94"/>
  <c r="KU803" i="94"/>
  <c r="KL803" i="94"/>
  <c r="KC803" i="94"/>
  <c r="JT803" i="94"/>
  <c r="JL803" i="94"/>
  <c r="JD803" i="94"/>
  <c r="IV803" i="94"/>
  <c r="IN803" i="94"/>
  <c r="IF803" i="94"/>
  <c r="LL803" i="94"/>
  <c r="LC803" i="94"/>
  <c r="KT803" i="94"/>
  <c r="KK803" i="94"/>
  <c r="KB803" i="94"/>
  <c r="JS803" i="94"/>
  <c r="JK803" i="94"/>
  <c r="JC803" i="94"/>
  <c r="IU803" i="94"/>
  <c r="IM803" i="94"/>
  <c r="IE803" i="94"/>
  <c r="A803" i="94"/>
  <c r="LK803" i="94"/>
  <c r="LB803" i="94"/>
  <c r="KS803" i="94"/>
  <c r="KJ803" i="94"/>
  <c r="KA803" i="94"/>
  <c r="JR803" i="94"/>
  <c r="JJ803" i="94"/>
  <c r="JB803" i="94"/>
  <c r="IT803" i="94"/>
  <c r="IL803" i="94"/>
  <c r="LJ803" i="94"/>
  <c r="LA803" i="94"/>
  <c r="KR803" i="94"/>
  <c r="KI803" i="94"/>
  <c r="JZ803" i="94"/>
  <c r="JQ803" i="94"/>
  <c r="JI803" i="94"/>
  <c r="JA803" i="94"/>
  <c r="IS803" i="94"/>
  <c r="IK803" i="94"/>
  <c r="LI803" i="94"/>
  <c r="KZ803" i="94"/>
  <c r="KQ803" i="94"/>
  <c r="KH803" i="94"/>
  <c r="JX803" i="94"/>
  <c r="JP803" i="94"/>
  <c r="JH803" i="94"/>
  <c r="IZ803" i="94"/>
  <c r="IR803" i="94"/>
  <c r="IJ803" i="94"/>
  <c r="KF803" i="94"/>
  <c r="JW803" i="94"/>
  <c r="JO803" i="94"/>
  <c r="JG803" i="94"/>
  <c r="IY803" i="94"/>
  <c r="LH803" i="94"/>
  <c r="IQ803" i="94"/>
  <c r="ND803" i="94"/>
  <c r="KY803" i="94"/>
  <c r="II803" i="94"/>
  <c r="ND787" i="94"/>
  <c r="LP787" i="94"/>
  <c r="LH787" i="94"/>
  <c r="KZ787" i="94"/>
  <c r="KR787" i="94"/>
  <c r="KJ787" i="94"/>
  <c r="KB787" i="94"/>
  <c r="JT787" i="94"/>
  <c r="JL787" i="94"/>
  <c r="JD787" i="94"/>
  <c r="IV787" i="94"/>
  <c r="IN787" i="94"/>
  <c r="IF787" i="94"/>
  <c r="NC787" i="94"/>
  <c r="LO787" i="94"/>
  <c r="LG787" i="94"/>
  <c r="KY787" i="94"/>
  <c r="KQ787" i="94"/>
  <c r="KI787" i="94"/>
  <c r="KA787" i="94"/>
  <c r="JS787" i="94"/>
  <c r="JK787" i="94"/>
  <c r="JC787" i="94"/>
  <c r="IU787" i="94"/>
  <c r="IM787" i="94"/>
  <c r="IE787" i="94"/>
  <c r="A787" i="94"/>
  <c r="NB787" i="94"/>
  <c r="LN787" i="94"/>
  <c r="LF787" i="94"/>
  <c r="KX787" i="94"/>
  <c r="KP787" i="94"/>
  <c r="KH787" i="94"/>
  <c r="JZ787" i="94"/>
  <c r="JR787" i="94"/>
  <c r="JJ787" i="94"/>
  <c r="JB787" i="94"/>
  <c r="IT787" i="94"/>
  <c r="IL787" i="94"/>
  <c r="NA787" i="94"/>
  <c r="LM787" i="94"/>
  <c r="LE787" i="94"/>
  <c r="KW787" i="94"/>
  <c r="KO787" i="94"/>
  <c r="KG787" i="94"/>
  <c r="JY787" i="94"/>
  <c r="JQ787" i="94"/>
  <c r="JI787" i="94"/>
  <c r="JA787" i="94"/>
  <c r="IS787" i="94"/>
  <c r="IK787" i="94"/>
  <c r="MZ787" i="94"/>
  <c r="LL787" i="94"/>
  <c r="LD787" i="94"/>
  <c r="KV787" i="94"/>
  <c r="KN787" i="94"/>
  <c r="KF787" i="94"/>
  <c r="JX787" i="94"/>
  <c r="JP787" i="94"/>
  <c r="JH787" i="94"/>
  <c r="IZ787" i="94"/>
  <c r="IR787" i="94"/>
  <c r="IJ787" i="94"/>
  <c r="LK787" i="94"/>
  <c r="LC787" i="94"/>
  <c r="KU787" i="94"/>
  <c r="KM787" i="94"/>
  <c r="KE787" i="94"/>
  <c r="JW787" i="94"/>
  <c r="JO787" i="94"/>
  <c r="JG787" i="94"/>
  <c r="IY787" i="94"/>
  <c r="IQ787" i="94"/>
  <c r="II787" i="94"/>
  <c r="LJ787" i="94"/>
  <c r="LB787" i="94"/>
  <c r="KT787" i="94"/>
  <c r="KL787" i="94"/>
  <c r="KD787" i="94"/>
  <c r="JV787" i="94"/>
  <c r="JN787" i="94"/>
  <c r="JF787" i="94"/>
  <c r="IX787" i="94"/>
  <c r="IP787" i="94"/>
  <c r="IH787" i="94"/>
  <c r="IH781" i="94"/>
  <c r="KD781" i="94"/>
  <c r="IQ783" i="94"/>
  <c r="JG783" i="94"/>
  <c r="JW783" i="94"/>
  <c r="KM783" i="94"/>
  <c r="LC783" i="94"/>
  <c r="JR785" i="94"/>
  <c r="KK787" i="94"/>
  <c r="JF791" i="94"/>
  <c r="LJ793" i="94"/>
  <c r="ND813" i="94"/>
  <c r="LP813" i="94"/>
  <c r="LH813" i="94"/>
  <c r="KZ813" i="94"/>
  <c r="KR813" i="94"/>
  <c r="KJ813" i="94"/>
  <c r="KB813" i="94"/>
  <c r="JT813" i="94"/>
  <c r="JL813" i="94"/>
  <c r="JD813" i="94"/>
  <c r="IV813" i="94"/>
  <c r="IN813" i="94"/>
  <c r="IF813" i="94"/>
  <c r="NC813" i="94"/>
  <c r="LO813" i="94"/>
  <c r="LG813" i="94"/>
  <c r="KY813" i="94"/>
  <c r="KQ813" i="94"/>
  <c r="KI813" i="94"/>
  <c r="KA813" i="94"/>
  <c r="JS813" i="94"/>
  <c r="JK813" i="94"/>
  <c r="JC813" i="94"/>
  <c r="IU813" i="94"/>
  <c r="IM813" i="94"/>
  <c r="IE813" i="94"/>
  <c r="NB813" i="94"/>
  <c r="LN813" i="94"/>
  <c r="LF813" i="94"/>
  <c r="KX813" i="94"/>
  <c r="KP813" i="94"/>
  <c r="KH813" i="94"/>
  <c r="JZ813" i="94"/>
  <c r="JR813" i="94"/>
  <c r="JJ813" i="94"/>
  <c r="JB813" i="94"/>
  <c r="IT813" i="94"/>
  <c r="IL813" i="94"/>
  <c r="A813" i="94"/>
  <c r="NA813" i="94"/>
  <c r="LM813" i="94"/>
  <c r="LE813" i="94"/>
  <c r="KW813" i="94"/>
  <c r="KO813" i="94"/>
  <c r="KG813" i="94"/>
  <c r="JY813" i="94"/>
  <c r="JQ813" i="94"/>
  <c r="JI813" i="94"/>
  <c r="JA813" i="94"/>
  <c r="IS813" i="94"/>
  <c r="IK813" i="94"/>
  <c r="MZ813" i="94"/>
  <c r="LL813" i="94"/>
  <c r="LD813" i="94"/>
  <c r="KV813" i="94"/>
  <c r="KN813" i="94"/>
  <c r="KF813" i="94"/>
  <c r="JX813" i="94"/>
  <c r="JP813" i="94"/>
  <c r="JH813" i="94"/>
  <c r="IZ813" i="94"/>
  <c r="IR813" i="94"/>
  <c r="IJ813" i="94"/>
  <c r="LK813" i="94"/>
  <c r="LC813" i="94"/>
  <c r="KU813" i="94"/>
  <c r="KM813" i="94"/>
  <c r="KE813" i="94"/>
  <c r="JW813" i="94"/>
  <c r="JO813" i="94"/>
  <c r="JG813" i="94"/>
  <c r="IY813" i="94"/>
  <c r="IQ813" i="94"/>
  <c r="II813" i="94"/>
  <c r="LJ813" i="94"/>
  <c r="LB813" i="94"/>
  <c r="KT813" i="94"/>
  <c r="KL813" i="94"/>
  <c r="KD813" i="94"/>
  <c r="JV813" i="94"/>
  <c r="JN813" i="94"/>
  <c r="JF813" i="94"/>
  <c r="IX813" i="94"/>
  <c r="IP813" i="94"/>
  <c r="IH813" i="94"/>
  <c r="KK813" i="94"/>
  <c r="KC813" i="94"/>
  <c r="JU813" i="94"/>
  <c r="JM813" i="94"/>
  <c r="JE813" i="94"/>
  <c r="LI813" i="94"/>
  <c r="IW813" i="94"/>
  <c r="LA813" i="94"/>
  <c r="IO813" i="94"/>
  <c r="KS813" i="94"/>
  <c r="IG813" i="94"/>
  <c r="NC801" i="94"/>
  <c r="LO801" i="94"/>
  <c r="LG801" i="94"/>
  <c r="KY801" i="94"/>
  <c r="KQ801" i="94"/>
  <c r="KI801" i="94"/>
  <c r="KA801" i="94"/>
  <c r="JS801" i="94"/>
  <c r="JK801" i="94"/>
  <c r="JC801" i="94"/>
  <c r="IU801" i="94"/>
  <c r="IM801" i="94"/>
  <c r="IE801" i="94"/>
  <c r="NB801" i="94"/>
  <c r="LN801" i="94"/>
  <c r="LF801" i="94"/>
  <c r="KX801" i="94"/>
  <c r="KP801" i="94"/>
  <c r="KH801" i="94"/>
  <c r="JZ801" i="94"/>
  <c r="JR801" i="94"/>
  <c r="JJ801" i="94"/>
  <c r="JB801" i="94"/>
  <c r="IT801" i="94"/>
  <c r="IL801" i="94"/>
  <c r="A801" i="94"/>
  <c r="NA801" i="94"/>
  <c r="LM801" i="94"/>
  <c r="LE801" i="94"/>
  <c r="KW801" i="94"/>
  <c r="KO801" i="94"/>
  <c r="KG801" i="94"/>
  <c r="JY801" i="94"/>
  <c r="JQ801" i="94"/>
  <c r="JI801" i="94"/>
  <c r="JA801" i="94"/>
  <c r="IS801" i="94"/>
  <c r="IK801" i="94"/>
  <c r="MZ801" i="94"/>
  <c r="LL801" i="94"/>
  <c r="LD801" i="94"/>
  <c r="KV801" i="94"/>
  <c r="KN801" i="94"/>
  <c r="KF801" i="94"/>
  <c r="JX801" i="94"/>
  <c r="JP801" i="94"/>
  <c r="JH801" i="94"/>
  <c r="IZ801" i="94"/>
  <c r="IR801" i="94"/>
  <c r="IJ801" i="94"/>
  <c r="LK801" i="94"/>
  <c r="LC801" i="94"/>
  <c r="KU801" i="94"/>
  <c r="KM801" i="94"/>
  <c r="KE801" i="94"/>
  <c r="JW801" i="94"/>
  <c r="JO801" i="94"/>
  <c r="JG801" i="94"/>
  <c r="IY801" i="94"/>
  <c r="IQ801" i="94"/>
  <c r="II801" i="94"/>
  <c r="LJ801" i="94"/>
  <c r="LB801" i="94"/>
  <c r="KT801" i="94"/>
  <c r="KL801" i="94"/>
  <c r="KD801" i="94"/>
  <c r="JV801" i="94"/>
  <c r="JN801" i="94"/>
  <c r="JF801" i="94"/>
  <c r="IX801" i="94"/>
  <c r="IP801" i="94"/>
  <c r="IH801" i="94"/>
  <c r="LI801" i="94"/>
  <c r="LA801" i="94"/>
  <c r="KS801" i="94"/>
  <c r="KK801" i="94"/>
  <c r="KC801" i="94"/>
  <c r="JU801" i="94"/>
  <c r="JM801" i="94"/>
  <c r="JE801" i="94"/>
  <c r="IW801" i="94"/>
  <c r="IO801" i="94"/>
  <c r="IG801" i="94"/>
  <c r="LP801" i="94"/>
  <c r="JD801" i="94"/>
  <c r="ND801" i="94"/>
  <c r="LH801" i="94"/>
  <c r="IV801" i="94"/>
  <c r="KZ801" i="94"/>
  <c r="IN801" i="94"/>
  <c r="KR801" i="94"/>
  <c r="IF801" i="94"/>
  <c r="KJ801" i="94"/>
  <c r="KB801" i="94"/>
  <c r="JT801" i="94"/>
  <c r="NA797" i="94"/>
  <c r="LM797" i="94"/>
  <c r="LE797" i="94"/>
  <c r="KW797" i="94"/>
  <c r="KO797" i="94"/>
  <c r="KG797" i="94"/>
  <c r="JY797" i="94"/>
  <c r="JQ797" i="94"/>
  <c r="JI797" i="94"/>
  <c r="JA797" i="94"/>
  <c r="IS797" i="94"/>
  <c r="IK797" i="94"/>
  <c r="MZ797" i="94"/>
  <c r="LL797" i="94"/>
  <c r="LD797" i="94"/>
  <c r="KV797" i="94"/>
  <c r="KN797" i="94"/>
  <c r="KF797" i="94"/>
  <c r="JX797" i="94"/>
  <c r="JP797" i="94"/>
  <c r="JH797" i="94"/>
  <c r="IZ797" i="94"/>
  <c r="IR797" i="94"/>
  <c r="IJ797" i="94"/>
  <c r="LK797" i="94"/>
  <c r="LC797" i="94"/>
  <c r="KU797" i="94"/>
  <c r="KM797" i="94"/>
  <c r="KE797" i="94"/>
  <c r="JW797" i="94"/>
  <c r="JO797" i="94"/>
  <c r="JG797" i="94"/>
  <c r="IY797" i="94"/>
  <c r="IQ797" i="94"/>
  <c r="II797" i="94"/>
  <c r="LJ797" i="94"/>
  <c r="LB797" i="94"/>
  <c r="KT797" i="94"/>
  <c r="KL797" i="94"/>
  <c r="KD797" i="94"/>
  <c r="JV797" i="94"/>
  <c r="JN797" i="94"/>
  <c r="JF797" i="94"/>
  <c r="IX797" i="94"/>
  <c r="IP797" i="94"/>
  <c r="IH797" i="94"/>
  <c r="LI797" i="94"/>
  <c r="LA797" i="94"/>
  <c r="KS797" i="94"/>
  <c r="ND797" i="94"/>
  <c r="LP797" i="94"/>
  <c r="LH797" i="94"/>
  <c r="KZ797" i="94"/>
  <c r="KR797" i="94"/>
  <c r="KJ797" i="94"/>
  <c r="KB797" i="94"/>
  <c r="JT797" i="94"/>
  <c r="JL797" i="94"/>
  <c r="JD797" i="94"/>
  <c r="IV797" i="94"/>
  <c r="IN797" i="94"/>
  <c r="IF797" i="94"/>
  <c r="NC797" i="94"/>
  <c r="LO797" i="94"/>
  <c r="LG797" i="94"/>
  <c r="KY797" i="94"/>
  <c r="KQ797" i="94"/>
  <c r="KI797" i="94"/>
  <c r="KA797" i="94"/>
  <c r="JS797" i="94"/>
  <c r="JK797" i="94"/>
  <c r="JC797" i="94"/>
  <c r="IU797" i="94"/>
  <c r="IM797" i="94"/>
  <c r="IE797" i="94"/>
  <c r="LF797" i="94"/>
  <c r="JR797" i="94"/>
  <c r="IL797" i="94"/>
  <c r="KX797" i="94"/>
  <c r="JM797" i="94"/>
  <c r="IG797" i="94"/>
  <c r="KP797" i="94"/>
  <c r="JJ797" i="94"/>
  <c r="A797" i="94"/>
  <c r="KK797" i="94"/>
  <c r="JE797" i="94"/>
  <c r="KH797" i="94"/>
  <c r="JB797" i="94"/>
  <c r="KC797" i="94"/>
  <c r="IW797" i="94"/>
  <c r="JZ797" i="94"/>
  <c r="IT797" i="94"/>
  <c r="LJ789" i="94"/>
  <c r="LB789" i="94"/>
  <c r="KT789" i="94"/>
  <c r="KL789" i="94"/>
  <c r="KD789" i="94"/>
  <c r="JV789" i="94"/>
  <c r="JN789" i="94"/>
  <c r="JF789" i="94"/>
  <c r="IX789" i="94"/>
  <c r="IP789" i="94"/>
  <c r="IH789" i="94"/>
  <c r="LI789" i="94"/>
  <c r="LA789" i="94"/>
  <c r="KS789" i="94"/>
  <c r="KK789" i="94"/>
  <c r="KC789" i="94"/>
  <c r="JU789" i="94"/>
  <c r="JM789" i="94"/>
  <c r="JE789" i="94"/>
  <c r="IW789" i="94"/>
  <c r="IO789" i="94"/>
  <c r="IG789" i="94"/>
  <c r="ND789" i="94"/>
  <c r="LP789" i="94"/>
  <c r="LH789" i="94"/>
  <c r="KZ789" i="94"/>
  <c r="KR789" i="94"/>
  <c r="KJ789" i="94"/>
  <c r="KB789" i="94"/>
  <c r="JT789" i="94"/>
  <c r="JL789" i="94"/>
  <c r="JD789" i="94"/>
  <c r="IV789" i="94"/>
  <c r="IN789" i="94"/>
  <c r="IF789" i="94"/>
  <c r="NC789" i="94"/>
  <c r="LO789" i="94"/>
  <c r="LG789" i="94"/>
  <c r="KY789" i="94"/>
  <c r="KQ789" i="94"/>
  <c r="KI789" i="94"/>
  <c r="KA789" i="94"/>
  <c r="JS789" i="94"/>
  <c r="JK789" i="94"/>
  <c r="JC789" i="94"/>
  <c r="IU789" i="94"/>
  <c r="IM789" i="94"/>
  <c r="IE789" i="94"/>
  <c r="NB789" i="94"/>
  <c r="LN789" i="94"/>
  <c r="LF789" i="94"/>
  <c r="KX789" i="94"/>
  <c r="KP789" i="94"/>
  <c r="KH789" i="94"/>
  <c r="JZ789" i="94"/>
  <c r="JR789" i="94"/>
  <c r="JJ789" i="94"/>
  <c r="JB789" i="94"/>
  <c r="IT789" i="94"/>
  <c r="IL789" i="94"/>
  <c r="A789" i="94"/>
  <c r="NA789" i="94"/>
  <c r="LM789" i="94"/>
  <c r="LE789" i="94"/>
  <c r="KW789" i="94"/>
  <c r="KO789" i="94"/>
  <c r="KG789" i="94"/>
  <c r="JY789" i="94"/>
  <c r="JQ789" i="94"/>
  <c r="JI789" i="94"/>
  <c r="JA789" i="94"/>
  <c r="IS789" i="94"/>
  <c r="IK789" i="94"/>
  <c r="MZ789" i="94"/>
  <c r="LL789" i="94"/>
  <c r="LD789" i="94"/>
  <c r="KV789" i="94"/>
  <c r="KN789" i="94"/>
  <c r="KF789" i="94"/>
  <c r="JX789" i="94"/>
  <c r="JP789" i="94"/>
  <c r="JH789" i="94"/>
  <c r="IZ789" i="94"/>
  <c r="IR789" i="94"/>
  <c r="IJ789" i="94"/>
  <c r="LB781" i="94"/>
  <c r="KE781" i="94"/>
  <c r="IR783" i="94"/>
  <c r="JH783" i="94"/>
  <c r="JX783" i="94"/>
  <c r="KN783" i="94"/>
  <c r="LD783" i="94"/>
  <c r="JZ785" i="94"/>
  <c r="IG787" i="94"/>
  <c r="KS787" i="94"/>
  <c r="JO789" i="94"/>
  <c r="JN791" i="94"/>
  <c r="JC795" i="94"/>
  <c r="JL801" i="94"/>
  <c r="MZ809" i="94"/>
  <c r="LL809" i="94"/>
  <c r="LD809" i="94"/>
  <c r="KV809" i="94"/>
  <c r="KN809" i="94"/>
  <c r="KF809" i="94"/>
  <c r="JX809" i="94"/>
  <c r="JP809" i="94"/>
  <c r="JH809" i="94"/>
  <c r="IZ809" i="94"/>
  <c r="IR809" i="94"/>
  <c r="IJ809" i="94"/>
  <c r="LK809" i="94"/>
  <c r="LC809" i="94"/>
  <c r="KU809" i="94"/>
  <c r="KM809" i="94"/>
  <c r="KE809" i="94"/>
  <c r="JW809" i="94"/>
  <c r="JO809" i="94"/>
  <c r="JG809" i="94"/>
  <c r="IY809" i="94"/>
  <c r="IQ809" i="94"/>
  <c r="II809" i="94"/>
  <c r="LJ809" i="94"/>
  <c r="LB809" i="94"/>
  <c r="KT809" i="94"/>
  <c r="KL809" i="94"/>
  <c r="KD809" i="94"/>
  <c r="JV809" i="94"/>
  <c r="JN809" i="94"/>
  <c r="JF809" i="94"/>
  <c r="IX809" i="94"/>
  <c r="IP809" i="94"/>
  <c r="IH809" i="94"/>
  <c r="LI809" i="94"/>
  <c r="LA809" i="94"/>
  <c r="KS809" i="94"/>
  <c r="KK809" i="94"/>
  <c r="KC809" i="94"/>
  <c r="JU809" i="94"/>
  <c r="JM809" i="94"/>
  <c r="JE809" i="94"/>
  <c r="IW809" i="94"/>
  <c r="IO809" i="94"/>
  <c r="IG809" i="94"/>
  <c r="ND809" i="94"/>
  <c r="LP809" i="94"/>
  <c r="LH809" i="94"/>
  <c r="KZ809" i="94"/>
  <c r="KR809" i="94"/>
  <c r="KJ809" i="94"/>
  <c r="KB809" i="94"/>
  <c r="JT809" i="94"/>
  <c r="JL809" i="94"/>
  <c r="JD809" i="94"/>
  <c r="IV809" i="94"/>
  <c r="IN809" i="94"/>
  <c r="IF809" i="94"/>
  <c r="NC809" i="94"/>
  <c r="LO809" i="94"/>
  <c r="LG809" i="94"/>
  <c r="KY809" i="94"/>
  <c r="KQ809" i="94"/>
  <c r="KI809" i="94"/>
  <c r="KA809" i="94"/>
  <c r="JS809" i="94"/>
  <c r="JK809" i="94"/>
  <c r="JC809" i="94"/>
  <c r="IU809" i="94"/>
  <c r="IM809" i="94"/>
  <c r="IE809" i="94"/>
  <c r="NB809" i="94"/>
  <c r="LN809" i="94"/>
  <c r="LF809" i="94"/>
  <c r="KX809" i="94"/>
  <c r="KP809" i="94"/>
  <c r="KH809" i="94"/>
  <c r="JZ809" i="94"/>
  <c r="JR809" i="94"/>
  <c r="JJ809" i="94"/>
  <c r="JB809" i="94"/>
  <c r="IT809" i="94"/>
  <c r="IL809" i="94"/>
  <c r="A809" i="94"/>
  <c r="JI809" i="94"/>
  <c r="NA809" i="94"/>
  <c r="LM809" i="94"/>
  <c r="JA809" i="94"/>
  <c r="LE809" i="94"/>
  <c r="IS809" i="94"/>
  <c r="KW809" i="94"/>
  <c r="IK809" i="94"/>
  <c r="KO809" i="94"/>
  <c r="KG809" i="94"/>
  <c r="JY809" i="94"/>
  <c r="JQ809" i="94"/>
  <c r="MZ783" i="94"/>
  <c r="LL783" i="94"/>
  <c r="LI783" i="94"/>
  <c r="LA783" i="94"/>
  <c r="KS783" i="94"/>
  <c r="KK783" i="94"/>
  <c r="KC783" i="94"/>
  <c r="JU783" i="94"/>
  <c r="JM783" i="94"/>
  <c r="JE783" i="94"/>
  <c r="IW783" i="94"/>
  <c r="IO783" i="94"/>
  <c r="IG783" i="94"/>
  <c r="ND783" i="94"/>
  <c r="LP783" i="94"/>
  <c r="LH783" i="94"/>
  <c r="KZ783" i="94"/>
  <c r="KR783" i="94"/>
  <c r="KJ783" i="94"/>
  <c r="KB783" i="94"/>
  <c r="JT783" i="94"/>
  <c r="JL783" i="94"/>
  <c r="JD783" i="94"/>
  <c r="IV783" i="94"/>
  <c r="IN783" i="94"/>
  <c r="IF783" i="94"/>
  <c r="NC783" i="94"/>
  <c r="LO783" i="94"/>
  <c r="LG783" i="94"/>
  <c r="KY783" i="94"/>
  <c r="KQ783" i="94"/>
  <c r="KI783" i="94"/>
  <c r="KA783" i="94"/>
  <c r="JS783" i="94"/>
  <c r="JK783" i="94"/>
  <c r="JC783" i="94"/>
  <c r="IU783" i="94"/>
  <c r="IM783" i="94"/>
  <c r="NB783" i="94"/>
  <c r="LN783" i="94"/>
  <c r="LF783" i="94"/>
  <c r="KX783" i="94"/>
  <c r="KP783" i="94"/>
  <c r="KH783" i="94"/>
  <c r="JZ783" i="94"/>
  <c r="JR783" i="94"/>
  <c r="JJ783" i="94"/>
  <c r="JB783" i="94"/>
  <c r="IT783" i="94"/>
  <c r="IL783" i="94"/>
  <c r="A783" i="94"/>
  <c r="JN781" i="94"/>
  <c r="KT781" i="94"/>
  <c r="IQ781" i="94"/>
  <c r="KU781" i="94"/>
  <c r="IJ781" i="94"/>
  <c r="IR781" i="94"/>
  <c r="IZ781" i="94"/>
  <c r="JH781" i="94"/>
  <c r="JP781" i="94"/>
  <c r="JX781" i="94"/>
  <c r="KF781" i="94"/>
  <c r="KN781" i="94"/>
  <c r="KV781" i="94"/>
  <c r="LD781" i="94"/>
  <c r="LL781" i="94"/>
  <c r="MZ781" i="94"/>
  <c r="IE783" i="94"/>
  <c r="IS783" i="94"/>
  <c r="JI783" i="94"/>
  <c r="JY783" i="94"/>
  <c r="KO783" i="94"/>
  <c r="LE783" i="94"/>
  <c r="KH785" i="94"/>
  <c r="IO787" i="94"/>
  <c r="LA787" i="94"/>
  <c r="JW789" i="94"/>
  <c r="JV791" i="94"/>
  <c r="KI795" i="94"/>
  <c r="MZ795" i="94"/>
  <c r="KP803" i="94"/>
  <c r="LJ815" i="94"/>
  <c r="LB815" i="94"/>
  <c r="KT815" i="94"/>
  <c r="KL815" i="94"/>
  <c r="KD815" i="94"/>
  <c r="JV815" i="94"/>
  <c r="JN815" i="94"/>
  <c r="JF815" i="94"/>
  <c r="IX815" i="94"/>
  <c r="IP815" i="94"/>
  <c r="IH815" i="94"/>
  <c r="LI815" i="94"/>
  <c r="LA815" i="94"/>
  <c r="KS815" i="94"/>
  <c r="KK815" i="94"/>
  <c r="KC815" i="94"/>
  <c r="JU815" i="94"/>
  <c r="JM815" i="94"/>
  <c r="JE815" i="94"/>
  <c r="IW815" i="94"/>
  <c r="IO815" i="94"/>
  <c r="IG815" i="94"/>
  <c r="ND815" i="94"/>
  <c r="LP815" i="94"/>
  <c r="LH815" i="94"/>
  <c r="KZ815" i="94"/>
  <c r="KR815" i="94"/>
  <c r="KJ815" i="94"/>
  <c r="KB815" i="94"/>
  <c r="JT815" i="94"/>
  <c r="JL815" i="94"/>
  <c r="JD815" i="94"/>
  <c r="IV815" i="94"/>
  <c r="IN815" i="94"/>
  <c r="IF815" i="94"/>
  <c r="NC815" i="94"/>
  <c r="LO815" i="94"/>
  <c r="LG815" i="94"/>
  <c r="KY815" i="94"/>
  <c r="KQ815" i="94"/>
  <c r="KI815" i="94"/>
  <c r="KA815" i="94"/>
  <c r="JS815" i="94"/>
  <c r="JK815" i="94"/>
  <c r="JC815" i="94"/>
  <c r="IU815" i="94"/>
  <c r="IM815" i="94"/>
  <c r="IE815" i="94"/>
  <c r="NB815" i="94"/>
  <c r="LN815" i="94"/>
  <c r="LF815" i="94"/>
  <c r="KX815" i="94"/>
  <c r="KP815" i="94"/>
  <c r="KH815" i="94"/>
  <c r="JZ815" i="94"/>
  <c r="JR815" i="94"/>
  <c r="JJ815" i="94"/>
  <c r="JB815" i="94"/>
  <c r="IT815" i="94"/>
  <c r="IL815" i="94"/>
  <c r="A815" i="94"/>
  <c r="NA815" i="94"/>
  <c r="LM815" i="94"/>
  <c r="LE815" i="94"/>
  <c r="KW815" i="94"/>
  <c r="KO815" i="94"/>
  <c r="KG815" i="94"/>
  <c r="JY815" i="94"/>
  <c r="JQ815" i="94"/>
  <c r="JI815" i="94"/>
  <c r="JA815" i="94"/>
  <c r="IS815" i="94"/>
  <c r="IK815" i="94"/>
  <c r="MZ815" i="94"/>
  <c r="LL815" i="94"/>
  <c r="LD815" i="94"/>
  <c r="KV815" i="94"/>
  <c r="KN815" i="94"/>
  <c r="KF815" i="94"/>
  <c r="JX815" i="94"/>
  <c r="JP815" i="94"/>
  <c r="JH815" i="94"/>
  <c r="IZ815" i="94"/>
  <c r="IR815" i="94"/>
  <c r="IJ815" i="94"/>
  <c r="JG815" i="94"/>
  <c r="LK815" i="94"/>
  <c r="IY815" i="94"/>
  <c r="LC815" i="94"/>
  <c r="IQ815" i="94"/>
  <c r="KU815" i="94"/>
  <c r="II815" i="94"/>
  <c r="KM815" i="94"/>
  <c r="KE815" i="94"/>
  <c r="JW815" i="94"/>
  <c r="JO815" i="94"/>
  <c r="NC793" i="94"/>
  <c r="LO793" i="94"/>
  <c r="LG793" i="94"/>
  <c r="KY793" i="94"/>
  <c r="KQ793" i="94"/>
  <c r="KI793" i="94"/>
  <c r="KA793" i="94"/>
  <c r="JS793" i="94"/>
  <c r="JK793" i="94"/>
  <c r="JC793" i="94"/>
  <c r="IU793" i="94"/>
  <c r="NB793" i="94"/>
  <c r="LN793" i="94"/>
  <c r="LF793" i="94"/>
  <c r="KX793" i="94"/>
  <c r="KP793" i="94"/>
  <c r="KH793" i="94"/>
  <c r="JZ793" i="94"/>
  <c r="JR793" i="94"/>
  <c r="JJ793" i="94"/>
  <c r="JB793" i="94"/>
  <c r="IT793" i="94"/>
  <c r="IL793" i="94"/>
  <c r="A793" i="94"/>
  <c r="NA793" i="94"/>
  <c r="LM793" i="94"/>
  <c r="LE793" i="94"/>
  <c r="KW793" i="94"/>
  <c r="KO793" i="94"/>
  <c r="KG793" i="94"/>
  <c r="JY793" i="94"/>
  <c r="JQ793" i="94"/>
  <c r="JI793" i="94"/>
  <c r="JA793" i="94"/>
  <c r="IS793" i="94"/>
  <c r="IK793" i="94"/>
  <c r="LI793" i="94"/>
  <c r="KU793" i="94"/>
  <c r="KJ793" i="94"/>
  <c r="JV793" i="94"/>
  <c r="JH793" i="94"/>
  <c r="IW793" i="94"/>
  <c r="IJ793" i="94"/>
  <c r="ND793" i="94"/>
  <c r="LH793" i="94"/>
  <c r="KT793" i="94"/>
  <c r="KF793" i="94"/>
  <c r="JU793" i="94"/>
  <c r="JG793" i="94"/>
  <c r="IV793" i="94"/>
  <c r="II793" i="94"/>
  <c r="MZ793" i="94"/>
  <c r="LD793" i="94"/>
  <c r="KS793" i="94"/>
  <c r="KE793" i="94"/>
  <c r="JT793" i="94"/>
  <c r="JF793" i="94"/>
  <c r="IR793" i="94"/>
  <c r="IH793" i="94"/>
  <c r="LC793" i="94"/>
  <c r="KR793" i="94"/>
  <c r="KD793" i="94"/>
  <c r="JP793" i="94"/>
  <c r="JE793" i="94"/>
  <c r="IQ793" i="94"/>
  <c r="IG793" i="94"/>
  <c r="LP793" i="94"/>
  <c r="LB793" i="94"/>
  <c r="KN793" i="94"/>
  <c r="KC793" i="94"/>
  <c r="JO793" i="94"/>
  <c r="JD793" i="94"/>
  <c r="IP793" i="94"/>
  <c r="IF793" i="94"/>
  <c r="LL793" i="94"/>
  <c r="LA793" i="94"/>
  <c r="KM793" i="94"/>
  <c r="KB793" i="94"/>
  <c r="JN793" i="94"/>
  <c r="IZ793" i="94"/>
  <c r="IO793" i="94"/>
  <c r="IE793" i="94"/>
  <c r="LK793" i="94"/>
  <c r="KZ793" i="94"/>
  <c r="KL793" i="94"/>
  <c r="JX793" i="94"/>
  <c r="JM793" i="94"/>
  <c r="IY793" i="94"/>
  <c r="IN793" i="94"/>
  <c r="IX781" i="94"/>
  <c r="KL781" i="94"/>
  <c r="JG781" i="94"/>
  <c r="A781" i="94"/>
  <c r="IK781" i="94"/>
  <c r="IS781" i="94"/>
  <c r="JA781" i="94"/>
  <c r="JI781" i="94"/>
  <c r="JQ781" i="94"/>
  <c r="JY781" i="94"/>
  <c r="KG781" i="94"/>
  <c r="KO781" i="94"/>
  <c r="KW781" i="94"/>
  <c r="LE781" i="94"/>
  <c r="LM781" i="94"/>
  <c r="NA781" i="94"/>
  <c r="IH783" i="94"/>
  <c r="IX783" i="94"/>
  <c r="JN783" i="94"/>
  <c r="KD783" i="94"/>
  <c r="KT783" i="94"/>
  <c r="LJ783" i="94"/>
  <c r="IW787" i="94"/>
  <c r="LI787" i="94"/>
  <c r="KE789" i="94"/>
  <c r="KD791" i="94"/>
  <c r="IX793" i="94"/>
  <c r="LI805" i="94"/>
  <c r="LA805" i="94"/>
  <c r="KS805" i="94"/>
  <c r="KK805" i="94"/>
  <c r="KC805" i="94"/>
  <c r="JU805" i="94"/>
  <c r="JM805" i="94"/>
  <c r="JE805" i="94"/>
  <c r="IW805" i="94"/>
  <c r="IO805" i="94"/>
  <c r="IG805" i="94"/>
  <c r="ND805" i="94"/>
  <c r="LP805" i="94"/>
  <c r="LH805" i="94"/>
  <c r="KZ805" i="94"/>
  <c r="KR805" i="94"/>
  <c r="KJ805" i="94"/>
  <c r="KB805" i="94"/>
  <c r="JT805" i="94"/>
  <c r="NC805" i="94"/>
  <c r="LO805" i="94"/>
  <c r="LG805" i="94"/>
  <c r="KY805" i="94"/>
  <c r="KQ805" i="94"/>
  <c r="KI805" i="94"/>
  <c r="KA805" i="94"/>
  <c r="JS805" i="94"/>
  <c r="JK805" i="94"/>
  <c r="JC805" i="94"/>
  <c r="IU805" i="94"/>
  <c r="IM805" i="94"/>
  <c r="IE805" i="94"/>
  <c r="NB805" i="94"/>
  <c r="LN805" i="94"/>
  <c r="LF805" i="94"/>
  <c r="KX805" i="94"/>
  <c r="KP805" i="94"/>
  <c r="KH805" i="94"/>
  <c r="JZ805" i="94"/>
  <c r="JR805" i="94"/>
  <c r="JJ805" i="94"/>
  <c r="JB805" i="94"/>
  <c r="IT805" i="94"/>
  <c r="IL805" i="94"/>
  <c r="A805" i="94"/>
  <c r="NA805" i="94"/>
  <c r="LM805" i="94"/>
  <c r="LE805" i="94"/>
  <c r="KW805" i="94"/>
  <c r="KO805" i="94"/>
  <c r="KG805" i="94"/>
  <c r="JY805" i="94"/>
  <c r="JQ805" i="94"/>
  <c r="JI805" i="94"/>
  <c r="JA805" i="94"/>
  <c r="IS805" i="94"/>
  <c r="IK805" i="94"/>
  <c r="MZ805" i="94"/>
  <c r="LL805" i="94"/>
  <c r="LD805" i="94"/>
  <c r="KV805" i="94"/>
  <c r="KN805" i="94"/>
  <c r="LK805" i="94"/>
  <c r="LC805" i="94"/>
  <c r="KU805" i="94"/>
  <c r="KM805" i="94"/>
  <c r="KE805" i="94"/>
  <c r="JW805" i="94"/>
  <c r="JO805" i="94"/>
  <c r="JG805" i="94"/>
  <c r="IY805" i="94"/>
  <c r="IQ805" i="94"/>
  <c r="II805" i="94"/>
  <c r="KF805" i="94"/>
  <c r="JF805" i="94"/>
  <c r="IJ805" i="94"/>
  <c r="KD805" i="94"/>
  <c r="JD805" i="94"/>
  <c r="IH805" i="94"/>
  <c r="JX805" i="94"/>
  <c r="IZ805" i="94"/>
  <c r="IF805" i="94"/>
  <c r="JV805" i="94"/>
  <c r="IX805" i="94"/>
  <c r="LJ805" i="94"/>
  <c r="JP805" i="94"/>
  <c r="IV805" i="94"/>
  <c r="LB805" i="94"/>
  <c r="JN805" i="94"/>
  <c r="IR805" i="94"/>
  <c r="KT805" i="94"/>
  <c r="JL805" i="94"/>
  <c r="IP805" i="94"/>
  <c r="JH805" i="94"/>
  <c r="IN805" i="94"/>
  <c r="NA785" i="94"/>
  <c r="LM785" i="94"/>
  <c r="LE785" i="94"/>
  <c r="KW785" i="94"/>
  <c r="KO785" i="94"/>
  <c r="KG785" i="94"/>
  <c r="JY785" i="94"/>
  <c r="JQ785" i="94"/>
  <c r="JI785" i="94"/>
  <c r="JA785" i="94"/>
  <c r="IS785" i="94"/>
  <c r="IK785" i="94"/>
  <c r="A785" i="94"/>
  <c r="MZ785" i="94"/>
  <c r="LL785" i="94"/>
  <c r="LD785" i="94"/>
  <c r="KV785" i="94"/>
  <c r="KN785" i="94"/>
  <c r="KF785" i="94"/>
  <c r="JX785" i="94"/>
  <c r="JP785" i="94"/>
  <c r="JH785" i="94"/>
  <c r="IZ785" i="94"/>
  <c r="IR785" i="94"/>
  <c r="IJ785" i="94"/>
  <c r="LK785" i="94"/>
  <c r="LC785" i="94"/>
  <c r="KU785" i="94"/>
  <c r="KM785" i="94"/>
  <c r="KE785" i="94"/>
  <c r="JW785" i="94"/>
  <c r="JO785" i="94"/>
  <c r="JG785" i="94"/>
  <c r="IY785" i="94"/>
  <c r="IQ785" i="94"/>
  <c r="II785" i="94"/>
  <c r="LJ785" i="94"/>
  <c r="LB785" i="94"/>
  <c r="KT785" i="94"/>
  <c r="KL785" i="94"/>
  <c r="KD785" i="94"/>
  <c r="JV785" i="94"/>
  <c r="JN785" i="94"/>
  <c r="JF785" i="94"/>
  <c r="IX785" i="94"/>
  <c r="IP785" i="94"/>
  <c r="IH785" i="94"/>
  <c r="LI785" i="94"/>
  <c r="LA785" i="94"/>
  <c r="KS785" i="94"/>
  <c r="KK785" i="94"/>
  <c r="KC785" i="94"/>
  <c r="JU785" i="94"/>
  <c r="JM785" i="94"/>
  <c r="JE785" i="94"/>
  <c r="IW785" i="94"/>
  <c r="IO785" i="94"/>
  <c r="IG785" i="94"/>
  <c r="ND785" i="94"/>
  <c r="LP785" i="94"/>
  <c r="LH785" i="94"/>
  <c r="KZ785" i="94"/>
  <c r="KR785" i="94"/>
  <c r="KJ785" i="94"/>
  <c r="KB785" i="94"/>
  <c r="JT785" i="94"/>
  <c r="JL785" i="94"/>
  <c r="JD785" i="94"/>
  <c r="IV785" i="94"/>
  <c r="IN785" i="94"/>
  <c r="IF785" i="94"/>
  <c r="NC785" i="94"/>
  <c r="LO785" i="94"/>
  <c r="LG785" i="94"/>
  <c r="KY785" i="94"/>
  <c r="KQ785" i="94"/>
  <c r="KI785" i="94"/>
  <c r="KA785" i="94"/>
  <c r="JS785" i="94"/>
  <c r="JK785" i="94"/>
  <c r="JC785" i="94"/>
  <c r="IU785" i="94"/>
  <c r="IM785" i="94"/>
  <c r="IE785" i="94"/>
  <c r="IP781" i="94"/>
  <c r="JV781" i="94"/>
  <c r="JW781" i="94"/>
  <c r="IL781" i="94"/>
  <c r="IT781" i="94"/>
  <c r="JB781" i="94"/>
  <c r="JJ781" i="94"/>
  <c r="JR781" i="94"/>
  <c r="JZ781" i="94"/>
  <c r="KH781" i="94"/>
  <c r="KP781" i="94"/>
  <c r="KX781" i="94"/>
  <c r="LF781" i="94"/>
  <c r="LN781" i="94"/>
  <c r="NB781" i="94"/>
  <c r="II783" i="94"/>
  <c r="IY783" i="94"/>
  <c r="JO783" i="94"/>
  <c r="KE783" i="94"/>
  <c r="KU783" i="94"/>
  <c r="LK783" i="94"/>
  <c r="IL785" i="94"/>
  <c r="KX785" i="94"/>
  <c r="JE787" i="94"/>
  <c r="KM789" i="94"/>
  <c r="JL793" i="94"/>
  <c r="NC811" i="94"/>
  <c r="LO811" i="94"/>
  <c r="LG811" i="94"/>
  <c r="KY811" i="94"/>
  <c r="KQ811" i="94"/>
  <c r="KI811" i="94"/>
  <c r="KA811" i="94"/>
  <c r="JS811" i="94"/>
  <c r="JK811" i="94"/>
  <c r="JC811" i="94"/>
  <c r="IU811" i="94"/>
  <c r="IM811" i="94"/>
  <c r="IE811" i="94"/>
  <c r="A811" i="94"/>
  <c r="NB811" i="94"/>
  <c r="LN811" i="94"/>
  <c r="LF811" i="94"/>
  <c r="KX811" i="94"/>
  <c r="KP811" i="94"/>
  <c r="KH811" i="94"/>
  <c r="JZ811" i="94"/>
  <c r="JR811" i="94"/>
  <c r="JJ811" i="94"/>
  <c r="JB811" i="94"/>
  <c r="IT811" i="94"/>
  <c r="IL811" i="94"/>
  <c r="NA811" i="94"/>
  <c r="LM811" i="94"/>
  <c r="LE811" i="94"/>
  <c r="KW811" i="94"/>
  <c r="KO811" i="94"/>
  <c r="KG811" i="94"/>
  <c r="JY811" i="94"/>
  <c r="JQ811" i="94"/>
  <c r="JI811" i="94"/>
  <c r="JA811" i="94"/>
  <c r="IS811" i="94"/>
  <c r="IK811" i="94"/>
  <c r="MZ811" i="94"/>
  <c r="LL811" i="94"/>
  <c r="LD811" i="94"/>
  <c r="KV811" i="94"/>
  <c r="KN811" i="94"/>
  <c r="KF811" i="94"/>
  <c r="JX811" i="94"/>
  <c r="JP811" i="94"/>
  <c r="JH811" i="94"/>
  <c r="IZ811" i="94"/>
  <c r="IR811" i="94"/>
  <c r="IJ811" i="94"/>
  <c r="LK811" i="94"/>
  <c r="LC811" i="94"/>
  <c r="KU811" i="94"/>
  <c r="KM811" i="94"/>
  <c r="KE811" i="94"/>
  <c r="JW811" i="94"/>
  <c r="JO811" i="94"/>
  <c r="JG811" i="94"/>
  <c r="IY811" i="94"/>
  <c r="IQ811" i="94"/>
  <c r="II811" i="94"/>
  <c r="LJ811" i="94"/>
  <c r="LB811" i="94"/>
  <c r="KT811" i="94"/>
  <c r="KL811" i="94"/>
  <c r="KD811" i="94"/>
  <c r="JV811" i="94"/>
  <c r="JN811" i="94"/>
  <c r="JF811" i="94"/>
  <c r="IX811" i="94"/>
  <c r="IP811" i="94"/>
  <c r="IH811" i="94"/>
  <c r="LI811" i="94"/>
  <c r="LA811" i="94"/>
  <c r="KS811" i="94"/>
  <c r="KK811" i="94"/>
  <c r="KC811" i="94"/>
  <c r="JU811" i="94"/>
  <c r="JM811" i="94"/>
  <c r="JE811" i="94"/>
  <c r="IW811" i="94"/>
  <c r="IO811" i="94"/>
  <c r="IG811" i="94"/>
  <c r="KB811" i="94"/>
  <c r="JT811" i="94"/>
  <c r="JL811" i="94"/>
  <c r="LP811" i="94"/>
  <c r="JD811" i="94"/>
  <c r="ND811" i="94"/>
  <c r="LH811" i="94"/>
  <c r="IV811" i="94"/>
  <c r="KZ811" i="94"/>
  <c r="IN811" i="94"/>
  <c r="KR811" i="94"/>
  <c r="IF811" i="94"/>
  <c r="NA799" i="94"/>
  <c r="LM799" i="94"/>
  <c r="LE799" i="94"/>
  <c r="KW799" i="94"/>
  <c r="KO799" i="94"/>
  <c r="KG799" i="94"/>
  <c r="JY799" i="94"/>
  <c r="JQ799" i="94"/>
  <c r="JI799" i="94"/>
  <c r="JA799" i="94"/>
  <c r="IS799" i="94"/>
  <c r="IK799" i="94"/>
  <c r="A799" i="94"/>
  <c r="MZ799" i="94"/>
  <c r="LL799" i="94"/>
  <c r="LD799" i="94"/>
  <c r="KV799" i="94"/>
  <c r="KN799" i="94"/>
  <c r="KF799" i="94"/>
  <c r="JX799" i="94"/>
  <c r="JP799" i="94"/>
  <c r="JH799" i="94"/>
  <c r="IZ799" i="94"/>
  <c r="IR799" i="94"/>
  <c r="IJ799" i="94"/>
  <c r="LK799" i="94"/>
  <c r="LC799" i="94"/>
  <c r="KU799" i="94"/>
  <c r="KM799" i="94"/>
  <c r="KE799" i="94"/>
  <c r="JW799" i="94"/>
  <c r="JO799" i="94"/>
  <c r="JG799" i="94"/>
  <c r="IY799" i="94"/>
  <c r="IQ799" i="94"/>
  <c r="II799" i="94"/>
  <c r="LJ799" i="94"/>
  <c r="LB799" i="94"/>
  <c r="KT799" i="94"/>
  <c r="KL799" i="94"/>
  <c r="KD799" i="94"/>
  <c r="JV799" i="94"/>
  <c r="JN799" i="94"/>
  <c r="JF799" i="94"/>
  <c r="IX799" i="94"/>
  <c r="IP799" i="94"/>
  <c r="IH799" i="94"/>
  <c r="LI799" i="94"/>
  <c r="LA799" i="94"/>
  <c r="KS799" i="94"/>
  <c r="KK799" i="94"/>
  <c r="KC799" i="94"/>
  <c r="JU799" i="94"/>
  <c r="JM799" i="94"/>
  <c r="JE799" i="94"/>
  <c r="IW799" i="94"/>
  <c r="IO799" i="94"/>
  <c r="IG799" i="94"/>
  <c r="ND799" i="94"/>
  <c r="LP799" i="94"/>
  <c r="LH799" i="94"/>
  <c r="KZ799" i="94"/>
  <c r="KR799" i="94"/>
  <c r="KJ799" i="94"/>
  <c r="KB799" i="94"/>
  <c r="JT799" i="94"/>
  <c r="JL799" i="94"/>
  <c r="JD799" i="94"/>
  <c r="IV799" i="94"/>
  <c r="IN799" i="94"/>
  <c r="IF799" i="94"/>
  <c r="NC799" i="94"/>
  <c r="LO799" i="94"/>
  <c r="LG799" i="94"/>
  <c r="KY799" i="94"/>
  <c r="KQ799" i="94"/>
  <c r="KI799" i="94"/>
  <c r="KA799" i="94"/>
  <c r="JS799" i="94"/>
  <c r="JK799" i="94"/>
  <c r="JC799" i="94"/>
  <c r="IU799" i="94"/>
  <c r="IM799" i="94"/>
  <c r="IE799" i="94"/>
  <c r="LF799" i="94"/>
  <c r="IT799" i="94"/>
  <c r="KX799" i="94"/>
  <c r="IL799" i="94"/>
  <c r="KP799" i="94"/>
  <c r="KH799" i="94"/>
  <c r="JZ799" i="94"/>
  <c r="JR799" i="94"/>
  <c r="JJ799" i="94"/>
  <c r="LK795" i="94"/>
  <c r="LC795" i="94"/>
  <c r="KU795" i="94"/>
  <c r="KM795" i="94"/>
  <c r="KE795" i="94"/>
  <c r="JW795" i="94"/>
  <c r="JO795" i="94"/>
  <c r="JG795" i="94"/>
  <c r="IY795" i="94"/>
  <c r="IQ795" i="94"/>
  <c r="II795" i="94"/>
  <c r="LJ795" i="94"/>
  <c r="LB795" i="94"/>
  <c r="KT795" i="94"/>
  <c r="KL795" i="94"/>
  <c r="KD795" i="94"/>
  <c r="JV795" i="94"/>
  <c r="JN795" i="94"/>
  <c r="JF795" i="94"/>
  <c r="IX795" i="94"/>
  <c r="IP795" i="94"/>
  <c r="IH795" i="94"/>
  <c r="LI795" i="94"/>
  <c r="LA795" i="94"/>
  <c r="KS795" i="94"/>
  <c r="KK795" i="94"/>
  <c r="KC795" i="94"/>
  <c r="JU795" i="94"/>
  <c r="JM795" i="94"/>
  <c r="JE795" i="94"/>
  <c r="IW795" i="94"/>
  <c r="IO795" i="94"/>
  <c r="IG795" i="94"/>
  <c r="ND795" i="94"/>
  <c r="LP795" i="94"/>
  <c r="LH795" i="94"/>
  <c r="KZ795" i="94"/>
  <c r="KR795" i="94"/>
  <c r="KJ795" i="94"/>
  <c r="KB795" i="94"/>
  <c r="JT795" i="94"/>
  <c r="JL795" i="94"/>
  <c r="JD795" i="94"/>
  <c r="IV795" i="94"/>
  <c r="IN795" i="94"/>
  <c r="IF795" i="94"/>
  <c r="NB795" i="94"/>
  <c r="LN795" i="94"/>
  <c r="LF795" i="94"/>
  <c r="KX795" i="94"/>
  <c r="KP795" i="94"/>
  <c r="KH795" i="94"/>
  <c r="JZ795" i="94"/>
  <c r="JR795" i="94"/>
  <c r="JJ795" i="94"/>
  <c r="JB795" i="94"/>
  <c r="IT795" i="94"/>
  <c r="IL795" i="94"/>
  <c r="NA795" i="94"/>
  <c r="LM795" i="94"/>
  <c r="LE795" i="94"/>
  <c r="KW795" i="94"/>
  <c r="KO795" i="94"/>
  <c r="KG795" i="94"/>
  <c r="JY795" i="94"/>
  <c r="JQ795" i="94"/>
  <c r="JI795" i="94"/>
  <c r="JA795" i="94"/>
  <c r="IS795" i="94"/>
  <c r="IK795" i="94"/>
  <c r="LL795" i="94"/>
  <c r="KF795" i="94"/>
  <c r="IZ795" i="94"/>
  <c r="LG795" i="94"/>
  <c r="KA795" i="94"/>
  <c r="IU795" i="94"/>
  <c r="LD795" i="94"/>
  <c r="JX795" i="94"/>
  <c r="IR795" i="94"/>
  <c r="KY795" i="94"/>
  <c r="JS795" i="94"/>
  <c r="IM795" i="94"/>
  <c r="KV795" i="94"/>
  <c r="JP795" i="94"/>
  <c r="IJ795" i="94"/>
  <c r="KQ795" i="94"/>
  <c r="JK795" i="94"/>
  <c r="IE795" i="94"/>
  <c r="A795" i="94"/>
  <c r="NC795" i="94"/>
  <c r="KN795" i="94"/>
  <c r="JH795" i="94"/>
  <c r="LI791" i="94"/>
  <c r="LA791" i="94"/>
  <c r="KS791" i="94"/>
  <c r="KK791" i="94"/>
  <c r="KC791" i="94"/>
  <c r="JU791" i="94"/>
  <c r="JM791" i="94"/>
  <c r="JE791" i="94"/>
  <c r="IW791" i="94"/>
  <c r="IO791" i="94"/>
  <c r="IG791" i="94"/>
  <c r="ND791" i="94"/>
  <c r="LP791" i="94"/>
  <c r="LH791" i="94"/>
  <c r="KZ791" i="94"/>
  <c r="KR791" i="94"/>
  <c r="KJ791" i="94"/>
  <c r="KB791" i="94"/>
  <c r="JT791" i="94"/>
  <c r="JL791" i="94"/>
  <c r="JD791" i="94"/>
  <c r="IV791" i="94"/>
  <c r="IN791" i="94"/>
  <c r="IF791" i="94"/>
  <c r="NC791" i="94"/>
  <c r="LO791" i="94"/>
  <c r="LG791" i="94"/>
  <c r="KY791" i="94"/>
  <c r="KQ791" i="94"/>
  <c r="KI791" i="94"/>
  <c r="KA791" i="94"/>
  <c r="JS791" i="94"/>
  <c r="JK791" i="94"/>
  <c r="JC791" i="94"/>
  <c r="IU791" i="94"/>
  <c r="IM791" i="94"/>
  <c r="IE791" i="94"/>
  <c r="NB791" i="94"/>
  <c r="LN791" i="94"/>
  <c r="LF791" i="94"/>
  <c r="KX791" i="94"/>
  <c r="KP791" i="94"/>
  <c r="KH791" i="94"/>
  <c r="JZ791" i="94"/>
  <c r="JR791" i="94"/>
  <c r="JJ791" i="94"/>
  <c r="JB791" i="94"/>
  <c r="IT791" i="94"/>
  <c r="IL791" i="94"/>
  <c r="NA791" i="94"/>
  <c r="LM791" i="94"/>
  <c r="LE791" i="94"/>
  <c r="KW791" i="94"/>
  <c r="KO791" i="94"/>
  <c r="KG791" i="94"/>
  <c r="JY791" i="94"/>
  <c r="JQ791" i="94"/>
  <c r="JI791" i="94"/>
  <c r="JA791" i="94"/>
  <c r="IS791" i="94"/>
  <c r="IK791" i="94"/>
  <c r="MZ791" i="94"/>
  <c r="LL791" i="94"/>
  <c r="LD791" i="94"/>
  <c r="KV791" i="94"/>
  <c r="KN791" i="94"/>
  <c r="KF791" i="94"/>
  <c r="JX791" i="94"/>
  <c r="JP791" i="94"/>
  <c r="JH791" i="94"/>
  <c r="IZ791" i="94"/>
  <c r="IR791" i="94"/>
  <c r="IJ791" i="94"/>
  <c r="A791" i="94"/>
  <c r="LK791" i="94"/>
  <c r="LC791" i="94"/>
  <c r="KU791" i="94"/>
  <c r="KM791" i="94"/>
  <c r="KE791" i="94"/>
  <c r="JW791" i="94"/>
  <c r="JO791" i="94"/>
  <c r="JG791" i="94"/>
  <c r="IY791" i="94"/>
  <c r="IQ791" i="94"/>
  <c r="II791" i="94"/>
  <c r="II781" i="94"/>
  <c r="JO781" i="94"/>
  <c r="LC781" i="94"/>
  <c r="LK781" i="94"/>
  <c r="AL817" i="94"/>
  <c r="O827" i="94" s="1"/>
  <c r="O845" i="94" s="1"/>
  <c r="IE781" i="94"/>
  <c r="IM781" i="94"/>
  <c r="IU781" i="94"/>
  <c r="JC781" i="94"/>
  <c r="JK781" i="94"/>
  <c r="JS781" i="94"/>
  <c r="KA781" i="94"/>
  <c r="KI781" i="94"/>
  <c r="KQ781" i="94"/>
  <c r="KY781" i="94"/>
  <c r="LG781" i="94"/>
  <c r="LO781" i="94"/>
  <c r="NC781" i="94"/>
  <c r="IJ783" i="94"/>
  <c r="IZ783" i="94"/>
  <c r="JP783" i="94"/>
  <c r="KF783" i="94"/>
  <c r="KV783" i="94"/>
  <c r="LM783" i="94"/>
  <c r="IT785" i="94"/>
  <c r="LF785" i="94"/>
  <c r="JM787" i="94"/>
  <c r="II789" i="94"/>
  <c r="KU789" i="94"/>
  <c r="IH791" i="94"/>
  <c r="KT791" i="94"/>
  <c r="JW793" i="94"/>
  <c r="JB799" i="94"/>
  <c r="NB799" i="94"/>
  <c r="KL805" i="94"/>
  <c r="LJ807" i="94"/>
  <c r="LB807" i="94"/>
  <c r="KT807" i="94"/>
  <c r="KL807" i="94"/>
  <c r="KD807" i="94"/>
  <c r="JV807" i="94"/>
  <c r="JN807" i="94"/>
  <c r="JF807" i="94"/>
  <c r="IX807" i="94"/>
  <c r="IP807" i="94"/>
  <c r="IH807" i="94"/>
  <c r="LI807" i="94"/>
  <c r="LA807" i="94"/>
  <c r="KS807" i="94"/>
  <c r="KK807" i="94"/>
  <c r="KC807" i="94"/>
  <c r="JU807" i="94"/>
  <c r="JM807" i="94"/>
  <c r="JE807" i="94"/>
  <c r="IW807" i="94"/>
  <c r="IO807" i="94"/>
  <c r="IG807" i="94"/>
  <c r="ND807" i="94"/>
  <c r="LP807" i="94"/>
  <c r="LH807" i="94"/>
  <c r="KZ807" i="94"/>
  <c r="KR807" i="94"/>
  <c r="KJ807" i="94"/>
  <c r="KB807" i="94"/>
  <c r="JT807" i="94"/>
  <c r="JL807" i="94"/>
  <c r="JD807" i="94"/>
  <c r="IV807" i="94"/>
  <c r="IN807" i="94"/>
  <c r="IF807" i="94"/>
  <c r="NC807" i="94"/>
  <c r="LO807" i="94"/>
  <c r="LG807" i="94"/>
  <c r="KY807" i="94"/>
  <c r="KQ807" i="94"/>
  <c r="KI807" i="94"/>
  <c r="KA807" i="94"/>
  <c r="JS807" i="94"/>
  <c r="JK807" i="94"/>
  <c r="JC807" i="94"/>
  <c r="IU807" i="94"/>
  <c r="IM807" i="94"/>
  <c r="IE807" i="94"/>
  <c r="NB807" i="94"/>
  <c r="LN807" i="94"/>
  <c r="LF807" i="94"/>
  <c r="KX807" i="94"/>
  <c r="KP807" i="94"/>
  <c r="KH807" i="94"/>
  <c r="JZ807" i="94"/>
  <c r="JR807" i="94"/>
  <c r="JJ807" i="94"/>
  <c r="JB807" i="94"/>
  <c r="IT807" i="94"/>
  <c r="IL807" i="94"/>
  <c r="NA807" i="94"/>
  <c r="LM807" i="94"/>
  <c r="LE807" i="94"/>
  <c r="KW807" i="94"/>
  <c r="KO807" i="94"/>
  <c r="KG807" i="94"/>
  <c r="JY807" i="94"/>
  <c r="JQ807" i="94"/>
  <c r="JI807" i="94"/>
  <c r="JA807" i="94"/>
  <c r="IS807" i="94"/>
  <c r="IK807" i="94"/>
  <c r="A807" i="94"/>
  <c r="MZ807" i="94"/>
  <c r="LL807" i="94"/>
  <c r="LD807" i="94"/>
  <c r="KV807" i="94"/>
  <c r="KN807" i="94"/>
  <c r="KF807" i="94"/>
  <c r="JX807" i="94"/>
  <c r="JP807" i="94"/>
  <c r="JH807" i="94"/>
  <c r="IZ807" i="94"/>
  <c r="IR807" i="94"/>
  <c r="IJ807" i="94"/>
  <c r="KU807" i="94"/>
  <c r="II807" i="94"/>
  <c r="KM807" i="94"/>
  <c r="KE807" i="94"/>
  <c r="JW807" i="94"/>
  <c r="JO807" i="94"/>
  <c r="JG807" i="94"/>
  <c r="LK807" i="94"/>
  <c r="IY807" i="94"/>
  <c r="LC807" i="94"/>
  <c r="IQ807" i="94"/>
  <c r="JF781" i="94"/>
  <c r="LJ781" i="94"/>
  <c r="IY781" i="94"/>
  <c r="KM781" i="94"/>
  <c r="IF781" i="94"/>
  <c r="IN781" i="94"/>
  <c r="IV781" i="94"/>
  <c r="JD781" i="94"/>
  <c r="JL781" i="94"/>
  <c r="JT781" i="94"/>
  <c r="KB781" i="94"/>
  <c r="KJ781" i="94"/>
  <c r="KR781" i="94"/>
  <c r="KZ781" i="94"/>
  <c r="LH781" i="94"/>
  <c r="LP781" i="94"/>
  <c r="IK783" i="94"/>
  <c r="JA783" i="94"/>
  <c r="JQ783" i="94"/>
  <c r="KG783" i="94"/>
  <c r="KW783" i="94"/>
  <c r="JB785" i="94"/>
  <c r="LN785" i="94"/>
  <c r="NB785" i="94"/>
  <c r="JU787" i="94"/>
  <c r="IQ789" i="94"/>
  <c r="LC789" i="94"/>
  <c r="IP791" i="94"/>
  <c r="LB791" i="94"/>
  <c r="KK793" i="94"/>
  <c r="IO797" i="94"/>
  <c r="LN799" i="94"/>
  <c r="BR787" i="94"/>
  <c r="BZ787" i="94"/>
  <c r="CH787" i="94"/>
  <c r="CP787" i="94"/>
  <c r="CX787" i="94"/>
  <c r="DF787" i="94"/>
  <c r="DN787" i="94"/>
  <c r="DV787" i="94"/>
  <c r="FZ787" i="94"/>
  <c r="BN795" i="94"/>
  <c r="BV795" i="94"/>
  <c r="CD795" i="94"/>
  <c r="CL795" i="94"/>
  <c r="CT795" i="94"/>
  <c r="DB795" i="94"/>
  <c r="DJ795" i="94"/>
  <c r="DR795" i="94"/>
  <c r="DZ795" i="94"/>
  <c r="BS803" i="94"/>
  <c r="CA803" i="94"/>
  <c r="CI803" i="94"/>
  <c r="CQ803" i="94"/>
  <c r="CY803" i="94"/>
  <c r="DG803" i="94"/>
  <c r="DO803" i="94"/>
  <c r="DW803" i="94"/>
  <c r="GA803" i="94"/>
  <c r="BQ811" i="94"/>
  <c r="BY811" i="94"/>
  <c r="CG811" i="94"/>
  <c r="CO811" i="94"/>
  <c r="CW811" i="94"/>
  <c r="DE811" i="94"/>
  <c r="DM811" i="94"/>
  <c r="DU811" i="94"/>
  <c r="EC811" i="94"/>
  <c r="FY811" i="94"/>
  <c r="CH816" i="94"/>
  <c r="CP816" i="94"/>
  <c r="CX816" i="94"/>
  <c r="DF816" i="94"/>
  <c r="DN816" i="94"/>
  <c r="DV816" i="94"/>
  <c r="FZ816" i="94"/>
  <c r="BS787" i="94"/>
  <c r="CA787" i="94"/>
  <c r="CI787" i="94"/>
  <c r="CQ787" i="94"/>
  <c r="CY787" i="94"/>
  <c r="DG787" i="94"/>
  <c r="DO787" i="94"/>
  <c r="DW787" i="94"/>
  <c r="GA787" i="94"/>
  <c r="BO795" i="94"/>
  <c r="BW795" i="94"/>
  <c r="CE795" i="94"/>
  <c r="CM795" i="94"/>
  <c r="CU795" i="94"/>
  <c r="DC795" i="94"/>
  <c r="DK795" i="94"/>
  <c r="DS795" i="94"/>
  <c r="EA795" i="94"/>
  <c r="FW795" i="94"/>
  <c r="BL803" i="94"/>
  <c r="BT803" i="94"/>
  <c r="CB803" i="94"/>
  <c r="CJ803" i="94"/>
  <c r="CR803" i="94"/>
  <c r="CZ803" i="94"/>
  <c r="DH803" i="94"/>
  <c r="DP803" i="94"/>
  <c r="DX803" i="94"/>
  <c r="BR811" i="94"/>
  <c r="BZ811" i="94"/>
  <c r="CH811" i="94"/>
  <c r="CP811" i="94"/>
  <c r="CX811" i="94"/>
  <c r="DF811" i="94"/>
  <c r="DN811" i="94"/>
  <c r="DV811" i="94"/>
  <c r="FZ811" i="94"/>
  <c r="CY816" i="94"/>
  <c r="DG816" i="94"/>
  <c r="DO816" i="94"/>
  <c r="DW816" i="94"/>
  <c r="GA816" i="94"/>
  <c r="BL787" i="94"/>
  <c r="BT787" i="94"/>
  <c r="CB787" i="94"/>
  <c r="CJ787" i="94"/>
  <c r="CR787" i="94"/>
  <c r="CZ787" i="94"/>
  <c r="DH787" i="94"/>
  <c r="DP787" i="94"/>
  <c r="DX787" i="94"/>
  <c r="BP795" i="94"/>
  <c r="BX795" i="94"/>
  <c r="CF795" i="94"/>
  <c r="CN795" i="94"/>
  <c r="CV795" i="94"/>
  <c r="DD795" i="94"/>
  <c r="DL795" i="94"/>
  <c r="DT795" i="94"/>
  <c r="EB795" i="94"/>
  <c r="FX795" i="94"/>
  <c r="BM803" i="94"/>
  <c r="BU803" i="94"/>
  <c r="CC803" i="94"/>
  <c r="CK803" i="94"/>
  <c r="CS803" i="94"/>
  <c r="DA803" i="94"/>
  <c r="DI803" i="94"/>
  <c r="DQ803" i="94"/>
  <c r="DY803" i="94"/>
  <c r="BS811" i="94"/>
  <c r="CA811" i="94"/>
  <c r="CI811" i="94"/>
  <c r="CQ811" i="94"/>
  <c r="CY811" i="94"/>
  <c r="DG811" i="94"/>
  <c r="DO811" i="94"/>
  <c r="DW811" i="94"/>
  <c r="GA811" i="94"/>
  <c r="BM787" i="94"/>
  <c r="BU787" i="94"/>
  <c r="CC787" i="94"/>
  <c r="CK787" i="94"/>
  <c r="CS787" i="94"/>
  <c r="DA787" i="94"/>
  <c r="DI787" i="94"/>
  <c r="DQ787" i="94"/>
  <c r="DY787" i="94"/>
  <c r="BQ795" i="94"/>
  <c r="BY795" i="94"/>
  <c r="CG795" i="94"/>
  <c r="CO795" i="94"/>
  <c r="CW795" i="94"/>
  <c r="DE795" i="94"/>
  <c r="DM795" i="94"/>
  <c r="DU795" i="94"/>
  <c r="EC795" i="94"/>
  <c r="FY795" i="94"/>
  <c r="BN803" i="94"/>
  <c r="BV803" i="94"/>
  <c r="CD803" i="94"/>
  <c r="CL803" i="94"/>
  <c r="CT803" i="94"/>
  <c r="DB803" i="94"/>
  <c r="DJ803" i="94"/>
  <c r="DR803" i="94"/>
  <c r="DZ803" i="94"/>
  <c r="BL811" i="94"/>
  <c r="BT811" i="94"/>
  <c r="CB811" i="94"/>
  <c r="CJ811" i="94"/>
  <c r="CR811" i="94"/>
  <c r="CZ811" i="94"/>
  <c r="DH811" i="94"/>
  <c r="DP811" i="94"/>
  <c r="DX811" i="94"/>
  <c r="BN787" i="94"/>
  <c r="BV787" i="94"/>
  <c r="CD787" i="94"/>
  <c r="CL787" i="94"/>
  <c r="CT787" i="94"/>
  <c r="DB787" i="94"/>
  <c r="DJ787" i="94"/>
  <c r="DR787" i="94"/>
  <c r="DZ787" i="94"/>
  <c r="BR795" i="94"/>
  <c r="BZ795" i="94"/>
  <c r="CH795" i="94"/>
  <c r="CP795" i="94"/>
  <c r="CX795" i="94"/>
  <c r="DF795" i="94"/>
  <c r="DN795" i="94"/>
  <c r="DV795" i="94"/>
  <c r="FZ795" i="94"/>
  <c r="BO803" i="94"/>
  <c r="BW803" i="94"/>
  <c r="CE803" i="94"/>
  <c r="CM803" i="94"/>
  <c r="CU803" i="94"/>
  <c r="DC803" i="94"/>
  <c r="DK803" i="94"/>
  <c r="DS803" i="94"/>
  <c r="EA803" i="94"/>
  <c r="FW803" i="94"/>
  <c r="BM811" i="94"/>
  <c r="BU811" i="94"/>
  <c r="CC811" i="94"/>
  <c r="CK811" i="94"/>
  <c r="CS811" i="94"/>
  <c r="DA811" i="94"/>
  <c r="DI811" i="94"/>
  <c r="DQ811" i="94"/>
  <c r="DY811" i="94"/>
  <c r="DB816" i="94"/>
  <c r="DJ816" i="94"/>
  <c r="DR816" i="94"/>
  <c r="BO787" i="94"/>
  <c r="BW787" i="94"/>
  <c r="CE787" i="94"/>
  <c r="CM787" i="94"/>
  <c r="CU787" i="94"/>
  <c r="DC787" i="94"/>
  <c r="DK787" i="94"/>
  <c r="DS787" i="94"/>
  <c r="EA787" i="94"/>
  <c r="FW787" i="94"/>
  <c r="BS795" i="94"/>
  <c r="CA795" i="94"/>
  <c r="CI795" i="94"/>
  <c r="CQ795" i="94"/>
  <c r="CY795" i="94"/>
  <c r="DG795" i="94"/>
  <c r="DO795" i="94"/>
  <c r="DW795" i="94"/>
  <c r="GA795" i="94"/>
  <c r="BP803" i="94"/>
  <c r="BX803" i="94"/>
  <c r="CF803" i="94"/>
  <c r="CN803" i="94"/>
  <c r="CV803" i="94"/>
  <c r="DD803" i="94"/>
  <c r="DL803" i="94"/>
  <c r="DT803" i="94"/>
  <c r="EB803" i="94"/>
  <c r="FX803" i="94"/>
  <c r="BN811" i="94"/>
  <c r="BV811" i="94"/>
  <c r="CD811" i="94"/>
  <c r="CL811" i="94"/>
  <c r="CT811" i="94"/>
  <c r="DB811" i="94"/>
  <c r="DJ811" i="94"/>
  <c r="DR811" i="94"/>
  <c r="DZ811" i="94"/>
  <c r="BP787" i="94"/>
  <c r="BX787" i="94"/>
  <c r="CF787" i="94"/>
  <c r="CN787" i="94"/>
  <c r="CV787" i="94"/>
  <c r="DD787" i="94"/>
  <c r="DL787" i="94"/>
  <c r="DT787" i="94"/>
  <c r="EB787" i="94"/>
  <c r="BL795" i="94"/>
  <c r="BT795" i="94"/>
  <c r="CB795" i="94"/>
  <c r="CJ795" i="94"/>
  <c r="CR795" i="94"/>
  <c r="CZ795" i="94"/>
  <c r="DH795" i="94"/>
  <c r="DP795" i="94"/>
  <c r="BQ803" i="94"/>
  <c r="BY803" i="94"/>
  <c r="CG803" i="94"/>
  <c r="CO803" i="94"/>
  <c r="CW803" i="94"/>
  <c r="DE803" i="94"/>
  <c r="DM803" i="94"/>
  <c r="DU803" i="94"/>
  <c r="EC803" i="94"/>
  <c r="BO811" i="94"/>
  <c r="BW811" i="94"/>
  <c r="CE811" i="94"/>
  <c r="CM811" i="94"/>
  <c r="CU811" i="94"/>
  <c r="DC811" i="94"/>
  <c r="DK811" i="94"/>
  <c r="DS811" i="94"/>
  <c r="EA811" i="94"/>
  <c r="A816" i="94"/>
  <c r="F817" i="94"/>
  <c r="E817" i="94"/>
  <c r="K742" i="94"/>
  <c r="S462" i="94"/>
  <c r="S461" i="94"/>
  <c r="S460" i="94"/>
  <c r="S459" i="94"/>
  <c r="S458" i="94"/>
  <c r="S457" i="94"/>
  <c r="S456" i="94"/>
  <c r="S455" i="94"/>
  <c r="S454" i="94"/>
  <c r="P462" i="94"/>
  <c r="P461" i="94"/>
  <c r="P460" i="94"/>
  <c r="P459" i="94"/>
  <c r="P458" i="94"/>
  <c r="P457" i="94"/>
  <c r="P456" i="94"/>
  <c r="P455" i="94"/>
  <c r="P454" i="94"/>
  <c r="M462" i="94"/>
  <c r="M461" i="94"/>
  <c r="M460" i="94"/>
  <c r="M459" i="94"/>
  <c r="M458" i="94"/>
  <c r="M457" i="94"/>
  <c r="M456" i="94"/>
  <c r="M455" i="94"/>
  <c r="M454" i="94"/>
  <c r="J462" i="94"/>
  <c r="J461" i="94"/>
  <c r="J460" i="94"/>
  <c r="J459" i="94"/>
  <c r="J458" i="94"/>
  <c r="J457" i="94"/>
  <c r="J456" i="94"/>
  <c r="J455" i="94"/>
  <c r="J454" i="94"/>
  <c r="G455" i="94"/>
  <c r="G456" i="94"/>
  <c r="G457" i="94"/>
  <c r="G458" i="94"/>
  <c r="G459" i="94"/>
  <c r="G460" i="94"/>
  <c r="U460" i="94" s="1"/>
  <c r="G461" i="94"/>
  <c r="A461" i="94" s="1"/>
  <c r="G462" i="94"/>
  <c r="A462" i="94" s="1"/>
  <c r="G454" i="94"/>
  <c r="A447" i="94"/>
  <c r="W447" i="94" s="1"/>
  <c r="J621" i="94"/>
  <c r="O618" i="94"/>
  <c r="J618" i="94"/>
  <c r="W614" i="94"/>
  <c r="W594" i="94"/>
  <c r="V592" i="94"/>
  <c r="P592" i="94"/>
  <c r="P596" i="94" s="1"/>
  <c r="W584" i="94"/>
  <c r="W583" i="94"/>
  <c r="V576" i="94"/>
  <c r="S576" i="94"/>
  <c r="P576" i="94"/>
  <c r="M576" i="94"/>
  <c r="J576" i="94"/>
  <c r="G576" i="94"/>
  <c r="U575" i="94"/>
  <c r="A575" i="94"/>
  <c r="W573" i="94"/>
  <c r="O573" i="94"/>
  <c r="V572" i="94"/>
  <c r="S572" i="94"/>
  <c r="P572" i="94"/>
  <c r="M572" i="94"/>
  <c r="J572" i="94"/>
  <c r="G572" i="94"/>
  <c r="U571" i="94"/>
  <c r="A571" i="94"/>
  <c r="J568" i="94"/>
  <c r="J567" i="94"/>
  <c r="W565" i="94"/>
  <c r="O565" i="94"/>
  <c r="V564" i="94"/>
  <c r="S564" i="94"/>
  <c r="P564" i="94"/>
  <c r="M564" i="94"/>
  <c r="J564" i="94"/>
  <c r="G564" i="94"/>
  <c r="W558" i="94"/>
  <c r="O558" i="94"/>
  <c r="V557" i="94"/>
  <c r="S557" i="94"/>
  <c r="G557" i="94"/>
  <c r="U556" i="94"/>
  <c r="A556" i="94"/>
  <c r="W552" i="94"/>
  <c r="O552" i="94"/>
  <c r="V551" i="94"/>
  <c r="S551" i="94"/>
  <c r="G551" i="94"/>
  <c r="U550" i="94"/>
  <c r="A550" i="94"/>
  <c r="U549" i="94"/>
  <c r="A549" i="94"/>
  <c r="F548" i="94"/>
  <c r="F547" i="94"/>
  <c r="B543" i="94"/>
  <c r="B542" i="94"/>
  <c r="W541" i="94"/>
  <c r="O541" i="94"/>
  <c r="V539" i="94"/>
  <c r="V537" i="94"/>
  <c r="S537" i="94"/>
  <c r="G537" i="94"/>
  <c r="U536" i="94"/>
  <c r="A536" i="94"/>
  <c r="W530" i="94"/>
  <c r="O530" i="94"/>
  <c r="V529" i="94"/>
  <c r="S529" i="94"/>
  <c r="P529" i="94"/>
  <c r="M529" i="94"/>
  <c r="J529" i="94"/>
  <c r="G529" i="94"/>
  <c r="W524" i="94"/>
  <c r="O524" i="94"/>
  <c r="V523" i="94"/>
  <c r="S523" i="94"/>
  <c r="P523" i="94"/>
  <c r="M523" i="94"/>
  <c r="J523" i="94"/>
  <c r="G523" i="94"/>
  <c r="U522" i="94"/>
  <c r="A522" i="94"/>
  <c r="W511" i="94"/>
  <c r="O511" i="94"/>
  <c r="V510" i="94"/>
  <c r="S510" i="94"/>
  <c r="P510" i="94"/>
  <c r="M510" i="94"/>
  <c r="J510" i="94"/>
  <c r="G510" i="94"/>
  <c r="U509" i="94"/>
  <c r="A509" i="94"/>
  <c r="U508" i="94"/>
  <c r="A508" i="94"/>
  <c r="W497" i="94"/>
  <c r="O497" i="94"/>
  <c r="W495" i="94"/>
  <c r="W492" i="94"/>
  <c r="O492" i="94"/>
  <c r="W486" i="94"/>
  <c r="O486" i="94"/>
  <c r="V484" i="94"/>
  <c r="S484" i="94"/>
  <c r="P484" i="94"/>
  <c r="M484" i="94"/>
  <c r="J484" i="94"/>
  <c r="G484" i="94"/>
  <c r="D483" i="94"/>
  <c r="D482" i="94"/>
  <c r="D481" i="94"/>
  <c r="W480" i="94"/>
  <c r="O480" i="94"/>
  <c r="V479" i="94"/>
  <c r="S479" i="94"/>
  <c r="P479" i="94"/>
  <c r="M479" i="94"/>
  <c r="J479" i="94"/>
  <c r="G479" i="94"/>
  <c r="W474" i="94"/>
  <c r="O474" i="94"/>
  <c r="V473" i="94"/>
  <c r="S473" i="94"/>
  <c r="P473" i="94"/>
  <c r="M473" i="94"/>
  <c r="J473" i="94"/>
  <c r="G473" i="94"/>
  <c r="F471" i="94"/>
  <c r="W470" i="94"/>
  <c r="O470" i="94"/>
  <c r="V469" i="94"/>
  <c r="S469" i="94"/>
  <c r="M469" i="94"/>
  <c r="G469" i="94"/>
  <c r="F465" i="94"/>
  <c r="W464" i="94"/>
  <c r="O464" i="94"/>
  <c r="V463" i="94"/>
  <c r="W453" i="94"/>
  <c r="O453" i="94"/>
  <c r="V451" i="94"/>
  <c r="D451" i="94"/>
  <c r="M443" i="94"/>
  <c r="A443" i="94"/>
  <c r="I427" i="94"/>
  <c r="I428" i="94"/>
  <c r="I429" i="94"/>
  <c r="I430" i="94"/>
  <c r="I431" i="94"/>
  <c r="I432" i="94"/>
  <c r="I433" i="94"/>
  <c r="I434" i="94"/>
  <c r="I435" i="94"/>
  <c r="I436" i="94"/>
  <c r="E427" i="94"/>
  <c r="E428" i="94"/>
  <c r="E429" i="94"/>
  <c r="E430" i="94"/>
  <c r="E431" i="94"/>
  <c r="E432" i="94"/>
  <c r="E433" i="94"/>
  <c r="E434" i="94"/>
  <c r="E435" i="94"/>
  <c r="E436" i="94"/>
  <c r="C435" i="94"/>
  <c r="C436" i="94"/>
  <c r="C434" i="94"/>
  <c r="I426" i="94"/>
  <c r="E426" i="94"/>
  <c r="N422" i="94"/>
  <c r="M422" i="94"/>
  <c r="L422" i="94"/>
  <c r="K422" i="94"/>
  <c r="N418" i="94"/>
  <c r="N419" i="94"/>
  <c r="N420" i="94"/>
  <c r="K418" i="94"/>
  <c r="L418" i="94"/>
  <c r="M418" i="94"/>
  <c r="K419" i="94"/>
  <c r="L419" i="94"/>
  <c r="M419" i="94"/>
  <c r="K420" i="94"/>
  <c r="L420" i="94"/>
  <c r="M420" i="94"/>
  <c r="I418" i="94"/>
  <c r="I419" i="94"/>
  <c r="I420" i="94"/>
  <c r="I421" i="94"/>
  <c r="I422" i="94"/>
  <c r="N417" i="94"/>
  <c r="M417" i="94"/>
  <c r="L417" i="94"/>
  <c r="K417" i="94"/>
  <c r="I417" i="94"/>
  <c r="C420" i="94"/>
  <c r="E422" i="94"/>
  <c r="E421" i="94"/>
  <c r="E420" i="94"/>
  <c r="E419" i="94"/>
  <c r="E418" i="94"/>
  <c r="E417" i="94"/>
  <c r="P400" i="94"/>
  <c r="P401" i="94"/>
  <c r="N400" i="94"/>
  <c r="N401" i="94"/>
  <c r="L400" i="94"/>
  <c r="L401" i="94"/>
  <c r="L402" i="94"/>
  <c r="L403" i="94"/>
  <c r="L404" i="94"/>
  <c r="L405" i="94"/>
  <c r="L406" i="94"/>
  <c r="L407" i="94"/>
  <c r="L408" i="94"/>
  <c r="L409" i="94"/>
  <c r="H400" i="94"/>
  <c r="H401" i="94"/>
  <c r="H402" i="94"/>
  <c r="H403" i="94"/>
  <c r="H404" i="94"/>
  <c r="H405" i="94"/>
  <c r="H406" i="94"/>
  <c r="H407" i="94"/>
  <c r="H408" i="94"/>
  <c r="H409" i="94"/>
  <c r="D408" i="94"/>
  <c r="D409" i="94"/>
  <c r="P399" i="94"/>
  <c r="N399" i="94"/>
  <c r="L399" i="94"/>
  <c r="H399" i="94"/>
  <c r="D407" i="94"/>
  <c r="F390" i="94"/>
  <c r="F391" i="94"/>
  <c r="F392" i="94"/>
  <c r="F389" i="94"/>
  <c r="H388" i="94"/>
  <c r="H386" i="94"/>
  <c r="I393" i="94"/>
  <c r="H385" i="94"/>
  <c r="H384" i="94"/>
  <c r="E393" i="94"/>
  <c r="E391" i="94"/>
  <c r="E389" i="94"/>
  <c r="E387" i="94"/>
  <c r="E388" i="94"/>
  <c r="E385" i="94"/>
  <c r="E384" i="94"/>
  <c r="O384" i="94"/>
  <c r="L393" i="94"/>
  <c r="L392" i="94"/>
  <c r="L391" i="94"/>
  <c r="L390" i="94"/>
  <c r="L389" i="94"/>
  <c r="L388" i="94"/>
  <c r="L387" i="94"/>
  <c r="L386" i="94"/>
  <c r="L385" i="94"/>
  <c r="L384" i="94"/>
  <c r="B385" i="94"/>
  <c r="B386" i="94"/>
  <c r="B387" i="94"/>
  <c r="B388" i="94"/>
  <c r="B389" i="94"/>
  <c r="B390" i="94"/>
  <c r="B391" i="94"/>
  <c r="B392" i="94"/>
  <c r="B393" i="94"/>
  <c r="B384" i="94"/>
  <c r="S414" i="94"/>
  <c r="S396" i="94"/>
  <c r="S382" i="94"/>
  <c r="L382" i="94"/>
  <c r="S380" i="94"/>
  <c r="EJ817" i="94" l="1"/>
  <c r="L928" i="94" s="1"/>
  <c r="AQ817" i="94"/>
  <c r="O828" i="94" s="1"/>
  <c r="O848" i="94" s="1"/>
  <c r="BJ817" i="94"/>
  <c r="N833" i="94" s="1"/>
  <c r="BB817" i="94"/>
  <c r="K831" i="94" s="1"/>
  <c r="K857" i="94" s="1"/>
  <c r="ET817" i="94"/>
  <c r="L930" i="94" s="1"/>
  <c r="FV817" i="94"/>
  <c r="O936" i="94" s="1"/>
  <c r="AD817" i="94"/>
  <c r="L826" i="94" s="1"/>
  <c r="L842" i="94" s="1"/>
  <c r="EE817" i="94"/>
  <c r="L835" i="94" s="1"/>
  <c r="EX817" i="94"/>
  <c r="K931" i="94" s="1"/>
  <c r="AV817" i="94"/>
  <c r="O829" i="94" s="1"/>
  <c r="X817" i="94"/>
  <c r="K825" i="94" s="1"/>
  <c r="K839" i="94" s="1"/>
  <c r="AN817" i="94"/>
  <c r="L828" i="94" s="1"/>
  <c r="L848" i="94" s="1"/>
  <c r="GO817" i="94"/>
  <c r="N883" i="94" s="1"/>
  <c r="EG817" i="94"/>
  <c r="N835" i="94" s="1"/>
  <c r="AK817" i="94"/>
  <c r="N827" i="94" s="1"/>
  <c r="N845" i="94" s="1"/>
  <c r="LU817" i="94"/>
  <c r="BA817" i="94"/>
  <c r="O830" i="94" s="1"/>
  <c r="O854" i="94" s="1"/>
  <c r="AX817" i="94"/>
  <c r="L830" i="94" s="1"/>
  <c r="L854" i="94" s="1"/>
  <c r="GD817" i="94"/>
  <c r="M938" i="94" s="1"/>
  <c r="LX817" i="94"/>
  <c r="EQ817" i="94"/>
  <c r="N929" i="94" s="1"/>
  <c r="GF817" i="94"/>
  <c r="O938" i="94" s="1"/>
  <c r="GE817" i="94"/>
  <c r="N938" i="94" s="1"/>
  <c r="FI817" i="94"/>
  <c r="L933" i="94" s="1"/>
  <c r="AM817" i="94"/>
  <c r="K828" i="94" s="1"/>
  <c r="K848" i="94" s="1"/>
  <c r="EI817" i="94"/>
  <c r="K928" i="94" s="1"/>
  <c r="AZ817" i="94"/>
  <c r="N830" i="94" s="1"/>
  <c r="N854" i="94" s="1"/>
  <c r="EH817" i="94"/>
  <c r="O835" i="94" s="1"/>
  <c r="EV817" i="94"/>
  <c r="N930" i="94" s="1"/>
  <c r="AC817" i="94"/>
  <c r="K826" i="94" s="1"/>
  <c r="K842" i="94" s="1"/>
  <c r="FP817" i="94"/>
  <c r="N934" i="94" s="1"/>
  <c r="HZ817" i="94"/>
  <c r="AF817" i="94"/>
  <c r="N826" i="94" s="1"/>
  <c r="N842" i="94" s="1"/>
  <c r="LQ817" i="94"/>
  <c r="GC817" i="94"/>
  <c r="L938" i="94" s="1"/>
  <c r="AU817" i="94"/>
  <c r="N829" i="94" s="1"/>
  <c r="N851" i="94" s="1"/>
  <c r="FO817" i="94"/>
  <c r="M934" i="94" s="1"/>
  <c r="IA817" i="94"/>
  <c r="EF817" i="94"/>
  <c r="M835" i="94" s="1"/>
  <c r="AT817" i="94"/>
  <c r="M829" i="94" s="1"/>
  <c r="M851" i="94" s="1"/>
  <c r="FG817" i="94"/>
  <c r="O932" i="94" s="1"/>
  <c r="EZ817" i="94"/>
  <c r="M931" i="94" s="1"/>
  <c r="EK817" i="94"/>
  <c r="M928" i="94" s="1"/>
  <c r="AB817" i="94"/>
  <c r="O825" i="94" s="1"/>
  <c r="O839" i="94" s="1"/>
  <c r="Z817" i="94"/>
  <c r="M825" i="94" s="1"/>
  <c r="M839" i="94" s="1"/>
  <c r="BD817" i="94"/>
  <c r="M831" i="94" s="1"/>
  <c r="M857" i="94" s="1"/>
  <c r="AI817" i="94"/>
  <c r="L827" i="94" s="1"/>
  <c r="L845" i="94" s="1"/>
  <c r="EY817" i="94"/>
  <c r="L931" i="94" s="1"/>
  <c r="ES817" i="94"/>
  <c r="K930" i="94" s="1"/>
  <c r="LR817" i="94"/>
  <c r="FD817" i="94"/>
  <c r="L932" i="94" s="1"/>
  <c r="EN817" i="94"/>
  <c r="K929" i="94" s="1"/>
  <c r="JY817" i="94"/>
  <c r="L898" i="94" s="1"/>
  <c r="IC817" i="94"/>
  <c r="AJ817" i="94"/>
  <c r="M827" i="94" s="1"/>
  <c r="M845" i="94" s="1"/>
  <c r="MK817" i="94"/>
  <c r="EU817" i="94"/>
  <c r="M930" i="94" s="1"/>
  <c r="HE817" i="94"/>
  <c r="O886" i="94" s="1"/>
  <c r="BG817" i="94"/>
  <c r="K833" i="94" s="1"/>
  <c r="BI817" i="94"/>
  <c r="M833" i="94" s="1"/>
  <c r="LV817" i="94"/>
  <c r="ED817" i="94"/>
  <c r="K835" i="94" s="1"/>
  <c r="GB817" i="94"/>
  <c r="K938" i="94" s="1"/>
  <c r="EP817" i="94"/>
  <c r="M929" i="94" s="1"/>
  <c r="ER817" i="94"/>
  <c r="O929" i="94" s="1"/>
  <c r="FM817" i="94"/>
  <c r="K934" i="94" s="1"/>
  <c r="EW817" i="94"/>
  <c r="O930" i="94" s="1"/>
  <c r="AY817" i="94"/>
  <c r="M830" i="94" s="1"/>
  <c r="M854" i="94" s="1"/>
  <c r="AS817" i="94"/>
  <c r="L829" i="94" s="1"/>
  <c r="FB817" i="94"/>
  <c r="O931" i="94" s="1"/>
  <c r="FF817" i="94"/>
  <c r="N932" i="94" s="1"/>
  <c r="BC817" i="94"/>
  <c r="L831" i="94" s="1"/>
  <c r="L857" i="94" s="1"/>
  <c r="AG817" i="94"/>
  <c r="O826" i="94" s="1"/>
  <c r="O842" i="94" s="1"/>
  <c r="FJ817" i="94"/>
  <c r="M933" i="94" s="1"/>
  <c r="FH817" i="94"/>
  <c r="K933" i="94" s="1"/>
  <c r="GJ817" i="94"/>
  <c r="N882" i="94" s="1"/>
  <c r="AW817" i="94"/>
  <c r="K830" i="94" s="1"/>
  <c r="K854" i="94" s="1"/>
  <c r="BF817" i="94"/>
  <c r="O831" i="94" s="1"/>
  <c r="O857" i="94" s="1"/>
  <c r="FR817" i="94"/>
  <c r="K936" i="94" s="1"/>
  <c r="AP817" i="94"/>
  <c r="N828" i="94" s="1"/>
  <c r="N848" i="94" s="1"/>
  <c r="HJ817" i="94"/>
  <c r="LT817" i="94"/>
  <c r="GP817" i="94"/>
  <c r="O883" i="94" s="1"/>
  <c r="GH817" i="94"/>
  <c r="L882" i="94" s="1"/>
  <c r="LS817" i="94"/>
  <c r="AR817" i="94"/>
  <c r="K829" i="94" s="1"/>
  <c r="K851" i="94" s="1"/>
  <c r="GU817" i="94"/>
  <c r="GX817" i="94"/>
  <c r="M885" i="94" s="1"/>
  <c r="EL817" i="94"/>
  <c r="N928" i="94" s="1"/>
  <c r="AA817" i="94"/>
  <c r="N825" i="94" s="1"/>
  <c r="N839" i="94" s="1"/>
  <c r="HQ817" i="94"/>
  <c r="L889" i="94" s="1"/>
  <c r="FL817" i="94"/>
  <c r="O933" i="94" s="1"/>
  <c r="BH817" i="94"/>
  <c r="L833" i="94" s="1"/>
  <c r="HU817" i="94"/>
  <c r="FA817" i="94"/>
  <c r="N931" i="94" s="1"/>
  <c r="HK817" i="94"/>
  <c r="K888" i="94" s="1"/>
  <c r="HL817" i="94"/>
  <c r="L888" i="94" s="1"/>
  <c r="GV817" i="94"/>
  <c r="K885" i="94" s="1"/>
  <c r="FQ817" i="94"/>
  <c r="O934" i="94" s="1"/>
  <c r="FC817" i="94"/>
  <c r="K932" i="94" s="1"/>
  <c r="BE817" i="94"/>
  <c r="N831" i="94" s="1"/>
  <c r="N857" i="94" s="1"/>
  <c r="FE817" i="94"/>
  <c r="M932" i="94" s="1"/>
  <c r="HI817" i="94"/>
  <c r="FS817" i="94"/>
  <c r="L936" i="94" s="1"/>
  <c r="AO817" i="94"/>
  <c r="M828" i="94" s="1"/>
  <c r="M848" i="94" s="1"/>
  <c r="FU817" i="94"/>
  <c r="N936" i="94" s="1"/>
  <c r="AE817" i="94"/>
  <c r="M826" i="94" s="1"/>
  <c r="M842" i="94" s="1"/>
  <c r="EO817" i="94"/>
  <c r="L929" i="94" s="1"/>
  <c r="HO817" i="94"/>
  <c r="O888" i="94" s="1"/>
  <c r="HP817" i="94"/>
  <c r="K889" i="94" s="1"/>
  <c r="ME817" i="94"/>
  <c r="FN817" i="94"/>
  <c r="L934" i="94" s="1"/>
  <c r="AH817" i="94"/>
  <c r="K827" i="94" s="1"/>
  <c r="K845" i="94" s="1"/>
  <c r="HT817" i="94"/>
  <c r="O889" i="94" s="1"/>
  <c r="FT817" i="94"/>
  <c r="M936" i="94" s="1"/>
  <c r="LY817" i="94"/>
  <c r="HW817" i="94"/>
  <c r="GG817" i="94"/>
  <c r="K882" i="94" s="1"/>
  <c r="GI817" i="94"/>
  <c r="M882" i="94" s="1"/>
  <c r="GY817" i="94"/>
  <c r="N885" i="94" s="1"/>
  <c r="HX817" i="94"/>
  <c r="GT817" i="94"/>
  <c r="MJ817" i="94"/>
  <c r="ML817" i="94"/>
  <c r="LZ817" i="94"/>
  <c r="MD817" i="94"/>
  <c r="HF817" i="94"/>
  <c r="HG817" i="94"/>
  <c r="HH817" i="94"/>
  <c r="FK817" i="94"/>
  <c r="N933" i="94" s="1"/>
  <c r="Y817" i="94"/>
  <c r="L825" i="94" s="1"/>
  <c r="L839" i="94" s="1"/>
  <c r="EM817" i="94"/>
  <c r="O928" i="94" s="1"/>
  <c r="LW817" i="94"/>
  <c r="BK817" i="94"/>
  <c r="O833" i="94" s="1"/>
  <c r="LH817" i="94"/>
  <c r="L905" i="94" s="1"/>
  <c r="CU817" i="94"/>
  <c r="K879" i="94" s="1"/>
  <c r="CZ817" i="94"/>
  <c r="K878" i="94" s="1"/>
  <c r="HV817" i="94"/>
  <c r="GW817" i="94"/>
  <c r="L885" i="94" s="1"/>
  <c r="MW817" i="94"/>
  <c r="IB817" i="94"/>
  <c r="ID817" i="94"/>
  <c r="DV817" i="94"/>
  <c r="M874" i="94" s="1"/>
  <c r="JE817" i="94"/>
  <c r="L912" i="94" s="1"/>
  <c r="F1041" i="94"/>
  <c r="BL817" i="94"/>
  <c r="K868" i="94" s="1"/>
  <c r="NA817" i="94"/>
  <c r="HB817" i="94"/>
  <c r="L886" i="94" s="1"/>
  <c r="HC817" i="94"/>
  <c r="M886" i="94" s="1"/>
  <c r="HD817" i="94"/>
  <c r="N886" i="94" s="1"/>
  <c r="GZ817" i="94"/>
  <c r="O885" i="94" s="1"/>
  <c r="HA817" i="94"/>
  <c r="K886" i="94" s="1"/>
  <c r="GQ817" i="94"/>
  <c r="GR817" i="94"/>
  <c r="GS817" i="94"/>
  <c r="GL817" i="94"/>
  <c r="K883" i="94" s="1"/>
  <c r="GM817" i="94"/>
  <c r="L883" i="94" s="1"/>
  <c r="GN817" i="94"/>
  <c r="M883" i="94" s="1"/>
  <c r="GK817" i="94"/>
  <c r="O882" i="94" s="1"/>
  <c r="MV817" i="94"/>
  <c r="MX817" i="94"/>
  <c r="MY817" i="94"/>
  <c r="MM817" i="94"/>
  <c r="MN817" i="94"/>
  <c r="MO817" i="94"/>
  <c r="MU817" i="94"/>
  <c r="MI817" i="94"/>
  <c r="MF817" i="94"/>
  <c r="MG817" i="94"/>
  <c r="MH817" i="94"/>
  <c r="MA817" i="94"/>
  <c r="MB817" i="94"/>
  <c r="MC817" i="94"/>
  <c r="HY817" i="94"/>
  <c r="HR817" i="94"/>
  <c r="M889" i="94" s="1"/>
  <c r="HS817" i="94"/>
  <c r="N889" i="94" s="1"/>
  <c r="HM817" i="94"/>
  <c r="M888" i="94" s="1"/>
  <c r="HN817" i="94"/>
  <c r="N888" i="94" s="1"/>
  <c r="DU817" i="94"/>
  <c r="L874" i="94" s="1"/>
  <c r="CI817" i="94"/>
  <c r="N864" i="94" s="1"/>
  <c r="DY817" i="94"/>
  <c r="K873" i="94" s="1"/>
  <c r="BM817" i="94"/>
  <c r="L868" i="94" s="1"/>
  <c r="CP817" i="94"/>
  <c r="K862" i="94" s="1"/>
  <c r="CO817" i="94"/>
  <c r="O863" i="94" s="1"/>
  <c r="CD817" i="94"/>
  <c r="N865" i="94" s="1"/>
  <c r="BV817" i="94"/>
  <c r="K866" i="94" s="1"/>
  <c r="DS817" i="94"/>
  <c r="O875" i="94" s="1"/>
  <c r="EC817" i="94"/>
  <c r="O873" i="94" s="1"/>
  <c r="LN817" i="94"/>
  <c r="M906" i="94" s="1"/>
  <c r="KD817" i="94"/>
  <c r="L899" i="94" s="1"/>
  <c r="IV817" i="94"/>
  <c r="M914" i="94" s="1"/>
  <c r="KV817" i="94"/>
  <c r="O902" i="94" s="1"/>
  <c r="IX817" i="94"/>
  <c r="O914" i="94" s="1"/>
  <c r="BN817" i="94"/>
  <c r="M868" i="94" s="1"/>
  <c r="DB817" i="94"/>
  <c r="M878" i="94" s="1"/>
  <c r="CX817" i="94"/>
  <c r="N879" i="94" s="1"/>
  <c r="FY817" i="94"/>
  <c r="BY817" i="94"/>
  <c r="N866" i="94" s="1"/>
  <c r="CC817" i="94"/>
  <c r="M865" i="94" s="1"/>
  <c r="CS817" i="94"/>
  <c r="N862" i="94" s="1"/>
  <c r="GA817" i="94"/>
  <c r="JI817" i="94"/>
  <c r="K909" i="94" s="1"/>
  <c r="JM817" i="94"/>
  <c r="O909" i="94" s="1"/>
  <c r="IJ817" i="94"/>
  <c r="K908" i="94" s="1"/>
  <c r="FX817" i="94"/>
  <c r="M463" i="94"/>
  <c r="S463" i="94"/>
  <c r="S578" i="94" s="1"/>
  <c r="CW817" i="94"/>
  <c r="M879" i="94" s="1"/>
  <c r="CR817" i="94"/>
  <c r="M862" i="94" s="1"/>
  <c r="U461" i="94"/>
  <c r="CN817" i="94"/>
  <c r="N863" i="94" s="1"/>
  <c r="JO817" i="94"/>
  <c r="L910" i="94" s="1"/>
  <c r="KI817" i="94"/>
  <c r="L900" i="94" s="1"/>
  <c r="J463" i="94"/>
  <c r="J578" i="94" s="1"/>
  <c r="CT817" i="94"/>
  <c r="O862" i="94" s="1"/>
  <c r="BQ817" i="94"/>
  <c r="K867" i="94" s="1"/>
  <c r="IU817" i="94"/>
  <c r="L914" i="94" s="1"/>
  <c r="KX817" i="94"/>
  <c r="L903" i="94" s="1"/>
  <c r="V578" i="94"/>
  <c r="P463" i="94"/>
  <c r="P578" i="94" s="1"/>
  <c r="P595" i="94" s="1"/>
  <c r="P597" i="94" s="1"/>
  <c r="P599" i="94" s="1"/>
  <c r="CV817" i="94"/>
  <c r="L879" i="94" s="1"/>
  <c r="DQ817" i="94"/>
  <c r="M875" i="94" s="1"/>
  <c r="DI817" i="94"/>
  <c r="O877" i="94" s="1"/>
  <c r="BZ817" i="94"/>
  <c r="O866" i="94" s="1"/>
  <c r="D484" i="94"/>
  <c r="O851" i="94"/>
  <c r="DO817" i="94"/>
  <c r="K875" i="94" s="1"/>
  <c r="LG817" i="94"/>
  <c r="K905" i="94" s="1"/>
  <c r="L851" i="94"/>
  <c r="DM817" i="94"/>
  <c r="N876" i="94" s="1"/>
  <c r="CJ817" i="94"/>
  <c r="O864" i="94" s="1"/>
  <c r="BU817" i="94"/>
  <c r="O867" i="94" s="1"/>
  <c r="CM817" i="94"/>
  <c r="M863" i="94" s="1"/>
  <c r="DR817" i="94"/>
  <c r="N875" i="94" s="1"/>
  <c r="DL817" i="94"/>
  <c r="M876" i="94" s="1"/>
  <c r="KN817" i="94"/>
  <c r="L901" i="94" s="1"/>
  <c r="LP817" i="94"/>
  <c r="O906" i="94" s="1"/>
  <c r="BW817" i="94"/>
  <c r="L866" i="94" s="1"/>
  <c r="CB817" i="94"/>
  <c r="L865" i="94" s="1"/>
  <c r="IL817" i="94"/>
  <c r="M908" i="94" s="1"/>
  <c r="IH817" i="94"/>
  <c r="N907" i="94" s="1"/>
  <c r="CE817" i="94"/>
  <c r="O865" i="94" s="1"/>
  <c r="JQ817" i="94"/>
  <c r="N910" i="94" s="1"/>
  <c r="DE817" i="94"/>
  <c r="K877" i="94" s="1"/>
  <c r="DN817" i="94"/>
  <c r="O876" i="94" s="1"/>
  <c r="NB817" i="94"/>
  <c r="MZ817" i="94"/>
  <c r="NC817" i="94"/>
  <c r="KJ817" i="94"/>
  <c r="M900" i="94" s="1"/>
  <c r="IW817" i="94"/>
  <c r="N914" i="94" s="1"/>
  <c r="LI817" i="94"/>
  <c r="M905" i="94" s="1"/>
  <c r="JW817" i="94"/>
  <c r="O897" i="94" s="1"/>
  <c r="LM817" i="94"/>
  <c r="L906" i="94" s="1"/>
  <c r="DF817" i="94"/>
  <c r="L877" i="94" s="1"/>
  <c r="KK817" i="94"/>
  <c r="N900" i="94" s="1"/>
  <c r="JB817" i="94"/>
  <c r="N911" i="94" s="1"/>
  <c r="KZ817" i="94"/>
  <c r="N903" i="94" s="1"/>
  <c r="IN817" i="94"/>
  <c r="O908" i="94" s="1"/>
  <c r="JZ817" i="94"/>
  <c r="M898" i="94" s="1"/>
  <c r="BT817" i="94"/>
  <c r="N867" i="94" s="1"/>
  <c r="EB817" i="94"/>
  <c r="N873" i="94" s="1"/>
  <c r="BP817" i="94"/>
  <c r="O868" i="94" s="1"/>
  <c r="CH817" i="94"/>
  <c r="M864" i="94" s="1"/>
  <c r="IR817" i="94"/>
  <c r="N913" i="94" s="1"/>
  <c r="LD817" i="94"/>
  <c r="M904" i="94" s="1"/>
  <c r="KP817" i="94"/>
  <c r="N901" i="94" s="1"/>
  <c r="JK817" i="94"/>
  <c r="M909" i="94" s="1"/>
  <c r="KG817" i="94"/>
  <c r="O899" i="94" s="1"/>
  <c r="JL817" i="94"/>
  <c r="N909" i="94" s="1"/>
  <c r="ND817" i="94"/>
  <c r="II817" i="94"/>
  <c r="O907" i="94" s="1"/>
  <c r="KU817" i="94"/>
  <c r="N902" i="94" s="1"/>
  <c r="LF817" i="94"/>
  <c r="O904" i="94" s="1"/>
  <c r="IT817" i="94"/>
  <c r="K914" i="94" s="1"/>
  <c r="JV817" i="94"/>
  <c r="N897" i="94" s="1"/>
  <c r="IQ817" i="94"/>
  <c r="M913" i="94" s="1"/>
  <c r="LC817" i="94"/>
  <c r="L904" i="94" s="1"/>
  <c r="JX817" i="94"/>
  <c r="K898" i="94" s="1"/>
  <c r="A817" i="94"/>
  <c r="A774" i="94" s="1"/>
  <c r="KO817" i="94"/>
  <c r="M901" i="94" s="1"/>
  <c r="LJ817" i="94"/>
  <c r="N905" i="94" s="1"/>
  <c r="JD817" i="94"/>
  <c r="K912" i="94" s="1"/>
  <c r="JG817" i="94"/>
  <c r="N912" i="94" s="1"/>
  <c r="IO817" i="94"/>
  <c r="K913" i="94" s="1"/>
  <c r="KT817" i="94"/>
  <c r="M902" i="94" s="1"/>
  <c r="LE817" i="94"/>
  <c r="N904" i="94" s="1"/>
  <c r="IS817" i="94"/>
  <c r="O913" i="94" s="1"/>
  <c r="JP817" i="94"/>
  <c r="M910" i="94" s="1"/>
  <c r="JU817" i="94"/>
  <c r="M897" i="94" s="1"/>
  <c r="JA817" i="94"/>
  <c r="M911" i="94" s="1"/>
  <c r="KY817" i="94"/>
  <c r="M903" i="94" s="1"/>
  <c r="IM817" i="94"/>
  <c r="N908" i="94" s="1"/>
  <c r="MS817" i="94"/>
  <c r="MR817" i="94"/>
  <c r="JH817" i="94"/>
  <c r="O912" i="94" s="1"/>
  <c r="JN817" i="94"/>
  <c r="K910" i="94" s="1"/>
  <c r="KH817" i="94"/>
  <c r="K900" i="94" s="1"/>
  <c r="JT817" i="94"/>
  <c r="L897" i="94" s="1"/>
  <c r="IG817" i="94"/>
  <c r="M907" i="94" s="1"/>
  <c r="KS817" i="94"/>
  <c r="L902" i="94" s="1"/>
  <c r="IE817" i="94"/>
  <c r="K907" i="94" s="1"/>
  <c r="KQ817" i="94"/>
  <c r="O901" i="94" s="1"/>
  <c r="KC817" i="94"/>
  <c r="K899" i="94" s="1"/>
  <c r="JF817" i="94"/>
  <c r="M912" i="94" s="1"/>
  <c r="MP817" i="94"/>
  <c r="KM817" i="94"/>
  <c r="K901" i="94" s="1"/>
  <c r="KE817" i="94"/>
  <c r="M899" i="94" s="1"/>
  <c r="JJ817" i="94"/>
  <c r="L909" i="94" s="1"/>
  <c r="IP817" i="94"/>
  <c r="L913" i="94" s="1"/>
  <c r="LB817" i="94"/>
  <c r="K904" i="94" s="1"/>
  <c r="JC817" i="94"/>
  <c r="O911" i="94" s="1"/>
  <c r="LO817" i="94"/>
  <c r="N906" i="94" s="1"/>
  <c r="KB817" i="94"/>
  <c r="O898" i="94" s="1"/>
  <c r="LA817" i="94"/>
  <c r="O903" i="94" s="1"/>
  <c r="KR817" i="94"/>
  <c r="K902" i="94" s="1"/>
  <c r="IK817" i="94"/>
  <c r="L908" i="94" s="1"/>
  <c r="KW817" i="94"/>
  <c r="K903" i="94" s="1"/>
  <c r="JS817" i="94"/>
  <c r="K897" i="94" s="1"/>
  <c r="IF817" i="94"/>
  <c r="L907" i="94" s="1"/>
  <c r="MT817" i="94"/>
  <c r="IY817" i="94"/>
  <c r="K911" i="94" s="1"/>
  <c r="LK817" i="94"/>
  <c r="O905" i="94" s="1"/>
  <c r="KF817" i="94"/>
  <c r="N899" i="94" s="1"/>
  <c r="JR817" i="94"/>
  <c r="O910" i="94" s="1"/>
  <c r="KA817" i="94"/>
  <c r="N898" i="94" s="1"/>
  <c r="IZ817" i="94"/>
  <c r="L911" i="94" s="1"/>
  <c r="MQ817" i="94"/>
  <c r="LL817" i="94"/>
  <c r="K906" i="94" s="1"/>
  <c r="KL817" i="94"/>
  <c r="O900" i="94" s="1"/>
  <c r="BX817" i="94"/>
  <c r="M866" i="94" s="1"/>
  <c r="DJ817" i="94"/>
  <c r="K876" i="94" s="1"/>
  <c r="BS817" i="94"/>
  <c r="M867" i="94" s="1"/>
  <c r="CA817" i="94"/>
  <c r="K865" i="94" s="1"/>
  <c r="FW817" i="94"/>
  <c r="CL817" i="94"/>
  <c r="L863" i="94" s="1"/>
  <c r="DW817" i="94"/>
  <c r="N874" i="94" s="1"/>
  <c r="CG817" i="94"/>
  <c r="L864" i="94" s="1"/>
  <c r="DG817" i="94"/>
  <c r="M877" i="94" s="1"/>
  <c r="DC817" i="94"/>
  <c r="N878" i="94" s="1"/>
  <c r="DH817" i="94"/>
  <c r="N877" i="94" s="1"/>
  <c r="CF817" i="94"/>
  <c r="K864" i="94" s="1"/>
  <c r="DD817" i="94"/>
  <c r="O878" i="94" s="1"/>
  <c r="EA817" i="94"/>
  <c r="M873" i="94" s="1"/>
  <c r="BO817" i="94"/>
  <c r="N868" i="94" s="1"/>
  <c r="DK817" i="94"/>
  <c r="L876" i="94" s="1"/>
  <c r="FZ817" i="94"/>
  <c r="BR817" i="94"/>
  <c r="L867" i="94" s="1"/>
  <c r="CY817" i="94"/>
  <c r="O879" i="94" s="1"/>
  <c r="CQ817" i="94"/>
  <c r="L862" i="94" s="1"/>
  <c r="DP817" i="94"/>
  <c r="L875" i="94" s="1"/>
  <c r="DZ817" i="94"/>
  <c r="L873" i="94" s="1"/>
  <c r="CK817" i="94"/>
  <c r="K863" i="94" s="1"/>
  <c r="DA817" i="94"/>
  <c r="L878" i="94" s="1"/>
  <c r="DT817" i="94"/>
  <c r="K874" i="94" s="1"/>
  <c r="DX817" i="94"/>
  <c r="O874" i="94" s="1"/>
  <c r="B490" i="94"/>
  <c r="E482" i="94"/>
  <c r="E483" i="94"/>
  <c r="M578" i="94"/>
  <c r="M595" i="94" s="1"/>
  <c r="M597" i="94" s="1"/>
  <c r="M599" i="94" s="1"/>
  <c r="G463" i="94"/>
  <c r="G578" i="94" s="1"/>
  <c r="J609" i="94" s="1"/>
  <c r="U462" i="94"/>
  <c r="A460" i="94"/>
  <c r="E481" i="94"/>
  <c r="I437" i="94"/>
  <c r="L410" i="94"/>
  <c r="N375" i="94"/>
  <c r="A375" i="94"/>
  <c r="N361" i="94"/>
  <c r="N362" i="94"/>
  <c r="N363" i="94"/>
  <c r="N364" i="94"/>
  <c r="N365" i="94"/>
  <c r="N366" i="94"/>
  <c r="N367" i="94"/>
  <c r="N368" i="94"/>
  <c r="N369" i="94"/>
  <c r="N370" i="94"/>
  <c r="N371" i="94"/>
  <c r="N372" i="94"/>
  <c r="M361" i="94"/>
  <c r="M362" i="94"/>
  <c r="M363" i="94"/>
  <c r="M364" i="94"/>
  <c r="M365" i="94"/>
  <c r="M366" i="94"/>
  <c r="M367" i="94"/>
  <c r="M368" i="94"/>
  <c r="M369" i="94"/>
  <c r="M370" i="94"/>
  <c r="M371" i="94"/>
  <c r="M372" i="94"/>
  <c r="K361" i="94"/>
  <c r="L361" i="94"/>
  <c r="K362" i="94"/>
  <c r="L362" i="94"/>
  <c r="K363" i="94"/>
  <c r="L363" i="94"/>
  <c r="K364" i="94"/>
  <c r="L364" i="94"/>
  <c r="K365" i="94"/>
  <c r="L365" i="94"/>
  <c r="K366" i="94"/>
  <c r="L366" i="94"/>
  <c r="K367" i="94"/>
  <c r="L367" i="94"/>
  <c r="K368" i="94"/>
  <c r="L368" i="94"/>
  <c r="K369" i="94"/>
  <c r="L369" i="94"/>
  <c r="K370" i="94"/>
  <c r="L370" i="94"/>
  <c r="K371" i="94"/>
  <c r="L371" i="94"/>
  <c r="K372" i="94"/>
  <c r="L372" i="94"/>
  <c r="I361" i="94"/>
  <c r="J361" i="94"/>
  <c r="I362" i="94"/>
  <c r="J362" i="94"/>
  <c r="I363" i="94"/>
  <c r="J363" i="94"/>
  <c r="I364" i="94"/>
  <c r="J364" i="94"/>
  <c r="I365" i="94"/>
  <c r="J365" i="94"/>
  <c r="I366" i="94"/>
  <c r="J366" i="94"/>
  <c r="I367" i="94"/>
  <c r="J367" i="94"/>
  <c r="I368" i="94"/>
  <c r="J368" i="94"/>
  <c r="I369" i="94"/>
  <c r="J369" i="94"/>
  <c r="I370" i="94"/>
  <c r="J370" i="94"/>
  <c r="I371" i="94"/>
  <c r="J371" i="94"/>
  <c r="I372" i="94"/>
  <c r="J372" i="94"/>
  <c r="E361" i="94"/>
  <c r="E362" i="94"/>
  <c r="E363" i="94"/>
  <c r="E364" i="94"/>
  <c r="E365" i="94"/>
  <c r="E366" i="94"/>
  <c r="E367" i="94"/>
  <c r="E368" i="94"/>
  <c r="E369" i="94"/>
  <c r="E370" i="94"/>
  <c r="E371" i="94"/>
  <c r="E372" i="94"/>
  <c r="N360" i="94"/>
  <c r="M360" i="94"/>
  <c r="L360" i="94"/>
  <c r="K360" i="94"/>
  <c r="J360" i="94"/>
  <c r="I360" i="94"/>
  <c r="E360" i="94"/>
  <c r="D351" i="94"/>
  <c r="G344" i="94"/>
  <c r="G345" i="94"/>
  <c r="G346" i="94"/>
  <c r="G347" i="94"/>
  <c r="G348" i="94"/>
  <c r="G349" i="94"/>
  <c r="G350" i="94"/>
  <c r="G351" i="94"/>
  <c r="F344" i="94"/>
  <c r="F345" i="94"/>
  <c r="F346" i="94"/>
  <c r="F347" i="94"/>
  <c r="F348" i="94"/>
  <c r="F349" i="94"/>
  <c r="F350" i="94"/>
  <c r="F351" i="94"/>
  <c r="G343" i="94"/>
  <c r="F343" i="94"/>
  <c r="H340" i="94"/>
  <c r="M340" i="94"/>
  <c r="Q338" i="94"/>
  <c r="Q339" i="94"/>
  <c r="J340" i="94"/>
  <c r="L338" i="94"/>
  <c r="H338" i="94"/>
  <c r="H339" i="94"/>
  <c r="L335" i="94"/>
  <c r="J335" i="94"/>
  <c r="H335" i="94"/>
  <c r="Q334" i="94"/>
  <c r="L334" i="94"/>
  <c r="H334" i="94"/>
  <c r="Q333" i="94"/>
  <c r="L333" i="94"/>
  <c r="H333" i="94"/>
  <c r="Q332" i="94"/>
  <c r="H332" i="94"/>
  <c r="Q331" i="94"/>
  <c r="H331" i="94"/>
  <c r="L329" i="94"/>
  <c r="J329" i="94"/>
  <c r="H329" i="94"/>
  <c r="Q328" i="94"/>
  <c r="L328" i="94"/>
  <c r="H328" i="94"/>
  <c r="Q327" i="94"/>
  <c r="L327" i="94"/>
  <c r="H327" i="94"/>
  <c r="Q326" i="94"/>
  <c r="H326" i="94"/>
  <c r="Q325" i="94"/>
  <c r="H325" i="94"/>
  <c r="L323" i="94"/>
  <c r="J323" i="94"/>
  <c r="H323" i="94"/>
  <c r="Q322" i="94"/>
  <c r="L322" i="94"/>
  <c r="H322" i="94"/>
  <c r="Q321" i="94"/>
  <c r="L321" i="94"/>
  <c r="H321" i="94"/>
  <c r="Q320" i="94"/>
  <c r="H320" i="94"/>
  <c r="Q319" i="94"/>
  <c r="H319" i="94"/>
  <c r="L317" i="94"/>
  <c r="J317" i="94"/>
  <c r="H317" i="94"/>
  <c r="Q316" i="94"/>
  <c r="L316" i="94"/>
  <c r="H316" i="94"/>
  <c r="Q315" i="94"/>
  <c r="L315" i="94"/>
  <c r="H315" i="94"/>
  <c r="Q314" i="94"/>
  <c r="H314" i="94"/>
  <c r="Q313" i="94"/>
  <c r="H313" i="94"/>
  <c r="L311" i="94"/>
  <c r="J311" i="94"/>
  <c r="H311" i="94"/>
  <c r="Q310" i="94"/>
  <c r="L310" i="94"/>
  <c r="H310" i="94"/>
  <c r="Q309" i="94"/>
  <c r="L309" i="94"/>
  <c r="H309" i="94"/>
  <c r="Q308" i="94"/>
  <c r="H308" i="94"/>
  <c r="Q307" i="94"/>
  <c r="H307" i="94"/>
  <c r="L305" i="94"/>
  <c r="J305" i="94"/>
  <c r="H305" i="94"/>
  <c r="Q304" i="94"/>
  <c r="L304" i="94"/>
  <c r="H304" i="94"/>
  <c r="Q303" i="94"/>
  <c r="L303" i="94"/>
  <c r="H303" i="94"/>
  <c r="Q302" i="94"/>
  <c r="H302" i="94"/>
  <c r="Q301" i="94"/>
  <c r="H301" i="94"/>
  <c r="L297" i="94"/>
  <c r="J297" i="94"/>
  <c r="H297" i="94"/>
  <c r="Q296" i="94"/>
  <c r="L296" i="94"/>
  <c r="H296" i="94"/>
  <c r="Q295" i="94"/>
  <c r="L295" i="94"/>
  <c r="H295" i="94"/>
  <c r="Q294" i="94"/>
  <c r="H294" i="94"/>
  <c r="Q293" i="94"/>
  <c r="H293" i="94"/>
  <c r="L291" i="94"/>
  <c r="J291" i="94"/>
  <c r="H291" i="94"/>
  <c r="Q290" i="94"/>
  <c r="L290" i="94"/>
  <c r="H290" i="94"/>
  <c r="Q289" i="94"/>
  <c r="L289" i="94"/>
  <c r="H289" i="94"/>
  <c r="Q288" i="94"/>
  <c r="H288" i="94"/>
  <c r="Q287" i="94"/>
  <c r="H287" i="94"/>
  <c r="L285" i="94"/>
  <c r="J285" i="94"/>
  <c r="H285" i="94"/>
  <c r="Q284" i="94"/>
  <c r="L284" i="94"/>
  <c r="H284" i="94"/>
  <c r="Q283" i="94"/>
  <c r="L283" i="94"/>
  <c r="H283" i="94"/>
  <c r="Q282" i="94"/>
  <c r="H282" i="94"/>
  <c r="Q281" i="94"/>
  <c r="H281" i="94"/>
  <c r="L279" i="94"/>
  <c r="J279" i="94"/>
  <c r="H279" i="94"/>
  <c r="Q278" i="94"/>
  <c r="L278" i="94"/>
  <c r="H278" i="94"/>
  <c r="Q277" i="94"/>
  <c r="L277" i="94"/>
  <c r="H277" i="94"/>
  <c r="Q276" i="94"/>
  <c r="H276" i="94"/>
  <c r="Q275" i="94"/>
  <c r="H275" i="94"/>
  <c r="L271" i="94"/>
  <c r="J271" i="94"/>
  <c r="H271" i="94"/>
  <c r="Q270" i="94"/>
  <c r="L270" i="94"/>
  <c r="H270" i="94"/>
  <c r="Q269" i="94"/>
  <c r="L269" i="94"/>
  <c r="H269" i="94"/>
  <c r="Q268" i="94"/>
  <c r="H268" i="94"/>
  <c r="Q267" i="94"/>
  <c r="H267" i="94"/>
  <c r="L264" i="94"/>
  <c r="J264" i="94"/>
  <c r="H264" i="94"/>
  <c r="Q263" i="94"/>
  <c r="L263" i="94"/>
  <c r="H263" i="94"/>
  <c r="Q262" i="94"/>
  <c r="L262" i="94"/>
  <c r="H262" i="94"/>
  <c r="Q261" i="94"/>
  <c r="H261" i="94"/>
  <c r="Q260" i="94"/>
  <c r="H260" i="94"/>
  <c r="L258" i="94"/>
  <c r="J258" i="94"/>
  <c r="H258" i="94"/>
  <c r="Q257" i="94"/>
  <c r="L257" i="94"/>
  <c r="H257" i="94"/>
  <c r="Q256" i="94"/>
  <c r="L256" i="94"/>
  <c r="H256" i="94"/>
  <c r="Q255" i="94"/>
  <c r="H255" i="94"/>
  <c r="Q254" i="94"/>
  <c r="H254" i="94"/>
  <c r="L251" i="94"/>
  <c r="J251" i="94"/>
  <c r="H251" i="94"/>
  <c r="Q250" i="94"/>
  <c r="L250" i="94"/>
  <c r="H250" i="94"/>
  <c r="Q249" i="94"/>
  <c r="L249" i="94"/>
  <c r="H249" i="94"/>
  <c r="Q248" i="94"/>
  <c r="H248" i="94"/>
  <c r="Q247" i="94"/>
  <c r="H247" i="94"/>
  <c r="L245" i="94"/>
  <c r="J245" i="94"/>
  <c r="H245" i="94"/>
  <c r="Q244" i="94"/>
  <c r="L244" i="94"/>
  <c r="H244" i="94"/>
  <c r="Q243" i="94"/>
  <c r="L243" i="94"/>
  <c r="H243" i="94"/>
  <c r="Q242" i="94"/>
  <c r="H242" i="94"/>
  <c r="Q241" i="94"/>
  <c r="H241" i="94"/>
  <c r="L239" i="94"/>
  <c r="J239" i="94"/>
  <c r="L230" i="94"/>
  <c r="J230" i="94"/>
  <c r="Q238" i="94"/>
  <c r="Q237" i="94"/>
  <c r="Q229" i="94"/>
  <c r="Q228" i="94"/>
  <c r="Q236" i="94"/>
  <c r="H239" i="94"/>
  <c r="H230" i="94"/>
  <c r="M229" i="94"/>
  <c r="L228" i="94"/>
  <c r="L238" i="94"/>
  <c r="J229" i="94"/>
  <c r="H238" i="94"/>
  <c r="H229" i="94"/>
  <c r="Q235" i="94"/>
  <c r="Q227" i="94"/>
  <c r="Q226" i="94"/>
  <c r="L237" i="94"/>
  <c r="H237" i="94"/>
  <c r="H228" i="94"/>
  <c r="H236" i="94"/>
  <c r="H235" i="94"/>
  <c r="H227" i="94"/>
  <c r="H226" i="94"/>
  <c r="O224" i="94"/>
  <c r="A222" i="94"/>
  <c r="M218" i="94"/>
  <c r="A218" i="94"/>
  <c r="H214" i="94"/>
  <c r="H215" i="94"/>
  <c r="H213" i="94"/>
  <c r="O209" i="94"/>
  <c r="O210" i="94"/>
  <c r="O208" i="94"/>
  <c r="N206" i="94"/>
  <c r="P207" i="94"/>
  <c r="P206" i="94"/>
  <c r="P205" i="94"/>
  <c r="P204" i="94"/>
  <c r="I205" i="94"/>
  <c r="I206" i="94"/>
  <c r="I207" i="94"/>
  <c r="I208" i="94"/>
  <c r="I209" i="94"/>
  <c r="I210" i="94"/>
  <c r="I204" i="94"/>
  <c r="P201" i="94"/>
  <c r="P200" i="94"/>
  <c r="P196" i="94"/>
  <c r="P195" i="94"/>
  <c r="L196" i="94"/>
  <c r="L195" i="94"/>
  <c r="L193" i="94"/>
  <c r="I200" i="94"/>
  <c r="I198" i="94"/>
  <c r="I196" i="94"/>
  <c r="I195" i="94"/>
  <c r="I193" i="94"/>
  <c r="J192" i="94"/>
  <c r="N189" i="94"/>
  <c r="N190" i="94"/>
  <c r="N191" i="94"/>
  <c r="J191" i="94"/>
  <c r="J190" i="94"/>
  <c r="D192" i="94"/>
  <c r="G191" i="94"/>
  <c r="D191" i="94"/>
  <c r="D190" i="94"/>
  <c r="D189" i="94"/>
  <c r="O173" i="94"/>
  <c r="O172" i="94"/>
  <c r="I179" i="94"/>
  <c r="O176" i="94"/>
  <c r="I174" i="94"/>
  <c r="I187" i="94"/>
  <c r="I186" i="94"/>
  <c r="I185" i="94"/>
  <c r="I184" i="94"/>
  <c r="I177" i="94"/>
  <c r="I176" i="94"/>
  <c r="I173" i="94"/>
  <c r="I172" i="94"/>
  <c r="I171" i="94"/>
  <c r="I170" i="94"/>
  <c r="I169" i="94"/>
  <c r="I167" i="94"/>
  <c r="M165" i="94"/>
  <c r="M164" i="94"/>
  <c r="M163" i="94"/>
  <c r="M162" i="94"/>
  <c r="M161" i="94"/>
  <c r="M160" i="94"/>
  <c r="F161" i="94"/>
  <c r="F162" i="94"/>
  <c r="F163" i="94"/>
  <c r="F164" i="94"/>
  <c r="F165" i="94"/>
  <c r="F160" i="94"/>
  <c r="J165" i="94"/>
  <c r="J164" i="94"/>
  <c r="J163" i="94"/>
  <c r="J162" i="94"/>
  <c r="J161" i="94"/>
  <c r="J160" i="94"/>
  <c r="C165" i="94"/>
  <c r="C164" i="94"/>
  <c r="C163" i="94"/>
  <c r="C162" i="94"/>
  <c r="C161" i="94"/>
  <c r="C160" i="94"/>
  <c r="P155" i="94"/>
  <c r="M155" i="94"/>
  <c r="J155" i="94"/>
  <c r="P154" i="94"/>
  <c r="M154" i="94"/>
  <c r="J154" i="94"/>
  <c r="P153" i="94"/>
  <c r="M153" i="94"/>
  <c r="J153" i="94"/>
  <c r="P152" i="94"/>
  <c r="M152" i="94"/>
  <c r="J152" i="94"/>
  <c r="P151" i="94"/>
  <c r="M151" i="94"/>
  <c r="J151" i="94"/>
  <c r="P150" i="94"/>
  <c r="M150" i="94"/>
  <c r="J150" i="94"/>
  <c r="I151" i="94"/>
  <c r="I152" i="94"/>
  <c r="I153" i="94"/>
  <c r="I154" i="94"/>
  <c r="I155" i="94"/>
  <c r="F151" i="94"/>
  <c r="F152" i="94"/>
  <c r="F153" i="94"/>
  <c r="F154" i="94"/>
  <c r="F155" i="94"/>
  <c r="I150" i="94"/>
  <c r="F150" i="94"/>
  <c r="C151" i="94"/>
  <c r="C152" i="94"/>
  <c r="C153" i="94"/>
  <c r="C154" i="94"/>
  <c r="C155" i="94"/>
  <c r="C150" i="94"/>
  <c r="H146" i="94"/>
  <c r="H144" i="94"/>
  <c r="L138" i="94"/>
  <c r="I138" i="94"/>
  <c r="I137" i="94"/>
  <c r="K136" i="94"/>
  <c r="M137" i="94"/>
  <c r="O136" i="94"/>
  <c r="O135" i="94"/>
  <c r="O134" i="94"/>
  <c r="I136" i="94"/>
  <c r="E138" i="94"/>
  <c r="E137" i="94"/>
  <c r="E136" i="94"/>
  <c r="E135" i="94"/>
  <c r="E134" i="94"/>
  <c r="H130" i="94"/>
  <c r="P126" i="94"/>
  <c r="P125" i="94"/>
  <c r="H128" i="94"/>
  <c r="H126" i="94"/>
  <c r="H125" i="94"/>
  <c r="P121" i="94"/>
  <c r="K119" i="94"/>
  <c r="P110" i="94"/>
  <c r="O110" i="94"/>
  <c r="O109" i="94"/>
  <c r="M110" i="94"/>
  <c r="M109" i="94"/>
  <c r="M107" i="94"/>
  <c r="H107" i="94"/>
  <c r="P99" i="94"/>
  <c r="H103" i="94"/>
  <c r="H100" i="94"/>
  <c r="H99" i="94"/>
  <c r="H101" i="94" s="1"/>
  <c r="P81" i="94"/>
  <c r="H83" i="94"/>
  <c r="M74" i="94"/>
  <c r="M73" i="94"/>
  <c r="I74" i="94"/>
  <c r="F74" i="94"/>
  <c r="F73" i="94"/>
  <c r="M71" i="94"/>
  <c r="J72" i="94"/>
  <c r="F72" i="94"/>
  <c r="F71" i="94"/>
  <c r="H68" i="94"/>
  <c r="J68" i="94"/>
  <c r="H69" i="94"/>
  <c r="J69" i="94"/>
  <c r="F69" i="94"/>
  <c r="F68" i="94"/>
  <c r="F65" i="94"/>
  <c r="F64" i="94"/>
  <c r="F63" i="94"/>
  <c r="J63" i="94"/>
  <c r="O63" i="94"/>
  <c r="O62" i="94"/>
  <c r="J62" i="94"/>
  <c r="G62" i="94"/>
  <c r="P64" i="94"/>
  <c r="N64" i="94"/>
  <c r="N61" i="94"/>
  <c r="P61" i="94"/>
  <c r="O60" i="94"/>
  <c r="O59" i="94"/>
  <c r="F60" i="94"/>
  <c r="F61" i="94"/>
  <c r="F59" i="94"/>
  <c r="O55" i="94"/>
  <c r="F55" i="94"/>
  <c r="O54" i="94"/>
  <c r="M54" i="94"/>
  <c r="J54" i="94"/>
  <c r="F54" i="94"/>
  <c r="J53" i="94"/>
  <c r="F53" i="94"/>
  <c r="F52" i="94"/>
  <c r="N51" i="94"/>
  <c r="J51" i="94"/>
  <c r="F51" i="94"/>
  <c r="F49" i="94"/>
  <c r="O49" i="94"/>
  <c r="O48" i="94"/>
  <c r="M48" i="94"/>
  <c r="J48" i="94"/>
  <c r="F48" i="94"/>
  <c r="J47" i="94"/>
  <c r="F47" i="94"/>
  <c r="F46" i="94"/>
  <c r="N45" i="94"/>
  <c r="J45" i="94"/>
  <c r="F45" i="94"/>
  <c r="N41" i="94"/>
  <c r="F41" i="94"/>
  <c r="F40" i="94"/>
  <c r="L40" i="94"/>
  <c r="P40" i="94"/>
  <c r="N39" i="94"/>
  <c r="F39" i="94"/>
  <c r="O37" i="94"/>
  <c r="O36" i="94"/>
  <c r="F36" i="94"/>
  <c r="P115" i="94"/>
  <c r="P113" i="94"/>
  <c r="P112" i="94"/>
  <c r="L1891" i="94" s="1"/>
  <c r="O34" i="94"/>
  <c r="A26" i="94"/>
  <c r="A5" i="94"/>
  <c r="A2" i="94"/>
  <c r="M347" i="72"/>
  <c r="P202" i="94" l="1"/>
  <c r="P930" i="94"/>
  <c r="P938" i="94"/>
  <c r="L924" i="94"/>
  <c r="P835" i="94"/>
  <c r="Q938" i="94" s="1"/>
  <c r="L921" i="94"/>
  <c r="L920" i="94"/>
  <c r="K919" i="94"/>
  <c r="K935" i="94"/>
  <c r="K937" i="94" s="1"/>
  <c r="K939" i="94" s="1"/>
  <c r="K923" i="94"/>
  <c r="N923" i="94"/>
  <c r="L935" i="94"/>
  <c r="L937" i="94" s="1"/>
  <c r="L939" i="94" s="1"/>
  <c r="O832" i="94"/>
  <c r="O834" i="94" s="1"/>
  <c r="O836" i="94" s="1"/>
  <c r="O942" i="94" s="1"/>
  <c r="P931" i="94"/>
  <c r="P929" i="94"/>
  <c r="K920" i="94"/>
  <c r="M935" i="94"/>
  <c r="M937" i="94" s="1"/>
  <c r="M939" i="94" s="1"/>
  <c r="P829" i="94"/>
  <c r="K922" i="94"/>
  <c r="L922" i="94"/>
  <c r="O923" i="94"/>
  <c r="P908" i="94"/>
  <c r="P1008" i="94"/>
  <c r="K924" i="94"/>
  <c r="N884" i="94"/>
  <c r="P830" i="94"/>
  <c r="P854" i="94" s="1"/>
  <c r="O855" i="94" s="1"/>
  <c r="O856" i="94" s="1"/>
  <c r="O884" i="94"/>
  <c r="O887" i="94"/>
  <c r="N935" i="94"/>
  <c r="N937" i="94" s="1"/>
  <c r="N939" i="94" s="1"/>
  <c r="P934" i="94"/>
  <c r="L890" i="94"/>
  <c r="P826" i="94"/>
  <c r="Q929" i="94" s="1"/>
  <c r="P833" i="94"/>
  <c r="Q936" i="94" s="1"/>
  <c r="O935" i="94"/>
  <c r="O937" i="94" s="1"/>
  <c r="O939" i="94" s="1"/>
  <c r="P932" i="94"/>
  <c r="P928" i="94"/>
  <c r="L887" i="94"/>
  <c r="P933" i="94"/>
  <c r="N832" i="94"/>
  <c r="N834" i="94" s="1"/>
  <c r="N836" i="94" s="1"/>
  <c r="N942" i="94" s="1"/>
  <c r="P831" i="94"/>
  <c r="P857" i="94" s="1"/>
  <c r="N858" i="94" s="1"/>
  <c r="N859" i="94" s="1"/>
  <c r="K887" i="94"/>
  <c r="M832" i="94"/>
  <c r="M834" i="94" s="1"/>
  <c r="M836" i="94" s="1"/>
  <c r="N887" i="94"/>
  <c r="P936" i="94"/>
  <c r="K884" i="94"/>
  <c r="P889" i="94"/>
  <c r="P828" i="94"/>
  <c r="Q931" i="94" s="1"/>
  <c r="P885" i="94"/>
  <c r="N869" i="94"/>
  <c r="L884" i="94"/>
  <c r="M890" i="94"/>
  <c r="P888" i="94"/>
  <c r="M884" i="94"/>
  <c r="K890" i="94"/>
  <c r="N890" i="94"/>
  <c r="P867" i="94"/>
  <c r="P866" i="94"/>
  <c r="P827" i="94"/>
  <c r="L832" i="94"/>
  <c r="L834" i="94" s="1"/>
  <c r="L836" i="94" s="1"/>
  <c r="L942" i="94" s="1"/>
  <c r="K832" i="94"/>
  <c r="K834" i="94" s="1"/>
  <c r="O890" i="94"/>
  <c r="M887" i="94"/>
  <c r="P825" i="94"/>
  <c r="P886" i="94"/>
  <c r="O919" i="94"/>
  <c r="L1894" i="94"/>
  <c r="P901" i="94"/>
  <c r="P883" i="94"/>
  <c r="M923" i="94"/>
  <c r="N920" i="94"/>
  <c r="P879" i="94"/>
  <c r="N919" i="94"/>
  <c r="P868" i="94"/>
  <c r="G1041" i="94"/>
  <c r="P862" i="94"/>
  <c r="M918" i="94"/>
  <c r="P909" i="94"/>
  <c r="L925" i="94"/>
  <c r="N918" i="94"/>
  <c r="L919" i="94"/>
  <c r="Q1008" i="94"/>
  <c r="P882" i="94"/>
  <c r="O920" i="94"/>
  <c r="M921" i="94"/>
  <c r="K921" i="94"/>
  <c r="P913" i="94"/>
  <c r="K918" i="94"/>
  <c r="L923" i="94"/>
  <c r="N925" i="94"/>
  <c r="P1009" i="94"/>
  <c r="P906" i="94"/>
  <c r="O869" i="94"/>
  <c r="M919" i="94"/>
  <c r="P874" i="94"/>
  <c r="P914" i="94"/>
  <c r="O925" i="94"/>
  <c r="O896" i="94"/>
  <c r="P900" i="94"/>
  <c r="M920" i="94"/>
  <c r="N924" i="94"/>
  <c r="P905" i="94"/>
  <c r="K880" i="94"/>
  <c r="P865" i="94"/>
  <c r="P902" i="94"/>
  <c r="P878" i="94"/>
  <c r="Q1009" i="94"/>
  <c r="P876" i="94"/>
  <c r="M925" i="94"/>
  <c r="P873" i="94"/>
  <c r="O921" i="94"/>
  <c r="K894" i="94"/>
  <c r="P897" i="94"/>
  <c r="M924" i="94"/>
  <c r="P863" i="94"/>
  <c r="L894" i="94"/>
  <c r="L896" i="94"/>
  <c r="J595" i="94"/>
  <c r="J597" i="94" s="1"/>
  <c r="J599" i="94" s="1"/>
  <c r="N880" i="94"/>
  <c r="L880" i="94"/>
  <c r="K925" i="94"/>
  <c r="M922" i="94"/>
  <c r="P898" i="94"/>
  <c r="P904" i="94"/>
  <c r="Q1007" i="94"/>
  <c r="P907" i="94"/>
  <c r="P911" i="94"/>
  <c r="O918" i="94"/>
  <c r="P903" i="94"/>
  <c r="N921" i="94"/>
  <c r="P912" i="94"/>
  <c r="M894" i="94"/>
  <c r="P899" i="94"/>
  <c r="M896" i="94"/>
  <c r="K896" i="94"/>
  <c r="O922" i="94"/>
  <c r="P910" i="94"/>
  <c r="O894" i="94"/>
  <c r="M869" i="94"/>
  <c r="O880" i="94"/>
  <c r="N894" i="94"/>
  <c r="O924" i="94"/>
  <c r="N896" i="94"/>
  <c r="L918" i="94"/>
  <c r="P1007" i="94"/>
  <c r="N922" i="94"/>
  <c r="P864" i="94"/>
  <c r="M880" i="94"/>
  <c r="P877" i="94"/>
  <c r="L869" i="94"/>
  <c r="P875" i="94"/>
  <c r="K869" i="94"/>
  <c r="F493" i="94"/>
  <c r="E484" i="94"/>
  <c r="G480" i="94" s="1"/>
  <c r="L373" i="94"/>
  <c r="L63" i="94"/>
  <c r="M942" i="94" l="1"/>
  <c r="Q932" i="94"/>
  <c r="P851" i="94"/>
  <c r="N852" i="94" s="1"/>
  <c r="N853" i="94" s="1"/>
  <c r="P919" i="94"/>
  <c r="L855" i="94"/>
  <c r="L856" i="94" s="1"/>
  <c r="P925" i="94"/>
  <c r="K855" i="94"/>
  <c r="K856" i="94" s="1"/>
  <c r="N855" i="94"/>
  <c r="N856" i="94" s="1"/>
  <c r="Q933" i="94"/>
  <c r="P855" i="94"/>
  <c r="P856" i="94" s="1"/>
  <c r="M855" i="94"/>
  <c r="M856" i="94" s="1"/>
  <c r="P887" i="94"/>
  <c r="P848" i="94"/>
  <c r="O849" i="94" s="1"/>
  <c r="O850" i="94" s="1"/>
  <c r="P842" i="94"/>
  <c r="O843" i="94" s="1"/>
  <c r="O844" i="94" s="1"/>
  <c r="P935" i="94"/>
  <c r="M858" i="94"/>
  <c r="M859" i="94" s="1"/>
  <c r="O858" i="94"/>
  <c r="O859" i="94" s="1"/>
  <c r="L858" i="94"/>
  <c r="L859" i="94" s="1"/>
  <c r="K858" i="94"/>
  <c r="K859" i="94" s="1"/>
  <c r="P858" i="94"/>
  <c r="P859" i="94" s="1"/>
  <c r="P834" i="94"/>
  <c r="Q934" i="94"/>
  <c r="P884" i="94"/>
  <c r="P937" i="94"/>
  <c r="P939" i="94"/>
  <c r="P890" i="94"/>
  <c r="P832" i="94"/>
  <c r="P845" i="94"/>
  <c r="Q930" i="94"/>
  <c r="K836" i="94"/>
  <c r="K942" i="94" s="1"/>
  <c r="P839" i="94"/>
  <c r="Q928" i="94"/>
  <c r="P880" i="94"/>
  <c r="P923" i="94"/>
  <c r="P918" i="94"/>
  <c r="H1041" i="94"/>
  <c r="P924" i="94"/>
  <c r="P896" i="94"/>
  <c r="P920" i="94"/>
  <c r="P922" i="94"/>
  <c r="P921" i="94"/>
  <c r="P894" i="94"/>
  <c r="P1010" i="94" s="1"/>
  <c r="P869" i="94"/>
  <c r="M443" i="72"/>
  <c r="S69" i="75"/>
  <c r="O852" i="94" l="1"/>
  <c r="O853" i="94" s="1"/>
  <c r="K852" i="94"/>
  <c r="K853" i="94" s="1"/>
  <c r="P852" i="94"/>
  <c r="P853" i="94" s="1"/>
  <c r="L852" i="94"/>
  <c r="L853" i="94" s="1"/>
  <c r="P1011" i="94"/>
  <c r="M852" i="94"/>
  <c r="M853" i="94" s="1"/>
  <c r="Q1010" i="94"/>
  <c r="Q1011" i="94" s="1"/>
  <c r="K849" i="94"/>
  <c r="K850" i="94" s="1"/>
  <c r="P849" i="94"/>
  <c r="P850" i="94" s="1"/>
  <c r="N843" i="94"/>
  <c r="N844" i="94" s="1"/>
  <c r="L849" i="94"/>
  <c r="L850" i="94" s="1"/>
  <c r="P836" i="94"/>
  <c r="K1003" i="94" s="1"/>
  <c r="P843" i="94"/>
  <c r="P844" i="94" s="1"/>
  <c r="N849" i="94"/>
  <c r="N850" i="94" s="1"/>
  <c r="M843" i="94"/>
  <c r="M844" i="94" s="1"/>
  <c r="L843" i="94"/>
  <c r="L844" i="94" s="1"/>
  <c r="K843" i="94"/>
  <c r="K844" i="94" s="1"/>
  <c r="M849" i="94"/>
  <c r="M850" i="94" s="1"/>
  <c r="P840" i="94"/>
  <c r="P841" i="94" s="1"/>
  <c r="N840" i="94"/>
  <c r="N841" i="94" s="1"/>
  <c r="K840" i="94"/>
  <c r="K841" i="94" s="1"/>
  <c r="L840" i="94"/>
  <c r="L841" i="94" s="1"/>
  <c r="M840" i="94"/>
  <c r="M841" i="94" s="1"/>
  <c r="O840" i="94"/>
  <c r="O841" i="94" s="1"/>
  <c r="L846" i="94"/>
  <c r="L847" i="94" s="1"/>
  <c r="P846" i="94"/>
  <c r="P847" i="94" s="1"/>
  <c r="M846" i="94"/>
  <c r="M847" i="94" s="1"/>
  <c r="O846" i="94"/>
  <c r="O847" i="94" s="1"/>
  <c r="K846" i="94"/>
  <c r="K847" i="94" s="1"/>
  <c r="N846" i="94"/>
  <c r="N847" i="94" s="1"/>
  <c r="I1041" i="94"/>
  <c r="A11" i="75"/>
  <c r="A12" i="75"/>
  <c r="A13" i="75"/>
  <c r="A14" i="75"/>
  <c r="A15" i="75"/>
  <c r="A16" i="75"/>
  <c r="A17" i="75"/>
  <c r="A18" i="75"/>
  <c r="A19" i="75"/>
  <c r="A20" i="75"/>
  <c r="A21" i="75"/>
  <c r="A22" i="75"/>
  <c r="A23" i="75"/>
  <c r="A24" i="75"/>
  <c r="A25" i="75"/>
  <c r="A26" i="75"/>
  <c r="A27" i="75"/>
  <c r="A28" i="75"/>
  <c r="A29" i="75"/>
  <c r="A30" i="75"/>
  <c r="A31" i="75"/>
  <c r="A32" i="75"/>
  <c r="A33" i="75"/>
  <c r="A34" i="75"/>
  <c r="A35" i="75"/>
  <c r="A36" i="75"/>
  <c r="A37" i="75"/>
  <c r="A38" i="75"/>
  <c r="A39" i="75"/>
  <c r="A40" i="75"/>
  <c r="A41" i="75"/>
  <c r="A42" i="75"/>
  <c r="A43" i="75"/>
  <c r="A44" i="75"/>
  <c r="A45" i="75"/>
  <c r="A46" i="75"/>
  <c r="A47" i="75"/>
  <c r="A10" i="75"/>
  <c r="K1004" i="94" l="1"/>
  <c r="K1005" i="94"/>
  <c r="J1041" i="94"/>
  <c r="LP47" i="75"/>
  <c r="LO47" i="75"/>
  <c r="LN47" i="75"/>
  <c r="LM47" i="75"/>
  <c r="LL47" i="75"/>
  <c r="LK47" i="75"/>
  <c r="LJ47" i="75"/>
  <c r="LI47" i="75"/>
  <c r="LH47" i="75"/>
  <c r="LG47" i="75"/>
  <c r="LP46" i="75"/>
  <c r="LO46" i="75"/>
  <c r="LN46" i="75"/>
  <c r="LM46" i="75"/>
  <c r="LL46" i="75"/>
  <c r="LK46" i="75"/>
  <c r="LJ46" i="75"/>
  <c r="LI46" i="75"/>
  <c r="LH46" i="75"/>
  <c r="LG46" i="75"/>
  <c r="LP45" i="75"/>
  <c r="LO45" i="75"/>
  <c r="LN45" i="75"/>
  <c r="LM45" i="75"/>
  <c r="LL45" i="75"/>
  <c r="LK45" i="75"/>
  <c r="LJ45" i="75"/>
  <c r="LI45" i="75"/>
  <c r="LH45" i="75"/>
  <c r="LG45" i="75"/>
  <c r="LP44" i="75"/>
  <c r="LO44" i="75"/>
  <c r="LN44" i="75"/>
  <c r="LM44" i="75"/>
  <c r="LL44" i="75"/>
  <c r="LK44" i="75"/>
  <c r="LJ44" i="75"/>
  <c r="LI44" i="75"/>
  <c r="LH44" i="75"/>
  <c r="LG44" i="75"/>
  <c r="LP43" i="75"/>
  <c r="LO43" i="75"/>
  <c r="LN43" i="75"/>
  <c r="LM43" i="75"/>
  <c r="LL43" i="75"/>
  <c r="LK43" i="75"/>
  <c r="LJ43" i="75"/>
  <c r="LI43" i="75"/>
  <c r="LH43" i="75"/>
  <c r="LG43" i="75"/>
  <c r="LP42" i="75"/>
  <c r="LO42" i="75"/>
  <c r="LN42" i="75"/>
  <c r="LM42" i="75"/>
  <c r="LL42" i="75"/>
  <c r="LK42" i="75"/>
  <c r="LJ42" i="75"/>
  <c r="LI42" i="75"/>
  <c r="LH42" i="75"/>
  <c r="LG42" i="75"/>
  <c r="LP41" i="75"/>
  <c r="LO41" i="75"/>
  <c r="LN41" i="75"/>
  <c r="LM41" i="75"/>
  <c r="LL41" i="75"/>
  <c r="LK41" i="75"/>
  <c r="LJ41" i="75"/>
  <c r="LI41" i="75"/>
  <c r="LH41" i="75"/>
  <c r="LG41" i="75"/>
  <c r="LP40" i="75"/>
  <c r="LO40" i="75"/>
  <c r="LN40" i="75"/>
  <c r="LM40" i="75"/>
  <c r="LL40" i="75"/>
  <c r="LK40" i="75"/>
  <c r="LJ40" i="75"/>
  <c r="LI40" i="75"/>
  <c r="LH40" i="75"/>
  <c r="LG40" i="75"/>
  <c r="LP39" i="75"/>
  <c r="LO39" i="75"/>
  <c r="LN39" i="75"/>
  <c r="LM39" i="75"/>
  <c r="LL39" i="75"/>
  <c r="LK39" i="75"/>
  <c r="LJ39" i="75"/>
  <c r="LI39" i="75"/>
  <c r="LH39" i="75"/>
  <c r="LG39" i="75"/>
  <c r="LP38" i="75"/>
  <c r="LO38" i="75"/>
  <c r="LN38" i="75"/>
  <c r="LM38" i="75"/>
  <c r="LL38" i="75"/>
  <c r="LK38" i="75"/>
  <c r="LJ38" i="75"/>
  <c r="LI38" i="75"/>
  <c r="LH38" i="75"/>
  <c r="LG38" i="75"/>
  <c r="LP37" i="75"/>
  <c r="LO37" i="75"/>
  <c r="LN37" i="75"/>
  <c r="LM37" i="75"/>
  <c r="LL37" i="75"/>
  <c r="LK37" i="75"/>
  <c r="LJ37" i="75"/>
  <c r="LI37" i="75"/>
  <c r="LH37" i="75"/>
  <c r="LG37" i="75"/>
  <c r="LP36" i="75"/>
  <c r="LO36" i="75"/>
  <c r="LN36" i="75"/>
  <c r="LM36" i="75"/>
  <c r="LL36" i="75"/>
  <c r="LK36" i="75"/>
  <c r="LJ36" i="75"/>
  <c r="LI36" i="75"/>
  <c r="LH36" i="75"/>
  <c r="LG36" i="75"/>
  <c r="LP35" i="75"/>
  <c r="LO35" i="75"/>
  <c r="LN35" i="75"/>
  <c r="LM35" i="75"/>
  <c r="LL35" i="75"/>
  <c r="LK35" i="75"/>
  <c r="LJ35" i="75"/>
  <c r="LI35" i="75"/>
  <c r="LH35" i="75"/>
  <c r="LG35" i="75"/>
  <c r="LP34" i="75"/>
  <c r="LO34" i="75"/>
  <c r="LN34" i="75"/>
  <c r="LM34" i="75"/>
  <c r="LL34" i="75"/>
  <c r="LK34" i="75"/>
  <c r="LJ34" i="75"/>
  <c r="LI34" i="75"/>
  <c r="LH34" i="75"/>
  <c r="LG34" i="75"/>
  <c r="LP33" i="75"/>
  <c r="LO33" i="75"/>
  <c r="LN33" i="75"/>
  <c r="LM33" i="75"/>
  <c r="LL33" i="75"/>
  <c r="LK33" i="75"/>
  <c r="LJ33" i="75"/>
  <c r="LI33" i="75"/>
  <c r="LH33" i="75"/>
  <c r="LG33" i="75"/>
  <c r="LP32" i="75"/>
  <c r="LO32" i="75"/>
  <c r="LN32" i="75"/>
  <c r="LM32" i="75"/>
  <c r="LL32" i="75"/>
  <c r="LK32" i="75"/>
  <c r="LJ32" i="75"/>
  <c r="LI32" i="75"/>
  <c r="LH32" i="75"/>
  <c r="LG32" i="75"/>
  <c r="LP31" i="75"/>
  <c r="LO31" i="75"/>
  <c r="LN31" i="75"/>
  <c r="LM31" i="75"/>
  <c r="LL31" i="75"/>
  <c r="LK31" i="75"/>
  <c r="LJ31" i="75"/>
  <c r="LI31" i="75"/>
  <c r="LH31" i="75"/>
  <c r="LG31" i="75"/>
  <c r="LP30" i="75"/>
  <c r="LO30" i="75"/>
  <c r="LN30" i="75"/>
  <c r="LM30" i="75"/>
  <c r="LL30" i="75"/>
  <c r="LK30" i="75"/>
  <c r="LJ30" i="75"/>
  <c r="LI30" i="75"/>
  <c r="LH30" i="75"/>
  <c r="LG30" i="75"/>
  <c r="LP29" i="75"/>
  <c r="LO29" i="75"/>
  <c r="LN29" i="75"/>
  <c r="LM29" i="75"/>
  <c r="LL29" i="75"/>
  <c r="LK29" i="75"/>
  <c r="LJ29" i="75"/>
  <c r="LI29" i="75"/>
  <c r="LH29" i="75"/>
  <c r="LG29" i="75"/>
  <c r="LP28" i="75"/>
  <c r="LO28" i="75"/>
  <c r="LN28" i="75"/>
  <c r="LM28" i="75"/>
  <c r="LL28" i="75"/>
  <c r="LK28" i="75"/>
  <c r="LJ28" i="75"/>
  <c r="LI28" i="75"/>
  <c r="LH28" i="75"/>
  <c r="LG28" i="75"/>
  <c r="LP27" i="75"/>
  <c r="LO27" i="75"/>
  <c r="LN27" i="75"/>
  <c r="LM27" i="75"/>
  <c r="LL27" i="75"/>
  <c r="LK27" i="75"/>
  <c r="LJ27" i="75"/>
  <c r="LI27" i="75"/>
  <c r="LH27" i="75"/>
  <c r="LG27" i="75"/>
  <c r="LP26" i="75"/>
  <c r="LO26" i="75"/>
  <c r="LN26" i="75"/>
  <c r="LM26" i="75"/>
  <c r="LL26" i="75"/>
  <c r="LK26" i="75"/>
  <c r="LJ26" i="75"/>
  <c r="LI26" i="75"/>
  <c r="LH26" i="75"/>
  <c r="LG26" i="75"/>
  <c r="LP25" i="75"/>
  <c r="LO25" i="75"/>
  <c r="LN25" i="75"/>
  <c r="LM25" i="75"/>
  <c r="LL25" i="75"/>
  <c r="LK25" i="75"/>
  <c r="LJ25" i="75"/>
  <c r="LI25" i="75"/>
  <c r="LH25" i="75"/>
  <c r="LG25" i="75"/>
  <c r="LP24" i="75"/>
  <c r="LO24" i="75"/>
  <c r="LN24" i="75"/>
  <c r="LM24" i="75"/>
  <c r="LL24" i="75"/>
  <c r="LK24" i="75"/>
  <c r="LJ24" i="75"/>
  <c r="LI24" i="75"/>
  <c r="LH24" i="75"/>
  <c r="LG24" i="75"/>
  <c r="LP23" i="75"/>
  <c r="LO23" i="75"/>
  <c r="LN23" i="75"/>
  <c r="LM23" i="75"/>
  <c r="LL23" i="75"/>
  <c r="LK23" i="75"/>
  <c r="LJ23" i="75"/>
  <c r="LI23" i="75"/>
  <c r="LH23" i="75"/>
  <c r="LG23" i="75"/>
  <c r="LP22" i="75"/>
  <c r="LO22" i="75"/>
  <c r="LN22" i="75"/>
  <c r="LM22" i="75"/>
  <c r="LL22" i="75"/>
  <c r="LK22" i="75"/>
  <c r="LJ22" i="75"/>
  <c r="LI22" i="75"/>
  <c r="LH22" i="75"/>
  <c r="LG22" i="75"/>
  <c r="LP21" i="75"/>
  <c r="LO21" i="75"/>
  <c r="LN21" i="75"/>
  <c r="LM21" i="75"/>
  <c r="LL21" i="75"/>
  <c r="LK21" i="75"/>
  <c r="LJ21" i="75"/>
  <c r="LI21" i="75"/>
  <c r="LH21" i="75"/>
  <c r="LG21" i="75"/>
  <c r="LP20" i="75"/>
  <c r="LO20" i="75"/>
  <c r="LN20" i="75"/>
  <c r="LM20" i="75"/>
  <c r="LL20" i="75"/>
  <c r="LK20" i="75"/>
  <c r="LJ20" i="75"/>
  <c r="LI20" i="75"/>
  <c r="LH20" i="75"/>
  <c r="LG20" i="75"/>
  <c r="LP19" i="75"/>
  <c r="LO19" i="75"/>
  <c r="LN19" i="75"/>
  <c r="LM19" i="75"/>
  <c r="LL19" i="75"/>
  <c r="LK19" i="75"/>
  <c r="LJ19" i="75"/>
  <c r="LI19" i="75"/>
  <c r="LH19" i="75"/>
  <c r="LG19" i="75"/>
  <c r="LP18" i="75"/>
  <c r="LO18" i="75"/>
  <c r="LN18" i="75"/>
  <c r="LM18" i="75"/>
  <c r="LL18" i="75"/>
  <c r="LK18" i="75"/>
  <c r="LJ18" i="75"/>
  <c r="LI18" i="75"/>
  <c r="LH18" i="75"/>
  <c r="LG18" i="75"/>
  <c r="LP17" i="75"/>
  <c r="LO17" i="75"/>
  <c r="LN17" i="75"/>
  <c r="LM17" i="75"/>
  <c r="LL17" i="75"/>
  <c r="LK17" i="75"/>
  <c r="LJ17" i="75"/>
  <c r="LI17" i="75"/>
  <c r="LH17" i="75"/>
  <c r="LG17" i="75"/>
  <c r="LP16" i="75"/>
  <c r="LO16" i="75"/>
  <c r="LN16" i="75"/>
  <c r="LM16" i="75"/>
  <c r="LL16" i="75"/>
  <c r="LK16" i="75"/>
  <c r="LJ16" i="75"/>
  <c r="LI16" i="75"/>
  <c r="LH16" i="75"/>
  <c r="LG16" i="75"/>
  <c r="LP15" i="75"/>
  <c r="LO15" i="75"/>
  <c r="LN15" i="75"/>
  <c r="LM15" i="75"/>
  <c r="LL15" i="75"/>
  <c r="LK15" i="75"/>
  <c r="LJ15" i="75"/>
  <c r="LI15" i="75"/>
  <c r="LH15" i="75"/>
  <c r="LG15" i="75"/>
  <c r="LP14" i="75"/>
  <c r="LO14" i="75"/>
  <c r="LN14" i="75"/>
  <c r="LM14" i="75"/>
  <c r="LL14" i="75"/>
  <c r="LK14" i="75"/>
  <c r="LJ14" i="75"/>
  <c r="LI14" i="75"/>
  <c r="LH14" i="75"/>
  <c r="LG14" i="75"/>
  <c r="LP13" i="75"/>
  <c r="LO13" i="75"/>
  <c r="LN13" i="75"/>
  <c r="LM13" i="75"/>
  <c r="LL13" i="75"/>
  <c r="LK13" i="75"/>
  <c r="LJ13" i="75"/>
  <c r="LI13" i="75"/>
  <c r="LH13" i="75"/>
  <c r="LG13" i="75"/>
  <c r="LP12" i="75"/>
  <c r="LO12" i="75"/>
  <c r="LN12" i="75"/>
  <c r="LM12" i="75"/>
  <c r="LL12" i="75"/>
  <c r="LK12" i="75"/>
  <c r="LJ12" i="75"/>
  <c r="LI12" i="75"/>
  <c r="LH12" i="75"/>
  <c r="LG12" i="75"/>
  <c r="LP11" i="75"/>
  <c r="LO11" i="75"/>
  <c r="LN11" i="75"/>
  <c r="LM11" i="75"/>
  <c r="LL11" i="75"/>
  <c r="LK11" i="75"/>
  <c r="LJ11" i="75"/>
  <c r="LI11" i="75"/>
  <c r="LH11" i="75"/>
  <c r="LG11" i="75"/>
  <c r="LP10" i="75"/>
  <c r="LO10" i="75"/>
  <c r="LN10" i="75"/>
  <c r="LM10" i="75"/>
  <c r="LL10" i="75"/>
  <c r="LK10" i="75"/>
  <c r="LJ10" i="75"/>
  <c r="LI10" i="75"/>
  <c r="LH10" i="75"/>
  <c r="LG10" i="75"/>
  <c r="L16" i="75"/>
  <c r="L15" i="75"/>
  <c r="L14" i="75"/>
  <c r="L13" i="75"/>
  <c r="L12" i="75"/>
  <c r="L11" i="75"/>
  <c r="L10" i="75"/>
  <c r="K1041" i="94" l="1"/>
  <c r="LG48" i="75"/>
  <c r="K136" i="75" s="1"/>
  <c r="LL48" i="75"/>
  <c r="K137" i="75" s="1"/>
  <c r="LN48" i="75"/>
  <c r="M137" i="75" s="1"/>
  <c r="LJ48" i="75"/>
  <c r="N136" i="75" s="1"/>
  <c r="LI48" i="75"/>
  <c r="M136" i="75" s="1"/>
  <c r="LM48" i="75"/>
  <c r="L137" i="75" s="1"/>
  <c r="LP48" i="75"/>
  <c r="O137" i="75" s="1"/>
  <c r="LO48" i="75"/>
  <c r="N137" i="75" s="1"/>
  <c r="LH48" i="75"/>
  <c r="L136" i="75" s="1"/>
  <c r="LK48" i="75"/>
  <c r="O136" i="75" s="1"/>
  <c r="B1073" i="94" l="1"/>
  <c r="P137" i="75"/>
  <c r="P136" i="75"/>
  <c r="C1073" i="94" l="1"/>
  <c r="L386" i="72"/>
  <c r="Q386" i="72"/>
  <c r="D1073" i="94" l="1"/>
  <c r="Q288" i="72"/>
  <c r="Q287" i="72"/>
  <c r="Q211" i="72"/>
  <c r="E1073" i="94" l="1"/>
  <c r="Q152" i="72"/>
  <c r="Q170" i="72"/>
  <c r="M170" i="72"/>
  <c r="U170" i="72" s="1"/>
  <c r="K170" i="72"/>
  <c r="Q169" i="72"/>
  <c r="M169" i="72"/>
  <c r="U169" i="72" s="1"/>
  <c r="K169" i="72"/>
  <c r="Q171" i="72"/>
  <c r="M171" i="72"/>
  <c r="U171" i="72" s="1"/>
  <c r="K171" i="72"/>
  <c r="P210" i="72"/>
  <c r="P1865" i="94" s="1"/>
  <c r="V207" i="72"/>
  <c r="V206" i="72"/>
  <c r="V205" i="72"/>
  <c r="O210" i="72"/>
  <c r="O1865" i="94" s="1"/>
  <c r="F1073" i="94" l="1"/>
  <c r="A169" i="72"/>
  <c r="S169" i="72"/>
  <c r="A170" i="72"/>
  <c r="S170" i="72"/>
  <c r="A171" i="72"/>
  <c r="S171" i="72"/>
  <c r="G1073" i="94" l="1"/>
  <c r="K163" i="72"/>
  <c r="M172" i="72"/>
  <c r="A172" i="72" s="1"/>
  <c r="M166" i="72"/>
  <c r="A166" i="72" s="1"/>
  <c r="M167" i="72"/>
  <c r="A167" i="72" s="1"/>
  <c r="M168" i="72"/>
  <c r="A168" i="72" s="1"/>
  <c r="H1073" i="94" l="1"/>
  <c r="I1073" i="94" l="1"/>
  <c r="Q164" i="72"/>
  <c r="Q165" i="72"/>
  <c r="Q166" i="72"/>
  <c r="Q167" i="72"/>
  <c r="Q168" i="72"/>
  <c r="Q172" i="72"/>
  <c r="Q163" i="72"/>
  <c r="J1073" i="94" l="1"/>
  <c r="R163" i="72"/>
  <c r="K1073" i="94" l="1"/>
  <c r="B1105" i="94" l="1"/>
  <c r="A3" i="73"/>
  <c r="H3" i="73" s="1"/>
  <c r="Q12" i="72"/>
  <c r="Q1667" i="94" s="1"/>
  <c r="F20" i="72"/>
  <c r="F1675" i="94" s="1"/>
  <c r="F17" i="72"/>
  <c r="F1672" i="94" s="1"/>
  <c r="F13" i="72"/>
  <c r="F1668" i="94" s="1"/>
  <c r="F12" i="72"/>
  <c r="F1667" i="94" s="1"/>
  <c r="F14" i="72"/>
  <c r="F1669" i="94" s="1"/>
  <c r="D3" i="93"/>
  <c r="C1105" i="94" l="1"/>
  <c r="M92" i="73"/>
  <c r="K92" i="73"/>
  <c r="D1105" i="94" l="1"/>
  <c r="K67" i="93"/>
  <c r="C63" i="93"/>
  <c r="D63" i="93" s="1"/>
  <c r="I63" i="93" s="1"/>
  <c r="C62" i="93"/>
  <c r="D62" i="93" s="1"/>
  <c r="I62" i="93" s="1"/>
  <c r="C61" i="93"/>
  <c r="D61" i="93" s="1"/>
  <c r="I61" i="93" s="1"/>
  <c r="C60" i="93"/>
  <c r="D60" i="93" s="1"/>
  <c r="I60" i="93" s="1"/>
  <c r="C59" i="93"/>
  <c r="D59" i="93" s="1"/>
  <c r="I59" i="93" s="1"/>
  <c r="C58" i="93"/>
  <c r="D58" i="93" s="1"/>
  <c r="K53" i="93"/>
  <c r="K19" i="93"/>
  <c r="K22" i="93" s="1"/>
  <c r="I58" i="93" l="1"/>
  <c r="D64" i="93"/>
  <c r="E1105" i="94"/>
  <c r="G48" i="93"/>
  <c r="H48" i="93" s="1"/>
  <c r="G45" i="93"/>
  <c r="H45" i="93" s="1"/>
  <c r="G44" i="93"/>
  <c r="H44" i="93" s="1"/>
  <c r="G43" i="93"/>
  <c r="H43" i="93" s="1"/>
  <c r="G51" i="93"/>
  <c r="H51" i="93" s="1"/>
  <c r="G42" i="93"/>
  <c r="H42" i="93" s="1"/>
  <c r="B64" i="93"/>
  <c r="G50" i="93"/>
  <c r="H50" i="93" s="1"/>
  <c r="G39" i="93"/>
  <c r="H39" i="93" s="1"/>
  <c r="G37" i="93"/>
  <c r="H37" i="93" s="1"/>
  <c r="G49" i="93"/>
  <c r="H49" i="93" s="1"/>
  <c r="G46" i="93"/>
  <c r="H46" i="93" s="1"/>
  <c r="G40" i="93"/>
  <c r="H40" i="93" s="1"/>
  <c r="G38" i="93"/>
  <c r="H38" i="93" s="1"/>
  <c r="G36" i="93"/>
  <c r="H36" i="93" s="1"/>
  <c r="G34" i="93"/>
  <c r="H34" i="93" s="1"/>
  <c r="G47" i="93"/>
  <c r="H47" i="93" s="1"/>
  <c r="G35" i="93"/>
  <c r="H35" i="93" s="1"/>
  <c r="G41" i="93"/>
  <c r="H41" i="93" s="1"/>
  <c r="G33" i="93"/>
  <c r="K20" i="93"/>
  <c r="H33" i="93" l="1"/>
  <c r="H52" i="93" s="1"/>
  <c r="F1105" i="94"/>
  <c r="J48" i="93"/>
  <c r="K48" i="93" s="1"/>
  <c r="J45" i="93"/>
  <c r="K45" i="93" s="1"/>
  <c r="J44" i="93"/>
  <c r="K44" i="93" s="1"/>
  <c r="J43" i="93"/>
  <c r="K43" i="93" s="1"/>
  <c r="J42" i="93"/>
  <c r="K42" i="93" s="1"/>
  <c r="K64" i="93"/>
  <c r="K69" i="93" s="1"/>
  <c r="J51" i="93"/>
  <c r="K51" i="93" s="1"/>
  <c r="J49" i="93"/>
  <c r="K49" i="93" s="1"/>
  <c r="J46" i="93"/>
  <c r="K46" i="93" s="1"/>
  <c r="J40" i="93"/>
  <c r="K40" i="93" s="1"/>
  <c r="J38" i="93"/>
  <c r="K38" i="93" s="1"/>
  <c r="J36" i="93"/>
  <c r="K36" i="93" s="1"/>
  <c r="J34" i="93"/>
  <c r="K34" i="93" s="1"/>
  <c r="J50" i="93"/>
  <c r="K50" i="93" s="1"/>
  <c r="J41" i="93"/>
  <c r="K41" i="93" s="1"/>
  <c r="J39" i="93"/>
  <c r="K39" i="93" s="1"/>
  <c r="J37" i="93"/>
  <c r="K37" i="93" s="1"/>
  <c r="J33" i="93"/>
  <c r="K33" i="93" s="1"/>
  <c r="K52" i="93" s="1"/>
  <c r="K54" i="93" s="1"/>
  <c r="K68" i="93" s="1"/>
  <c r="K70" i="93" s="1"/>
  <c r="J47" i="93"/>
  <c r="K47" i="93" s="1"/>
  <c r="J35" i="93"/>
  <c r="K35" i="93" s="1"/>
  <c r="Q326" i="72"/>
  <c r="P318" i="72"/>
  <c r="P1973" i="94" s="1"/>
  <c r="O318" i="72"/>
  <c r="O1973" i="94" s="1"/>
  <c r="L319" i="72"/>
  <c r="L320" i="72"/>
  <c r="J316" i="72"/>
  <c r="G1105" i="94" l="1"/>
  <c r="H1105" i="94" l="1"/>
  <c r="S172" i="72"/>
  <c r="S168" i="72"/>
  <c r="S167" i="72"/>
  <c r="S166" i="72"/>
  <c r="I1105" i="94" l="1"/>
  <c r="Q327" i="72"/>
  <c r="Q324" i="72"/>
  <c r="Q323" i="72"/>
  <c r="Q320" i="72"/>
  <c r="Q319" i="72"/>
  <c r="J321" i="72"/>
  <c r="P286" i="72"/>
  <c r="P1941" i="94" s="1"/>
  <c r="O286" i="72"/>
  <c r="O1941" i="94" s="1"/>
  <c r="K286" i="72"/>
  <c r="P265" i="72"/>
  <c r="P1920" i="94" s="1"/>
  <c r="O196" i="72"/>
  <c r="O1851" i="94" s="1"/>
  <c r="Q206" i="72"/>
  <c r="Q207" i="72"/>
  <c r="Q205" i="72"/>
  <c r="J1105" i="94" l="1"/>
  <c r="O322" i="72"/>
  <c r="O1977" i="94" s="1"/>
  <c r="P322" i="72"/>
  <c r="L323" i="72"/>
  <c r="P1977" i="94" l="1"/>
  <c r="K1105" i="94"/>
  <c r="B1135" i="94" s="1"/>
  <c r="C1135" i="94" s="1"/>
  <c r="D1135" i="94" s="1"/>
  <c r="E1135" i="94" s="1"/>
  <c r="F1135" i="94" s="1"/>
  <c r="K172" i="72"/>
  <c r="K168" i="72"/>
  <c r="K167" i="72"/>
  <c r="K166" i="72"/>
  <c r="K165" i="72"/>
  <c r="M165" i="72" s="1"/>
  <c r="A165" i="72" s="1"/>
  <c r="K164" i="72"/>
  <c r="M164" i="72" s="1"/>
  <c r="M163" i="72" l="1"/>
  <c r="A163" i="72" s="1"/>
  <c r="U168" i="72"/>
  <c r="U167" i="72"/>
  <c r="U166" i="72"/>
  <c r="S163" i="72" l="1"/>
  <c r="E112" i="78"/>
  <c r="E558" i="94" s="1"/>
  <c r="AF122" i="78" l="1"/>
  <c r="AF121" i="78"/>
  <c r="AC118" i="78"/>
  <c r="AC117" i="78"/>
  <c r="AC116" i="78"/>
  <c r="AG116" i="78" s="1"/>
  <c r="AC115" i="78"/>
  <c r="AC114" i="78"/>
  <c r="AC113" i="78"/>
  <c r="AB117" i="78"/>
  <c r="AB116" i="78"/>
  <c r="AB114" i="78"/>
  <c r="AB113" i="78"/>
  <c r="AA118" i="78"/>
  <c r="AA117" i="78"/>
  <c r="AA116" i="78"/>
  <c r="AA115" i="78"/>
  <c r="AA114" i="78"/>
  <c r="AA113" i="78"/>
  <c r="AD116" i="78" l="1"/>
  <c r="AD117" i="78"/>
  <c r="AD114" i="78"/>
  <c r="AD113" i="78"/>
  <c r="S112" i="75"/>
  <c r="AD118" i="78" l="1"/>
  <c r="AD115" i="78"/>
  <c r="L152" i="67" l="1"/>
  <c r="H87" i="66" l="1"/>
  <c r="P87" i="66"/>
  <c r="H88" i="66"/>
  <c r="H113" i="94" s="1"/>
  <c r="P88" i="66"/>
  <c r="H90" i="66"/>
  <c r="H115" i="94" s="1"/>
  <c r="P90" i="66"/>
  <c r="N88" i="66" l="1"/>
  <c r="N113" i="94" s="1"/>
  <c r="H112" i="94"/>
  <c r="O381" i="73"/>
  <c r="N381" i="73"/>
  <c r="J39" i="66" l="1"/>
  <c r="D4" i="93" l="1"/>
  <c r="T1834" i="94"/>
  <c r="T1832" i="94"/>
  <c r="I723" i="94"/>
  <c r="A638" i="94"/>
  <c r="A380" i="94"/>
  <c r="A3" i="94"/>
  <c r="J64" i="94"/>
  <c r="I3" i="76"/>
  <c r="J317" i="72"/>
  <c r="P42" i="73"/>
  <c r="P1212" i="94" s="1"/>
  <c r="F102" i="78"/>
  <c r="F101" i="78"/>
  <c r="J47" i="75"/>
  <c r="J816" i="94" s="1"/>
  <c r="L816" i="94" s="1"/>
  <c r="M816" i="94" s="1"/>
  <c r="J46" i="75"/>
  <c r="J45" i="75"/>
  <c r="J44" i="75"/>
  <c r="J813" i="94" s="1"/>
  <c r="L813" i="94" s="1"/>
  <c r="M813" i="94" s="1"/>
  <c r="J43" i="75"/>
  <c r="J812" i="94" s="1"/>
  <c r="L812" i="94" s="1"/>
  <c r="M812" i="94" s="1"/>
  <c r="J42" i="75"/>
  <c r="J41" i="75"/>
  <c r="J810" i="94" s="1"/>
  <c r="L810" i="94" s="1"/>
  <c r="M810" i="94" s="1"/>
  <c r="J40" i="75"/>
  <c r="J39" i="75"/>
  <c r="J808" i="94" s="1"/>
  <c r="L808" i="94" s="1"/>
  <c r="M808" i="94" s="1"/>
  <c r="J38" i="75"/>
  <c r="J37" i="75"/>
  <c r="J806" i="94" s="1"/>
  <c r="L806" i="94" s="1"/>
  <c r="M806" i="94" s="1"/>
  <c r="J36" i="75"/>
  <c r="J35" i="75"/>
  <c r="J34" i="75"/>
  <c r="J33" i="75"/>
  <c r="J32" i="75"/>
  <c r="J31" i="75"/>
  <c r="J30" i="75"/>
  <c r="J799" i="94" s="1"/>
  <c r="L799" i="94" s="1"/>
  <c r="M799" i="94" s="1"/>
  <c r="J29" i="75"/>
  <c r="J798" i="94" s="1"/>
  <c r="L798" i="94" s="1"/>
  <c r="M798" i="94" s="1"/>
  <c r="J28" i="75"/>
  <c r="J27" i="75"/>
  <c r="J26" i="75"/>
  <c r="J25" i="75"/>
  <c r="J24" i="75"/>
  <c r="J23" i="75"/>
  <c r="M11" i="75"/>
  <c r="M10" i="75"/>
  <c r="F19" i="78"/>
  <c r="F101" i="72"/>
  <c r="H91" i="72"/>
  <c r="K52" i="72"/>
  <c r="H172" i="73"/>
  <c r="I172" i="73"/>
  <c r="L172" i="73"/>
  <c r="K172" i="73"/>
  <c r="F172" i="73"/>
  <c r="N246" i="73"/>
  <c r="Q250" i="75"/>
  <c r="L53" i="75"/>
  <c r="S147" i="75"/>
  <c r="S102" i="75"/>
  <c r="B23" i="74"/>
  <c r="B1051" i="94" s="1"/>
  <c r="R1" i="73"/>
  <c r="C8" i="74"/>
  <c r="Q56" i="72"/>
  <c r="Q55" i="72"/>
  <c r="L55" i="72"/>
  <c r="EW47" i="75"/>
  <c r="EV47" i="75"/>
  <c r="EU47" i="75"/>
  <c r="ET47" i="75"/>
  <c r="ES47" i="75"/>
  <c r="EW46" i="75"/>
  <c r="EV46" i="75"/>
  <c r="EU46" i="75"/>
  <c r="ET46" i="75"/>
  <c r="ES46" i="75"/>
  <c r="EW45" i="75"/>
  <c r="EV45" i="75"/>
  <c r="EU45" i="75"/>
  <c r="ET45" i="75"/>
  <c r="ES45" i="75"/>
  <c r="EW44" i="75"/>
  <c r="EV44" i="75"/>
  <c r="EU44" i="75"/>
  <c r="ET44" i="75"/>
  <c r="ES44" i="75"/>
  <c r="EW43" i="75"/>
  <c r="EV43" i="75"/>
  <c r="EU43" i="75"/>
  <c r="ET43" i="75"/>
  <c r="ES43" i="75"/>
  <c r="EW42" i="75"/>
  <c r="EV42" i="75"/>
  <c r="EU42" i="75"/>
  <c r="ET42" i="75"/>
  <c r="ES42" i="75"/>
  <c r="EW41" i="75"/>
  <c r="EV41" i="75"/>
  <c r="EU41" i="75"/>
  <c r="ET41" i="75"/>
  <c r="ES41" i="75"/>
  <c r="EW40" i="75"/>
  <c r="EV40" i="75"/>
  <c r="EU40" i="75"/>
  <c r="ET40" i="75"/>
  <c r="ES40" i="75"/>
  <c r="EW39" i="75"/>
  <c r="EV39" i="75"/>
  <c r="EU39" i="75"/>
  <c r="ET39" i="75"/>
  <c r="ES39" i="75"/>
  <c r="EW38" i="75"/>
  <c r="EV38" i="75"/>
  <c r="EU38" i="75"/>
  <c r="ET38" i="75"/>
  <c r="ES38" i="75"/>
  <c r="EW37" i="75"/>
  <c r="EV37" i="75"/>
  <c r="EU37" i="75"/>
  <c r="ET37" i="75"/>
  <c r="ES37" i="75"/>
  <c r="EW36" i="75"/>
  <c r="EV36" i="75"/>
  <c r="EU36" i="75"/>
  <c r="ET36" i="75"/>
  <c r="ES36" i="75"/>
  <c r="EW35" i="75"/>
  <c r="EV35" i="75"/>
  <c r="EU35" i="75"/>
  <c r="ET35" i="75"/>
  <c r="ES35" i="75"/>
  <c r="EW34" i="75"/>
  <c r="EV34" i="75"/>
  <c r="EU34" i="75"/>
  <c r="ET34" i="75"/>
  <c r="ES34" i="75"/>
  <c r="EW33" i="75"/>
  <c r="EV33" i="75"/>
  <c r="EU33" i="75"/>
  <c r="ET33" i="75"/>
  <c r="ES33" i="75"/>
  <c r="EW32" i="75"/>
  <c r="EV32" i="75"/>
  <c r="EU32" i="75"/>
  <c r="ET32" i="75"/>
  <c r="ES32" i="75"/>
  <c r="EW31" i="75"/>
  <c r="EV31" i="75"/>
  <c r="EU31" i="75"/>
  <c r="ET31" i="75"/>
  <c r="ES31" i="75"/>
  <c r="EW30" i="75"/>
  <c r="EV30" i="75"/>
  <c r="EU30" i="75"/>
  <c r="ET30" i="75"/>
  <c r="ES30" i="75"/>
  <c r="EW29" i="75"/>
  <c r="EV29" i="75"/>
  <c r="EU29" i="75"/>
  <c r="ET29" i="75"/>
  <c r="ES29" i="75"/>
  <c r="EW28" i="75"/>
  <c r="EV28" i="75"/>
  <c r="EU28" i="75"/>
  <c r="ET28" i="75"/>
  <c r="ES28" i="75"/>
  <c r="EW27" i="75"/>
  <c r="EV27" i="75"/>
  <c r="EU27" i="75"/>
  <c r="ET27" i="75"/>
  <c r="ES27" i="75"/>
  <c r="EW26" i="75"/>
  <c r="EV26" i="75"/>
  <c r="EU26" i="75"/>
  <c r="ET26" i="75"/>
  <c r="ES26" i="75"/>
  <c r="EW25" i="75"/>
  <c r="EV25" i="75"/>
  <c r="EU25" i="75"/>
  <c r="ET25" i="75"/>
  <c r="ES25" i="75"/>
  <c r="EW24" i="75"/>
  <c r="EV24" i="75"/>
  <c r="EU24" i="75"/>
  <c r="ET24" i="75"/>
  <c r="ES24" i="75"/>
  <c r="EW23" i="75"/>
  <c r="EV23" i="75"/>
  <c r="EU23" i="75"/>
  <c r="ET23" i="75"/>
  <c r="ES23" i="75"/>
  <c r="EW22" i="75"/>
  <c r="EV22" i="75"/>
  <c r="EU22" i="75"/>
  <c r="ET22" i="75"/>
  <c r="ES22" i="75"/>
  <c r="EW21" i="75"/>
  <c r="EV21" i="75"/>
  <c r="EU21" i="75"/>
  <c r="ET21" i="75"/>
  <c r="ES21" i="75"/>
  <c r="EW20" i="75"/>
  <c r="EV20" i="75"/>
  <c r="EU20" i="75"/>
  <c r="ET20" i="75"/>
  <c r="ES20" i="75"/>
  <c r="EW19" i="75"/>
  <c r="EV19" i="75"/>
  <c r="EU19" i="75"/>
  <c r="ET19" i="75"/>
  <c r="ES19" i="75"/>
  <c r="EW18" i="75"/>
  <c r="EV18" i="75"/>
  <c r="EU18" i="75"/>
  <c r="ET18" i="75"/>
  <c r="ES18" i="75"/>
  <c r="EW17" i="75"/>
  <c r="EV17" i="75"/>
  <c r="EU17" i="75"/>
  <c r="ET17" i="75"/>
  <c r="ES17" i="75"/>
  <c r="EW16" i="75"/>
  <c r="EV16" i="75"/>
  <c r="EU16" i="75"/>
  <c r="ET16" i="75"/>
  <c r="ES16" i="75"/>
  <c r="EW15" i="75"/>
  <c r="EV15" i="75"/>
  <c r="EU15" i="75"/>
  <c r="ET15" i="75"/>
  <c r="ES15" i="75"/>
  <c r="EW14" i="75"/>
  <c r="EV14" i="75"/>
  <c r="EU14" i="75"/>
  <c r="ET14" i="75"/>
  <c r="ES14" i="75"/>
  <c r="EW13" i="75"/>
  <c r="EV13" i="75"/>
  <c r="EU13" i="75"/>
  <c r="ET13" i="75"/>
  <c r="ES13" i="75"/>
  <c r="EW12" i="75"/>
  <c r="EV12" i="75"/>
  <c r="EU12" i="75"/>
  <c r="ET12" i="75"/>
  <c r="ES12" i="75"/>
  <c r="EW11" i="75"/>
  <c r="EV11" i="75"/>
  <c r="EU11" i="75"/>
  <c r="ET11" i="75"/>
  <c r="ES11" i="75"/>
  <c r="EW10" i="75"/>
  <c r="EV10" i="75"/>
  <c r="EU10" i="75"/>
  <c r="ET10" i="75"/>
  <c r="ES10" i="75"/>
  <c r="P41" i="68"/>
  <c r="P420" i="94" s="1"/>
  <c r="P40" i="68"/>
  <c r="P419" i="94" s="1"/>
  <c r="P38" i="68"/>
  <c r="P417" i="94" s="1"/>
  <c r="P39" i="68"/>
  <c r="B3" i="76"/>
  <c r="C3" i="74"/>
  <c r="B6" i="72"/>
  <c r="L5" i="75"/>
  <c r="D5" i="78"/>
  <c r="L3" i="68"/>
  <c r="O3" i="67"/>
  <c r="E21" i="72"/>
  <c r="E1676" i="94" s="1"/>
  <c r="P112" i="72"/>
  <c r="O112" i="72"/>
  <c r="P334" i="72"/>
  <c r="P1989" i="94" s="1"/>
  <c r="O334" i="72"/>
  <c r="P338" i="72"/>
  <c r="P1993" i="94" s="1"/>
  <c r="O338" i="72"/>
  <c r="I267" i="72"/>
  <c r="Q269" i="72"/>
  <c r="U163" i="72"/>
  <c r="P54" i="72"/>
  <c r="P1709" i="94" s="1"/>
  <c r="O54" i="72"/>
  <c r="O1709" i="94" s="1"/>
  <c r="O25" i="72"/>
  <c r="O1680" i="94" s="1"/>
  <c r="Q67" i="72"/>
  <c r="F23" i="72"/>
  <c r="F1678" i="94" s="1"/>
  <c r="F22" i="72"/>
  <c r="F1677" i="94" s="1"/>
  <c r="F21" i="72"/>
  <c r="F1676" i="94" s="1"/>
  <c r="F19" i="72"/>
  <c r="F1674" i="94" s="1"/>
  <c r="F18" i="72"/>
  <c r="F1673" i="94" s="1"/>
  <c r="F16" i="72"/>
  <c r="F1671" i="94" s="1"/>
  <c r="F15" i="72"/>
  <c r="F1670" i="94" s="1"/>
  <c r="F11" i="72"/>
  <c r="F1666" i="94" s="1"/>
  <c r="P10" i="72"/>
  <c r="P8" i="72" s="1"/>
  <c r="P1663" i="94" s="1"/>
  <c r="MO47" i="75"/>
  <c r="MN47" i="75"/>
  <c r="MM47" i="75"/>
  <c r="ML47" i="75"/>
  <c r="MK47" i="75"/>
  <c r="MJ47" i="75"/>
  <c r="MI47" i="75"/>
  <c r="MH47" i="75"/>
  <c r="MG47" i="75"/>
  <c r="MF47" i="75"/>
  <c r="ME47" i="75"/>
  <c r="MD47" i="75"/>
  <c r="MC47" i="75"/>
  <c r="MB47" i="75"/>
  <c r="MA47" i="75"/>
  <c r="LZ47" i="75"/>
  <c r="LY47" i="75"/>
  <c r="LX47" i="75"/>
  <c r="LW47" i="75"/>
  <c r="LV47" i="75"/>
  <c r="LU47" i="75"/>
  <c r="LT47" i="75"/>
  <c r="LS47" i="75"/>
  <c r="LR47" i="75"/>
  <c r="LQ47" i="75"/>
  <c r="MO46" i="75"/>
  <c r="MN46" i="75"/>
  <c r="MM46" i="75"/>
  <c r="ML46" i="75"/>
  <c r="MK46" i="75"/>
  <c r="MJ46" i="75"/>
  <c r="MI46" i="75"/>
  <c r="MH46" i="75"/>
  <c r="MG46" i="75"/>
  <c r="MF46" i="75"/>
  <c r="ME46" i="75"/>
  <c r="MD46" i="75"/>
  <c r="MC46" i="75"/>
  <c r="MB46" i="75"/>
  <c r="MA46" i="75"/>
  <c r="LZ46" i="75"/>
  <c r="LY46" i="75"/>
  <c r="LX46" i="75"/>
  <c r="LW46" i="75"/>
  <c r="LV46" i="75"/>
  <c r="LU46" i="75"/>
  <c r="LT46" i="75"/>
  <c r="LS46" i="75"/>
  <c r="LR46" i="75"/>
  <c r="LQ46" i="75"/>
  <c r="MO45" i="75"/>
  <c r="MN45" i="75"/>
  <c r="MM45" i="75"/>
  <c r="ML45" i="75"/>
  <c r="MK45" i="75"/>
  <c r="MJ45" i="75"/>
  <c r="MI45" i="75"/>
  <c r="MH45" i="75"/>
  <c r="MG45" i="75"/>
  <c r="MF45" i="75"/>
  <c r="ME45" i="75"/>
  <c r="MD45" i="75"/>
  <c r="MC45" i="75"/>
  <c r="MB45" i="75"/>
  <c r="MA45" i="75"/>
  <c r="LZ45" i="75"/>
  <c r="LY45" i="75"/>
  <c r="LX45" i="75"/>
  <c r="LW45" i="75"/>
  <c r="LV45" i="75"/>
  <c r="LU45" i="75"/>
  <c r="LT45" i="75"/>
  <c r="LS45" i="75"/>
  <c r="LR45" i="75"/>
  <c r="LQ45" i="75"/>
  <c r="MO44" i="75"/>
  <c r="MN44" i="75"/>
  <c r="MM44" i="75"/>
  <c r="ML44" i="75"/>
  <c r="MK44" i="75"/>
  <c r="MJ44" i="75"/>
  <c r="MI44" i="75"/>
  <c r="MH44" i="75"/>
  <c r="MG44" i="75"/>
  <c r="MF44" i="75"/>
  <c r="ME44" i="75"/>
  <c r="MD44" i="75"/>
  <c r="MC44" i="75"/>
  <c r="MB44" i="75"/>
  <c r="MA44" i="75"/>
  <c r="LZ44" i="75"/>
  <c r="LY44" i="75"/>
  <c r="LX44" i="75"/>
  <c r="LW44" i="75"/>
  <c r="LV44" i="75"/>
  <c r="LU44" i="75"/>
  <c r="LT44" i="75"/>
  <c r="LS44" i="75"/>
  <c r="LR44" i="75"/>
  <c r="LQ44" i="75"/>
  <c r="MO43" i="75"/>
  <c r="MN43" i="75"/>
  <c r="MM43" i="75"/>
  <c r="ML43" i="75"/>
  <c r="MK43" i="75"/>
  <c r="MJ43" i="75"/>
  <c r="MI43" i="75"/>
  <c r="MH43" i="75"/>
  <c r="MG43" i="75"/>
  <c r="MF43" i="75"/>
  <c r="ME43" i="75"/>
  <c r="MD43" i="75"/>
  <c r="MC43" i="75"/>
  <c r="MB43" i="75"/>
  <c r="MA43" i="75"/>
  <c r="LZ43" i="75"/>
  <c r="LY43" i="75"/>
  <c r="LX43" i="75"/>
  <c r="LW43" i="75"/>
  <c r="LV43" i="75"/>
  <c r="LU43" i="75"/>
  <c r="LT43" i="75"/>
  <c r="LS43" i="75"/>
  <c r="LR43" i="75"/>
  <c r="LQ43" i="75"/>
  <c r="MO42" i="75"/>
  <c r="MN42" i="75"/>
  <c r="MM42" i="75"/>
  <c r="ML42" i="75"/>
  <c r="MK42" i="75"/>
  <c r="MJ42" i="75"/>
  <c r="MI42" i="75"/>
  <c r="MH42" i="75"/>
  <c r="MG42" i="75"/>
  <c r="MF42" i="75"/>
  <c r="ME42" i="75"/>
  <c r="MD42" i="75"/>
  <c r="MC42" i="75"/>
  <c r="MB42" i="75"/>
  <c r="MA42" i="75"/>
  <c r="LZ42" i="75"/>
  <c r="LY42" i="75"/>
  <c r="LX42" i="75"/>
  <c r="LW42" i="75"/>
  <c r="LV42" i="75"/>
  <c r="LU42" i="75"/>
  <c r="LT42" i="75"/>
  <c r="LS42" i="75"/>
  <c r="LR42" i="75"/>
  <c r="LQ42" i="75"/>
  <c r="MO41" i="75"/>
  <c r="MN41" i="75"/>
  <c r="MM41" i="75"/>
  <c r="ML41" i="75"/>
  <c r="MK41" i="75"/>
  <c r="MJ41" i="75"/>
  <c r="MI41" i="75"/>
  <c r="MH41" i="75"/>
  <c r="MG41" i="75"/>
  <c r="MF41" i="75"/>
  <c r="ME41" i="75"/>
  <c r="MD41" i="75"/>
  <c r="MC41" i="75"/>
  <c r="MB41" i="75"/>
  <c r="MA41" i="75"/>
  <c r="LZ41" i="75"/>
  <c r="LY41" i="75"/>
  <c r="LX41" i="75"/>
  <c r="LW41" i="75"/>
  <c r="LV41" i="75"/>
  <c r="LU41" i="75"/>
  <c r="LT41" i="75"/>
  <c r="LS41" i="75"/>
  <c r="LR41" i="75"/>
  <c r="LQ41" i="75"/>
  <c r="MO40" i="75"/>
  <c r="MN40" i="75"/>
  <c r="MM40" i="75"/>
  <c r="ML40" i="75"/>
  <c r="MK40" i="75"/>
  <c r="MJ40" i="75"/>
  <c r="MI40" i="75"/>
  <c r="MH40" i="75"/>
  <c r="MG40" i="75"/>
  <c r="MF40" i="75"/>
  <c r="ME40" i="75"/>
  <c r="MD40" i="75"/>
  <c r="MC40" i="75"/>
  <c r="MB40" i="75"/>
  <c r="MA40" i="75"/>
  <c r="LZ40" i="75"/>
  <c r="LY40" i="75"/>
  <c r="LX40" i="75"/>
  <c r="LW40" i="75"/>
  <c r="LV40" i="75"/>
  <c r="LU40" i="75"/>
  <c r="LT40" i="75"/>
  <c r="LS40" i="75"/>
  <c r="LR40" i="75"/>
  <c r="LQ40" i="75"/>
  <c r="MO39" i="75"/>
  <c r="MN39" i="75"/>
  <c r="MM39" i="75"/>
  <c r="ML39" i="75"/>
  <c r="MK39" i="75"/>
  <c r="MJ39" i="75"/>
  <c r="MI39" i="75"/>
  <c r="MH39" i="75"/>
  <c r="MG39" i="75"/>
  <c r="MF39" i="75"/>
  <c r="ME39" i="75"/>
  <c r="MD39" i="75"/>
  <c r="MC39" i="75"/>
  <c r="MB39" i="75"/>
  <c r="MA39" i="75"/>
  <c r="LZ39" i="75"/>
  <c r="LY39" i="75"/>
  <c r="LX39" i="75"/>
  <c r="LW39" i="75"/>
  <c r="LV39" i="75"/>
  <c r="LU39" i="75"/>
  <c r="LT39" i="75"/>
  <c r="LS39" i="75"/>
  <c r="LR39" i="75"/>
  <c r="LQ39" i="75"/>
  <c r="MO38" i="75"/>
  <c r="MN38" i="75"/>
  <c r="MM38" i="75"/>
  <c r="ML38" i="75"/>
  <c r="MK38" i="75"/>
  <c r="MJ38" i="75"/>
  <c r="MI38" i="75"/>
  <c r="MH38" i="75"/>
  <c r="MG38" i="75"/>
  <c r="MF38" i="75"/>
  <c r="ME38" i="75"/>
  <c r="MD38" i="75"/>
  <c r="MC38" i="75"/>
  <c r="MB38" i="75"/>
  <c r="MA38" i="75"/>
  <c r="LZ38" i="75"/>
  <c r="LY38" i="75"/>
  <c r="LX38" i="75"/>
  <c r="LW38" i="75"/>
  <c r="LV38" i="75"/>
  <c r="LU38" i="75"/>
  <c r="LT38" i="75"/>
  <c r="LS38" i="75"/>
  <c r="LR38" i="75"/>
  <c r="LQ38" i="75"/>
  <c r="MO37" i="75"/>
  <c r="MN37" i="75"/>
  <c r="MM37" i="75"/>
  <c r="ML37" i="75"/>
  <c r="MK37" i="75"/>
  <c r="MJ37" i="75"/>
  <c r="MI37" i="75"/>
  <c r="MH37" i="75"/>
  <c r="MG37" i="75"/>
  <c r="MF37" i="75"/>
  <c r="ME37" i="75"/>
  <c r="MD37" i="75"/>
  <c r="MC37" i="75"/>
  <c r="MB37" i="75"/>
  <c r="MA37" i="75"/>
  <c r="LZ37" i="75"/>
  <c r="LY37" i="75"/>
  <c r="LX37" i="75"/>
  <c r="LW37" i="75"/>
  <c r="LV37" i="75"/>
  <c r="LU37" i="75"/>
  <c r="LT37" i="75"/>
  <c r="LS37" i="75"/>
  <c r="LR37" i="75"/>
  <c r="LQ37" i="75"/>
  <c r="MO36" i="75"/>
  <c r="MN36" i="75"/>
  <c r="MM36" i="75"/>
  <c r="ML36" i="75"/>
  <c r="MK36" i="75"/>
  <c r="MJ36" i="75"/>
  <c r="MI36" i="75"/>
  <c r="MH36" i="75"/>
  <c r="MG36" i="75"/>
  <c r="MF36" i="75"/>
  <c r="ME36" i="75"/>
  <c r="MD36" i="75"/>
  <c r="MC36" i="75"/>
  <c r="MB36" i="75"/>
  <c r="MA36" i="75"/>
  <c r="LZ36" i="75"/>
  <c r="LY36" i="75"/>
  <c r="LX36" i="75"/>
  <c r="LW36" i="75"/>
  <c r="LV36" i="75"/>
  <c r="LU36" i="75"/>
  <c r="LT36" i="75"/>
  <c r="LS36" i="75"/>
  <c r="LR36" i="75"/>
  <c r="LQ36" i="75"/>
  <c r="MO35" i="75"/>
  <c r="MN35" i="75"/>
  <c r="MM35" i="75"/>
  <c r="ML35" i="75"/>
  <c r="MK35" i="75"/>
  <c r="MJ35" i="75"/>
  <c r="MI35" i="75"/>
  <c r="MH35" i="75"/>
  <c r="MG35" i="75"/>
  <c r="MF35" i="75"/>
  <c r="ME35" i="75"/>
  <c r="MD35" i="75"/>
  <c r="MC35" i="75"/>
  <c r="MB35" i="75"/>
  <c r="MA35" i="75"/>
  <c r="LZ35" i="75"/>
  <c r="LY35" i="75"/>
  <c r="LX35" i="75"/>
  <c r="LW35" i="75"/>
  <c r="LV35" i="75"/>
  <c r="LU35" i="75"/>
  <c r="LT35" i="75"/>
  <c r="LS35" i="75"/>
  <c r="LR35" i="75"/>
  <c r="LQ35" i="75"/>
  <c r="MO34" i="75"/>
  <c r="MN34" i="75"/>
  <c r="MM34" i="75"/>
  <c r="ML34" i="75"/>
  <c r="MK34" i="75"/>
  <c r="MJ34" i="75"/>
  <c r="MI34" i="75"/>
  <c r="MH34" i="75"/>
  <c r="MG34" i="75"/>
  <c r="MF34" i="75"/>
  <c r="ME34" i="75"/>
  <c r="MD34" i="75"/>
  <c r="MC34" i="75"/>
  <c r="MB34" i="75"/>
  <c r="MA34" i="75"/>
  <c r="LZ34" i="75"/>
  <c r="LY34" i="75"/>
  <c r="LX34" i="75"/>
  <c r="LW34" i="75"/>
  <c r="LV34" i="75"/>
  <c r="LU34" i="75"/>
  <c r="LT34" i="75"/>
  <c r="LS34" i="75"/>
  <c r="LR34" i="75"/>
  <c r="LQ34" i="75"/>
  <c r="MO33" i="75"/>
  <c r="MN33" i="75"/>
  <c r="MM33" i="75"/>
  <c r="ML33" i="75"/>
  <c r="MK33" i="75"/>
  <c r="MJ33" i="75"/>
  <c r="MI33" i="75"/>
  <c r="MH33" i="75"/>
  <c r="MG33" i="75"/>
  <c r="MF33" i="75"/>
  <c r="ME33" i="75"/>
  <c r="MD33" i="75"/>
  <c r="MC33" i="75"/>
  <c r="MB33" i="75"/>
  <c r="MA33" i="75"/>
  <c r="LZ33" i="75"/>
  <c r="LY33" i="75"/>
  <c r="LX33" i="75"/>
  <c r="LW33" i="75"/>
  <c r="LV33" i="75"/>
  <c r="LU33" i="75"/>
  <c r="LT33" i="75"/>
  <c r="LS33" i="75"/>
  <c r="LR33" i="75"/>
  <c r="LQ33" i="75"/>
  <c r="MO32" i="75"/>
  <c r="MN32" i="75"/>
  <c r="MM32" i="75"/>
  <c r="ML32" i="75"/>
  <c r="MK32" i="75"/>
  <c r="MJ32" i="75"/>
  <c r="MI32" i="75"/>
  <c r="MH32" i="75"/>
  <c r="MG32" i="75"/>
  <c r="MF32" i="75"/>
  <c r="ME32" i="75"/>
  <c r="MD32" i="75"/>
  <c r="MC32" i="75"/>
  <c r="MB32" i="75"/>
  <c r="MA32" i="75"/>
  <c r="LZ32" i="75"/>
  <c r="LY32" i="75"/>
  <c r="LX32" i="75"/>
  <c r="LW32" i="75"/>
  <c r="LV32" i="75"/>
  <c r="LU32" i="75"/>
  <c r="LT32" i="75"/>
  <c r="LS32" i="75"/>
  <c r="LR32" i="75"/>
  <c r="LQ32" i="75"/>
  <c r="MO31" i="75"/>
  <c r="MN31" i="75"/>
  <c r="MM31" i="75"/>
  <c r="ML31" i="75"/>
  <c r="MK31" i="75"/>
  <c r="MJ31" i="75"/>
  <c r="MI31" i="75"/>
  <c r="MH31" i="75"/>
  <c r="MG31" i="75"/>
  <c r="MF31" i="75"/>
  <c r="ME31" i="75"/>
  <c r="MD31" i="75"/>
  <c r="MC31" i="75"/>
  <c r="MB31" i="75"/>
  <c r="MA31" i="75"/>
  <c r="LZ31" i="75"/>
  <c r="LY31" i="75"/>
  <c r="LX31" i="75"/>
  <c r="LW31" i="75"/>
  <c r="LV31" i="75"/>
  <c r="LU31" i="75"/>
  <c r="LT31" i="75"/>
  <c r="LS31" i="75"/>
  <c r="LR31" i="75"/>
  <c r="LQ31" i="75"/>
  <c r="MO30" i="75"/>
  <c r="MN30" i="75"/>
  <c r="MM30" i="75"/>
  <c r="ML30" i="75"/>
  <c r="MK30" i="75"/>
  <c r="MJ30" i="75"/>
  <c r="MI30" i="75"/>
  <c r="MH30" i="75"/>
  <c r="MG30" i="75"/>
  <c r="MF30" i="75"/>
  <c r="ME30" i="75"/>
  <c r="MD30" i="75"/>
  <c r="MC30" i="75"/>
  <c r="MB30" i="75"/>
  <c r="MA30" i="75"/>
  <c r="LZ30" i="75"/>
  <c r="LY30" i="75"/>
  <c r="LX30" i="75"/>
  <c r="LW30" i="75"/>
  <c r="LV30" i="75"/>
  <c r="LU30" i="75"/>
  <c r="LT30" i="75"/>
  <c r="LS30" i="75"/>
  <c r="LR30" i="75"/>
  <c r="LQ30" i="75"/>
  <c r="MO29" i="75"/>
  <c r="MN29" i="75"/>
  <c r="MM29" i="75"/>
  <c r="ML29" i="75"/>
  <c r="MK29" i="75"/>
  <c r="MJ29" i="75"/>
  <c r="MI29" i="75"/>
  <c r="MH29" i="75"/>
  <c r="MG29" i="75"/>
  <c r="MF29" i="75"/>
  <c r="ME29" i="75"/>
  <c r="MD29" i="75"/>
  <c r="MC29" i="75"/>
  <c r="MB29" i="75"/>
  <c r="MA29" i="75"/>
  <c r="LZ29" i="75"/>
  <c r="LY29" i="75"/>
  <c r="LX29" i="75"/>
  <c r="LW29" i="75"/>
  <c r="LV29" i="75"/>
  <c r="LU29" i="75"/>
  <c r="LT29" i="75"/>
  <c r="LS29" i="75"/>
  <c r="LR29" i="75"/>
  <c r="LQ29" i="75"/>
  <c r="MO28" i="75"/>
  <c r="MN28" i="75"/>
  <c r="MM28" i="75"/>
  <c r="ML28" i="75"/>
  <c r="MK28" i="75"/>
  <c r="MJ28" i="75"/>
  <c r="MI28" i="75"/>
  <c r="MH28" i="75"/>
  <c r="MG28" i="75"/>
  <c r="MF28" i="75"/>
  <c r="ME28" i="75"/>
  <c r="MD28" i="75"/>
  <c r="MC28" i="75"/>
  <c r="MB28" i="75"/>
  <c r="MA28" i="75"/>
  <c r="LZ28" i="75"/>
  <c r="LY28" i="75"/>
  <c r="LX28" i="75"/>
  <c r="LW28" i="75"/>
  <c r="LV28" i="75"/>
  <c r="LU28" i="75"/>
  <c r="LT28" i="75"/>
  <c r="LS28" i="75"/>
  <c r="LR28" i="75"/>
  <c r="LQ28" i="75"/>
  <c r="MO27" i="75"/>
  <c r="MN27" i="75"/>
  <c r="MM27" i="75"/>
  <c r="ML27" i="75"/>
  <c r="MK27" i="75"/>
  <c r="MJ27" i="75"/>
  <c r="MI27" i="75"/>
  <c r="MH27" i="75"/>
  <c r="MG27" i="75"/>
  <c r="MF27" i="75"/>
  <c r="ME27" i="75"/>
  <c r="MD27" i="75"/>
  <c r="MC27" i="75"/>
  <c r="MB27" i="75"/>
  <c r="MA27" i="75"/>
  <c r="LZ27" i="75"/>
  <c r="LY27" i="75"/>
  <c r="LX27" i="75"/>
  <c r="LW27" i="75"/>
  <c r="LV27" i="75"/>
  <c r="LU27" i="75"/>
  <c r="LT27" i="75"/>
  <c r="LS27" i="75"/>
  <c r="LR27" i="75"/>
  <c r="LQ27" i="75"/>
  <c r="MO26" i="75"/>
  <c r="MN26" i="75"/>
  <c r="MM26" i="75"/>
  <c r="ML26" i="75"/>
  <c r="MK26" i="75"/>
  <c r="MJ26" i="75"/>
  <c r="MI26" i="75"/>
  <c r="MH26" i="75"/>
  <c r="MG26" i="75"/>
  <c r="MF26" i="75"/>
  <c r="ME26" i="75"/>
  <c r="MD26" i="75"/>
  <c r="MC26" i="75"/>
  <c r="MB26" i="75"/>
  <c r="MA26" i="75"/>
  <c r="LZ26" i="75"/>
  <c r="LY26" i="75"/>
  <c r="LX26" i="75"/>
  <c r="LW26" i="75"/>
  <c r="LV26" i="75"/>
  <c r="LU26" i="75"/>
  <c r="LT26" i="75"/>
  <c r="LS26" i="75"/>
  <c r="LR26" i="75"/>
  <c r="LQ26" i="75"/>
  <c r="MO25" i="75"/>
  <c r="MN25" i="75"/>
  <c r="MM25" i="75"/>
  <c r="ML25" i="75"/>
  <c r="MK25" i="75"/>
  <c r="MJ25" i="75"/>
  <c r="MI25" i="75"/>
  <c r="MH25" i="75"/>
  <c r="MG25" i="75"/>
  <c r="MF25" i="75"/>
  <c r="ME25" i="75"/>
  <c r="MD25" i="75"/>
  <c r="MC25" i="75"/>
  <c r="MB25" i="75"/>
  <c r="MA25" i="75"/>
  <c r="LZ25" i="75"/>
  <c r="LY25" i="75"/>
  <c r="LX25" i="75"/>
  <c r="LW25" i="75"/>
  <c r="LV25" i="75"/>
  <c r="LU25" i="75"/>
  <c r="LT25" i="75"/>
  <c r="LS25" i="75"/>
  <c r="LR25" i="75"/>
  <c r="LQ25" i="75"/>
  <c r="MO24" i="75"/>
  <c r="MN24" i="75"/>
  <c r="MM24" i="75"/>
  <c r="ML24" i="75"/>
  <c r="MK24" i="75"/>
  <c r="MJ24" i="75"/>
  <c r="MI24" i="75"/>
  <c r="MH24" i="75"/>
  <c r="MG24" i="75"/>
  <c r="MF24" i="75"/>
  <c r="ME24" i="75"/>
  <c r="MD24" i="75"/>
  <c r="MC24" i="75"/>
  <c r="MB24" i="75"/>
  <c r="MA24" i="75"/>
  <c r="LZ24" i="75"/>
  <c r="LY24" i="75"/>
  <c r="LX24" i="75"/>
  <c r="LW24" i="75"/>
  <c r="LV24" i="75"/>
  <c r="LU24" i="75"/>
  <c r="LT24" i="75"/>
  <c r="LS24" i="75"/>
  <c r="LR24" i="75"/>
  <c r="LQ24" i="75"/>
  <c r="MO23" i="75"/>
  <c r="MN23" i="75"/>
  <c r="MM23" i="75"/>
  <c r="ML23" i="75"/>
  <c r="MK23" i="75"/>
  <c r="MJ23" i="75"/>
  <c r="MI23" i="75"/>
  <c r="MH23" i="75"/>
  <c r="MG23" i="75"/>
  <c r="MF23" i="75"/>
  <c r="ME23" i="75"/>
  <c r="MD23" i="75"/>
  <c r="MC23" i="75"/>
  <c r="MB23" i="75"/>
  <c r="MA23" i="75"/>
  <c r="LZ23" i="75"/>
  <c r="LY23" i="75"/>
  <c r="LX23" i="75"/>
  <c r="LW23" i="75"/>
  <c r="LV23" i="75"/>
  <c r="LU23" i="75"/>
  <c r="LT23" i="75"/>
  <c r="LS23" i="75"/>
  <c r="LR23" i="75"/>
  <c r="LQ23" i="75"/>
  <c r="MO22" i="75"/>
  <c r="MN22" i="75"/>
  <c r="MM22" i="75"/>
  <c r="ML22" i="75"/>
  <c r="MK22" i="75"/>
  <c r="MJ22" i="75"/>
  <c r="MI22" i="75"/>
  <c r="MH22" i="75"/>
  <c r="MG22" i="75"/>
  <c r="MF22" i="75"/>
  <c r="ME22" i="75"/>
  <c r="MD22" i="75"/>
  <c r="MC22" i="75"/>
  <c r="MB22" i="75"/>
  <c r="MA22" i="75"/>
  <c r="LZ22" i="75"/>
  <c r="LY22" i="75"/>
  <c r="LX22" i="75"/>
  <c r="LW22" i="75"/>
  <c r="LV22" i="75"/>
  <c r="LU22" i="75"/>
  <c r="LT22" i="75"/>
  <c r="LS22" i="75"/>
  <c r="LR22" i="75"/>
  <c r="LQ22" i="75"/>
  <c r="MO21" i="75"/>
  <c r="MN21" i="75"/>
  <c r="MM21" i="75"/>
  <c r="ML21" i="75"/>
  <c r="MK21" i="75"/>
  <c r="MJ21" i="75"/>
  <c r="MI21" i="75"/>
  <c r="MH21" i="75"/>
  <c r="MG21" i="75"/>
  <c r="MF21" i="75"/>
  <c r="ME21" i="75"/>
  <c r="MD21" i="75"/>
  <c r="MC21" i="75"/>
  <c r="MB21" i="75"/>
  <c r="MA21" i="75"/>
  <c r="LZ21" i="75"/>
  <c r="LY21" i="75"/>
  <c r="LX21" i="75"/>
  <c r="LW21" i="75"/>
  <c r="LV21" i="75"/>
  <c r="LU21" i="75"/>
  <c r="LT21" i="75"/>
  <c r="LS21" i="75"/>
  <c r="LR21" i="75"/>
  <c r="LQ21" i="75"/>
  <c r="MO20" i="75"/>
  <c r="MN20" i="75"/>
  <c r="MM20" i="75"/>
  <c r="ML20" i="75"/>
  <c r="MK20" i="75"/>
  <c r="MJ20" i="75"/>
  <c r="MI20" i="75"/>
  <c r="MH20" i="75"/>
  <c r="MG20" i="75"/>
  <c r="MF20" i="75"/>
  <c r="ME20" i="75"/>
  <c r="MD20" i="75"/>
  <c r="MC20" i="75"/>
  <c r="MB20" i="75"/>
  <c r="MA20" i="75"/>
  <c r="LZ20" i="75"/>
  <c r="LY20" i="75"/>
  <c r="LX20" i="75"/>
  <c r="LW20" i="75"/>
  <c r="LV20" i="75"/>
  <c r="LU20" i="75"/>
  <c r="LT20" i="75"/>
  <c r="LS20" i="75"/>
  <c r="LR20" i="75"/>
  <c r="LQ20" i="75"/>
  <c r="MO19" i="75"/>
  <c r="MN19" i="75"/>
  <c r="MM19" i="75"/>
  <c r="ML19" i="75"/>
  <c r="MK19" i="75"/>
  <c r="MJ19" i="75"/>
  <c r="MI19" i="75"/>
  <c r="MH19" i="75"/>
  <c r="MG19" i="75"/>
  <c r="MF19" i="75"/>
  <c r="ME19" i="75"/>
  <c r="MD19" i="75"/>
  <c r="MC19" i="75"/>
  <c r="MB19" i="75"/>
  <c r="MA19" i="75"/>
  <c r="LZ19" i="75"/>
  <c r="LY19" i="75"/>
  <c r="LX19" i="75"/>
  <c r="LW19" i="75"/>
  <c r="LV19" i="75"/>
  <c r="LU19" i="75"/>
  <c r="LT19" i="75"/>
  <c r="LS19" i="75"/>
  <c r="LR19" i="75"/>
  <c r="LQ19" i="75"/>
  <c r="MO18" i="75"/>
  <c r="MN18" i="75"/>
  <c r="MM18" i="75"/>
  <c r="ML18" i="75"/>
  <c r="MK18" i="75"/>
  <c r="MJ18" i="75"/>
  <c r="MI18" i="75"/>
  <c r="MH18" i="75"/>
  <c r="MG18" i="75"/>
  <c r="MF18" i="75"/>
  <c r="ME18" i="75"/>
  <c r="MD18" i="75"/>
  <c r="MC18" i="75"/>
  <c r="MB18" i="75"/>
  <c r="MA18" i="75"/>
  <c r="LZ18" i="75"/>
  <c r="LY18" i="75"/>
  <c r="LX18" i="75"/>
  <c r="LW18" i="75"/>
  <c r="LV18" i="75"/>
  <c r="LU18" i="75"/>
  <c r="LT18" i="75"/>
  <c r="LS18" i="75"/>
  <c r="LR18" i="75"/>
  <c r="LQ18" i="75"/>
  <c r="MO17" i="75"/>
  <c r="MN17" i="75"/>
  <c r="MM17" i="75"/>
  <c r="ML17" i="75"/>
  <c r="MK17" i="75"/>
  <c r="MJ17" i="75"/>
  <c r="MI17" i="75"/>
  <c r="MH17" i="75"/>
  <c r="MG17" i="75"/>
  <c r="MF17" i="75"/>
  <c r="ME17" i="75"/>
  <c r="MD17" i="75"/>
  <c r="MC17" i="75"/>
  <c r="MB17" i="75"/>
  <c r="MA17" i="75"/>
  <c r="LZ17" i="75"/>
  <c r="LY17" i="75"/>
  <c r="LX17" i="75"/>
  <c r="LW17" i="75"/>
  <c r="LV17" i="75"/>
  <c r="LU17" i="75"/>
  <c r="LT17" i="75"/>
  <c r="LS17" i="75"/>
  <c r="LR17" i="75"/>
  <c r="LQ17" i="75"/>
  <c r="MO16" i="75"/>
  <c r="MN16" i="75"/>
  <c r="MM16" i="75"/>
  <c r="ML16" i="75"/>
  <c r="MK16" i="75"/>
  <c r="MJ16" i="75"/>
  <c r="MI16" i="75"/>
  <c r="MH16" i="75"/>
  <c r="MG16" i="75"/>
  <c r="MF16" i="75"/>
  <c r="ME16" i="75"/>
  <c r="MD16" i="75"/>
  <c r="MC16" i="75"/>
  <c r="MB16" i="75"/>
  <c r="MA16" i="75"/>
  <c r="LZ16" i="75"/>
  <c r="LY16" i="75"/>
  <c r="LX16" i="75"/>
  <c r="LW16" i="75"/>
  <c r="LV16" i="75"/>
  <c r="LU16" i="75"/>
  <c r="LT16" i="75"/>
  <c r="LS16" i="75"/>
  <c r="LR16" i="75"/>
  <c r="LQ16" i="75"/>
  <c r="MO15" i="75"/>
  <c r="MN15" i="75"/>
  <c r="MM15" i="75"/>
  <c r="ML15" i="75"/>
  <c r="MK15" i="75"/>
  <c r="MJ15" i="75"/>
  <c r="MI15" i="75"/>
  <c r="MH15" i="75"/>
  <c r="MG15" i="75"/>
  <c r="MF15" i="75"/>
  <c r="ME15" i="75"/>
  <c r="MD15" i="75"/>
  <c r="MC15" i="75"/>
  <c r="MB15" i="75"/>
  <c r="MA15" i="75"/>
  <c r="LZ15" i="75"/>
  <c r="LY15" i="75"/>
  <c r="LX15" i="75"/>
  <c r="LW15" i="75"/>
  <c r="LV15" i="75"/>
  <c r="LU15" i="75"/>
  <c r="LT15" i="75"/>
  <c r="LS15" i="75"/>
  <c r="LR15" i="75"/>
  <c r="LQ15" i="75"/>
  <c r="MO14" i="75"/>
  <c r="MN14" i="75"/>
  <c r="MM14" i="75"/>
  <c r="ML14" i="75"/>
  <c r="MK14" i="75"/>
  <c r="MJ14" i="75"/>
  <c r="MI14" i="75"/>
  <c r="MH14" i="75"/>
  <c r="MG14" i="75"/>
  <c r="MF14" i="75"/>
  <c r="ME14" i="75"/>
  <c r="MD14" i="75"/>
  <c r="MC14" i="75"/>
  <c r="MB14" i="75"/>
  <c r="MA14" i="75"/>
  <c r="LZ14" i="75"/>
  <c r="LY14" i="75"/>
  <c r="LX14" i="75"/>
  <c r="LW14" i="75"/>
  <c r="LV14" i="75"/>
  <c r="LU14" i="75"/>
  <c r="LT14" i="75"/>
  <c r="LS14" i="75"/>
  <c r="LR14" i="75"/>
  <c r="LQ14" i="75"/>
  <c r="MO13" i="75"/>
  <c r="MN13" i="75"/>
  <c r="MM13" i="75"/>
  <c r="ML13" i="75"/>
  <c r="MK13" i="75"/>
  <c r="MJ13" i="75"/>
  <c r="MI13" i="75"/>
  <c r="MH13" i="75"/>
  <c r="MG13" i="75"/>
  <c r="MF13" i="75"/>
  <c r="ME13" i="75"/>
  <c r="MD13" i="75"/>
  <c r="MC13" i="75"/>
  <c r="MB13" i="75"/>
  <c r="MA13" i="75"/>
  <c r="LZ13" i="75"/>
  <c r="LY13" i="75"/>
  <c r="LX13" i="75"/>
  <c r="LW13" i="75"/>
  <c r="LV13" i="75"/>
  <c r="LU13" i="75"/>
  <c r="LT13" i="75"/>
  <c r="LS13" i="75"/>
  <c r="LR13" i="75"/>
  <c r="LQ13" i="75"/>
  <c r="MO12" i="75"/>
  <c r="MN12" i="75"/>
  <c r="MM12" i="75"/>
  <c r="ML12" i="75"/>
  <c r="MK12" i="75"/>
  <c r="MJ12" i="75"/>
  <c r="MI12" i="75"/>
  <c r="MH12" i="75"/>
  <c r="MG12" i="75"/>
  <c r="MF12" i="75"/>
  <c r="ME12" i="75"/>
  <c r="MD12" i="75"/>
  <c r="MC12" i="75"/>
  <c r="MB12" i="75"/>
  <c r="MA12" i="75"/>
  <c r="LZ12" i="75"/>
  <c r="LY12" i="75"/>
  <c r="LX12" i="75"/>
  <c r="LW12" i="75"/>
  <c r="LV12" i="75"/>
  <c r="LU12" i="75"/>
  <c r="LT12" i="75"/>
  <c r="LS12" i="75"/>
  <c r="LR12" i="75"/>
  <c r="LQ12" i="75"/>
  <c r="MO11" i="75"/>
  <c r="MN11" i="75"/>
  <c r="MM11" i="75"/>
  <c r="ML11" i="75"/>
  <c r="MK11" i="75"/>
  <c r="MJ11" i="75"/>
  <c r="MI11" i="75"/>
  <c r="MH11" i="75"/>
  <c r="MG11" i="75"/>
  <c r="MF11" i="75"/>
  <c r="ME11" i="75"/>
  <c r="MD11" i="75"/>
  <c r="MC11" i="75"/>
  <c r="MB11" i="75"/>
  <c r="MA11" i="75"/>
  <c r="LZ11" i="75"/>
  <c r="LY11" i="75"/>
  <c r="LX11" i="75"/>
  <c r="LW11" i="75"/>
  <c r="LV11" i="75"/>
  <c r="LU11" i="75"/>
  <c r="LT11" i="75"/>
  <c r="LS11" i="75"/>
  <c r="LR11" i="75"/>
  <c r="LQ11" i="75"/>
  <c r="MO10" i="75"/>
  <c r="MN10" i="75"/>
  <c r="MM10" i="75"/>
  <c r="ML10" i="75"/>
  <c r="MK10" i="75"/>
  <c r="MJ10" i="75"/>
  <c r="MI10" i="75"/>
  <c r="MH10" i="75"/>
  <c r="MG10" i="75"/>
  <c r="MF10" i="75"/>
  <c r="ME10" i="75"/>
  <c r="MD10" i="75"/>
  <c r="MC10" i="75"/>
  <c r="MB10" i="75"/>
  <c r="MA10" i="75"/>
  <c r="LZ10" i="75"/>
  <c r="LY10" i="75"/>
  <c r="LX10" i="75"/>
  <c r="LW10" i="75"/>
  <c r="LV10" i="75"/>
  <c r="LU10" i="75"/>
  <c r="LT10" i="75"/>
  <c r="LS10" i="75"/>
  <c r="LR10" i="75"/>
  <c r="LQ10" i="75"/>
  <c r="F49" i="75"/>
  <c r="FQ47" i="75"/>
  <c r="FP47" i="75"/>
  <c r="FO47" i="75"/>
  <c r="FN47" i="75"/>
  <c r="FM47" i="75"/>
  <c r="FQ46" i="75"/>
  <c r="FP46" i="75"/>
  <c r="FO46" i="75"/>
  <c r="FN46" i="75"/>
  <c r="FM46" i="75"/>
  <c r="FQ45" i="75"/>
  <c r="FP45" i="75"/>
  <c r="FO45" i="75"/>
  <c r="FN45" i="75"/>
  <c r="FM45" i="75"/>
  <c r="FQ44" i="75"/>
  <c r="FP44" i="75"/>
  <c r="FO44" i="75"/>
  <c r="FN44" i="75"/>
  <c r="FM44" i="75"/>
  <c r="FQ43" i="75"/>
  <c r="FP43" i="75"/>
  <c r="FO43" i="75"/>
  <c r="FN43" i="75"/>
  <c r="FM43" i="75"/>
  <c r="FQ42" i="75"/>
  <c r="FP42" i="75"/>
  <c r="FO42" i="75"/>
  <c r="FN42" i="75"/>
  <c r="FM42" i="75"/>
  <c r="FQ41" i="75"/>
  <c r="FP41" i="75"/>
  <c r="FO41" i="75"/>
  <c r="FN41" i="75"/>
  <c r="FM41" i="75"/>
  <c r="FQ40" i="75"/>
  <c r="FP40" i="75"/>
  <c r="FO40" i="75"/>
  <c r="FN40" i="75"/>
  <c r="FM40" i="75"/>
  <c r="FQ39" i="75"/>
  <c r="FP39" i="75"/>
  <c r="FO39" i="75"/>
  <c r="FN39" i="75"/>
  <c r="FM39" i="75"/>
  <c r="FQ38" i="75"/>
  <c r="FP38" i="75"/>
  <c r="FO38" i="75"/>
  <c r="FN38" i="75"/>
  <c r="FM38" i="75"/>
  <c r="FQ37" i="75"/>
  <c r="FP37" i="75"/>
  <c r="FO37" i="75"/>
  <c r="FN37" i="75"/>
  <c r="FM37" i="75"/>
  <c r="FQ36" i="75"/>
  <c r="FP36" i="75"/>
  <c r="FO36" i="75"/>
  <c r="FN36" i="75"/>
  <c r="FM36" i="75"/>
  <c r="FQ35" i="75"/>
  <c r="FP35" i="75"/>
  <c r="FO35" i="75"/>
  <c r="FN35" i="75"/>
  <c r="FM35" i="75"/>
  <c r="FQ34" i="75"/>
  <c r="FP34" i="75"/>
  <c r="FO34" i="75"/>
  <c r="FN34" i="75"/>
  <c r="FM34" i="75"/>
  <c r="FQ33" i="75"/>
  <c r="FP33" i="75"/>
  <c r="FO33" i="75"/>
  <c r="FN33" i="75"/>
  <c r="FM33" i="75"/>
  <c r="FQ32" i="75"/>
  <c r="FP32" i="75"/>
  <c r="FO32" i="75"/>
  <c r="FN32" i="75"/>
  <c r="FM32" i="75"/>
  <c r="FQ31" i="75"/>
  <c r="FP31" i="75"/>
  <c r="FO31" i="75"/>
  <c r="FN31" i="75"/>
  <c r="FM31" i="75"/>
  <c r="FQ30" i="75"/>
  <c r="FP30" i="75"/>
  <c r="FO30" i="75"/>
  <c r="FN30" i="75"/>
  <c r="FM30" i="75"/>
  <c r="FQ29" i="75"/>
  <c r="FP29" i="75"/>
  <c r="FO29" i="75"/>
  <c r="FN29" i="75"/>
  <c r="FM29" i="75"/>
  <c r="FQ28" i="75"/>
  <c r="FP28" i="75"/>
  <c r="FO28" i="75"/>
  <c r="FN28" i="75"/>
  <c r="FM28" i="75"/>
  <c r="FQ27" i="75"/>
  <c r="FP27" i="75"/>
  <c r="FO27" i="75"/>
  <c r="FN27" i="75"/>
  <c r="FM27" i="75"/>
  <c r="FQ26" i="75"/>
  <c r="FP26" i="75"/>
  <c r="FO26" i="75"/>
  <c r="FN26" i="75"/>
  <c r="FM26" i="75"/>
  <c r="FQ25" i="75"/>
  <c r="FP25" i="75"/>
  <c r="FO25" i="75"/>
  <c r="FN25" i="75"/>
  <c r="FM25" i="75"/>
  <c r="FQ24" i="75"/>
  <c r="FP24" i="75"/>
  <c r="FO24" i="75"/>
  <c r="FN24" i="75"/>
  <c r="FM24" i="75"/>
  <c r="FQ23" i="75"/>
  <c r="FP23" i="75"/>
  <c r="FO23" i="75"/>
  <c r="FN23" i="75"/>
  <c r="FM23" i="75"/>
  <c r="FQ22" i="75"/>
  <c r="FP22" i="75"/>
  <c r="FO22" i="75"/>
  <c r="FN22" i="75"/>
  <c r="FM22" i="75"/>
  <c r="FQ21" i="75"/>
  <c r="FP21" i="75"/>
  <c r="FO21" i="75"/>
  <c r="FN21" i="75"/>
  <c r="FM21" i="75"/>
  <c r="FQ20" i="75"/>
  <c r="FP20" i="75"/>
  <c r="FO20" i="75"/>
  <c r="FN20" i="75"/>
  <c r="FM20" i="75"/>
  <c r="FQ19" i="75"/>
  <c r="FP19" i="75"/>
  <c r="FO19" i="75"/>
  <c r="FN19" i="75"/>
  <c r="FM19" i="75"/>
  <c r="FQ18" i="75"/>
  <c r="FP18" i="75"/>
  <c r="FO18" i="75"/>
  <c r="FN18" i="75"/>
  <c r="FM18" i="75"/>
  <c r="FQ17" i="75"/>
  <c r="FP17" i="75"/>
  <c r="FO17" i="75"/>
  <c r="FN17" i="75"/>
  <c r="FM17" i="75"/>
  <c r="FQ16" i="75"/>
  <c r="FP16" i="75"/>
  <c r="FO16" i="75"/>
  <c r="FN16" i="75"/>
  <c r="FM16" i="75"/>
  <c r="FQ15" i="75"/>
  <c r="FP15" i="75"/>
  <c r="FO15" i="75"/>
  <c r="FN15" i="75"/>
  <c r="FM15" i="75"/>
  <c r="FQ14" i="75"/>
  <c r="FP14" i="75"/>
  <c r="FO14" i="75"/>
  <c r="FN14" i="75"/>
  <c r="FM14" i="75"/>
  <c r="FQ13" i="75"/>
  <c r="FP13" i="75"/>
  <c r="FO13" i="75"/>
  <c r="FN13" i="75"/>
  <c r="FM13" i="75"/>
  <c r="FQ12" i="75"/>
  <c r="FP12" i="75"/>
  <c r="FO12" i="75"/>
  <c r="FN12" i="75"/>
  <c r="FM12" i="75"/>
  <c r="FQ11" i="75"/>
  <c r="FP11" i="75"/>
  <c r="FO11" i="75"/>
  <c r="FN11" i="75"/>
  <c r="FM11" i="75"/>
  <c r="FQ10" i="75"/>
  <c r="FP10" i="75"/>
  <c r="FO10" i="75"/>
  <c r="FN10" i="75"/>
  <c r="FM10" i="75"/>
  <c r="FG47" i="75"/>
  <c r="FF47" i="75"/>
  <c r="FE47" i="75"/>
  <c r="FD47" i="75"/>
  <c r="FC47" i="75"/>
  <c r="FG46" i="75"/>
  <c r="FF46" i="75"/>
  <c r="FE46" i="75"/>
  <c r="FD46" i="75"/>
  <c r="FC46" i="75"/>
  <c r="FG45" i="75"/>
  <c r="FF45" i="75"/>
  <c r="FE45" i="75"/>
  <c r="FD45" i="75"/>
  <c r="FC45" i="75"/>
  <c r="FG44" i="75"/>
  <c r="FF44" i="75"/>
  <c r="FE44" i="75"/>
  <c r="FD44" i="75"/>
  <c r="FC44" i="75"/>
  <c r="FG43" i="75"/>
  <c r="FF43" i="75"/>
  <c r="FE43" i="75"/>
  <c r="FD43" i="75"/>
  <c r="FC43" i="75"/>
  <c r="FG42" i="75"/>
  <c r="FF42" i="75"/>
  <c r="FE42" i="75"/>
  <c r="FD42" i="75"/>
  <c r="FC42" i="75"/>
  <c r="FG41" i="75"/>
  <c r="FF41" i="75"/>
  <c r="FE41" i="75"/>
  <c r="FD41" i="75"/>
  <c r="FC41" i="75"/>
  <c r="FG40" i="75"/>
  <c r="FF40" i="75"/>
  <c r="FE40" i="75"/>
  <c r="FD40" i="75"/>
  <c r="FC40" i="75"/>
  <c r="FG39" i="75"/>
  <c r="FF39" i="75"/>
  <c r="FE39" i="75"/>
  <c r="FD39" i="75"/>
  <c r="FC39" i="75"/>
  <c r="FG38" i="75"/>
  <c r="FF38" i="75"/>
  <c r="FE38" i="75"/>
  <c r="FD38" i="75"/>
  <c r="FC38" i="75"/>
  <c r="FG37" i="75"/>
  <c r="FF37" i="75"/>
  <c r="FE37" i="75"/>
  <c r="FD37" i="75"/>
  <c r="FC37" i="75"/>
  <c r="FG36" i="75"/>
  <c r="FF36" i="75"/>
  <c r="FE36" i="75"/>
  <c r="FD36" i="75"/>
  <c r="FC36" i="75"/>
  <c r="FG35" i="75"/>
  <c r="FF35" i="75"/>
  <c r="FE35" i="75"/>
  <c r="FD35" i="75"/>
  <c r="FC35" i="75"/>
  <c r="FG34" i="75"/>
  <c r="FF34" i="75"/>
  <c r="FE34" i="75"/>
  <c r="FD34" i="75"/>
  <c r="FC34" i="75"/>
  <c r="FG33" i="75"/>
  <c r="FF33" i="75"/>
  <c r="FE33" i="75"/>
  <c r="FD33" i="75"/>
  <c r="FC33" i="75"/>
  <c r="FG32" i="75"/>
  <c r="FF32" i="75"/>
  <c r="FE32" i="75"/>
  <c r="FD32" i="75"/>
  <c r="FC32" i="75"/>
  <c r="FG31" i="75"/>
  <c r="FF31" i="75"/>
  <c r="FE31" i="75"/>
  <c r="FD31" i="75"/>
  <c r="FC31" i="75"/>
  <c r="FG30" i="75"/>
  <c r="FF30" i="75"/>
  <c r="FE30" i="75"/>
  <c r="FD30" i="75"/>
  <c r="FC30" i="75"/>
  <c r="FG29" i="75"/>
  <c r="FF29" i="75"/>
  <c r="FE29" i="75"/>
  <c r="FD29" i="75"/>
  <c r="FC29" i="75"/>
  <c r="FG28" i="75"/>
  <c r="FF28" i="75"/>
  <c r="FE28" i="75"/>
  <c r="FD28" i="75"/>
  <c r="FC28" i="75"/>
  <c r="FG27" i="75"/>
  <c r="FF27" i="75"/>
  <c r="FE27" i="75"/>
  <c r="FD27" i="75"/>
  <c r="FC27" i="75"/>
  <c r="FG26" i="75"/>
  <c r="FF26" i="75"/>
  <c r="FE26" i="75"/>
  <c r="FD26" i="75"/>
  <c r="FC26" i="75"/>
  <c r="FG25" i="75"/>
  <c r="FF25" i="75"/>
  <c r="FE25" i="75"/>
  <c r="FD25" i="75"/>
  <c r="FC25" i="75"/>
  <c r="FG24" i="75"/>
  <c r="FF24" i="75"/>
  <c r="FE24" i="75"/>
  <c r="FD24" i="75"/>
  <c r="FC24" i="75"/>
  <c r="FG23" i="75"/>
  <c r="FF23" i="75"/>
  <c r="FE23" i="75"/>
  <c r="FD23" i="75"/>
  <c r="FC23" i="75"/>
  <c r="FG22" i="75"/>
  <c r="FF22" i="75"/>
  <c r="FE22" i="75"/>
  <c r="FD22" i="75"/>
  <c r="FC22" i="75"/>
  <c r="FG21" i="75"/>
  <c r="FF21" i="75"/>
  <c r="FE21" i="75"/>
  <c r="FD21" i="75"/>
  <c r="FC21" i="75"/>
  <c r="FG20" i="75"/>
  <c r="FF20" i="75"/>
  <c r="FE20" i="75"/>
  <c r="FD20" i="75"/>
  <c r="FC20" i="75"/>
  <c r="FG19" i="75"/>
  <c r="FF19" i="75"/>
  <c r="FE19" i="75"/>
  <c r="FD19" i="75"/>
  <c r="FC19" i="75"/>
  <c r="FG18" i="75"/>
  <c r="FF18" i="75"/>
  <c r="FE18" i="75"/>
  <c r="FD18" i="75"/>
  <c r="FC18" i="75"/>
  <c r="FG17" i="75"/>
  <c r="FF17" i="75"/>
  <c r="FE17" i="75"/>
  <c r="FD17" i="75"/>
  <c r="FC17" i="75"/>
  <c r="FG16" i="75"/>
  <c r="FF16" i="75"/>
  <c r="FE16" i="75"/>
  <c r="FD16" i="75"/>
  <c r="FC16" i="75"/>
  <c r="FG15" i="75"/>
  <c r="FF15" i="75"/>
  <c r="FE15" i="75"/>
  <c r="FD15" i="75"/>
  <c r="FC15" i="75"/>
  <c r="FG14" i="75"/>
  <c r="FF14" i="75"/>
  <c r="FE14" i="75"/>
  <c r="FD14" i="75"/>
  <c r="FC14" i="75"/>
  <c r="FG13" i="75"/>
  <c r="FF13" i="75"/>
  <c r="FE13" i="75"/>
  <c r="FD13" i="75"/>
  <c r="FC13" i="75"/>
  <c r="FG12" i="75"/>
  <c r="FF12" i="75"/>
  <c r="FE12" i="75"/>
  <c r="FD12" i="75"/>
  <c r="FC12" i="75"/>
  <c r="FG11" i="75"/>
  <c r="FF11" i="75"/>
  <c r="FE11" i="75"/>
  <c r="FD11" i="75"/>
  <c r="FC11" i="75"/>
  <c r="FG10" i="75"/>
  <c r="FF10" i="75"/>
  <c r="FE10" i="75"/>
  <c r="FD10" i="75"/>
  <c r="FC10" i="75"/>
  <c r="ER47" i="75"/>
  <c r="EQ47" i="75"/>
  <c r="EP47" i="75"/>
  <c r="EO47" i="75"/>
  <c r="EN47" i="75"/>
  <c r="ER46" i="75"/>
  <c r="EQ46" i="75"/>
  <c r="EP46" i="75"/>
  <c r="EO46" i="75"/>
  <c r="EN46" i="75"/>
  <c r="ER45" i="75"/>
  <c r="EQ45" i="75"/>
  <c r="EP45" i="75"/>
  <c r="EO45" i="75"/>
  <c r="EN45" i="75"/>
  <c r="ER44" i="75"/>
  <c r="EQ44" i="75"/>
  <c r="EP44" i="75"/>
  <c r="EO44" i="75"/>
  <c r="EN44" i="75"/>
  <c r="ER43" i="75"/>
  <c r="EQ43" i="75"/>
  <c r="EP43" i="75"/>
  <c r="EO43" i="75"/>
  <c r="EN43" i="75"/>
  <c r="ER42" i="75"/>
  <c r="EQ42" i="75"/>
  <c r="EP42" i="75"/>
  <c r="EO42" i="75"/>
  <c r="EN42" i="75"/>
  <c r="ER41" i="75"/>
  <c r="EQ41" i="75"/>
  <c r="EP41" i="75"/>
  <c r="EO41" i="75"/>
  <c r="EN41" i="75"/>
  <c r="ER40" i="75"/>
  <c r="EQ40" i="75"/>
  <c r="EP40" i="75"/>
  <c r="EO40" i="75"/>
  <c r="EN40" i="75"/>
  <c r="ER39" i="75"/>
  <c r="EQ39" i="75"/>
  <c r="EP39" i="75"/>
  <c r="EO39" i="75"/>
  <c r="EN39" i="75"/>
  <c r="ER38" i="75"/>
  <c r="EQ38" i="75"/>
  <c r="EP38" i="75"/>
  <c r="EO38" i="75"/>
  <c r="EN38" i="75"/>
  <c r="ER37" i="75"/>
  <c r="EQ37" i="75"/>
  <c r="EP37" i="75"/>
  <c r="EO37" i="75"/>
  <c r="EN37" i="75"/>
  <c r="ER36" i="75"/>
  <c r="EQ36" i="75"/>
  <c r="EP36" i="75"/>
  <c r="EO36" i="75"/>
  <c r="EN36" i="75"/>
  <c r="ER35" i="75"/>
  <c r="EQ35" i="75"/>
  <c r="EP35" i="75"/>
  <c r="EO35" i="75"/>
  <c r="EN35" i="75"/>
  <c r="ER34" i="75"/>
  <c r="EQ34" i="75"/>
  <c r="EP34" i="75"/>
  <c r="EO34" i="75"/>
  <c r="EN34" i="75"/>
  <c r="ER33" i="75"/>
  <c r="EQ33" i="75"/>
  <c r="EP33" i="75"/>
  <c r="EO33" i="75"/>
  <c r="EN33" i="75"/>
  <c r="ER32" i="75"/>
  <c r="EQ32" i="75"/>
  <c r="EP32" i="75"/>
  <c r="EO32" i="75"/>
  <c r="EN32" i="75"/>
  <c r="ER31" i="75"/>
  <c r="EQ31" i="75"/>
  <c r="EP31" i="75"/>
  <c r="EO31" i="75"/>
  <c r="EN31" i="75"/>
  <c r="ER30" i="75"/>
  <c r="EQ30" i="75"/>
  <c r="EP30" i="75"/>
  <c r="EO30" i="75"/>
  <c r="EN30" i="75"/>
  <c r="ER29" i="75"/>
  <c r="EQ29" i="75"/>
  <c r="EP29" i="75"/>
  <c r="EO29" i="75"/>
  <c r="EN29" i="75"/>
  <c r="ER28" i="75"/>
  <c r="EQ28" i="75"/>
  <c r="EP28" i="75"/>
  <c r="EO28" i="75"/>
  <c r="EN28" i="75"/>
  <c r="ER27" i="75"/>
  <c r="EQ27" i="75"/>
  <c r="EP27" i="75"/>
  <c r="EO27" i="75"/>
  <c r="EN27" i="75"/>
  <c r="ER26" i="75"/>
  <c r="EQ26" i="75"/>
  <c r="EP26" i="75"/>
  <c r="EO26" i="75"/>
  <c r="EN26" i="75"/>
  <c r="ER25" i="75"/>
  <c r="EQ25" i="75"/>
  <c r="EP25" i="75"/>
  <c r="EO25" i="75"/>
  <c r="EN25" i="75"/>
  <c r="ER24" i="75"/>
  <c r="EQ24" i="75"/>
  <c r="EP24" i="75"/>
  <c r="EO24" i="75"/>
  <c r="EN24" i="75"/>
  <c r="ER23" i="75"/>
  <c r="EQ23" i="75"/>
  <c r="EP23" i="75"/>
  <c r="EO23" i="75"/>
  <c r="EN23" i="75"/>
  <c r="ER22" i="75"/>
  <c r="EQ22" i="75"/>
  <c r="EP22" i="75"/>
  <c r="EO22" i="75"/>
  <c r="EN22" i="75"/>
  <c r="ER21" i="75"/>
  <c r="EQ21" i="75"/>
  <c r="EP21" i="75"/>
  <c r="EO21" i="75"/>
  <c r="EN21" i="75"/>
  <c r="ER20" i="75"/>
  <c r="EQ20" i="75"/>
  <c r="EP20" i="75"/>
  <c r="EO20" i="75"/>
  <c r="EN20" i="75"/>
  <c r="ER19" i="75"/>
  <c r="EQ19" i="75"/>
  <c r="EP19" i="75"/>
  <c r="EO19" i="75"/>
  <c r="EN19" i="75"/>
  <c r="ER18" i="75"/>
  <c r="EQ18" i="75"/>
  <c r="EP18" i="75"/>
  <c r="EO18" i="75"/>
  <c r="EN18" i="75"/>
  <c r="ER17" i="75"/>
  <c r="EQ17" i="75"/>
  <c r="EP17" i="75"/>
  <c r="EO17" i="75"/>
  <c r="EN17" i="75"/>
  <c r="ER16" i="75"/>
  <c r="EQ16" i="75"/>
  <c r="EP16" i="75"/>
  <c r="EO16" i="75"/>
  <c r="EN16" i="75"/>
  <c r="ER15" i="75"/>
  <c r="EQ15" i="75"/>
  <c r="EP15" i="75"/>
  <c r="EO15" i="75"/>
  <c r="EN15" i="75"/>
  <c r="ER14" i="75"/>
  <c r="EQ14" i="75"/>
  <c r="EP14" i="75"/>
  <c r="EO14" i="75"/>
  <c r="EN14" i="75"/>
  <c r="ER13" i="75"/>
  <c r="EQ13" i="75"/>
  <c r="EP13" i="75"/>
  <c r="EO13" i="75"/>
  <c r="EN13" i="75"/>
  <c r="ER12" i="75"/>
  <c r="EQ12" i="75"/>
  <c r="EP12" i="75"/>
  <c r="EO12" i="75"/>
  <c r="EN12" i="75"/>
  <c r="ER11" i="75"/>
  <c r="EQ11" i="75"/>
  <c r="EP11" i="75"/>
  <c r="EO11" i="75"/>
  <c r="EN11" i="75"/>
  <c r="ER10" i="75"/>
  <c r="EQ10" i="75"/>
  <c r="EP10" i="75"/>
  <c r="EO10" i="75"/>
  <c r="EN10" i="75"/>
  <c r="EM47" i="75"/>
  <c r="EL47" i="75"/>
  <c r="EK47" i="75"/>
  <c r="EJ47" i="75"/>
  <c r="EI47" i="75"/>
  <c r="EM46" i="75"/>
  <c r="EL46" i="75"/>
  <c r="EK46" i="75"/>
  <c r="EJ46" i="75"/>
  <c r="EI46" i="75"/>
  <c r="EM45" i="75"/>
  <c r="EL45" i="75"/>
  <c r="EK45" i="75"/>
  <c r="EJ45" i="75"/>
  <c r="EI45" i="75"/>
  <c r="EM44" i="75"/>
  <c r="EL44" i="75"/>
  <c r="EK44" i="75"/>
  <c r="EJ44" i="75"/>
  <c r="EI44" i="75"/>
  <c r="EM43" i="75"/>
  <c r="EL43" i="75"/>
  <c r="EK43" i="75"/>
  <c r="EJ43" i="75"/>
  <c r="EI43" i="75"/>
  <c r="EM42" i="75"/>
  <c r="EL42" i="75"/>
  <c r="EK42" i="75"/>
  <c r="EJ42" i="75"/>
  <c r="EI42" i="75"/>
  <c r="EM41" i="75"/>
  <c r="EL41" i="75"/>
  <c r="EK41" i="75"/>
  <c r="EJ41" i="75"/>
  <c r="EI41" i="75"/>
  <c r="EM40" i="75"/>
  <c r="EL40" i="75"/>
  <c r="EK40" i="75"/>
  <c r="EJ40" i="75"/>
  <c r="EI40" i="75"/>
  <c r="EM39" i="75"/>
  <c r="EL39" i="75"/>
  <c r="EK39" i="75"/>
  <c r="EJ39" i="75"/>
  <c r="EI39" i="75"/>
  <c r="EM38" i="75"/>
  <c r="EL38" i="75"/>
  <c r="EK38" i="75"/>
  <c r="EJ38" i="75"/>
  <c r="EI38" i="75"/>
  <c r="EM37" i="75"/>
  <c r="EL37" i="75"/>
  <c r="EK37" i="75"/>
  <c r="EJ37" i="75"/>
  <c r="EI37" i="75"/>
  <c r="EM36" i="75"/>
  <c r="EL36" i="75"/>
  <c r="EK36" i="75"/>
  <c r="EJ36" i="75"/>
  <c r="EI36" i="75"/>
  <c r="EM35" i="75"/>
  <c r="EL35" i="75"/>
  <c r="EK35" i="75"/>
  <c r="EJ35" i="75"/>
  <c r="EI35" i="75"/>
  <c r="EM34" i="75"/>
  <c r="EL34" i="75"/>
  <c r="EK34" i="75"/>
  <c r="EJ34" i="75"/>
  <c r="EI34" i="75"/>
  <c r="EM33" i="75"/>
  <c r="EL33" i="75"/>
  <c r="EK33" i="75"/>
  <c r="EJ33" i="75"/>
  <c r="EI33" i="75"/>
  <c r="EM32" i="75"/>
  <c r="EL32" i="75"/>
  <c r="EK32" i="75"/>
  <c r="EJ32" i="75"/>
  <c r="EI32" i="75"/>
  <c r="EM31" i="75"/>
  <c r="EL31" i="75"/>
  <c r="EK31" i="75"/>
  <c r="EJ31" i="75"/>
  <c r="EI31" i="75"/>
  <c r="EM30" i="75"/>
  <c r="EL30" i="75"/>
  <c r="EK30" i="75"/>
  <c r="EJ30" i="75"/>
  <c r="EI30" i="75"/>
  <c r="EM29" i="75"/>
  <c r="EL29" i="75"/>
  <c r="EK29" i="75"/>
  <c r="EJ29" i="75"/>
  <c r="EI29" i="75"/>
  <c r="EM28" i="75"/>
  <c r="EL28" i="75"/>
  <c r="EK28" i="75"/>
  <c r="EJ28" i="75"/>
  <c r="EI28" i="75"/>
  <c r="EM27" i="75"/>
  <c r="EL27" i="75"/>
  <c r="EK27" i="75"/>
  <c r="EJ27" i="75"/>
  <c r="EI27" i="75"/>
  <c r="EM26" i="75"/>
  <c r="EL26" i="75"/>
  <c r="EK26" i="75"/>
  <c r="EJ26" i="75"/>
  <c r="EI26" i="75"/>
  <c r="EM25" i="75"/>
  <c r="EL25" i="75"/>
  <c r="EK25" i="75"/>
  <c r="EJ25" i="75"/>
  <c r="EI25" i="75"/>
  <c r="EM24" i="75"/>
  <c r="EL24" i="75"/>
  <c r="EK24" i="75"/>
  <c r="EJ24" i="75"/>
  <c r="EI24" i="75"/>
  <c r="EM23" i="75"/>
  <c r="EL23" i="75"/>
  <c r="EK23" i="75"/>
  <c r="EJ23" i="75"/>
  <c r="EI23" i="75"/>
  <c r="EM22" i="75"/>
  <c r="EL22" i="75"/>
  <c r="EK22" i="75"/>
  <c r="EJ22" i="75"/>
  <c r="EI22" i="75"/>
  <c r="EM21" i="75"/>
  <c r="EL21" i="75"/>
  <c r="EK21" i="75"/>
  <c r="EJ21" i="75"/>
  <c r="EI21" i="75"/>
  <c r="EM20" i="75"/>
  <c r="EL20" i="75"/>
  <c r="EK20" i="75"/>
  <c r="EJ20" i="75"/>
  <c r="EI20" i="75"/>
  <c r="EM19" i="75"/>
  <c r="EL19" i="75"/>
  <c r="EK19" i="75"/>
  <c r="EJ19" i="75"/>
  <c r="EI19" i="75"/>
  <c r="EM18" i="75"/>
  <c r="EL18" i="75"/>
  <c r="EK18" i="75"/>
  <c r="EJ18" i="75"/>
  <c r="EI18" i="75"/>
  <c r="EM17" i="75"/>
  <c r="EL17" i="75"/>
  <c r="EK17" i="75"/>
  <c r="EJ17" i="75"/>
  <c r="EI17" i="75"/>
  <c r="EM16" i="75"/>
  <c r="EL16" i="75"/>
  <c r="EK16" i="75"/>
  <c r="EJ16" i="75"/>
  <c r="EI16" i="75"/>
  <c r="EM15" i="75"/>
  <c r="EL15" i="75"/>
  <c r="EK15" i="75"/>
  <c r="EJ15" i="75"/>
  <c r="EI15" i="75"/>
  <c r="EM14" i="75"/>
  <c r="EL14" i="75"/>
  <c r="EK14" i="75"/>
  <c r="EJ14" i="75"/>
  <c r="EI14" i="75"/>
  <c r="EM13" i="75"/>
  <c r="EL13" i="75"/>
  <c r="EK13" i="75"/>
  <c r="EJ13" i="75"/>
  <c r="EI13" i="75"/>
  <c r="EM12" i="75"/>
  <c r="EL12" i="75"/>
  <c r="EK12" i="75"/>
  <c r="EJ12" i="75"/>
  <c r="EI12" i="75"/>
  <c r="EM11" i="75"/>
  <c r="EL11" i="75"/>
  <c r="EK11" i="75"/>
  <c r="EJ11" i="75"/>
  <c r="EI11" i="75"/>
  <c r="EM10" i="75"/>
  <c r="EL10" i="75"/>
  <c r="EK10" i="75"/>
  <c r="EJ10" i="75"/>
  <c r="EI10" i="75"/>
  <c r="EH11" i="75"/>
  <c r="EX11" i="75"/>
  <c r="EY11" i="75"/>
  <c r="EZ11" i="75"/>
  <c r="FA11" i="75"/>
  <c r="FB11" i="75"/>
  <c r="FH11" i="75"/>
  <c r="FI11" i="75"/>
  <c r="FJ11" i="75"/>
  <c r="FK11" i="75"/>
  <c r="FL11" i="75"/>
  <c r="EH12" i="75"/>
  <c r="EX12" i="75"/>
  <c r="EY12" i="75"/>
  <c r="EZ12" i="75"/>
  <c r="FA12" i="75"/>
  <c r="FB12" i="75"/>
  <c r="FH12" i="75"/>
  <c r="FI12" i="75"/>
  <c r="FJ12" i="75"/>
  <c r="FK12" i="75"/>
  <c r="FL12" i="75"/>
  <c r="EH13" i="75"/>
  <c r="EX13" i="75"/>
  <c r="EY13" i="75"/>
  <c r="EZ13" i="75"/>
  <c r="FA13" i="75"/>
  <c r="FB13" i="75"/>
  <c r="FH13" i="75"/>
  <c r="FI13" i="75"/>
  <c r="FJ13" i="75"/>
  <c r="FK13" i="75"/>
  <c r="FL13" i="75"/>
  <c r="EH14" i="75"/>
  <c r="EX14" i="75"/>
  <c r="EY14" i="75"/>
  <c r="EZ14" i="75"/>
  <c r="FA14" i="75"/>
  <c r="FB14" i="75"/>
  <c r="FH14" i="75"/>
  <c r="FI14" i="75"/>
  <c r="FJ14" i="75"/>
  <c r="FK14" i="75"/>
  <c r="FL14" i="75"/>
  <c r="EH15" i="75"/>
  <c r="EX15" i="75"/>
  <c r="EY15" i="75"/>
  <c r="EZ15" i="75"/>
  <c r="FA15" i="75"/>
  <c r="FB15" i="75"/>
  <c r="FH15" i="75"/>
  <c r="FI15" i="75"/>
  <c r="FJ15" i="75"/>
  <c r="FK15" i="75"/>
  <c r="FL15" i="75"/>
  <c r="EH16" i="75"/>
  <c r="EX16" i="75"/>
  <c r="EY16" i="75"/>
  <c r="EZ16" i="75"/>
  <c r="FA16" i="75"/>
  <c r="FB16" i="75"/>
  <c r="FH16" i="75"/>
  <c r="FI16" i="75"/>
  <c r="FJ16" i="75"/>
  <c r="FK16" i="75"/>
  <c r="FL16" i="75"/>
  <c r="EH17" i="75"/>
  <c r="EX17" i="75"/>
  <c r="EY17" i="75"/>
  <c r="EZ17" i="75"/>
  <c r="FA17" i="75"/>
  <c r="FB17" i="75"/>
  <c r="FH17" i="75"/>
  <c r="FI17" i="75"/>
  <c r="FJ17" i="75"/>
  <c r="FK17" i="75"/>
  <c r="FL17" i="75"/>
  <c r="EH18" i="75"/>
  <c r="EX18" i="75"/>
  <c r="EY18" i="75"/>
  <c r="EZ18" i="75"/>
  <c r="FA18" i="75"/>
  <c r="FB18" i="75"/>
  <c r="FH18" i="75"/>
  <c r="FI18" i="75"/>
  <c r="FJ18" i="75"/>
  <c r="FK18" i="75"/>
  <c r="FL18" i="75"/>
  <c r="EH19" i="75"/>
  <c r="EX19" i="75"/>
  <c r="EY19" i="75"/>
  <c r="EZ19" i="75"/>
  <c r="FA19" i="75"/>
  <c r="FB19" i="75"/>
  <c r="FH19" i="75"/>
  <c r="FI19" i="75"/>
  <c r="FJ19" i="75"/>
  <c r="FK19" i="75"/>
  <c r="FL19" i="75"/>
  <c r="EH20" i="75"/>
  <c r="EX20" i="75"/>
  <c r="EY20" i="75"/>
  <c r="EZ20" i="75"/>
  <c r="FA20" i="75"/>
  <c r="FB20" i="75"/>
  <c r="FH20" i="75"/>
  <c r="FI20" i="75"/>
  <c r="FJ20" i="75"/>
  <c r="FK20" i="75"/>
  <c r="FL20" i="75"/>
  <c r="EH21" i="75"/>
  <c r="EX21" i="75"/>
  <c r="EY21" i="75"/>
  <c r="EZ21" i="75"/>
  <c r="FA21" i="75"/>
  <c r="FB21" i="75"/>
  <c r="FH21" i="75"/>
  <c r="FI21" i="75"/>
  <c r="FJ21" i="75"/>
  <c r="FK21" i="75"/>
  <c r="FL21" i="75"/>
  <c r="EH22" i="75"/>
  <c r="EX22" i="75"/>
  <c r="EY22" i="75"/>
  <c r="EZ22" i="75"/>
  <c r="FA22" i="75"/>
  <c r="FB22" i="75"/>
  <c r="FH22" i="75"/>
  <c r="FI22" i="75"/>
  <c r="FJ22" i="75"/>
  <c r="FK22" i="75"/>
  <c r="FL22" i="75"/>
  <c r="EH23" i="75"/>
  <c r="EX23" i="75"/>
  <c r="EY23" i="75"/>
  <c r="EZ23" i="75"/>
  <c r="FA23" i="75"/>
  <c r="FB23" i="75"/>
  <c r="FH23" i="75"/>
  <c r="FI23" i="75"/>
  <c r="FJ23" i="75"/>
  <c r="FK23" i="75"/>
  <c r="FL23" i="75"/>
  <c r="EH24" i="75"/>
  <c r="EX24" i="75"/>
  <c r="EY24" i="75"/>
  <c r="EZ24" i="75"/>
  <c r="FA24" i="75"/>
  <c r="FB24" i="75"/>
  <c r="FH24" i="75"/>
  <c r="FI24" i="75"/>
  <c r="FJ24" i="75"/>
  <c r="FK24" i="75"/>
  <c r="FL24" i="75"/>
  <c r="EH25" i="75"/>
  <c r="EX25" i="75"/>
  <c r="EY25" i="75"/>
  <c r="EZ25" i="75"/>
  <c r="FA25" i="75"/>
  <c r="FB25" i="75"/>
  <c r="FH25" i="75"/>
  <c r="FI25" i="75"/>
  <c r="FJ25" i="75"/>
  <c r="FK25" i="75"/>
  <c r="FL25" i="75"/>
  <c r="EH26" i="75"/>
  <c r="EX26" i="75"/>
  <c r="EY26" i="75"/>
  <c r="EZ26" i="75"/>
  <c r="FA26" i="75"/>
  <c r="FB26" i="75"/>
  <c r="FH26" i="75"/>
  <c r="FI26" i="75"/>
  <c r="FJ26" i="75"/>
  <c r="FK26" i="75"/>
  <c r="FL26" i="75"/>
  <c r="EH27" i="75"/>
  <c r="EX27" i="75"/>
  <c r="EY27" i="75"/>
  <c r="EZ27" i="75"/>
  <c r="FA27" i="75"/>
  <c r="FB27" i="75"/>
  <c r="FH27" i="75"/>
  <c r="FI27" i="75"/>
  <c r="FJ27" i="75"/>
  <c r="FK27" i="75"/>
  <c r="FL27" i="75"/>
  <c r="EH28" i="75"/>
  <c r="EX28" i="75"/>
  <c r="EY28" i="75"/>
  <c r="EZ28" i="75"/>
  <c r="FA28" i="75"/>
  <c r="FB28" i="75"/>
  <c r="FH28" i="75"/>
  <c r="FI28" i="75"/>
  <c r="FJ28" i="75"/>
  <c r="FK28" i="75"/>
  <c r="FL28" i="75"/>
  <c r="EH29" i="75"/>
  <c r="EX29" i="75"/>
  <c r="EY29" i="75"/>
  <c r="EZ29" i="75"/>
  <c r="FA29" i="75"/>
  <c r="FB29" i="75"/>
  <c r="FH29" i="75"/>
  <c r="FI29" i="75"/>
  <c r="FJ29" i="75"/>
  <c r="FK29" i="75"/>
  <c r="FL29" i="75"/>
  <c r="EH30" i="75"/>
  <c r="EX30" i="75"/>
  <c r="EY30" i="75"/>
  <c r="EZ30" i="75"/>
  <c r="FA30" i="75"/>
  <c r="FB30" i="75"/>
  <c r="FH30" i="75"/>
  <c r="FI30" i="75"/>
  <c r="FJ30" i="75"/>
  <c r="FK30" i="75"/>
  <c r="FL30" i="75"/>
  <c r="EH31" i="75"/>
  <c r="EX31" i="75"/>
  <c r="EY31" i="75"/>
  <c r="EZ31" i="75"/>
  <c r="FA31" i="75"/>
  <c r="FB31" i="75"/>
  <c r="FH31" i="75"/>
  <c r="FI31" i="75"/>
  <c r="FJ31" i="75"/>
  <c r="FK31" i="75"/>
  <c r="FL31" i="75"/>
  <c r="EH32" i="75"/>
  <c r="EX32" i="75"/>
  <c r="EY32" i="75"/>
  <c r="EZ32" i="75"/>
  <c r="FA32" i="75"/>
  <c r="FB32" i="75"/>
  <c r="FH32" i="75"/>
  <c r="FI32" i="75"/>
  <c r="FJ32" i="75"/>
  <c r="FK32" i="75"/>
  <c r="FL32" i="75"/>
  <c r="EH33" i="75"/>
  <c r="EX33" i="75"/>
  <c r="EY33" i="75"/>
  <c r="EZ33" i="75"/>
  <c r="FA33" i="75"/>
  <c r="FB33" i="75"/>
  <c r="FH33" i="75"/>
  <c r="FI33" i="75"/>
  <c r="FJ33" i="75"/>
  <c r="FK33" i="75"/>
  <c r="FL33" i="75"/>
  <c r="EH34" i="75"/>
  <c r="EX34" i="75"/>
  <c r="EY34" i="75"/>
  <c r="EZ34" i="75"/>
  <c r="FA34" i="75"/>
  <c r="FB34" i="75"/>
  <c r="FH34" i="75"/>
  <c r="FI34" i="75"/>
  <c r="FJ34" i="75"/>
  <c r="FK34" i="75"/>
  <c r="FL34" i="75"/>
  <c r="EH35" i="75"/>
  <c r="EX35" i="75"/>
  <c r="EY35" i="75"/>
  <c r="EZ35" i="75"/>
  <c r="FA35" i="75"/>
  <c r="FB35" i="75"/>
  <c r="FH35" i="75"/>
  <c r="FI35" i="75"/>
  <c r="FJ35" i="75"/>
  <c r="FK35" i="75"/>
  <c r="FL35" i="75"/>
  <c r="EH36" i="75"/>
  <c r="EX36" i="75"/>
  <c r="EY36" i="75"/>
  <c r="EZ36" i="75"/>
  <c r="FA36" i="75"/>
  <c r="FB36" i="75"/>
  <c r="FH36" i="75"/>
  <c r="FI36" i="75"/>
  <c r="FJ36" i="75"/>
  <c r="FK36" i="75"/>
  <c r="FL36" i="75"/>
  <c r="EH37" i="75"/>
  <c r="EX37" i="75"/>
  <c r="EY37" i="75"/>
  <c r="EZ37" i="75"/>
  <c r="FA37" i="75"/>
  <c r="FB37" i="75"/>
  <c r="FH37" i="75"/>
  <c r="FI37" i="75"/>
  <c r="FJ37" i="75"/>
  <c r="FK37" i="75"/>
  <c r="FL37" i="75"/>
  <c r="EH38" i="75"/>
  <c r="EX38" i="75"/>
  <c r="EY38" i="75"/>
  <c r="EZ38" i="75"/>
  <c r="FA38" i="75"/>
  <c r="FB38" i="75"/>
  <c r="FH38" i="75"/>
  <c r="FI38" i="75"/>
  <c r="FJ38" i="75"/>
  <c r="FK38" i="75"/>
  <c r="FL38" i="75"/>
  <c r="EH39" i="75"/>
  <c r="EX39" i="75"/>
  <c r="EY39" i="75"/>
  <c r="EZ39" i="75"/>
  <c r="FA39" i="75"/>
  <c r="FB39" i="75"/>
  <c r="FH39" i="75"/>
  <c r="FI39" i="75"/>
  <c r="FJ39" i="75"/>
  <c r="FK39" i="75"/>
  <c r="FL39" i="75"/>
  <c r="EH40" i="75"/>
  <c r="EX40" i="75"/>
  <c r="EY40" i="75"/>
  <c r="EZ40" i="75"/>
  <c r="FA40" i="75"/>
  <c r="FB40" i="75"/>
  <c r="FH40" i="75"/>
  <c r="FI40" i="75"/>
  <c r="FJ40" i="75"/>
  <c r="FK40" i="75"/>
  <c r="FL40" i="75"/>
  <c r="EH41" i="75"/>
  <c r="EX41" i="75"/>
  <c r="EY41" i="75"/>
  <c r="EZ41" i="75"/>
  <c r="FA41" i="75"/>
  <c r="FB41" i="75"/>
  <c r="FH41" i="75"/>
  <c r="FI41" i="75"/>
  <c r="FJ41" i="75"/>
  <c r="FK41" i="75"/>
  <c r="FL41" i="75"/>
  <c r="EH42" i="75"/>
  <c r="EX42" i="75"/>
  <c r="EY42" i="75"/>
  <c r="EZ42" i="75"/>
  <c r="FA42" i="75"/>
  <c r="FB42" i="75"/>
  <c r="FH42" i="75"/>
  <c r="FI42" i="75"/>
  <c r="FJ42" i="75"/>
  <c r="FK42" i="75"/>
  <c r="FL42" i="75"/>
  <c r="EH43" i="75"/>
  <c r="EX43" i="75"/>
  <c r="EY43" i="75"/>
  <c r="EZ43" i="75"/>
  <c r="FA43" i="75"/>
  <c r="FB43" i="75"/>
  <c r="FH43" i="75"/>
  <c r="FI43" i="75"/>
  <c r="FJ43" i="75"/>
  <c r="FK43" i="75"/>
  <c r="FL43" i="75"/>
  <c r="EH44" i="75"/>
  <c r="EX44" i="75"/>
  <c r="EY44" i="75"/>
  <c r="EZ44" i="75"/>
  <c r="FA44" i="75"/>
  <c r="FB44" i="75"/>
  <c r="FH44" i="75"/>
  <c r="FI44" i="75"/>
  <c r="FJ44" i="75"/>
  <c r="FK44" i="75"/>
  <c r="FL44" i="75"/>
  <c r="EH45" i="75"/>
  <c r="EX45" i="75"/>
  <c r="EY45" i="75"/>
  <c r="EZ45" i="75"/>
  <c r="FA45" i="75"/>
  <c r="FB45" i="75"/>
  <c r="FH45" i="75"/>
  <c r="FI45" i="75"/>
  <c r="FJ45" i="75"/>
  <c r="FK45" i="75"/>
  <c r="FL45" i="75"/>
  <c r="EH46" i="75"/>
  <c r="EX46" i="75"/>
  <c r="EY46" i="75"/>
  <c r="EZ46" i="75"/>
  <c r="FA46" i="75"/>
  <c r="FB46" i="75"/>
  <c r="FH46" i="75"/>
  <c r="FI46" i="75"/>
  <c r="FJ46" i="75"/>
  <c r="FK46" i="75"/>
  <c r="FL46" i="75"/>
  <c r="EH47" i="75"/>
  <c r="EX47" i="75"/>
  <c r="EY47" i="75"/>
  <c r="EZ47" i="75"/>
  <c r="FA47" i="75"/>
  <c r="FB47" i="75"/>
  <c r="FH47" i="75"/>
  <c r="FI47" i="75"/>
  <c r="FJ47" i="75"/>
  <c r="FK47" i="75"/>
  <c r="FL47" i="75"/>
  <c r="FL10" i="75"/>
  <c r="FK10" i="75"/>
  <c r="FJ10" i="75"/>
  <c r="FI10" i="75"/>
  <c r="FH10" i="75"/>
  <c r="FB10" i="75"/>
  <c r="FA10" i="75"/>
  <c r="EZ10" i="75"/>
  <c r="EY10" i="75"/>
  <c r="EX10" i="75"/>
  <c r="EC47" i="75"/>
  <c r="EB47" i="75"/>
  <c r="EA47" i="75"/>
  <c r="DZ47" i="75"/>
  <c r="DY47" i="75"/>
  <c r="EC46" i="75"/>
  <c r="EB46" i="75"/>
  <c r="EA46" i="75"/>
  <c r="DZ46" i="75"/>
  <c r="DY46" i="75"/>
  <c r="EC45" i="75"/>
  <c r="EB45" i="75"/>
  <c r="EA45" i="75"/>
  <c r="DZ45" i="75"/>
  <c r="DY45" i="75"/>
  <c r="EC44" i="75"/>
  <c r="EB44" i="75"/>
  <c r="EA44" i="75"/>
  <c r="DZ44" i="75"/>
  <c r="DY44" i="75"/>
  <c r="EC43" i="75"/>
  <c r="EB43" i="75"/>
  <c r="EA43" i="75"/>
  <c r="DZ43" i="75"/>
  <c r="DY43" i="75"/>
  <c r="EC42" i="75"/>
  <c r="EB42" i="75"/>
  <c r="EA42" i="75"/>
  <c r="DZ42" i="75"/>
  <c r="DY42" i="75"/>
  <c r="EC41" i="75"/>
  <c r="EB41" i="75"/>
  <c r="EA41" i="75"/>
  <c r="DZ41" i="75"/>
  <c r="DY41" i="75"/>
  <c r="EC40" i="75"/>
  <c r="EB40" i="75"/>
  <c r="EA40" i="75"/>
  <c r="DZ40" i="75"/>
  <c r="DY40" i="75"/>
  <c r="EC39" i="75"/>
  <c r="EB39" i="75"/>
  <c r="EA39" i="75"/>
  <c r="DZ39" i="75"/>
  <c r="DY39" i="75"/>
  <c r="EC38" i="75"/>
  <c r="EB38" i="75"/>
  <c r="EA38" i="75"/>
  <c r="DZ38" i="75"/>
  <c r="DY38" i="75"/>
  <c r="EC37" i="75"/>
  <c r="EB37" i="75"/>
  <c r="EA37" i="75"/>
  <c r="DZ37" i="75"/>
  <c r="DY37" i="75"/>
  <c r="EC36" i="75"/>
  <c r="EB36" i="75"/>
  <c r="EA36" i="75"/>
  <c r="DZ36" i="75"/>
  <c r="DY36" i="75"/>
  <c r="EC35" i="75"/>
  <c r="EB35" i="75"/>
  <c r="EA35" i="75"/>
  <c r="DZ35" i="75"/>
  <c r="DY35" i="75"/>
  <c r="EC34" i="75"/>
  <c r="EB34" i="75"/>
  <c r="EA34" i="75"/>
  <c r="DZ34" i="75"/>
  <c r="DY34" i="75"/>
  <c r="EC33" i="75"/>
  <c r="EB33" i="75"/>
  <c r="EA33" i="75"/>
  <c r="DZ33" i="75"/>
  <c r="DY33" i="75"/>
  <c r="EC32" i="75"/>
  <c r="EB32" i="75"/>
  <c r="EA32" i="75"/>
  <c r="DZ32" i="75"/>
  <c r="DY32" i="75"/>
  <c r="EC31" i="75"/>
  <c r="EB31" i="75"/>
  <c r="EA31" i="75"/>
  <c r="DZ31" i="75"/>
  <c r="DY31" i="75"/>
  <c r="EC30" i="75"/>
  <c r="EB30" i="75"/>
  <c r="EA30" i="75"/>
  <c r="DZ30" i="75"/>
  <c r="DY30" i="75"/>
  <c r="EC29" i="75"/>
  <c r="EB29" i="75"/>
  <c r="EA29" i="75"/>
  <c r="DZ29" i="75"/>
  <c r="DY29" i="75"/>
  <c r="EC28" i="75"/>
  <c r="EB28" i="75"/>
  <c r="EA28" i="75"/>
  <c r="DZ28" i="75"/>
  <c r="DY28" i="75"/>
  <c r="EC27" i="75"/>
  <c r="EB27" i="75"/>
  <c r="EA27" i="75"/>
  <c r="DZ27" i="75"/>
  <c r="DY27" i="75"/>
  <c r="EC26" i="75"/>
  <c r="EB26" i="75"/>
  <c r="EA26" i="75"/>
  <c r="DZ26" i="75"/>
  <c r="DY26" i="75"/>
  <c r="EC25" i="75"/>
  <c r="EB25" i="75"/>
  <c r="EA25" i="75"/>
  <c r="DZ25" i="75"/>
  <c r="DY25" i="75"/>
  <c r="EC24" i="75"/>
  <c r="EB24" i="75"/>
  <c r="EA24" i="75"/>
  <c r="DZ24" i="75"/>
  <c r="DY24" i="75"/>
  <c r="EC23" i="75"/>
  <c r="EB23" i="75"/>
  <c r="EA23" i="75"/>
  <c r="DZ23" i="75"/>
  <c r="DY23" i="75"/>
  <c r="EC22" i="75"/>
  <c r="EB22" i="75"/>
  <c r="EA22" i="75"/>
  <c r="DZ22" i="75"/>
  <c r="DY22" i="75"/>
  <c r="EC21" i="75"/>
  <c r="EB21" i="75"/>
  <c r="EA21" i="75"/>
  <c r="DZ21" i="75"/>
  <c r="DY21" i="75"/>
  <c r="EC20" i="75"/>
  <c r="EB20" i="75"/>
  <c r="EA20" i="75"/>
  <c r="DZ20" i="75"/>
  <c r="DY20" i="75"/>
  <c r="EC19" i="75"/>
  <c r="EB19" i="75"/>
  <c r="EA19" i="75"/>
  <c r="DZ19" i="75"/>
  <c r="DY19" i="75"/>
  <c r="EC18" i="75"/>
  <c r="EB18" i="75"/>
  <c r="EA18" i="75"/>
  <c r="DZ18" i="75"/>
  <c r="DY18" i="75"/>
  <c r="EC17" i="75"/>
  <c r="EB17" i="75"/>
  <c r="EA17" i="75"/>
  <c r="DZ17" i="75"/>
  <c r="DY17" i="75"/>
  <c r="EC16" i="75"/>
  <c r="EB16" i="75"/>
  <c r="EA16" i="75"/>
  <c r="DZ16" i="75"/>
  <c r="DY16" i="75"/>
  <c r="EC15" i="75"/>
  <c r="EB15" i="75"/>
  <c r="EA15" i="75"/>
  <c r="DZ15" i="75"/>
  <c r="DY15" i="75"/>
  <c r="EC14" i="75"/>
  <c r="EB14" i="75"/>
  <c r="EA14" i="75"/>
  <c r="DZ14" i="75"/>
  <c r="DY14" i="75"/>
  <c r="EC13" i="75"/>
  <c r="EB13" i="75"/>
  <c r="EA13" i="75"/>
  <c r="DZ13" i="75"/>
  <c r="DY13" i="75"/>
  <c r="EC12" i="75"/>
  <c r="EB12" i="75"/>
  <c r="EA12" i="75"/>
  <c r="DZ12" i="75"/>
  <c r="DY12" i="75"/>
  <c r="EC11" i="75"/>
  <c r="EB11" i="75"/>
  <c r="EA11" i="75"/>
  <c r="DZ11" i="75"/>
  <c r="DY11" i="75"/>
  <c r="EC10" i="75"/>
  <c r="EB10" i="75"/>
  <c r="EA10" i="75"/>
  <c r="DZ10" i="75"/>
  <c r="DY10" i="75"/>
  <c r="DX47" i="75"/>
  <c r="DW47" i="75"/>
  <c r="DV47" i="75"/>
  <c r="DU47" i="75"/>
  <c r="DT47" i="75"/>
  <c r="DX46" i="75"/>
  <c r="DW46" i="75"/>
  <c r="DV46" i="75"/>
  <c r="DU46" i="75"/>
  <c r="DT46" i="75"/>
  <c r="DX45" i="75"/>
  <c r="DW45" i="75"/>
  <c r="DV45" i="75"/>
  <c r="DU45" i="75"/>
  <c r="DT45" i="75"/>
  <c r="DX44" i="75"/>
  <c r="DW44" i="75"/>
  <c r="DV44" i="75"/>
  <c r="DU44" i="75"/>
  <c r="DT44" i="75"/>
  <c r="DX43" i="75"/>
  <c r="DW43" i="75"/>
  <c r="DV43" i="75"/>
  <c r="DU43" i="75"/>
  <c r="DT43" i="75"/>
  <c r="DX42" i="75"/>
  <c r="DW42" i="75"/>
  <c r="DV42" i="75"/>
  <c r="DU42" i="75"/>
  <c r="DT42" i="75"/>
  <c r="DX41" i="75"/>
  <c r="DW41" i="75"/>
  <c r="DV41" i="75"/>
  <c r="DU41" i="75"/>
  <c r="DT41" i="75"/>
  <c r="DX40" i="75"/>
  <c r="DW40" i="75"/>
  <c r="DV40" i="75"/>
  <c r="DU40" i="75"/>
  <c r="DT40" i="75"/>
  <c r="DX39" i="75"/>
  <c r="DW39" i="75"/>
  <c r="DV39" i="75"/>
  <c r="DU39" i="75"/>
  <c r="DT39" i="75"/>
  <c r="DX38" i="75"/>
  <c r="DW38" i="75"/>
  <c r="DV38" i="75"/>
  <c r="DU38" i="75"/>
  <c r="DT38" i="75"/>
  <c r="DX37" i="75"/>
  <c r="DW37" i="75"/>
  <c r="DV37" i="75"/>
  <c r="DU37" i="75"/>
  <c r="DT37" i="75"/>
  <c r="DX36" i="75"/>
  <c r="DW36" i="75"/>
  <c r="DV36" i="75"/>
  <c r="DU36" i="75"/>
  <c r="DT36" i="75"/>
  <c r="DX35" i="75"/>
  <c r="DW35" i="75"/>
  <c r="DV35" i="75"/>
  <c r="DU35" i="75"/>
  <c r="DT35" i="75"/>
  <c r="DX34" i="75"/>
  <c r="DW34" i="75"/>
  <c r="DV34" i="75"/>
  <c r="DU34" i="75"/>
  <c r="DT34" i="75"/>
  <c r="DX33" i="75"/>
  <c r="DW33" i="75"/>
  <c r="DV33" i="75"/>
  <c r="DU33" i="75"/>
  <c r="DT33" i="75"/>
  <c r="DX32" i="75"/>
  <c r="DW32" i="75"/>
  <c r="DV32" i="75"/>
  <c r="DU32" i="75"/>
  <c r="DT32" i="75"/>
  <c r="DX31" i="75"/>
  <c r="DW31" i="75"/>
  <c r="DV31" i="75"/>
  <c r="DU31" i="75"/>
  <c r="DT31" i="75"/>
  <c r="DX30" i="75"/>
  <c r="DW30" i="75"/>
  <c r="DV30" i="75"/>
  <c r="DU30" i="75"/>
  <c r="DT30" i="75"/>
  <c r="DX29" i="75"/>
  <c r="DW29" i="75"/>
  <c r="DV29" i="75"/>
  <c r="DU29" i="75"/>
  <c r="DT29" i="75"/>
  <c r="DX28" i="75"/>
  <c r="DW28" i="75"/>
  <c r="DV28" i="75"/>
  <c r="DU28" i="75"/>
  <c r="DT28" i="75"/>
  <c r="DX27" i="75"/>
  <c r="DW27" i="75"/>
  <c r="DV27" i="75"/>
  <c r="DU27" i="75"/>
  <c r="DT27" i="75"/>
  <c r="DX26" i="75"/>
  <c r="DW26" i="75"/>
  <c r="DV26" i="75"/>
  <c r="DU26" i="75"/>
  <c r="DT26" i="75"/>
  <c r="DX25" i="75"/>
  <c r="DW25" i="75"/>
  <c r="DV25" i="75"/>
  <c r="DU25" i="75"/>
  <c r="DT25" i="75"/>
  <c r="DX24" i="75"/>
  <c r="DW24" i="75"/>
  <c r="DV24" i="75"/>
  <c r="DU24" i="75"/>
  <c r="DT24" i="75"/>
  <c r="DX23" i="75"/>
  <c r="DW23" i="75"/>
  <c r="DV23" i="75"/>
  <c r="DU23" i="75"/>
  <c r="DT23" i="75"/>
  <c r="DX22" i="75"/>
  <c r="DW22" i="75"/>
  <c r="DV22" i="75"/>
  <c r="DU22" i="75"/>
  <c r="DT22" i="75"/>
  <c r="DX21" i="75"/>
  <c r="DW21" i="75"/>
  <c r="DV21" i="75"/>
  <c r="DU21" i="75"/>
  <c r="DT21" i="75"/>
  <c r="DX20" i="75"/>
  <c r="DW20" i="75"/>
  <c r="DV20" i="75"/>
  <c r="DU20" i="75"/>
  <c r="DT20" i="75"/>
  <c r="DX19" i="75"/>
  <c r="DW19" i="75"/>
  <c r="DV19" i="75"/>
  <c r="DU19" i="75"/>
  <c r="DT19" i="75"/>
  <c r="DX18" i="75"/>
  <c r="DW18" i="75"/>
  <c r="DV18" i="75"/>
  <c r="DU18" i="75"/>
  <c r="DT18" i="75"/>
  <c r="DX17" i="75"/>
  <c r="DW17" i="75"/>
  <c r="DV17" i="75"/>
  <c r="DU17" i="75"/>
  <c r="DT17" i="75"/>
  <c r="DX16" i="75"/>
  <c r="DW16" i="75"/>
  <c r="DV16" i="75"/>
  <c r="DU16" i="75"/>
  <c r="DT16" i="75"/>
  <c r="DX15" i="75"/>
  <c r="DW15" i="75"/>
  <c r="DV15" i="75"/>
  <c r="DU15" i="75"/>
  <c r="DT15" i="75"/>
  <c r="DX14" i="75"/>
  <c r="DW14" i="75"/>
  <c r="DV14" i="75"/>
  <c r="DU14" i="75"/>
  <c r="DT14" i="75"/>
  <c r="DX13" i="75"/>
  <c r="DW13" i="75"/>
  <c r="DV13" i="75"/>
  <c r="DU13" i="75"/>
  <c r="DT13" i="75"/>
  <c r="DX12" i="75"/>
  <c r="DW12" i="75"/>
  <c r="DV12" i="75"/>
  <c r="DU12" i="75"/>
  <c r="DT12" i="75"/>
  <c r="DX11" i="75"/>
  <c r="DW11" i="75"/>
  <c r="DV11" i="75"/>
  <c r="DU11" i="75"/>
  <c r="DT11" i="75"/>
  <c r="DX10" i="75"/>
  <c r="DW10" i="75"/>
  <c r="DV10" i="75"/>
  <c r="DU10" i="75"/>
  <c r="DT10" i="75"/>
  <c r="DI47" i="75"/>
  <c r="DH47" i="75"/>
  <c r="DG47" i="75"/>
  <c r="DF47" i="75"/>
  <c r="DE47" i="75"/>
  <c r="DI46" i="75"/>
  <c r="DH46" i="75"/>
  <c r="DG46" i="75"/>
  <c r="DF46" i="75"/>
  <c r="DE46" i="75"/>
  <c r="DI45" i="75"/>
  <c r="DH45" i="75"/>
  <c r="DG45" i="75"/>
  <c r="DF45" i="75"/>
  <c r="DE45" i="75"/>
  <c r="DI44" i="75"/>
  <c r="DH44" i="75"/>
  <c r="DG44" i="75"/>
  <c r="DF44" i="75"/>
  <c r="DE44" i="75"/>
  <c r="DI43" i="75"/>
  <c r="DH43" i="75"/>
  <c r="DG43" i="75"/>
  <c r="DF43" i="75"/>
  <c r="DE43" i="75"/>
  <c r="DI42" i="75"/>
  <c r="DH42" i="75"/>
  <c r="DG42" i="75"/>
  <c r="DF42" i="75"/>
  <c r="DE42" i="75"/>
  <c r="DI41" i="75"/>
  <c r="DH41" i="75"/>
  <c r="DG41" i="75"/>
  <c r="DF41" i="75"/>
  <c r="DE41" i="75"/>
  <c r="DI40" i="75"/>
  <c r="DH40" i="75"/>
  <c r="DG40" i="75"/>
  <c r="DF40" i="75"/>
  <c r="DE40" i="75"/>
  <c r="DI39" i="75"/>
  <c r="DH39" i="75"/>
  <c r="DG39" i="75"/>
  <c r="DF39" i="75"/>
  <c r="DE39" i="75"/>
  <c r="DI38" i="75"/>
  <c r="DH38" i="75"/>
  <c r="DG38" i="75"/>
  <c r="DF38" i="75"/>
  <c r="DE38" i="75"/>
  <c r="DI37" i="75"/>
  <c r="DH37" i="75"/>
  <c r="DG37" i="75"/>
  <c r="DF37" i="75"/>
  <c r="DE37" i="75"/>
  <c r="DI36" i="75"/>
  <c r="DH36" i="75"/>
  <c r="DG36" i="75"/>
  <c r="DF36" i="75"/>
  <c r="DE36" i="75"/>
  <c r="DI35" i="75"/>
  <c r="DH35" i="75"/>
  <c r="DG35" i="75"/>
  <c r="DF35" i="75"/>
  <c r="DE35" i="75"/>
  <c r="DI34" i="75"/>
  <c r="DH34" i="75"/>
  <c r="DG34" i="75"/>
  <c r="DF34" i="75"/>
  <c r="DE34" i="75"/>
  <c r="DI33" i="75"/>
  <c r="DH33" i="75"/>
  <c r="DG33" i="75"/>
  <c r="DF33" i="75"/>
  <c r="DE33" i="75"/>
  <c r="DI32" i="75"/>
  <c r="DH32" i="75"/>
  <c r="DG32" i="75"/>
  <c r="DF32" i="75"/>
  <c r="DE32" i="75"/>
  <c r="DI31" i="75"/>
  <c r="DH31" i="75"/>
  <c r="DG31" i="75"/>
  <c r="DF31" i="75"/>
  <c r="DE31" i="75"/>
  <c r="DI30" i="75"/>
  <c r="DH30" i="75"/>
  <c r="DG30" i="75"/>
  <c r="DF30" i="75"/>
  <c r="DE30" i="75"/>
  <c r="DI29" i="75"/>
  <c r="DH29" i="75"/>
  <c r="DG29" i="75"/>
  <c r="DF29" i="75"/>
  <c r="DE29" i="75"/>
  <c r="DI28" i="75"/>
  <c r="DH28" i="75"/>
  <c r="DG28" i="75"/>
  <c r="DF28" i="75"/>
  <c r="DE28" i="75"/>
  <c r="DI27" i="75"/>
  <c r="DH27" i="75"/>
  <c r="DG27" i="75"/>
  <c r="DF27" i="75"/>
  <c r="DE27" i="75"/>
  <c r="DI26" i="75"/>
  <c r="DH26" i="75"/>
  <c r="DG26" i="75"/>
  <c r="DF26" i="75"/>
  <c r="DE26" i="75"/>
  <c r="DI25" i="75"/>
  <c r="DH25" i="75"/>
  <c r="DG25" i="75"/>
  <c r="DF25" i="75"/>
  <c r="DE25" i="75"/>
  <c r="DI24" i="75"/>
  <c r="DH24" i="75"/>
  <c r="DG24" i="75"/>
  <c r="DF24" i="75"/>
  <c r="DE24" i="75"/>
  <c r="DI23" i="75"/>
  <c r="DH23" i="75"/>
  <c r="DG23" i="75"/>
  <c r="DF23" i="75"/>
  <c r="DE23" i="75"/>
  <c r="DI22" i="75"/>
  <c r="DH22" i="75"/>
  <c r="DG22" i="75"/>
  <c r="DF22" i="75"/>
  <c r="DE22" i="75"/>
  <c r="DI21" i="75"/>
  <c r="DH21" i="75"/>
  <c r="DG21" i="75"/>
  <c r="DF21" i="75"/>
  <c r="DE21" i="75"/>
  <c r="DI20" i="75"/>
  <c r="DH20" i="75"/>
  <c r="DG20" i="75"/>
  <c r="DF20" i="75"/>
  <c r="DE20" i="75"/>
  <c r="DI19" i="75"/>
  <c r="DH19" i="75"/>
  <c r="DG19" i="75"/>
  <c r="DF19" i="75"/>
  <c r="DE19" i="75"/>
  <c r="DI18" i="75"/>
  <c r="DH18" i="75"/>
  <c r="DG18" i="75"/>
  <c r="DF18" i="75"/>
  <c r="DE18" i="75"/>
  <c r="DI17" i="75"/>
  <c r="DH17" i="75"/>
  <c r="DG17" i="75"/>
  <c r="DF17" i="75"/>
  <c r="DE17" i="75"/>
  <c r="DI16" i="75"/>
  <c r="DH16" i="75"/>
  <c r="DG16" i="75"/>
  <c r="DF16" i="75"/>
  <c r="DE16" i="75"/>
  <c r="DI15" i="75"/>
  <c r="DH15" i="75"/>
  <c r="DG15" i="75"/>
  <c r="DF15" i="75"/>
  <c r="DE15" i="75"/>
  <c r="DI14" i="75"/>
  <c r="DH14" i="75"/>
  <c r="DG14" i="75"/>
  <c r="DF14" i="75"/>
  <c r="DE14" i="75"/>
  <c r="DI13" i="75"/>
  <c r="DH13" i="75"/>
  <c r="DG13" i="75"/>
  <c r="DF13" i="75"/>
  <c r="DE13" i="75"/>
  <c r="DI12" i="75"/>
  <c r="DH12" i="75"/>
  <c r="DG12" i="75"/>
  <c r="DF12" i="75"/>
  <c r="DE12" i="75"/>
  <c r="DI11" i="75"/>
  <c r="DH11" i="75"/>
  <c r="DG11" i="75"/>
  <c r="DF11" i="75"/>
  <c r="DE11" i="75"/>
  <c r="DI10" i="75"/>
  <c r="DH10" i="75"/>
  <c r="DG10" i="75"/>
  <c r="DF10" i="75"/>
  <c r="DE10" i="75"/>
  <c r="CY47" i="75"/>
  <c r="CX47" i="75"/>
  <c r="CW47" i="75"/>
  <c r="CV47" i="75"/>
  <c r="CU47" i="75"/>
  <c r="CY46" i="75"/>
  <c r="CX46" i="75"/>
  <c r="CW46" i="75"/>
  <c r="CV46" i="75"/>
  <c r="CU46" i="75"/>
  <c r="CY45" i="75"/>
  <c r="CX45" i="75"/>
  <c r="CW45" i="75"/>
  <c r="CV45" i="75"/>
  <c r="CU45" i="75"/>
  <c r="CY44" i="75"/>
  <c r="CX44" i="75"/>
  <c r="CW44" i="75"/>
  <c r="CV44" i="75"/>
  <c r="CU44" i="75"/>
  <c r="CY43" i="75"/>
  <c r="CX43" i="75"/>
  <c r="CW43" i="75"/>
  <c r="CV43" i="75"/>
  <c r="CU43" i="75"/>
  <c r="CY42" i="75"/>
  <c r="CX42" i="75"/>
  <c r="CW42" i="75"/>
  <c r="CV42" i="75"/>
  <c r="CU42" i="75"/>
  <c r="CY41" i="75"/>
  <c r="CX41" i="75"/>
  <c r="CW41" i="75"/>
  <c r="CV41" i="75"/>
  <c r="CU41" i="75"/>
  <c r="CY40" i="75"/>
  <c r="CX40" i="75"/>
  <c r="CW40" i="75"/>
  <c r="CV40" i="75"/>
  <c r="CU40" i="75"/>
  <c r="CY39" i="75"/>
  <c r="CX39" i="75"/>
  <c r="CW39" i="75"/>
  <c r="CV39" i="75"/>
  <c r="CU39" i="75"/>
  <c r="CY38" i="75"/>
  <c r="CX38" i="75"/>
  <c r="CW38" i="75"/>
  <c r="CV38" i="75"/>
  <c r="CU38" i="75"/>
  <c r="CY37" i="75"/>
  <c r="CX37" i="75"/>
  <c r="CW37" i="75"/>
  <c r="CV37" i="75"/>
  <c r="CU37" i="75"/>
  <c r="CY36" i="75"/>
  <c r="CX36" i="75"/>
  <c r="CW36" i="75"/>
  <c r="CV36" i="75"/>
  <c r="CU36" i="75"/>
  <c r="CY35" i="75"/>
  <c r="CX35" i="75"/>
  <c r="CW35" i="75"/>
  <c r="CV35" i="75"/>
  <c r="CU35" i="75"/>
  <c r="CY34" i="75"/>
  <c r="CX34" i="75"/>
  <c r="CW34" i="75"/>
  <c r="CV34" i="75"/>
  <c r="CU34" i="75"/>
  <c r="CY33" i="75"/>
  <c r="CX33" i="75"/>
  <c r="CW33" i="75"/>
  <c r="CV33" i="75"/>
  <c r="CU33" i="75"/>
  <c r="CY32" i="75"/>
  <c r="CX32" i="75"/>
  <c r="CW32" i="75"/>
  <c r="CV32" i="75"/>
  <c r="CU32" i="75"/>
  <c r="CY31" i="75"/>
  <c r="CX31" i="75"/>
  <c r="CW31" i="75"/>
  <c r="CV31" i="75"/>
  <c r="CU31" i="75"/>
  <c r="CY30" i="75"/>
  <c r="CX30" i="75"/>
  <c r="CW30" i="75"/>
  <c r="CV30" i="75"/>
  <c r="CU30" i="75"/>
  <c r="CY29" i="75"/>
  <c r="CX29" i="75"/>
  <c r="CW29" i="75"/>
  <c r="CV29" i="75"/>
  <c r="CU29" i="75"/>
  <c r="CY28" i="75"/>
  <c r="CX28" i="75"/>
  <c r="CW28" i="75"/>
  <c r="CV28" i="75"/>
  <c r="CU28" i="75"/>
  <c r="CY27" i="75"/>
  <c r="CX27" i="75"/>
  <c r="CW27" i="75"/>
  <c r="CV27" i="75"/>
  <c r="CU27" i="75"/>
  <c r="CY26" i="75"/>
  <c r="CX26" i="75"/>
  <c r="CW26" i="75"/>
  <c r="CV26" i="75"/>
  <c r="CU26" i="75"/>
  <c r="CY25" i="75"/>
  <c r="CX25" i="75"/>
  <c r="CW25" i="75"/>
  <c r="CV25" i="75"/>
  <c r="CU25" i="75"/>
  <c r="CY24" i="75"/>
  <c r="CX24" i="75"/>
  <c r="CW24" i="75"/>
  <c r="CV24" i="75"/>
  <c r="CU24" i="75"/>
  <c r="CY23" i="75"/>
  <c r="CX23" i="75"/>
  <c r="CW23" i="75"/>
  <c r="CV23" i="75"/>
  <c r="CU23" i="75"/>
  <c r="CY22" i="75"/>
  <c r="CX22" i="75"/>
  <c r="CW22" i="75"/>
  <c r="CV22" i="75"/>
  <c r="CU22" i="75"/>
  <c r="CY21" i="75"/>
  <c r="CX21" i="75"/>
  <c r="CW21" i="75"/>
  <c r="CV21" i="75"/>
  <c r="CU21" i="75"/>
  <c r="CY20" i="75"/>
  <c r="CX20" i="75"/>
  <c r="CW20" i="75"/>
  <c r="CV20" i="75"/>
  <c r="CU20" i="75"/>
  <c r="CY19" i="75"/>
  <c r="CX19" i="75"/>
  <c r="CW19" i="75"/>
  <c r="CV19" i="75"/>
  <c r="CU19" i="75"/>
  <c r="CY18" i="75"/>
  <c r="CX18" i="75"/>
  <c r="CW18" i="75"/>
  <c r="CV18" i="75"/>
  <c r="CU18" i="75"/>
  <c r="CY17" i="75"/>
  <c r="CX17" i="75"/>
  <c r="CW17" i="75"/>
  <c r="CV17" i="75"/>
  <c r="CU17" i="75"/>
  <c r="CY16" i="75"/>
  <c r="CX16" i="75"/>
  <c r="CW16" i="75"/>
  <c r="CV16" i="75"/>
  <c r="CU16" i="75"/>
  <c r="CY15" i="75"/>
  <c r="CX15" i="75"/>
  <c r="CW15" i="75"/>
  <c r="CV15" i="75"/>
  <c r="CU15" i="75"/>
  <c r="CY14" i="75"/>
  <c r="CX14" i="75"/>
  <c r="CW14" i="75"/>
  <c r="CV14" i="75"/>
  <c r="CU14" i="75"/>
  <c r="CY13" i="75"/>
  <c r="CX13" i="75"/>
  <c r="CW13" i="75"/>
  <c r="CV13" i="75"/>
  <c r="CU13" i="75"/>
  <c r="CY12" i="75"/>
  <c r="CX12" i="75"/>
  <c r="CW12" i="75"/>
  <c r="CV12" i="75"/>
  <c r="CU12" i="75"/>
  <c r="CY11" i="75"/>
  <c r="CX11" i="75"/>
  <c r="CW11" i="75"/>
  <c r="CV11" i="75"/>
  <c r="CU11" i="75"/>
  <c r="CY10" i="75"/>
  <c r="CX10" i="75"/>
  <c r="CW10" i="75"/>
  <c r="CV10" i="75"/>
  <c r="CU10" i="75"/>
  <c r="CO47" i="75"/>
  <c r="CN47" i="75"/>
  <c r="CM47" i="75"/>
  <c r="CL47" i="75"/>
  <c r="CK47" i="75"/>
  <c r="CO46" i="75"/>
  <c r="CN46" i="75"/>
  <c r="CM46" i="75"/>
  <c r="CL46" i="75"/>
  <c r="CK46" i="75"/>
  <c r="CO45" i="75"/>
  <c r="CN45" i="75"/>
  <c r="CM45" i="75"/>
  <c r="CL45" i="75"/>
  <c r="CK45" i="75"/>
  <c r="CO44" i="75"/>
  <c r="CN44" i="75"/>
  <c r="CM44" i="75"/>
  <c r="CL44" i="75"/>
  <c r="CK44" i="75"/>
  <c r="CO43" i="75"/>
  <c r="CN43" i="75"/>
  <c r="CM43" i="75"/>
  <c r="CL43" i="75"/>
  <c r="CK43" i="75"/>
  <c r="CO42" i="75"/>
  <c r="CN42" i="75"/>
  <c r="CM42" i="75"/>
  <c r="CL42" i="75"/>
  <c r="CK42" i="75"/>
  <c r="CO41" i="75"/>
  <c r="CN41" i="75"/>
  <c r="CM41" i="75"/>
  <c r="CL41" i="75"/>
  <c r="CK41" i="75"/>
  <c r="CO40" i="75"/>
  <c r="CN40" i="75"/>
  <c r="CM40" i="75"/>
  <c r="CL40" i="75"/>
  <c r="CK40" i="75"/>
  <c r="CO39" i="75"/>
  <c r="CN39" i="75"/>
  <c r="CM39" i="75"/>
  <c r="CL39" i="75"/>
  <c r="CK39" i="75"/>
  <c r="CO38" i="75"/>
  <c r="CN38" i="75"/>
  <c r="CM38" i="75"/>
  <c r="CL38" i="75"/>
  <c r="CK38" i="75"/>
  <c r="CO37" i="75"/>
  <c r="CN37" i="75"/>
  <c r="CM37" i="75"/>
  <c r="CL37" i="75"/>
  <c r="CK37" i="75"/>
  <c r="CO36" i="75"/>
  <c r="CN36" i="75"/>
  <c r="CM36" i="75"/>
  <c r="CL36" i="75"/>
  <c r="CK36" i="75"/>
  <c r="CO35" i="75"/>
  <c r="CN35" i="75"/>
  <c r="CM35" i="75"/>
  <c r="CL35" i="75"/>
  <c r="CK35" i="75"/>
  <c r="CO34" i="75"/>
  <c r="CN34" i="75"/>
  <c r="CM34" i="75"/>
  <c r="CL34" i="75"/>
  <c r="CK34" i="75"/>
  <c r="CO33" i="75"/>
  <c r="CN33" i="75"/>
  <c r="CM33" i="75"/>
  <c r="CL33" i="75"/>
  <c r="CK33" i="75"/>
  <c r="CO32" i="75"/>
  <c r="CN32" i="75"/>
  <c r="CM32" i="75"/>
  <c r="CL32" i="75"/>
  <c r="CK32" i="75"/>
  <c r="CO31" i="75"/>
  <c r="CN31" i="75"/>
  <c r="CM31" i="75"/>
  <c r="CL31" i="75"/>
  <c r="CK31" i="75"/>
  <c r="CO30" i="75"/>
  <c r="CN30" i="75"/>
  <c r="CM30" i="75"/>
  <c r="CL30" i="75"/>
  <c r="CK30" i="75"/>
  <c r="CO29" i="75"/>
  <c r="CN29" i="75"/>
  <c r="CM29" i="75"/>
  <c r="CL29" i="75"/>
  <c r="CK29" i="75"/>
  <c r="CO28" i="75"/>
  <c r="CN28" i="75"/>
  <c r="CM28" i="75"/>
  <c r="CL28" i="75"/>
  <c r="CK28" i="75"/>
  <c r="CO27" i="75"/>
  <c r="CN27" i="75"/>
  <c r="CM27" i="75"/>
  <c r="CL27" i="75"/>
  <c r="CK27" i="75"/>
  <c r="CO26" i="75"/>
  <c r="CN26" i="75"/>
  <c r="CM26" i="75"/>
  <c r="CL26" i="75"/>
  <c r="CK26" i="75"/>
  <c r="CO25" i="75"/>
  <c r="CN25" i="75"/>
  <c r="CM25" i="75"/>
  <c r="CL25" i="75"/>
  <c r="CK25" i="75"/>
  <c r="CO24" i="75"/>
  <c r="CN24" i="75"/>
  <c r="CM24" i="75"/>
  <c r="CL24" i="75"/>
  <c r="CK24" i="75"/>
  <c r="CO23" i="75"/>
  <c r="CN23" i="75"/>
  <c r="CM23" i="75"/>
  <c r="CL23" i="75"/>
  <c r="CK23" i="75"/>
  <c r="CO22" i="75"/>
  <c r="CN22" i="75"/>
  <c r="CM22" i="75"/>
  <c r="CL22" i="75"/>
  <c r="CK22" i="75"/>
  <c r="CO21" i="75"/>
  <c r="CN21" i="75"/>
  <c r="CM21" i="75"/>
  <c r="CL21" i="75"/>
  <c r="CK21" i="75"/>
  <c r="CO20" i="75"/>
  <c r="CN20" i="75"/>
  <c r="CM20" i="75"/>
  <c r="CL20" i="75"/>
  <c r="CK20" i="75"/>
  <c r="CO19" i="75"/>
  <c r="CN19" i="75"/>
  <c r="CM19" i="75"/>
  <c r="CL19" i="75"/>
  <c r="CK19" i="75"/>
  <c r="CO18" i="75"/>
  <c r="CN18" i="75"/>
  <c r="CM18" i="75"/>
  <c r="CL18" i="75"/>
  <c r="CK18" i="75"/>
  <c r="CO17" i="75"/>
  <c r="CN17" i="75"/>
  <c r="CM17" i="75"/>
  <c r="CL17" i="75"/>
  <c r="CK17" i="75"/>
  <c r="CO16" i="75"/>
  <c r="CN16" i="75"/>
  <c r="CM16" i="75"/>
  <c r="CL16" i="75"/>
  <c r="CK16" i="75"/>
  <c r="CO15" i="75"/>
  <c r="CN15" i="75"/>
  <c r="CM15" i="75"/>
  <c r="CL15" i="75"/>
  <c r="CK15" i="75"/>
  <c r="CO14" i="75"/>
  <c r="CN14" i="75"/>
  <c r="CM14" i="75"/>
  <c r="CL14" i="75"/>
  <c r="CK14" i="75"/>
  <c r="CO13" i="75"/>
  <c r="CN13" i="75"/>
  <c r="CM13" i="75"/>
  <c r="CL13" i="75"/>
  <c r="CK13" i="75"/>
  <c r="CO12" i="75"/>
  <c r="CN12" i="75"/>
  <c r="CM12" i="75"/>
  <c r="CL12" i="75"/>
  <c r="CK12" i="75"/>
  <c r="CO11" i="75"/>
  <c r="CN11" i="75"/>
  <c r="CM11" i="75"/>
  <c r="CL11" i="75"/>
  <c r="CK11" i="75"/>
  <c r="CO10" i="75"/>
  <c r="CN10" i="75"/>
  <c r="CM10" i="75"/>
  <c r="CL10" i="75"/>
  <c r="CK10" i="75"/>
  <c r="CT47" i="75"/>
  <c r="CS47" i="75"/>
  <c r="CR47" i="75"/>
  <c r="CQ47" i="75"/>
  <c r="CP47" i="75"/>
  <c r="CT46" i="75"/>
  <c r="CS46" i="75"/>
  <c r="CR46" i="75"/>
  <c r="CQ46" i="75"/>
  <c r="CP46" i="75"/>
  <c r="CT45" i="75"/>
  <c r="CS45" i="75"/>
  <c r="CR45" i="75"/>
  <c r="CQ45" i="75"/>
  <c r="CP45" i="75"/>
  <c r="CT44" i="75"/>
  <c r="CS44" i="75"/>
  <c r="CR44" i="75"/>
  <c r="CQ44" i="75"/>
  <c r="CP44" i="75"/>
  <c r="CT43" i="75"/>
  <c r="CS43" i="75"/>
  <c r="CR43" i="75"/>
  <c r="CQ43" i="75"/>
  <c r="CP43" i="75"/>
  <c r="CT42" i="75"/>
  <c r="CS42" i="75"/>
  <c r="CR42" i="75"/>
  <c r="CQ42" i="75"/>
  <c r="CP42" i="75"/>
  <c r="CT41" i="75"/>
  <c r="CS41" i="75"/>
  <c r="CR41" i="75"/>
  <c r="CQ41" i="75"/>
  <c r="CP41" i="75"/>
  <c r="CT40" i="75"/>
  <c r="CS40" i="75"/>
  <c r="CR40" i="75"/>
  <c r="CQ40" i="75"/>
  <c r="CP40" i="75"/>
  <c r="CT39" i="75"/>
  <c r="CS39" i="75"/>
  <c r="CR39" i="75"/>
  <c r="CQ39" i="75"/>
  <c r="CP39" i="75"/>
  <c r="CT38" i="75"/>
  <c r="CS38" i="75"/>
  <c r="CR38" i="75"/>
  <c r="CQ38" i="75"/>
  <c r="CP38" i="75"/>
  <c r="CT37" i="75"/>
  <c r="CS37" i="75"/>
  <c r="CR37" i="75"/>
  <c r="CQ37" i="75"/>
  <c r="CP37" i="75"/>
  <c r="CT36" i="75"/>
  <c r="CS36" i="75"/>
  <c r="CR36" i="75"/>
  <c r="CQ36" i="75"/>
  <c r="CP36" i="75"/>
  <c r="CT35" i="75"/>
  <c r="CS35" i="75"/>
  <c r="CR35" i="75"/>
  <c r="CQ35" i="75"/>
  <c r="CP35" i="75"/>
  <c r="CT34" i="75"/>
  <c r="CS34" i="75"/>
  <c r="CR34" i="75"/>
  <c r="CQ34" i="75"/>
  <c r="CP34" i="75"/>
  <c r="CT33" i="75"/>
  <c r="CS33" i="75"/>
  <c r="CR33" i="75"/>
  <c r="CQ33" i="75"/>
  <c r="CP33" i="75"/>
  <c r="CT32" i="75"/>
  <c r="CS32" i="75"/>
  <c r="CR32" i="75"/>
  <c r="CQ32" i="75"/>
  <c r="CP32" i="75"/>
  <c r="CT31" i="75"/>
  <c r="CS31" i="75"/>
  <c r="CR31" i="75"/>
  <c r="CQ31" i="75"/>
  <c r="CP31" i="75"/>
  <c r="CT30" i="75"/>
  <c r="CS30" i="75"/>
  <c r="CR30" i="75"/>
  <c r="CQ30" i="75"/>
  <c r="CP30" i="75"/>
  <c r="CT29" i="75"/>
  <c r="CS29" i="75"/>
  <c r="CR29" i="75"/>
  <c r="CQ29" i="75"/>
  <c r="CP29" i="75"/>
  <c r="CT28" i="75"/>
  <c r="CS28" i="75"/>
  <c r="CR28" i="75"/>
  <c r="CQ28" i="75"/>
  <c r="CP28" i="75"/>
  <c r="CT27" i="75"/>
  <c r="CS27" i="75"/>
  <c r="CR27" i="75"/>
  <c r="CQ27" i="75"/>
  <c r="CP27" i="75"/>
  <c r="CT26" i="75"/>
  <c r="CS26" i="75"/>
  <c r="CR26" i="75"/>
  <c r="CQ26" i="75"/>
  <c r="CP26" i="75"/>
  <c r="CT25" i="75"/>
  <c r="CS25" i="75"/>
  <c r="CR25" i="75"/>
  <c r="CQ25" i="75"/>
  <c r="CP25" i="75"/>
  <c r="CT24" i="75"/>
  <c r="CS24" i="75"/>
  <c r="CR24" i="75"/>
  <c r="CQ24" i="75"/>
  <c r="CP24" i="75"/>
  <c r="CT23" i="75"/>
  <c r="CS23" i="75"/>
  <c r="CR23" i="75"/>
  <c r="CQ23" i="75"/>
  <c r="CP23" i="75"/>
  <c r="CT22" i="75"/>
  <c r="CS22" i="75"/>
  <c r="CR22" i="75"/>
  <c r="CQ22" i="75"/>
  <c r="CP22" i="75"/>
  <c r="CT21" i="75"/>
  <c r="CS21" i="75"/>
  <c r="CR21" i="75"/>
  <c r="CQ21" i="75"/>
  <c r="CP21" i="75"/>
  <c r="CT20" i="75"/>
  <c r="CS20" i="75"/>
  <c r="CR20" i="75"/>
  <c r="CQ20" i="75"/>
  <c r="CP20" i="75"/>
  <c r="CT19" i="75"/>
  <c r="CS19" i="75"/>
  <c r="CR19" i="75"/>
  <c r="CQ19" i="75"/>
  <c r="CP19" i="75"/>
  <c r="CT18" i="75"/>
  <c r="CS18" i="75"/>
  <c r="CR18" i="75"/>
  <c r="CQ18" i="75"/>
  <c r="CP18" i="75"/>
  <c r="CT17" i="75"/>
  <c r="CS17" i="75"/>
  <c r="CR17" i="75"/>
  <c r="CQ17" i="75"/>
  <c r="CP17" i="75"/>
  <c r="CT16" i="75"/>
  <c r="CS16" i="75"/>
  <c r="CR16" i="75"/>
  <c r="CQ16" i="75"/>
  <c r="CP16" i="75"/>
  <c r="CT15" i="75"/>
  <c r="CS15" i="75"/>
  <c r="CR15" i="75"/>
  <c r="CQ15" i="75"/>
  <c r="CP15" i="75"/>
  <c r="CT14" i="75"/>
  <c r="CS14" i="75"/>
  <c r="CR14" i="75"/>
  <c r="CQ14" i="75"/>
  <c r="CP14" i="75"/>
  <c r="CT13" i="75"/>
  <c r="CS13" i="75"/>
  <c r="CR13" i="75"/>
  <c r="CQ13" i="75"/>
  <c r="CP13" i="75"/>
  <c r="CT12" i="75"/>
  <c r="CS12" i="75"/>
  <c r="CR12" i="75"/>
  <c r="CQ12" i="75"/>
  <c r="CP12" i="75"/>
  <c r="CT11" i="75"/>
  <c r="CS11" i="75"/>
  <c r="CR11" i="75"/>
  <c r="CQ11" i="75"/>
  <c r="CP11" i="75"/>
  <c r="CT10" i="75"/>
  <c r="CS10" i="75"/>
  <c r="CR10" i="75"/>
  <c r="CQ10" i="75"/>
  <c r="CP10" i="75"/>
  <c r="BZ47" i="75"/>
  <c r="BY47" i="75"/>
  <c r="BX47" i="75"/>
  <c r="BW47" i="75"/>
  <c r="BV47" i="75"/>
  <c r="BZ46" i="75"/>
  <c r="BY46" i="75"/>
  <c r="BX46" i="75"/>
  <c r="BW46" i="75"/>
  <c r="BV46" i="75"/>
  <c r="BZ45" i="75"/>
  <c r="BY45" i="75"/>
  <c r="BX45" i="75"/>
  <c r="BW45" i="75"/>
  <c r="BV45" i="75"/>
  <c r="BZ44" i="75"/>
  <c r="BY44" i="75"/>
  <c r="BX44" i="75"/>
  <c r="BW44" i="75"/>
  <c r="BV44" i="75"/>
  <c r="BZ43" i="75"/>
  <c r="BY43" i="75"/>
  <c r="BX43" i="75"/>
  <c r="BW43" i="75"/>
  <c r="BV43" i="75"/>
  <c r="BZ42" i="75"/>
  <c r="BY42" i="75"/>
  <c r="BX42" i="75"/>
  <c r="BW42" i="75"/>
  <c r="BV42" i="75"/>
  <c r="BZ41" i="75"/>
  <c r="BY41" i="75"/>
  <c r="BX41" i="75"/>
  <c r="BW41" i="75"/>
  <c r="BV41" i="75"/>
  <c r="BZ40" i="75"/>
  <c r="BY40" i="75"/>
  <c r="BX40" i="75"/>
  <c r="BW40" i="75"/>
  <c r="BV40" i="75"/>
  <c r="BZ39" i="75"/>
  <c r="BY39" i="75"/>
  <c r="BX39" i="75"/>
  <c r="BW39" i="75"/>
  <c r="BV39" i="75"/>
  <c r="BZ38" i="75"/>
  <c r="BY38" i="75"/>
  <c r="BX38" i="75"/>
  <c r="BW38" i="75"/>
  <c r="BV38" i="75"/>
  <c r="BZ37" i="75"/>
  <c r="BY37" i="75"/>
  <c r="BX37" i="75"/>
  <c r="BW37" i="75"/>
  <c r="BV37" i="75"/>
  <c r="BZ36" i="75"/>
  <c r="BY36" i="75"/>
  <c r="BX36" i="75"/>
  <c r="BW36" i="75"/>
  <c r="BV36" i="75"/>
  <c r="BZ35" i="75"/>
  <c r="BY35" i="75"/>
  <c r="BX35" i="75"/>
  <c r="BW35" i="75"/>
  <c r="BV35" i="75"/>
  <c r="BZ34" i="75"/>
  <c r="BY34" i="75"/>
  <c r="BX34" i="75"/>
  <c r="BW34" i="75"/>
  <c r="BV34" i="75"/>
  <c r="BZ33" i="75"/>
  <c r="BY33" i="75"/>
  <c r="BX33" i="75"/>
  <c r="BW33" i="75"/>
  <c r="BV33" i="75"/>
  <c r="BZ32" i="75"/>
  <c r="BY32" i="75"/>
  <c r="BX32" i="75"/>
  <c r="BW32" i="75"/>
  <c r="BV32" i="75"/>
  <c r="BZ31" i="75"/>
  <c r="BY31" i="75"/>
  <c r="BX31" i="75"/>
  <c r="BW31" i="75"/>
  <c r="BV31" i="75"/>
  <c r="BZ30" i="75"/>
  <c r="BY30" i="75"/>
  <c r="BX30" i="75"/>
  <c r="BW30" i="75"/>
  <c r="BV30" i="75"/>
  <c r="BZ29" i="75"/>
  <c r="BY29" i="75"/>
  <c r="BX29" i="75"/>
  <c r="BW29" i="75"/>
  <c r="BV29" i="75"/>
  <c r="BZ28" i="75"/>
  <c r="BY28" i="75"/>
  <c r="BX28" i="75"/>
  <c r="BW28" i="75"/>
  <c r="BV28" i="75"/>
  <c r="BZ27" i="75"/>
  <c r="BY27" i="75"/>
  <c r="BX27" i="75"/>
  <c r="BW27" i="75"/>
  <c r="BV27" i="75"/>
  <c r="BZ26" i="75"/>
  <c r="BY26" i="75"/>
  <c r="BX26" i="75"/>
  <c r="BW26" i="75"/>
  <c r="BV26" i="75"/>
  <c r="BZ25" i="75"/>
  <c r="BY25" i="75"/>
  <c r="BX25" i="75"/>
  <c r="BW25" i="75"/>
  <c r="BV25" i="75"/>
  <c r="BZ24" i="75"/>
  <c r="BY24" i="75"/>
  <c r="BX24" i="75"/>
  <c r="BW24" i="75"/>
  <c r="BV24" i="75"/>
  <c r="BZ23" i="75"/>
  <c r="BY23" i="75"/>
  <c r="BX23" i="75"/>
  <c r="BW23" i="75"/>
  <c r="BV23" i="75"/>
  <c r="BZ22" i="75"/>
  <c r="BY22" i="75"/>
  <c r="BX22" i="75"/>
  <c r="BW22" i="75"/>
  <c r="BV22" i="75"/>
  <c r="BZ21" i="75"/>
  <c r="BY21" i="75"/>
  <c r="BX21" i="75"/>
  <c r="BW21" i="75"/>
  <c r="BV21" i="75"/>
  <c r="BZ20" i="75"/>
  <c r="BY20" i="75"/>
  <c r="BX20" i="75"/>
  <c r="BW20" i="75"/>
  <c r="BV20" i="75"/>
  <c r="BZ19" i="75"/>
  <c r="BY19" i="75"/>
  <c r="BX19" i="75"/>
  <c r="BW19" i="75"/>
  <c r="BV19" i="75"/>
  <c r="BZ18" i="75"/>
  <c r="BY18" i="75"/>
  <c r="BX18" i="75"/>
  <c r="BW18" i="75"/>
  <c r="BV18" i="75"/>
  <c r="BZ17" i="75"/>
  <c r="BY17" i="75"/>
  <c r="BX17" i="75"/>
  <c r="BW17" i="75"/>
  <c r="BV17" i="75"/>
  <c r="BZ16" i="75"/>
  <c r="BY16" i="75"/>
  <c r="BX16" i="75"/>
  <c r="BW16" i="75"/>
  <c r="BV16" i="75"/>
  <c r="BZ15" i="75"/>
  <c r="BY15" i="75"/>
  <c r="BX15" i="75"/>
  <c r="BW15" i="75"/>
  <c r="BV15" i="75"/>
  <c r="BZ14" i="75"/>
  <c r="BY14" i="75"/>
  <c r="BX14" i="75"/>
  <c r="BW14" i="75"/>
  <c r="BV14" i="75"/>
  <c r="BZ13" i="75"/>
  <c r="BY13" i="75"/>
  <c r="BX13" i="75"/>
  <c r="BW13" i="75"/>
  <c r="BV13" i="75"/>
  <c r="BZ12" i="75"/>
  <c r="BY12" i="75"/>
  <c r="BX12" i="75"/>
  <c r="BW12" i="75"/>
  <c r="BV12" i="75"/>
  <c r="BZ11" i="75"/>
  <c r="BY11" i="75"/>
  <c r="BX11" i="75"/>
  <c r="BW11" i="75"/>
  <c r="BV11" i="75"/>
  <c r="BZ10" i="75"/>
  <c r="BY10" i="75"/>
  <c r="BX10" i="75"/>
  <c r="BW10" i="75"/>
  <c r="BV10" i="75"/>
  <c r="BP47" i="75"/>
  <c r="BO47" i="75"/>
  <c r="BN47" i="75"/>
  <c r="BM47" i="75"/>
  <c r="BL47" i="75"/>
  <c r="BP46" i="75"/>
  <c r="BO46" i="75"/>
  <c r="BN46" i="75"/>
  <c r="BM46" i="75"/>
  <c r="BL46" i="75"/>
  <c r="BP45" i="75"/>
  <c r="BO45" i="75"/>
  <c r="BN45" i="75"/>
  <c r="BM45" i="75"/>
  <c r="BL45" i="75"/>
  <c r="BP44" i="75"/>
  <c r="BO44" i="75"/>
  <c r="BN44" i="75"/>
  <c r="BM44" i="75"/>
  <c r="BL44" i="75"/>
  <c r="BP43" i="75"/>
  <c r="BO43" i="75"/>
  <c r="BN43" i="75"/>
  <c r="BM43" i="75"/>
  <c r="BL43" i="75"/>
  <c r="BP42" i="75"/>
  <c r="BO42" i="75"/>
  <c r="BN42" i="75"/>
  <c r="BM42" i="75"/>
  <c r="BL42" i="75"/>
  <c r="BP41" i="75"/>
  <c r="BO41" i="75"/>
  <c r="BN41" i="75"/>
  <c r="BM41" i="75"/>
  <c r="BL41" i="75"/>
  <c r="BP40" i="75"/>
  <c r="BO40" i="75"/>
  <c r="BN40" i="75"/>
  <c r="BM40" i="75"/>
  <c r="BL40" i="75"/>
  <c r="BP39" i="75"/>
  <c r="BO39" i="75"/>
  <c r="BN39" i="75"/>
  <c r="BM39" i="75"/>
  <c r="BL39" i="75"/>
  <c r="BP38" i="75"/>
  <c r="BO38" i="75"/>
  <c r="BN38" i="75"/>
  <c r="BM38" i="75"/>
  <c r="BL38" i="75"/>
  <c r="BP37" i="75"/>
  <c r="BO37" i="75"/>
  <c r="BN37" i="75"/>
  <c r="BM37" i="75"/>
  <c r="BL37" i="75"/>
  <c r="BP36" i="75"/>
  <c r="BO36" i="75"/>
  <c r="BN36" i="75"/>
  <c r="BM36" i="75"/>
  <c r="BL36" i="75"/>
  <c r="BP35" i="75"/>
  <c r="BO35" i="75"/>
  <c r="BN35" i="75"/>
  <c r="BM35" i="75"/>
  <c r="BL35" i="75"/>
  <c r="BP34" i="75"/>
  <c r="BO34" i="75"/>
  <c r="BN34" i="75"/>
  <c r="BM34" i="75"/>
  <c r="BL34" i="75"/>
  <c r="BP33" i="75"/>
  <c r="BO33" i="75"/>
  <c r="BN33" i="75"/>
  <c r="BM33" i="75"/>
  <c r="BL33" i="75"/>
  <c r="BP32" i="75"/>
  <c r="BO32" i="75"/>
  <c r="BN32" i="75"/>
  <c r="BM32" i="75"/>
  <c r="BL32" i="75"/>
  <c r="BP31" i="75"/>
  <c r="BO31" i="75"/>
  <c r="BN31" i="75"/>
  <c r="BM31" i="75"/>
  <c r="BL31" i="75"/>
  <c r="BP30" i="75"/>
  <c r="BO30" i="75"/>
  <c r="BN30" i="75"/>
  <c r="BM30" i="75"/>
  <c r="BL30" i="75"/>
  <c r="BP29" i="75"/>
  <c r="BO29" i="75"/>
  <c r="BN29" i="75"/>
  <c r="BM29" i="75"/>
  <c r="BL29" i="75"/>
  <c r="BP28" i="75"/>
  <c r="BO28" i="75"/>
  <c r="BN28" i="75"/>
  <c r="BM28" i="75"/>
  <c r="BL28" i="75"/>
  <c r="BP27" i="75"/>
  <c r="BO27" i="75"/>
  <c r="BN27" i="75"/>
  <c r="BM27" i="75"/>
  <c r="BL27" i="75"/>
  <c r="BP26" i="75"/>
  <c r="BO26" i="75"/>
  <c r="BN26" i="75"/>
  <c r="BM26" i="75"/>
  <c r="BL26" i="75"/>
  <c r="BP25" i="75"/>
  <c r="BO25" i="75"/>
  <c r="BN25" i="75"/>
  <c r="BM25" i="75"/>
  <c r="BL25" i="75"/>
  <c r="BP24" i="75"/>
  <c r="BO24" i="75"/>
  <c r="BN24" i="75"/>
  <c r="BM24" i="75"/>
  <c r="BL24" i="75"/>
  <c r="BP23" i="75"/>
  <c r="BO23" i="75"/>
  <c r="BN23" i="75"/>
  <c r="BM23" i="75"/>
  <c r="BL23" i="75"/>
  <c r="BP22" i="75"/>
  <c r="BO22" i="75"/>
  <c r="BN22" i="75"/>
  <c r="BM22" i="75"/>
  <c r="BL22" i="75"/>
  <c r="BP21" i="75"/>
  <c r="BO21" i="75"/>
  <c r="BN21" i="75"/>
  <c r="BM21" i="75"/>
  <c r="BL21" i="75"/>
  <c r="BP20" i="75"/>
  <c r="BO20" i="75"/>
  <c r="BN20" i="75"/>
  <c r="BM20" i="75"/>
  <c r="BL20" i="75"/>
  <c r="BP19" i="75"/>
  <c r="BO19" i="75"/>
  <c r="BN19" i="75"/>
  <c r="BM19" i="75"/>
  <c r="BL19" i="75"/>
  <c r="BP18" i="75"/>
  <c r="BO18" i="75"/>
  <c r="BN18" i="75"/>
  <c r="BM18" i="75"/>
  <c r="BL18" i="75"/>
  <c r="BP17" i="75"/>
  <c r="BO17" i="75"/>
  <c r="BN17" i="75"/>
  <c r="BM17" i="75"/>
  <c r="BL17" i="75"/>
  <c r="BP16" i="75"/>
  <c r="BO16" i="75"/>
  <c r="BN16" i="75"/>
  <c r="BM16" i="75"/>
  <c r="BL16" i="75"/>
  <c r="BP15" i="75"/>
  <c r="BO15" i="75"/>
  <c r="BN15" i="75"/>
  <c r="BM15" i="75"/>
  <c r="BL15" i="75"/>
  <c r="BP14" i="75"/>
  <c r="BO14" i="75"/>
  <c r="BN14" i="75"/>
  <c r="BM14" i="75"/>
  <c r="BL14" i="75"/>
  <c r="BP13" i="75"/>
  <c r="BO13" i="75"/>
  <c r="BN13" i="75"/>
  <c r="BM13" i="75"/>
  <c r="BL13" i="75"/>
  <c r="BP12" i="75"/>
  <c r="BO12" i="75"/>
  <c r="BN12" i="75"/>
  <c r="BM12" i="75"/>
  <c r="BL12" i="75"/>
  <c r="BP11" i="75"/>
  <c r="BO11" i="75"/>
  <c r="BN11" i="75"/>
  <c r="BM11" i="75"/>
  <c r="BL11" i="75"/>
  <c r="BP10" i="75"/>
  <c r="BO10" i="75"/>
  <c r="BN10" i="75"/>
  <c r="BM10" i="75"/>
  <c r="BL10" i="75"/>
  <c r="BF47" i="75"/>
  <c r="BE47" i="75"/>
  <c r="BD47" i="75"/>
  <c r="BC47" i="75"/>
  <c r="BB47" i="75"/>
  <c r="BF46" i="75"/>
  <c r="BE46" i="75"/>
  <c r="BD46" i="75"/>
  <c r="BC46" i="75"/>
  <c r="BB46" i="75"/>
  <c r="BF45" i="75"/>
  <c r="BE45" i="75"/>
  <c r="BD45" i="75"/>
  <c r="BC45" i="75"/>
  <c r="BB45" i="75"/>
  <c r="BF44" i="75"/>
  <c r="BE44" i="75"/>
  <c r="BD44" i="75"/>
  <c r="BC44" i="75"/>
  <c r="BB44" i="75"/>
  <c r="BF43" i="75"/>
  <c r="BE43" i="75"/>
  <c r="BD43" i="75"/>
  <c r="BC43" i="75"/>
  <c r="BB43" i="75"/>
  <c r="BF42" i="75"/>
  <c r="BE42" i="75"/>
  <c r="BD42" i="75"/>
  <c r="BC42" i="75"/>
  <c r="BB42" i="75"/>
  <c r="BF41" i="75"/>
  <c r="BE41" i="75"/>
  <c r="BD41" i="75"/>
  <c r="BC41" i="75"/>
  <c r="BB41" i="75"/>
  <c r="BF40" i="75"/>
  <c r="BE40" i="75"/>
  <c r="BD40" i="75"/>
  <c r="BC40" i="75"/>
  <c r="BB40" i="75"/>
  <c r="BF39" i="75"/>
  <c r="BE39" i="75"/>
  <c r="BD39" i="75"/>
  <c r="BC39" i="75"/>
  <c r="BB39" i="75"/>
  <c r="BF38" i="75"/>
  <c r="BE38" i="75"/>
  <c r="BD38" i="75"/>
  <c r="BC38" i="75"/>
  <c r="BB38" i="75"/>
  <c r="BF37" i="75"/>
  <c r="BE37" i="75"/>
  <c r="BD37" i="75"/>
  <c r="BC37" i="75"/>
  <c r="BB37" i="75"/>
  <c r="BF36" i="75"/>
  <c r="BE36" i="75"/>
  <c r="BD36" i="75"/>
  <c r="BC36" i="75"/>
  <c r="BB36" i="75"/>
  <c r="BF35" i="75"/>
  <c r="BE35" i="75"/>
  <c r="BD35" i="75"/>
  <c r="BC35" i="75"/>
  <c r="BB35" i="75"/>
  <c r="BF34" i="75"/>
  <c r="BE34" i="75"/>
  <c r="BD34" i="75"/>
  <c r="BC34" i="75"/>
  <c r="BB34" i="75"/>
  <c r="BF33" i="75"/>
  <c r="BE33" i="75"/>
  <c r="BD33" i="75"/>
  <c r="BC33" i="75"/>
  <c r="BB33" i="75"/>
  <c r="BF32" i="75"/>
  <c r="BE32" i="75"/>
  <c r="BD32" i="75"/>
  <c r="BC32" i="75"/>
  <c r="BB32" i="75"/>
  <c r="BF31" i="75"/>
  <c r="BE31" i="75"/>
  <c r="BD31" i="75"/>
  <c r="BC31" i="75"/>
  <c r="BB31" i="75"/>
  <c r="BF30" i="75"/>
  <c r="BE30" i="75"/>
  <c r="BD30" i="75"/>
  <c r="BC30" i="75"/>
  <c r="BB30" i="75"/>
  <c r="BF29" i="75"/>
  <c r="BE29" i="75"/>
  <c r="BD29" i="75"/>
  <c r="BC29" i="75"/>
  <c r="BB29" i="75"/>
  <c r="BF28" i="75"/>
  <c r="BE28" i="75"/>
  <c r="BD28" i="75"/>
  <c r="BC28" i="75"/>
  <c r="BB28" i="75"/>
  <c r="BF27" i="75"/>
  <c r="BE27" i="75"/>
  <c r="BD27" i="75"/>
  <c r="BC27" i="75"/>
  <c r="BB27" i="75"/>
  <c r="BF26" i="75"/>
  <c r="BE26" i="75"/>
  <c r="BD26" i="75"/>
  <c r="BC26" i="75"/>
  <c r="BB26" i="75"/>
  <c r="BF25" i="75"/>
  <c r="BE25" i="75"/>
  <c r="BD25" i="75"/>
  <c r="BC25" i="75"/>
  <c r="BB25" i="75"/>
  <c r="BF24" i="75"/>
  <c r="BE24" i="75"/>
  <c r="BD24" i="75"/>
  <c r="BC24" i="75"/>
  <c r="BB24" i="75"/>
  <c r="BF23" i="75"/>
  <c r="BE23" i="75"/>
  <c r="BD23" i="75"/>
  <c r="BC23" i="75"/>
  <c r="BB23" i="75"/>
  <c r="BF22" i="75"/>
  <c r="BE22" i="75"/>
  <c r="BD22" i="75"/>
  <c r="BC22" i="75"/>
  <c r="BB22" i="75"/>
  <c r="BF21" i="75"/>
  <c r="BE21" i="75"/>
  <c r="BD21" i="75"/>
  <c r="BC21" i="75"/>
  <c r="BB21" i="75"/>
  <c r="BF20" i="75"/>
  <c r="BE20" i="75"/>
  <c r="BD20" i="75"/>
  <c r="BC20" i="75"/>
  <c r="BB20" i="75"/>
  <c r="BF19" i="75"/>
  <c r="BE19" i="75"/>
  <c r="BD19" i="75"/>
  <c r="BC19" i="75"/>
  <c r="BB19" i="75"/>
  <c r="BF18" i="75"/>
  <c r="BE18" i="75"/>
  <c r="BD18" i="75"/>
  <c r="BC18" i="75"/>
  <c r="BB18" i="75"/>
  <c r="BF17" i="75"/>
  <c r="BE17" i="75"/>
  <c r="BD17" i="75"/>
  <c r="BC17" i="75"/>
  <c r="BB17" i="75"/>
  <c r="BF16" i="75"/>
  <c r="BE16" i="75"/>
  <c r="BD16" i="75"/>
  <c r="BC16" i="75"/>
  <c r="BB16" i="75"/>
  <c r="BF15" i="75"/>
  <c r="BE15" i="75"/>
  <c r="BD15" i="75"/>
  <c r="BC15" i="75"/>
  <c r="BB15" i="75"/>
  <c r="BF14" i="75"/>
  <c r="BE14" i="75"/>
  <c r="BD14" i="75"/>
  <c r="BC14" i="75"/>
  <c r="BB14" i="75"/>
  <c r="BF13" i="75"/>
  <c r="BE13" i="75"/>
  <c r="BD13" i="75"/>
  <c r="BC13" i="75"/>
  <c r="BB13" i="75"/>
  <c r="BF12" i="75"/>
  <c r="BE12" i="75"/>
  <c r="BD12" i="75"/>
  <c r="BC12" i="75"/>
  <c r="BB12" i="75"/>
  <c r="BF11" i="75"/>
  <c r="BE11" i="75"/>
  <c r="BD11" i="75"/>
  <c r="BC11" i="75"/>
  <c r="BB11" i="75"/>
  <c r="BF10" i="75"/>
  <c r="BE10" i="75"/>
  <c r="BD10" i="75"/>
  <c r="BC10" i="75"/>
  <c r="BB10" i="75"/>
  <c r="AQ47" i="75"/>
  <c r="AP47" i="75"/>
  <c r="AO47" i="75"/>
  <c r="AN47" i="75"/>
  <c r="AM47" i="75"/>
  <c r="AQ46" i="75"/>
  <c r="AP46" i="75"/>
  <c r="AO46" i="75"/>
  <c r="AN46" i="75"/>
  <c r="AM46" i="75"/>
  <c r="AQ45" i="75"/>
  <c r="AP45" i="75"/>
  <c r="AO45" i="75"/>
  <c r="AN45" i="75"/>
  <c r="AM45" i="75"/>
  <c r="AQ44" i="75"/>
  <c r="AP44" i="75"/>
  <c r="AO44" i="75"/>
  <c r="AN44" i="75"/>
  <c r="AM44" i="75"/>
  <c r="AQ43" i="75"/>
  <c r="AP43" i="75"/>
  <c r="AO43" i="75"/>
  <c r="AN43" i="75"/>
  <c r="AM43" i="75"/>
  <c r="AQ42" i="75"/>
  <c r="AP42" i="75"/>
  <c r="AO42" i="75"/>
  <c r="AN42" i="75"/>
  <c r="AM42" i="75"/>
  <c r="AQ41" i="75"/>
  <c r="AP41" i="75"/>
  <c r="AO41" i="75"/>
  <c r="AN41" i="75"/>
  <c r="AM41" i="75"/>
  <c r="AQ40" i="75"/>
  <c r="AP40" i="75"/>
  <c r="AO40" i="75"/>
  <c r="AN40" i="75"/>
  <c r="AM40" i="75"/>
  <c r="AQ39" i="75"/>
  <c r="AP39" i="75"/>
  <c r="AO39" i="75"/>
  <c r="AN39" i="75"/>
  <c r="AM39" i="75"/>
  <c r="AQ38" i="75"/>
  <c r="AP38" i="75"/>
  <c r="AO38" i="75"/>
  <c r="AN38" i="75"/>
  <c r="AM38" i="75"/>
  <c r="AQ37" i="75"/>
  <c r="AP37" i="75"/>
  <c r="AO37" i="75"/>
  <c r="AN37" i="75"/>
  <c r="AM37" i="75"/>
  <c r="AQ36" i="75"/>
  <c r="AP36" i="75"/>
  <c r="AO36" i="75"/>
  <c r="AN36" i="75"/>
  <c r="AM36" i="75"/>
  <c r="AQ35" i="75"/>
  <c r="AP35" i="75"/>
  <c r="AO35" i="75"/>
  <c r="AN35" i="75"/>
  <c r="AM35" i="75"/>
  <c r="AQ34" i="75"/>
  <c r="AP34" i="75"/>
  <c r="AO34" i="75"/>
  <c r="AN34" i="75"/>
  <c r="AM34" i="75"/>
  <c r="AQ33" i="75"/>
  <c r="AP33" i="75"/>
  <c r="AO33" i="75"/>
  <c r="AN33" i="75"/>
  <c r="AM33" i="75"/>
  <c r="AQ32" i="75"/>
  <c r="AP32" i="75"/>
  <c r="AO32" i="75"/>
  <c r="AN32" i="75"/>
  <c r="AM32" i="75"/>
  <c r="AQ31" i="75"/>
  <c r="AP31" i="75"/>
  <c r="AO31" i="75"/>
  <c r="AN31" i="75"/>
  <c r="AM31" i="75"/>
  <c r="AQ30" i="75"/>
  <c r="AP30" i="75"/>
  <c r="AO30" i="75"/>
  <c r="AN30" i="75"/>
  <c r="AM30" i="75"/>
  <c r="AQ29" i="75"/>
  <c r="AP29" i="75"/>
  <c r="AO29" i="75"/>
  <c r="AN29" i="75"/>
  <c r="AM29" i="75"/>
  <c r="AQ28" i="75"/>
  <c r="AP28" i="75"/>
  <c r="AO28" i="75"/>
  <c r="AN28" i="75"/>
  <c r="AM28" i="75"/>
  <c r="AQ27" i="75"/>
  <c r="AP27" i="75"/>
  <c r="AO27" i="75"/>
  <c r="AN27" i="75"/>
  <c r="AM27" i="75"/>
  <c r="AQ26" i="75"/>
  <c r="AP26" i="75"/>
  <c r="AO26" i="75"/>
  <c r="AN26" i="75"/>
  <c r="AM26" i="75"/>
  <c r="AQ25" i="75"/>
  <c r="AP25" i="75"/>
  <c r="AO25" i="75"/>
  <c r="AN25" i="75"/>
  <c r="AM25" i="75"/>
  <c r="AQ24" i="75"/>
  <c r="AP24" i="75"/>
  <c r="AO24" i="75"/>
  <c r="AN24" i="75"/>
  <c r="AM24" i="75"/>
  <c r="AQ23" i="75"/>
  <c r="AP23" i="75"/>
  <c r="AO23" i="75"/>
  <c r="AN23" i="75"/>
  <c r="AM23" i="75"/>
  <c r="AQ22" i="75"/>
  <c r="AP22" i="75"/>
  <c r="AO22" i="75"/>
  <c r="AN22" i="75"/>
  <c r="AM22" i="75"/>
  <c r="AQ21" i="75"/>
  <c r="AP21" i="75"/>
  <c r="AO21" i="75"/>
  <c r="AN21" i="75"/>
  <c r="AM21" i="75"/>
  <c r="AQ20" i="75"/>
  <c r="AP20" i="75"/>
  <c r="AO20" i="75"/>
  <c r="AN20" i="75"/>
  <c r="AM20" i="75"/>
  <c r="AQ19" i="75"/>
  <c r="AP19" i="75"/>
  <c r="AO19" i="75"/>
  <c r="AN19" i="75"/>
  <c r="AM19" i="75"/>
  <c r="AQ18" i="75"/>
  <c r="AP18" i="75"/>
  <c r="AO18" i="75"/>
  <c r="AN18" i="75"/>
  <c r="AM18" i="75"/>
  <c r="AQ17" i="75"/>
  <c r="AP17" i="75"/>
  <c r="AO17" i="75"/>
  <c r="AN17" i="75"/>
  <c r="AM17" i="75"/>
  <c r="AQ16" i="75"/>
  <c r="AP16" i="75"/>
  <c r="AO16" i="75"/>
  <c r="AN16" i="75"/>
  <c r="AM16" i="75"/>
  <c r="AQ15" i="75"/>
  <c r="AP15" i="75"/>
  <c r="AO15" i="75"/>
  <c r="AN15" i="75"/>
  <c r="AM15" i="75"/>
  <c r="AQ14" i="75"/>
  <c r="AP14" i="75"/>
  <c r="AO14" i="75"/>
  <c r="AN14" i="75"/>
  <c r="AM14" i="75"/>
  <c r="AQ13" i="75"/>
  <c r="AP13" i="75"/>
  <c r="AO13" i="75"/>
  <c r="AN13" i="75"/>
  <c r="AM13" i="75"/>
  <c r="AQ12" i="75"/>
  <c r="AP12" i="75"/>
  <c r="AO12" i="75"/>
  <c r="AN12" i="75"/>
  <c r="AM12" i="75"/>
  <c r="AQ11" i="75"/>
  <c r="AP11" i="75"/>
  <c r="AO11" i="75"/>
  <c r="AN11" i="75"/>
  <c r="AM11" i="75"/>
  <c r="AQ10" i="75"/>
  <c r="AP10" i="75"/>
  <c r="AO10" i="75"/>
  <c r="AN10" i="75"/>
  <c r="AM10" i="75"/>
  <c r="AL47" i="75"/>
  <c r="AK47" i="75"/>
  <c r="AJ47" i="75"/>
  <c r="AI47" i="75"/>
  <c r="AH47" i="75"/>
  <c r="AL46" i="75"/>
  <c r="AK46" i="75"/>
  <c r="AJ46" i="75"/>
  <c r="AI46" i="75"/>
  <c r="AH46" i="75"/>
  <c r="AL45" i="75"/>
  <c r="AK45" i="75"/>
  <c r="AJ45" i="75"/>
  <c r="AI45" i="75"/>
  <c r="AH45" i="75"/>
  <c r="AL44" i="75"/>
  <c r="AK44" i="75"/>
  <c r="AJ44" i="75"/>
  <c r="AI44" i="75"/>
  <c r="AH44" i="75"/>
  <c r="AL43" i="75"/>
  <c r="AK43" i="75"/>
  <c r="AJ43" i="75"/>
  <c r="AI43" i="75"/>
  <c r="AH43" i="75"/>
  <c r="AL42" i="75"/>
  <c r="AK42" i="75"/>
  <c r="AJ42" i="75"/>
  <c r="AI42" i="75"/>
  <c r="AH42" i="75"/>
  <c r="AL41" i="75"/>
  <c r="AK41" i="75"/>
  <c r="AJ41" i="75"/>
  <c r="AI41" i="75"/>
  <c r="AH41" i="75"/>
  <c r="AL40" i="75"/>
  <c r="AK40" i="75"/>
  <c r="AJ40" i="75"/>
  <c r="AI40" i="75"/>
  <c r="AH40" i="75"/>
  <c r="AL39" i="75"/>
  <c r="AK39" i="75"/>
  <c r="AJ39" i="75"/>
  <c r="AI39" i="75"/>
  <c r="AH39" i="75"/>
  <c r="AL38" i="75"/>
  <c r="AK38" i="75"/>
  <c r="AJ38" i="75"/>
  <c r="AI38" i="75"/>
  <c r="AH38" i="75"/>
  <c r="AL37" i="75"/>
  <c r="AK37" i="75"/>
  <c r="AJ37" i="75"/>
  <c r="AI37" i="75"/>
  <c r="AH37" i="75"/>
  <c r="AL36" i="75"/>
  <c r="AK36" i="75"/>
  <c r="AJ36" i="75"/>
  <c r="AI36" i="75"/>
  <c r="AH36" i="75"/>
  <c r="AL35" i="75"/>
  <c r="AK35" i="75"/>
  <c r="AJ35" i="75"/>
  <c r="AI35" i="75"/>
  <c r="AH35" i="75"/>
  <c r="AL34" i="75"/>
  <c r="AK34" i="75"/>
  <c r="AJ34" i="75"/>
  <c r="AI34" i="75"/>
  <c r="AH34" i="75"/>
  <c r="AL33" i="75"/>
  <c r="AK33" i="75"/>
  <c r="AJ33" i="75"/>
  <c r="AI33" i="75"/>
  <c r="AH33" i="75"/>
  <c r="AL32" i="75"/>
  <c r="AK32" i="75"/>
  <c r="AJ32" i="75"/>
  <c r="AI32" i="75"/>
  <c r="AH32" i="75"/>
  <c r="AL31" i="75"/>
  <c r="AK31" i="75"/>
  <c r="AJ31" i="75"/>
  <c r="AI31" i="75"/>
  <c r="AH31" i="75"/>
  <c r="AL30" i="75"/>
  <c r="AK30" i="75"/>
  <c r="AJ30" i="75"/>
  <c r="AI30" i="75"/>
  <c r="AH30" i="75"/>
  <c r="AL29" i="75"/>
  <c r="AK29" i="75"/>
  <c r="AJ29" i="75"/>
  <c r="AI29" i="75"/>
  <c r="AH29" i="75"/>
  <c r="AL28" i="75"/>
  <c r="AK28" i="75"/>
  <c r="AJ28" i="75"/>
  <c r="AI28" i="75"/>
  <c r="AH28" i="75"/>
  <c r="AL27" i="75"/>
  <c r="AK27" i="75"/>
  <c r="AJ27" i="75"/>
  <c r="AI27" i="75"/>
  <c r="AH27" i="75"/>
  <c r="AL26" i="75"/>
  <c r="AK26" i="75"/>
  <c r="AJ26" i="75"/>
  <c r="AI26" i="75"/>
  <c r="AH26" i="75"/>
  <c r="AL25" i="75"/>
  <c r="AK25" i="75"/>
  <c r="AJ25" i="75"/>
  <c r="AI25" i="75"/>
  <c r="AH25" i="75"/>
  <c r="AL24" i="75"/>
  <c r="AK24" i="75"/>
  <c r="AJ24" i="75"/>
  <c r="AI24" i="75"/>
  <c r="AH24" i="75"/>
  <c r="AL23" i="75"/>
  <c r="AK23" i="75"/>
  <c r="AJ23" i="75"/>
  <c r="AI23" i="75"/>
  <c r="AH23" i="75"/>
  <c r="AL22" i="75"/>
  <c r="AK22" i="75"/>
  <c r="AJ22" i="75"/>
  <c r="AI22" i="75"/>
  <c r="AH22" i="75"/>
  <c r="AL21" i="75"/>
  <c r="AK21" i="75"/>
  <c r="AJ21" i="75"/>
  <c r="AI21" i="75"/>
  <c r="AH21" i="75"/>
  <c r="AL20" i="75"/>
  <c r="AK20" i="75"/>
  <c r="AJ20" i="75"/>
  <c r="AI20" i="75"/>
  <c r="AH20" i="75"/>
  <c r="AL19" i="75"/>
  <c r="AK19" i="75"/>
  <c r="AJ19" i="75"/>
  <c r="AI19" i="75"/>
  <c r="AH19" i="75"/>
  <c r="AL18" i="75"/>
  <c r="AK18" i="75"/>
  <c r="AJ18" i="75"/>
  <c r="AI18" i="75"/>
  <c r="AH18" i="75"/>
  <c r="AL17" i="75"/>
  <c r="AK17" i="75"/>
  <c r="AJ17" i="75"/>
  <c r="AI17" i="75"/>
  <c r="AH17" i="75"/>
  <c r="AL16" i="75"/>
  <c r="AK16" i="75"/>
  <c r="AJ16" i="75"/>
  <c r="AI16" i="75"/>
  <c r="AH16" i="75"/>
  <c r="AL15" i="75"/>
  <c r="AK15" i="75"/>
  <c r="AJ15" i="75"/>
  <c r="AI15" i="75"/>
  <c r="AH15" i="75"/>
  <c r="AL14" i="75"/>
  <c r="AK14" i="75"/>
  <c r="AJ14" i="75"/>
  <c r="AI14" i="75"/>
  <c r="AH14" i="75"/>
  <c r="AL13" i="75"/>
  <c r="AK13" i="75"/>
  <c r="AJ13" i="75"/>
  <c r="AI13" i="75"/>
  <c r="AH13" i="75"/>
  <c r="AL12" i="75"/>
  <c r="AK12" i="75"/>
  <c r="AJ12" i="75"/>
  <c r="AI12" i="75"/>
  <c r="AH12" i="75"/>
  <c r="AL11" i="75"/>
  <c r="AK11" i="75"/>
  <c r="AJ11" i="75"/>
  <c r="AI11" i="75"/>
  <c r="AH11" i="75"/>
  <c r="AL10" i="75"/>
  <c r="AK10" i="75"/>
  <c r="AJ10" i="75"/>
  <c r="AI10" i="75"/>
  <c r="AH10" i="75"/>
  <c r="AG47" i="75"/>
  <c r="AF47" i="75"/>
  <c r="AE47" i="75"/>
  <c r="AD47" i="75"/>
  <c r="AC47" i="75"/>
  <c r="AG46" i="75"/>
  <c r="AF46" i="75"/>
  <c r="AE46" i="75"/>
  <c r="AD46" i="75"/>
  <c r="AC46" i="75"/>
  <c r="AG45" i="75"/>
  <c r="AF45" i="75"/>
  <c r="AE45" i="75"/>
  <c r="AD45" i="75"/>
  <c r="AC45" i="75"/>
  <c r="AG44" i="75"/>
  <c r="AF44" i="75"/>
  <c r="AE44" i="75"/>
  <c r="AD44" i="75"/>
  <c r="AC44" i="75"/>
  <c r="AG43" i="75"/>
  <c r="AF43" i="75"/>
  <c r="AE43" i="75"/>
  <c r="AD43" i="75"/>
  <c r="AC43" i="75"/>
  <c r="AG42" i="75"/>
  <c r="AF42" i="75"/>
  <c r="AE42" i="75"/>
  <c r="AD42" i="75"/>
  <c r="AC42" i="75"/>
  <c r="AG41" i="75"/>
  <c r="AF41" i="75"/>
  <c r="AE41" i="75"/>
  <c r="AD41" i="75"/>
  <c r="AC41" i="75"/>
  <c r="AG40" i="75"/>
  <c r="AF40" i="75"/>
  <c r="AE40" i="75"/>
  <c r="AD40" i="75"/>
  <c r="AC40" i="75"/>
  <c r="AG39" i="75"/>
  <c r="AF39" i="75"/>
  <c r="AE39" i="75"/>
  <c r="AD39" i="75"/>
  <c r="AC39" i="75"/>
  <c r="AG38" i="75"/>
  <c r="AF38" i="75"/>
  <c r="AE38" i="75"/>
  <c r="AD38" i="75"/>
  <c r="AC38" i="75"/>
  <c r="AG37" i="75"/>
  <c r="AF37" i="75"/>
  <c r="AE37" i="75"/>
  <c r="AD37" i="75"/>
  <c r="AC37" i="75"/>
  <c r="AG36" i="75"/>
  <c r="AF36" i="75"/>
  <c r="AE36" i="75"/>
  <c r="AD36" i="75"/>
  <c r="AC36" i="75"/>
  <c r="AG35" i="75"/>
  <c r="AF35" i="75"/>
  <c r="AE35" i="75"/>
  <c r="AD35" i="75"/>
  <c r="AC35" i="75"/>
  <c r="AG34" i="75"/>
  <c r="AF34" i="75"/>
  <c r="AE34" i="75"/>
  <c r="AD34" i="75"/>
  <c r="AC34" i="75"/>
  <c r="AG33" i="75"/>
  <c r="AF33" i="75"/>
  <c r="AE33" i="75"/>
  <c r="AD33" i="75"/>
  <c r="AC33" i="75"/>
  <c r="AG32" i="75"/>
  <c r="AF32" i="75"/>
  <c r="AE32" i="75"/>
  <c r="AD32" i="75"/>
  <c r="AC32" i="75"/>
  <c r="AG31" i="75"/>
  <c r="AF31" i="75"/>
  <c r="AE31" i="75"/>
  <c r="AD31" i="75"/>
  <c r="AC31" i="75"/>
  <c r="AG30" i="75"/>
  <c r="AF30" i="75"/>
  <c r="AE30" i="75"/>
  <c r="AD30" i="75"/>
  <c r="AC30" i="75"/>
  <c r="AG29" i="75"/>
  <c r="AF29" i="75"/>
  <c r="AE29" i="75"/>
  <c r="AD29" i="75"/>
  <c r="AC29" i="75"/>
  <c r="AG28" i="75"/>
  <c r="AF28" i="75"/>
  <c r="AE28" i="75"/>
  <c r="AD28" i="75"/>
  <c r="AC28" i="75"/>
  <c r="AG27" i="75"/>
  <c r="AF27" i="75"/>
  <c r="AE27" i="75"/>
  <c r="AD27" i="75"/>
  <c r="AC27" i="75"/>
  <c r="AG26" i="75"/>
  <c r="AF26" i="75"/>
  <c r="AE26" i="75"/>
  <c r="AD26" i="75"/>
  <c r="AC26" i="75"/>
  <c r="AG25" i="75"/>
  <c r="AF25" i="75"/>
  <c r="AE25" i="75"/>
  <c r="AD25" i="75"/>
  <c r="AC25" i="75"/>
  <c r="AG24" i="75"/>
  <c r="AF24" i="75"/>
  <c r="AE24" i="75"/>
  <c r="AD24" i="75"/>
  <c r="AC24" i="75"/>
  <c r="AG23" i="75"/>
  <c r="AF23" i="75"/>
  <c r="AE23" i="75"/>
  <c r="AD23" i="75"/>
  <c r="AC23" i="75"/>
  <c r="AG22" i="75"/>
  <c r="AF22" i="75"/>
  <c r="AE22" i="75"/>
  <c r="AD22" i="75"/>
  <c r="AC22" i="75"/>
  <c r="AG21" i="75"/>
  <c r="AF21" i="75"/>
  <c r="AE21" i="75"/>
  <c r="AD21" i="75"/>
  <c r="AC21" i="75"/>
  <c r="AG20" i="75"/>
  <c r="AF20" i="75"/>
  <c r="AE20" i="75"/>
  <c r="AD20" i="75"/>
  <c r="AC20" i="75"/>
  <c r="AG19" i="75"/>
  <c r="AF19" i="75"/>
  <c r="AE19" i="75"/>
  <c r="AD19" i="75"/>
  <c r="AC19" i="75"/>
  <c r="AG18" i="75"/>
  <c r="AF18" i="75"/>
  <c r="AE18" i="75"/>
  <c r="AD18" i="75"/>
  <c r="AC18" i="75"/>
  <c r="AG17" i="75"/>
  <c r="AF17" i="75"/>
  <c r="AE17" i="75"/>
  <c r="AD17" i="75"/>
  <c r="AC17" i="75"/>
  <c r="AG16" i="75"/>
  <c r="AF16" i="75"/>
  <c r="AE16" i="75"/>
  <c r="AD16" i="75"/>
  <c r="AC16" i="75"/>
  <c r="AG15" i="75"/>
  <c r="AF15" i="75"/>
  <c r="AE15" i="75"/>
  <c r="AD15" i="75"/>
  <c r="AC15" i="75"/>
  <c r="AG14" i="75"/>
  <c r="AF14" i="75"/>
  <c r="AE14" i="75"/>
  <c r="AD14" i="75"/>
  <c r="AC14" i="75"/>
  <c r="AG13" i="75"/>
  <c r="AF13" i="75"/>
  <c r="AE13" i="75"/>
  <c r="AD13" i="75"/>
  <c r="AC13" i="75"/>
  <c r="AG12" i="75"/>
  <c r="AF12" i="75"/>
  <c r="AE12" i="75"/>
  <c r="AD12" i="75"/>
  <c r="AC12" i="75"/>
  <c r="AG11" i="75"/>
  <c r="AF11" i="75"/>
  <c r="AE11" i="75"/>
  <c r="AD11" i="75"/>
  <c r="AC11" i="75"/>
  <c r="AG10" i="75"/>
  <c r="AF10" i="75"/>
  <c r="AE10" i="75"/>
  <c r="AD10" i="75"/>
  <c r="AC10" i="75"/>
  <c r="DD47" i="75"/>
  <c r="DC47" i="75"/>
  <c r="DB47" i="75"/>
  <c r="DA47" i="75"/>
  <c r="CZ47" i="75"/>
  <c r="BU47" i="75"/>
  <c r="BT47" i="75"/>
  <c r="BS47" i="75"/>
  <c r="BR47" i="75"/>
  <c r="BQ47" i="75"/>
  <c r="BA47" i="75"/>
  <c r="AZ47" i="75"/>
  <c r="AY47" i="75"/>
  <c r="AX47" i="75"/>
  <c r="AW47" i="75"/>
  <c r="DD46" i="75"/>
  <c r="DC46" i="75"/>
  <c r="DB46" i="75"/>
  <c r="DA46" i="75"/>
  <c r="CZ46" i="75"/>
  <c r="BU46" i="75"/>
  <c r="BT46" i="75"/>
  <c r="BS46" i="75"/>
  <c r="BR46" i="75"/>
  <c r="BQ46" i="75"/>
  <c r="BA46" i="75"/>
  <c r="AZ46" i="75"/>
  <c r="AY46" i="75"/>
  <c r="AX46" i="75"/>
  <c r="AW46" i="75"/>
  <c r="DD45" i="75"/>
  <c r="DC45" i="75"/>
  <c r="DB45" i="75"/>
  <c r="DA45" i="75"/>
  <c r="CZ45" i="75"/>
  <c r="BU45" i="75"/>
  <c r="BT45" i="75"/>
  <c r="BS45" i="75"/>
  <c r="BR45" i="75"/>
  <c r="BQ45" i="75"/>
  <c r="BA45" i="75"/>
  <c r="AZ45" i="75"/>
  <c r="AY45" i="75"/>
  <c r="AX45" i="75"/>
  <c r="AW45" i="75"/>
  <c r="DD44" i="75"/>
  <c r="DC44" i="75"/>
  <c r="DB44" i="75"/>
  <c r="DA44" i="75"/>
  <c r="CZ44" i="75"/>
  <c r="BU44" i="75"/>
  <c r="BT44" i="75"/>
  <c r="BS44" i="75"/>
  <c r="BR44" i="75"/>
  <c r="BQ44" i="75"/>
  <c r="BA44" i="75"/>
  <c r="AZ44" i="75"/>
  <c r="AY44" i="75"/>
  <c r="AX44" i="75"/>
  <c r="AW44" i="75"/>
  <c r="DD43" i="75"/>
  <c r="DC43" i="75"/>
  <c r="DB43" i="75"/>
  <c r="DA43" i="75"/>
  <c r="CZ43" i="75"/>
  <c r="BU43" i="75"/>
  <c r="BT43" i="75"/>
  <c r="BS43" i="75"/>
  <c r="BR43" i="75"/>
  <c r="BQ43" i="75"/>
  <c r="BA43" i="75"/>
  <c r="AZ43" i="75"/>
  <c r="AY43" i="75"/>
  <c r="AX43" i="75"/>
  <c r="AW43" i="75"/>
  <c r="DD42" i="75"/>
  <c r="DC42" i="75"/>
  <c r="DB42" i="75"/>
  <c r="DA42" i="75"/>
  <c r="CZ42" i="75"/>
  <c r="BU42" i="75"/>
  <c r="BT42" i="75"/>
  <c r="BS42" i="75"/>
  <c r="BR42" i="75"/>
  <c r="BQ42" i="75"/>
  <c r="BA42" i="75"/>
  <c r="AZ42" i="75"/>
  <c r="AY42" i="75"/>
  <c r="AX42" i="75"/>
  <c r="AW42" i="75"/>
  <c r="DD41" i="75"/>
  <c r="DC41" i="75"/>
  <c r="DB41" i="75"/>
  <c r="DA41" i="75"/>
  <c r="CZ41" i="75"/>
  <c r="BU41" i="75"/>
  <c r="BT41" i="75"/>
  <c r="BS41" i="75"/>
  <c r="BR41" i="75"/>
  <c r="BQ41" i="75"/>
  <c r="BA41" i="75"/>
  <c r="AZ41" i="75"/>
  <c r="AY41" i="75"/>
  <c r="AX41" i="75"/>
  <c r="AW41" i="75"/>
  <c r="DD40" i="75"/>
  <c r="DC40" i="75"/>
  <c r="DB40" i="75"/>
  <c r="DA40" i="75"/>
  <c r="CZ40" i="75"/>
  <c r="BU40" i="75"/>
  <c r="BT40" i="75"/>
  <c r="BS40" i="75"/>
  <c r="BR40" i="75"/>
  <c r="BQ40" i="75"/>
  <c r="BA40" i="75"/>
  <c r="AZ40" i="75"/>
  <c r="AY40" i="75"/>
  <c r="AX40" i="75"/>
  <c r="AW40" i="75"/>
  <c r="DD39" i="75"/>
  <c r="DC39" i="75"/>
  <c r="DB39" i="75"/>
  <c r="DA39" i="75"/>
  <c r="CZ39" i="75"/>
  <c r="BU39" i="75"/>
  <c r="BT39" i="75"/>
  <c r="BS39" i="75"/>
  <c r="BR39" i="75"/>
  <c r="BQ39" i="75"/>
  <c r="BA39" i="75"/>
  <c r="AZ39" i="75"/>
  <c r="AY39" i="75"/>
  <c r="AX39" i="75"/>
  <c r="AW39" i="75"/>
  <c r="DD38" i="75"/>
  <c r="DC38" i="75"/>
  <c r="DB38" i="75"/>
  <c r="DA38" i="75"/>
  <c r="CZ38" i="75"/>
  <c r="BU38" i="75"/>
  <c r="BT38" i="75"/>
  <c r="BS38" i="75"/>
  <c r="BR38" i="75"/>
  <c r="BQ38" i="75"/>
  <c r="BA38" i="75"/>
  <c r="AZ38" i="75"/>
  <c r="AY38" i="75"/>
  <c r="AX38" i="75"/>
  <c r="AW38" i="75"/>
  <c r="DD37" i="75"/>
  <c r="DC37" i="75"/>
  <c r="DB37" i="75"/>
  <c r="DA37" i="75"/>
  <c r="CZ37" i="75"/>
  <c r="BU37" i="75"/>
  <c r="BT37" i="75"/>
  <c r="BS37" i="75"/>
  <c r="BR37" i="75"/>
  <c r="BQ37" i="75"/>
  <c r="BA37" i="75"/>
  <c r="AZ37" i="75"/>
  <c r="AY37" i="75"/>
  <c r="AX37" i="75"/>
  <c r="AW37" i="75"/>
  <c r="DD36" i="75"/>
  <c r="DC36" i="75"/>
  <c r="DB36" i="75"/>
  <c r="DA36" i="75"/>
  <c r="CZ36" i="75"/>
  <c r="BU36" i="75"/>
  <c r="BT36" i="75"/>
  <c r="BS36" i="75"/>
  <c r="BR36" i="75"/>
  <c r="BQ36" i="75"/>
  <c r="BA36" i="75"/>
  <c r="AZ36" i="75"/>
  <c r="AY36" i="75"/>
  <c r="AX36" i="75"/>
  <c r="AW36" i="75"/>
  <c r="DD35" i="75"/>
  <c r="DC35" i="75"/>
  <c r="DB35" i="75"/>
  <c r="DA35" i="75"/>
  <c r="CZ35" i="75"/>
  <c r="BU35" i="75"/>
  <c r="BT35" i="75"/>
  <c r="BS35" i="75"/>
  <c r="BR35" i="75"/>
  <c r="BQ35" i="75"/>
  <c r="BA35" i="75"/>
  <c r="AZ35" i="75"/>
  <c r="AY35" i="75"/>
  <c r="AX35" i="75"/>
  <c r="AW35" i="75"/>
  <c r="DD34" i="75"/>
  <c r="DC34" i="75"/>
  <c r="DB34" i="75"/>
  <c r="DA34" i="75"/>
  <c r="CZ34" i="75"/>
  <c r="BU34" i="75"/>
  <c r="BT34" i="75"/>
  <c r="BS34" i="75"/>
  <c r="BR34" i="75"/>
  <c r="BQ34" i="75"/>
  <c r="BA34" i="75"/>
  <c r="AZ34" i="75"/>
  <c r="AY34" i="75"/>
  <c r="AX34" i="75"/>
  <c r="AW34" i="75"/>
  <c r="DD33" i="75"/>
  <c r="DC33" i="75"/>
  <c r="DB33" i="75"/>
  <c r="DA33" i="75"/>
  <c r="CZ33" i="75"/>
  <c r="BU33" i="75"/>
  <c r="BT33" i="75"/>
  <c r="BS33" i="75"/>
  <c r="BR33" i="75"/>
  <c r="BQ33" i="75"/>
  <c r="BA33" i="75"/>
  <c r="AZ33" i="75"/>
  <c r="AY33" i="75"/>
  <c r="AX33" i="75"/>
  <c r="AW33" i="75"/>
  <c r="DD32" i="75"/>
  <c r="DC32" i="75"/>
  <c r="DB32" i="75"/>
  <c r="DA32" i="75"/>
  <c r="CZ32" i="75"/>
  <c r="BU32" i="75"/>
  <c r="BT32" i="75"/>
  <c r="BS32" i="75"/>
  <c r="BR32" i="75"/>
  <c r="BQ32" i="75"/>
  <c r="BA32" i="75"/>
  <c r="AZ32" i="75"/>
  <c r="AY32" i="75"/>
  <c r="AX32" i="75"/>
  <c r="AW32" i="75"/>
  <c r="DD31" i="75"/>
  <c r="DC31" i="75"/>
  <c r="DB31" i="75"/>
  <c r="DA31" i="75"/>
  <c r="CZ31" i="75"/>
  <c r="BU31" i="75"/>
  <c r="BT31" i="75"/>
  <c r="BS31" i="75"/>
  <c r="BR31" i="75"/>
  <c r="BQ31" i="75"/>
  <c r="BA31" i="75"/>
  <c r="AZ31" i="75"/>
  <c r="AY31" i="75"/>
  <c r="AX31" i="75"/>
  <c r="AW31" i="75"/>
  <c r="DD30" i="75"/>
  <c r="DC30" i="75"/>
  <c r="DB30" i="75"/>
  <c r="DA30" i="75"/>
  <c r="CZ30" i="75"/>
  <c r="BU30" i="75"/>
  <c r="BT30" i="75"/>
  <c r="BS30" i="75"/>
  <c r="BR30" i="75"/>
  <c r="BQ30" i="75"/>
  <c r="BA30" i="75"/>
  <c r="AZ30" i="75"/>
  <c r="AY30" i="75"/>
  <c r="AX30" i="75"/>
  <c r="AW30" i="75"/>
  <c r="DD29" i="75"/>
  <c r="DC29" i="75"/>
  <c r="DB29" i="75"/>
  <c r="DA29" i="75"/>
  <c r="CZ29" i="75"/>
  <c r="BU29" i="75"/>
  <c r="BT29" i="75"/>
  <c r="BS29" i="75"/>
  <c r="BR29" i="75"/>
  <c r="BQ29" i="75"/>
  <c r="BA29" i="75"/>
  <c r="AZ29" i="75"/>
  <c r="AY29" i="75"/>
  <c r="AX29" i="75"/>
  <c r="AW29" i="75"/>
  <c r="DD28" i="75"/>
  <c r="DC28" i="75"/>
  <c r="DB28" i="75"/>
  <c r="DA28" i="75"/>
  <c r="CZ28" i="75"/>
  <c r="BU28" i="75"/>
  <c r="BT28" i="75"/>
  <c r="BS28" i="75"/>
  <c r="BR28" i="75"/>
  <c r="BQ28" i="75"/>
  <c r="BA28" i="75"/>
  <c r="AZ28" i="75"/>
  <c r="AY28" i="75"/>
  <c r="AX28" i="75"/>
  <c r="AW28" i="75"/>
  <c r="DD27" i="75"/>
  <c r="DC27" i="75"/>
  <c r="DB27" i="75"/>
  <c r="DA27" i="75"/>
  <c r="CZ27" i="75"/>
  <c r="BU27" i="75"/>
  <c r="BT27" i="75"/>
  <c r="BS27" i="75"/>
  <c r="BR27" i="75"/>
  <c r="BQ27" i="75"/>
  <c r="BA27" i="75"/>
  <c r="AZ27" i="75"/>
  <c r="AY27" i="75"/>
  <c r="AX27" i="75"/>
  <c r="AW27" i="75"/>
  <c r="DD26" i="75"/>
  <c r="DC26" i="75"/>
  <c r="DB26" i="75"/>
  <c r="DA26" i="75"/>
  <c r="CZ26" i="75"/>
  <c r="BU26" i="75"/>
  <c r="BT26" i="75"/>
  <c r="BS26" i="75"/>
  <c r="BR26" i="75"/>
  <c r="BQ26" i="75"/>
  <c r="BA26" i="75"/>
  <c r="AZ26" i="75"/>
  <c r="AY26" i="75"/>
  <c r="AX26" i="75"/>
  <c r="AW26" i="75"/>
  <c r="DD25" i="75"/>
  <c r="DC25" i="75"/>
  <c r="DB25" i="75"/>
  <c r="DA25" i="75"/>
  <c r="CZ25" i="75"/>
  <c r="BU25" i="75"/>
  <c r="BT25" i="75"/>
  <c r="BS25" i="75"/>
  <c r="BR25" i="75"/>
  <c r="BQ25" i="75"/>
  <c r="BA25" i="75"/>
  <c r="AZ25" i="75"/>
  <c r="AY25" i="75"/>
  <c r="AX25" i="75"/>
  <c r="AW25" i="75"/>
  <c r="DD24" i="75"/>
  <c r="DC24" i="75"/>
  <c r="DB24" i="75"/>
  <c r="DA24" i="75"/>
  <c r="CZ24" i="75"/>
  <c r="BU24" i="75"/>
  <c r="BT24" i="75"/>
  <c r="BS24" i="75"/>
  <c r="BR24" i="75"/>
  <c r="BQ24" i="75"/>
  <c r="BA24" i="75"/>
  <c r="AZ24" i="75"/>
  <c r="AY24" i="75"/>
  <c r="AX24" i="75"/>
  <c r="AW24" i="75"/>
  <c r="DD23" i="75"/>
  <c r="DC23" i="75"/>
  <c r="DB23" i="75"/>
  <c r="DA23" i="75"/>
  <c r="CZ23" i="75"/>
  <c r="BU23" i="75"/>
  <c r="BT23" i="75"/>
  <c r="BS23" i="75"/>
  <c r="BR23" i="75"/>
  <c r="BQ23" i="75"/>
  <c r="BA23" i="75"/>
  <c r="AZ23" i="75"/>
  <c r="AY23" i="75"/>
  <c r="AX23" i="75"/>
  <c r="AW23" i="75"/>
  <c r="DD22" i="75"/>
  <c r="DC22" i="75"/>
  <c r="DB22" i="75"/>
  <c r="DA22" i="75"/>
  <c r="CZ22" i="75"/>
  <c r="BU22" i="75"/>
  <c r="BT22" i="75"/>
  <c r="BS22" i="75"/>
  <c r="BR22" i="75"/>
  <c r="BQ22" i="75"/>
  <c r="BA22" i="75"/>
  <c r="AZ22" i="75"/>
  <c r="AY22" i="75"/>
  <c r="AX22" i="75"/>
  <c r="AW22" i="75"/>
  <c r="DD21" i="75"/>
  <c r="DC21" i="75"/>
  <c r="DB21" i="75"/>
  <c r="DA21" i="75"/>
  <c r="CZ21" i="75"/>
  <c r="BU21" i="75"/>
  <c r="BT21" i="75"/>
  <c r="BS21" i="75"/>
  <c r="BR21" i="75"/>
  <c r="BQ21" i="75"/>
  <c r="BA21" i="75"/>
  <c r="AZ21" i="75"/>
  <c r="AY21" i="75"/>
  <c r="AX21" i="75"/>
  <c r="AW21" i="75"/>
  <c r="DD20" i="75"/>
  <c r="DC20" i="75"/>
  <c r="DB20" i="75"/>
  <c r="DA20" i="75"/>
  <c r="CZ20" i="75"/>
  <c r="BU20" i="75"/>
  <c r="BT20" i="75"/>
  <c r="BS20" i="75"/>
  <c r="BR20" i="75"/>
  <c r="BQ20" i="75"/>
  <c r="BA20" i="75"/>
  <c r="AZ20" i="75"/>
  <c r="AY20" i="75"/>
  <c r="AX20" i="75"/>
  <c r="AW20" i="75"/>
  <c r="DD19" i="75"/>
  <c r="DC19" i="75"/>
  <c r="DB19" i="75"/>
  <c r="DA19" i="75"/>
  <c r="CZ19" i="75"/>
  <c r="BU19" i="75"/>
  <c r="BT19" i="75"/>
  <c r="BS19" i="75"/>
  <c r="BR19" i="75"/>
  <c r="BQ19" i="75"/>
  <c r="BA19" i="75"/>
  <c r="AZ19" i="75"/>
  <c r="AY19" i="75"/>
  <c r="AX19" i="75"/>
  <c r="AW19" i="75"/>
  <c r="DD18" i="75"/>
  <c r="DC18" i="75"/>
  <c r="DB18" i="75"/>
  <c r="DA18" i="75"/>
  <c r="CZ18" i="75"/>
  <c r="BU18" i="75"/>
  <c r="BT18" i="75"/>
  <c r="BS18" i="75"/>
  <c r="BR18" i="75"/>
  <c r="BQ18" i="75"/>
  <c r="BA18" i="75"/>
  <c r="AZ18" i="75"/>
  <c r="AY18" i="75"/>
  <c r="AX18" i="75"/>
  <c r="AW18" i="75"/>
  <c r="DD17" i="75"/>
  <c r="DC17" i="75"/>
  <c r="DB17" i="75"/>
  <c r="DA17" i="75"/>
  <c r="CZ17" i="75"/>
  <c r="BU17" i="75"/>
  <c r="BT17" i="75"/>
  <c r="BS17" i="75"/>
  <c r="BR17" i="75"/>
  <c r="BQ17" i="75"/>
  <c r="BA17" i="75"/>
  <c r="AZ17" i="75"/>
  <c r="AY17" i="75"/>
  <c r="AX17" i="75"/>
  <c r="AW17" i="75"/>
  <c r="DD16" i="75"/>
  <c r="DC16" i="75"/>
  <c r="DB16" i="75"/>
  <c r="DA16" i="75"/>
  <c r="CZ16" i="75"/>
  <c r="BU16" i="75"/>
  <c r="BT16" i="75"/>
  <c r="BS16" i="75"/>
  <c r="BR16" i="75"/>
  <c r="BQ16" i="75"/>
  <c r="BA16" i="75"/>
  <c r="AZ16" i="75"/>
  <c r="AY16" i="75"/>
  <c r="AX16" i="75"/>
  <c r="AW16" i="75"/>
  <c r="DD15" i="75"/>
  <c r="DC15" i="75"/>
  <c r="DB15" i="75"/>
  <c r="DA15" i="75"/>
  <c r="CZ15" i="75"/>
  <c r="BU15" i="75"/>
  <c r="BT15" i="75"/>
  <c r="BS15" i="75"/>
  <c r="BR15" i="75"/>
  <c r="BQ15" i="75"/>
  <c r="BA15" i="75"/>
  <c r="AZ15" i="75"/>
  <c r="AY15" i="75"/>
  <c r="AX15" i="75"/>
  <c r="AW15" i="75"/>
  <c r="DD14" i="75"/>
  <c r="DC14" i="75"/>
  <c r="DB14" i="75"/>
  <c r="DA14" i="75"/>
  <c r="CZ14" i="75"/>
  <c r="BU14" i="75"/>
  <c r="BT14" i="75"/>
  <c r="BS14" i="75"/>
  <c r="BR14" i="75"/>
  <c r="BQ14" i="75"/>
  <c r="BA14" i="75"/>
  <c r="AZ14" i="75"/>
  <c r="AY14" i="75"/>
  <c r="AX14" i="75"/>
  <c r="AW14" i="75"/>
  <c r="DD13" i="75"/>
  <c r="DC13" i="75"/>
  <c r="DB13" i="75"/>
  <c r="DA13" i="75"/>
  <c r="CZ13" i="75"/>
  <c r="BU13" i="75"/>
  <c r="BT13" i="75"/>
  <c r="BS13" i="75"/>
  <c r="BR13" i="75"/>
  <c r="BQ13" i="75"/>
  <c r="BA13" i="75"/>
  <c r="AZ13" i="75"/>
  <c r="AY13" i="75"/>
  <c r="AX13" i="75"/>
  <c r="AW13" i="75"/>
  <c r="DD12" i="75"/>
  <c r="DC12" i="75"/>
  <c r="DB12" i="75"/>
  <c r="DA12" i="75"/>
  <c r="CZ12" i="75"/>
  <c r="BU12" i="75"/>
  <c r="BT12" i="75"/>
  <c r="BS12" i="75"/>
  <c r="BR12" i="75"/>
  <c r="BQ12" i="75"/>
  <c r="BA12" i="75"/>
  <c r="AZ12" i="75"/>
  <c r="AY12" i="75"/>
  <c r="AX12" i="75"/>
  <c r="AW12" i="75"/>
  <c r="DD11" i="75"/>
  <c r="DC11" i="75"/>
  <c r="DB11" i="75"/>
  <c r="DA11" i="75"/>
  <c r="CZ11" i="75"/>
  <c r="BU11" i="75"/>
  <c r="BT11" i="75"/>
  <c r="BS11" i="75"/>
  <c r="BR11" i="75"/>
  <c r="BQ11" i="75"/>
  <c r="BA11" i="75"/>
  <c r="AZ11" i="75"/>
  <c r="AY11" i="75"/>
  <c r="AX11" i="75"/>
  <c r="AW11" i="75"/>
  <c r="DD10" i="75"/>
  <c r="DC10" i="75"/>
  <c r="DB10" i="75"/>
  <c r="DA10" i="75"/>
  <c r="CZ10" i="75"/>
  <c r="BU10" i="75"/>
  <c r="BT10" i="75"/>
  <c r="BS10" i="75"/>
  <c r="BR10" i="75"/>
  <c r="BQ10" i="75"/>
  <c r="BA10" i="75"/>
  <c r="AZ10" i="75"/>
  <c r="AY10" i="75"/>
  <c r="AX10" i="75"/>
  <c r="AW10" i="75"/>
  <c r="AV47" i="75"/>
  <c r="AU47" i="75"/>
  <c r="AT47" i="75"/>
  <c r="AS47" i="75"/>
  <c r="AR47" i="75"/>
  <c r="AV46" i="75"/>
  <c r="AU46" i="75"/>
  <c r="AT46" i="75"/>
  <c r="AS46" i="75"/>
  <c r="AR46" i="75"/>
  <c r="AV45" i="75"/>
  <c r="AU45" i="75"/>
  <c r="AT45" i="75"/>
  <c r="AS45" i="75"/>
  <c r="AR45" i="75"/>
  <c r="AV44" i="75"/>
  <c r="AU44" i="75"/>
  <c r="AT44" i="75"/>
  <c r="AS44" i="75"/>
  <c r="AR44" i="75"/>
  <c r="AV43" i="75"/>
  <c r="AU43" i="75"/>
  <c r="AT43" i="75"/>
  <c r="AS43" i="75"/>
  <c r="AR43" i="75"/>
  <c r="AV42" i="75"/>
  <c r="AU42" i="75"/>
  <c r="AT42" i="75"/>
  <c r="AS42" i="75"/>
  <c r="AR42" i="75"/>
  <c r="AV41" i="75"/>
  <c r="AU41" i="75"/>
  <c r="AT41" i="75"/>
  <c r="AS41" i="75"/>
  <c r="AR41" i="75"/>
  <c r="AV40" i="75"/>
  <c r="AU40" i="75"/>
  <c r="AT40" i="75"/>
  <c r="AS40" i="75"/>
  <c r="AR40" i="75"/>
  <c r="AV39" i="75"/>
  <c r="AU39" i="75"/>
  <c r="AT39" i="75"/>
  <c r="AS39" i="75"/>
  <c r="AR39" i="75"/>
  <c r="AV38" i="75"/>
  <c r="AU38" i="75"/>
  <c r="AT38" i="75"/>
  <c r="AS38" i="75"/>
  <c r="AR38" i="75"/>
  <c r="AV37" i="75"/>
  <c r="AU37" i="75"/>
  <c r="AT37" i="75"/>
  <c r="AS37" i="75"/>
  <c r="AR37" i="75"/>
  <c r="AV36" i="75"/>
  <c r="AU36" i="75"/>
  <c r="AT36" i="75"/>
  <c r="AS36" i="75"/>
  <c r="AR36" i="75"/>
  <c r="AV35" i="75"/>
  <c r="AU35" i="75"/>
  <c r="AT35" i="75"/>
  <c r="AS35" i="75"/>
  <c r="AR35" i="75"/>
  <c r="AV34" i="75"/>
  <c r="AU34" i="75"/>
  <c r="AT34" i="75"/>
  <c r="AS34" i="75"/>
  <c r="AR34" i="75"/>
  <c r="AV33" i="75"/>
  <c r="AU33" i="75"/>
  <c r="AT33" i="75"/>
  <c r="AS33" i="75"/>
  <c r="AR33" i="75"/>
  <c r="AV32" i="75"/>
  <c r="AU32" i="75"/>
  <c r="AT32" i="75"/>
  <c r="AS32" i="75"/>
  <c r="AR32" i="75"/>
  <c r="AV31" i="75"/>
  <c r="AU31" i="75"/>
  <c r="AT31" i="75"/>
  <c r="AS31" i="75"/>
  <c r="AR31" i="75"/>
  <c r="AV30" i="75"/>
  <c r="AU30" i="75"/>
  <c r="AT30" i="75"/>
  <c r="AS30" i="75"/>
  <c r="AR30" i="75"/>
  <c r="AV29" i="75"/>
  <c r="AU29" i="75"/>
  <c r="AT29" i="75"/>
  <c r="AS29" i="75"/>
  <c r="AR29" i="75"/>
  <c r="AV28" i="75"/>
  <c r="AU28" i="75"/>
  <c r="AT28" i="75"/>
  <c r="AS28" i="75"/>
  <c r="AR28" i="75"/>
  <c r="AV27" i="75"/>
  <c r="AU27" i="75"/>
  <c r="AT27" i="75"/>
  <c r="AS27" i="75"/>
  <c r="AR27" i="75"/>
  <c r="AV26" i="75"/>
  <c r="AU26" i="75"/>
  <c r="AT26" i="75"/>
  <c r="AS26" i="75"/>
  <c r="AR26" i="75"/>
  <c r="AV25" i="75"/>
  <c r="AU25" i="75"/>
  <c r="AT25" i="75"/>
  <c r="AS25" i="75"/>
  <c r="AR25" i="75"/>
  <c r="AV24" i="75"/>
  <c r="AU24" i="75"/>
  <c r="AT24" i="75"/>
  <c r="AS24" i="75"/>
  <c r="AR24" i="75"/>
  <c r="AV23" i="75"/>
  <c r="AU23" i="75"/>
  <c r="AT23" i="75"/>
  <c r="AS23" i="75"/>
  <c r="AR23" i="75"/>
  <c r="AV22" i="75"/>
  <c r="AU22" i="75"/>
  <c r="AT22" i="75"/>
  <c r="AS22" i="75"/>
  <c r="AR22" i="75"/>
  <c r="AV21" i="75"/>
  <c r="AU21" i="75"/>
  <c r="AT21" i="75"/>
  <c r="AS21" i="75"/>
  <c r="AR21" i="75"/>
  <c r="AV20" i="75"/>
  <c r="AU20" i="75"/>
  <c r="AT20" i="75"/>
  <c r="AS20" i="75"/>
  <c r="AR20" i="75"/>
  <c r="AV19" i="75"/>
  <c r="AU19" i="75"/>
  <c r="AT19" i="75"/>
  <c r="AS19" i="75"/>
  <c r="AR19" i="75"/>
  <c r="AV18" i="75"/>
  <c r="AU18" i="75"/>
  <c r="AT18" i="75"/>
  <c r="AS18" i="75"/>
  <c r="AR18" i="75"/>
  <c r="AV17" i="75"/>
  <c r="AU17" i="75"/>
  <c r="AT17" i="75"/>
  <c r="AS17" i="75"/>
  <c r="AR17" i="75"/>
  <c r="AV16" i="75"/>
  <c r="AU16" i="75"/>
  <c r="AT16" i="75"/>
  <c r="AS16" i="75"/>
  <c r="AR16" i="75"/>
  <c r="AV15" i="75"/>
  <c r="AU15" i="75"/>
  <c r="AT15" i="75"/>
  <c r="AS15" i="75"/>
  <c r="AR15" i="75"/>
  <c r="AV14" i="75"/>
  <c r="AU14" i="75"/>
  <c r="AT14" i="75"/>
  <c r="AS14" i="75"/>
  <c r="AR14" i="75"/>
  <c r="AV13" i="75"/>
  <c r="AU13" i="75"/>
  <c r="AT13" i="75"/>
  <c r="AS13" i="75"/>
  <c r="AR13" i="75"/>
  <c r="AV12" i="75"/>
  <c r="AU12" i="75"/>
  <c r="AT12" i="75"/>
  <c r="AS12" i="75"/>
  <c r="AR12" i="75"/>
  <c r="AV11" i="75"/>
  <c r="AU11" i="75"/>
  <c r="AT11" i="75"/>
  <c r="AS11" i="75"/>
  <c r="AR11" i="75"/>
  <c r="AV10" i="75"/>
  <c r="AU10" i="75"/>
  <c r="AT10" i="75"/>
  <c r="AS10" i="75"/>
  <c r="AR10" i="75"/>
  <c r="AB47" i="75"/>
  <c r="AA47" i="75"/>
  <c r="Z47" i="75"/>
  <c r="Y47" i="75"/>
  <c r="X47" i="75"/>
  <c r="AB46" i="75"/>
  <c r="AA46" i="75"/>
  <c r="Z46" i="75"/>
  <c r="Y46" i="75"/>
  <c r="X46" i="75"/>
  <c r="AB45" i="75"/>
  <c r="AA45" i="75"/>
  <c r="Z45" i="75"/>
  <c r="Y45" i="75"/>
  <c r="X45" i="75"/>
  <c r="AB44" i="75"/>
  <c r="AA44" i="75"/>
  <c r="Z44" i="75"/>
  <c r="Y44" i="75"/>
  <c r="X44" i="75"/>
  <c r="AB43" i="75"/>
  <c r="AA43" i="75"/>
  <c r="Z43" i="75"/>
  <c r="Y43" i="75"/>
  <c r="X43" i="75"/>
  <c r="AB42" i="75"/>
  <c r="AA42" i="75"/>
  <c r="Z42" i="75"/>
  <c r="Y42" i="75"/>
  <c r="X42" i="75"/>
  <c r="AB41" i="75"/>
  <c r="AA41" i="75"/>
  <c r="Z41" i="75"/>
  <c r="Y41" i="75"/>
  <c r="X41" i="75"/>
  <c r="AB40" i="75"/>
  <c r="AA40" i="75"/>
  <c r="Z40" i="75"/>
  <c r="Y40" i="75"/>
  <c r="X40" i="75"/>
  <c r="AB39" i="75"/>
  <c r="AA39" i="75"/>
  <c r="Z39" i="75"/>
  <c r="Y39" i="75"/>
  <c r="X39" i="75"/>
  <c r="AB38" i="75"/>
  <c r="AA38" i="75"/>
  <c r="Z38" i="75"/>
  <c r="Y38" i="75"/>
  <c r="X38" i="75"/>
  <c r="AB37" i="75"/>
  <c r="AA37" i="75"/>
  <c r="Z37" i="75"/>
  <c r="Y37" i="75"/>
  <c r="X37" i="75"/>
  <c r="AB36" i="75"/>
  <c r="AA36" i="75"/>
  <c r="Z36" i="75"/>
  <c r="Y36" i="75"/>
  <c r="X36" i="75"/>
  <c r="AB35" i="75"/>
  <c r="AA35" i="75"/>
  <c r="Z35" i="75"/>
  <c r="Y35" i="75"/>
  <c r="X35" i="75"/>
  <c r="AB34" i="75"/>
  <c r="AA34" i="75"/>
  <c r="Z34" i="75"/>
  <c r="Y34" i="75"/>
  <c r="X34" i="75"/>
  <c r="AB33" i="75"/>
  <c r="AA33" i="75"/>
  <c r="Z33" i="75"/>
  <c r="Y33" i="75"/>
  <c r="X33" i="75"/>
  <c r="AB32" i="75"/>
  <c r="AA32" i="75"/>
  <c r="Z32" i="75"/>
  <c r="Y32" i="75"/>
  <c r="X32" i="75"/>
  <c r="AB31" i="75"/>
  <c r="AA31" i="75"/>
  <c r="Z31" i="75"/>
  <c r="Y31" i="75"/>
  <c r="X31" i="75"/>
  <c r="AB30" i="75"/>
  <c r="AA30" i="75"/>
  <c r="Z30" i="75"/>
  <c r="Y30" i="75"/>
  <c r="X30" i="75"/>
  <c r="AB29" i="75"/>
  <c r="AA29" i="75"/>
  <c r="Z29" i="75"/>
  <c r="Y29" i="75"/>
  <c r="X29" i="75"/>
  <c r="AB28" i="75"/>
  <c r="AA28" i="75"/>
  <c r="Z28" i="75"/>
  <c r="Y28" i="75"/>
  <c r="X28" i="75"/>
  <c r="AB27" i="75"/>
  <c r="AA27" i="75"/>
  <c r="Z27" i="75"/>
  <c r="Y27" i="75"/>
  <c r="X27" i="75"/>
  <c r="AB26" i="75"/>
  <c r="AA26" i="75"/>
  <c r="Z26" i="75"/>
  <c r="Y26" i="75"/>
  <c r="X26" i="75"/>
  <c r="AB25" i="75"/>
  <c r="AA25" i="75"/>
  <c r="Z25" i="75"/>
  <c r="Y25" i="75"/>
  <c r="X25" i="75"/>
  <c r="AB24" i="75"/>
  <c r="AA24" i="75"/>
  <c r="Z24" i="75"/>
  <c r="Y24" i="75"/>
  <c r="X24" i="75"/>
  <c r="AB23" i="75"/>
  <c r="AA23" i="75"/>
  <c r="Z23" i="75"/>
  <c r="Y23" i="75"/>
  <c r="X23" i="75"/>
  <c r="AB22" i="75"/>
  <c r="AA22" i="75"/>
  <c r="Z22" i="75"/>
  <c r="Y22" i="75"/>
  <c r="X22" i="75"/>
  <c r="AB21" i="75"/>
  <c r="AA21" i="75"/>
  <c r="Z21" i="75"/>
  <c r="Y21" i="75"/>
  <c r="X21" i="75"/>
  <c r="AB20" i="75"/>
  <c r="AA20" i="75"/>
  <c r="Z20" i="75"/>
  <c r="Y20" i="75"/>
  <c r="X20" i="75"/>
  <c r="AB19" i="75"/>
  <c r="AA19" i="75"/>
  <c r="Z19" i="75"/>
  <c r="Y19" i="75"/>
  <c r="X19" i="75"/>
  <c r="AB18" i="75"/>
  <c r="AA18" i="75"/>
  <c r="Z18" i="75"/>
  <c r="Y18" i="75"/>
  <c r="X18" i="75"/>
  <c r="AB17" i="75"/>
  <c r="AA17" i="75"/>
  <c r="Z17" i="75"/>
  <c r="Y17" i="75"/>
  <c r="X17" i="75"/>
  <c r="AB16" i="75"/>
  <c r="AA16" i="75"/>
  <c r="Z16" i="75"/>
  <c r="Y16" i="75"/>
  <c r="X16" i="75"/>
  <c r="AB15" i="75"/>
  <c r="AA15" i="75"/>
  <c r="Z15" i="75"/>
  <c r="Y15" i="75"/>
  <c r="X15" i="75"/>
  <c r="AB14" i="75"/>
  <c r="AA14" i="75"/>
  <c r="Z14" i="75"/>
  <c r="Y14" i="75"/>
  <c r="X14" i="75"/>
  <c r="AB13" i="75"/>
  <c r="AA13" i="75"/>
  <c r="Z13" i="75"/>
  <c r="Y13" i="75"/>
  <c r="X13" i="75"/>
  <c r="AB12" i="75"/>
  <c r="AA12" i="75"/>
  <c r="Z12" i="75"/>
  <c r="Y12" i="75"/>
  <c r="X12" i="75"/>
  <c r="AB11" i="75"/>
  <c r="AA11" i="75"/>
  <c r="Z11" i="75"/>
  <c r="Y11" i="75"/>
  <c r="X11" i="75"/>
  <c r="AB10" i="75"/>
  <c r="AA10" i="75"/>
  <c r="Z10" i="75"/>
  <c r="Y10" i="75"/>
  <c r="X10" i="75"/>
  <c r="DS47" i="75"/>
  <c r="DR47" i="75"/>
  <c r="DQ47" i="75"/>
  <c r="DP47" i="75"/>
  <c r="DO47" i="75"/>
  <c r="CJ47" i="75"/>
  <c r="CI47" i="75"/>
  <c r="CH47" i="75"/>
  <c r="CG47" i="75"/>
  <c r="CF47" i="75"/>
  <c r="DS46" i="75"/>
  <c r="DR46" i="75"/>
  <c r="DQ46" i="75"/>
  <c r="DP46" i="75"/>
  <c r="DO46" i="75"/>
  <c r="CJ46" i="75"/>
  <c r="CI46" i="75"/>
  <c r="CH46" i="75"/>
  <c r="CG46" i="75"/>
  <c r="CF46" i="75"/>
  <c r="DS45" i="75"/>
  <c r="DR45" i="75"/>
  <c r="DQ45" i="75"/>
  <c r="DP45" i="75"/>
  <c r="DO45" i="75"/>
  <c r="CJ45" i="75"/>
  <c r="CI45" i="75"/>
  <c r="CH45" i="75"/>
  <c r="CG45" i="75"/>
  <c r="CF45" i="75"/>
  <c r="DS44" i="75"/>
  <c r="DR44" i="75"/>
  <c r="DQ44" i="75"/>
  <c r="DP44" i="75"/>
  <c r="DO44" i="75"/>
  <c r="CJ44" i="75"/>
  <c r="CI44" i="75"/>
  <c r="CH44" i="75"/>
  <c r="CG44" i="75"/>
  <c r="CF44" i="75"/>
  <c r="DS43" i="75"/>
  <c r="DR43" i="75"/>
  <c r="DQ43" i="75"/>
  <c r="DP43" i="75"/>
  <c r="DO43" i="75"/>
  <c r="CJ43" i="75"/>
  <c r="CI43" i="75"/>
  <c r="CH43" i="75"/>
  <c r="CG43" i="75"/>
  <c r="CF43" i="75"/>
  <c r="DS42" i="75"/>
  <c r="DR42" i="75"/>
  <c r="DQ42" i="75"/>
  <c r="DP42" i="75"/>
  <c r="DO42" i="75"/>
  <c r="CJ42" i="75"/>
  <c r="CI42" i="75"/>
  <c r="CH42" i="75"/>
  <c r="CG42" i="75"/>
  <c r="CF42" i="75"/>
  <c r="DS41" i="75"/>
  <c r="DR41" i="75"/>
  <c r="DQ41" i="75"/>
  <c r="DP41" i="75"/>
  <c r="DO41" i="75"/>
  <c r="CJ41" i="75"/>
  <c r="CI41" i="75"/>
  <c r="CH41" i="75"/>
  <c r="CG41" i="75"/>
  <c r="CF41" i="75"/>
  <c r="DS40" i="75"/>
  <c r="DR40" i="75"/>
  <c r="DQ40" i="75"/>
  <c r="DP40" i="75"/>
  <c r="DO40" i="75"/>
  <c r="CJ40" i="75"/>
  <c r="CI40" i="75"/>
  <c r="CH40" i="75"/>
  <c r="CG40" i="75"/>
  <c r="CF40" i="75"/>
  <c r="DS39" i="75"/>
  <c r="DR39" i="75"/>
  <c r="DQ39" i="75"/>
  <c r="DP39" i="75"/>
  <c r="DO39" i="75"/>
  <c r="CJ39" i="75"/>
  <c r="CI39" i="75"/>
  <c r="CH39" i="75"/>
  <c r="CG39" i="75"/>
  <c r="CF39" i="75"/>
  <c r="DS38" i="75"/>
  <c r="DR38" i="75"/>
  <c r="DQ38" i="75"/>
  <c r="DP38" i="75"/>
  <c r="DO38" i="75"/>
  <c r="CJ38" i="75"/>
  <c r="CI38" i="75"/>
  <c r="CH38" i="75"/>
  <c r="CG38" i="75"/>
  <c r="CF38" i="75"/>
  <c r="DS37" i="75"/>
  <c r="DR37" i="75"/>
  <c r="DQ37" i="75"/>
  <c r="DP37" i="75"/>
  <c r="DO37" i="75"/>
  <c r="CJ37" i="75"/>
  <c r="CI37" i="75"/>
  <c r="CH37" i="75"/>
  <c r="CG37" i="75"/>
  <c r="CF37" i="75"/>
  <c r="DS36" i="75"/>
  <c r="DR36" i="75"/>
  <c r="DQ36" i="75"/>
  <c r="DP36" i="75"/>
  <c r="DO36" i="75"/>
  <c r="CJ36" i="75"/>
  <c r="CI36" i="75"/>
  <c r="CH36" i="75"/>
  <c r="CG36" i="75"/>
  <c r="CF36" i="75"/>
  <c r="DS35" i="75"/>
  <c r="DR35" i="75"/>
  <c r="DQ35" i="75"/>
  <c r="DP35" i="75"/>
  <c r="DO35" i="75"/>
  <c r="CJ35" i="75"/>
  <c r="CI35" i="75"/>
  <c r="CH35" i="75"/>
  <c r="CG35" i="75"/>
  <c r="CF35" i="75"/>
  <c r="DS34" i="75"/>
  <c r="DR34" i="75"/>
  <c r="DQ34" i="75"/>
  <c r="DP34" i="75"/>
  <c r="DO34" i="75"/>
  <c r="CJ34" i="75"/>
  <c r="CI34" i="75"/>
  <c r="CH34" i="75"/>
  <c r="CG34" i="75"/>
  <c r="CF34" i="75"/>
  <c r="DS33" i="75"/>
  <c r="DR33" i="75"/>
  <c r="DQ33" i="75"/>
  <c r="DP33" i="75"/>
  <c r="DO33" i="75"/>
  <c r="CJ33" i="75"/>
  <c r="CI33" i="75"/>
  <c r="CH33" i="75"/>
  <c r="CG33" i="75"/>
  <c r="CF33" i="75"/>
  <c r="DS32" i="75"/>
  <c r="DR32" i="75"/>
  <c r="DQ32" i="75"/>
  <c r="DP32" i="75"/>
  <c r="DO32" i="75"/>
  <c r="CJ32" i="75"/>
  <c r="CI32" i="75"/>
  <c r="CH32" i="75"/>
  <c r="CG32" i="75"/>
  <c r="CF32" i="75"/>
  <c r="DS31" i="75"/>
  <c r="DR31" i="75"/>
  <c r="DQ31" i="75"/>
  <c r="DP31" i="75"/>
  <c r="DO31" i="75"/>
  <c r="CJ31" i="75"/>
  <c r="CI31" i="75"/>
  <c r="CH31" i="75"/>
  <c r="CG31" i="75"/>
  <c r="CF31" i="75"/>
  <c r="DS30" i="75"/>
  <c r="DR30" i="75"/>
  <c r="DQ30" i="75"/>
  <c r="DP30" i="75"/>
  <c r="DO30" i="75"/>
  <c r="CJ30" i="75"/>
  <c r="CI30" i="75"/>
  <c r="CH30" i="75"/>
  <c r="CG30" i="75"/>
  <c r="CF30" i="75"/>
  <c r="DS29" i="75"/>
  <c r="DR29" i="75"/>
  <c r="DQ29" i="75"/>
  <c r="DP29" i="75"/>
  <c r="DO29" i="75"/>
  <c r="CJ29" i="75"/>
  <c r="CI29" i="75"/>
  <c r="CH29" i="75"/>
  <c r="CG29" i="75"/>
  <c r="CF29" i="75"/>
  <c r="DS28" i="75"/>
  <c r="DR28" i="75"/>
  <c r="DQ28" i="75"/>
  <c r="DP28" i="75"/>
  <c r="DO28" i="75"/>
  <c r="CJ28" i="75"/>
  <c r="CI28" i="75"/>
  <c r="CH28" i="75"/>
  <c r="CG28" i="75"/>
  <c r="CF28" i="75"/>
  <c r="DS27" i="75"/>
  <c r="DR27" i="75"/>
  <c r="DQ27" i="75"/>
  <c r="DP27" i="75"/>
  <c r="DO27" i="75"/>
  <c r="CJ27" i="75"/>
  <c r="CI27" i="75"/>
  <c r="CH27" i="75"/>
  <c r="CG27" i="75"/>
  <c r="CF27" i="75"/>
  <c r="DS26" i="75"/>
  <c r="DR26" i="75"/>
  <c r="DQ26" i="75"/>
  <c r="DP26" i="75"/>
  <c r="DO26" i="75"/>
  <c r="CJ26" i="75"/>
  <c r="CI26" i="75"/>
  <c r="CH26" i="75"/>
  <c r="CG26" i="75"/>
  <c r="CF26" i="75"/>
  <c r="DS25" i="75"/>
  <c r="DR25" i="75"/>
  <c r="DQ25" i="75"/>
  <c r="DP25" i="75"/>
  <c r="DO25" i="75"/>
  <c r="CJ25" i="75"/>
  <c r="CI25" i="75"/>
  <c r="CH25" i="75"/>
  <c r="CG25" i="75"/>
  <c r="CF25" i="75"/>
  <c r="DS24" i="75"/>
  <c r="DR24" i="75"/>
  <c r="DQ24" i="75"/>
  <c r="DP24" i="75"/>
  <c r="DO24" i="75"/>
  <c r="CJ24" i="75"/>
  <c r="CI24" i="75"/>
  <c r="CH24" i="75"/>
  <c r="CG24" i="75"/>
  <c r="CF24" i="75"/>
  <c r="DS23" i="75"/>
  <c r="DR23" i="75"/>
  <c r="DQ23" i="75"/>
  <c r="DP23" i="75"/>
  <c r="DO23" i="75"/>
  <c r="CJ23" i="75"/>
  <c r="CI23" i="75"/>
  <c r="CH23" i="75"/>
  <c r="CG23" i="75"/>
  <c r="CF23" i="75"/>
  <c r="DS22" i="75"/>
  <c r="DR22" i="75"/>
  <c r="DQ22" i="75"/>
  <c r="DP22" i="75"/>
  <c r="DO22" i="75"/>
  <c r="CJ22" i="75"/>
  <c r="CI22" i="75"/>
  <c r="CH22" i="75"/>
  <c r="CG22" i="75"/>
  <c r="CF22" i="75"/>
  <c r="DS21" i="75"/>
  <c r="DR21" i="75"/>
  <c r="DQ21" i="75"/>
  <c r="DP21" i="75"/>
  <c r="DO21" i="75"/>
  <c r="CJ21" i="75"/>
  <c r="CI21" i="75"/>
  <c r="CH21" i="75"/>
  <c r="CG21" i="75"/>
  <c r="CF21" i="75"/>
  <c r="DS20" i="75"/>
  <c r="DR20" i="75"/>
  <c r="DQ20" i="75"/>
  <c r="DP20" i="75"/>
  <c r="DO20" i="75"/>
  <c r="CJ20" i="75"/>
  <c r="CI20" i="75"/>
  <c r="CH20" i="75"/>
  <c r="CG20" i="75"/>
  <c r="CF20" i="75"/>
  <c r="DS19" i="75"/>
  <c r="DR19" i="75"/>
  <c r="DQ19" i="75"/>
  <c r="DP19" i="75"/>
  <c r="DO19" i="75"/>
  <c r="CJ19" i="75"/>
  <c r="CI19" i="75"/>
  <c r="CH19" i="75"/>
  <c r="CG19" i="75"/>
  <c r="CF19" i="75"/>
  <c r="DS18" i="75"/>
  <c r="DR18" i="75"/>
  <c r="DQ18" i="75"/>
  <c r="DP18" i="75"/>
  <c r="DO18" i="75"/>
  <c r="CJ18" i="75"/>
  <c r="CI18" i="75"/>
  <c r="CH18" i="75"/>
  <c r="CG18" i="75"/>
  <c r="CF18" i="75"/>
  <c r="DS17" i="75"/>
  <c r="DR17" i="75"/>
  <c r="DQ17" i="75"/>
  <c r="DP17" i="75"/>
  <c r="DO17" i="75"/>
  <c r="CJ17" i="75"/>
  <c r="CI17" i="75"/>
  <c r="CH17" i="75"/>
  <c r="CG17" i="75"/>
  <c r="CF17" i="75"/>
  <c r="DS16" i="75"/>
  <c r="DR16" i="75"/>
  <c r="DQ16" i="75"/>
  <c r="DP16" i="75"/>
  <c r="DO16" i="75"/>
  <c r="CJ16" i="75"/>
  <c r="CI16" i="75"/>
  <c r="CH16" i="75"/>
  <c r="CG16" i="75"/>
  <c r="CF16" i="75"/>
  <c r="DS15" i="75"/>
  <c r="DR15" i="75"/>
  <c r="DQ15" i="75"/>
  <c r="DP15" i="75"/>
  <c r="DO15" i="75"/>
  <c r="CJ15" i="75"/>
  <c r="CI15" i="75"/>
  <c r="CH15" i="75"/>
  <c r="CG15" i="75"/>
  <c r="CF15" i="75"/>
  <c r="DS14" i="75"/>
  <c r="DR14" i="75"/>
  <c r="DQ14" i="75"/>
  <c r="DP14" i="75"/>
  <c r="DO14" i="75"/>
  <c r="CJ14" i="75"/>
  <c r="CI14" i="75"/>
  <c r="CH14" i="75"/>
  <c r="CG14" i="75"/>
  <c r="CF14" i="75"/>
  <c r="DS13" i="75"/>
  <c r="DR13" i="75"/>
  <c r="DQ13" i="75"/>
  <c r="DP13" i="75"/>
  <c r="DO13" i="75"/>
  <c r="CJ13" i="75"/>
  <c r="CI13" i="75"/>
  <c r="CH13" i="75"/>
  <c r="CG13" i="75"/>
  <c r="CF13" i="75"/>
  <c r="DS12" i="75"/>
  <c r="DR12" i="75"/>
  <c r="DQ12" i="75"/>
  <c r="DP12" i="75"/>
  <c r="DO12" i="75"/>
  <c r="CJ12" i="75"/>
  <c r="CI12" i="75"/>
  <c r="CH12" i="75"/>
  <c r="CG12" i="75"/>
  <c r="CF12" i="75"/>
  <c r="DS11" i="75"/>
  <c r="DR11" i="75"/>
  <c r="DQ11" i="75"/>
  <c r="DP11" i="75"/>
  <c r="DO11" i="75"/>
  <c r="CJ11" i="75"/>
  <c r="CI11" i="75"/>
  <c r="CH11" i="75"/>
  <c r="CG11" i="75"/>
  <c r="CF11" i="75"/>
  <c r="DS10" i="75"/>
  <c r="DR10" i="75"/>
  <c r="DQ10" i="75"/>
  <c r="DP10" i="75"/>
  <c r="DO10" i="75"/>
  <c r="CJ10" i="75"/>
  <c r="CI10" i="75"/>
  <c r="CH10" i="75"/>
  <c r="CG10" i="75"/>
  <c r="CF10" i="75"/>
  <c r="DN47" i="75"/>
  <c r="DM47" i="75"/>
  <c r="DL47" i="75"/>
  <c r="DK47" i="75"/>
  <c r="DJ47" i="75"/>
  <c r="CE47" i="75"/>
  <c r="CD47" i="75"/>
  <c r="CC47" i="75"/>
  <c r="CB47" i="75"/>
  <c r="CA47" i="75"/>
  <c r="DN46" i="75"/>
  <c r="DM46" i="75"/>
  <c r="DL46" i="75"/>
  <c r="DK46" i="75"/>
  <c r="DJ46" i="75"/>
  <c r="CE46" i="75"/>
  <c r="CD46" i="75"/>
  <c r="CC46" i="75"/>
  <c r="CB46" i="75"/>
  <c r="CA46" i="75"/>
  <c r="DN45" i="75"/>
  <c r="DM45" i="75"/>
  <c r="DL45" i="75"/>
  <c r="DK45" i="75"/>
  <c r="DJ45" i="75"/>
  <c r="CE45" i="75"/>
  <c r="CD45" i="75"/>
  <c r="CC45" i="75"/>
  <c r="CB45" i="75"/>
  <c r="CA45" i="75"/>
  <c r="DN44" i="75"/>
  <c r="DM44" i="75"/>
  <c r="DL44" i="75"/>
  <c r="DK44" i="75"/>
  <c r="DJ44" i="75"/>
  <c r="CE44" i="75"/>
  <c r="CD44" i="75"/>
  <c r="CC44" i="75"/>
  <c r="CB44" i="75"/>
  <c r="CA44" i="75"/>
  <c r="DN43" i="75"/>
  <c r="DM43" i="75"/>
  <c r="DL43" i="75"/>
  <c r="DK43" i="75"/>
  <c r="DJ43" i="75"/>
  <c r="CE43" i="75"/>
  <c r="CD43" i="75"/>
  <c r="CC43" i="75"/>
  <c r="CB43" i="75"/>
  <c r="CA43" i="75"/>
  <c r="DN42" i="75"/>
  <c r="DM42" i="75"/>
  <c r="DL42" i="75"/>
  <c r="DK42" i="75"/>
  <c r="DJ42" i="75"/>
  <c r="CE42" i="75"/>
  <c r="CD42" i="75"/>
  <c r="CC42" i="75"/>
  <c r="CB42" i="75"/>
  <c r="CA42" i="75"/>
  <c r="DN41" i="75"/>
  <c r="DM41" i="75"/>
  <c r="DL41" i="75"/>
  <c r="DK41" i="75"/>
  <c r="DJ41" i="75"/>
  <c r="CE41" i="75"/>
  <c r="CD41" i="75"/>
  <c r="CC41" i="75"/>
  <c r="CB41" i="75"/>
  <c r="CA41" i="75"/>
  <c r="DN40" i="75"/>
  <c r="DM40" i="75"/>
  <c r="DL40" i="75"/>
  <c r="DK40" i="75"/>
  <c r="DJ40" i="75"/>
  <c r="CE40" i="75"/>
  <c r="CD40" i="75"/>
  <c r="CC40" i="75"/>
  <c r="CB40" i="75"/>
  <c r="CA40" i="75"/>
  <c r="DN39" i="75"/>
  <c r="DM39" i="75"/>
  <c r="DL39" i="75"/>
  <c r="DK39" i="75"/>
  <c r="DJ39" i="75"/>
  <c r="CE39" i="75"/>
  <c r="CD39" i="75"/>
  <c r="CC39" i="75"/>
  <c r="CB39" i="75"/>
  <c r="CA39" i="75"/>
  <c r="DN38" i="75"/>
  <c r="DM38" i="75"/>
  <c r="DL38" i="75"/>
  <c r="DK38" i="75"/>
  <c r="DJ38" i="75"/>
  <c r="CE38" i="75"/>
  <c r="CD38" i="75"/>
  <c r="CC38" i="75"/>
  <c r="CB38" i="75"/>
  <c r="CA38" i="75"/>
  <c r="DN37" i="75"/>
  <c r="DM37" i="75"/>
  <c r="DL37" i="75"/>
  <c r="DK37" i="75"/>
  <c r="DJ37" i="75"/>
  <c r="CE37" i="75"/>
  <c r="CD37" i="75"/>
  <c r="CC37" i="75"/>
  <c r="CB37" i="75"/>
  <c r="CA37" i="75"/>
  <c r="DN36" i="75"/>
  <c r="DM36" i="75"/>
  <c r="DL36" i="75"/>
  <c r="DK36" i="75"/>
  <c r="DJ36" i="75"/>
  <c r="CE36" i="75"/>
  <c r="CD36" i="75"/>
  <c r="CC36" i="75"/>
  <c r="CB36" i="75"/>
  <c r="CA36" i="75"/>
  <c r="DN35" i="75"/>
  <c r="DM35" i="75"/>
  <c r="DL35" i="75"/>
  <c r="DK35" i="75"/>
  <c r="DJ35" i="75"/>
  <c r="CE35" i="75"/>
  <c r="CD35" i="75"/>
  <c r="CC35" i="75"/>
  <c r="CB35" i="75"/>
  <c r="CA35" i="75"/>
  <c r="DN34" i="75"/>
  <c r="DM34" i="75"/>
  <c r="DL34" i="75"/>
  <c r="DK34" i="75"/>
  <c r="DJ34" i="75"/>
  <c r="CE34" i="75"/>
  <c r="CD34" i="75"/>
  <c r="CC34" i="75"/>
  <c r="CB34" i="75"/>
  <c r="CA34" i="75"/>
  <c r="DN33" i="75"/>
  <c r="DM33" i="75"/>
  <c r="DL33" i="75"/>
  <c r="DK33" i="75"/>
  <c r="DJ33" i="75"/>
  <c r="CE33" i="75"/>
  <c r="CD33" i="75"/>
  <c r="CC33" i="75"/>
  <c r="CB33" i="75"/>
  <c r="CA33" i="75"/>
  <c r="DN32" i="75"/>
  <c r="DM32" i="75"/>
  <c r="DL32" i="75"/>
  <c r="DK32" i="75"/>
  <c r="DJ32" i="75"/>
  <c r="CE32" i="75"/>
  <c r="CD32" i="75"/>
  <c r="CC32" i="75"/>
  <c r="CB32" i="75"/>
  <c r="CA32" i="75"/>
  <c r="DN31" i="75"/>
  <c r="DM31" i="75"/>
  <c r="DL31" i="75"/>
  <c r="DK31" i="75"/>
  <c r="DJ31" i="75"/>
  <c r="CE31" i="75"/>
  <c r="CD31" i="75"/>
  <c r="CC31" i="75"/>
  <c r="CB31" i="75"/>
  <c r="CA31" i="75"/>
  <c r="DN30" i="75"/>
  <c r="DM30" i="75"/>
  <c r="DL30" i="75"/>
  <c r="DK30" i="75"/>
  <c r="DJ30" i="75"/>
  <c r="CE30" i="75"/>
  <c r="CD30" i="75"/>
  <c r="CC30" i="75"/>
  <c r="CB30" i="75"/>
  <c r="CA30" i="75"/>
  <c r="DN29" i="75"/>
  <c r="DM29" i="75"/>
  <c r="DL29" i="75"/>
  <c r="DK29" i="75"/>
  <c r="DJ29" i="75"/>
  <c r="CE29" i="75"/>
  <c r="CD29" i="75"/>
  <c r="CC29" i="75"/>
  <c r="CB29" i="75"/>
  <c r="CA29" i="75"/>
  <c r="DN28" i="75"/>
  <c r="DM28" i="75"/>
  <c r="DL28" i="75"/>
  <c r="DK28" i="75"/>
  <c r="DJ28" i="75"/>
  <c r="CE28" i="75"/>
  <c r="CD28" i="75"/>
  <c r="CC28" i="75"/>
  <c r="CB28" i="75"/>
  <c r="CA28" i="75"/>
  <c r="DN27" i="75"/>
  <c r="DM27" i="75"/>
  <c r="DL27" i="75"/>
  <c r="DK27" i="75"/>
  <c r="DJ27" i="75"/>
  <c r="CE27" i="75"/>
  <c r="CD27" i="75"/>
  <c r="CC27" i="75"/>
  <c r="CB27" i="75"/>
  <c r="CA27" i="75"/>
  <c r="DN26" i="75"/>
  <c r="DM26" i="75"/>
  <c r="DL26" i="75"/>
  <c r="DK26" i="75"/>
  <c r="DJ26" i="75"/>
  <c r="CE26" i="75"/>
  <c r="CD26" i="75"/>
  <c r="CC26" i="75"/>
  <c r="CB26" i="75"/>
  <c r="CA26" i="75"/>
  <c r="DN25" i="75"/>
  <c r="DM25" i="75"/>
  <c r="DL25" i="75"/>
  <c r="DK25" i="75"/>
  <c r="DJ25" i="75"/>
  <c r="CE25" i="75"/>
  <c r="CD25" i="75"/>
  <c r="CC25" i="75"/>
  <c r="CB25" i="75"/>
  <c r="CA25" i="75"/>
  <c r="DN24" i="75"/>
  <c r="DM24" i="75"/>
  <c r="DL24" i="75"/>
  <c r="DK24" i="75"/>
  <c r="DJ24" i="75"/>
  <c r="CE24" i="75"/>
  <c r="CD24" i="75"/>
  <c r="CC24" i="75"/>
  <c r="CB24" i="75"/>
  <c r="CA24" i="75"/>
  <c r="DN23" i="75"/>
  <c r="DM23" i="75"/>
  <c r="DL23" i="75"/>
  <c r="DK23" i="75"/>
  <c r="DJ23" i="75"/>
  <c r="CE23" i="75"/>
  <c r="CD23" i="75"/>
  <c r="CC23" i="75"/>
  <c r="CB23" i="75"/>
  <c r="CA23" i="75"/>
  <c r="DN22" i="75"/>
  <c r="DM22" i="75"/>
  <c r="DL22" i="75"/>
  <c r="DK22" i="75"/>
  <c r="DJ22" i="75"/>
  <c r="CE22" i="75"/>
  <c r="CD22" i="75"/>
  <c r="CC22" i="75"/>
  <c r="CB22" i="75"/>
  <c r="CA22" i="75"/>
  <c r="DN21" i="75"/>
  <c r="DM21" i="75"/>
  <c r="DL21" i="75"/>
  <c r="DK21" i="75"/>
  <c r="DJ21" i="75"/>
  <c r="CE21" i="75"/>
  <c r="CD21" i="75"/>
  <c r="CC21" i="75"/>
  <c r="CB21" i="75"/>
  <c r="CA21" i="75"/>
  <c r="DN20" i="75"/>
  <c r="DM20" i="75"/>
  <c r="DL20" i="75"/>
  <c r="DK20" i="75"/>
  <c r="DJ20" i="75"/>
  <c r="CE20" i="75"/>
  <c r="CD20" i="75"/>
  <c r="CC20" i="75"/>
  <c r="CB20" i="75"/>
  <c r="CA20" i="75"/>
  <c r="DN19" i="75"/>
  <c r="DM19" i="75"/>
  <c r="DL19" i="75"/>
  <c r="DK19" i="75"/>
  <c r="DJ19" i="75"/>
  <c r="CE19" i="75"/>
  <c r="CD19" i="75"/>
  <c r="CC19" i="75"/>
  <c r="CB19" i="75"/>
  <c r="CA19" i="75"/>
  <c r="DN18" i="75"/>
  <c r="DM18" i="75"/>
  <c r="DL18" i="75"/>
  <c r="DK18" i="75"/>
  <c r="DJ18" i="75"/>
  <c r="CE18" i="75"/>
  <c r="CD18" i="75"/>
  <c r="CC18" i="75"/>
  <c r="CB18" i="75"/>
  <c r="CA18" i="75"/>
  <c r="DN17" i="75"/>
  <c r="DM17" i="75"/>
  <c r="DL17" i="75"/>
  <c r="DK17" i="75"/>
  <c r="DJ17" i="75"/>
  <c r="CE17" i="75"/>
  <c r="CD17" i="75"/>
  <c r="CC17" i="75"/>
  <c r="CB17" i="75"/>
  <c r="CA17" i="75"/>
  <c r="DN16" i="75"/>
  <c r="DM16" i="75"/>
  <c r="DL16" i="75"/>
  <c r="DK16" i="75"/>
  <c r="DJ16" i="75"/>
  <c r="CE16" i="75"/>
  <c r="CD16" i="75"/>
  <c r="CC16" i="75"/>
  <c r="CB16" i="75"/>
  <c r="CA16" i="75"/>
  <c r="DN15" i="75"/>
  <c r="DM15" i="75"/>
  <c r="DL15" i="75"/>
  <c r="DK15" i="75"/>
  <c r="DJ15" i="75"/>
  <c r="CE15" i="75"/>
  <c r="CD15" i="75"/>
  <c r="CC15" i="75"/>
  <c r="CB15" i="75"/>
  <c r="CA15" i="75"/>
  <c r="DN14" i="75"/>
  <c r="DM14" i="75"/>
  <c r="DL14" i="75"/>
  <c r="DK14" i="75"/>
  <c r="DJ14" i="75"/>
  <c r="CE14" i="75"/>
  <c r="CD14" i="75"/>
  <c r="CC14" i="75"/>
  <c r="CB14" i="75"/>
  <c r="CA14" i="75"/>
  <c r="DN13" i="75"/>
  <c r="DM13" i="75"/>
  <c r="DL13" i="75"/>
  <c r="DK13" i="75"/>
  <c r="DJ13" i="75"/>
  <c r="CE13" i="75"/>
  <c r="CD13" i="75"/>
  <c r="CC13" i="75"/>
  <c r="CB13" i="75"/>
  <c r="CA13" i="75"/>
  <c r="DN12" i="75"/>
  <c r="DM12" i="75"/>
  <c r="DL12" i="75"/>
  <c r="DK12" i="75"/>
  <c r="DJ12" i="75"/>
  <c r="CE12" i="75"/>
  <c r="CD12" i="75"/>
  <c r="CC12" i="75"/>
  <c r="CB12" i="75"/>
  <c r="CA12" i="75"/>
  <c r="DN11" i="75"/>
  <c r="DM11" i="75"/>
  <c r="DL11" i="75"/>
  <c r="DK11" i="75"/>
  <c r="DJ11" i="75"/>
  <c r="CE11" i="75"/>
  <c r="CD11" i="75"/>
  <c r="CC11" i="75"/>
  <c r="CB11" i="75"/>
  <c r="CA11" i="75"/>
  <c r="DN10" i="75"/>
  <c r="DM10" i="75"/>
  <c r="DL10" i="75"/>
  <c r="DK10" i="75"/>
  <c r="DJ10" i="75"/>
  <c r="CE10" i="75"/>
  <c r="CD10" i="75"/>
  <c r="CC10" i="75"/>
  <c r="CB10" i="75"/>
  <c r="CA10" i="75"/>
  <c r="HO47" i="75"/>
  <c r="HN47" i="75"/>
  <c r="HM47" i="75"/>
  <c r="HL47" i="75"/>
  <c r="HK47" i="75"/>
  <c r="GZ47" i="75"/>
  <c r="GY47" i="75"/>
  <c r="GX47" i="75"/>
  <c r="GW47" i="75"/>
  <c r="GV47" i="75"/>
  <c r="GK47" i="75"/>
  <c r="GJ47" i="75"/>
  <c r="GI47" i="75"/>
  <c r="GH47" i="75"/>
  <c r="GG47" i="75"/>
  <c r="HO46" i="75"/>
  <c r="HN46" i="75"/>
  <c r="HM46" i="75"/>
  <c r="HL46" i="75"/>
  <c r="HK46" i="75"/>
  <c r="GZ46" i="75"/>
  <c r="GY46" i="75"/>
  <c r="GX46" i="75"/>
  <c r="GW46" i="75"/>
  <c r="GV46" i="75"/>
  <c r="GK46" i="75"/>
  <c r="GJ46" i="75"/>
  <c r="GI46" i="75"/>
  <c r="GH46" i="75"/>
  <c r="GG46" i="75"/>
  <c r="HO45" i="75"/>
  <c r="HN45" i="75"/>
  <c r="HM45" i="75"/>
  <c r="HL45" i="75"/>
  <c r="HK45" i="75"/>
  <c r="GZ45" i="75"/>
  <c r="GY45" i="75"/>
  <c r="GX45" i="75"/>
  <c r="GW45" i="75"/>
  <c r="GV45" i="75"/>
  <c r="GK45" i="75"/>
  <c r="GJ45" i="75"/>
  <c r="GI45" i="75"/>
  <c r="GH45" i="75"/>
  <c r="GG45" i="75"/>
  <c r="HO44" i="75"/>
  <c r="HN44" i="75"/>
  <c r="HM44" i="75"/>
  <c r="HL44" i="75"/>
  <c r="HK44" i="75"/>
  <c r="GZ44" i="75"/>
  <c r="GY44" i="75"/>
  <c r="GX44" i="75"/>
  <c r="GW44" i="75"/>
  <c r="GV44" i="75"/>
  <c r="GK44" i="75"/>
  <c r="GJ44" i="75"/>
  <c r="GI44" i="75"/>
  <c r="GH44" i="75"/>
  <c r="GG44" i="75"/>
  <c r="HO43" i="75"/>
  <c r="HN43" i="75"/>
  <c r="HM43" i="75"/>
  <c r="HL43" i="75"/>
  <c r="HK43" i="75"/>
  <c r="GZ43" i="75"/>
  <c r="GY43" i="75"/>
  <c r="GX43" i="75"/>
  <c r="GW43" i="75"/>
  <c r="GV43" i="75"/>
  <c r="GK43" i="75"/>
  <c r="GJ43" i="75"/>
  <c r="GI43" i="75"/>
  <c r="GH43" i="75"/>
  <c r="GG43" i="75"/>
  <c r="HO42" i="75"/>
  <c r="HN42" i="75"/>
  <c r="HM42" i="75"/>
  <c r="HL42" i="75"/>
  <c r="HK42" i="75"/>
  <c r="GZ42" i="75"/>
  <c r="GY42" i="75"/>
  <c r="GX42" i="75"/>
  <c r="GW42" i="75"/>
  <c r="GV42" i="75"/>
  <c r="GK42" i="75"/>
  <c r="GJ42" i="75"/>
  <c r="GI42" i="75"/>
  <c r="GH42" i="75"/>
  <c r="GG42" i="75"/>
  <c r="HO41" i="75"/>
  <c r="HN41" i="75"/>
  <c r="HM41" i="75"/>
  <c r="HL41" i="75"/>
  <c r="HK41" i="75"/>
  <c r="GZ41" i="75"/>
  <c r="GY41" i="75"/>
  <c r="GX41" i="75"/>
  <c r="GW41" i="75"/>
  <c r="GV41" i="75"/>
  <c r="GK41" i="75"/>
  <c r="GJ41" i="75"/>
  <c r="GI41" i="75"/>
  <c r="GH41" i="75"/>
  <c r="GG41" i="75"/>
  <c r="HO40" i="75"/>
  <c r="HN40" i="75"/>
  <c r="HM40" i="75"/>
  <c r="HL40" i="75"/>
  <c r="HK40" i="75"/>
  <c r="GZ40" i="75"/>
  <c r="GY40" i="75"/>
  <c r="GX40" i="75"/>
  <c r="GW40" i="75"/>
  <c r="GV40" i="75"/>
  <c r="GK40" i="75"/>
  <c r="GJ40" i="75"/>
  <c r="GI40" i="75"/>
  <c r="GH40" i="75"/>
  <c r="GG40" i="75"/>
  <c r="HO39" i="75"/>
  <c r="HN39" i="75"/>
  <c r="HM39" i="75"/>
  <c r="HL39" i="75"/>
  <c r="HK39" i="75"/>
  <c r="GZ39" i="75"/>
  <c r="GY39" i="75"/>
  <c r="GX39" i="75"/>
  <c r="GW39" i="75"/>
  <c r="GV39" i="75"/>
  <c r="GK39" i="75"/>
  <c r="GJ39" i="75"/>
  <c r="GI39" i="75"/>
  <c r="GH39" i="75"/>
  <c r="GG39" i="75"/>
  <c r="HO38" i="75"/>
  <c r="HN38" i="75"/>
  <c r="HM38" i="75"/>
  <c r="HL38" i="75"/>
  <c r="HK38" i="75"/>
  <c r="GZ38" i="75"/>
  <c r="GY38" i="75"/>
  <c r="GX38" i="75"/>
  <c r="GW38" i="75"/>
  <c r="GV38" i="75"/>
  <c r="GK38" i="75"/>
  <c r="GJ38" i="75"/>
  <c r="GI38" i="75"/>
  <c r="GH38" i="75"/>
  <c r="GG38" i="75"/>
  <c r="HO37" i="75"/>
  <c r="HN37" i="75"/>
  <c r="HM37" i="75"/>
  <c r="HL37" i="75"/>
  <c r="HK37" i="75"/>
  <c r="GZ37" i="75"/>
  <c r="GY37" i="75"/>
  <c r="GX37" i="75"/>
  <c r="GW37" i="75"/>
  <c r="GV37" i="75"/>
  <c r="GK37" i="75"/>
  <c r="GJ37" i="75"/>
  <c r="GI37" i="75"/>
  <c r="GH37" i="75"/>
  <c r="GG37" i="75"/>
  <c r="HO36" i="75"/>
  <c r="HN36" i="75"/>
  <c r="HM36" i="75"/>
  <c r="HL36" i="75"/>
  <c r="HK36" i="75"/>
  <c r="GZ36" i="75"/>
  <c r="GY36" i="75"/>
  <c r="GX36" i="75"/>
  <c r="GW36" i="75"/>
  <c r="GV36" i="75"/>
  <c r="GK36" i="75"/>
  <c r="GJ36" i="75"/>
  <c r="GI36" i="75"/>
  <c r="GH36" i="75"/>
  <c r="GG36" i="75"/>
  <c r="HO35" i="75"/>
  <c r="HN35" i="75"/>
  <c r="HM35" i="75"/>
  <c r="HL35" i="75"/>
  <c r="HK35" i="75"/>
  <c r="GZ35" i="75"/>
  <c r="GY35" i="75"/>
  <c r="GX35" i="75"/>
  <c r="GW35" i="75"/>
  <c r="GV35" i="75"/>
  <c r="GK35" i="75"/>
  <c r="GJ35" i="75"/>
  <c r="GI35" i="75"/>
  <c r="GH35" i="75"/>
  <c r="GG35" i="75"/>
  <c r="HO34" i="75"/>
  <c r="HN34" i="75"/>
  <c r="HM34" i="75"/>
  <c r="HL34" i="75"/>
  <c r="HK34" i="75"/>
  <c r="GZ34" i="75"/>
  <c r="GY34" i="75"/>
  <c r="GX34" i="75"/>
  <c r="GW34" i="75"/>
  <c r="GV34" i="75"/>
  <c r="GK34" i="75"/>
  <c r="GJ34" i="75"/>
  <c r="GI34" i="75"/>
  <c r="GH34" i="75"/>
  <c r="GG34" i="75"/>
  <c r="HO33" i="75"/>
  <c r="HN33" i="75"/>
  <c r="HM33" i="75"/>
  <c r="HL33" i="75"/>
  <c r="HK33" i="75"/>
  <c r="GZ33" i="75"/>
  <c r="GY33" i="75"/>
  <c r="GX33" i="75"/>
  <c r="GW33" i="75"/>
  <c r="GV33" i="75"/>
  <c r="GK33" i="75"/>
  <c r="GJ33" i="75"/>
  <c r="GI33" i="75"/>
  <c r="GH33" i="75"/>
  <c r="GG33" i="75"/>
  <c r="HO32" i="75"/>
  <c r="HN32" i="75"/>
  <c r="HM32" i="75"/>
  <c r="HL32" i="75"/>
  <c r="HK32" i="75"/>
  <c r="GZ32" i="75"/>
  <c r="GY32" i="75"/>
  <c r="GX32" i="75"/>
  <c r="GW32" i="75"/>
  <c r="GV32" i="75"/>
  <c r="GK32" i="75"/>
  <c r="GJ32" i="75"/>
  <c r="GI32" i="75"/>
  <c r="GH32" i="75"/>
  <c r="GG32" i="75"/>
  <c r="HO31" i="75"/>
  <c r="HN31" i="75"/>
  <c r="HM31" i="75"/>
  <c r="HL31" i="75"/>
  <c r="HK31" i="75"/>
  <c r="GZ31" i="75"/>
  <c r="GY31" i="75"/>
  <c r="GX31" i="75"/>
  <c r="GW31" i="75"/>
  <c r="GV31" i="75"/>
  <c r="GK31" i="75"/>
  <c r="GJ31" i="75"/>
  <c r="GI31" i="75"/>
  <c r="GH31" i="75"/>
  <c r="GG31" i="75"/>
  <c r="HO30" i="75"/>
  <c r="HN30" i="75"/>
  <c r="HM30" i="75"/>
  <c r="HL30" i="75"/>
  <c r="HK30" i="75"/>
  <c r="GZ30" i="75"/>
  <c r="GY30" i="75"/>
  <c r="GX30" i="75"/>
  <c r="GW30" i="75"/>
  <c r="GV30" i="75"/>
  <c r="GK30" i="75"/>
  <c r="GJ30" i="75"/>
  <c r="GI30" i="75"/>
  <c r="GH30" i="75"/>
  <c r="GG30" i="75"/>
  <c r="HO29" i="75"/>
  <c r="HN29" i="75"/>
  <c r="HM29" i="75"/>
  <c r="HL29" i="75"/>
  <c r="HK29" i="75"/>
  <c r="GZ29" i="75"/>
  <c r="GY29" i="75"/>
  <c r="GX29" i="75"/>
  <c r="GW29" i="75"/>
  <c r="GV29" i="75"/>
  <c r="GK29" i="75"/>
  <c r="GJ29" i="75"/>
  <c r="GI29" i="75"/>
  <c r="GH29" i="75"/>
  <c r="GG29" i="75"/>
  <c r="HO28" i="75"/>
  <c r="HN28" i="75"/>
  <c r="HM28" i="75"/>
  <c r="HL28" i="75"/>
  <c r="HK28" i="75"/>
  <c r="GZ28" i="75"/>
  <c r="GY28" i="75"/>
  <c r="GX28" i="75"/>
  <c r="GW28" i="75"/>
  <c r="GV28" i="75"/>
  <c r="GK28" i="75"/>
  <c r="GJ28" i="75"/>
  <c r="GI28" i="75"/>
  <c r="GH28" i="75"/>
  <c r="GG28" i="75"/>
  <c r="HO27" i="75"/>
  <c r="HN27" i="75"/>
  <c r="HM27" i="75"/>
  <c r="HL27" i="75"/>
  <c r="HK27" i="75"/>
  <c r="GZ27" i="75"/>
  <c r="GY27" i="75"/>
  <c r="GX27" i="75"/>
  <c r="GW27" i="75"/>
  <c r="GV27" i="75"/>
  <c r="GK27" i="75"/>
  <c r="GJ27" i="75"/>
  <c r="GI27" i="75"/>
  <c r="GH27" i="75"/>
  <c r="GG27" i="75"/>
  <c r="HO26" i="75"/>
  <c r="HN26" i="75"/>
  <c r="HM26" i="75"/>
  <c r="HL26" i="75"/>
  <c r="HK26" i="75"/>
  <c r="GZ26" i="75"/>
  <c r="GY26" i="75"/>
  <c r="GX26" i="75"/>
  <c r="GW26" i="75"/>
  <c r="GV26" i="75"/>
  <c r="GK26" i="75"/>
  <c r="GJ26" i="75"/>
  <c r="GI26" i="75"/>
  <c r="GH26" i="75"/>
  <c r="GG26" i="75"/>
  <c r="HO25" i="75"/>
  <c r="HN25" i="75"/>
  <c r="HM25" i="75"/>
  <c r="HL25" i="75"/>
  <c r="HK25" i="75"/>
  <c r="GZ25" i="75"/>
  <c r="GY25" i="75"/>
  <c r="GX25" i="75"/>
  <c r="GW25" i="75"/>
  <c r="GV25" i="75"/>
  <c r="GK25" i="75"/>
  <c r="GJ25" i="75"/>
  <c r="GI25" i="75"/>
  <c r="GH25" i="75"/>
  <c r="GG25" i="75"/>
  <c r="HO24" i="75"/>
  <c r="HN24" i="75"/>
  <c r="HM24" i="75"/>
  <c r="HL24" i="75"/>
  <c r="HK24" i="75"/>
  <c r="GZ24" i="75"/>
  <c r="GY24" i="75"/>
  <c r="GX24" i="75"/>
  <c r="GW24" i="75"/>
  <c r="GV24" i="75"/>
  <c r="GK24" i="75"/>
  <c r="GJ24" i="75"/>
  <c r="GI24" i="75"/>
  <c r="GH24" i="75"/>
  <c r="GG24" i="75"/>
  <c r="HO23" i="75"/>
  <c r="HN23" i="75"/>
  <c r="HM23" i="75"/>
  <c r="HL23" i="75"/>
  <c r="HK23" i="75"/>
  <c r="GZ23" i="75"/>
  <c r="GY23" i="75"/>
  <c r="GX23" i="75"/>
  <c r="GW23" i="75"/>
  <c r="GV23" i="75"/>
  <c r="GK23" i="75"/>
  <c r="GJ23" i="75"/>
  <c r="GI23" i="75"/>
  <c r="GH23" i="75"/>
  <c r="GG23" i="75"/>
  <c r="HO22" i="75"/>
  <c r="HN22" i="75"/>
  <c r="HM22" i="75"/>
  <c r="HL22" i="75"/>
  <c r="HK22" i="75"/>
  <c r="GZ22" i="75"/>
  <c r="GY22" i="75"/>
  <c r="GX22" i="75"/>
  <c r="GW22" i="75"/>
  <c r="GV22" i="75"/>
  <c r="GK22" i="75"/>
  <c r="GJ22" i="75"/>
  <c r="GI22" i="75"/>
  <c r="GH22" i="75"/>
  <c r="GG22" i="75"/>
  <c r="HO21" i="75"/>
  <c r="HN21" i="75"/>
  <c r="HM21" i="75"/>
  <c r="HL21" i="75"/>
  <c r="HK21" i="75"/>
  <c r="GZ21" i="75"/>
  <c r="GY21" i="75"/>
  <c r="GX21" i="75"/>
  <c r="GW21" i="75"/>
  <c r="GV21" i="75"/>
  <c r="GK21" i="75"/>
  <c r="GJ21" i="75"/>
  <c r="GI21" i="75"/>
  <c r="GH21" i="75"/>
  <c r="GG21" i="75"/>
  <c r="HO20" i="75"/>
  <c r="HN20" i="75"/>
  <c r="HM20" i="75"/>
  <c r="HL20" i="75"/>
  <c r="HK20" i="75"/>
  <c r="GZ20" i="75"/>
  <c r="GY20" i="75"/>
  <c r="GX20" i="75"/>
  <c r="GW20" i="75"/>
  <c r="GV20" i="75"/>
  <c r="GK20" i="75"/>
  <c r="GJ20" i="75"/>
  <c r="GI20" i="75"/>
  <c r="GH20" i="75"/>
  <c r="GG20" i="75"/>
  <c r="HO19" i="75"/>
  <c r="HN19" i="75"/>
  <c r="HM19" i="75"/>
  <c r="HL19" i="75"/>
  <c r="HK19" i="75"/>
  <c r="GZ19" i="75"/>
  <c r="GY19" i="75"/>
  <c r="GX19" i="75"/>
  <c r="GW19" i="75"/>
  <c r="GV19" i="75"/>
  <c r="GK19" i="75"/>
  <c r="GJ19" i="75"/>
  <c r="GI19" i="75"/>
  <c r="GH19" i="75"/>
  <c r="GG19" i="75"/>
  <c r="HO18" i="75"/>
  <c r="HN18" i="75"/>
  <c r="HM18" i="75"/>
  <c r="HL18" i="75"/>
  <c r="HK18" i="75"/>
  <c r="GZ18" i="75"/>
  <c r="GY18" i="75"/>
  <c r="GX18" i="75"/>
  <c r="GW18" i="75"/>
  <c r="GV18" i="75"/>
  <c r="GK18" i="75"/>
  <c r="GJ18" i="75"/>
  <c r="GI18" i="75"/>
  <c r="GH18" i="75"/>
  <c r="GG18" i="75"/>
  <c r="HO17" i="75"/>
  <c r="HN17" i="75"/>
  <c r="HM17" i="75"/>
  <c r="HL17" i="75"/>
  <c r="HK17" i="75"/>
  <c r="GZ17" i="75"/>
  <c r="GY17" i="75"/>
  <c r="GX17" i="75"/>
  <c r="GW17" i="75"/>
  <c r="GV17" i="75"/>
  <c r="GK17" i="75"/>
  <c r="GJ17" i="75"/>
  <c r="GI17" i="75"/>
  <c r="GH17" i="75"/>
  <c r="GG17" i="75"/>
  <c r="HO16" i="75"/>
  <c r="HN16" i="75"/>
  <c r="HM16" i="75"/>
  <c r="HL16" i="75"/>
  <c r="HK16" i="75"/>
  <c r="GZ16" i="75"/>
  <c r="GY16" i="75"/>
  <c r="GX16" i="75"/>
  <c r="GW16" i="75"/>
  <c r="GV16" i="75"/>
  <c r="GK16" i="75"/>
  <c r="GJ16" i="75"/>
  <c r="GI16" i="75"/>
  <c r="GH16" i="75"/>
  <c r="GG16" i="75"/>
  <c r="HO15" i="75"/>
  <c r="HN15" i="75"/>
  <c r="HM15" i="75"/>
  <c r="HL15" i="75"/>
  <c r="HK15" i="75"/>
  <c r="GZ15" i="75"/>
  <c r="GY15" i="75"/>
  <c r="GX15" i="75"/>
  <c r="GW15" i="75"/>
  <c r="GV15" i="75"/>
  <c r="GK15" i="75"/>
  <c r="GJ15" i="75"/>
  <c r="GI15" i="75"/>
  <c r="GH15" i="75"/>
  <c r="GG15" i="75"/>
  <c r="HO14" i="75"/>
  <c r="HN14" i="75"/>
  <c r="HM14" i="75"/>
  <c r="HL14" i="75"/>
  <c r="HK14" i="75"/>
  <c r="GZ14" i="75"/>
  <c r="GY14" i="75"/>
  <c r="GX14" i="75"/>
  <c r="GW14" i="75"/>
  <c r="GV14" i="75"/>
  <c r="GK14" i="75"/>
  <c r="GJ14" i="75"/>
  <c r="GI14" i="75"/>
  <c r="GH14" i="75"/>
  <c r="GG14" i="75"/>
  <c r="HO13" i="75"/>
  <c r="HN13" i="75"/>
  <c r="HM13" i="75"/>
  <c r="HL13" i="75"/>
  <c r="HK13" i="75"/>
  <c r="GZ13" i="75"/>
  <c r="GY13" i="75"/>
  <c r="GX13" i="75"/>
  <c r="GW13" i="75"/>
  <c r="GV13" i="75"/>
  <c r="GK13" i="75"/>
  <c r="GJ13" i="75"/>
  <c r="GI13" i="75"/>
  <c r="GH13" i="75"/>
  <c r="GG13" i="75"/>
  <c r="HO12" i="75"/>
  <c r="HN12" i="75"/>
  <c r="HM12" i="75"/>
  <c r="HL12" i="75"/>
  <c r="HK12" i="75"/>
  <c r="GZ12" i="75"/>
  <c r="GY12" i="75"/>
  <c r="GX12" i="75"/>
  <c r="GW12" i="75"/>
  <c r="GV12" i="75"/>
  <c r="GK12" i="75"/>
  <c r="GJ12" i="75"/>
  <c r="GI12" i="75"/>
  <c r="GH12" i="75"/>
  <c r="GG12" i="75"/>
  <c r="HO11" i="75"/>
  <c r="HN11" i="75"/>
  <c r="HM11" i="75"/>
  <c r="HL11" i="75"/>
  <c r="HK11" i="75"/>
  <c r="GZ11" i="75"/>
  <c r="GY11" i="75"/>
  <c r="GX11" i="75"/>
  <c r="GW11" i="75"/>
  <c r="GV11" i="75"/>
  <c r="GK11" i="75"/>
  <c r="GJ11" i="75"/>
  <c r="GI11" i="75"/>
  <c r="GH11" i="75"/>
  <c r="GG11" i="75"/>
  <c r="HO10" i="75"/>
  <c r="HN10" i="75"/>
  <c r="HM10" i="75"/>
  <c r="HL10" i="75"/>
  <c r="HK10" i="75"/>
  <c r="GZ10" i="75"/>
  <c r="GY10" i="75"/>
  <c r="GX10" i="75"/>
  <c r="GW10" i="75"/>
  <c r="GV10" i="75"/>
  <c r="GK10" i="75"/>
  <c r="GJ10" i="75"/>
  <c r="GI10" i="75"/>
  <c r="GH10" i="75"/>
  <c r="GG10" i="75"/>
  <c r="E49" i="75"/>
  <c r="B49" i="75"/>
  <c r="K238" i="72"/>
  <c r="D53" i="92"/>
  <c r="H52" i="92"/>
  <c r="C52" i="92"/>
  <c r="A203" i="85"/>
  <c r="A11" i="83"/>
  <c r="I9" i="92"/>
  <c r="G11" i="91"/>
  <c r="F197" i="90"/>
  <c r="D101" i="90"/>
  <c r="E163" i="90"/>
  <c r="C16" i="90"/>
  <c r="A206" i="90"/>
  <c r="A200" i="90"/>
  <c r="C5" i="90"/>
  <c r="C8" i="84"/>
  <c r="E8" i="84"/>
  <c r="H2" i="95" s="1"/>
  <c r="E9" i="89"/>
  <c r="H7" i="92" s="1"/>
  <c r="E50" i="89"/>
  <c r="G49" i="89"/>
  <c r="E49" i="89"/>
  <c r="F30" i="89"/>
  <c r="D62" i="90" s="1"/>
  <c r="D56" i="92" s="1"/>
  <c r="E24" i="89"/>
  <c r="E23" i="89"/>
  <c r="E21" i="89"/>
  <c r="E17" i="89"/>
  <c r="C31" i="90" s="1"/>
  <c r="E16" i="89"/>
  <c r="C30" i="90" s="1"/>
  <c r="F48" i="92" s="1"/>
  <c r="E13" i="89"/>
  <c r="E11" i="89"/>
  <c r="C25" i="90" s="1"/>
  <c r="E47" i="89"/>
  <c r="E22" i="89"/>
  <c r="E20" i="89"/>
  <c r="E19" i="89"/>
  <c r="C137" i="90" s="1"/>
  <c r="E12" i="89"/>
  <c r="C23" i="90" s="1"/>
  <c r="E10" i="89"/>
  <c r="C15" i="90" s="1"/>
  <c r="E8" i="89"/>
  <c r="C19" i="90" s="1"/>
  <c r="C142" i="90" s="1"/>
  <c r="E7" i="89"/>
  <c r="C18" i="90" s="1"/>
  <c r="C141" i="90" s="1"/>
  <c r="K7" i="88"/>
  <c r="D54" i="86"/>
  <c r="E54" i="86"/>
  <c r="F54" i="86"/>
  <c r="G54" i="86"/>
  <c r="H54" i="86"/>
  <c r="H49" i="86"/>
  <c r="E6" i="86"/>
  <c r="K5" i="86" s="1"/>
  <c r="E5" i="86"/>
  <c r="E4" i="86"/>
  <c r="G49" i="86"/>
  <c r="F49" i="86"/>
  <c r="E49" i="86"/>
  <c r="D49" i="86"/>
  <c r="O61" i="85"/>
  <c r="F75" i="89"/>
  <c r="E183" i="90" s="1"/>
  <c r="F73" i="89"/>
  <c r="E171" i="90" s="1"/>
  <c r="F71" i="89"/>
  <c r="E166" i="90" s="1"/>
  <c r="K24" i="88"/>
  <c r="Q61" i="85"/>
  <c r="N61" i="85"/>
  <c r="L61" i="85"/>
  <c r="F103" i="92"/>
  <c r="E96" i="90"/>
  <c r="E92" i="90"/>
  <c r="F39" i="89"/>
  <c r="D79" i="90" s="1"/>
  <c r="H4" i="86"/>
  <c r="E28" i="89"/>
  <c r="O6" i="86"/>
  <c r="C30" i="84"/>
  <c r="C32" i="84"/>
  <c r="B32" i="84"/>
  <c r="C31" i="84"/>
  <c r="B31" i="84"/>
  <c r="C25" i="84"/>
  <c r="K36" i="88" s="1"/>
  <c r="D39" i="88" s="1"/>
  <c r="B25" i="84"/>
  <c r="M11" i="84"/>
  <c r="G130" i="90" s="1"/>
  <c r="E16" i="84"/>
  <c r="F19" i="85" s="1"/>
  <c r="C16" i="84"/>
  <c r="C14" i="84"/>
  <c r="F17" i="85" s="1"/>
  <c r="E11" i="84"/>
  <c r="E57" i="90" s="1"/>
  <c r="C11" i="84"/>
  <c r="C57" i="90" s="1"/>
  <c r="H12" i="84"/>
  <c r="C12" i="84"/>
  <c r="K11" i="84"/>
  <c r="D130" i="90" s="1"/>
  <c r="H11" i="84"/>
  <c r="C130" i="90" s="1"/>
  <c r="K10" i="84"/>
  <c r="C146" i="90" s="1"/>
  <c r="H10" i="84"/>
  <c r="C144" i="90" s="1"/>
  <c r="C10" i="84"/>
  <c r="C55" i="90" s="1"/>
  <c r="H9" i="84"/>
  <c r="E5" i="89" s="1"/>
  <c r="D14" i="84"/>
  <c r="G6" i="74"/>
  <c r="G1034" i="94" s="1"/>
  <c r="F101" i="92"/>
  <c r="F95" i="92"/>
  <c r="I65" i="92"/>
  <c r="E184" i="90"/>
  <c r="E81" i="90"/>
  <c r="B18" i="82"/>
  <c r="B38" i="82"/>
  <c r="B24" i="82"/>
  <c r="B48" i="82"/>
  <c r="C48" i="82"/>
  <c r="D48" i="82" s="1"/>
  <c r="E48" i="82" s="1"/>
  <c r="F48" i="82" s="1"/>
  <c r="G48" i="82" s="1"/>
  <c r="H48" i="82" s="1"/>
  <c r="I48" i="82" s="1"/>
  <c r="J48" i="82" s="1"/>
  <c r="K48" i="82" s="1"/>
  <c r="B68" i="82" s="1"/>
  <c r="C68" i="82" s="1"/>
  <c r="D68" i="82" s="1"/>
  <c r="E68" i="82" s="1"/>
  <c r="F68" i="82" s="1"/>
  <c r="G68" i="82" s="1"/>
  <c r="H68" i="82" s="1"/>
  <c r="I68" i="82" s="1"/>
  <c r="J68" i="82" s="1"/>
  <c r="K68" i="82" s="1"/>
  <c r="C59" i="82"/>
  <c r="D59" i="82"/>
  <c r="E59" i="82"/>
  <c r="F59" i="82"/>
  <c r="G59" i="82"/>
  <c r="H59" i="82"/>
  <c r="I59" i="82"/>
  <c r="J59" i="82"/>
  <c r="K59" i="82"/>
  <c r="L59" i="82"/>
  <c r="M59" i="82"/>
  <c r="N59" i="82"/>
  <c r="O59" i="82"/>
  <c r="P59" i="82"/>
  <c r="P444" i="72"/>
  <c r="L131" i="72"/>
  <c r="L119" i="72"/>
  <c r="Q131" i="72"/>
  <c r="Q119" i="72"/>
  <c r="Q126" i="72"/>
  <c r="Q127" i="72"/>
  <c r="Q128" i="72"/>
  <c r="Q125" i="72"/>
  <c r="J114" i="72"/>
  <c r="F93" i="72"/>
  <c r="P379" i="72"/>
  <c r="P2034" i="94" s="1"/>
  <c r="O379" i="72"/>
  <c r="Q426" i="72"/>
  <c r="Q419" i="72"/>
  <c r="L406" i="72"/>
  <c r="Q99" i="72"/>
  <c r="Q100" i="72"/>
  <c r="Q91" i="72"/>
  <c r="Q92" i="72"/>
  <c r="Q90" i="72"/>
  <c r="Q98" i="72"/>
  <c r="Q103" i="72"/>
  <c r="Q114" i="72"/>
  <c r="Q214" i="72"/>
  <c r="L114" i="72"/>
  <c r="L214" i="72"/>
  <c r="M399" i="72"/>
  <c r="J399" i="72"/>
  <c r="R381" i="72"/>
  <c r="M404" i="72" s="1"/>
  <c r="L381" i="72"/>
  <c r="P346" i="72"/>
  <c r="P445" i="72" s="1"/>
  <c r="G355" i="72"/>
  <c r="O347" i="72"/>
  <c r="J184" i="72"/>
  <c r="J185" i="72"/>
  <c r="I185" i="72"/>
  <c r="I184" i="72"/>
  <c r="P64" i="72"/>
  <c r="P1719" i="94" s="1"/>
  <c r="O64" i="72"/>
  <c r="B96" i="78"/>
  <c r="F375" i="73"/>
  <c r="J186" i="72"/>
  <c r="I186" i="72"/>
  <c r="R41" i="81"/>
  <c r="Q41" i="81"/>
  <c r="P41" i="81"/>
  <c r="O41" i="81"/>
  <c r="N41" i="81"/>
  <c r="R40" i="81"/>
  <c r="Q40" i="81"/>
  <c r="P40" i="81"/>
  <c r="O40" i="81"/>
  <c r="N40" i="81"/>
  <c r="R39" i="81"/>
  <c r="Q39" i="81"/>
  <c r="P39" i="81"/>
  <c r="O39" i="81"/>
  <c r="N39" i="81"/>
  <c r="R38" i="81"/>
  <c r="Q38" i="81"/>
  <c r="P38" i="81"/>
  <c r="O38" i="81"/>
  <c r="N38" i="81"/>
  <c r="V17" i="78"/>
  <c r="I217" i="72"/>
  <c r="E68" i="78"/>
  <c r="T3" i="75"/>
  <c r="G347" i="72"/>
  <c r="L213" i="72"/>
  <c r="D80" i="77"/>
  <c r="B80" i="77"/>
  <c r="A77" i="77"/>
  <c r="D74" i="77"/>
  <c r="B74" i="77"/>
  <c r="A71" i="77"/>
  <c r="B68" i="77"/>
  <c r="A65" i="77"/>
  <c r="B62" i="77"/>
  <c r="A59" i="77"/>
  <c r="B57" i="77"/>
  <c r="A54" i="77"/>
  <c r="B51" i="77"/>
  <c r="A48" i="77"/>
  <c r="D45" i="77"/>
  <c r="B45" i="77"/>
  <c r="A42" i="77"/>
  <c r="D39" i="77"/>
  <c r="B39" i="77"/>
  <c r="A36" i="77"/>
  <c r="D34" i="77"/>
  <c r="B34" i="77"/>
  <c r="A31" i="77"/>
  <c r="D28" i="77"/>
  <c r="B28" i="77"/>
  <c r="A25" i="77"/>
  <c r="D22" i="77"/>
  <c r="B22" i="77"/>
  <c r="A19" i="77"/>
  <c r="D17" i="77"/>
  <c r="B17" i="77"/>
  <c r="A14" i="77"/>
  <c r="D12" i="77"/>
  <c r="B12" i="77"/>
  <c r="A9" i="77"/>
  <c r="B97" i="78"/>
  <c r="D37" i="78"/>
  <c r="D36" i="78"/>
  <c r="D35" i="78"/>
  <c r="N308" i="73"/>
  <c r="N306" i="73"/>
  <c r="M306" i="73" s="1"/>
  <c r="L306" i="73" s="1"/>
  <c r="N305" i="73"/>
  <c r="R57" i="81"/>
  <c r="Q57" i="81"/>
  <c r="P57" i="81"/>
  <c r="O57" i="81"/>
  <c r="N57" i="81"/>
  <c r="R56" i="81"/>
  <c r="Q56" i="81"/>
  <c r="P56" i="81"/>
  <c r="O56" i="81"/>
  <c r="N56" i="81"/>
  <c r="R55" i="81"/>
  <c r="Q55" i="81"/>
  <c r="P55" i="81"/>
  <c r="O55" i="81"/>
  <c r="N55" i="81"/>
  <c r="R54" i="81"/>
  <c r="Q54" i="81"/>
  <c r="P54" i="81"/>
  <c r="O54" i="81"/>
  <c r="N54" i="81"/>
  <c r="R53" i="81"/>
  <c r="Q53" i="81"/>
  <c r="P53" i="81"/>
  <c r="O53" i="81"/>
  <c r="N53" i="81"/>
  <c r="R52" i="81"/>
  <c r="Q52" i="81"/>
  <c r="P52" i="81"/>
  <c r="O52" i="81"/>
  <c r="N52" i="81"/>
  <c r="R51" i="81"/>
  <c r="Q51" i="81"/>
  <c r="P51" i="81"/>
  <c r="O51" i="81"/>
  <c r="N51" i="81"/>
  <c r="R50" i="81"/>
  <c r="Q50" i="81"/>
  <c r="P50" i="81"/>
  <c r="O50" i="81"/>
  <c r="N50" i="81"/>
  <c r="R49" i="81"/>
  <c r="Q49" i="81"/>
  <c r="P49" i="81"/>
  <c r="O49" i="81"/>
  <c r="N49" i="81"/>
  <c r="R48" i="81"/>
  <c r="Q48" i="81"/>
  <c r="P48" i="81"/>
  <c r="O48" i="81"/>
  <c r="N48" i="81"/>
  <c r="R47" i="81"/>
  <c r="Q47" i="81"/>
  <c r="P47" i="81"/>
  <c r="O47" i="81"/>
  <c r="N47" i="81"/>
  <c r="R46" i="81"/>
  <c r="Q46" i="81"/>
  <c r="P46" i="81"/>
  <c r="O46" i="81"/>
  <c r="N46" i="81"/>
  <c r="R45" i="81"/>
  <c r="Q45" i="81"/>
  <c r="P45" i="81"/>
  <c r="O45" i="81"/>
  <c r="N45" i="81"/>
  <c r="R44" i="81"/>
  <c r="Q44" i="81"/>
  <c r="P44" i="81"/>
  <c r="O44" i="81"/>
  <c r="N44" i="81"/>
  <c r="R43" i="81"/>
  <c r="Q43" i="81"/>
  <c r="P43" i="81"/>
  <c r="O43" i="81"/>
  <c r="N43" i="81"/>
  <c r="R42" i="81"/>
  <c r="Q42" i="81"/>
  <c r="P42" i="81"/>
  <c r="O42" i="81"/>
  <c r="N42" i="81"/>
  <c r="R37" i="81"/>
  <c r="Q37" i="81"/>
  <c r="P37" i="81"/>
  <c r="O37" i="81"/>
  <c r="N37" i="81"/>
  <c r="R36" i="81"/>
  <c r="Q36" i="81"/>
  <c r="P36" i="81"/>
  <c r="O36" i="81"/>
  <c r="N36" i="81"/>
  <c r="R35" i="81"/>
  <c r="Q35" i="81"/>
  <c r="P35" i="81"/>
  <c r="O35" i="81"/>
  <c r="N35" i="81"/>
  <c r="R34" i="81"/>
  <c r="Q34" i="81"/>
  <c r="P34" i="81"/>
  <c r="O34" i="81"/>
  <c r="N34" i="81"/>
  <c r="R33" i="81"/>
  <c r="Q33" i="81"/>
  <c r="P33" i="81"/>
  <c r="O33" i="81"/>
  <c r="N33" i="81"/>
  <c r="R32" i="81"/>
  <c r="Q32" i="81"/>
  <c r="P32" i="81"/>
  <c r="O32" i="81"/>
  <c r="N32" i="81"/>
  <c r="R31" i="81"/>
  <c r="Q31" i="81"/>
  <c r="P31" i="81"/>
  <c r="O31" i="81"/>
  <c r="N31" i="81"/>
  <c r="R30" i="81"/>
  <c r="Q30" i="81"/>
  <c r="P30" i="81"/>
  <c r="O30" i="81"/>
  <c r="N30" i="81"/>
  <c r="R29" i="81"/>
  <c r="Q29" i="81"/>
  <c r="P29" i="81"/>
  <c r="O29" i="81"/>
  <c r="N29" i="81"/>
  <c r="R28" i="81"/>
  <c r="Q28" i="81"/>
  <c r="P28" i="81"/>
  <c r="O28" i="81"/>
  <c r="N28" i="81"/>
  <c r="R27" i="81"/>
  <c r="Q27" i="81"/>
  <c r="P27" i="81"/>
  <c r="O27" i="81"/>
  <c r="N27" i="81"/>
  <c r="R26" i="81"/>
  <c r="Q26" i="81"/>
  <c r="P26" i="81"/>
  <c r="O26" i="81"/>
  <c r="N26" i="81"/>
  <c r="R25" i="81"/>
  <c r="Q25" i="81"/>
  <c r="P25" i="81"/>
  <c r="O25" i="81"/>
  <c r="N25" i="81"/>
  <c r="R24" i="81"/>
  <c r="Q24" i="81"/>
  <c r="P24" i="81"/>
  <c r="O24" i="81"/>
  <c r="N24" i="81"/>
  <c r="R23" i="81"/>
  <c r="Q23" i="81"/>
  <c r="P23" i="81"/>
  <c r="O23" i="81"/>
  <c r="N23" i="81"/>
  <c r="R22" i="81"/>
  <c r="Q22" i="81"/>
  <c r="P22" i="81"/>
  <c r="O22" i="81"/>
  <c r="N22" i="81"/>
  <c r="L417" i="72"/>
  <c r="M394" i="73"/>
  <c r="M1564" i="94" s="1"/>
  <c r="A35" i="74"/>
  <c r="A67" i="74" s="1"/>
  <c r="A98" i="74" s="1"/>
  <c r="A128" i="74" s="1"/>
  <c r="A34" i="74"/>
  <c r="A66" i="74" s="1"/>
  <c r="A97" i="74" s="1"/>
  <c r="A127" i="74" s="1"/>
  <c r="A33" i="74"/>
  <c r="A65" i="74" s="1"/>
  <c r="A96" i="74" s="1"/>
  <c r="A126" i="74" s="1"/>
  <c r="O172" i="78"/>
  <c r="O9" i="66"/>
  <c r="A2" i="79"/>
  <c r="F25" i="78"/>
  <c r="J73" i="73"/>
  <c r="T176" i="72"/>
  <c r="F157" i="72"/>
  <c r="L302" i="72"/>
  <c r="J302" i="72"/>
  <c r="L301" i="72"/>
  <c r="J215" i="72"/>
  <c r="L212" i="72"/>
  <c r="L211" i="72"/>
  <c r="G268" i="72"/>
  <c r="J75" i="72"/>
  <c r="P89" i="72" s="1"/>
  <c r="P1744" i="94" s="1"/>
  <c r="M6" i="72"/>
  <c r="P435" i="72"/>
  <c r="P2090" i="94" s="1"/>
  <c r="O435" i="72"/>
  <c r="O2090" i="94" s="1"/>
  <c r="L2090" i="94" s="1"/>
  <c r="H182" i="72"/>
  <c r="K182" i="72"/>
  <c r="U172" i="72"/>
  <c r="R415" i="72"/>
  <c r="P415" i="72"/>
  <c r="O415" i="72"/>
  <c r="O2070" i="94" s="1"/>
  <c r="S381" i="72"/>
  <c r="Q295" i="72"/>
  <c r="Q294" i="72"/>
  <c r="L226" i="72"/>
  <c r="J226" i="72"/>
  <c r="M270" i="72"/>
  <c r="O36" i="72"/>
  <c r="P33" i="72" s="1"/>
  <c r="J36" i="72"/>
  <c r="P29" i="72" s="1"/>
  <c r="F36" i="72"/>
  <c r="P28" i="72" s="1"/>
  <c r="AG310" i="73"/>
  <c r="AF310" i="73" s="1"/>
  <c r="AE310" i="73" s="1"/>
  <c r="AD310" i="73" s="1"/>
  <c r="AC310" i="73" s="1"/>
  <c r="AB310" i="73" s="1"/>
  <c r="AA310" i="73" s="1"/>
  <c r="Z310" i="73" s="1"/>
  <c r="AG307" i="73"/>
  <c r="AF307" i="73" s="1"/>
  <c r="AE307" i="73" s="1"/>
  <c r="AD307" i="73" s="1"/>
  <c r="AC307" i="73" s="1"/>
  <c r="AB307" i="73" s="1"/>
  <c r="AA307" i="73" s="1"/>
  <c r="Z307" i="73" s="1"/>
  <c r="AG305" i="73"/>
  <c r="AF305" i="73" s="1"/>
  <c r="AE305" i="73" s="1"/>
  <c r="AD305" i="73" s="1"/>
  <c r="AC305" i="73" s="1"/>
  <c r="AB305" i="73" s="1"/>
  <c r="AA305" i="73" s="1"/>
  <c r="Z305" i="73" s="1"/>
  <c r="A68" i="74"/>
  <c r="A99" i="74" s="1"/>
  <c r="A129" i="74" s="1"/>
  <c r="A60" i="74"/>
  <c r="A92" i="74" s="1"/>
  <c r="A122" i="74" s="1"/>
  <c r="A59" i="74"/>
  <c r="A91" i="74" s="1"/>
  <c r="A121" i="74" s="1"/>
  <c r="A58" i="74"/>
  <c r="A90" i="74" s="1"/>
  <c r="A120" i="74" s="1"/>
  <c r="A57" i="74"/>
  <c r="A89" i="74" s="1"/>
  <c r="A119" i="74" s="1"/>
  <c r="B30" i="74"/>
  <c r="C13" i="74"/>
  <c r="N11" i="74"/>
  <c r="N3" i="74"/>
  <c r="F246" i="75"/>
  <c r="C59" i="84" s="1"/>
  <c r="L239" i="75"/>
  <c r="C60" i="84" s="1"/>
  <c r="E60" i="84" s="1"/>
  <c r="F235" i="75"/>
  <c r="L230" i="75"/>
  <c r="F226" i="75"/>
  <c r="L246" i="75"/>
  <c r="C61" i="84" s="1"/>
  <c r="L222" i="75"/>
  <c r="S217" i="75"/>
  <c r="L215" i="75"/>
  <c r="F112" i="74" s="1"/>
  <c r="F1140" i="94" s="1"/>
  <c r="K215" i="75"/>
  <c r="E112" i="74" s="1"/>
  <c r="E1140" i="94" s="1"/>
  <c r="J215" i="75"/>
  <c r="D112" i="74" s="1"/>
  <c r="D1140" i="94" s="1"/>
  <c r="I215" i="75"/>
  <c r="C112" i="74" s="1"/>
  <c r="C1140" i="94" s="1"/>
  <c r="H215" i="75"/>
  <c r="B112" i="74" s="1"/>
  <c r="B1140" i="94" s="1"/>
  <c r="S212" i="75"/>
  <c r="L211" i="75"/>
  <c r="F111" i="74" s="1"/>
  <c r="F1139" i="94" s="1"/>
  <c r="K211" i="75"/>
  <c r="E111" i="74" s="1"/>
  <c r="E1139" i="94" s="1"/>
  <c r="J211" i="75"/>
  <c r="D111" i="74" s="1"/>
  <c r="D1139" i="94" s="1"/>
  <c r="I211" i="75"/>
  <c r="C111" i="74" s="1"/>
  <c r="C1139" i="94" s="1"/>
  <c r="H211" i="75"/>
  <c r="B111" i="74" s="1"/>
  <c r="B1139" i="94" s="1"/>
  <c r="T208" i="75"/>
  <c r="Q206" i="75"/>
  <c r="K82" i="74" s="1"/>
  <c r="K1110" i="94" s="1"/>
  <c r="P206" i="75"/>
  <c r="J82" i="74" s="1"/>
  <c r="J1110" i="94" s="1"/>
  <c r="O206" i="75"/>
  <c r="I82" i="74" s="1"/>
  <c r="I1110" i="94" s="1"/>
  <c r="N206" i="75"/>
  <c r="H82" i="74" s="1"/>
  <c r="H1110" i="94" s="1"/>
  <c r="M206" i="75"/>
  <c r="G82" i="74" s="1"/>
  <c r="G1110" i="94" s="1"/>
  <c r="L206" i="75"/>
  <c r="F82" i="74" s="1"/>
  <c r="F1110" i="94" s="1"/>
  <c r="K206" i="75"/>
  <c r="E82" i="74" s="1"/>
  <c r="E1110" i="94" s="1"/>
  <c r="J206" i="75"/>
  <c r="D82" i="74" s="1"/>
  <c r="D1110" i="94" s="1"/>
  <c r="I206" i="75"/>
  <c r="C82" i="74" s="1"/>
  <c r="C1110" i="94" s="1"/>
  <c r="H206" i="75"/>
  <c r="B82" i="74" s="1"/>
  <c r="B1110" i="94" s="1"/>
  <c r="S203" i="75"/>
  <c r="Q202" i="75"/>
  <c r="K81" i="74" s="1"/>
  <c r="K1109" i="94" s="1"/>
  <c r="P202" i="75"/>
  <c r="J81" i="74" s="1"/>
  <c r="J1109" i="94" s="1"/>
  <c r="O202" i="75"/>
  <c r="I81" i="74" s="1"/>
  <c r="I1109" i="94" s="1"/>
  <c r="N202" i="75"/>
  <c r="H81" i="74" s="1"/>
  <c r="H1109" i="94" s="1"/>
  <c r="M202" i="75"/>
  <c r="G81" i="74" s="1"/>
  <c r="G1109" i="94" s="1"/>
  <c r="L202" i="75"/>
  <c r="F81" i="74" s="1"/>
  <c r="F1109" i="94" s="1"/>
  <c r="K202" i="75"/>
  <c r="E81" i="74" s="1"/>
  <c r="E1109" i="94" s="1"/>
  <c r="J202" i="75"/>
  <c r="D81" i="74" s="1"/>
  <c r="D1109" i="94" s="1"/>
  <c r="I202" i="75"/>
  <c r="C81" i="74" s="1"/>
  <c r="C1109" i="94" s="1"/>
  <c r="H202" i="75"/>
  <c r="B81" i="74" s="1"/>
  <c r="B1109" i="94" s="1"/>
  <c r="T199" i="75"/>
  <c r="Q197" i="75"/>
  <c r="K50" i="74" s="1"/>
  <c r="K1078" i="94" s="1"/>
  <c r="P197" i="75"/>
  <c r="J50" i="74" s="1"/>
  <c r="J1078" i="94" s="1"/>
  <c r="O197" i="75"/>
  <c r="I50" i="74" s="1"/>
  <c r="I1078" i="94" s="1"/>
  <c r="N197" i="75"/>
  <c r="H50" i="74" s="1"/>
  <c r="H1078" i="94" s="1"/>
  <c r="M197" i="75"/>
  <c r="G50" i="74" s="1"/>
  <c r="G1078" i="94" s="1"/>
  <c r="L197" i="75"/>
  <c r="F50" i="74" s="1"/>
  <c r="F1078" i="94" s="1"/>
  <c r="K197" i="75"/>
  <c r="E50" i="74" s="1"/>
  <c r="E1078" i="94" s="1"/>
  <c r="J197" i="75"/>
  <c r="D50" i="74" s="1"/>
  <c r="D1078" i="94" s="1"/>
  <c r="I197" i="75"/>
  <c r="C50" i="74" s="1"/>
  <c r="C1078" i="94" s="1"/>
  <c r="H197" i="75"/>
  <c r="B50" i="74" s="1"/>
  <c r="B1078" i="94" s="1"/>
  <c r="S194" i="75"/>
  <c r="Q193" i="75"/>
  <c r="K49" i="74" s="1"/>
  <c r="K1077" i="94" s="1"/>
  <c r="P193" i="75"/>
  <c r="J49" i="74" s="1"/>
  <c r="J1077" i="94" s="1"/>
  <c r="O193" i="75"/>
  <c r="I49" i="74" s="1"/>
  <c r="I1077" i="94" s="1"/>
  <c r="N193" i="75"/>
  <c r="H49" i="74" s="1"/>
  <c r="H1077" i="94" s="1"/>
  <c r="M193" i="75"/>
  <c r="G49" i="74" s="1"/>
  <c r="G1077" i="94" s="1"/>
  <c r="L193" i="75"/>
  <c r="F49" i="74" s="1"/>
  <c r="F1077" i="94" s="1"/>
  <c r="K193" i="75"/>
  <c r="E49" i="74" s="1"/>
  <c r="E1077" i="94" s="1"/>
  <c r="J193" i="75"/>
  <c r="D49" i="74" s="1"/>
  <c r="D1077" i="94" s="1"/>
  <c r="I193" i="75"/>
  <c r="C49" i="74" s="1"/>
  <c r="C1077" i="94" s="1"/>
  <c r="H193" i="75"/>
  <c r="B49" i="74" s="1"/>
  <c r="B1077" i="94" s="1"/>
  <c r="T190" i="75"/>
  <c r="Q188" i="75"/>
  <c r="K18" i="74" s="1"/>
  <c r="K1046" i="94" s="1"/>
  <c r="P188" i="75"/>
  <c r="J18" i="74" s="1"/>
  <c r="J1046" i="94" s="1"/>
  <c r="O188" i="75"/>
  <c r="I18" i="74" s="1"/>
  <c r="I1046" i="94" s="1"/>
  <c r="N188" i="75"/>
  <c r="H18" i="74" s="1"/>
  <c r="H1046" i="94" s="1"/>
  <c r="M188" i="75"/>
  <c r="G18" i="74" s="1"/>
  <c r="G1046" i="94" s="1"/>
  <c r="L188" i="75"/>
  <c r="F18" i="74" s="1"/>
  <c r="F1046" i="94" s="1"/>
  <c r="K188" i="75"/>
  <c r="E18" i="74" s="1"/>
  <c r="E1046" i="94" s="1"/>
  <c r="J188" i="75"/>
  <c r="D18" i="74" s="1"/>
  <c r="D1046" i="94" s="1"/>
  <c r="I188" i="75"/>
  <c r="C18" i="74" s="1"/>
  <c r="C1046" i="94" s="1"/>
  <c r="H188" i="75"/>
  <c r="B18" i="74" s="1"/>
  <c r="B1046" i="94" s="1"/>
  <c r="S185" i="75"/>
  <c r="Q184" i="75"/>
  <c r="K17" i="74" s="1"/>
  <c r="K1045" i="94" s="1"/>
  <c r="P184" i="75"/>
  <c r="J17" i="74" s="1"/>
  <c r="J1045" i="94" s="1"/>
  <c r="O184" i="75"/>
  <c r="I17" i="74" s="1"/>
  <c r="I1045" i="94" s="1"/>
  <c r="N184" i="75"/>
  <c r="H17" i="74" s="1"/>
  <c r="H1045" i="94" s="1"/>
  <c r="M184" i="75"/>
  <c r="G17" i="74" s="1"/>
  <c r="G1045" i="94" s="1"/>
  <c r="L184" i="75"/>
  <c r="F17" i="74" s="1"/>
  <c r="F1045" i="94" s="1"/>
  <c r="K184" i="75"/>
  <c r="E17" i="74" s="1"/>
  <c r="E1045" i="94" s="1"/>
  <c r="J184" i="75"/>
  <c r="D17" i="74" s="1"/>
  <c r="D1045" i="94" s="1"/>
  <c r="I184" i="75"/>
  <c r="C17" i="74" s="1"/>
  <c r="C1045" i="94" s="1"/>
  <c r="H184" i="75"/>
  <c r="B17" i="74" s="1"/>
  <c r="B1045" i="94" s="1"/>
  <c r="S181" i="75"/>
  <c r="S180" i="75"/>
  <c r="S178" i="75"/>
  <c r="S158" i="75"/>
  <c r="S148" i="75"/>
  <c r="S126" i="75"/>
  <c r="P123" i="75"/>
  <c r="O2076" i="94" s="1"/>
  <c r="P122" i="75"/>
  <c r="N54" i="66" s="1"/>
  <c r="N79" i="94" s="1"/>
  <c r="S103" i="75"/>
  <c r="S92" i="75"/>
  <c r="S53" i="75"/>
  <c r="NE48" i="75"/>
  <c r="F48" i="75"/>
  <c r="E48" i="75"/>
  <c r="ND47" i="75"/>
  <c r="NC47" i="75"/>
  <c r="NB47" i="75"/>
  <c r="NA47" i="75"/>
  <c r="MZ47" i="75"/>
  <c r="LF47" i="75"/>
  <c r="LE47" i="75"/>
  <c r="LD47" i="75"/>
  <c r="LC47" i="75"/>
  <c r="LB47" i="75"/>
  <c r="LA47" i="75"/>
  <c r="KZ47" i="75"/>
  <c r="KY47" i="75"/>
  <c r="KX47" i="75"/>
  <c r="KW47" i="75"/>
  <c r="KV47" i="75"/>
  <c r="KU47" i="75"/>
  <c r="KT47" i="75"/>
  <c r="KS47" i="75"/>
  <c r="KR47" i="75"/>
  <c r="KQ47" i="75"/>
  <c r="KP47" i="75"/>
  <c r="KO47" i="75"/>
  <c r="KN47" i="75"/>
  <c r="KM47" i="75"/>
  <c r="KL47" i="75"/>
  <c r="KK47" i="75"/>
  <c r="KJ47" i="75"/>
  <c r="KI47" i="75"/>
  <c r="KH47" i="75"/>
  <c r="KG47" i="75"/>
  <c r="KF47" i="75"/>
  <c r="KE47" i="75"/>
  <c r="KD47" i="75"/>
  <c r="KC47" i="75"/>
  <c r="KB47" i="75"/>
  <c r="KA47" i="75"/>
  <c r="JZ47" i="75"/>
  <c r="JY47" i="75"/>
  <c r="JX47" i="75"/>
  <c r="JW47" i="75"/>
  <c r="JV47" i="75"/>
  <c r="JU47" i="75"/>
  <c r="JT47" i="75"/>
  <c r="JS47" i="75"/>
  <c r="JR47" i="75"/>
  <c r="JQ47" i="75"/>
  <c r="JP47" i="75"/>
  <c r="JO47" i="75"/>
  <c r="JN47" i="75"/>
  <c r="JM47" i="75"/>
  <c r="JL47" i="75"/>
  <c r="JK47" i="75"/>
  <c r="JJ47" i="75"/>
  <c r="JI47" i="75"/>
  <c r="JH47" i="75"/>
  <c r="JG47" i="75"/>
  <c r="JF47" i="75"/>
  <c r="JE47" i="75"/>
  <c r="JD47" i="75"/>
  <c r="JC47" i="75"/>
  <c r="JB47" i="75"/>
  <c r="JA47" i="75"/>
  <c r="IZ47" i="75"/>
  <c r="IY47" i="75"/>
  <c r="IX47" i="75"/>
  <c r="IW47" i="75"/>
  <c r="IV47" i="75"/>
  <c r="IU47" i="75"/>
  <c r="IT47" i="75"/>
  <c r="IS47" i="75"/>
  <c r="IR47" i="75"/>
  <c r="IQ47" i="75"/>
  <c r="IP47" i="75"/>
  <c r="IO47" i="75"/>
  <c r="IN47" i="75"/>
  <c r="IM47" i="75"/>
  <c r="IL47" i="75"/>
  <c r="IK47" i="75"/>
  <c r="IJ47" i="75"/>
  <c r="II47" i="75"/>
  <c r="IH47" i="75"/>
  <c r="IG47" i="75"/>
  <c r="IF47" i="75"/>
  <c r="IE47" i="75"/>
  <c r="ID47" i="75"/>
  <c r="IC47" i="75"/>
  <c r="IB47" i="75"/>
  <c r="IA47" i="75"/>
  <c r="HZ47" i="75"/>
  <c r="HY47" i="75"/>
  <c r="HX47" i="75"/>
  <c r="HW47" i="75"/>
  <c r="HV47" i="75"/>
  <c r="HU47" i="75"/>
  <c r="HT47" i="75"/>
  <c r="HS47" i="75"/>
  <c r="HR47" i="75"/>
  <c r="HQ47" i="75"/>
  <c r="HP47" i="75"/>
  <c r="HJ47" i="75"/>
  <c r="HI47" i="75"/>
  <c r="HH47" i="75"/>
  <c r="HG47" i="75"/>
  <c r="HF47" i="75"/>
  <c r="HE47" i="75"/>
  <c r="HD47" i="75"/>
  <c r="HC47" i="75"/>
  <c r="HB47" i="75"/>
  <c r="HA47" i="75"/>
  <c r="GU47" i="75"/>
  <c r="GT47" i="75"/>
  <c r="GS47" i="75"/>
  <c r="GR47" i="75"/>
  <c r="GQ47" i="75"/>
  <c r="GP47" i="75"/>
  <c r="GO47" i="75"/>
  <c r="GN47" i="75"/>
  <c r="GM47" i="75"/>
  <c r="GL47" i="75"/>
  <c r="GF47" i="75"/>
  <c r="GE47" i="75"/>
  <c r="GD47" i="75"/>
  <c r="GC47" i="75"/>
  <c r="GB47" i="75"/>
  <c r="GA47" i="75"/>
  <c r="FZ47" i="75"/>
  <c r="FY47" i="75"/>
  <c r="FX47" i="75"/>
  <c r="FW47" i="75"/>
  <c r="FV47" i="75"/>
  <c r="FU47" i="75"/>
  <c r="FT47" i="75"/>
  <c r="FS47" i="75"/>
  <c r="FR47" i="75"/>
  <c r="EG47" i="75"/>
  <c r="EF47" i="75"/>
  <c r="EE47" i="75"/>
  <c r="ED47" i="75"/>
  <c r="BK47" i="75"/>
  <c r="BJ47" i="75"/>
  <c r="BI47" i="75"/>
  <c r="BH47" i="75"/>
  <c r="BG47" i="75"/>
  <c r="ND46" i="75"/>
  <c r="NC46" i="75"/>
  <c r="NB46" i="75"/>
  <c r="NA46" i="75"/>
  <c r="MZ46" i="75"/>
  <c r="LF46" i="75"/>
  <c r="LE46" i="75"/>
  <c r="LD46" i="75"/>
  <c r="LC46" i="75"/>
  <c r="LB46" i="75"/>
  <c r="LA46" i="75"/>
  <c r="KZ46" i="75"/>
  <c r="KY46" i="75"/>
  <c r="KX46" i="75"/>
  <c r="KW46" i="75"/>
  <c r="KV46" i="75"/>
  <c r="KU46" i="75"/>
  <c r="KT46" i="75"/>
  <c r="KS46" i="75"/>
  <c r="KR46" i="75"/>
  <c r="KQ46" i="75"/>
  <c r="KP46" i="75"/>
  <c r="KO46" i="75"/>
  <c r="KN46" i="75"/>
  <c r="KM46" i="75"/>
  <c r="KL46" i="75"/>
  <c r="KK46" i="75"/>
  <c r="KJ46" i="75"/>
  <c r="KI46" i="75"/>
  <c r="KH46" i="75"/>
  <c r="KG46" i="75"/>
  <c r="KF46" i="75"/>
  <c r="KE46" i="75"/>
  <c r="KD46" i="75"/>
  <c r="KC46" i="75"/>
  <c r="KB46" i="75"/>
  <c r="KA46" i="75"/>
  <c r="JZ46" i="75"/>
  <c r="JY46" i="75"/>
  <c r="JX46" i="75"/>
  <c r="JW46" i="75"/>
  <c r="JV46" i="75"/>
  <c r="JU46" i="75"/>
  <c r="JT46" i="75"/>
  <c r="JS46" i="75"/>
  <c r="JR46" i="75"/>
  <c r="JQ46" i="75"/>
  <c r="JP46" i="75"/>
  <c r="JO46" i="75"/>
  <c r="JN46" i="75"/>
  <c r="JM46" i="75"/>
  <c r="JL46" i="75"/>
  <c r="JK46" i="75"/>
  <c r="JJ46" i="75"/>
  <c r="JI46" i="75"/>
  <c r="JH46" i="75"/>
  <c r="JG46" i="75"/>
  <c r="JF46" i="75"/>
  <c r="JE46" i="75"/>
  <c r="JD46" i="75"/>
  <c r="JC46" i="75"/>
  <c r="JB46" i="75"/>
  <c r="JA46" i="75"/>
  <c r="IZ46" i="75"/>
  <c r="IY46" i="75"/>
  <c r="IX46" i="75"/>
  <c r="IW46" i="75"/>
  <c r="IV46" i="75"/>
  <c r="IU46" i="75"/>
  <c r="IT46" i="75"/>
  <c r="IS46" i="75"/>
  <c r="IR46" i="75"/>
  <c r="IQ46" i="75"/>
  <c r="IP46" i="75"/>
  <c r="IO46" i="75"/>
  <c r="IN46" i="75"/>
  <c r="IM46" i="75"/>
  <c r="IL46" i="75"/>
  <c r="IK46" i="75"/>
  <c r="IJ46" i="75"/>
  <c r="II46" i="75"/>
  <c r="IH46" i="75"/>
  <c r="IG46" i="75"/>
  <c r="IF46" i="75"/>
  <c r="IE46" i="75"/>
  <c r="ID46" i="75"/>
  <c r="IC46" i="75"/>
  <c r="IB46" i="75"/>
  <c r="IA46" i="75"/>
  <c r="HZ46" i="75"/>
  <c r="HY46" i="75"/>
  <c r="HX46" i="75"/>
  <c r="HW46" i="75"/>
  <c r="HV46" i="75"/>
  <c r="HU46" i="75"/>
  <c r="HT46" i="75"/>
  <c r="HS46" i="75"/>
  <c r="HR46" i="75"/>
  <c r="HQ46" i="75"/>
  <c r="HP46" i="75"/>
  <c r="HJ46" i="75"/>
  <c r="HI46" i="75"/>
  <c r="HH46" i="75"/>
  <c r="HG46" i="75"/>
  <c r="HF46" i="75"/>
  <c r="HE46" i="75"/>
  <c r="HD46" i="75"/>
  <c r="HC46" i="75"/>
  <c r="HB46" i="75"/>
  <c r="HA46" i="75"/>
  <c r="GU46" i="75"/>
  <c r="GT46" i="75"/>
  <c r="GS46" i="75"/>
  <c r="GR46" i="75"/>
  <c r="GQ46" i="75"/>
  <c r="GP46" i="75"/>
  <c r="GO46" i="75"/>
  <c r="GN46" i="75"/>
  <c r="GM46" i="75"/>
  <c r="GL46" i="75"/>
  <c r="GF46" i="75"/>
  <c r="GE46" i="75"/>
  <c r="GD46" i="75"/>
  <c r="GC46" i="75"/>
  <c r="GB46" i="75"/>
  <c r="GA46" i="75"/>
  <c r="FZ46" i="75"/>
  <c r="FY46" i="75"/>
  <c r="FX46" i="75"/>
  <c r="FW46" i="75"/>
  <c r="FV46" i="75"/>
  <c r="FU46" i="75"/>
  <c r="FT46" i="75"/>
  <c r="FS46" i="75"/>
  <c r="FR46" i="75"/>
  <c r="EG46" i="75"/>
  <c r="EF46" i="75"/>
  <c r="EE46" i="75"/>
  <c r="ED46" i="75"/>
  <c r="BK46" i="75"/>
  <c r="BJ46" i="75"/>
  <c r="BI46" i="75"/>
  <c r="BH46" i="75"/>
  <c r="BG46" i="75"/>
  <c r="ND45" i="75"/>
  <c r="NC45" i="75"/>
  <c r="NB45" i="75"/>
  <c r="NA45" i="75"/>
  <c r="MZ45" i="75"/>
  <c r="LF45" i="75"/>
  <c r="LE45" i="75"/>
  <c r="LD45" i="75"/>
  <c r="LC45" i="75"/>
  <c r="LB45" i="75"/>
  <c r="LA45" i="75"/>
  <c r="KZ45" i="75"/>
  <c r="KY45" i="75"/>
  <c r="KX45" i="75"/>
  <c r="KW45" i="75"/>
  <c r="KV45" i="75"/>
  <c r="KU45" i="75"/>
  <c r="KT45" i="75"/>
  <c r="KS45" i="75"/>
  <c r="KR45" i="75"/>
  <c r="KQ45" i="75"/>
  <c r="KP45" i="75"/>
  <c r="KO45" i="75"/>
  <c r="KN45" i="75"/>
  <c r="KM45" i="75"/>
  <c r="KL45" i="75"/>
  <c r="KK45" i="75"/>
  <c r="KJ45" i="75"/>
  <c r="KI45" i="75"/>
  <c r="KH45" i="75"/>
  <c r="KG45" i="75"/>
  <c r="KF45" i="75"/>
  <c r="KE45" i="75"/>
  <c r="KD45" i="75"/>
  <c r="KC45" i="75"/>
  <c r="KB45" i="75"/>
  <c r="KA45" i="75"/>
  <c r="JZ45" i="75"/>
  <c r="JY45" i="75"/>
  <c r="JX45" i="75"/>
  <c r="JW45" i="75"/>
  <c r="JV45" i="75"/>
  <c r="JU45" i="75"/>
  <c r="JT45" i="75"/>
  <c r="JS45" i="75"/>
  <c r="JR45" i="75"/>
  <c r="JQ45" i="75"/>
  <c r="JP45" i="75"/>
  <c r="JO45" i="75"/>
  <c r="JN45" i="75"/>
  <c r="JM45" i="75"/>
  <c r="JL45" i="75"/>
  <c r="JK45" i="75"/>
  <c r="JJ45" i="75"/>
  <c r="JI45" i="75"/>
  <c r="JH45" i="75"/>
  <c r="JG45" i="75"/>
  <c r="JF45" i="75"/>
  <c r="JE45" i="75"/>
  <c r="JD45" i="75"/>
  <c r="JC45" i="75"/>
  <c r="JB45" i="75"/>
  <c r="JA45" i="75"/>
  <c r="IZ45" i="75"/>
  <c r="IY45" i="75"/>
  <c r="IX45" i="75"/>
  <c r="IW45" i="75"/>
  <c r="IV45" i="75"/>
  <c r="IU45" i="75"/>
  <c r="IT45" i="75"/>
  <c r="IS45" i="75"/>
  <c r="IR45" i="75"/>
  <c r="IQ45" i="75"/>
  <c r="IP45" i="75"/>
  <c r="IO45" i="75"/>
  <c r="IN45" i="75"/>
  <c r="IM45" i="75"/>
  <c r="IL45" i="75"/>
  <c r="IK45" i="75"/>
  <c r="IJ45" i="75"/>
  <c r="II45" i="75"/>
  <c r="IH45" i="75"/>
  <c r="IG45" i="75"/>
  <c r="IF45" i="75"/>
  <c r="IE45" i="75"/>
  <c r="ID45" i="75"/>
  <c r="IC45" i="75"/>
  <c r="IB45" i="75"/>
  <c r="IA45" i="75"/>
  <c r="HZ45" i="75"/>
  <c r="HY45" i="75"/>
  <c r="HX45" i="75"/>
  <c r="HW45" i="75"/>
  <c r="HV45" i="75"/>
  <c r="HU45" i="75"/>
  <c r="HT45" i="75"/>
  <c r="HS45" i="75"/>
  <c r="HR45" i="75"/>
  <c r="HQ45" i="75"/>
  <c r="HP45" i="75"/>
  <c r="HJ45" i="75"/>
  <c r="HI45" i="75"/>
  <c r="HH45" i="75"/>
  <c r="HG45" i="75"/>
  <c r="HF45" i="75"/>
  <c r="HE45" i="75"/>
  <c r="HD45" i="75"/>
  <c r="HC45" i="75"/>
  <c r="HB45" i="75"/>
  <c r="HA45" i="75"/>
  <c r="GU45" i="75"/>
  <c r="GT45" i="75"/>
  <c r="GS45" i="75"/>
  <c r="GR45" i="75"/>
  <c r="GQ45" i="75"/>
  <c r="GP45" i="75"/>
  <c r="GO45" i="75"/>
  <c r="GN45" i="75"/>
  <c r="GM45" i="75"/>
  <c r="GL45" i="75"/>
  <c r="GF45" i="75"/>
  <c r="GE45" i="75"/>
  <c r="GD45" i="75"/>
  <c r="GC45" i="75"/>
  <c r="GB45" i="75"/>
  <c r="GA45" i="75"/>
  <c r="FZ45" i="75"/>
  <c r="FY45" i="75"/>
  <c r="FX45" i="75"/>
  <c r="FW45" i="75"/>
  <c r="FV45" i="75"/>
  <c r="FU45" i="75"/>
  <c r="FT45" i="75"/>
  <c r="FS45" i="75"/>
  <c r="FR45" i="75"/>
  <c r="EG45" i="75"/>
  <c r="EF45" i="75"/>
  <c r="EE45" i="75"/>
  <c r="ED45" i="75"/>
  <c r="BK45" i="75"/>
  <c r="BJ45" i="75"/>
  <c r="BI45" i="75"/>
  <c r="BH45" i="75"/>
  <c r="BG45" i="75"/>
  <c r="ND44" i="75"/>
  <c r="NC44" i="75"/>
  <c r="NB44" i="75"/>
  <c r="NA44" i="75"/>
  <c r="MZ44" i="75"/>
  <c r="LF44" i="75"/>
  <c r="LE44" i="75"/>
  <c r="LD44" i="75"/>
  <c r="LC44" i="75"/>
  <c r="LB44" i="75"/>
  <c r="LA44" i="75"/>
  <c r="KZ44" i="75"/>
  <c r="KY44" i="75"/>
  <c r="KX44" i="75"/>
  <c r="KW44" i="75"/>
  <c r="KV44" i="75"/>
  <c r="KU44" i="75"/>
  <c r="KT44" i="75"/>
  <c r="KS44" i="75"/>
  <c r="KR44" i="75"/>
  <c r="KQ44" i="75"/>
  <c r="KP44" i="75"/>
  <c r="KO44" i="75"/>
  <c r="KN44" i="75"/>
  <c r="KM44" i="75"/>
  <c r="KL44" i="75"/>
  <c r="KK44" i="75"/>
  <c r="KJ44" i="75"/>
  <c r="KI44" i="75"/>
  <c r="KH44" i="75"/>
  <c r="KG44" i="75"/>
  <c r="KF44" i="75"/>
  <c r="KE44" i="75"/>
  <c r="KD44" i="75"/>
  <c r="KC44" i="75"/>
  <c r="KB44" i="75"/>
  <c r="KA44" i="75"/>
  <c r="JZ44" i="75"/>
  <c r="JY44" i="75"/>
  <c r="JX44" i="75"/>
  <c r="JW44" i="75"/>
  <c r="JV44" i="75"/>
  <c r="JU44" i="75"/>
  <c r="JT44" i="75"/>
  <c r="JS44" i="75"/>
  <c r="JR44" i="75"/>
  <c r="JQ44" i="75"/>
  <c r="JP44" i="75"/>
  <c r="JO44" i="75"/>
  <c r="JN44" i="75"/>
  <c r="JM44" i="75"/>
  <c r="JL44" i="75"/>
  <c r="JK44" i="75"/>
  <c r="JJ44" i="75"/>
  <c r="JI44" i="75"/>
  <c r="JH44" i="75"/>
  <c r="JG44" i="75"/>
  <c r="JF44" i="75"/>
  <c r="JE44" i="75"/>
  <c r="JD44" i="75"/>
  <c r="JC44" i="75"/>
  <c r="JB44" i="75"/>
  <c r="JA44" i="75"/>
  <c r="IZ44" i="75"/>
  <c r="IY44" i="75"/>
  <c r="IX44" i="75"/>
  <c r="IW44" i="75"/>
  <c r="IV44" i="75"/>
  <c r="IU44" i="75"/>
  <c r="IT44" i="75"/>
  <c r="IS44" i="75"/>
  <c r="IR44" i="75"/>
  <c r="IQ44" i="75"/>
  <c r="IP44" i="75"/>
  <c r="IO44" i="75"/>
  <c r="IN44" i="75"/>
  <c r="IM44" i="75"/>
  <c r="IL44" i="75"/>
  <c r="IK44" i="75"/>
  <c r="IJ44" i="75"/>
  <c r="II44" i="75"/>
  <c r="IH44" i="75"/>
  <c r="IG44" i="75"/>
  <c r="IF44" i="75"/>
  <c r="IE44" i="75"/>
  <c r="ID44" i="75"/>
  <c r="IC44" i="75"/>
  <c r="IB44" i="75"/>
  <c r="IA44" i="75"/>
  <c r="HZ44" i="75"/>
  <c r="HY44" i="75"/>
  <c r="HX44" i="75"/>
  <c r="HW44" i="75"/>
  <c r="HV44" i="75"/>
  <c r="HU44" i="75"/>
  <c r="HT44" i="75"/>
  <c r="HS44" i="75"/>
  <c r="HR44" i="75"/>
  <c r="HQ44" i="75"/>
  <c r="HP44" i="75"/>
  <c r="HJ44" i="75"/>
  <c r="HI44" i="75"/>
  <c r="HH44" i="75"/>
  <c r="HG44" i="75"/>
  <c r="HF44" i="75"/>
  <c r="HE44" i="75"/>
  <c r="HD44" i="75"/>
  <c r="HC44" i="75"/>
  <c r="HB44" i="75"/>
  <c r="HA44" i="75"/>
  <c r="GU44" i="75"/>
  <c r="GT44" i="75"/>
  <c r="GS44" i="75"/>
  <c r="GR44" i="75"/>
  <c r="GQ44" i="75"/>
  <c r="GP44" i="75"/>
  <c r="GO44" i="75"/>
  <c r="GN44" i="75"/>
  <c r="GM44" i="75"/>
  <c r="GL44" i="75"/>
  <c r="GF44" i="75"/>
  <c r="GE44" i="75"/>
  <c r="GD44" i="75"/>
  <c r="GC44" i="75"/>
  <c r="GB44" i="75"/>
  <c r="GA44" i="75"/>
  <c r="FZ44" i="75"/>
  <c r="FY44" i="75"/>
  <c r="FX44" i="75"/>
  <c r="FW44" i="75"/>
  <c r="FV44" i="75"/>
  <c r="FU44" i="75"/>
  <c r="FT44" i="75"/>
  <c r="FS44" i="75"/>
  <c r="FR44" i="75"/>
  <c r="EG44" i="75"/>
  <c r="EF44" i="75"/>
  <c r="EE44" i="75"/>
  <c r="ED44" i="75"/>
  <c r="BK44" i="75"/>
  <c r="BJ44" i="75"/>
  <c r="BI44" i="75"/>
  <c r="BH44" i="75"/>
  <c r="BG44" i="75"/>
  <c r="ND43" i="75"/>
  <c r="NC43" i="75"/>
  <c r="NB43" i="75"/>
  <c r="NA43" i="75"/>
  <c r="MZ43" i="75"/>
  <c r="LF43" i="75"/>
  <c r="LE43" i="75"/>
  <c r="LD43" i="75"/>
  <c r="LC43" i="75"/>
  <c r="LB43" i="75"/>
  <c r="LA43" i="75"/>
  <c r="KZ43" i="75"/>
  <c r="KY43" i="75"/>
  <c r="KX43" i="75"/>
  <c r="KW43" i="75"/>
  <c r="KV43" i="75"/>
  <c r="KU43" i="75"/>
  <c r="KT43" i="75"/>
  <c r="KS43" i="75"/>
  <c r="KR43" i="75"/>
  <c r="KQ43" i="75"/>
  <c r="KP43" i="75"/>
  <c r="KO43" i="75"/>
  <c r="KN43" i="75"/>
  <c r="KM43" i="75"/>
  <c r="KL43" i="75"/>
  <c r="KK43" i="75"/>
  <c r="KJ43" i="75"/>
  <c r="KI43" i="75"/>
  <c r="KH43" i="75"/>
  <c r="KG43" i="75"/>
  <c r="KF43" i="75"/>
  <c r="KE43" i="75"/>
  <c r="KD43" i="75"/>
  <c r="KC43" i="75"/>
  <c r="KB43" i="75"/>
  <c r="KA43" i="75"/>
  <c r="JZ43" i="75"/>
  <c r="JY43" i="75"/>
  <c r="JX43" i="75"/>
  <c r="JW43" i="75"/>
  <c r="JV43" i="75"/>
  <c r="JU43" i="75"/>
  <c r="JT43" i="75"/>
  <c r="JS43" i="75"/>
  <c r="JR43" i="75"/>
  <c r="JQ43" i="75"/>
  <c r="JP43" i="75"/>
  <c r="JO43" i="75"/>
  <c r="JN43" i="75"/>
  <c r="JM43" i="75"/>
  <c r="JL43" i="75"/>
  <c r="JK43" i="75"/>
  <c r="JJ43" i="75"/>
  <c r="JI43" i="75"/>
  <c r="JH43" i="75"/>
  <c r="JG43" i="75"/>
  <c r="JF43" i="75"/>
  <c r="JE43" i="75"/>
  <c r="JD43" i="75"/>
  <c r="JC43" i="75"/>
  <c r="JB43" i="75"/>
  <c r="JA43" i="75"/>
  <c r="IZ43" i="75"/>
  <c r="IY43" i="75"/>
  <c r="IX43" i="75"/>
  <c r="IW43" i="75"/>
  <c r="IV43" i="75"/>
  <c r="IU43" i="75"/>
  <c r="IT43" i="75"/>
  <c r="IS43" i="75"/>
  <c r="IR43" i="75"/>
  <c r="IQ43" i="75"/>
  <c r="IP43" i="75"/>
  <c r="IO43" i="75"/>
  <c r="IN43" i="75"/>
  <c r="IM43" i="75"/>
  <c r="IL43" i="75"/>
  <c r="IK43" i="75"/>
  <c r="IJ43" i="75"/>
  <c r="II43" i="75"/>
  <c r="IH43" i="75"/>
  <c r="IG43" i="75"/>
  <c r="IF43" i="75"/>
  <c r="IE43" i="75"/>
  <c r="ID43" i="75"/>
  <c r="IC43" i="75"/>
  <c r="IB43" i="75"/>
  <c r="IA43" i="75"/>
  <c r="HZ43" i="75"/>
  <c r="HY43" i="75"/>
  <c r="HX43" i="75"/>
  <c r="HW43" i="75"/>
  <c r="HV43" i="75"/>
  <c r="HU43" i="75"/>
  <c r="HT43" i="75"/>
  <c r="HS43" i="75"/>
  <c r="HR43" i="75"/>
  <c r="HQ43" i="75"/>
  <c r="HP43" i="75"/>
  <c r="HJ43" i="75"/>
  <c r="HI43" i="75"/>
  <c r="HH43" i="75"/>
  <c r="HG43" i="75"/>
  <c r="HF43" i="75"/>
  <c r="HE43" i="75"/>
  <c r="HD43" i="75"/>
  <c r="HC43" i="75"/>
  <c r="HB43" i="75"/>
  <c r="HA43" i="75"/>
  <c r="GU43" i="75"/>
  <c r="GT43" i="75"/>
  <c r="GS43" i="75"/>
  <c r="GR43" i="75"/>
  <c r="GQ43" i="75"/>
  <c r="GP43" i="75"/>
  <c r="GO43" i="75"/>
  <c r="GN43" i="75"/>
  <c r="GM43" i="75"/>
  <c r="GL43" i="75"/>
  <c r="GF43" i="75"/>
  <c r="GE43" i="75"/>
  <c r="GD43" i="75"/>
  <c r="GC43" i="75"/>
  <c r="GB43" i="75"/>
  <c r="GA43" i="75"/>
  <c r="FZ43" i="75"/>
  <c r="FY43" i="75"/>
  <c r="FX43" i="75"/>
  <c r="FW43" i="75"/>
  <c r="FV43" i="75"/>
  <c r="FU43" i="75"/>
  <c r="FT43" i="75"/>
  <c r="FS43" i="75"/>
  <c r="FR43" i="75"/>
  <c r="EG43" i="75"/>
  <c r="EF43" i="75"/>
  <c r="EE43" i="75"/>
  <c r="ED43" i="75"/>
  <c r="BK43" i="75"/>
  <c r="BJ43" i="75"/>
  <c r="BI43" i="75"/>
  <c r="BH43" i="75"/>
  <c r="BG43" i="75"/>
  <c r="ND42" i="75"/>
  <c r="NC42" i="75"/>
  <c r="NB42" i="75"/>
  <c r="NA42" i="75"/>
  <c r="MZ42" i="75"/>
  <c r="LF42" i="75"/>
  <c r="LE42" i="75"/>
  <c r="LD42" i="75"/>
  <c r="LC42" i="75"/>
  <c r="LB42" i="75"/>
  <c r="LA42" i="75"/>
  <c r="KZ42" i="75"/>
  <c r="KY42" i="75"/>
  <c r="KX42" i="75"/>
  <c r="KW42" i="75"/>
  <c r="KV42" i="75"/>
  <c r="KU42" i="75"/>
  <c r="KT42" i="75"/>
  <c r="KS42" i="75"/>
  <c r="KR42" i="75"/>
  <c r="KQ42" i="75"/>
  <c r="KP42" i="75"/>
  <c r="KO42" i="75"/>
  <c r="KN42" i="75"/>
  <c r="KM42" i="75"/>
  <c r="KL42" i="75"/>
  <c r="KK42" i="75"/>
  <c r="KJ42" i="75"/>
  <c r="KI42" i="75"/>
  <c r="KH42" i="75"/>
  <c r="KG42" i="75"/>
  <c r="KF42" i="75"/>
  <c r="KE42" i="75"/>
  <c r="KD42" i="75"/>
  <c r="KC42" i="75"/>
  <c r="KB42" i="75"/>
  <c r="KA42" i="75"/>
  <c r="JZ42" i="75"/>
  <c r="JY42" i="75"/>
  <c r="JX42" i="75"/>
  <c r="JW42" i="75"/>
  <c r="JV42" i="75"/>
  <c r="JU42" i="75"/>
  <c r="JT42" i="75"/>
  <c r="JS42" i="75"/>
  <c r="JR42" i="75"/>
  <c r="JQ42" i="75"/>
  <c r="JP42" i="75"/>
  <c r="JO42" i="75"/>
  <c r="JN42" i="75"/>
  <c r="JM42" i="75"/>
  <c r="JL42" i="75"/>
  <c r="JK42" i="75"/>
  <c r="JJ42" i="75"/>
  <c r="JI42" i="75"/>
  <c r="JH42" i="75"/>
  <c r="JG42" i="75"/>
  <c r="JF42" i="75"/>
  <c r="JE42" i="75"/>
  <c r="JD42" i="75"/>
  <c r="JC42" i="75"/>
  <c r="JB42" i="75"/>
  <c r="JA42" i="75"/>
  <c r="IZ42" i="75"/>
  <c r="IY42" i="75"/>
  <c r="IX42" i="75"/>
  <c r="IW42" i="75"/>
  <c r="IV42" i="75"/>
  <c r="IU42" i="75"/>
  <c r="IT42" i="75"/>
  <c r="IS42" i="75"/>
  <c r="IR42" i="75"/>
  <c r="IQ42" i="75"/>
  <c r="IP42" i="75"/>
  <c r="IO42" i="75"/>
  <c r="IN42" i="75"/>
  <c r="IM42" i="75"/>
  <c r="IL42" i="75"/>
  <c r="IK42" i="75"/>
  <c r="IJ42" i="75"/>
  <c r="II42" i="75"/>
  <c r="IH42" i="75"/>
  <c r="IG42" i="75"/>
  <c r="IF42" i="75"/>
  <c r="IE42" i="75"/>
  <c r="ID42" i="75"/>
  <c r="IC42" i="75"/>
  <c r="IB42" i="75"/>
  <c r="IA42" i="75"/>
  <c r="HZ42" i="75"/>
  <c r="HY42" i="75"/>
  <c r="HX42" i="75"/>
  <c r="HW42" i="75"/>
  <c r="HV42" i="75"/>
  <c r="HU42" i="75"/>
  <c r="HT42" i="75"/>
  <c r="HS42" i="75"/>
  <c r="HR42" i="75"/>
  <c r="HQ42" i="75"/>
  <c r="HP42" i="75"/>
  <c r="HJ42" i="75"/>
  <c r="HI42" i="75"/>
  <c r="HH42" i="75"/>
  <c r="HG42" i="75"/>
  <c r="HF42" i="75"/>
  <c r="HE42" i="75"/>
  <c r="HD42" i="75"/>
  <c r="HC42" i="75"/>
  <c r="HB42" i="75"/>
  <c r="HA42" i="75"/>
  <c r="GU42" i="75"/>
  <c r="GT42" i="75"/>
  <c r="GS42" i="75"/>
  <c r="GR42" i="75"/>
  <c r="GQ42" i="75"/>
  <c r="GP42" i="75"/>
  <c r="GO42" i="75"/>
  <c r="GN42" i="75"/>
  <c r="GM42" i="75"/>
  <c r="GL42" i="75"/>
  <c r="GF42" i="75"/>
  <c r="GE42" i="75"/>
  <c r="GD42" i="75"/>
  <c r="GC42" i="75"/>
  <c r="GB42" i="75"/>
  <c r="GA42" i="75"/>
  <c r="FZ42" i="75"/>
  <c r="FY42" i="75"/>
  <c r="FX42" i="75"/>
  <c r="FW42" i="75"/>
  <c r="FV42" i="75"/>
  <c r="FU42" i="75"/>
  <c r="FT42" i="75"/>
  <c r="FS42" i="75"/>
  <c r="FR42" i="75"/>
  <c r="EG42" i="75"/>
  <c r="EF42" i="75"/>
  <c r="EE42" i="75"/>
  <c r="ED42" i="75"/>
  <c r="BK42" i="75"/>
  <c r="BJ42" i="75"/>
  <c r="BI42" i="75"/>
  <c r="BH42" i="75"/>
  <c r="BG42" i="75"/>
  <c r="ND41" i="75"/>
  <c r="NC41" i="75"/>
  <c r="NB41" i="75"/>
  <c r="NA41" i="75"/>
  <c r="MZ41" i="75"/>
  <c r="LF41" i="75"/>
  <c r="LE41" i="75"/>
  <c r="LD41" i="75"/>
  <c r="LC41" i="75"/>
  <c r="LB41" i="75"/>
  <c r="LA41" i="75"/>
  <c r="KZ41" i="75"/>
  <c r="KY41" i="75"/>
  <c r="KX41" i="75"/>
  <c r="KW41" i="75"/>
  <c r="KV41" i="75"/>
  <c r="KU41" i="75"/>
  <c r="KT41" i="75"/>
  <c r="KS41" i="75"/>
  <c r="KR41" i="75"/>
  <c r="KQ41" i="75"/>
  <c r="KP41" i="75"/>
  <c r="KO41" i="75"/>
  <c r="KN41" i="75"/>
  <c r="KM41" i="75"/>
  <c r="KL41" i="75"/>
  <c r="KK41" i="75"/>
  <c r="KJ41" i="75"/>
  <c r="KI41" i="75"/>
  <c r="KH41" i="75"/>
  <c r="KG41" i="75"/>
  <c r="KF41" i="75"/>
  <c r="KE41" i="75"/>
  <c r="KD41" i="75"/>
  <c r="KC41" i="75"/>
  <c r="KB41" i="75"/>
  <c r="KA41" i="75"/>
  <c r="JZ41" i="75"/>
  <c r="JY41" i="75"/>
  <c r="JX41" i="75"/>
  <c r="JW41" i="75"/>
  <c r="JV41" i="75"/>
  <c r="JU41" i="75"/>
  <c r="JT41" i="75"/>
  <c r="JS41" i="75"/>
  <c r="JR41" i="75"/>
  <c r="JQ41" i="75"/>
  <c r="JP41" i="75"/>
  <c r="JO41" i="75"/>
  <c r="JN41" i="75"/>
  <c r="JM41" i="75"/>
  <c r="JL41" i="75"/>
  <c r="JK41" i="75"/>
  <c r="JJ41" i="75"/>
  <c r="JI41" i="75"/>
  <c r="JH41" i="75"/>
  <c r="JG41" i="75"/>
  <c r="JF41" i="75"/>
  <c r="JE41" i="75"/>
  <c r="JD41" i="75"/>
  <c r="JC41" i="75"/>
  <c r="JB41" i="75"/>
  <c r="JA41" i="75"/>
  <c r="IZ41" i="75"/>
  <c r="IY41" i="75"/>
  <c r="IX41" i="75"/>
  <c r="IW41" i="75"/>
  <c r="IV41" i="75"/>
  <c r="IU41" i="75"/>
  <c r="IT41" i="75"/>
  <c r="IS41" i="75"/>
  <c r="IR41" i="75"/>
  <c r="IQ41" i="75"/>
  <c r="IP41" i="75"/>
  <c r="IO41" i="75"/>
  <c r="IN41" i="75"/>
  <c r="IM41" i="75"/>
  <c r="IL41" i="75"/>
  <c r="IK41" i="75"/>
  <c r="IJ41" i="75"/>
  <c r="II41" i="75"/>
  <c r="IH41" i="75"/>
  <c r="IG41" i="75"/>
  <c r="IF41" i="75"/>
  <c r="IE41" i="75"/>
  <c r="ID41" i="75"/>
  <c r="IC41" i="75"/>
  <c r="IB41" i="75"/>
  <c r="IA41" i="75"/>
  <c r="HZ41" i="75"/>
  <c r="HY41" i="75"/>
  <c r="HX41" i="75"/>
  <c r="HW41" i="75"/>
  <c r="HV41" i="75"/>
  <c r="HU41" i="75"/>
  <c r="HT41" i="75"/>
  <c r="HS41" i="75"/>
  <c r="HR41" i="75"/>
  <c r="HQ41" i="75"/>
  <c r="HP41" i="75"/>
  <c r="HJ41" i="75"/>
  <c r="HI41" i="75"/>
  <c r="HH41" i="75"/>
  <c r="HG41" i="75"/>
  <c r="HF41" i="75"/>
  <c r="HE41" i="75"/>
  <c r="HD41" i="75"/>
  <c r="HC41" i="75"/>
  <c r="HB41" i="75"/>
  <c r="HA41" i="75"/>
  <c r="GU41" i="75"/>
  <c r="GT41" i="75"/>
  <c r="GS41" i="75"/>
  <c r="GR41" i="75"/>
  <c r="GQ41" i="75"/>
  <c r="GP41" i="75"/>
  <c r="GO41" i="75"/>
  <c r="GN41" i="75"/>
  <c r="GM41" i="75"/>
  <c r="GL41" i="75"/>
  <c r="GF41" i="75"/>
  <c r="GE41" i="75"/>
  <c r="GD41" i="75"/>
  <c r="GC41" i="75"/>
  <c r="GB41" i="75"/>
  <c r="GA41" i="75"/>
  <c r="FZ41" i="75"/>
  <c r="FY41" i="75"/>
  <c r="FX41" i="75"/>
  <c r="FW41" i="75"/>
  <c r="FV41" i="75"/>
  <c r="FU41" i="75"/>
  <c r="FT41" i="75"/>
  <c r="FS41" i="75"/>
  <c r="FR41" i="75"/>
  <c r="EG41" i="75"/>
  <c r="EF41" i="75"/>
  <c r="EE41" i="75"/>
  <c r="ED41" i="75"/>
  <c r="BK41" i="75"/>
  <c r="BJ41" i="75"/>
  <c r="BI41" i="75"/>
  <c r="BH41" i="75"/>
  <c r="BG41" i="75"/>
  <c r="ND40" i="75"/>
  <c r="NC40" i="75"/>
  <c r="NB40" i="75"/>
  <c r="NA40" i="75"/>
  <c r="MZ40" i="75"/>
  <c r="LF40" i="75"/>
  <c r="LE40" i="75"/>
  <c r="LD40" i="75"/>
  <c r="LC40" i="75"/>
  <c r="LB40" i="75"/>
  <c r="LA40" i="75"/>
  <c r="KZ40" i="75"/>
  <c r="KY40" i="75"/>
  <c r="KX40" i="75"/>
  <c r="KW40" i="75"/>
  <c r="KV40" i="75"/>
  <c r="KU40" i="75"/>
  <c r="KT40" i="75"/>
  <c r="KS40" i="75"/>
  <c r="KR40" i="75"/>
  <c r="KQ40" i="75"/>
  <c r="KP40" i="75"/>
  <c r="KO40" i="75"/>
  <c r="KN40" i="75"/>
  <c r="KM40" i="75"/>
  <c r="KL40" i="75"/>
  <c r="KK40" i="75"/>
  <c r="KJ40" i="75"/>
  <c r="KI40" i="75"/>
  <c r="KH40" i="75"/>
  <c r="KG40" i="75"/>
  <c r="KF40" i="75"/>
  <c r="KE40" i="75"/>
  <c r="KD40" i="75"/>
  <c r="KC40" i="75"/>
  <c r="KB40" i="75"/>
  <c r="KA40" i="75"/>
  <c r="JZ40" i="75"/>
  <c r="JY40" i="75"/>
  <c r="JX40" i="75"/>
  <c r="JW40" i="75"/>
  <c r="JV40" i="75"/>
  <c r="JU40" i="75"/>
  <c r="JT40" i="75"/>
  <c r="JS40" i="75"/>
  <c r="JR40" i="75"/>
  <c r="JQ40" i="75"/>
  <c r="JP40" i="75"/>
  <c r="JO40" i="75"/>
  <c r="JN40" i="75"/>
  <c r="JM40" i="75"/>
  <c r="JL40" i="75"/>
  <c r="JK40" i="75"/>
  <c r="JJ40" i="75"/>
  <c r="JI40" i="75"/>
  <c r="JH40" i="75"/>
  <c r="JG40" i="75"/>
  <c r="JF40" i="75"/>
  <c r="JE40" i="75"/>
  <c r="JD40" i="75"/>
  <c r="JC40" i="75"/>
  <c r="JB40" i="75"/>
  <c r="JA40" i="75"/>
  <c r="IZ40" i="75"/>
  <c r="IY40" i="75"/>
  <c r="IX40" i="75"/>
  <c r="IW40" i="75"/>
  <c r="IV40" i="75"/>
  <c r="IU40" i="75"/>
  <c r="IT40" i="75"/>
  <c r="IS40" i="75"/>
  <c r="IR40" i="75"/>
  <c r="IQ40" i="75"/>
  <c r="IP40" i="75"/>
  <c r="IO40" i="75"/>
  <c r="IN40" i="75"/>
  <c r="IM40" i="75"/>
  <c r="IL40" i="75"/>
  <c r="IK40" i="75"/>
  <c r="IJ40" i="75"/>
  <c r="II40" i="75"/>
  <c r="IH40" i="75"/>
  <c r="IG40" i="75"/>
  <c r="IF40" i="75"/>
  <c r="IE40" i="75"/>
  <c r="ID40" i="75"/>
  <c r="IC40" i="75"/>
  <c r="IB40" i="75"/>
  <c r="IA40" i="75"/>
  <c r="HZ40" i="75"/>
  <c r="HY40" i="75"/>
  <c r="HX40" i="75"/>
  <c r="HW40" i="75"/>
  <c r="HV40" i="75"/>
  <c r="HU40" i="75"/>
  <c r="HT40" i="75"/>
  <c r="HS40" i="75"/>
  <c r="HR40" i="75"/>
  <c r="HQ40" i="75"/>
  <c r="HP40" i="75"/>
  <c r="HJ40" i="75"/>
  <c r="HI40" i="75"/>
  <c r="HH40" i="75"/>
  <c r="HG40" i="75"/>
  <c r="HF40" i="75"/>
  <c r="HE40" i="75"/>
  <c r="HD40" i="75"/>
  <c r="HC40" i="75"/>
  <c r="HB40" i="75"/>
  <c r="HA40" i="75"/>
  <c r="GU40" i="75"/>
  <c r="GT40" i="75"/>
  <c r="GS40" i="75"/>
  <c r="GR40" i="75"/>
  <c r="GQ40" i="75"/>
  <c r="GP40" i="75"/>
  <c r="GO40" i="75"/>
  <c r="GN40" i="75"/>
  <c r="GM40" i="75"/>
  <c r="GL40" i="75"/>
  <c r="GF40" i="75"/>
  <c r="GE40" i="75"/>
  <c r="GD40" i="75"/>
  <c r="GC40" i="75"/>
  <c r="GB40" i="75"/>
  <c r="GA40" i="75"/>
  <c r="FZ40" i="75"/>
  <c r="FY40" i="75"/>
  <c r="FX40" i="75"/>
  <c r="FW40" i="75"/>
  <c r="FV40" i="75"/>
  <c r="FU40" i="75"/>
  <c r="FT40" i="75"/>
  <c r="FS40" i="75"/>
  <c r="FR40" i="75"/>
  <c r="EG40" i="75"/>
  <c r="EF40" i="75"/>
  <c r="EE40" i="75"/>
  <c r="ED40" i="75"/>
  <c r="BK40" i="75"/>
  <c r="BJ40" i="75"/>
  <c r="BI40" i="75"/>
  <c r="BH40" i="75"/>
  <c r="BG40" i="75"/>
  <c r="ND39" i="75"/>
  <c r="NC39" i="75"/>
  <c r="NB39" i="75"/>
  <c r="NA39" i="75"/>
  <c r="MZ39" i="75"/>
  <c r="LF39" i="75"/>
  <c r="LE39" i="75"/>
  <c r="LD39" i="75"/>
  <c r="LC39" i="75"/>
  <c r="LB39" i="75"/>
  <c r="LA39" i="75"/>
  <c r="KZ39" i="75"/>
  <c r="KY39" i="75"/>
  <c r="KX39" i="75"/>
  <c r="KW39" i="75"/>
  <c r="KV39" i="75"/>
  <c r="KU39" i="75"/>
  <c r="KT39" i="75"/>
  <c r="KS39" i="75"/>
  <c r="KR39" i="75"/>
  <c r="KQ39" i="75"/>
  <c r="KP39" i="75"/>
  <c r="KO39" i="75"/>
  <c r="KN39" i="75"/>
  <c r="KM39" i="75"/>
  <c r="KL39" i="75"/>
  <c r="KK39" i="75"/>
  <c r="KJ39" i="75"/>
  <c r="KI39" i="75"/>
  <c r="KH39" i="75"/>
  <c r="KG39" i="75"/>
  <c r="KF39" i="75"/>
  <c r="KE39" i="75"/>
  <c r="KD39" i="75"/>
  <c r="KC39" i="75"/>
  <c r="KB39" i="75"/>
  <c r="KA39" i="75"/>
  <c r="JZ39" i="75"/>
  <c r="JY39" i="75"/>
  <c r="JX39" i="75"/>
  <c r="JW39" i="75"/>
  <c r="JV39" i="75"/>
  <c r="JU39" i="75"/>
  <c r="JT39" i="75"/>
  <c r="JS39" i="75"/>
  <c r="JR39" i="75"/>
  <c r="JQ39" i="75"/>
  <c r="JP39" i="75"/>
  <c r="JO39" i="75"/>
  <c r="JN39" i="75"/>
  <c r="JM39" i="75"/>
  <c r="JL39" i="75"/>
  <c r="JK39" i="75"/>
  <c r="JJ39" i="75"/>
  <c r="JI39" i="75"/>
  <c r="JH39" i="75"/>
  <c r="JG39" i="75"/>
  <c r="JF39" i="75"/>
  <c r="JE39" i="75"/>
  <c r="JD39" i="75"/>
  <c r="JC39" i="75"/>
  <c r="JB39" i="75"/>
  <c r="JA39" i="75"/>
  <c r="IZ39" i="75"/>
  <c r="IY39" i="75"/>
  <c r="IX39" i="75"/>
  <c r="IW39" i="75"/>
  <c r="IV39" i="75"/>
  <c r="IU39" i="75"/>
  <c r="IT39" i="75"/>
  <c r="IS39" i="75"/>
  <c r="IR39" i="75"/>
  <c r="IQ39" i="75"/>
  <c r="IP39" i="75"/>
  <c r="IO39" i="75"/>
  <c r="IN39" i="75"/>
  <c r="IM39" i="75"/>
  <c r="IL39" i="75"/>
  <c r="IK39" i="75"/>
  <c r="IJ39" i="75"/>
  <c r="II39" i="75"/>
  <c r="IH39" i="75"/>
  <c r="IG39" i="75"/>
  <c r="IF39" i="75"/>
  <c r="IE39" i="75"/>
  <c r="ID39" i="75"/>
  <c r="IC39" i="75"/>
  <c r="IB39" i="75"/>
  <c r="IA39" i="75"/>
  <c r="HZ39" i="75"/>
  <c r="HY39" i="75"/>
  <c r="HX39" i="75"/>
  <c r="HW39" i="75"/>
  <c r="HV39" i="75"/>
  <c r="HU39" i="75"/>
  <c r="HT39" i="75"/>
  <c r="HS39" i="75"/>
  <c r="HR39" i="75"/>
  <c r="HQ39" i="75"/>
  <c r="HP39" i="75"/>
  <c r="HJ39" i="75"/>
  <c r="HI39" i="75"/>
  <c r="HH39" i="75"/>
  <c r="HG39" i="75"/>
  <c r="HF39" i="75"/>
  <c r="HE39" i="75"/>
  <c r="HD39" i="75"/>
  <c r="HC39" i="75"/>
  <c r="HB39" i="75"/>
  <c r="HA39" i="75"/>
  <c r="GU39" i="75"/>
  <c r="GT39" i="75"/>
  <c r="GS39" i="75"/>
  <c r="GR39" i="75"/>
  <c r="GQ39" i="75"/>
  <c r="GP39" i="75"/>
  <c r="GO39" i="75"/>
  <c r="GN39" i="75"/>
  <c r="GM39" i="75"/>
  <c r="GL39" i="75"/>
  <c r="GF39" i="75"/>
  <c r="GE39" i="75"/>
  <c r="GD39" i="75"/>
  <c r="GC39" i="75"/>
  <c r="GB39" i="75"/>
  <c r="GA39" i="75"/>
  <c r="FZ39" i="75"/>
  <c r="FY39" i="75"/>
  <c r="FX39" i="75"/>
  <c r="FW39" i="75"/>
  <c r="FV39" i="75"/>
  <c r="FU39" i="75"/>
  <c r="FT39" i="75"/>
  <c r="FS39" i="75"/>
  <c r="FR39" i="75"/>
  <c r="EG39" i="75"/>
  <c r="EF39" i="75"/>
  <c r="EE39" i="75"/>
  <c r="ED39" i="75"/>
  <c r="BK39" i="75"/>
  <c r="BJ39" i="75"/>
  <c r="BI39" i="75"/>
  <c r="BH39" i="75"/>
  <c r="BG39" i="75"/>
  <c r="ND38" i="75"/>
  <c r="NC38" i="75"/>
  <c r="NB38" i="75"/>
  <c r="NA38" i="75"/>
  <c r="MZ38" i="75"/>
  <c r="LF38" i="75"/>
  <c r="LE38" i="75"/>
  <c r="LD38" i="75"/>
  <c r="LC38" i="75"/>
  <c r="LB38" i="75"/>
  <c r="LA38" i="75"/>
  <c r="KZ38" i="75"/>
  <c r="KY38" i="75"/>
  <c r="KX38" i="75"/>
  <c r="KW38" i="75"/>
  <c r="KV38" i="75"/>
  <c r="KU38" i="75"/>
  <c r="KT38" i="75"/>
  <c r="KS38" i="75"/>
  <c r="KR38" i="75"/>
  <c r="KQ38" i="75"/>
  <c r="KP38" i="75"/>
  <c r="KO38" i="75"/>
  <c r="KN38" i="75"/>
  <c r="KM38" i="75"/>
  <c r="KL38" i="75"/>
  <c r="KK38" i="75"/>
  <c r="KJ38" i="75"/>
  <c r="KI38" i="75"/>
  <c r="KH38" i="75"/>
  <c r="KG38" i="75"/>
  <c r="KF38" i="75"/>
  <c r="KE38" i="75"/>
  <c r="KD38" i="75"/>
  <c r="KC38" i="75"/>
  <c r="KB38" i="75"/>
  <c r="KA38" i="75"/>
  <c r="JZ38" i="75"/>
  <c r="JY38" i="75"/>
  <c r="JX38" i="75"/>
  <c r="JW38" i="75"/>
  <c r="JV38" i="75"/>
  <c r="JU38" i="75"/>
  <c r="JT38" i="75"/>
  <c r="JS38" i="75"/>
  <c r="JR38" i="75"/>
  <c r="JQ38" i="75"/>
  <c r="JP38" i="75"/>
  <c r="JO38" i="75"/>
  <c r="JN38" i="75"/>
  <c r="JM38" i="75"/>
  <c r="JL38" i="75"/>
  <c r="JK38" i="75"/>
  <c r="JJ38" i="75"/>
  <c r="JI38" i="75"/>
  <c r="JH38" i="75"/>
  <c r="JG38" i="75"/>
  <c r="JF38" i="75"/>
  <c r="JE38" i="75"/>
  <c r="JD38" i="75"/>
  <c r="JC38" i="75"/>
  <c r="JB38" i="75"/>
  <c r="JA38" i="75"/>
  <c r="IZ38" i="75"/>
  <c r="IY38" i="75"/>
  <c r="IX38" i="75"/>
  <c r="IW38" i="75"/>
  <c r="IV38" i="75"/>
  <c r="IU38" i="75"/>
  <c r="IT38" i="75"/>
  <c r="IS38" i="75"/>
  <c r="IR38" i="75"/>
  <c r="IQ38" i="75"/>
  <c r="IP38" i="75"/>
  <c r="IO38" i="75"/>
  <c r="IN38" i="75"/>
  <c r="IM38" i="75"/>
  <c r="IL38" i="75"/>
  <c r="IK38" i="75"/>
  <c r="IJ38" i="75"/>
  <c r="II38" i="75"/>
  <c r="IH38" i="75"/>
  <c r="IG38" i="75"/>
  <c r="IF38" i="75"/>
  <c r="IE38" i="75"/>
  <c r="ID38" i="75"/>
  <c r="IC38" i="75"/>
  <c r="IB38" i="75"/>
  <c r="IA38" i="75"/>
  <c r="HZ38" i="75"/>
  <c r="HY38" i="75"/>
  <c r="HX38" i="75"/>
  <c r="HW38" i="75"/>
  <c r="HV38" i="75"/>
  <c r="HU38" i="75"/>
  <c r="HT38" i="75"/>
  <c r="HS38" i="75"/>
  <c r="HR38" i="75"/>
  <c r="HQ38" i="75"/>
  <c r="HP38" i="75"/>
  <c r="HJ38" i="75"/>
  <c r="HI38" i="75"/>
  <c r="HH38" i="75"/>
  <c r="HG38" i="75"/>
  <c r="HF38" i="75"/>
  <c r="HE38" i="75"/>
  <c r="HD38" i="75"/>
  <c r="HC38" i="75"/>
  <c r="HB38" i="75"/>
  <c r="HA38" i="75"/>
  <c r="GU38" i="75"/>
  <c r="GT38" i="75"/>
  <c r="GS38" i="75"/>
  <c r="GR38" i="75"/>
  <c r="GQ38" i="75"/>
  <c r="GP38" i="75"/>
  <c r="GO38" i="75"/>
  <c r="GN38" i="75"/>
  <c r="GM38" i="75"/>
  <c r="GL38" i="75"/>
  <c r="GF38" i="75"/>
  <c r="GE38" i="75"/>
  <c r="GD38" i="75"/>
  <c r="GC38" i="75"/>
  <c r="GB38" i="75"/>
  <c r="GA38" i="75"/>
  <c r="FZ38" i="75"/>
  <c r="FY38" i="75"/>
  <c r="FX38" i="75"/>
  <c r="FW38" i="75"/>
  <c r="FV38" i="75"/>
  <c r="FU38" i="75"/>
  <c r="FT38" i="75"/>
  <c r="FS38" i="75"/>
  <c r="FR38" i="75"/>
  <c r="EG38" i="75"/>
  <c r="EF38" i="75"/>
  <c r="EE38" i="75"/>
  <c r="ED38" i="75"/>
  <c r="BK38" i="75"/>
  <c r="BJ38" i="75"/>
  <c r="BI38" i="75"/>
  <c r="BH38" i="75"/>
  <c r="BG38" i="75"/>
  <c r="ND37" i="75"/>
  <c r="NC37" i="75"/>
  <c r="NB37" i="75"/>
  <c r="NA37" i="75"/>
  <c r="MZ37" i="75"/>
  <c r="LF37" i="75"/>
  <c r="LE37" i="75"/>
  <c r="LD37" i="75"/>
  <c r="LC37" i="75"/>
  <c r="LB37" i="75"/>
  <c r="LA37" i="75"/>
  <c r="KZ37" i="75"/>
  <c r="KY37" i="75"/>
  <c r="KX37" i="75"/>
  <c r="KW37" i="75"/>
  <c r="KV37" i="75"/>
  <c r="KU37" i="75"/>
  <c r="KT37" i="75"/>
  <c r="KS37" i="75"/>
  <c r="KR37" i="75"/>
  <c r="KQ37" i="75"/>
  <c r="KP37" i="75"/>
  <c r="KO37" i="75"/>
  <c r="KN37" i="75"/>
  <c r="KM37" i="75"/>
  <c r="KL37" i="75"/>
  <c r="KK37" i="75"/>
  <c r="KJ37" i="75"/>
  <c r="KI37" i="75"/>
  <c r="KH37" i="75"/>
  <c r="KG37" i="75"/>
  <c r="KF37" i="75"/>
  <c r="KE37" i="75"/>
  <c r="KD37" i="75"/>
  <c r="KC37" i="75"/>
  <c r="KB37" i="75"/>
  <c r="KA37" i="75"/>
  <c r="JZ37" i="75"/>
  <c r="JY37" i="75"/>
  <c r="JX37" i="75"/>
  <c r="JW37" i="75"/>
  <c r="JV37" i="75"/>
  <c r="JU37" i="75"/>
  <c r="JT37" i="75"/>
  <c r="JS37" i="75"/>
  <c r="JR37" i="75"/>
  <c r="JQ37" i="75"/>
  <c r="JP37" i="75"/>
  <c r="JO37" i="75"/>
  <c r="JN37" i="75"/>
  <c r="JM37" i="75"/>
  <c r="JL37" i="75"/>
  <c r="JK37" i="75"/>
  <c r="JJ37" i="75"/>
  <c r="JI37" i="75"/>
  <c r="JH37" i="75"/>
  <c r="JG37" i="75"/>
  <c r="JF37" i="75"/>
  <c r="JE37" i="75"/>
  <c r="JD37" i="75"/>
  <c r="JC37" i="75"/>
  <c r="JB37" i="75"/>
  <c r="JA37" i="75"/>
  <c r="IZ37" i="75"/>
  <c r="IY37" i="75"/>
  <c r="IX37" i="75"/>
  <c r="IW37" i="75"/>
  <c r="IV37" i="75"/>
  <c r="IU37" i="75"/>
  <c r="IT37" i="75"/>
  <c r="IS37" i="75"/>
  <c r="IR37" i="75"/>
  <c r="IQ37" i="75"/>
  <c r="IP37" i="75"/>
  <c r="IO37" i="75"/>
  <c r="IN37" i="75"/>
  <c r="IM37" i="75"/>
  <c r="IL37" i="75"/>
  <c r="IK37" i="75"/>
  <c r="IJ37" i="75"/>
  <c r="II37" i="75"/>
  <c r="IH37" i="75"/>
  <c r="IG37" i="75"/>
  <c r="IF37" i="75"/>
  <c r="IE37" i="75"/>
  <c r="ID37" i="75"/>
  <c r="IC37" i="75"/>
  <c r="IB37" i="75"/>
  <c r="IA37" i="75"/>
  <c r="HZ37" i="75"/>
  <c r="HY37" i="75"/>
  <c r="HX37" i="75"/>
  <c r="HW37" i="75"/>
  <c r="HV37" i="75"/>
  <c r="HU37" i="75"/>
  <c r="HT37" i="75"/>
  <c r="HS37" i="75"/>
  <c r="HR37" i="75"/>
  <c r="HQ37" i="75"/>
  <c r="HP37" i="75"/>
  <c r="HJ37" i="75"/>
  <c r="HI37" i="75"/>
  <c r="HH37" i="75"/>
  <c r="HG37" i="75"/>
  <c r="HF37" i="75"/>
  <c r="HE37" i="75"/>
  <c r="HD37" i="75"/>
  <c r="HC37" i="75"/>
  <c r="HB37" i="75"/>
  <c r="HA37" i="75"/>
  <c r="GU37" i="75"/>
  <c r="GT37" i="75"/>
  <c r="GS37" i="75"/>
  <c r="GR37" i="75"/>
  <c r="GQ37" i="75"/>
  <c r="GP37" i="75"/>
  <c r="GO37" i="75"/>
  <c r="GN37" i="75"/>
  <c r="GM37" i="75"/>
  <c r="GL37" i="75"/>
  <c r="GF37" i="75"/>
  <c r="GE37" i="75"/>
  <c r="GD37" i="75"/>
  <c r="GC37" i="75"/>
  <c r="GB37" i="75"/>
  <c r="GA37" i="75"/>
  <c r="FZ37" i="75"/>
  <c r="FY37" i="75"/>
  <c r="FX37" i="75"/>
  <c r="FW37" i="75"/>
  <c r="FV37" i="75"/>
  <c r="FU37" i="75"/>
  <c r="FT37" i="75"/>
  <c r="FS37" i="75"/>
  <c r="FR37" i="75"/>
  <c r="EG37" i="75"/>
  <c r="EF37" i="75"/>
  <c r="EE37" i="75"/>
  <c r="ED37" i="75"/>
  <c r="BK37" i="75"/>
  <c r="BJ37" i="75"/>
  <c r="BI37" i="75"/>
  <c r="BH37" i="75"/>
  <c r="BG37" i="75"/>
  <c r="ND36" i="75"/>
  <c r="NC36" i="75"/>
  <c r="NB36" i="75"/>
  <c r="NA36" i="75"/>
  <c r="MZ36" i="75"/>
  <c r="LF36" i="75"/>
  <c r="LE36" i="75"/>
  <c r="LD36" i="75"/>
  <c r="LC36" i="75"/>
  <c r="LB36" i="75"/>
  <c r="LA36" i="75"/>
  <c r="KZ36" i="75"/>
  <c r="KY36" i="75"/>
  <c r="KX36" i="75"/>
  <c r="KW36" i="75"/>
  <c r="KV36" i="75"/>
  <c r="KU36" i="75"/>
  <c r="KT36" i="75"/>
  <c r="KS36" i="75"/>
  <c r="KR36" i="75"/>
  <c r="KQ36" i="75"/>
  <c r="KP36" i="75"/>
  <c r="KO36" i="75"/>
  <c r="KN36" i="75"/>
  <c r="KM36" i="75"/>
  <c r="KL36" i="75"/>
  <c r="KK36" i="75"/>
  <c r="KJ36" i="75"/>
  <c r="KI36" i="75"/>
  <c r="KH36" i="75"/>
  <c r="KG36" i="75"/>
  <c r="KF36" i="75"/>
  <c r="KE36" i="75"/>
  <c r="KD36" i="75"/>
  <c r="KC36" i="75"/>
  <c r="KB36" i="75"/>
  <c r="KA36" i="75"/>
  <c r="JZ36" i="75"/>
  <c r="JY36" i="75"/>
  <c r="JX36" i="75"/>
  <c r="JW36" i="75"/>
  <c r="JV36" i="75"/>
  <c r="JU36" i="75"/>
  <c r="JT36" i="75"/>
  <c r="JS36" i="75"/>
  <c r="JR36" i="75"/>
  <c r="JQ36" i="75"/>
  <c r="JP36" i="75"/>
  <c r="JO36" i="75"/>
  <c r="JN36" i="75"/>
  <c r="JM36" i="75"/>
  <c r="JL36" i="75"/>
  <c r="JK36" i="75"/>
  <c r="JJ36" i="75"/>
  <c r="JI36" i="75"/>
  <c r="JH36" i="75"/>
  <c r="JG36" i="75"/>
  <c r="JF36" i="75"/>
  <c r="JE36" i="75"/>
  <c r="JD36" i="75"/>
  <c r="JC36" i="75"/>
  <c r="JB36" i="75"/>
  <c r="JA36" i="75"/>
  <c r="IZ36" i="75"/>
  <c r="IY36" i="75"/>
  <c r="IX36" i="75"/>
  <c r="IW36" i="75"/>
  <c r="IV36" i="75"/>
  <c r="IU36" i="75"/>
  <c r="IT36" i="75"/>
  <c r="IS36" i="75"/>
  <c r="IR36" i="75"/>
  <c r="IQ36" i="75"/>
  <c r="IP36" i="75"/>
  <c r="IO36" i="75"/>
  <c r="IN36" i="75"/>
  <c r="IM36" i="75"/>
  <c r="IL36" i="75"/>
  <c r="IK36" i="75"/>
  <c r="IJ36" i="75"/>
  <c r="II36" i="75"/>
  <c r="IH36" i="75"/>
  <c r="IG36" i="75"/>
  <c r="IF36" i="75"/>
  <c r="IE36" i="75"/>
  <c r="ID36" i="75"/>
  <c r="IC36" i="75"/>
  <c r="IB36" i="75"/>
  <c r="IA36" i="75"/>
  <c r="HZ36" i="75"/>
  <c r="HY36" i="75"/>
  <c r="HX36" i="75"/>
  <c r="HW36" i="75"/>
  <c r="HV36" i="75"/>
  <c r="HU36" i="75"/>
  <c r="HT36" i="75"/>
  <c r="HS36" i="75"/>
  <c r="HR36" i="75"/>
  <c r="HQ36" i="75"/>
  <c r="HP36" i="75"/>
  <c r="HJ36" i="75"/>
  <c r="HI36" i="75"/>
  <c r="HH36" i="75"/>
  <c r="HG36" i="75"/>
  <c r="HF36" i="75"/>
  <c r="HE36" i="75"/>
  <c r="HD36" i="75"/>
  <c r="HC36" i="75"/>
  <c r="HB36" i="75"/>
  <c r="HA36" i="75"/>
  <c r="GU36" i="75"/>
  <c r="GT36" i="75"/>
  <c r="GS36" i="75"/>
  <c r="GR36" i="75"/>
  <c r="GQ36" i="75"/>
  <c r="GP36" i="75"/>
  <c r="GO36" i="75"/>
  <c r="GN36" i="75"/>
  <c r="GM36" i="75"/>
  <c r="GL36" i="75"/>
  <c r="GF36" i="75"/>
  <c r="GE36" i="75"/>
  <c r="GD36" i="75"/>
  <c r="GC36" i="75"/>
  <c r="GB36" i="75"/>
  <c r="GA36" i="75"/>
  <c r="FZ36" i="75"/>
  <c r="FY36" i="75"/>
  <c r="FX36" i="75"/>
  <c r="FW36" i="75"/>
  <c r="FV36" i="75"/>
  <c r="FU36" i="75"/>
  <c r="FT36" i="75"/>
  <c r="FS36" i="75"/>
  <c r="FR36" i="75"/>
  <c r="EG36" i="75"/>
  <c r="EF36" i="75"/>
  <c r="EE36" i="75"/>
  <c r="ED36" i="75"/>
  <c r="BK36" i="75"/>
  <c r="BJ36" i="75"/>
  <c r="BI36" i="75"/>
  <c r="BH36" i="75"/>
  <c r="BG36" i="75"/>
  <c r="ND35" i="75"/>
  <c r="NC35" i="75"/>
  <c r="NB35" i="75"/>
  <c r="NA35" i="75"/>
  <c r="MZ35" i="75"/>
  <c r="LF35" i="75"/>
  <c r="LE35" i="75"/>
  <c r="LD35" i="75"/>
  <c r="LC35" i="75"/>
  <c r="LB35" i="75"/>
  <c r="LA35" i="75"/>
  <c r="KZ35" i="75"/>
  <c r="KY35" i="75"/>
  <c r="KX35" i="75"/>
  <c r="KW35" i="75"/>
  <c r="KV35" i="75"/>
  <c r="KU35" i="75"/>
  <c r="KT35" i="75"/>
  <c r="KS35" i="75"/>
  <c r="KR35" i="75"/>
  <c r="KQ35" i="75"/>
  <c r="KP35" i="75"/>
  <c r="KO35" i="75"/>
  <c r="KN35" i="75"/>
  <c r="KM35" i="75"/>
  <c r="KL35" i="75"/>
  <c r="KK35" i="75"/>
  <c r="KJ35" i="75"/>
  <c r="KI35" i="75"/>
  <c r="KH35" i="75"/>
  <c r="KG35" i="75"/>
  <c r="KF35" i="75"/>
  <c r="KE35" i="75"/>
  <c r="KD35" i="75"/>
  <c r="KC35" i="75"/>
  <c r="KB35" i="75"/>
  <c r="KA35" i="75"/>
  <c r="JZ35" i="75"/>
  <c r="JY35" i="75"/>
  <c r="JX35" i="75"/>
  <c r="JW35" i="75"/>
  <c r="JV35" i="75"/>
  <c r="JU35" i="75"/>
  <c r="JT35" i="75"/>
  <c r="JS35" i="75"/>
  <c r="JR35" i="75"/>
  <c r="JQ35" i="75"/>
  <c r="JP35" i="75"/>
  <c r="JO35" i="75"/>
  <c r="JN35" i="75"/>
  <c r="JM35" i="75"/>
  <c r="JL35" i="75"/>
  <c r="JK35" i="75"/>
  <c r="JJ35" i="75"/>
  <c r="JI35" i="75"/>
  <c r="JH35" i="75"/>
  <c r="JG35" i="75"/>
  <c r="JF35" i="75"/>
  <c r="JE35" i="75"/>
  <c r="JD35" i="75"/>
  <c r="JC35" i="75"/>
  <c r="JB35" i="75"/>
  <c r="JA35" i="75"/>
  <c r="IZ35" i="75"/>
  <c r="IY35" i="75"/>
  <c r="IX35" i="75"/>
  <c r="IW35" i="75"/>
  <c r="IV35" i="75"/>
  <c r="IU35" i="75"/>
  <c r="IT35" i="75"/>
  <c r="IS35" i="75"/>
  <c r="IR35" i="75"/>
  <c r="IQ35" i="75"/>
  <c r="IP35" i="75"/>
  <c r="IO35" i="75"/>
  <c r="IN35" i="75"/>
  <c r="IM35" i="75"/>
  <c r="IL35" i="75"/>
  <c r="IK35" i="75"/>
  <c r="IJ35" i="75"/>
  <c r="II35" i="75"/>
  <c r="IH35" i="75"/>
  <c r="IG35" i="75"/>
  <c r="IF35" i="75"/>
  <c r="IE35" i="75"/>
  <c r="ID35" i="75"/>
  <c r="IC35" i="75"/>
  <c r="IB35" i="75"/>
  <c r="IA35" i="75"/>
  <c r="HZ35" i="75"/>
  <c r="HY35" i="75"/>
  <c r="HX35" i="75"/>
  <c r="HW35" i="75"/>
  <c r="HV35" i="75"/>
  <c r="HU35" i="75"/>
  <c r="HT35" i="75"/>
  <c r="HS35" i="75"/>
  <c r="HR35" i="75"/>
  <c r="HQ35" i="75"/>
  <c r="HP35" i="75"/>
  <c r="HJ35" i="75"/>
  <c r="HI35" i="75"/>
  <c r="HH35" i="75"/>
  <c r="HG35" i="75"/>
  <c r="HF35" i="75"/>
  <c r="HE35" i="75"/>
  <c r="HD35" i="75"/>
  <c r="HC35" i="75"/>
  <c r="HB35" i="75"/>
  <c r="HA35" i="75"/>
  <c r="GU35" i="75"/>
  <c r="GT35" i="75"/>
  <c r="GS35" i="75"/>
  <c r="GR35" i="75"/>
  <c r="GQ35" i="75"/>
  <c r="GP35" i="75"/>
  <c r="GO35" i="75"/>
  <c r="GN35" i="75"/>
  <c r="GM35" i="75"/>
  <c r="GL35" i="75"/>
  <c r="GF35" i="75"/>
  <c r="GE35" i="75"/>
  <c r="GD35" i="75"/>
  <c r="GC35" i="75"/>
  <c r="GB35" i="75"/>
  <c r="GA35" i="75"/>
  <c r="FZ35" i="75"/>
  <c r="FY35" i="75"/>
  <c r="FX35" i="75"/>
  <c r="FW35" i="75"/>
  <c r="FV35" i="75"/>
  <c r="FU35" i="75"/>
  <c r="FT35" i="75"/>
  <c r="FS35" i="75"/>
  <c r="FR35" i="75"/>
  <c r="EG35" i="75"/>
  <c r="EF35" i="75"/>
  <c r="EE35" i="75"/>
  <c r="ED35" i="75"/>
  <c r="BK35" i="75"/>
  <c r="BJ35" i="75"/>
  <c r="BI35" i="75"/>
  <c r="BH35" i="75"/>
  <c r="BG35" i="75"/>
  <c r="ND34" i="75"/>
  <c r="NC34" i="75"/>
  <c r="NB34" i="75"/>
  <c r="NA34" i="75"/>
  <c r="MZ34" i="75"/>
  <c r="LF34" i="75"/>
  <c r="LE34" i="75"/>
  <c r="LD34" i="75"/>
  <c r="LC34" i="75"/>
  <c r="LB34" i="75"/>
  <c r="LA34" i="75"/>
  <c r="KZ34" i="75"/>
  <c r="KY34" i="75"/>
  <c r="KX34" i="75"/>
  <c r="KW34" i="75"/>
  <c r="KV34" i="75"/>
  <c r="KU34" i="75"/>
  <c r="KT34" i="75"/>
  <c r="KS34" i="75"/>
  <c r="KR34" i="75"/>
  <c r="KQ34" i="75"/>
  <c r="KP34" i="75"/>
  <c r="KO34" i="75"/>
  <c r="KN34" i="75"/>
  <c r="KM34" i="75"/>
  <c r="KL34" i="75"/>
  <c r="KK34" i="75"/>
  <c r="KJ34" i="75"/>
  <c r="KI34" i="75"/>
  <c r="KH34" i="75"/>
  <c r="KG34" i="75"/>
  <c r="KF34" i="75"/>
  <c r="KE34" i="75"/>
  <c r="KD34" i="75"/>
  <c r="KC34" i="75"/>
  <c r="KB34" i="75"/>
  <c r="KA34" i="75"/>
  <c r="JZ34" i="75"/>
  <c r="JY34" i="75"/>
  <c r="JX34" i="75"/>
  <c r="JW34" i="75"/>
  <c r="JV34" i="75"/>
  <c r="JU34" i="75"/>
  <c r="JT34" i="75"/>
  <c r="JS34" i="75"/>
  <c r="JR34" i="75"/>
  <c r="JQ34" i="75"/>
  <c r="JP34" i="75"/>
  <c r="JO34" i="75"/>
  <c r="JN34" i="75"/>
  <c r="JM34" i="75"/>
  <c r="JL34" i="75"/>
  <c r="JK34" i="75"/>
  <c r="JJ34" i="75"/>
  <c r="JI34" i="75"/>
  <c r="JH34" i="75"/>
  <c r="JG34" i="75"/>
  <c r="JF34" i="75"/>
  <c r="JE34" i="75"/>
  <c r="JD34" i="75"/>
  <c r="JC34" i="75"/>
  <c r="JB34" i="75"/>
  <c r="JA34" i="75"/>
  <c r="IZ34" i="75"/>
  <c r="IY34" i="75"/>
  <c r="IX34" i="75"/>
  <c r="IW34" i="75"/>
  <c r="IV34" i="75"/>
  <c r="IU34" i="75"/>
  <c r="IT34" i="75"/>
  <c r="IS34" i="75"/>
  <c r="IR34" i="75"/>
  <c r="IQ34" i="75"/>
  <c r="IP34" i="75"/>
  <c r="IO34" i="75"/>
  <c r="IN34" i="75"/>
  <c r="IM34" i="75"/>
  <c r="IL34" i="75"/>
  <c r="IK34" i="75"/>
  <c r="IJ34" i="75"/>
  <c r="II34" i="75"/>
  <c r="IH34" i="75"/>
  <c r="IG34" i="75"/>
  <c r="IF34" i="75"/>
  <c r="IE34" i="75"/>
  <c r="ID34" i="75"/>
  <c r="IC34" i="75"/>
  <c r="IB34" i="75"/>
  <c r="IA34" i="75"/>
  <c r="HZ34" i="75"/>
  <c r="HY34" i="75"/>
  <c r="HX34" i="75"/>
  <c r="HW34" i="75"/>
  <c r="HV34" i="75"/>
  <c r="HU34" i="75"/>
  <c r="HT34" i="75"/>
  <c r="HS34" i="75"/>
  <c r="HR34" i="75"/>
  <c r="HQ34" i="75"/>
  <c r="HP34" i="75"/>
  <c r="HJ34" i="75"/>
  <c r="HI34" i="75"/>
  <c r="HH34" i="75"/>
  <c r="HG34" i="75"/>
  <c r="HF34" i="75"/>
  <c r="HE34" i="75"/>
  <c r="HD34" i="75"/>
  <c r="HC34" i="75"/>
  <c r="HB34" i="75"/>
  <c r="HA34" i="75"/>
  <c r="GU34" i="75"/>
  <c r="GT34" i="75"/>
  <c r="GS34" i="75"/>
  <c r="GR34" i="75"/>
  <c r="GQ34" i="75"/>
  <c r="GP34" i="75"/>
  <c r="GO34" i="75"/>
  <c r="GN34" i="75"/>
  <c r="GM34" i="75"/>
  <c r="GL34" i="75"/>
  <c r="GF34" i="75"/>
  <c r="GE34" i="75"/>
  <c r="GD34" i="75"/>
  <c r="GC34" i="75"/>
  <c r="GB34" i="75"/>
  <c r="GA34" i="75"/>
  <c r="FZ34" i="75"/>
  <c r="FY34" i="75"/>
  <c r="FX34" i="75"/>
  <c r="FW34" i="75"/>
  <c r="FV34" i="75"/>
  <c r="FU34" i="75"/>
  <c r="FT34" i="75"/>
  <c r="FS34" i="75"/>
  <c r="FR34" i="75"/>
  <c r="EG34" i="75"/>
  <c r="EF34" i="75"/>
  <c r="EE34" i="75"/>
  <c r="ED34" i="75"/>
  <c r="BK34" i="75"/>
  <c r="BJ34" i="75"/>
  <c r="BI34" i="75"/>
  <c r="BH34" i="75"/>
  <c r="BG34" i="75"/>
  <c r="ND33" i="75"/>
  <c r="NC33" i="75"/>
  <c r="NB33" i="75"/>
  <c r="NA33" i="75"/>
  <c r="MZ33" i="75"/>
  <c r="LF33" i="75"/>
  <c r="LE33" i="75"/>
  <c r="LD33" i="75"/>
  <c r="LC33" i="75"/>
  <c r="LB33" i="75"/>
  <c r="LA33" i="75"/>
  <c r="KZ33" i="75"/>
  <c r="KY33" i="75"/>
  <c r="KX33" i="75"/>
  <c r="KW33" i="75"/>
  <c r="KV33" i="75"/>
  <c r="KU33" i="75"/>
  <c r="KT33" i="75"/>
  <c r="KS33" i="75"/>
  <c r="KR33" i="75"/>
  <c r="KQ33" i="75"/>
  <c r="KP33" i="75"/>
  <c r="KO33" i="75"/>
  <c r="KN33" i="75"/>
  <c r="KM33" i="75"/>
  <c r="KL33" i="75"/>
  <c r="KK33" i="75"/>
  <c r="KJ33" i="75"/>
  <c r="KI33" i="75"/>
  <c r="KH33" i="75"/>
  <c r="KG33" i="75"/>
  <c r="KF33" i="75"/>
  <c r="KE33" i="75"/>
  <c r="KD33" i="75"/>
  <c r="KC33" i="75"/>
  <c r="KB33" i="75"/>
  <c r="KA33" i="75"/>
  <c r="JZ33" i="75"/>
  <c r="JY33" i="75"/>
  <c r="JX33" i="75"/>
  <c r="JW33" i="75"/>
  <c r="JV33" i="75"/>
  <c r="JU33" i="75"/>
  <c r="JT33" i="75"/>
  <c r="JS33" i="75"/>
  <c r="JR33" i="75"/>
  <c r="JQ33" i="75"/>
  <c r="JP33" i="75"/>
  <c r="JO33" i="75"/>
  <c r="JN33" i="75"/>
  <c r="JM33" i="75"/>
  <c r="JL33" i="75"/>
  <c r="JK33" i="75"/>
  <c r="JJ33" i="75"/>
  <c r="JI33" i="75"/>
  <c r="JH33" i="75"/>
  <c r="JG33" i="75"/>
  <c r="JF33" i="75"/>
  <c r="JE33" i="75"/>
  <c r="JD33" i="75"/>
  <c r="JC33" i="75"/>
  <c r="JB33" i="75"/>
  <c r="JA33" i="75"/>
  <c r="IZ33" i="75"/>
  <c r="IY33" i="75"/>
  <c r="IX33" i="75"/>
  <c r="IW33" i="75"/>
  <c r="IV33" i="75"/>
  <c r="IU33" i="75"/>
  <c r="IT33" i="75"/>
  <c r="IS33" i="75"/>
  <c r="IR33" i="75"/>
  <c r="IQ33" i="75"/>
  <c r="IP33" i="75"/>
  <c r="IO33" i="75"/>
  <c r="IN33" i="75"/>
  <c r="IM33" i="75"/>
  <c r="IL33" i="75"/>
  <c r="IK33" i="75"/>
  <c r="IJ33" i="75"/>
  <c r="II33" i="75"/>
  <c r="IH33" i="75"/>
  <c r="IG33" i="75"/>
  <c r="IF33" i="75"/>
  <c r="IE33" i="75"/>
  <c r="ID33" i="75"/>
  <c r="IC33" i="75"/>
  <c r="IB33" i="75"/>
  <c r="IA33" i="75"/>
  <c r="HZ33" i="75"/>
  <c r="HY33" i="75"/>
  <c r="HX33" i="75"/>
  <c r="HW33" i="75"/>
  <c r="HV33" i="75"/>
  <c r="HU33" i="75"/>
  <c r="HT33" i="75"/>
  <c r="HS33" i="75"/>
  <c r="HR33" i="75"/>
  <c r="HQ33" i="75"/>
  <c r="HP33" i="75"/>
  <c r="HJ33" i="75"/>
  <c r="HI33" i="75"/>
  <c r="HH33" i="75"/>
  <c r="HG33" i="75"/>
  <c r="HF33" i="75"/>
  <c r="HE33" i="75"/>
  <c r="HD33" i="75"/>
  <c r="HC33" i="75"/>
  <c r="HB33" i="75"/>
  <c r="HA33" i="75"/>
  <c r="GU33" i="75"/>
  <c r="GT33" i="75"/>
  <c r="GS33" i="75"/>
  <c r="GR33" i="75"/>
  <c r="GQ33" i="75"/>
  <c r="GP33" i="75"/>
  <c r="GO33" i="75"/>
  <c r="GN33" i="75"/>
  <c r="GM33" i="75"/>
  <c r="GL33" i="75"/>
  <c r="GF33" i="75"/>
  <c r="GE33" i="75"/>
  <c r="GD33" i="75"/>
  <c r="GC33" i="75"/>
  <c r="GB33" i="75"/>
  <c r="GA33" i="75"/>
  <c r="FZ33" i="75"/>
  <c r="FY33" i="75"/>
  <c r="FX33" i="75"/>
  <c r="FW33" i="75"/>
  <c r="FV33" i="75"/>
  <c r="FU33" i="75"/>
  <c r="FT33" i="75"/>
  <c r="FS33" i="75"/>
  <c r="FR33" i="75"/>
  <c r="EG33" i="75"/>
  <c r="EF33" i="75"/>
  <c r="EE33" i="75"/>
  <c r="ED33" i="75"/>
  <c r="BK33" i="75"/>
  <c r="BJ33" i="75"/>
  <c r="BI33" i="75"/>
  <c r="BH33" i="75"/>
  <c r="BG33" i="75"/>
  <c r="ND32" i="75"/>
  <c r="NC32" i="75"/>
  <c r="NB32" i="75"/>
  <c r="NA32" i="75"/>
  <c r="MZ32" i="75"/>
  <c r="LF32" i="75"/>
  <c r="LE32" i="75"/>
  <c r="LD32" i="75"/>
  <c r="LC32" i="75"/>
  <c r="LB32" i="75"/>
  <c r="LA32" i="75"/>
  <c r="KZ32" i="75"/>
  <c r="KY32" i="75"/>
  <c r="KX32" i="75"/>
  <c r="KW32" i="75"/>
  <c r="KV32" i="75"/>
  <c r="KU32" i="75"/>
  <c r="KT32" i="75"/>
  <c r="KS32" i="75"/>
  <c r="KR32" i="75"/>
  <c r="KQ32" i="75"/>
  <c r="KP32" i="75"/>
  <c r="KO32" i="75"/>
  <c r="KN32" i="75"/>
  <c r="KM32" i="75"/>
  <c r="KL32" i="75"/>
  <c r="KK32" i="75"/>
  <c r="KJ32" i="75"/>
  <c r="KI32" i="75"/>
  <c r="KH32" i="75"/>
  <c r="KG32" i="75"/>
  <c r="KF32" i="75"/>
  <c r="KE32" i="75"/>
  <c r="KD32" i="75"/>
  <c r="KC32" i="75"/>
  <c r="KB32" i="75"/>
  <c r="KA32" i="75"/>
  <c r="JZ32" i="75"/>
  <c r="JY32" i="75"/>
  <c r="JX32" i="75"/>
  <c r="JW32" i="75"/>
  <c r="JV32" i="75"/>
  <c r="JU32" i="75"/>
  <c r="JT32" i="75"/>
  <c r="JS32" i="75"/>
  <c r="JR32" i="75"/>
  <c r="JQ32" i="75"/>
  <c r="JP32" i="75"/>
  <c r="JO32" i="75"/>
  <c r="JN32" i="75"/>
  <c r="JM32" i="75"/>
  <c r="JL32" i="75"/>
  <c r="JK32" i="75"/>
  <c r="JJ32" i="75"/>
  <c r="JI32" i="75"/>
  <c r="JH32" i="75"/>
  <c r="JG32" i="75"/>
  <c r="JF32" i="75"/>
  <c r="JE32" i="75"/>
  <c r="JD32" i="75"/>
  <c r="JC32" i="75"/>
  <c r="JB32" i="75"/>
  <c r="JA32" i="75"/>
  <c r="IZ32" i="75"/>
  <c r="IY32" i="75"/>
  <c r="IX32" i="75"/>
  <c r="IW32" i="75"/>
  <c r="IV32" i="75"/>
  <c r="IU32" i="75"/>
  <c r="IT32" i="75"/>
  <c r="IS32" i="75"/>
  <c r="IR32" i="75"/>
  <c r="IQ32" i="75"/>
  <c r="IP32" i="75"/>
  <c r="IO32" i="75"/>
  <c r="IN32" i="75"/>
  <c r="IM32" i="75"/>
  <c r="IL32" i="75"/>
  <c r="IK32" i="75"/>
  <c r="IJ32" i="75"/>
  <c r="II32" i="75"/>
  <c r="IH32" i="75"/>
  <c r="IG32" i="75"/>
  <c r="IF32" i="75"/>
  <c r="IE32" i="75"/>
  <c r="ID32" i="75"/>
  <c r="IC32" i="75"/>
  <c r="IB32" i="75"/>
  <c r="IA32" i="75"/>
  <c r="HZ32" i="75"/>
  <c r="HY32" i="75"/>
  <c r="HX32" i="75"/>
  <c r="HW32" i="75"/>
  <c r="HV32" i="75"/>
  <c r="HU32" i="75"/>
  <c r="HT32" i="75"/>
  <c r="HS32" i="75"/>
  <c r="HR32" i="75"/>
  <c r="HQ32" i="75"/>
  <c r="HP32" i="75"/>
  <c r="HJ32" i="75"/>
  <c r="HI32" i="75"/>
  <c r="HH32" i="75"/>
  <c r="HG32" i="75"/>
  <c r="HF32" i="75"/>
  <c r="HE32" i="75"/>
  <c r="HD32" i="75"/>
  <c r="HC32" i="75"/>
  <c r="HB32" i="75"/>
  <c r="HA32" i="75"/>
  <c r="GU32" i="75"/>
  <c r="GT32" i="75"/>
  <c r="GS32" i="75"/>
  <c r="GR32" i="75"/>
  <c r="GQ32" i="75"/>
  <c r="GP32" i="75"/>
  <c r="GO32" i="75"/>
  <c r="GN32" i="75"/>
  <c r="GM32" i="75"/>
  <c r="GL32" i="75"/>
  <c r="GF32" i="75"/>
  <c r="GE32" i="75"/>
  <c r="GD32" i="75"/>
  <c r="GC32" i="75"/>
  <c r="GB32" i="75"/>
  <c r="GA32" i="75"/>
  <c r="FZ32" i="75"/>
  <c r="FY32" i="75"/>
  <c r="FX32" i="75"/>
  <c r="FW32" i="75"/>
  <c r="FV32" i="75"/>
  <c r="FU32" i="75"/>
  <c r="FT32" i="75"/>
  <c r="FS32" i="75"/>
  <c r="FR32" i="75"/>
  <c r="EG32" i="75"/>
  <c r="EF32" i="75"/>
  <c r="EE32" i="75"/>
  <c r="ED32" i="75"/>
  <c r="BK32" i="75"/>
  <c r="BJ32" i="75"/>
  <c r="BI32" i="75"/>
  <c r="BH32" i="75"/>
  <c r="BG32" i="75"/>
  <c r="ND31" i="75"/>
  <c r="NC31" i="75"/>
  <c r="NB31" i="75"/>
  <c r="NA31" i="75"/>
  <c r="MZ31" i="75"/>
  <c r="LF31" i="75"/>
  <c r="LE31" i="75"/>
  <c r="LD31" i="75"/>
  <c r="LC31" i="75"/>
  <c r="LB31" i="75"/>
  <c r="LA31" i="75"/>
  <c r="KZ31" i="75"/>
  <c r="KY31" i="75"/>
  <c r="KX31" i="75"/>
  <c r="KW31" i="75"/>
  <c r="KV31" i="75"/>
  <c r="KU31" i="75"/>
  <c r="KT31" i="75"/>
  <c r="KS31" i="75"/>
  <c r="KR31" i="75"/>
  <c r="KQ31" i="75"/>
  <c r="KP31" i="75"/>
  <c r="KO31" i="75"/>
  <c r="KN31" i="75"/>
  <c r="KM31" i="75"/>
  <c r="KL31" i="75"/>
  <c r="KK31" i="75"/>
  <c r="KJ31" i="75"/>
  <c r="KI31" i="75"/>
  <c r="KH31" i="75"/>
  <c r="KG31" i="75"/>
  <c r="KF31" i="75"/>
  <c r="KE31" i="75"/>
  <c r="KD31" i="75"/>
  <c r="KC31" i="75"/>
  <c r="KB31" i="75"/>
  <c r="KA31" i="75"/>
  <c r="JZ31" i="75"/>
  <c r="JY31" i="75"/>
  <c r="JX31" i="75"/>
  <c r="JW31" i="75"/>
  <c r="JV31" i="75"/>
  <c r="JU31" i="75"/>
  <c r="JT31" i="75"/>
  <c r="JS31" i="75"/>
  <c r="JR31" i="75"/>
  <c r="JQ31" i="75"/>
  <c r="JP31" i="75"/>
  <c r="JO31" i="75"/>
  <c r="JN31" i="75"/>
  <c r="JM31" i="75"/>
  <c r="JL31" i="75"/>
  <c r="JK31" i="75"/>
  <c r="JJ31" i="75"/>
  <c r="JI31" i="75"/>
  <c r="JH31" i="75"/>
  <c r="JG31" i="75"/>
  <c r="JF31" i="75"/>
  <c r="JE31" i="75"/>
  <c r="JD31" i="75"/>
  <c r="JC31" i="75"/>
  <c r="JB31" i="75"/>
  <c r="JA31" i="75"/>
  <c r="IZ31" i="75"/>
  <c r="IY31" i="75"/>
  <c r="IX31" i="75"/>
  <c r="IW31" i="75"/>
  <c r="IV31" i="75"/>
  <c r="IU31" i="75"/>
  <c r="IT31" i="75"/>
  <c r="IS31" i="75"/>
  <c r="IR31" i="75"/>
  <c r="IQ31" i="75"/>
  <c r="IP31" i="75"/>
  <c r="IO31" i="75"/>
  <c r="IN31" i="75"/>
  <c r="IM31" i="75"/>
  <c r="IL31" i="75"/>
  <c r="IK31" i="75"/>
  <c r="IJ31" i="75"/>
  <c r="II31" i="75"/>
  <c r="IH31" i="75"/>
  <c r="IG31" i="75"/>
  <c r="IF31" i="75"/>
  <c r="IE31" i="75"/>
  <c r="ID31" i="75"/>
  <c r="IC31" i="75"/>
  <c r="IB31" i="75"/>
  <c r="IA31" i="75"/>
  <c r="HZ31" i="75"/>
  <c r="HY31" i="75"/>
  <c r="HX31" i="75"/>
  <c r="HW31" i="75"/>
  <c r="HV31" i="75"/>
  <c r="HU31" i="75"/>
  <c r="HT31" i="75"/>
  <c r="HS31" i="75"/>
  <c r="HR31" i="75"/>
  <c r="HQ31" i="75"/>
  <c r="HP31" i="75"/>
  <c r="HJ31" i="75"/>
  <c r="HI31" i="75"/>
  <c r="HH31" i="75"/>
  <c r="HG31" i="75"/>
  <c r="HF31" i="75"/>
  <c r="HE31" i="75"/>
  <c r="HD31" i="75"/>
  <c r="HC31" i="75"/>
  <c r="HB31" i="75"/>
  <c r="HA31" i="75"/>
  <c r="GU31" i="75"/>
  <c r="GT31" i="75"/>
  <c r="GS31" i="75"/>
  <c r="GR31" i="75"/>
  <c r="GQ31" i="75"/>
  <c r="GP31" i="75"/>
  <c r="GO31" i="75"/>
  <c r="GN31" i="75"/>
  <c r="GM31" i="75"/>
  <c r="GL31" i="75"/>
  <c r="GF31" i="75"/>
  <c r="GE31" i="75"/>
  <c r="GD31" i="75"/>
  <c r="GC31" i="75"/>
  <c r="GB31" i="75"/>
  <c r="GA31" i="75"/>
  <c r="FZ31" i="75"/>
  <c r="FY31" i="75"/>
  <c r="FX31" i="75"/>
  <c r="FW31" i="75"/>
  <c r="FV31" i="75"/>
  <c r="FU31" i="75"/>
  <c r="FT31" i="75"/>
  <c r="FS31" i="75"/>
  <c r="FR31" i="75"/>
  <c r="EG31" i="75"/>
  <c r="EF31" i="75"/>
  <c r="EE31" i="75"/>
  <c r="ED31" i="75"/>
  <c r="BK31" i="75"/>
  <c r="BJ31" i="75"/>
  <c r="BI31" i="75"/>
  <c r="BH31" i="75"/>
  <c r="BG31" i="75"/>
  <c r="ND30" i="75"/>
  <c r="NC30" i="75"/>
  <c r="NB30" i="75"/>
  <c r="NA30" i="75"/>
  <c r="MZ30" i="75"/>
  <c r="LF30" i="75"/>
  <c r="LE30" i="75"/>
  <c r="LD30" i="75"/>
  <c r="LC30" i="75"/>
  <c r="LB30" i="75"/>
  <c r="LA30" i="75"/>
  <c r="KZ30" i="75"/>
  <c r="KY30" i="75"/>
  <c r="KX30" i="75"/>
  <c r="KW30" i="75"/>
  <c r="KV30" i="75"/>
  <c r="KU30" i="75"/>
  <c r="KT30" i="75"/>
  <c r="KS30" i="75"/>
  <c r="KR30" i="75"/>
  <c r="KQ30" i="75"/>
  <c r="KP30" i="75"/>
  <c r="KO30" i="75"/>
  <c r="KN30" i="75"/>
  <c r="KM30" i="75"/>
  <c r="KL30" i="75"/>
  <c r="KK30" i="75"/>
  <c r="KJ30" i="75"/>
  <c r="KI30" i="75"/>
  <c r="KH30" i="75"/>
  <c r="KG30" i="75"/>
  <c r="KF30" i="75"/>
  <c r="KE30" i="75"/>
  <c r="KD30" i="75"/>
  <c r="KC30" i="75"/>
  <c r="KB30" i="75"/>
  <c r="KA30" i="75"/>
  <c r="JZ30" i="75"/>
  <c r="JY30" i="75"/>
  <c r="JX30" i="75"/>
  <c r="JW30" i="75"/>
  <c r="JV30" i="75"/>
  <c r="JU30" i="75"/>
  <c r="JT30" i="75"/>
  <c r="JS30" i="75"/>
  <c r="JR30" i="75"/>
  <c r="JQ30" i="75"/>
  <c r="JP30" i="75"/>
  <c r="JO30" i="75"/>
  <c r="JN30" i="75"/>
  <c r="JM30" i="75"/>
  <c r="JL30" i="75"/>
  <c r="JK30" i="75"/>
  <c r="JJ30" i="75"/>
  <c r="JI30" i="75"/>
  <c r="JH30" i="75"/>
  <c r="JG30" i="75"/>
  <c r="JF30" i="75"/>
  <c r="JE30" i="75"/>
  <c r="JD30" i="75"/>
  <c r="JC30" i="75"/>
  <c r="JB30" i="75"/>
  <c r="JA30" i="75"/>
  <c r="IZ30" i="75"/>
  <c r="IY30" i="75"/>
  <c r="IX30" i="75"/>
  <c r="IW30" i="75"/>
  <c r="IV30" i="75"/>
  <c r="IU30" i="75"/>
  <c r="IT30" i="75"/>
  <c r="IS30" i="75"/>
  <c r="IR30" i="75"/>
  <c r="IQ30" i="75"/>
  <c r="IP30" i="75"/>
  <c r="IO30" i="75"/>
  <c r="IN30" i="75"/>
  <c r="IM30" i="75"/>
  <c r="IL30" i="75"/>
  <c r="IK30" i="75"/>
  <c r="IJ30" i="75"/>
  <c r="II30" i="75"/>
  <c r="IH30" i="75"/>
  <c r="IG30" i="75"/>
  <c r="IF30" i="75"/>
  <c r="IE30" i="75"/>
  <c r="ID30" i="75"/>
  <c r="IC30" i="75"/>
  <c r="IB30" i="75"/>
  <c r="IA30" i="75"/>
  <c r="HZ30" i="75"/>
  <c r="HY30" i="75"/>
  <c r="HX30" i="75"/>
  <c r="HW30" i="75"/>
  <c r="HV30" i="75"/>
  <c r="HU30" i="75"/>
  <c r="HT30" i="75"/>
  <c r="HS30" i="75"/>
  <c r="HR30" i="75"/>
  <c r="HQ30" i="75"/>
  <c r="HP30" i="75"/>
  <c r="HJ30" i="75"/>
  <c r="HI30" i="75"/>
  <c r="HH30" i="75"/>
  <c r="HG30" i="75"/>
  <c r="HF30" i="75"/>
  <c r="HE30" i="75"/>
  <c r="HD30" i="75"/>
  <c r="HC30" i="75"/>
  <c r="HB30" i="75"/>
  <c r="HA30" i="75"/>
  <c r="GU30" i="75"/>
  <c r="GT30" i="75"/>
  <c r="GS30" i="75"/>
  <c r="GR30" i="75"/>
  <c r="GQ30" i="75"/>
  <c r="GP30" i="75"/>
  <c r="GO30" i="75"/>
  <c r="GN30" i="75"/>
  <c r="GM30" i="75"/>
  <c r="GL30" i="75"/>
  <c r="GF30" i="75"/>
  <c r="GE30" i="75"/>
  <c r="GD30" i="75"/>
  <c r="GC30" i="75"/>
  <c r="GB30" i="75"/>
  <c r="GA30" i="75"/>
  <c r="FZ30" i="75"/>
  <c r="FY30" i="75"/>
  <c r="FX30" i="75"/>
  <c r="FW30" i="75"/>
  <c r="FV30" i="75"/>
  <c r="FU30" i="75"/>
  <c r="FT30" i="75"/>
  <c r="FS30" i="75"/>
  <c r="FR30" i="75"/>
  <c r="EG30" i="75"/>
  <c r="EF30" i="75"/>
  <c r="EE30" i="75"/>
  <c r="ED30" i="75"/>
  <c r="BK30" i="75"/>
  <c r="BJ30" i="75"/>
  <c r="BI30" i="75"/>
  <c r="BH30" i="75"/>
  <c r="BG30" i="75"/>
  <c r="ND29" i="75"/>
  <c r="NC29" i="75"/>
  <c r="NB29" i="75"/>
  <c r="NA29" i="75"/>
  <c r="MZ29" i="75"/>
  <c r="LF29" i="75"/>
  <c r="LE29" i="75"/>
  <c r="LD29" i="75"/>
  <c r="LC29" i="75"/>
  <c r="LB29" i="75"/>
  <c r="LA29" i="75"/>
  <c r="KZ29" i="75"/>
  <c r="KY29" i="75"/>
  <c r="KX29" i="75"/>
  <c r="KW29" i="75"/>
  <c r="KV29" i="75"/>
  <c r="KU29" i="75"/>
  <c r="KT29" i="75"/>
  <c r="KS29" i="75"/>
  <c r="KR29" i="75"/>
  <c r="KQ29" i="75"/>
  <c r="KP29" i="75"/>
  <c r="KO29" i="75"/>
  <c r="KN29" i="75"/>
  <c r="KM29" i="75"/>
  <c r="KL29" i="75"/>
  <c r="KK29" i="75"/>
  <c r="KJ29" i="75"/>
  <c r="KI29" i="75"/>
  <c r="KH29" i="75"/>
  <c r="KG29" i="75"/>
  <c r="KF29" i="75"/>
  <c r="KE29" i="75"/>
  <c r="KD29" i="75"/>
  <c r="KC29" i="75"/>
  <c r="KB29" i="75"/>
  <c r="KA29" i="75"/>
  <c r="JZ29" i="75"/>
  <c r="JY29" i="75"/>
  <c r="JX29" i="75"/>
  <c r="JW29" i="75"/>
  <c r="JV29" i="75"/>
  <c r="JU29" i="75"/>
  <c r="JT29" i="75"/>
  <c r="JS29" i="75"/>
  <c r="JR29" i="75"/>
  <c r="JQ29" i="75"/>
  <c r="JP29" i="75"/>
  <c r="JO29" i="75"/>
  <c r="JN29" i="75"/>
  <c r="JM29" i="75"/>
  <c r="JL29" i="75"/>
  <c r="JK29" i="75"/>
  <c r="JJ29" i="75"/>
  <c r="JI29" i="75"/>
  <c r="JH29" i="75"/>
  <c r="JG29" i="75"/>
  <c r="JF29" i="75"/>
  <c r="JE29" i="75"/>
  <c r="JD29" i="75"/>
  <c r="JC29" i="75"/>
  <c r="JB29" i="75"/>
  <c r="JA29" i="75"/>
  <c r="IZ29" i="75"/>
  <c r="IY29" i="75"/>
  <c r="IX29" i="75"/>
  <c r="IW29" i="75"/>
  <c r="IV29" i="75"/>
  <c r="IU29" i="75"/>
  <c r="IT29" i="75"/>
  <c r="IS29" i="75"/>
  <c r="IR29" i="75"/>
  <c r="IQ29" i="75"/>
  <c r="IP29" i="75"/>
  <c r="IO29" i="75"/>
  <c r="IN29" i="75"/>
  <c r="IM29" i="75"/>
  <c r="IL29" i="75"/>
  <c r="IK29" i="75"/>
  <c r="IJ29" i="75"/>
  <c r="II29" i="75"/>
  <c r="IH29" i="75"/>
  <c r="IG29" i="75"/>
  <c r="IF29" i="75"/>
  <c r="IE29" i="75"/>
  <c r="ID29" i="75"/>
  <c r="IC29" i="75"/>
  <c r="IB29" i="75"/>
  <c r="IA29" i="75"/>
  <c r="HZ29" i="75"/>
  <c r="HY29" i="75"/>
  <c r="HX29" i="75"/>
  <c r="HW29" i="75"/>
  <c r="HV29" i="75"/>
  <c r="HU29" i="75"/>
  <c r="HT29" i="75"/>
  <c r="HS29" i="75"/>
  <c r="HR29" i="75"/>
  <c r="HQ29" i="75"/>
  <c r="HP29" i="75"/>
  <c r="HJ29" i="75"/>
  <c r="HI29" i="75"/>
  <c r="HH29" i="75"/>
  <c r="HG29" i="75"/>
  <c r="HF29" i="75"/>
  <c r="HE29" i="75"/>
  <c r="HD29" i="75"/>
  <c r="HC29" i="75"/>
  <c r="HB29" i="75"/>
  <c r="HA29" i="75"/>
  <c r="GU29" i="75"/>
  <c r="GT29" i="75"/>
  <c r="GS29" i="75"/>
  <c r="GR29" i="75"/>
  <c r="GQ29" i="75"/>
  <c r="GP29" i="75"/>
  <c r="GO29" i="75"/>
  <c r="GN29" i="75"/>
  <c r="GM29" i="75"/>
  <c r="GL29" i="75"/>
  <c r="GF29" i="75"/>
  <c r="GE29" i="75"/>
  <c r="GD29" i="75"/>
  <c r="GC29" i="75"/>
  <c r="GB29" i="75"/>
  <c r="GA29" i="75"/>
  <c r="FZ29" i="75"/>
  <c r="FY29" i="75"/>
  <c r="FX29" i="75"/>
  <c r="FW29" i="75"/>
  <c r="FV29" i="75"/>
  <c r="FU29" i="75"/>
  <c r="FT29" i="75"/>
  <c r="FS29" i="75"/>
  <c r="FR29" i="75"/>
  <c r="EG29" i="75"/>
  <c r="EF29" i="75"/>
  <c r="EE29" i="75"/>
  <c r="ED29" i="75"/>
  <c r="BK29" i="75"/>
  <c r="BJ29" i="75"/>
  <c r="BI29" i="75"/>
  <c r="BH29" i="75"/>
  <c r="BG29" i="75"/>
  <c r="ND28" i="75"/>
  <c r="NC28" i="75"/>
  <c r="NB28" i="75"/>
  <c r="NA28" i="75"/>
  <c r="MZ28" i="75"/>
  <c r="LF28" i="75"/>
  <c r="LE28" i="75"/>
  <c r="LD28" i="75"/>
  <c r="LC28" i="75"/>
  <c r="LB28" i="75"/>
  <c r="LA28" i="75"/>
  <c r="KZ28" i="75"/>
  <c r="KY28" i="75"/>
  <c r="KX28" i="75"/>
  <c r="KW28" i="75"/>
  <c r="KV28" i="75"/>
  <c r="KU28" i="75"/>
  <c r="KT28" i="75"/>
  <c r="KS28" i="75"/>
  <c r="KR28" i="75"/>
  <c r="KQ28" i="75"/>
  <c r="KP28" i="75"/>
  <c r="KO28" i="75"/>
  <c r="KN28" i="75"/>
  <c r="KM28" i="75"/>
  <c r="KL28" i="75"/>
  <c r="KK28" i="75"/>
  <c r="KJ28" i="75"/>
  <c r="KI28" i="75"/>
  <c r="KH28" i="75"/>
  <c r="KG28" i="75"/>
  <c r="KF28" i="75"/>
  <c r="KE28" i="75"/>
  <c r="KD28" i="75"/>
  <c r="KC28" i="75"/>
  <c r="KB28" i="75"/>
  <c r="KA28" i="75"/>
  <c r="JZ28" i="75"/>
  <c r="JY28" i="75"/>
  <c r="JX28" i="75"/>
  <c r="JW28" i="75"/>
  <c r="JV28" i="75"/>
  <c r="JU28" i="75"/>
  <c r="JT28" i="75"/>
  <c r="JS28" i="75"/>
  <c r="JR28" i="75"/>
  <c r="JQ28" i="75"/>
  <c r="JP28" i="75"/>
  <c r="JO28" i="75"/>
  <c r="JN28" i="75"/>
  <c r="JM28" i="75"/>
  <c r="JL28" i="75"/>
  <c r="JK28" i="75"/>
  <c r="JJ28" i="75"/>
  <c r="JI28" i="75"/>
  <c r="JH28" i="75"/>
  <c r="JG28" i="75"/>
  <c r="JF28" i="75"/>
  <c r="JE28" i="75"/>
  <c r="JD28" i="75"/>
  <c r="JC28" i="75"/>
  <c r="JB28" i="75"/>
  <c r="JA28" i="75"/>
  <c r="IZ28" i="75"/>
  <c r="IY28" i="75"/>
  <c r="IX28" i="75"/>
  <c r="IW28" i="75"/>
  <c r="IV28" i="75"/>
  <c r="IU28" i="75"/>
  <c r="IT28" i="75"/>
  <c r="IS28" i="75"/>
  <c r="IR28" i="75"/>
  <c r="IQ28" i="75"/>
  <c r="IP28" i="75"/>
  <c r="IO28" i="75"/>
  <c r="IN28" i="75"/>
  <c r="IM28" i="75"/>
  <c r="IL28" i="75"/>
  <c r="IK28" i="75"/>
  <c r="IJ28" i="75"/>
  <c r="II28" i="75"/>
  <c r="IH28" i="75"/>
  <c r="IG28" i="75"/>
  <c r="IF28" i="75"/>
  <c r="IE28" i="75"/>
  <c r="ID28" i="75"/>
  <c r="IC28" i="75"/>
  <c r="IB28" i="75"/>
  <c r="IA28" i="75"/>
  <c r="HZ28" i="75"/>
  <c r="HY28" i="75"/>
  <c r="HX28" i="75"/>
  <c r="HW28" i="75"/>
  <c r="HV28" i="75"/>
  <c r="HU28" i="75"/>
  <c r="HT28" i="75"/>
  <c r="HS28" i="75"/>
  <c r="HR28" i="75"/>
  <c r="HQ28" i="75"/>
  <c r="HP28" i="75"/>
  <c r="HJ28" i="75"/>
  <c r="HI28" i="75"/>
  <c r="HH28" i="75"/>
  <c r="HG28" i="75"/>
  <c r="HF28" i="75"/>
  <c r="HE28" i="75"/>
  <c r="HD28" i="75"/>
  <c r="HC28" i="75"/>
  <c r="HB28" i="75"/>
  <c r="HA28" i="75"/>
  <c r="GU28" i="75"/>
  <c r="GT28" i="75"/>
  <c r="GS28" i="75"/>
  <c r="GR28" i="75"/>
  <c r="GQ28" i="75"/>
  <c r="GP28" i="75"/>
  <c r="GO28" i="75"/>
  <c r="GN28" i="75"/>
  <c r="GM28" i="75"/>
  <c r="GL28" i="75"/>
  <c r="GF28" i="75"/>
  <c r="GE28" i="75"/>
  <c r="GD28" i="75"/>
  <c r="GC28" i="75"/>
  <c r="GB28" i="75"/>
  <c r="GA28" i="75"/>
  <c r="FZ28" i="75"/>
  <c r="FY28" i="75"/>
  <c r="FX28" i="75"/>
  <c r="FW28" i="75"/>
  <c r="FV28" i="75"/>
  <c r="FU28" i="75"/>
  <c r="FT28" i="75"/>
  <c r="FS28" i="75"/>
  <c r="FR28" i="75"/>
  <c r="EG28" i="75"/>
  <c r="EF28" i="75"/>
  <c r="EE28" i="75"/>
  <c r="ED28" i="75"/>
  <c r="BK28" i="75"/>
  <c r="BJ28" i="75"/>
  <c r="BI28" i="75"/>
  <c r="BH28" i="75"/>
  <c r="BG28" i="75"/>
  <c r="ND27" i="75"/>
  <c r="NC27" i="75"/>
  <c r="NB27" i="75"/>
  <c r="NA27" i="75"/>
  <c r="MZ27" i="75"/>
  <c r="LF27" i="75"/>
  <c r="LE27" i="75"/>
  <c r="LD27" i="75"/>
  <c r="LC27" i="75"/>
  <c r="LB27" i="75"/>
  <c r="LA27" i="75"/>
  <c r="KZ27" i="75"/>
  <c r="KY27" i="75"/>
  <c r="KX27" i="75"/>
  <c r="KW27" i="75"/>
  <c r="KV27" i="75"/>
  <c r="KU27" i="75"/>
  <c r="KT27" i="75"/>
  <c r="KS27" i="75"/>
  <c r="KR27" i="75"/>
  <c r="KQ27" i="75"/>
  <c r="KP27" i="75"/>
  <c r="KO27" i="75"/>
  <c r="KN27" i="75"/>
  <c r="KM27" i="75"/>
  <c r="KL27" i="75"/>
  <c r="KK27" i="75"/>
  <c r="KJ27" i="75"/>
  <c r="KI27" i="75"/>
  <c r="KH27" i="75"/>
  <c r="KG27" i="75"/>
  <c r="KF27" i="75"/>
  <c r="KE27" i="75"/>
  <c r="KD27" i="75"/>
  <c r="KC27" i="75"/>
  <c r="KB27" i="75"/>
  <c r="KA27" i="75"/>
  <c r="JZ27" i="75"/>
  <c r="JY27" i="75"/>
  <c r="JX27" i="75"/>
  <c r="JW27" i="75"/>
  <c r="JV27" i="75"/>
  <c r="JU27" i="75"/>
  <c r="JT27" i="75"/>
  <c r="JS27" i="75"/>
  <c r="JR27" i="75"/>
  <c r="JQ27" i="75"/>
  <c r="JP27" i="75"/>
  <c r="JO27" i="75"/>
  <c r="JN27" i="75"/>
  <c r="JM27" i="75"/>
  <c r="JL27" i="75"/>
  <c r="JK27" i="75"/>
  <c r="JJ27" i="75"/>
  <c r="JI27" i="75"/>
  <c r="JH27" i="75"/>
  <c r="JG27" i="75"/>
  <c r="JF27" i="75"/>
  <c r="JE27" i="75"/>
  <c r="JD27" i="75"/>
  <c r="JC27" i="75"/>
  <c r="JB27" i="75"/>
  <c r="JA27" i="75"/>
  <c r="IZ27" i="75"/>
  <c r="IY27" i="75"/>
  <c r="IX27" i="75"/>
  <c r="IW27" i="75"/>
  <c r="IV27" i="75"/>
  <c r="IU27" i="75"/>
  <c r="IT27" i="75"/>
  <c r="IS27" i="75"/>
  <c r="IR27" i="75"/>
  <c r="IQ27" i="75"/>
  <c r="IP27" i="75"/>
  <c r="IO27" i="75"/>
  <c r="IN27" i="75"/>
  <c r="IM27" i="75"/>
  <c r="IL27" i="75"/>
  <c r="IK27" i="75"/>
  <c r="IJ27" i="75"/>
  <c r="II27" i="75"/>
  <c r="IH27" i="75"/>
  <c r="IG27" i="75"/>
  <c r="IF27" i="75"/>
  <c r="IE27" i="75"/>
  <c r="ID27" i="75"/>
  <c r="IC27" i="75"/>
  <c r="IB27" i="75"/>
  <c r="IA27" i="75"/>
  <c r="HZ27" i="75"/>
  <c r="HY27" i="75"/>
  <c r="HX27" i="75"/>
  <c r="HW27" i="75"/>
  <c r="HV27" i="75"/>
  <c r="HU27" i="75"/>
  <c r="HT27" i="75"/>
  <c r="HS27" i="75"/>
  <c r="HR27" i="75"/>
  <c r="HQ27" i="75"/>
  <c r="HP27" i="75"/>
  <c r="HJ27" i="75"/>
  <c r="HI27" i="75"/>
  <c r="HH27" i="75"/>
  <c r="HG27" i="75"/>
  <c r="HF27" i="75"/>
  <c r="HE27" i="75"/>
  <c r="HD27" i="75"/>
  <c r="HC27" i="75"/>
  <c r="HB27" i="75"/>
  <c r="HA27" i="75"/>
  <c r="GU27" i="75"/>
  <c r="GT27" i="75"/>
  <c r="GS27" i="75"/>
  <c r="GR27" i="75"/>
  <c r="GQ27" i="75"/>
  <c r="GP27" i="75"/>
  <c r="GO27" i="75"/>
  <c r="GN27" i="75"/>
  <c r="GM27" i="75"/>
  <c r="GL27" i="75"/>
  <c r="GF27" i="75"/>
  <c r="GE27" i="75"/>
  <c r="GD27" i="75"/>
  <c r="GC27" i="75"/>
  <c r="GB27" i="75"/>
  <c r="GA27" i="75"/>
  <c r="FZ27" i="75"/>
  <c r="FY27" i="75"/>
  <c r="FX27" i="75"/>
  <c r="FW27" i="75"/>
  <c r="FV27" i="75"/>
  <c r="FU27" i="75"/>
  <c r="FT27" i="75"/>
  <c r="FS27" i="75"/>
  <c r="FR27" i="75"/>
  <c r="EG27" i="75"/>
  <c r="EF27" i="75"/>
  <c r="EE27" i="75"/>
  <c r="ED27" i="75"/>
  <c r="BK27" i="75"/>
  <c r="BJ27" i="75"/>
  <c r="BI27" i="75"/>
  <c r="BH27" i="75"/>
  <c r="BG27" i="75"/>
  <c r="ND26" i="75"/>
  <c r="NC26" i="75"/>
  <c r="NB26" i="75"/>
  <c r="NA26" i="75"/>
  <c r="MZ26" i="75"/>
  <c r="LF26" i="75"/>
  <c r="LE26" i="75"/>
  <c r="LD26" i="75"/>
  <c r="LC26" i="75"/>
  <c r="LB26" i="75"/>
  <c r="LA26" i="75"/>
  <c r="KZ26" i="75"/>
  <c r="KY26" i="75"/>
  <c r="KX26" i="75"/>
  <c r="KW26" i="75"/>
  <c r="KV26" i="75"/>
  <c r="KU26" i="75"/>
  <c r="KT26" i="75"/>
  <c r="KS26" i="75"/>
  <c r="KR26" i="75"/>
  <c r="KQ26" i="75"/>
  <c r="KP26" i="75"/>
  <c r="KO26" i="75"/>
  <c r="KN26" i="75"/>
  <c r="KM26" i="75"/>
  <c r="KL26" i="75"/>
  <c r="KK26" i="75"/>
  <c r="KJ26" i="75"/>
  <c r="KI26" i="75"/>
  <c r="KH26" i="75"/>
  <c r="KG26" i="75"/>
  <c r="KF26" i="75"/>
  <c r="KE26" i="75"/>
  <c r="KD26" i="75"/>
  <c r="KC26" i="75"/>
  <c r="KB26" i="75"/>
  <c r="KA26" i="75"/>
  <c r="JZ26" i="75"/>
  <c r="JY26" i="75"/>
  <c r="JX26" i="75"/>
  <c r="JW26" i="75"/>
  <c r="JV26" i="75"/>
  <c r="JU26" i="75"/>
  <c r="JT26" i="75"/>
  <c r="JS26" i="75"/>
  <c r="JR26" i="75"/>
  <c r="JQ26" i="75"/>
  <c r="JP26" i="75"/>
  <c r="JO26" i="75"/>
  <c r="JN26" i="75"/>
  <c r="JM26" i="75"/>
  <c r="JL26" i="75"/>
  <c r="JK26" i="75"/>
  <c r="JJ26" i="75"/>
  <c r="JI26" i="75"/>
  <c r="JH26" i="75"/>
  <c r="JG26" i="75"/>
  <c r="JF26" i="75"/>
  <c r="JE26" i="75"/>
  <c r="JD26" i="75"/>
  <c r="JC26" i="75"/>
  <c r="JB26" i="75"/>
  <c r="JA26" i="75"/>
  <c r="IZ26" i="75"/>
  <c r="IY26" i="75"/>
  <c r="IX26" i="75"/>
  <c r="IW26" i="75"/>
  <c r="IV26" i="75"/>
  <c r="IU26" i="75"/>
  <c r="IT26" i="75"/>
  <c r="IS26" i="75"/>
  <c r="IR26" i="75"/>
  <c r="IQ26" i="75"/>
  <c r="IP26" i="75"/>
  <c r="IO26" i="75"/>
  <c r="IN26" i="75"/>
  <c r="IM26" i="75"/>
  <c r="IL26" i="75"/>
  <c r="IK26" i="75"/>
  <c r="IJ26" i="75"/>
  <c r="II26" i="75"/>
  <c r="IH26" i="75"/>
  <c r="IG26" i="75"/>
  <c r="IF26" i="75"/>
  <c r="IE26" i="75"/>
  <c r="ID26" i="75"/>
  <c r="IC26" i="75"/>
  <c r="IB26" i="75"/>
  <c r="IA26" i="75"/>
  <c r="HZ26" i="75"/>
  <c r="HY26" i="75"/>
  <c r="HX26" i="75"/>
  <c r="HW26" i="75"/>
  <c r="HV26" i="75"/>
  <c r="HU26" i="75"/>
  <c r="HT26" i="75"/>
  <c r="HS26" i="75"/>
  <c r="HR26" i="75"/>
  <c r="HQ26" i="75"/>
  <c r="HP26" i="75"/>
  <c r="HJ26" i="75"/>
  <c r="HI26" i="75"/>
  <c r="HH26" i="75"/>
  <c r="HG26" i="75"/>
  <c r="HF26" i="75"/>
  <c r="HE26" i="75"/>
  <c r="HD26" i="75"/>
  <c r="HC26" i="75"/>
  <c r="HB26" i="75"/>
  <c r="HA26" i="75"/>
  <c r="GU26" i="75"/>
  <c r="GT26" i="75"/>
  <c r="GS26" i="75"/>
  <c r="GR26" i="75"/>
  <c r="GQ26" i="75"/>
  <c r="GP26" i="75"/>
  <c r="GO26" i="75"/>
  <c r="GN26" i="75"/>
  <c r="GM26" i="75"/>
  <c r="GL26" i="75"/>
  <c r="GF26" i="75"/>
  <c r="GE26" i="75"/>
  <c r="GD26" i="75"/>
  <c r="GC26" i="75"/>
  <c r="GB26" i="75"/>
  <c r="GA26" i="75"/>
  <c r="FZ26" i="75"/>
  <c r="FY26" i="75"/>
  <c r="FX26" i="75"/>
  <c r="FW26" i="75"/>
  <c r="FV26" i="75"/>
  <c r="FU26" i="75"/>
  <c r="FT26" i="75"/>
  <c r="FS26" i="75"/>
  <c r="FR26" i="75"/>
  <c r="EG26" i="75"/>
  <c r="EF26" i="75"/>
  <c r="EE26" i="75"/>
  <c r="ED26" i="75"/>
  <c r="BK26" i="75"/>
  <c r="BJ26" i="75"/>
  <c r="BI26" i="75"/>
  <c r="BH26" i="75"/>
  <c r="BG26" i="75"/>
  <c r="ND25" i="75"/>
  <c r="NC25" i="75"/>
  <c r="NB25" i="75"/>
  <c r="NA25" i="75"/>
  <c r="MZ25" i="75"/>
  <c r="LF25" i="75"/>
  <c r="LE25" i="75"/>
  <c r="LD25" i="75"/>
  <c r="LC25" i="75"/>
  <c r="LB25" i="75"/>
  <c r="LA25" i="75"/>
  <c r="KZ25" i="75"/>
  <c r="KY25" i="75"/>
  <c r="KX25" i="75"/>
  <c r="KW25" i="75"/>
  <c r="KV25" i="75"/>
  <c r="KU25" i="75"/>
  <c r="KT25" i="75"/>
  <c r="KS25" i="75"/>
  <c r="KR25" i="75"/>
  <c r="KQ25" i="75"/>
  <c r="KP25" i="75"/>
  <c r="KO25" i="75"/>
  <c r="KN25" i="75"/>
  <c r="KM25" i="75"/>
  <c r="KL25" i="75"/>
  <c r="KK25" i="75"/>
  <c r="KJ25" i="75"/>
  <c r="KI25" i="75"/>
  <c r="KH25" i="75"/>
  <c r="KG25" i="75"/>
  <c r="KF25" i="75"/>
  <c r="KE25" i="75"/>
  <c r="KD25" i="75"/>
  <c r="KC25" i="75"/>
  <c r="KB25" i="75"/>
  <c r="KA25" i="75"/>
  <c r="JZ25" i="75"/>
  <c r="JY25" i="75"/>
  <c r="JX25" i="75"/>
  <c r="JW25" i="75"/>
  <c r="JV25" i="75"/>
  <c r="JU25" i="75"/>
  <c r="JT25" i="75"/>
  <c r="JS25" i="75"/>
  <c r="JR25" i="75"/>
  <c r="JQ25" i="75"/>
  <c r="JP25" i="75"/>
  <c r="JO25" i="75"/>
  <c r="JN25" i="75"/>
  <c r="JM25" i="75"/>
  <c r="JL25" i="75"/>
  <c r="JK25" i="75"/>
  <c r="JJ25" i="75"/>
  <c r="JI25" i="75"/>
  <c r="JH25" i="75"/>
  <c r="JG25" i="75"/>
  <c r="JF25" i="75"/>
  <c r="JE25" i="75"/>
  <c r="JD25" i="75"/>
  <c r="JC25" i="75"/>
  <c r="JB25" i="75"/>
  <c r="JA25" i="75"/>
  <c r="IZ25" i="75"/>
  <c r="IY25" i="75"/>
  <c r="IX25" i="75"/>
  <c r="IW25" i="75"/>
  <c r="IV25" i="75"/>
  <c r="IU25" i="75"/>
  <c r="IT25" i="75"/>
  <c r="IS25" i="75"/>
  <c r="IR25" i="75"/>
  <c r="IQ25" i="75"/>
  <c r="IP25" i="75"/>
  <c r="IO25" i="75"/>
  <c r="IN25" i="75"/>
  <c r="IM25" i="75"/>
  <c r="IL25" i="75"/>
  <c r="IK25" i="75"/>
  <c r="IJ25" i="75"/>
  <c r="II25" i="75"/>
  <c r="IH25" i="75"/>
  <c r="IG25" i="75"/>
  <c r="IF25" i="75"/>
  <c r="IE25" i="75"/>
  <c r="ID25" i="75"/>
  <c r="IC25" i="75"/>
  <c r="IB25" i="75"/>
  <c r="IA25" i="75"/>
  <c r="HZ25" i="75"/>
  <c r="HY25" i="75"/>
  <c r="HX25" i="75"/>
  <c r="HW25" i="75"/>
  <c r="HV25" i="75"/>
  <c r="HU25" i="75"/>
  <c r="HT25" i="75"/>
  <c r="HS25" i="75"/>
  <c r="HR25" i="75"/>
  <c r="HQ25" i="75"/>
  <c r="HP25" i="75"/>
  <c r="HJ25" i="75"/>
  <c r="HI25" i="75"/>
  <c r="HH25" i="75"/>
  <c r="HG25" i="75"/>
  <c r="HF25" i="75"/>
  <c r="HE25" i="75"/>
  <c r="HD25" i="75"/>
  <c r="HC25" i="75"/>
  <c r="HB25" i="75"/>
  <c r="HA25" i="75"/>
  <c r="GU25" i="75"/>
  <c r="GT25" i="75"/>
  <c r="GS25" i="75"/>
  <c r="GR25" i="75"/>
  <c r="GQ25" i="75"/>
  <c r="GP25" i="75"/>
  <c r="GO25" i="75"/>
  <c r="GN25" i="75"/>
  <c r="GM25" i="75"/>
  <c r="GL25" i="75"/>
  <c r="GF25" i="75"/>
  <c r="GE25" i="75"/>
  <c r="GD25" i="75"/>
  <c r="GC25" i="75"/>
  <c r="GB25" i="75"/>
  <c r="GA25" i="75"/>
  <c r="FZ25" i="75"/>
  <c r="FY25" i="75"/>
  <c r="FX25" i="75"/>
  <c r="FW25" i="75"/>
  <c r="FV25" i="75"/>
  <c r="FU25" i="75"/>
  <c r="FT25" i="75"/>
  <c r="FS25" i="75"/>
  <c r="FR25" i="75"/>
  <c r="EG25" i="75"/>
  <c r="EF25" i="75"/>
  <c r="EE25" i="75"/>
  <c r="ED25" i="75"/>
  <c r="BK25" i="75"/>
  <c r="BJ25" i="75"/>
  <c r="BI25" i="75"/>
  <c r="BH25" i="75"/>
  <c r="BG25" i="75"/>
  <c r="ND24" i="75"/>
  <c r="NC24" i="75"/>
  <c r="NB24" i="75"/>
  <c r="NA24" i="75"/>
  <c r="MZ24" i="75"/>
  <c r="LF24" i="75"/>
  <c r="LE24" i="75"/>
  <c r="LD24" i="75"/>
  <c r="LC24" i="75"/>
  <c r="LB24" i="75"/>
  <c r="LA24" i="75"/>
  <c r="KZ24" i="75"/>
  <c r="KY24" i="75"/>
  <c r="KX24" i="75"/>
  <c r="KW24" i="75"/>
  <c r="KV24" i="75"/>
  <c r="KU24" i="75"/>
  <c r="KT24" i="75"/>
  <c r="KS24" i="75"/>
  <c r="KR24" i="75"/>
  <c r="KQ24" i="75"/>
  <c r="KP24" i="75"/>
  <c r="KO24" i="75"/>
  <c r="KN24" i="75"/>
  <c r="KM24" i="75"/>
  <c r="KL24" i="75"/>
  <c r="KK24" i="75"/>
  <c r="KJ24" i="75"/>
  <c r="KI24" i="75"/>
  <c r="KH24" i="75"/>
  <c r="KG24" i="75"/>
  <c r="KF24" i="75"/>
  <c r="KE24" i="75"/>
  <c r="KD24" i="75"/>
  <c r="KC24" i="75"/>
  <c r="KB24" i="75"/>
  <c r="KA24" i="75"/>
  <c r="JZ24" i="75"/>
  <c r="JY24" i="75"/>
  <c r="JX24" i="75"/>
  <c r="JW24" i="75"/>
  <c r="JV24" i="75"/>
  <c r="JU24" i="75"/>
  <c r="JT24" i="75"/>
  <c r="JS24" i="75"/>
  <c r="JR24" i="75"/>
  <c r="JQ24" i="75"/>
  <c r="JP24" i="75"/>
  <c r="JO24" i="75"/>
  <c r="JN24" i="75"/>
  <c r="JM24" i="75"/>
  <c r="JL24" i="75"/>
  <c r="JK24" i="75"/>
  <c r="JJ24" i="75"/>
  <c r="JI24" i="75"/>
  <c r="JH24" i="75"/>
  <c r="JG24" i="75"/>
  <c r="JF24" i="75"/>
  <c r="JE24" i="75"/>
  <c r="JD24" i="75"/>
  <c r="JC24" i="75"/>
  <c r="JB24" i="75"/>
  <c r="JA24" i="75"/>
  <c r="IZ24" i="75"/>
  <c r="IY24" i="75"/>
  <c r="IX24" i="75"/>
  <c r="IW24" i="75"/>
  <c r="IV24" i="75"/>
  <c r="IU24" i="75"/>
  <c r="IT24" i="75"/>
  <c r="IS24" i="75"/>
  <c r="IR24" i="75"/>
  <c r="IQ24" i="75"/>
  <c r="IP24" i="75"/>
  <c r="IO24" i="75"/>
  <c r="IN24" i="75"/>
  <c r="IM24" i="75"/>
  <c r="IL24" i="75"/>
  <c r="IK24" i="75"/>
  <c r="IJ24" i="75"/>
  <c r="II24" i="75"/>
  <c r="IH24" i="75"/>
  <c r="IG24" i="75"/>
  <c r="IF24" i="75"/>
  <c r="IE24" i="75"/>
  <c r="ID24" i="75"/>
  <c r="IC24" i="75"/>
  <c r="IB24" i="75"/>
  <c r="IA24" i="75"/>
  <c r="HZ24" i="75"/>
  <c r="HY24" i="75"/>
  <c r="HX24" i="75"/>
  <c r="HW24" i="75"/>
  <c r="HV24" i="75"/>
  <c r="HU24" i="75"/>
  <c r="HT24" i="75"/>
  <c r="HS24" i="75"/>
  <c r="HR24" i="75"/>
  <c r="HQ24" i="75"/>
  <c r="HP24" i="75"/>
  <c r="HJ24" i="75"/>
  <c r="HI24" i="75"/>
  <c r="HH24" i="75"/>
  <c r="HG24" i="75"/>
  <c r="HF24" i="75"/>
  <c r="HE24" i="75"/>
  <c r="HD24" i="75"/>
  <c r="HC24" i="75"/>
  <c r="HB24" i="75"/>
  <c r="HA24" i="75"/>
  <c r="GU24" i="75"/>
  <c r="GT24" i="75"/>
  <c r="GS24" i="75"/>
  <c r="GR24" i="75"/>
  <c r="GQ24" i="75"/>
  <c r="GP24" i="75"/>
  <c r="GO24" i="75"/>
  <c r="GN24" i="75"/>
  <c r="GM24" i="75"/>
  <c r="GL24" i="75"/>
  <c r="GF24" i="75"/>
  <c r="GE24" i="75"/>
  <c r="GD24" i="75"/>
  <c r="GC24" i="75"/>
  <c r="GB24" i="75"/>
  <c r="GA24" i="75"/>
  <c r="FZ24" i="75"/>
  <c r="FY24" i="75"/>
  <c r="FX24" i="75"/>
  <c r="FW24" i="75"/>
  <c r="FV24" i="75"/>
  <c r="FU24" i="75"/>
  <c r="FT24" i="75"/>
  <c r="FS24" i="75"/>
  <c r="FR24" i="75"/>
  <c r="EG24" i="75"/>
  <c r="EF24" i="75"/>
  <c r="EE24" i="75"/>
  <c r="ED24" i="75"/>
  <c r="BK24" i="75"/>
  <c r="BJ24" i="75"/>
  <c r="BI24" i="75"/>
  <c r="BH24" i="75"/>
  <c r="BG24" i="75"/>
  <c r="ND23" i="75"/>
  <c r="NC23" i="75"/>
  <c r="NB23" i="75"/>
  <c r="NA23" i="75"/>
  <c r="MZ23" i="75"/>
  <c r="LF23" i="75"/>
  <c r="LE23" i="75"/>
  <c r="LD23" i="75"/>
  <c r="LC23" i="75"/>
  <c r="LB23" i="75"/>
  <c r="LA23" i="75"/>
  <c r="KZ23" i="75"/>
  <c r="KY23" i="75"/>
  <c r="KX23" i="75"/>
  <c r="KW23" i="75"/>
  <c r="KV23" i="75"/>
  <c r="KU23" i="75"/>
  <c r="KT23" i="75"/>
  <c r="KS23" i="75"/>
  <c r="KR23" i="75"/>
  <c r="KQ23" i="75"/>
  <c r="KP23" i="75"/>
  <c r="KO23" i="75"/>
  <c r="KN23" i="75"/>
  <c r="KM23" i="75"/>
  <c r="KL23" i="75"/>
  <c r="KK23" i="75"/>
  <c r="KJ23" i="75"/>
  <c r="KI23" i="75"/>
  <c r="KH23" i="75"/>
  <c r="KG23" i="75"/>
  <c r="KF23" i="75"/>
  <c r="KE23" i="75"/>
  <c r="KD23" i="75"/>
  <c r="KC23" i="75"/>
  <c r="KB23" i="75"/>
  <c r="KA23" i="75"/>
  <c r="JZ23" i="75"/>
  <c r="JY23" i="75"/>
  <c r="JX23" i="75"/>
  <c r="JW23" i="75"/>
  <c r="JV23" i="75"/>
  <c r="JU23" i="75"/>
  <c r="JT23" i="75"/>
  <c r="JS23" i="75"/>
  <c r="JR23" i="75"/>
  <c r="JQ23" i="75"/>
  <c r="JP23" i="75"/>
  <c r="JO23" i="75"/>
  <c r="JN23" i="75"/>
  <c r="JM23" i="75"/>
  <c r="JL23" i="75"/>
  <c r="JK23" i="75"/>
  <c r="JJ23" i="75"/>
  <c r="JI23" i="75"/>
  <c r="JH23" i="75"/>
  <c r="JG23" i="75"/>
  <c r="JF23" i="75"/>
  <c r="JE23" i="75"/>
  <c r="JD23" i="75"/>
  <c r="JC23" i="75"/>
  <c r="JB23" i="75"/>
  <c r="JA23" i="75"/>
  <c r="IZ23" i="75"/>
  <c r="IY23" i="75"/>
  <c r="IX23" i="75"/>
  <c r="IW23" i="75"/>
  <c r="IV23" i="75"/>
  <c r="IU23" i="75"/>
  <c r="IT23" i="75"/>
  <c r="IS23" i="75"/>
  <c r="IR23" i="75"/>
  <c r="IQ23" i="75"/>
  <c r="IP23" i="75"/>
  <c r="IO23" i="75"/>
  <c r="IN23" i="75"/>
  <c r="IM23" i="75"/>
  <c r="IL23" i="75"/>
  <c r="IK23" i="75"/>
  <c r="IJ23" i="75"/>
  <c r="II23" i="75"/>
  <c r="IH23" i="75"/>
  <c r="IG23" i="75"/>
  <c r="IF23" i="75"/>
  <c r="IE23" i="75"/>
  <c r="ID23" i="75"/>
  <c r="IC23" i="75"/>
  <c r="IB23" i="75"/>
  <c r="IA23" i="75"/>
  <c r="HZ23" i="75"/>
  <c r="HY23" i="75"/>
  <c r="HX23" i="75"/>
  <c r="HW23" i="75"/>
  <c r="HV23" i="75"/>
  <c r="HU23" i="75"/>
  <c r="HT23" i="75"/>
  <c r="HS23" i="75"/>
  <c r="HR23" i="75"/>
  <c r="HQ23" i="75"/>
  <c r="HP23" i="75"/>
  <c r="HJ23" i="75"/>
  <c r="HI23" i="75"/>
  <c r="HH23" i="75"/>
  <c r="HG23" i="75"/>
  <c r="HF23" i="75"/>
  <c r="HE23" i="75"/>
  <c r="HD23" i="75"/>
  <c r="HC23" i="75"/>
  <c r="HB23" i="75"/>
  <c r="HA23" i="75"/>
  <c r="GU23" i="75"/>
  <c r="GT23" i="75"/>
  <c r="GS23" i="75"/>
  <c r="GR23" i="75"/>
  <c r="GQ23" i="75"/>
  <c r="GP23" i="75"/>
  <c r="GO23" i="75"/>
  <c r="GN23" i="75"/>
  <c r="GM23" i="75"/>
  <c r="GL23" i="75"/>
  <c r="GF23" i="75"/>
  <c r="GE23" i="75"/>
  <c r="GD23" i="75"/>
  <c r="GC23" i="75"/>
  <c r="GB23" i="75"/>
  <c r="GA23" i="75"/>
  <c r="FZ23" i="75"/>
  <c r="FY23" i="75"/>
  <c r="FX23" i="75"/>
  <c r="FW23" i="75"/>
  <c r="FV23" i="75"/>
  <c r="FU23" i="75"/>
  <c r="FT23" i="75"/>
  <c r="FS23" i="75"/>
  <c r="FR23" i="75"/>
  <c r="EG23" i="75"/>
  <c r="EF23" i="75"/>
  <c r="EE23" i="75"/>
  <c r="ED23" i="75"/>
  <c r="BK23" i="75"/>
  <c r="BJ23" i="75"/>
  <c r="BI23" i="75"/>
  <c r="BH23" i="75"/>
  <c r="BG23" i="75"/>
  <c r="ND22" i="75"/>
  <c r="NC22" i="75"/>
  <c r="NB22" i="75"/>
  <c r="NA22" i="75"/>
  <c r="MZ22" i="75"/>
  <c r="LF22" i="75"/>
  <c r="LE22" i="75"/>
  <c r="LD22" i="75"/>
  <c r="LC22" i="75"/>
  <c r="LB22" i="75"/>
  <c r="LA22" i="75"/>
  <c r="KZ22" i="75"/>
  <c r="KY22" i="75"/>
  <c r="KX22" i="75"/>
  <c r="KW22" i="75"/>
  <c r="KV22" i="75"/>
  <c r="KU22" i="75"/>
  <c r="KT22" i="75"/>
  <c r="KS22" i="75"/>
  <c r="KR22" i="75"/>
  <c r="KQ22" i="75"/>
  <c r="KP22" i="75"/>
  <c r="KO22" i="75"/>
  <c r="KN22" i="75"/>
  <c r="KM22" i="75"/>
  <c r="KL22" i="75"/>
  <c r="KK22" i="75"/>
  <c r="KJ22" i="75"/>
  <c r="KI22" i="75"/>
  <c r="KH22" i="75"/>
  <c r="KG22" i="75"/>
  <c r="KF22" i="75"/>
  <c r="KE22" i="75"/>
  <c r="KD22" i="75"/>
  <c r="KC22" i="75"/>
  <c r="KB22" i="75"/>
  <c r="KA22" i="75"/>
  <c r="JZ22" i="75"/>
  <c r="JY22" i="75"/>
  <c r="JX22" i="75"/>
  <c r="JW22" i="75"/>
  <c r="JV22" i="75"/>
  <c r="JU22" i="75"/>
  <c r="JT22" i="75"/>
  <c r="JS22" i="75"/>
  <c r="JR22" i="75"/>
  <c r="JQ22" i="75"/>
  <c r="JP22" i="75"/>
  <c r="JO22" i="75"/>
  <c r="JN22" i="75"/>
  <c r="JM22" i="75"/>
  <c r="JL22" i="75"/>
  <c r="JK22" i="75"/>
  <c r="JJ22" i="75"/>
  <c r="JI22" i="75"/>
  <c r="JH22" i="75"/>
  <c r="JG22" i="75"/>
  <c r="JF22" i="75"/>
  <c r="JE22" i="75"/>
  <c r="JD22" i="75"/>
  <c r="JC22" i="75"/>
  <c r="JB22" i="75"/>
  <c r="JA22" i="75"/>
  <c r="IZ22" i="75"/>
  <c r="IY22" i="75"/>
  <c r="IX22" i="75"/>
  <c r="IW22" i="75"/>
  <c r="IV22" i="75"/>
  <c r="IU22" i="75"/>
  <c r="IT22" i="75"/>
  <c r="IS22" i="75"/>
  <c r="IR22" i="75"/>
  <c r="IQ22" i="75"/>
  <c r="IP22" i="75"/>
  <c r="IO22" i="75"/>
  <c r="IN22" i="75"/>
  <c r="IM22" i="75"/>
  <c r="IL22" i="75"/>
  <c r="IK22" i="75"/>
  <c r="IJ22" i="75"/>
  <c r="II22" i="75"/>
  <c r="IH22" i="75"/>
  <c r="IG22" i="75"/>
  <c r="IF22" i="75"/>
  <c r="IE22" i="75"/>
  <c r="ID22" i="75"/>
  <c r="IC22" i="75"/>
  <c r="IB22" i="75"/>
  <c r="IA22" i="75"/>
  <c r="HZ22" i="75"/>
  <c r="HY22" i="75"/>
  <c r="HX22" i="75"/>
  <c r="HW22" i="75"/>
  <c r="HV22" i="75"/>
  <c r="HU22" i="75"/>
  <c r="HT22" i="75"/>
  <c r="HS22" i="75"/>
  <c r="HR22" i="75"/>
  <c r="HQ22" i="75"/>
  <c r="HP22" i="75"/>
  <c r="HJ22" i="75"/>
  <c r="HI22" i="75"/>
  <c r="HH22" i="75"/>
  <c r="HG22" i="75"/>
  <c r="HF22" i="75"/>
  <c r="HE22" i="75"/>
  <c r="HD22" i="75"/>
  <c r="HC22" i="75"/>
  <c r="HB22" i="75"/>
  <c r="HA22" i="75"/>
  <c r="GU22" i="75"/>
  <c r="GT22" i="75"/>
  <c r="GS22" i="75"/>
  <c r="GR22" i="75"/>
  <c r="GQ22" i="75"/>
  <c r="GP22" i="75"/>
  <c r="GO22" i="75"/>
  <c r="GN22" i="75"/>
  <c r="GM22" i="75"/>
  <c r="GL22" i="75"/>
  <c r="GF22" i="75"/>
  <c r="GE22" i="75"/>
  <c r="GD22" i="75"/>
  <c r="GC22" i="75"/>
  <c r="GB22" i="75"/>
  <c r="GA22" i="75"/>
  <c r="FZ22" i="75"/>
  <c r="FY22" i="75"/>
  <c r="FX22" i="75"/>
  <c r="FW22" i="75"/>
  <c r="FV22" i="75"/>
  <c r="FU22" i="75"/>
  <c r="FT22" i="75"/>
  <c r="FS22" i="75"/>
  <c r="FR22" i="75"/>
  <c r="EG22" i="75"/>
  <c r="EF22" i="75"/>
  <c r="EE22" i="75"/>
  <c r="ED22" i="75"/>
  <c r="BK22" i="75"/>
  <c r="BJ22" i="75"/>
  <c r="BI22" i="75"/>
  <c r="BH22" i="75"/>
  <c r="BG22" i="75"/>
  <c r="ND21" i="75"/>
  <c r="NC21" i="75"/>
  <c r="NB21" i="75"/>
  <c r="NA21" i="75"/>
  <c r="MZ21" i="75"/>
  <c r="LF21" i="75"/>
  <c r="LE21" i="75"/>
  <c r="LD21" i="75"/>
  <c r="LC21" i="75"/>
  <c r="LB21" i="75"/>
  <c r="LA21" i="75"/>
  <c r="KZ21" i="75"/>
  <c r="KY21" i="75"/>
  <c r="KX21" i="75"/>
  <c r="KW21" i="75"/>
  <c r="KV21" i="75"/>
  <c r="KU21" i="75"/>
  <c r="KT21" i="75"/>
  <c r="KS21" i="75"/>
  <c r="KR21" i="75"/>
  <c r="KQ21" i="75"/>
  <c r="KP21" i="75"/>
  <c r="KO21" i="75"/>
  <c r="KN21" i="75"/>
  <c r="KM21" i="75"/>
  <c r="KL21" i="75"/>
  <c r="KK21" i="75"/>
  <c r="KJ21" i="75"/>
  <c r="KI21" i="75"/>
  <c r="KH21" i="75"/>
  <c r="KG21" i="75"/>
  <c r="KF21" i="75"/>
  <c r="KE21" i="75"/>
  <c r="KD21" i="75"/>
  <c r="KC21" i="75"/>
  <c r="KB21" i="75"/>
  <c r="KA21" i="75"/>
  <c r="JZ21" i="75"/>
  <c r="JY21" i="75"/>
  <c r="JX21" i="75"/>
  <c r="JW21" i="75"/>
  <c r="JV21" i="75"/>
  <c r="JU21" i="75"/>
  <c r="JT21" i="75"/>
  <c r="JS21" i="75"/>
  <c r="JR21" i="75"/>
  <c r="JQ21" i="75"/>
  <c r="JP21" i="75"/>
  <c r="JO21" i="75"/>
  <c r="JN21" i="75"/>
  <c r="JM21" i="75"/>
  <c r="JL21" i="75"/>
  <c r="JK21" i="75"/>
  <c r="JJ21" i="75"/>
  <c r="JI21" i="75"/>
  <c r="JH21" i="75"/>
  <c r="JG21" i="75"/>
  <c r="JF21" i="75"/>
  <c r="JE21" i="75"/>
  <c r="JD21" i="75"/>
  <c r="JC21" i="75"/>
  <c r="JB21" i="75"/>
  <c r="JA21" i="75"/>
  <c r="IZ21" i="75"/>
  <c r="IY21" i="75"/>
  <c r="IX21" i="75"/>
  <c r="IW21" i="75"/>
  <c r="IV21" i="75"/>
  <c r="IU21" i="75"/>
  <c r="IT21" i="75"/>
  <c r="IS21" i="75"/>
  <c r="IR21" i="75"/>
  <c r="IQ21" i="75"/>
  <c r="IP21" i="75"/>
  <c r="IO21" i="75"/>
  <c r="IN21" i="75"/>
  <c r="IM21" i="75"/>
  <c r="IL21" i="75"/>
  <c r="IK21" i="75"/>
  <c r="IJ21" i="75"/>
  <c r="II21" i="75"/>
  <c r="IH21" i="75"/>
  <c r="IG21" i="75"/>
  <c r="IF21" i="75"/>
  <c r="IE21" i="75"/>
  <c r="ID21" i="75"/>
  <c r="IC21" i="75"/>
  <c r="IB21" i="75"/>
  <c r="IA21" i="75"/>
  <c r="HZ21" i="75"/>
  <c r="HY21" i="75"/>
  <c r="HX21" i="75"/>
  <c r="HW21" i="75"/>
  <c r="HV21" i="75"/>
  <c r="HU21" i="75"/>
  <c r="HT21" i="75"/>
  <c r="HS21" i="75"/>
  <c r="HR21" i="75"/>
  <c r="HQ21" i="75"/>
  <c r="HP21" i="75"/>
  <c r="HJ21" i="75"/>
  <c r="HI21" i="75"/>
  <c r="HH21" i="75"/>
  <c r="HG21" i="75"/>
  <c r="HF21" i="75"/>
  <c r="HE21" i="75"/>
  <c r="HD21" i="75"/>
  <c r="HC21" i="75"/>
  <c r="HB21" i="75"/>
  <c r="HA21" i="75"/>
  <c r="GU21" i="75"/>
  <c r="GT21" i="75"/>
  <c r="GS21" i="75"/>
  <c r="GR21" i="75"/>
  <c r="GQ21" i="75"/>
  <c r="GP21" i="75"/>
  <c r="GO21" i="75"/>
  <c r="GN21" i="75"/>
  <c r="GM21" i="75"/>
  <c r="GL21" i="75"/>
  <c r="GF21" i="75"/>
  <c r="GE21" i="75"/>
  <c r="GD21" i="75"/>
  <c r="GC21" i="75"/>
  <c r="GB21" i="75"/>
  <c r="GA21" i="75"/>
  <c r="FZ21" i="75"/>
  <c r="FY21" i="75"/>
  <c r="FX21" i="75"/>
  <c r="FW21" i="75"/>
  <c r="FV21" i="75"/>
  <c r="FU21" i="75"/>
  <c r="FT21" i="75"/>
  <c r="FS21" i="75"/>
  <c r="FR21" i="75"/>
  <c r="EG21" i="75"/>
  <c r="EF21" i="75"/>
  <c r="EE21" i="75"/>
  <c r="ED21" i="75"/>
  <c r="BK21" i="75"/>
  <c r="BJ21" i="75"/>
  <c r="BI21" i="75"/>
  <c r="BH21" i="75"/>
  <c r="BG21" i="75"/>
  <c r="ND20" i="75"/>
  <c r="NC20" i="75"/>
  <c r="NB20" i="75"/>
  <c r="NA20" i="75"/>
  <c r="MZ20" i="75"/>
  <c r="LF20" i="75"/>
  <c r="LE20" i="75"/>
  <c r="LD20" i="75"/>
  <c r="LC20" i="75"/>
  <c r="LB20" i="75"/>
  <c r="LA20" i="75"/>
  <c r="KZ20" i="75"/>
  <c r="KY20" i="75"/>
  <c r="KX20" i="75"/>
  <c r="KW20" i="75"/>
  <c r="KV20" i="75"/>
  <c r="KU20" i="75"/>
  <c r="KT20" i="75"/>
  <c r="KS20" i="75"/>
  <c r="KR20" i="75"/>
  <c r="KQ20" i="75"/>
  <c r="KP20" i="75"/>
  <c r="KO20" i="75"/>
  <c r="KN20" i="75"/>
  <c r="KM20" i="75"/>
  <c r="KL20" i="75"/>
  <c r="KK20" i="75"/>
  <c r="KJ20" i="75"/>
  <c r="KI20" i="75"/>
  <c r="KH20" i="75"/>
  <c r="KG20" i="75"/>
  <c r="KF20" i="75"/>
  <c r="KE20" i="75"/>
  <c r="KD20" i="75"/>
  <c r="KC20" i="75"/>
  <c r="KB20" i="75"/>
  <c r="KA20" i="75"/>
  <c r="JZ20" i="75"/>
  <c r="JY20" i="75"/>
  <c r="JX20" i="75"/>
  <c r="JW20" i="75"/>
  <c r="JV20" i="75"/>
  <c r="JU20" i="75"/>
  <c r="JT20" i="75"/>
  <c r="JS20" i="75"/>
  <c r="JR20" i="75"/>
  <c r="JQ20" i="75"/>
  <c r="JP20" i="75"/>
  <c r="JO20" i="75"/>
  <c r="JN20" i="75"/>
  <c r="JM20" i="75"/>
  <c r="JL20" i="75"/>
  <c r="JK20" i="75"/>
  <c r="JJ20" i="75"/>
  <c r="JI20" i="75"/>
  <c r="JH20" i="75"/>
  <c r="JG20" i="75"/>
  <c r="JF20" i="75"/>
  <c r="JE20" i="75"/>
  <c r="JD20" i="75"/>
  <c r="JC20" i="75"/>
  <c r="JB20" i="75"/>
  <c r="JA20" i="75"/>
  <c r="IZ20" i="75"/>
  <c r="IY20" i="75"/>
  <c r="IX20" i="75"/>
  <c r="IW20" i="75"/>
  <c r="IV20" i="75"/>
  <c r="IU20" i="75"/>
  <c r="IT20" i="75"/>
  <c r="IS20" i="75"/>
  <c r="IR20" i="75"/>
  <c r="IQ20" i="75"/>
  <c r="IP20" i="75"/>
  <c r="IO20" i="75"/>
  <c r="IN20" i="75"/>
  <c r="IM20" i="75"/>
  <c r="IL20" i="75"/>
  <c r="IK20" i="75"/>
  <c r="IJ20" i="75"/>
  <c r="II20" i="75"/>
  <c r="IH20" i="75"/>
  <c r="IG20" i="75"/>
  <c r="IF20" i="75"/>
  <c r="IE20" i="75"/>
  <c r="ID20" i="75"/>
  <c r="IC20" i="75"/>
  <c r="IB20" i="75"/>
  <c r="IA20" i="75"/>
  <c r="HZ20" i="75"/>
  <c r="HY20" i="75"/>
  <c r="HX20" i="75"/>
  <c r="HW20" i="75"/>
  <c r="HV20" i="75"/>
  <c r="HU20" i="75"/>
  <c r="HT20" i="75"/>
  <c r="HS20" i="75"/>
  <c r="HR20" i="75"/>
  <c r="HQ20" i="75"/>
  <c r="HP20" i="75"/>
  <c r="HJ20" i="75"/>
  <c r="HI20" i="75"/>
  <c r="HH20" i="75"/>
  <c r="HG20" i="75"/>
  <c r="HF20" i="75"/>
  <c r="HE20" i="75"/>
  <c r="HD20" i="75"/>
  <c r="HC20" i="75"/>
  <c r="HB20" i="75"/>
  <c r="HA20" i="75"/>
  <c r="GU20" i="75"/>
  <c r="GT20" i="75"/>
  <c r="GS20" i="75"/>
  <c r="GR20" i="75"/>
  <c r="GQ20" i="75"/>
  <c r="GP20" i="75"/>
  <c r="GO20" i="75"/>
  <c r="GN20" i="75"/>
  <c r="GM20" i="75"/>
  <c r="GL20" i="75"/>
  <c r="GF20" i="75"/>
  <c r="GE20" i="75"/>
  <c r="GD20" i="75"/>
  <c r="GC20" i="75"/>
  <c r="GB20" i="75"/>
  <c r="GA20" i="75"/>
  <c r="FZ20" i="75"/>
  <c r="FY20" i="75"/>
  <c r="FX20" i="75"/>
  <c r="FW20" i="75"/>
  <c r="FV20" i="75"/>
  <c r="FU20" i="75"/>
  <c r="FT20" i="75"/>
  <c r="FS20" i="75"/>
  <c r="FR20" i="75"/>
  <c r="EG20" i="75"/>
  <c r="EF20" i="75"/>
  <c r="EE20" i="75"/>
  <c r="ED20" i="75"/>
  <c r="BK20" i="75"/>
  <c r="BJ20" i="75"/>
  <c r="BI20" i="75"/>
  <c r="BH20" i="75"/>
  <c r="BG20" i="75"/>
  <c r="ND19" i="75"/>
  <c r="NC19" i="75"/>
  <c r="NB19" i="75"/>
  <c r="NA19" i="75"/>
  <c r="MZ19" i="75"/>
  <c r="LF19" i="75"/>
  <c r="LE19" i="75"/>
  <c r="LD19" i="75"/>
  <c r="LC19" i="75"/>
  <c r="LB19" i="75"/>
  <c r="LA19" i="75"/>
  <c r="KZ19" i="75"/>
  <c r="KY19" i="75"/>
  <c r="KX19" i="75"/>
  <c r="KW19" i="75"/>
  <c r="KV19" i="75"/>
  <c r="KU19" i="75"/>
  <c r="KT19" i="75"/>
  <c r="KS19" i="75"/>
  <c r="KR19" i="75"/>
  <c r="KQ19" i="75"/>
  <c r="KP19" i="75"/>
  <c r="KO19" i="75"/>
  <c r="KN19" i="75"/>
  <c r="KM19" i="75"/>
  <c r="KL19" i="75"/>
  <c r="KK19" i="75"/>
  <c r="KJ19" i="75"/>
  <c r="KI19" i="75"/>
  <c r="KH19" i="75"/>
  <c r="KG19" i="75"/>
  <c r="KF19" i="75"/>
  <c r="KE19" i="75"/>
  <c r="KD19" i="75"/>
  <c r="KC19" i="75"/>
  <c r="KB19" i="75"/>
  <c r="KA19" i="75"/>
  <c r="JZ19" i="75"/>
  <c r="JY19" i="75"/>
  <c r="JX19" i="75"/>
  <c r="JW19" i="75"/>
  <c r="JV19" i="75"/>
  <c r="JU19" i="75"/>
  <c r="JT19" i="75"/>
  <c r="JS19" i="75"/>
  <c r="JR19" i="75"/>
  <c r="JQ19" i="75"/>
  <c r="JP19" i="75"/>
  <c r="JO19" i="75"/>
  <c r="JN19" i="75"/>
  <c r="JM19" i="75"/>
  <c r="JL19" i="75"/>
  <c r="JK19" i="75"/>
  <c r="JJ19" i="75"/>
  <c r="JI19" i="75"/>
  <c r="JH19" i="75"/>
  <c r="JG19" i="75"/>
  <c r="JF19" i="75"/>
  <c r="JE19" i="75"/>
  <c r="JD19" i="75"/>
  <c r="JC19" i="75"/>
  <c r="JB19" i="75"/>
  <c r="JA19" i="75"/>
  <c r="IZ19" i="75"/>
  <c r="IY19" i="75"/>
  <c r="IX19" i="75"/>
  <c r="IW19" i="75"/>
  <c r="IV19" i="75"/>
  <c r="IU19" i="75"/>
  <c r="IT19" i="75"/>
  <c r="IS19" i="75"/>
  <c r="IR19" i="75"/>
  <c r="IQ19" i="75"/>
  <c r="IP19" i="75"/>
  <c r="IO19" i="75"/>
  <c r="IN19" i="75"/>
  <c r="IM19" i="75"/>
  <c r="IL19" i="75"/>
  <c r="IK19" i="75"/>
  <c r="IJ19" i="75"/>
  <c r="II19" i="75"/>
  <c r="IH19" i="75"/>
  <c r="IG19" i="75"/>
  <c r="IF19" i="75"/>
  <c r="IE19" i="75"/>
  <c r="ID19" i="75"/>
  <c r="IC19" i="75"/>
  <c r="IB19" i="75"/>
  <c r="IA19" i="75"/>
  <c r="HZ19" i="75"/>
  <c r="HY19" i="75"/>
  <c r="HX19" i="75"/>
  <c r="HW19" i="75"/>
  <c r="HV19" i="75"/>
  <c r="HU19" i="75"/>
  <c r="HT19" i="75"/>
  <c r="HS19" i="75"/>
  <c r="HR19" i="75"/>
  <c r="HQ19" i="75"/>
  <c r="HP19" i="75"/>
  <c r="HJ19" i="75"/>
  <c r="HI19" i="75"/>
  <c r="HH19" i="75"/>
  <c r="HG19" i="75"/>
  <c r="HF19" i="75"/>
  <c r="HE19" i="75"/>
  <c r="HD19" i="75"/>
  <c r="HC19" i="75"/>
  <c r="HB19" i="75"/>
  <c r="HA19" i="75"/>
  <c r="GU19" i="75"/>
  <c r="GT19" i="75"/>
  <c r="GS19" i="75"/>
  <c r="GR19" i="75"/>
  <c r="GQ19" i="75"/>
  <c r="GP19" i="75"/>
  <c r="GO19" i="75"/>
  <c r="GN19" i="75"/>
  <c r="GM19" i="75"/>
  <c r="GL19" i="75"/>
  <c r="GF19" i="75"/>
  <c r="GE19" i="75"/>
  <c r="GD19" i="75"/>
  <c r="GC19" i="75"/>
  <c r="GB19" i="75"/>
  <c r="GA19" i="75"/>
  <c r="FZ19" i="75"/>
  <c r="FY19" i="75"/>
  <c r="FX19" i="75"/>
  <c r="FW19" i="75"/>
  <c r="FV19" i="75"/>
  <c r="FU19" i="75"/>
  <c r="FT19" i="75"/>
  <c r="FS19" i="75"/>
  <c r="FR19" i="75"/>
  <c r="EG19" i="75"/>
  <c r="EF19" i="75"/>
  <c r="EE19" i="75"/>
  <c r="ED19" i="75"/>
  <c r="BK19" i="75"/>
  <c r="BJ19" i="75"/>
  <c r="BI19" i="75"/>
  <c r="BH19" i="75"/>
  <c r="BG19" i="75"/>
  <c r="ND18" i="75"/>
  <c r="NC18" i="75"/>
  <c r="NB18" i="75"/>
  <c r="NA18" i="75"/>
  <c r="MZ18" i="75"/>
  <c r="LF18" i="75"/>
  <c r="LE18" i="75"/>
  <c r="LD18" i="75"/>
  <c r="LC18" i="75"/>
  <c r="LB18" i="75"/>
  <c r="LA18" i="75"/>
  <c r="KZ18" i="75"/>
  <c r="KY18" i="75"/>
  <c r="KX18" i="75"/>
  <c r="KW18" i="75"/>
  <c r="KV18" i="75"/>
  <c r="KU18" i="75"/>
  <c r="KT18" i="75"/>
  <c r="KS18" i="75"/>
  <c r="KR18" i="75"/>
  <c r="KQ18" i="75"/>
  <c r="KP18" i="75"/>
  <c r="KO18" i="75"/>
  <c r="KN18" i="75"/>
  <c r="KM18" i="75"/>
  <c r="KL18" i="75"/>
  <c r="KK18" i="75"/>
  <c r="KJ18" i="75"/>
  <c r="KI18" i="75"/>
  <c r="KH18" i="75"/>
  <c r="KG18" i="75"/>
  <c r="KF18" i="75"/>
  <c r="KE18" i="75"/>
  <c r="KD18" i="75"/>
  <c r="KC18" i="75"/>
  <c r="KB18" i="75"/>
  <c r="KA18" i="75"/>
  <c r="JZ18" i="75"/>
  <c r="JY18" i="75"/>
  <c r="JX18" i="75"/>
  <c r="JW18" i="75"/>
  <c r="JV18" i="75"/>
  <c r="JU18" i="75"/>
  <c r="JT18" i="75"/>
  <c r="JS18" i="75"/>
  <c r="JR18" i="75"/>
  <c r="JQ18" i="75"/>
  <c r="JP18" i="75"/>
  <c r="JO18" i="75"/>
  <c r="JN18" i="75"/>
  <c r="JM18" i="75"/>
  <c r="JL18" i="75"/>
  <c r="JK18" i="75"/>
  <c r="JJ18" i="75"/>
  <c r="JI18" i="75"/>
  <c r="JH18" i="75"/>
  <c r="JG18" i="75"/>
  <c r="JF18" i="75"/>
  <c r="JE18" i="75"/>
  <c r="JD18" i="75"/>
  <c r="JC18" i="75"/>
  <c r="JB18" i="75"/>
  <c r="JA18" i="75"/>
  <c r="IZ18" i="75"/>
  <c r="IY18" i="75"/>
  <c r="IX18" i="75"/>
  <c r="IW18" i="75"/>
  <c r="IV18" i="75"/>
  <c r="IU18" i="75"/>
  <c r="IT18" i="75"/>
  <c r="IS18" i="75"/>
  <c r="IR18" i="75"/>
  <c r="IQ18" i="75"/>
  <c r="IP18" i="75"/>
  <c r="IO18" i="75"/>
  <c r="IN18" i="75"/>
  <c r="IM18" i="75"/>
  <c r="IL18" i="75"/>
  <c r="IK18" i="75"/>
  <c r="IJ18" i="75"/>
  <c r="II18" i="75"/>
  <c r="IH18" i="75"/>
  <c r="IG18" i="75"/>
  <c r="IF18" i="75"/>
  <c r="IE18" i="75"/>
  <c r="ID18" i="75"/>
  <c r="IC18" i="75"/>
  <c r="IB18" i="75"/>
  <c r="IA18" i="75"/>
  <c r="HZ18" i="75"/>
  <c r="HY18" i="75"/>
  <c r="HX18" i="75"/>
  <c r="HW18" i="75"/>
  <c r="HV18" i="75"/>
  <c r="HU18" i="75"/>
  <c r="HT18" i="75"/>
  <c r="HS18" i="75"/>
  <c r="HR18" i="75"/>
  <c r="HQ18" i="75"/>
  <c r="HP18" i="75"/>
  <c r="HJ18" i="75"/>
  <c r="HI18" i="75"/>
  <c r="HH18" i="75"/>
  <c r="HG18" i="75"/>
  <c r="HF18" i="75"/>
  <c r="HE18" i="75"/>
  <c r="HD18" i="75"/>
  <c r="HC18" i="75"/>
  <c r="HB18" i="75"/>
  <c r="HA18" i="75"/>
  <c r="GU18" i="75"/>
  <c r="GT18" i="75"/>
  <c r="GS18" i="75"/>
  <c r="GR18" i="75"/>
  <c r="GQ18" i="75"/>
  <c r="GP18" i="75"/>
  <c r="GO18" i="75"/>
  <c r="GN18" i="75"/>
  <c r="GM18" i="75"/>
  <c r="GL18" i="75"/>
  <c r="GF18" i="75"/>
  <c r="GE18" i="75"/>
  <c r="GD18" i="75"/>
  <c r="GC18" i="75"/>
  <c r="GB18" i="75"/>
  <c r="GA18" i="75"/>
  <c r="FZ18" i="75"/>
  <c r="FY18" i="75"/>
  <c r="FX18" i="75"/>
  <c r="FW18" i="75"/>
  <c r="FV18" i="75"/>
  <c r="FU18" i="75"/>
  <c r="FT18" i="75"/>
  <c r="FS18" i="75"/>
  <c r="FR18" i="75"/>
  <c r="EG18" i="75"/>
  <c r="EF18" i="75"/>
  <c r="EE18" i="75"/>
  <c r="ED18" i="75"/>
  <c r="BK18" i="75"/>
  <c r="BJ18" i="75"/>
  <c r="BI18" i="75"/>
  <c r="BH18" i="75"/>
  <c r="BG18" i="75"/>
  <c r="ND17" i="75"/>
  <c r="NC17" i="75"/>
  <c r="NB17" i="75"/>
  <c r="NA17" i="75"/>
  <c r="MZ17" i="75"/>
  <c r="LF17" i="75"/>
  <c r="LE17" i="75"/>
  <c r="LD17" i="75"/>
  <c r="LC17" i="75"/>
  <c r="LB17" i="75"/>
  <c r="LA17" i="75"/>
  <c r="KZ17" i="75"/>
  <c r="KY17" i="75"/>
  <c r="KX17" i="75"/>
  <c r="KW17" i="75"/>
  <c r="KV17" i="75"/>
  <c r="KU17" i="75"/>
  <c r="KT17" i="75"/>
  <c r="KS17" i="75"/>
  <c r="KR17" i="75"/>
  <c r="KQ17" i="75"/>
  <c r="KP17" i="75"/>
  <c r="KO17" i="75"/>
  <c r="KN17" i="75"/>
  <c r="KM17" i="75"/>
  <c r="KL17" i="75"/>
  <c r="KK17" i="75"/>
  <c r="KJ17" i="75"/>
  <c r="KI17" i="75"/>
  <c r="KH17" i="75"/>
  <c r="KG17" i="75"/>
  <c r="KF17" i="75"/>
  <c r="KE17" i="75"/>
  <c r="KD17" i="75"/>
  <c r="KC17" i="75"/>
  <c r="KB17" i="75"/>
  <c r="KA17" i="75"/>
  <c r="JZ17" i="75"/>
  <c r="JY17" i="75"/>
  <c r="JX17" i="75"/>
  <c r="JW17" i="75"/>
  <c r="JV17" i="75"/>
  <c r="JU17" i="75"/>
  <c r="JT17" i="75"/>
  <c r="JS17" i="75"/>
  <c r="JR17" i="75"/>
  <c r="JQ17" i="75"/>
  <c r="JP17" i="75"/>
  <c r="JO17" i="75"/>
  <c r="JN17" i="75"/>
  <c r="JM17" i="75"/>
  <c r="JL17" i="75"/>
  <c r="JK17" i="75"/>
  <c r="JJ17" i="75"/>
  <c r="JI17" i="75"/>
  <c r="JH17" i="75"/>
  <c r="JG17" i="75"/>
  <c r="JF17" i="75"/>
  <c r="JE17" i="75"/>
  <c r="JD17" i="75"/>
  <c r="JC17" i="75"/>
  <c r="JB17" i="75"/>
  <c r="JA17" i="75"/>
  <c r="IZ17" i="75"/>
  <c r="IY17" i="75"/>
  <c r="IX17" i="75"/>
  <c r="IW17" i="75"/>
  <c r="IV17" i="75"/>
  <c r="IU17" i="75"/>
  <c r="IT17" i="75"/>
  <c r="IS17" i="75"/>
  <c r="IR17" i="75"/>
  <c r="IQ17" i="75"/>
  <c r="IP17" i="75"/>
  <c r="IO17" i="75"/>
  <c r="IN17" i="75"/>
  <c r="IM17" i="75"/>
  <c r="IL17" i="75"/>
  <c r="IK17" i="75"/>
  <c r="IJ17" i="75"/>
  <c r="II17" i="75"/>
  <c r="IH17" i="75"/>
  <c r="IG17" i="75"/>
  <c r="IF17" i="75"/>
  <c r="IE17" i="75"/>
  <c r="ID17" i="75"/>
  <c r="IC17" i="75"/>
  <c r="IB17" i="75"/>
  <c r="IA17" i="75"/>
  <c r="HZ17" i="75"/>
  <c r="HY17" i="75"/>
  <c r="HX17" i="75"/>
  <c r="HW17" i="75"/>
  <c r="HV17" i="75"/>
  <c r="HU17" i="75"/>
  <c r="HT17" i="75"/>
  <c r="HS17" i="75"/>
  <c r="HR17" i="75"/>
  <c r="HQ17" i="75"/>
  <c r="HP17" i="75"/>
  <c r="HJ17" i="75"/>
  <c r="HI17" i="75"/>
  <c r="HH17" i="75"/>
  <c r="HG17" i="75"/>
  <c r="HF17" i="75"/>
  <c r="HE17" i="75"/>
  <c r="HD17" i="75"/>
  <c r="HC17" i="75"/>
  <c r="HB17" i="75"/>
  <c r="HA17" i="75"/>
  <c r="GU17" i="75"/>
  <c r="GT17" i="75"/>
  <c r="GS17" i="75"/>
  <c r="GR17" i="75"/>
  <c r="GQ17" i="75"/>
  <c r="GP17" i="75"/>
  <c r="GO17" i="75"/>
  <c r="GN17" i="75"/>
  <c r="GM17" i="75"/>
  <c r="GL17" i="75"/>
  <c r="GF17" i="75"/>
  <c r="GE17" i="75"/>
  <c r="GD17" i="75"/>
  <c r="GC17" i="75"/>
  <c r="GB17" i="75"/>
  <c r="GA17" i="75"/>
  <c r="FZ17" i="75"/>
  <c r="FY17" i="75"/>
  <c r="FX17" i="75"/>
  <c r="FW17" i="75"/>
  <c r="FV17" i="75"/>
  <c r="FU17" i="75"/>
  <c r="FT17" i="75"/>
  <c r="FS17" i="75"/>
  <c r="FR17" i="75"/>
  <c r="EG17" i="75"/>
  <c r="EF17" i="75"/>
  <c r="EE17" i="75"/>
  <c r="ED17" i="75"/>
  <c r="BK17" i="75"/>
  <c r="BJ17" i="75"/>
  <c r="BI17" i="75"/>
  <c r="BH17" i="75"/>
  <c r="BG17" i="75"/>
  <c r="ND16" i="75"/>
  <c r="NC16" i="75"/>
  <c r="NB16" i="75"/>
  <c r="NA16" i="75"/>
  <c r="MZ16" i="75"/>
  <c r="LF16" i="75"/>
  <c r="LE16" i="75"/>
  <c r="LD16" i="75"/>
  <c r="LC16" i="75"/>
  <c r="LB16" i="75"/>
  <c r="LA16" i="75"/>
  <c r="KZ16" i="75"/>
  <c r="KY16" i="75"/>
  <c r="KX16" i="75"/>
  <c r="KW16" i="75"/>
  <c r="KV16" i="75"/>
  <c r="KU16" i="75"/>
  <c r="KT16" i="75"/>
  <c r="KS16" i="75"/>
  <c r="KR16" i="75"/>
  <c r="KQ16" i="75"/>
  <c r="KP16" i="75"/>
  <c r="KO16" i="75"/>
  <c r="KN16" i="75"/>
  <c r="KM16" i="75"/>
  <c r="KL16" i="75"/>
  <c r="KK16" i="75"/>
  <c r="KJ16" i="75"/>
  <c r="KI16" i="75"/>
  <c r="KH16" i="75"/>
  <c r="KG16" i="75"/>
  <c r="KF16" i="75"/>
  <c r="KE16" i="75"/>
  <c r="KD16" i="75"/>
  <c r="KC16" i="75"/>
  <c r="KB16" i="75"/>
  <c r="KA16" i="75"/>
  <c r="JZ16" i="75"/>
  <c r="JY16" i="75"/>
  <c r="JX16" i="75"/>
  <c r="JW16" i="75"/>
  <c r="JV16" i="75"/>
  <c r="JU16" i="75"/>
  <c r="JT16" i="75"/>
  <c r="JS16" i="75"/>
  <c r="JR16" i="75"/>
  <c r="JQ16" i="75"/>
  <c r="JP16" i="75"/>
  <c r="JO16" i="75"/>
  <c r="JN16" i="75"/>
  <c r="JM16" i="75"/>
  <c r="JL16" i="75"/>
  <c r="JK16" i="75"/>
  <c r="JJ16" i="75"/>
  <c r="JI16" i="75"/>
  <c r="JH16" i="75"/>
  <c r="JG16" i="75"/>
  <c r="JF16" i="75"/>
  <c r="JE16" i="75"/>
  <c r="JD16" i="75"/>
  <c r="JC16" i="75"/>
  <c r="JB16" i="75"/>
  <c r="JA16" i="75"/>
  <c r="IZ16" i="75"/>
  <c r="IY16" i="75"/>
  <c r="IX16" i="75"/>
  <c r="IW16" i="75"/>
  <c r="IV16" i="75"/>
  <c r="IU16" i="75"/>
  <c r="IT16" i="75"/>
  <c r="IS16" i="75"/>
  <c r="IR16" i="75"/>
  <c r="IQ16" i="75"/>
  <c r="IP16" i="75"/>
  <c r="IO16" i="75"/>
  <c r="IN16" i="75"/>
  <c r="IM16" i="75"/>
  <c r="IL16" i="75"/>
  <c r="IK16" i="75"/>
  <c r="IJ16" i="75"/>
  <c r="II16" i="75"/>
  <c r="IH16" i="75"/>
  <c r="IG16" i="75"/>
  <c r="IF16" i="75"/>
  <c r="IE16" i="75"/>
  <c r="ID16" i="75"/>
  <c r="IC16" i="75"/>
  <c r="IB16" i="75"/>
  <c r="IA16" i="75"/>
  <c r="HZ16" i="75"/>
  <c r="HY16" i="75"/>
  <c r="HX16" i="75"/>
  <c r="HW16" i="75"/>
  <c r="HV16" i="75"/>
  <c r="HU16" i="75"/>
  <c r="HT16" i="75"/>
  <c r="HS16" i="75"/>
  <c r="HR16" i="75"/>
  <c r="HQ16" i="75"/>
  <c r="HP16" i="75"/>
  <c r="HJ16" i="75"/>
  <c r="HI16" i="75"/>
  <c r="HH16" i="75"/>
  <c r="HG16" i="75"/>
  <c r="HF16" i="75"/>
  <c r="HE16" i="75"/>
  <c r="HD16" i="75"/>
  <c r="HC16" i="75"/>
  <c r="HB16" i="75"/>
  <c r="HA16" i="75"/>
  <c r="GU16" i="75"/>
  <c r="GT16" i="75"/>
  <c r="GS16" i="75"/>
  <c r="GR16" i="75"/>
  <c r="GQ16" i="75"/>
  <c r="GP16" i="75"/>
  <c r="GO16" i="75"/>
  <c r="GN16" i="75"/>
  <c r="GM16" i="75"/>
  <c r="GL16" i="75"/>
  <c r="GF16" i="75"/>
  <c r="GE16" i="75"/>
  <c r="GD16" i="75"/>
  <c r="GC16" i="75"/>
  <c r="GB16" i="75"/>
  <c r="GA16" i="75"/>
  <c r="FZ16" i="75"/>
  <c r="FY16" i="75"/>
  <c r="FX16" i="75"/>
  <c r="FW16" i="75"/>
  <c r="FV16" i="75"/>
  <c r="FU16" i="75"/>
  <c r="FT16" i="75"/>
  <c r="FS16" i="75"/>
  <c r="FR16" i="75"/>
  <c r="EG16" i="75"/>
  <c r="EF16" i="75"/>
  <c r="EE16" i="75"/>
  <c r="ED16" i="75"/>
  <c r="BK16" i="75"/>
  <c r="BJ16" i="75"/>
  <c r="BI16" i="75"/>
  <c r="BH16" i="75"/>
  <c r="BG16" i="75"/>
  <c r="ND15" i="75"/>
  <c r="NC15" i="75"/>
  <c r="NB15" i="75"/>
  <c r="NA15" i="75"/>
  <c r="MZ15" i="75"/>
  <c r="LF15" i="75"/>
  <c r="LE15" i="75"/>
  <c r="LD15" i="75"/>
  <c r="LC15" i="75"/>
  <c r="LB15" i="75"/>
  <c r="LA15" i="75"/>
  <c r="KZ15" i="75"/>
  <c r="KY15" i="75"/>
  <c r="KX15" i="75"/>
  <c r="KW15" i="75"/>
  <c r="KV15" i="75"/>
  <c r="KU15" i="75"/>
  <c r="KT15" i="75"/>
  <c r="KS15" i="75"/>
  <c r="KR15" i="75"/>
  <c r="KQ15" i="75"/>
  <c r="KP15" i="75"/>
  <c r="KO15" i="75"/>
  <c r="KN15" i="75"/>
  <c r="KM15" i="75"/>
  <c r="KL15" i="75"/>
  <c r="KK15" i="75"/>
  <c r="KJ15" i="75"/>
  <c r="KI15" i="75"/>
  <c r="KH15" i="75"/>
  <c r="KG15" i="75"/>
  <c r="KF15" i="75"/>
  <c r="KE15" i="75"/>
  <c r="KD15" i="75"/>
  <c r="KC15" i="75"/>
  <c r="KB15" i="75"/>
  <c r="KA15" i="75"/>
  <c r="JZ15" i="75"/>
  <c r="JY15" i="75"/>
  <c r="JX15" i="75"/>
  <c r="JW15" i="75"/>
  <c r="JV15" i="75"/>
  <c r="JU15" i="75"/>
  <c r="JT15" i="75"/>
  <c r="JS15" i="75"/>
  <c r="JR15" i="75"/>
  <c r="JQ15" i="75"/>
  <c r="JP15" i="75"/>
  <c r="JO15" i="75"/>
  <c r="JN15" i="75"/>
  <c r="JM15" i="75"/>
  <c r="JL15" i="75"/>
  <c r="JK15" i="75"/>
  <c r="JJ15" i="75"/>
  <c r="JI15" i="75"/>
  <c r="JH15" i="75"/>
  <c r="JG15" i="75"/>
  <c r="JF15" i="75"/>
  <c r="JE15" i="75"/>
  <c r="JD15" i="75"/>
  <c r="JC15" i="75"/>
  <c r="JB15" i="75"/>
  <c r="JA15" i="75"/>
  <c r="IZ15" i="75"/>
  <c r="IY15" i="75"/>
  <c r="IX15" i="75"/>
  <c r="IW15" i="75"/>
  <c r="IV15" i="75"/>
  <c r="IU15" i="75"/>
  <c r="IT15" i="75"/>
  <c r="IS15" i="75"/>
  <c r="IR15" i="75"/>
  <c r="IQ15" i="75"/>
  <c r="IP15" i="75"/>
  <c r="IO15" i="75"/>
  <c r="IN15" i="75"/>
  <c r="IM15" i="75"/>
  <c r="IL15" i="75"/>
  <c r="IK15" i="75"/>
  <c r="IJ15" i="75"/>
  <c r="II15" i="75"/>
  <c r="IH15" i="75"/>
  <c r="IG15" i="75"/>
  <c r="IF15" i="75"/>
  <c r="IE15" i="75"/>
  <c r="ID15" i="75"/>
  <c r="IC15" i="75"/>
  <c r="IB15" i="75"/>
  <c r="IA15" i="75"/>
  <c r="HZ15" i="75"/>
  <c r="HY15" i="75"/>
  <c r="HX15" i="75"/>
  <c r="HW15" i="75"/>
  <c r="HV15" i="75"/>
  <c r="HU15" i="75"/>
  <c r="HT15" i="75"/>
  <c r="HS15" i="75"/>
  <c r="HR15" i="75"/>
  <c r="HQ15" i="75"/>
  <c r="HP15" i="75"/>
  <c r="HJ15" i="75"/>
  <c r="HI15" i="75"/>
  <c r="HH15" i="75"/>
  <c r="HG15" i="75"/>
  <c r="HF15" i="75"/>
  <c r="HE15" i="75"/>
  <c r="HD15" i="75"/>
  <c r="HC15" i="75"/>
  <c r="HB15" i="75"/>
  <c r="HA15" i="75"/>
  <c r="GU15" i="75"/>
  <c r="GT15" i="75"/>
  <c r="GS15" i="75"/>
  <c r="GR15" i="75"/>
  <c r="GQ15" i="75"/>
  <c r="GP15" i="75"/>
  <c r="GO15" i="75"/>
  <c r="GN15" i="75"/>
  <c r="GM15" i="75"/>
  <c r="GL15" i="75"/>
  <c r="GF15" i="75"/>
  <c r="GE15" i="75"/>
  <c r="GD15" i="75"/>
  <c r="GC15" i="75"/>
  <c r="GB15" i="75"/>
  <c r="GA15" i="75"/>
  <c r="FZ15" i="75"/>
  <c r="FY15" i="75"/>
  <c r="FX15" i="75"/>
  <c r="FW15" i="75"/>
  <c r="FV15" i="75"/>
  <c r="FU15" i="75"/>
  <c r="FT15" i="75"/>
  <c r="FS15" i="75"/>
  <c r="FR15" i="75"/>
  <c r="EG15" i="75"/>
  <c r="EF15" i="75"/>
  <c r="EE15" i="75"/>
  <c r="ED15" i="75"/>
  <c r="BK15" i="75"/>
  <c r="BJ15" i="75"/>
  <c r="BI15" i="75"/>
  <c r="BH15" i="75"/>
  <c r="BG15" i="75"/>
  <c r="ND14" i="75"/>
  <c r="NC14" i="75"/>
  <c r="NB14" i="75"/>
  <c r="NA14" i="75"/>
  <c r="MZ14" i="75"/>
  <c r="LF14" i="75"/>
  <c r="LE14" i="75"/>
  <c r="LD14" i="75"/>
  <c r="LC14" i="75"/>
  <c r="LB14" i="75"/>
  <c r="LA14" i="75"/>
  <c r="KZ14" i="75"/>
  <c r="KY14" i="75"/>
  <c r="KX14" i="75"/>
  <c r="KW14" i="75"/>
  <c r="KV14" i="75"/>
  <c r="KU14" i="75"/>
  <c r="KT14" i="75"/>
  <c r="KS14" i="75"/>
  <c r="KR14" i="75"/>
  <c r="KQ14" i="75"/>
  <c r="KP14" i="75"/>
  <c r="KO14" i="75"/>
  <c r="KN14" i="75"/>
  <c r="KM14" i="75"/>
  <c r="KL14" i="75"/>
  <c r="KK14" i="75"/>
  <c r="KJ14" i="75"/>
  <c r="KI14" i="75"/>
  <c r="KH14" i="75"/>
  <c r="KG14" i="75"/>
  <c r="KF14" i="75"/>
  <c r="KE14" i="75"/>
  <c r="KD14" i="75"/>
  <c r="KC14" i="75"/>
  <c r="KB14" i="75"/>
  <c r="KA14" i="75"/>
  <c r="JZ14" i="75"/>
  <c r="JY14" i="75"/>
  <c r="JX14" i="75"/>
  <c r="JW14" i="75"/>
  <c r="JV14" i="75"/>
  <c r="JU14" i="75"/>
  <c r="JT14" i="75"/>
  <c r="JS14" i="75"/>
  <c r="JR14" i="75"/>
  <c r="JQ14" i="75"/>
  <c r="JP14" i="75"/>
  <c r="JO14" i="75"/>
  <c r="JN14" i="75"/>
  <c r="JM14" i="75"/>
  <c r="JL14" i="75"/>
  <c r="JK14" i="75"/>
  <c r="JJ14" i="75"/>
  <c r="JI14" i="75"/>
  <c r="JH14" i="75"/>
  <c r="JG14" i="75"/>
  <c r="JF14" i="75"/>
  <c r="JE14" i="75"/>
  <c r="JD14" i="75"/>
  <c r="JC14" i="75"/>
  <c r="JB14" i="75"/>
  <c r="JA14" i="75"/>
  <c r="IZ14" i="75"/>
  <c r="IY14" i="75"/>
  <c r="IX14" i="75"/>
  <c r="IW14" i="75"/>
  <c r="IV14" i="75"/>
  <c r="IU14" i="75"/>
  <c r="IT14" i="75"/>
  <c r="IS14" i="75"/>
  <c r="IR14" i="75"/>
  <c r="IQ14" i="75"/>
  <c r="IP14" i="75"/>
  <c r="IO14" i="75"/>
  <c r="IN14" i="75"/>
  <c r="IM14" i="75"/>
  <c r="IL14" i="75"/>
  <c r="IK14" i="75"/>
  <c r="IJ14" i="75"/>
  <c r="II14" i="75"/>
  <c r="IH14" i="75"/>
  <c r="IG14" i="75"/>
  <c r="IF14" i="75"/>
  <c r="IE14" i="75"/>
  <c r="ID14" i="75"/>
  <c r="IC14" i="75"/>
  <c r="IB14" i="75"/>
  <c r="IA14" i="75"/>
  <c r="HZ14" i="75"/>
  <c r="HY14" i="75"/>
  <c r="HX14" i="75"/>
  <c r="HW14" i="75"/>
  <c r="HV14" i="75"/>
  <c r="HU14" i="75"/>
  <c r="HT14" i="75"/>
  <c r="HS14" i="75"/>
  <c r="HR14" i="75"/>
  <c r="HQ14" i="75"/>
  <c r="HP14" i="75"/>
  <c r="HJ14" i="75"/>
  <c r="HI14" i="75"/>
  <c r="HH14" i="75"/>
  <c r="HG14" i="75"/>
  <c r="HF14" i="75"/>
  <c r="HE14" i="75"/>
  <c r="HD14" i="75"/>
  <c r="HC14" i="75"/>
  <c r="HB14" i="75"/>
  <c r="HA14" i="75"/>
  <c r="GU14" i="75"/>
  <c r="GT14" i="75"/>
  <c r="GS14" i="75"/>
  <c r="GR14" i="75"/>
  <c r="GQ14" i="75"/>
  <c r="GP14" i="75"/>
  <c r="GO14" i="75"/>
  <c r="GN14" i="75"/>
  <c r="GM14" i="75"/>
  <c r="GL14" i="75"/>
  <c r="GF14" i="75"/>
  <c r="GE14" i="75"/>
  <c r="GD14" i="75"/>
  <c r="GC14" i="75"/>
  <c r="GB14" i="75"/>
  <c r="GA14" i="75"/>
  <c r="FZ14" i="75"/>
  <c r="FY14" i="75"/>
  <c r="FX14" i="75"/>
  <c r="FW14" i="75"/>
  <c r="FV14" i="75"/>
  <c r="FU14" i="75"/>
  <c r="FT14" i="75"/>
  <c r="FS14" i="75"/>
  <c r="FR14" i="75"/>
  <c r="EG14" i="75"/>
  <c r="EF14" i="75"/>
  <c r="EE14" i="75"/>
  <c r="ED14" i="75"/>
  <c r="BK14" i="75"/>
  <c r="BJ14" i="75"/>
  <c r="BI14" i="75"/>
  <c r="BH14" i="75"/>
  <c r="BG14" i="75"/>
  <c r="ND13" i="75"/>
  <c r="NC13" i="75"/>
  <c r="NB13" i="75"/>
  <c r="NA13" i="75"/>
  <c r="MZ13" i="75"/>
  <c r="LF13" i="75"/>
  <c r="LE13" i="75"/>
  <c r="LD13" i="75"/>
  <c r="LC13" i="75"/>
  <c r="LB13" i="75"/>
  <c r="LA13" i="75"/>
  <c r="KZ13" i="75"/>
  <c r="KY13" i="75"/>
  <c r="KX13" i="75"/>
  <c r="KW13" i="75"/>
  <c r="KV13" i="75"/>
  <c r="KU13" i="75"/>
  <c r="KT13" i="75"/>
  <c r="KS13" i="75"/>
  <c r="KR13" i="75"/>
  <c r="KQ13" i="75"/>
  <c r="KP13" i="75"/>
  <c r="KO13" i="75"/>
  <c r="KN13" i="75"/>
  <c r="KM13" i="75"/>
  <c r="KL13" i="75"/>
  <c r="KK13" i="75"/>
  <c r="KJ13" i="75"/>
  <c r="KI13" i="75"/>
  <c r="KH13" i="75"/>
  <c r="KG13" i="75"/>
  <c r="KF13" i="75"/>
  <c r="KE13" i="75"/>
  <c r="KD13" i="75"/>
  <c r="KC13" i="75"/>
  <c r="KB13" i="75"/>
  <c r="KA13" i="75"/>
  <c r="JZ13" i="75"/>
  <c r="JY13" i="75"/>
  <c r="JX13" i="75"/>
  <c r="JW13" i="75"/>
  <c r="JV13" i="75"/>
  <c r="JU13" i="75"/>
  <c r="JT13" i="75"/>
  <c r="JS13" i="75"/>
  <c r="JR13" i="75"/>
  <c r="JQ13" i="75"/>
  <c r="JP13" i="75"/>
  <c r="JO13" i="75"/>
  <c r="JN13" i="75"/>
  <c r="JM13" i="75"/>
  <c r="JL13" i="75"/>
  <c r="JK13" i="75"/>
  <c r="JJ13" i="75"/>
  <c r="JI13" i="75"/>
  <c r="JH13" i="75"/>
  <c r="JG13" i="75"/>
  <c r="JF13" i="75"/>
  <c r="JE13" i="75"/>
  <c r="JD13" i="75"/>
  <c r="JC13" i="75"/>
  <c r="JB13" i="75"/>
  <c r="JA13" i="75"/>
  <c r="IZ13" i="75"/>
  <c r="IY13" i="75"/>
  <c r="IX13" i="75"/>
  <c r="IW13" i="75"/>
  <c r="IV13" i="75"/>
  <c r="IU13" i="75"/>
  <c r="IT13" i="75"/>
  <c r="IS13" i="75"/>
  <c r="IR13" i="75"/>
  <c r="IQ13" i="75"/>
  <c r="IP13" i="75"/>
  <c r="IO13" i="75"/>
  <c r="IN13" i="75"/>
  <c r="IM13" i="75"/>
  <c r="IL13" i="75"/>
  <c r="IK13" i="75"/>
  <c r="IJ13" i="75"/>
  <c r="II13" i="75"/>
  <c r="IH13" i="75"/>
  <c r="IG13" i="75"/>
  <c r="IF13" i="75"/>
  <c r="IE13" i="75"/>
  <c r="ID13" i="75"/>
  <c r="IC13" i="75"/>
  <c r="IB13" i="75"/>
  <c r="IA13" i="75"/>
  <c r="HZ13" i="75"/>
  <c r="HY13" i="75"/>
  <c r="HX13" i="75"/>
  <c r="HW13" i="75"/>
  <c r="HV13" i="75"/>
  <c r="HU13" i="75"/>
  <c r="HT13" i="75"/>
  <c r="HS13" i="75"/>
  <c r="HR13" i="75"/>
  <c r="HQ13" i="75"/>
  <c r="HP13" i="75"/>
  <c r="HJ13" i="75"/>
  <c r="HI13" i="75"/>
  <c r="HH13" i="75"/>
  <c r="HG13" i="75"/>
  <c r="HF13" i="75"/>
  <c r="HE13" i="75"/>
  <c r="HD13" i="75"/>
  <c r="HC13" i="75"/>
  <c r="HB13" i="75"/>
  <c r="HA13" i="75"/>
  <c r="GU13" i="75"/>
  <c r="GT13" i="75"/>
  <c r="GS13" i="75"/>
  <c r="GR13" i="75"/>
  <c r="GQ13" i="75"/>
  <c r="GP13" i="75"/>
  <c r="GO13" i="75"/>
  <c r="GN13" i="75"/>
  <c r="GM13" i="75"/>
  <c r="GL13" i="75"/>
  <c r="GF13" i="75"/>
  <c r="GE13" i="75"/>
  <c r="GD13" i="75"/>
  <c r="GC13" i="75"/>
  <c r="GB13" i="75"/>
  <c r="GA13" i="75"/>
  <c r="FZ13" i="75"/>
  <c r="FY13" i="75"/>
  <c r="FX13" i="75"/>
  <c r="FW13" i="75"/>
  <c r="FV13" i="75"/>
  <c r="FU13" i="75"/>
  <c r="FT13" i="75"/>
  <c r="FS13" i="75"/>
  <c r="FR13" i="75"/>
  <c r="EG13" i="75"/>
  <c r="EF13" i="75"/>
  <c r="EE13" i="75"/>
  <c r="ED13" i="75"/>
  <c r="BK13" i="75"/>
  <c r="BJ13" i="75"/>
  <c r="BI13" i="75"/>
  <c r="BH13" i="75"/>
  <c r="BG13" i="75"/>
  <c r="ND12" i="75"/>
  <c r="NC12" i="75"/>
  <c r="NB12" i="75"/>
  <c r="NA12" i="75"/>
  <c r="MZ12" i="75"/>
  <c r="LF12" i="75"/>
  <c r="LE12" i="75"/>
  <c r="LD12" i="75"/>
  <c r="LC12" i="75"/>
  <c r="LB12" i="75"/>
  <c r="LA12" i="75"/>
  <c r="KZ12" i="75"/>
  <c r="KY12" i="75"/>
  <c r="KX12" i="75"/>
  <c r="KW12" i="75"/>
  <c r="KV12" i="75"/>
  <c r="KU12" i="75"/>
  <c r="KT12" i="75"/>
  <c r="KS12" i="75"/>
  <c r="KR12" i="75"/>
  <c r="KQ12" i="75"/>
  <c r="KP12" i="75"/>
  <c r="KO12" i="75"/>
  <c r="KN12" i="75"/>
  <c r="KM12" i="75"/>
  <c r="KL12" i="75"/>
  <c r="KK12" i="75"/>
  <c r="KJ12" i="75"/>
  <c r="KI12" i="75"/>
  <c r="KH12" i="75"/>
  <c r="KG12" i="75"/>
  <c r="KF12" i="75"/>
  <c r="KE12" i="75"/>
  <c r="KD12" i="75"/>
  <c r="KC12" i="75"/>
  <c r="KB12" i="75"/>
  <c r="KA12" i="75"/>
  <c r="JZ12" i="75"/>
  <c r="JY12" i="75"/>
  <c r="JX12" i="75"/>
  <c r="JW12" i="75"/>
  <c r="JV12" i="75"/>
  <c r="JU12" i="75"/>
  <c r="JT12" i="75"/>
  <c r="JS12" i="75"/>
  <c r="JR12" i="75"/>
  <c r="JQ12" i="75"/>
  <c r="JP12" i="75"/>
  <c r="JO12" i="75"/>
  <c r="JN12" i="75"/>
  <c r="JM12" i="75"/>
  <c r="JL12" i="75"/>
  <c r="JK12" i="75"/>
  <c r="JJ12" i="75"/>
  <c r="JI12" i="75"/>
  <c r="JH12" i="75"/>
  <c r="JG12" i="75"/>
  <c r="JF12" i="75"/>
  <c r="JE12" i="75"/>
  <c r="JD12" i="75"/>
  <c r="JC12" i="75"/>
  <c r="JB12" i="75"/>
  <c r="JA12" i="75"/>
  <c r="IZ12" i="75"/>
  <c r="IY12" i="75"/>
  <c r="IX12" i="75"/>
  <c r="IW12" i="75"/>
  <c r="IV12" i="75"/>
  <c r="IU12" i="75"/>
  <c r="IT12" i="75"/>
  <c r="IS12" i="75"/>
  <c r="IR12" i="75"/>
  <c r="IQ12" i="75"/>
  <c r="IP12" i="75"/>
  <c r="IO12" i="75"/>
  <c r="IN12" i="75"/>
  <c r="IM12" i="75"/>
  <c r="IL12" i="75"/>
  <c r="IK12" i="75"/>
  <c r="IJ12" i="75"/>
  <c r="II12" i="75"/>
  <c r="IH12" i="75"/>
  <c r="IG12" i="75"/>
  <c r="IF12" i="75"/>
  <c r="IE12" i="75"/>
  <c r="ID12" i="75"/>
  <c r="IC12" i="75"/>
  <c r="IB12" i="75"/>
  <c r="IA12" i="75"/>
  <c r="HZ12" i="75"/>
  <c r="HY12" i="75"/>
  <c r="HX12" i="75"/>
  <c r="HW12" i="75"/>
  <c r="HV12" i="75"/>
  <c r="HU12" i="75"/>
  <c r="HT12" i="75"/>
  <c r="HS12" i="75"/>
  <c r="HR12" i="75"/>
  <c r="HQ12" i="75"/>
  <c r="HP12" i="75"/>
  <c r="HJ12" i="75"/>
  <c r="HI12" i="75"/>
  <c r="HH12" i="75"/>
  <c r="HG12" i="75"/>
  <c r="HF12" i="75"/>
  <c r="HE12" i="75"/>
  <c r="HD12" i="75"/>
  <c r="HC12" i="75"/>
  <c r="HB12" i="75"/>
  <c r="HA12" i="75"/>
  <c r="GU12" i="75"/>
  <c r="GT12" i="75"/>
  <c r="GS12" i="75"/>
  <c r="GR12" i="75"/>
  <c r="GQ12" i="75"/>
  <c r="GP12" i="75"/>
  <c r="GO12" i="75"/>
  <c r="GN12" i="75"/>
  <c r="GM12" i="75"/>
  <c r="GL12" i="75"/>
  <c r="GF12" i="75"/>
  <c r="GE12" i="75"/>
  <c r="GD12" i="75"/>
  <c r="GC12" i="75"/>
  <c r="GB12" i="75"/>
  <c r="GA12" i="75"/>
  <c r="FZ12" i="75"/>
  <c r="FY12" i="75"/>
  <c r="FX12" i="75"/>
  <c r="FW12" i="75"/>
  <c r="FV12" i="75"/>
  <c r="FU12" i="75"/>
  <c r="FT12" i="75"/>
  <c r="FS12" i="75"/>
  <c r="FR12" i="75"/>
  <c r="EG12" i="75"/>
  <c r="EF12" i="75"/>
  <c r="EE12" i="75"/>
  <c r="ED12" i="75"/>
  <c r="BK12" i="75"/>
  <c r="BJ12" i="75"/>
  <c r="BI12" i="75"/>
  <c r="BH12" i="75"/>
  <c r="BG12" i="75"/>
  <c r="ND11" i="75"/>
  <c r="NC11" i="75"/>
  <c r="NB11" i="75"/>
  <c r="NA11" i="75"/>
  <c r="MZ11" i="75"/>
  <c r="LF11" i="75"/>
  <c r="LE11" i="75"/>
  <c r="LD11" i="75"/>
  <c r="LC11" i="75"/>
  <c r="LB11" i="75"/>
  <c r="LA11" i="75"/>
  <c r="KZ11" i="75"/>
  <c r="KY11" i="75"/>
  <c r="KX11" i="75"/>
  <c r="KW11" i="75"/>
  <c r="KV11" i="75"/>
  <c r="KU11" i="75"/>
  <c r="KT11" i="75"/>
  <c r="KS11" i="75"/>
  <c r="KR11" i="75"/>
  <c r="KQ11" i="75"/>
  <c r="KP11" i="75"/>
  <c r="KO11" i="75"/>
  <c r="KN11" i="75"/>
  <c r="KM11" i="75"/>
  <c r="KL11" i="75"/>
  <c r="KK11" i="75"/>
  <c r="KJ11" i="75"/>
  <c r="KI11" i="75"/>
  <c r="KH11" i="75"/>
  <c r="KG11" i="75"/>
  <c r="KF11" i="75"/>
  <c r="KE11" i="75"/>
  <c r="KD11" i="75"/>
  <c r="KC11" i="75"/>
  <c r="KB11" i="75"/>
  <c r="KA11" i="75"/>
  <c r="JZ11" i="75"/>
  <c r="JY11" i="75"/>
  <c r="JX11" i="75"/>
  <c r="JW11" i="75"/>
  <c r="JV11" i="75"/>
  <c r="JU11" i="75"/>
  <c r="JT11" i="75"/>
  <c r="JS11" i="75"/>
  <c r="JR11" i="75"/>
  <c r="JQ11" i="75"/>
  <c r="JP11" i="75"/>
  <c r="JO11" i="75"/>
  <c r="JN11" i="75"/>
  <c r="JM11" i="75"/>
  <c r="JL11" i="75"/>
  <c r="JK11" i="75"/>
  <c r="JJ11" i="75"/>
  <c r="JI11" i="75"/>
  <c r="JH11" i="75"/>
  <c r="JG11" i="75"/>
  <c r="JF11" i="75"/>
  <c r="JE11" i="75"/>
  <c r="JD11" i="75"/>
  <c r="JC11" i="75"/>
  <c r="JB11" i="75"/>
  <c r="JA11" i="75"/>
  <c r="IZ11" i="75"/>
  <c r="IY11" i="75"/>
  <c r="IX11" i="75"/>
  <c r="IW11" i="75"/>
  <c r="IV11" i="75"/>
  <c r="IU11" i="75"/>
  <c r="IT11" i="75"/>
  <c r="IS11" i="75"/>
  <c r="IR11" i="75"/>
  <c r="IQ11" i="75"/>
  <c r="IP11" i="75"/>
  <c r="IO11" i="75"/>
  <c r="IN11" i="75"/>
  <c r="IM11" i="75"/>
  <c r="IL11" i="75"/>
  <c r="IK11" i="75"/>
  <c r="IJ11" i="75"/>
  <c r="II11" i="75"/>
  <c r="IH11" i="75"/>
  <c r="IG11" i="75"/>
  <c r="IF11" i="75"/>
  <c r="IE11" i="75"/>
  <c r="ID11" i="75"/>
  <c r="IC11" i="75"/>
  <c r="IB11" i="75"/>
  <c r="IA11" i="75"/>
  <c r="HZ11" i="75"/>
  <c r="HY11" i="75"/>
  <c r="HX11" i="75"/>
  <c r="HW11" i="75"/>
  <c r="HV11" i="75"/>
  <c r="HU11" i="75"/>
  <c r="HT11" i="75"/>
  <c r="HS11" i="75"/>
  <c r="HR11" i="75"/>
  <c r="HQ11" i="75"/>
  <c r="HP11" i="75"/>
  <c r="HJ11" i="75"/>
  <c r="HI11" i="75"/>
  <c r="HH11" i="75"/>
  <c r="HG11" i="75"/>
  <c r="HF11" i="75"/>
  <c r="HE11" i="75"/>
  <c r="HD11" i="75"/>
  <c r="HC11" i="75"/>
  <c r="HB11" i="75"/>
  <c r="HA11" i="75"/>
  <c r="GU11" i="75"/>
  <c r="GT11" i="75"/>
  <c r="GS11" i="75"/>
  <c r="GR11" i="75"/>
  <c r="GQ11" i="75"/>
  <c r="GP11" i="75"/>
  <c r="GO11" i="75"/>
  <c r="GN11" i="75"/>
  <c r="GM11" i="75"/>
  <c r="GL11" i="75"/>
  <c r="GF11" i="75"/>
  <c r="GE11" i="75"/>
  <c r="GD11" i="75"/>
  <c r="GC11" i="75"/>
  <c r="GB11" i="75"/>
  <c r="GA11" i="75"/>
  <c r="FZ11" i="75"/>
  <c r="FY11" i="75"/>
  <c r="FX11" i="75"/>
  <c r="FW11" i="75"/>
  <c r="FV11" i="75"/>
  <c r="FU11" i="75"/>
  <c r="FT11" i="75"/>
  <c r="FS11" i="75"/>
  <c r="FR11" i="75"/>
  <c r="EG11" i="75"/>
  <c r="EF11" i="75"/>
  <c r="EE11" i="75"/>
  <c r="ED11" i="75"/>
  <c r="BK11" i="75"/>
  <c r="BJ11" i="75"/>
  <c r="BI11" i="75"/>
  <c r="BH11" i="75"/>
  <c r="BG11" i="75"/>
  <c r="ND10" i="75"/>
  <c r="NC10" i="75"/>
  <c r="NB10" i="75"/>
  <c r="NA10" i="75"/>
  <c r="MZ10" i="75"/>
  <c r="LF10" i="75"/>
  <c r="LE10" i="75"/>
  <c r="LD10" i="75"/>
  <c r="LC10" i="75"/>
  <c r="LB10" i="75"/>
  <c r="LA10" i="75"/>
  <c r="KZ10" i="75"/>
  <c r="KY10" i="75"/>
  <c r="KX10" i="75"/>
  <c r="KW10" i="75"/>
  <c r="KV10" i="75"/>
  <c r="KU10" i="75"/>
  <c r="KT10" i="75"/>
  <c r="KS10" i="75"/>
  <c r="KR10" i="75"/>
  <c r="KQ10" i="75"/>
  <c r="KP10" i="75"/>
  <c r="KO10" i="75"/>
  <c r="KN10" i="75"/>
  <c r="KM10" i="75"/>
  <c r="KL10" i="75"/>
  <c r="KK10" i="75"/>
  <c r="KJ10" i="75"/>
  <c r="KI10" i="75"/>
  <c r="KH10" i="75"/>
  <c r="KG10" i="75"/>
  <c r="KF10" i="75"/>
  <c r="KE10" i="75"/>
  <c r="KD10" i="75"/>
  <c r="KC10" i="75"/>
  <c r="KB10" i="75"/>
  <c r="KA10" i="75"/>
  <c r="JZ10" i="75"/>
  <c r="JY10" i="75"/>
  <c r="JX10" i="75"/>
  <c r="JW10" i="75"/>
  <c r="JV10" i="75"/>
  <c r="JU10" i="75"/>
  <c r="JT10" i="75"/>
  <c r="JS10" i="75"/>
  <c r="JR10" i="75"/>
  <c r="JQ10" i="75"/>
  <c r="JP10" i="75"/>
  <c r="JO10" i="75"/>
  <c r="JN10" i="75"/>
  <c r="JM10" i="75"/>
  <c r="JL10" i="75"/>
  <c r="JK10" i="75"/>
  <c r="JJ10" i="75"/>
  <c r="JI10" i="75"/>
  <c r="JH10" i="75"/>
  <c r="JG10" i="75"/>
  <c r="JF10" i="75"/>
  <c r="JE10" i="75"/>
  <c r="JD10" i="75"/>
  <c r="JC10" i="75"/>
  <c r="JB10" i="75"/>
  <c r="JA10" i="75"/>
  <c r="IZ10" i="75"/>
  <c r="IY10" i="75"/>
  <c r="IX10" i="75"/>
  <c r="IW10" i="75"/>
  <c r="IV10" i="75"/>
  <c r="IU10" i="75"/>
  <c r="IT10" i="75"/>
  <c r="IS10" i="75"/>
  <c r="IR10" i="75"/>
  <c r="IQ10" i="75"/>
  <c r="IP10" i="75"/>
  <c r="IO10" i="75"/>
  <c r="IN10" i="75"/>
  <c r="IM10" i="75"/>
  <c r="IL10" i="75"/>
  <c r="IK10" i="75"/>
  <c r="IJ10" i="75"/>
  <c r="II10" i="75"/>
  <c r="IH10" i="75"/>
  <c r="IG10" i="75"/>
  <c r="IF10" i="75"/>
  <c r="IE10" i="75"/>
  <c r="ID10" i="75"/>
  <c r="IC10" i="75"/>
  <c r="IB10" i="75"/>
  <c r="IA10" i="75"/>
  <c r="HZ10" i="75"/>
  <c r="HY10" i="75"/>
  <c r="HX10" i="75"/>
  <c r="HW10" i="75"/>
  <c r="HV10" i="75"/>
  <c r="HU10" i="75"/>
  <c r="HT10" i="75"/>
  <c r="HS10" i="75"/>
  <c r="HR10" i="75"/>
  <c r="HQ10" i="75"/>
  <c r="HP10" i="75"/>
  <c r="HJ10" i="75"/>
  <c r="HI10" i="75"/>
  <c r="HH10" i="75"/>
  <c r="HG10" i="75"/>
  <c r="HF10" i="75"/>
  <c r="HE10" i="75"/>
  <c r="HD10" i="75"/>
  <c r="HC10" i="75"/>
  <c r="HB10" i="75"/>
  <c r="HA10" i="75"/>
  <c r="GU10" i="75"/>
  <c r="GT10" i="75"/>
  <c r="GS10" i="75"/>
  <c r="GR10" i="75"/>
  <c r="GQ10" i="75"/>
  <c r="GP10" i="75"/>
  <c r="GO10" i="75"/>
  <c r="GN10" i="75"/>
  <c r="GM10" i="75"/>
  <c r="GL10" i="75"/>
  <c r="GF10" i="75"/>
  <c r="GE10" i="75"/>
  <c r="GD10" i="75"/>
  <c r="GC10" i="75"/>
  <c r="GB10" i="75"/>
  <c r="GA10" i="75"/>
  <c r="FZ10" i="75"/>
  <c r="FY10" i="75"/>
  <c r="FX10" i="75"/>
  <c r="FW10" i="75"/>
  <c r="FV10" i="75"/>
  <c r="FU10" i="75"/>
  <c r="FT10" i="75"/>
  <c r="FS10" i="75"/>
  <c r="FR10" i="75"/>
  <c r="EH10" i="75"/>
  <c r="EG10" i="75"/>
  <c r="EF10" i="75"/>
  <c r="EE10" i="75"/>
  <c r="ED10" i="75"/>
  <c r="BK10" i="75"/>
  <c r="BJ10" i="75"/>
  <c r="BI10" i="75"/>
  <c r="BH10" i="75"/>
  <c r="BG10" i="75"/>
  <c r="M39" i="76"/>
  <c r="L39" i="76"/>
  <c r="K39" i="76"/>
  <c r="J39" i="76"/>
  <c r="I39" i="76"/>
  <c r="M22" i="76"/>
  <c r="L22" i="76"/>
  <c r="K22" i="76"/>
  <c r="J18" i="75" s="1"/>
  <c r="J22" i="76"/>
  <c r="J17" i="75" s="1"/>
  <c r="J786" i="94" s="1"/>
  <c r="L786" i="94" s="1"/>
  <c r="M786" i="94" s="1"/>
  <c r="I22" i="76"/>
  <c r="J175" i="78"/>
  <c r="J172" i="78"/>
  <c r="W168" i="78"/>
  <c r="W148" i="78"/>
  <c r="V146" i="78"/>
  <c r="P146" i="78"/>
  <c r="P150" i="78" s="1"/>
  <c r="J146" i="78"/>
  <c r="J150" i="78" s="1"/>
  <c r="W138" i="78"/>
  <c r="W137" i="78"/>
  <c r="V130" i="78"/>
  <c r="S130" i="78"/>
  <c r="P130" i="78"/>
  <c r="M130" i="78"/>
  <c r="J130" i="78"/>
  <c r="G130" i="78"/>
  <c r="U129" i="78"/>
  <c r="A129" i="78"/>
  <c r="W127" i="78"/>
  <c r="O127" i="78"/>
  <c r="V126" i="78"/>
  <c r="S126" i="78"/>
  <c r="P126" i="78"/>
  <c r="M126" i="78"/>
  <c r="J126" i="78"/>
  <c r="G126" i="78"/>
  <c r="U125" i="78"/>
  <c r="A125" i="78"/>
  <c r="J122" i="78"/>
  <c r="J121" i="78"/>
  <c r="W119" i="78"/>
  <c r="O119" i="78"/>
  <c r="V118" i="78"/>
  <c r="S118" i="78"/>
  <c r="P118" i="78"/>
  <c r="M118" i="78"/>
  <c r="J118" i="78"/>
  <c r="G118" i="78"/>
  <c r="W112" i="78"/>
  <c r="O112" i="78"/>
  <c r="V111" i="78"/>
  <c r="S111" i="78"/>
  <c r="G111" i="78"/>
  <c r="U110" i="78"/>
  <c r="A110" i="78"/>
  <c r="W106" i="78"/>
  <c r="O106" i="78"/>
  <c r="V105" i="78"/>
  <c r="S105" i="78"/>
  <c r="G105" i="78"/>
  <c r="U104" i="78"/>
  <c r="A104" i="78"/>
  <c r="U103" i="78"/>
  <c r="A103" i="78"/>
  <c r="W95" i="78"/>
  <c r="O95" i="78"/>
  <c r="V93" i="78"/>
  <c r="V91" i="78"/>
  <c r="S91" i="78"/>
  <c r="G91" i="78"/>
  <c r="U90" i="78"/>
  <c r="A90" i="78"/>
  <c r="W84" i="78"/>
  <c r="O84" i="78"/>
  <c r="V83" i="78"/>
  <c r="S83" i="78"/>
  <c r="P83" i="78"/>
  <c r="M83" i="78"/>
  <c r="J83" i="78"/>
  <c r="G83" i="78"/>
  <c r="W78" i="78"/>
  <c r="O78" i="78"/>
  <c r="V77" i="78"/>
  <c r="S77" i="78"/>
  <c r="P77" i="78"/>
  <c r="M77" i="78"/>
  <c r="J77" i="78"/>
  <c r="G77" i="78"/>
  <c r="U76" i="78"/>
  <c r="A76" i="78"/>
  <c r="W65" i="78"/>
  <c r="O65" i="78"/>
  <c r="V64" i="78"/>
  <c r="S64" i="78"/>
  <c r="P64" i="78"/>
  <c r="M64" i="78"/>
  <c r="J64" i="78"/>
  <c r="G64" i="78"/>
  <c r="U63" i="78"/>
  <c r="A63" i="78"/>
  <c r="U62" i="78"/>
  <c r="A62" i="78"/>
  <c r="W51" i="78"/>
  <c r="O51" i="78"/>
  <c r="W49" i="78"/>
  <c r="W46" i="78"/>
  <c r="O46" i="78"/>
  <c r="W40" i="78"/>
  <c r="O40" i="78"/>
  <c r="V38" i="78"/>
  <c r="S38" i="78"/>
  <c r="P38" i="78"/>
  <c r="M38" i="78"/>
  <c r="J38" i="78"/>
  <c r="G38" i="78"/>
  <c r="W34" i="78"/>
  <c r="O34" i="78"/>
  <c r="V33" i="78"/>
  <c r="S33" i="78"/>
  <c r="P33" i="78"/>
  <c r="M33" i="78"/>
  <c r="J33" i="78"/>
  <c r="G33" i="78"/>
  <c r="W28" i="78"/>
  <c r="O28" i="78"/>
  <c r="V27" i="78"/>
  <c r="S27" i="78"/>
  <c r="P27" i="78"/>
  <c r="M27" i="78"/>
  <c r="J27" i="78"/>
  <c r="G27" i="78"/>
  <c r="F36" i="78" s="1"/>
  <c r="F482" i="94" s="1"/>
  <c r="W24" i="78"/>
  <c r="O24" i="78"/>
  <c r="V23" i="78"/>
  <c r="S23" i="78"/>
  <c r="M23" i="78"/>
  <c r="G23" i="78"/>
  <c r="W18" i="78"/>
  <c r="O18" i="78"/>
  <c r="S17" i="78"/>
  <c r="P17" i="78"/>
  <c r="M17" i="78"/>
  <c r="J17" i="78"/>
  <c r="G17" i="78"/>
  <c r="U16" i="78"/>
  <c r="A16" i="78"/>
  <c r="U15" i="78"/>
  <c r="A15" i="78"/>
  <c r="U14" i="78"/>
  <c r="A14" i="78"/>
  <c r="W7" i="78"/>
  <c r="O7" i="78"/>
  <c r="V5" i="78"/>
  <c r="S35" i="68"/>
  <c r="L31" i="68"/>
  <c r="S17" i="68"/>
  <c r="S3" i="68"/>
  <c r="P177" i="66"/>
  <c r="H76" i="66"/>
  <c r="H13" i="84" s="1"/>
  <c r="L38" i="66"/>
  <c r="D122" i="74"/>
  <c r="D1150" i="94" s="1"/>
  <c r="I28" i="74"/>
  <c r="J60" i="74"/>
  <c r="J1088" i="94" s="1"/>
  <c r="K27" i="74"/>
  <c r="C43" i="90"/>
  <c r="H8" i="84"/>
  <c r="F14" i="85" s="1"/>
  <c r="A3" i="83" s="1"/>
  <c r="F92" i="74"/>
  <c r="F1120" i="94" s="1"/>
  <c r="C58" i="74"/>
  <c r="G27" i="74"/>
  <c r="D59" i="74"/>
  <c r="J92" i="74"/>
  <c r="B60" i="74"/>
  <c r="B1088" i="94" s="1"/>
  <c r="E122" i="74"/>
  <c r="E28" i="74"/>
  <c r="E1056" i="94" s="1"/>
  <c r="F60" i="74"/>
  <c r="B92" i="74"/>
  <c r="O40" i="66"/>
  <c r="A1" i="66"/>
  <c r="N40" i="66"/>
  <c r="N65" i="94" s="1"/>
  <c r="O421" i="72"/>
  <c r="P54" i="66"/>
  <c r="P79" i="94" s="1"/>
  <c r="A1" i="72"/>
  <c r="A1" i="74"/>
  <c r="N1" i="74" s="1"/>
  <c r="A3" i="79"/>
  <c r="A1" i="77"/>
  <c r="E121" i="74"/>
  <c r="K91" i="74"/>
  <c r="G91" i="74"/>
  <c r="C91" i="74"/>
  <c r="K59" i="74"/>
  <c r="G59" i="74"/>
  <c r="C59" i="74"/>
  <c r="J27" i="74"/>
  <c r="F27" i="74"/>
  <c r="B27" i="74"/>
  <c r="C121" i="74"/>
  <c r="E91" i="74"/>
  <c r="I59" i="74"/>
  <c r="H27" i="74"/>
  <c r="D27" i="74"/>
  <c r="D121" i="74"/>
  <c r="J91" i="74"/>
  <c r="F91" i="74"/>
  <c r="B91" i="74"/>
  <c r="J59" i="74"/>
  <c r="F59" i="74"/>
  <c r="B59" i="74"/>
  <c r="I27" i="74"/>
  <c r="E27" i="74"/>
  <c r="I91" i="74"/>
  <c r="E59" i="74"/>
  <c r="F121" i="74"/>
  <c r="B121" i="74"/>
  <c r="H91" i="74"/>
  <c r="D91" i="74"/>
  <c r="H59" i="74"/>
  <c r="C27" i="74"/>
  <c r="C60" i="74"/>
  <c r="C1088" i="94" s="1"/>
  <c r="K60" i="74"/>
  <c r="K1088" i="94" s="1"/>
  <c r="G92" i="74"/>
  <c r="G1120" i="94" s="1"/>
  <c r="K92" i="74"/>
  <c r="K1120" i="94" s="1"/>
  <c r="C28" i="74"/>
  <c r="G28" i="74"/>
  <c r="G1056" i="94" s="1"/>
  <c r="K28" i="74"/>
  <c r="K1056" i="94" s="1"/>
  <c r="D60" i="74"/>
  <c r="D1088" i="94" s="1"/>
  <c r="H60" i="74"/>
  <c r="D92" i="74"/>
  <c r="H92" i="74"/>
  <c r="H1120" i="94" s="1"/>
  <c r="C122" i="74"/>
  <c r="B28" i="74"/>
  <c r="B1056" i="94" s="1"/>
  <c r="F28" i="74"/>
  <c r="J28" i="74"/>
  <c r="J1056" i="94" s="1"/>
  <c r="G60" i="74"/>
  <c r="G1088" i="94" s="1"/>
  <c r="C92" i="74"/>
  <c r="B122" i="74"/>
  <c r="B1150" i="94" s="1"/>
  <c r="F122" i="74"/>
  <c r="H26" i="74"/>
  <c r="D28" i="74"/>
  <c r="D1056" i="94" s="1"/>
  <c r="H28" i="74"/>
  <c r="H1056" i="94" s="1"/>
  <c r="E60" i="74"/>
  <c r="I60" i="74"/>
  <c r="E92" i="74"/>
  <c r="E1120" i="94" s="1"/>
  <c r="I92" i="74"/>
  <c r="A1" i="73"/>
  <c r="A1" i="75"/>
  <c r="T1" i="75" s="1"/>
  <c r="A1" i="78"/>
  <c r="W1" i="78" s="1"/>
  <c r="A1" i="68"/>
  <c r="S1" i="68" s="1"/>
  <c r="T177" i="72"/>
  <c r="A1" i="67"/>
  <c r="T179" i="72"/>
  <c r="I40" i="66"/>
  <c r="A1" i="76"/>
  <c r="B42" i="74"/>
  <c r="B1070" i="94" s="1"/>
  <c r="B41" i="74"/>
  <c r="M15" i="75"/>
  <c r="M13" i="75"/>
  <c r="B68" i="74"/>
  <c r="B1096" i="94" s="1"/>
  <c r="C68" i="74"/>
  <c r="C1096" i="94" s="1"/>
  <c r="T215" i="72"/>
  <c r="C42" i="74"/>
  <c r="C1070" i="94" s="1"/>
  <c r="C41" i="74"/>
  <c r="C1069" i="94" s="1"/>
  <c r="D42" i="74"/>
  <c r="D1070" i="94" s="1"/>
  <c r="D41" i="74"/>
  <c r="D1069" i="94" s="1"/>
  <c r="E42" i="74"/>
  <c r="E1070" i="94" s="1"/>
  <c r="E41" i="74"/>
  <c r="E1069" i="94" s="1"/>
  <c r="F42" i="74"/>
  <c r="F1070" i="94" s="1"/>
  <c r="F41" i="74"/>
  <c r="F1069" i="94" s="1"/>
  <c r="G42" i="74"/>
  <c r="G1070" i="94" s="1"/>
  <c r="G41" i="74"/>
  <c r="G1069" i="94" s="1"/>
  <c r="C35" i="74"/>
  <c r="C1063" i="94" s="1"/>
  <c r="E35" i="74"/>
  <c r="E1063" i="94" s="1"/>
  <c r="F35" i="74"/>
  <c r="F1063" i="94" s="1"/>
  <c r="H42" i="74"/>
  <c r="H1070" i="94" s="1"/>
  <c r="H41" i="74"/>
  <c r="H1069" i="94" s="1"/>
  <c r="J35" i="74"/>
  <c r="J1063" i="94" s="1"/>
  <c r="I42" i="74"/>
  <c r="I1070" i="94" s="1"/>
  <c r="I41" i="74"/>
  <c r="I1069" i="94" s="1"/>
  <c r="K35" i="74"/>
  <c r="K1063" i="94" s="1"/>
  <c r="J42" i="74"/>
  <c r="J1070" i="94" s="1"/>
  <c r="J41" i="74"/>
  <c r="J1069" i="94" s="1"/>
  <c r="K42" i="74"/>
  <c r="K1070" i="94" s="1"/>
  <c r="B74" i="74"/>
  <c r="B1102" i="94" s="1"/>
  <c r="K41" i="74"/>
  <c r="K1069" i="94" s="1"/>
  <c r="C74" i="74"/>
  <c r="C1102" i="94" s="1"/>
  <c r="B73" i="74"/>
  <c r="B1101" i="94" s="1"/>
  <c r="D74" i="74"/>
  <c r="D1102" i="94" s="1"/>
  <c r="C73" i="74"/>
  <c r="C1101" i="94" s="1"/>
  <c r="E74" i="74"/>
  <c r="E1102" i="94" s="1"/>
  <c r="D73" i="74"/>
  <c r="D1101" i="94" s="1"/>
  <c r="F74" i="74"/>
  <c r="F1102" i="94" s="1"/>
  <c r="E73" i="74"/>
  <c r="E1101" i="94" s="1"/>
  <c r="G74" i="74"/>
  <c r="G1102" i="94" s="1"/>
  <c r="F73" i="74"/>
  <c r="F1101" i="94" s="1"/>
  <c r="H74" i="74"/>
  <c r="H1102" i="94" s="1"/>
  <c r="G73" i="74"/>
  <c r="G1101" i="94" s="1"/>
  <c r="I74" i="74"/>
  <c r="I1102" i="94" s="1"/>
  <c r="H73" i="74"/>
  <c r="H1101" i="94" s="1"/>
  <c r="B59" i="82"/>
  <c r="J74" i="74"/>
  <c r="J1102" i="94" s="1"/>
  <c r="I73" i="74"/>
  <c r="I1101" i="94" s="1"/>
  <c r="K74" i="74"/>
  <c r="K1102" i="94" s="1"/>
  <c r="J73" i="74"/>
  <c r="J1101" i="94" s="1"/>
  <c r="B105" i="74"/>
  <c r="B1133" i="94" s="1"/>
  <c r="K73" i="74"/>
  <c r="K1101" i="94" s="1"/>
  <c r="C105" i="74"/>
  <c r="C1133" i="94" s="1"/>
  <c r="B104" i="74"/>
  <c r="B1132" i="94" s="1"/>
  <c r="D105" i="74"/>
  <c r="D1133" i="94" s="1"/>
  <c r="C104" i="74"/>
  <c r="C1132" i="94" s="1"/>
  <c r="E105" i="74"/>
  <c r="E1133" i="94" s="1"/>
  <c r="D104" i="74"/>
  <c r="D1132" i="94" s="1"/>
  <c r="F105" i="74"/>
  <c r="F1133" i="94" s="1"/>
  <c r="E104" i="74"/>
  <c r="E1132" i="94" s="1"/>
  <c r="G105" i="74"/>
  <c r="G1133" i="94" s="1"/>
  <c r="F104" i="74"/>
  <c r="F1132" i="94" s="1"/>
  <c r="H105" i="74"/>
  <c r="H1133" i="94" s="1"/>
  <c r="G104" i="74"/>
  <c r="G1132" i="94" s="1"/>
  <c r="I98" i="74"/>
  <c r="I1126" i="94" s="1"/>
  <c r="I105" i="74"/>
  <c r="I1133" i="94" s="1"/>
  <c r="H104" i="74"/>
  <c r="H1132" i="94" s="1"/>
  <c r="J105" i="74"/>
  <c r="J1133" i="94" s="1"/>
  <c r="I104" i="74"/>
  <c r="I1132" i="94" s="1"/>
  <c r="K105" i="74"/>
  <c r="K1133" i="94" s="1"/>
  <c r="J104" i="74"/>
  <c r="J1132" i="94" s="1"/>
  <c r="B135" i="74"/>
  <c r="B1163" i="94" s="1"/>
  <c r="K104" i="74"/>
  <c r="K1132" i="94" s="1"/>
  <c r="C135" i="74"/>
  <c r="C1163" i="94" s="1"/>
  <c r="B134" i="74"/>
  <c r="B1162" i="94" s="1"/>
  <c r="D128" i="74"/>
  <c r="D1156" i="94" s="1"/>
  <c r="D135" i="74"/>
  <c r="D1163" i="94" s="1"/>
  <c r="C134" i="74"/>
  <c r="C1162" i="94" s="1"/>
  <c r="E135" i="74"/>
  <c r="E1163" i="94" s="1"/>
  <c r="D134" i="74"/>
  <c r="D1162" i="94" s="1"/>
  <c r="F135" i="74"/>
  <c r="F1163" i="94" s="1"/>
  <c r="E134" i="74"/>
  <c r="E1162" i="94" s="1"/>
  <c r="D10" i="25"/>
  <c r="D18" i="25" s="1"/>
  <c r="D20" i="25" s="1"/>
  <c r="D5" i="26"/>
  <c r="D11" i="26" s="1"/>
  <c r="D12" i="26" s="1"/>
  <c r="E63" i="26"/>
  <c r="C11" i="26"/>
  <c r="C12" i="26" s="1"/>
  <c r="B64" i="26"/>
  <c r="C64" i="26"/>
  <c r="D64" i="26"/>
  <c r="E64" i="26"/>
  <c r="B65" i="26"/>
  <c r="C65" i="26"/>
  <c r="D65" i="26"/>
  <c r="E65" i="26"/>
  <c r="B66" i="26"/>
  <c r="C66" i="26"/>
  <c r="D66" i="26"/>
  <c r="E66" i="26"/>
  <c r="B67" i="26"/>
  <c r="C67" i="26"/>
  <c r="D67" i="26"/>
  <c r="E67" i="26"/>
  <c r="B68" i="26"/>
  <c r="C68" i="26"/>
  <c r="D68" i="26"/>
  <c r="E68" i="26"/>
  <c r="B69" i="26"/>
  <c r="C69" i="26"/>
  <c r="D69" i="26"/>
  <c r="E69" i="26"/>
  <c r="B70" i="26"/>
  <c r="C70" i="26"/>
  <c r="D70" i="26"/>
  <c r="E70" i="26"/>
  <c r="B71" i="26"/>
  <c r="C71" i="26"/>
  <c r="D71" i="26"/>
  <c r="E71" i="26"/>
  <c r="B72" i="26"/>
  <c r="C72" i="26"/>
  <c r="D72" i="26"/>
  <c r="E72" i="26"/>
  <c r="B73" i="26"/>
  <c r="C73" i="26"/>
  <c r="D73" i="26"/>
  <c r="E73" i="26"/>
  <c r="B74" i="26"/>
  <c r="C74" i="26"/>
  <c r="D74" i="26"/>
  <c r="E74" i="26"/>
  <c r="B75" i="26"/>
  <c r="C75" i="26"/>
  <c r="D75" i="26"/>
  <c r="E75" i="26"/>
  <c r="B76" i="26"/>
  <c r="C76" i="26"/>
  <c r="D76" i="26"/>
  <c r="E76" i="26"/>
  <c r="B77" i="26"/>
  <c r="C77" i="26"/>
  <c r="D77" i="26"/>
  <c r="E77" i="26"/>
  <c r="B78" i="26"/>
  <c r="C78" i="26"/>
  <c r="D78" i="26"/>
  <c r="E78" i="26"/>
  <c r="B79" i="26"/>
  <c r="C79" i="26"/>
  <c r="D79" i="26"/>
  <c r="E79" i="26"/>
  <c r="B80" i="26"/>
  <c r="C80" i="26"/>
  <c r="D80" i="26"/>
  <c r="E80" i="26"/>
  <c r="B81" i="26"/>
  <c r="C81" i="26"/>
  <c r="D81" i="26"/>
  <c r="E81" i="26"/>
  <c r="B82" i="26"/>
  <c r="C82" i="26"/>
  <c r="D82" i="26"/>
  <c r="E82" i="26"/>
  <c r="B83" i="26"/>
  <c r="C83" i="26"/>
  <c r="D83" i="26"/>
  <c r="E83" i="26"/>
  <c r="B84" i="26"/>
  <c r="C84" i="26"/>
  <c r="D84" i="26"/>
  <c r="E84" i="26"/>
  <c r="B85" i="26"/>
  <c r="C85" i="26"/>
  <c r="D85" i="26"/>
  <c r="E85" i="26"/>
  <c r="B86" i="26"/>
  <c r="C86" i="26"/>
  <c r="D86" i="26"/>
  <c r="E86" i="26"/>
  <c r="B87" i="26"/>
  <c r="C87" i="26"/>
  <c r="D87" i="26"/>
  <c r="E87" i="26"/>
  <c r="B88" i="26"/>
  <c r="C88" i="26"/>
  <c r="D88" i="26"/>
  <c r="E88" i="26"/>
  <c r="B89" i="26"/>
  <c r="C89" i="26"/>
  <c r="D89" i="26"/>
  <c r="E89" i="26"/>
  <c r="B90" i="26"/>
  <c r="C90" i="26"/>
  <c r="D90" i="26"/>
  <c r="E90" i="26"/>
  <c r="B91" i="26"/>
  <c r="C91" i="26"/>
  <c r="D91" i="26"/>
  <c r="E91" i="26"/>
  <c r="B92" i="26"/>
  <c r="C92" i="26"/>
  <c r="D92" i="26"/>
  <c r="E92" i="26"/>
  <c r="B93" i="26"/>
  <c r="C93" i="26"/>
  <c r="D93" i="26"/>
  <c r="E93" i="26"/>
  <c r="B94" i="26"/>
  <c r="C94" i="26"/>
  <c r="D94" i="26"/>
  <c r="E94" i="26"/>
  <c r="B95" i="26"/>
  <c r="C95" i="26"/>
  <c r="D95" i="26"/>
  <c r="E95" i="26"/>
  <c r="B96" i="26"/>
  <c r="C96" i="26"/>
  <c r="D96" i="26"/>
  <c r="E96" i="26"/>
  <c r="B97" i="26"/>
  <c r="C97" i="26"/>
  <c r="D97" i="26"/>
  <c r="E97" i="26"/>
  <c r="B98" i="26"/>
  <c r="C98" i="26"/>
  <c r="D98" i="26"/>
  <c r="E98" i="26"/>
  <c r="B99" i="26"/>
  <c r="C99" i="26"/>
  <c r="D99" i="26"/>
  <c r="E99" i="26"/>
  <c r="B100" i="26"/>
  <c r="C100" i="26"/>
  <c r="D100" i="26"/>
  <c r="E100" i="26"/>
  <c r="B101" i="26"/>
  <c r="C101" i="26"/>
  <c r="D101" i="26"/>
  <c r="E101" i="26"/>
  <c r="B102" i="26"/>
  <c r="C102" i="26"/>
  <c r="D102" i="26"/>
  <c r="E102" i="26"/>
  <c r="B103" i="26"/>
  <c r="C103" i="26"/>
  <c r="D103" i="26"/>
  <c r="E103" i="26"/>
  <c r="B104" i="26"/>
  <c r="C104" i="26"/>
  <c r="D104" i="26"/>
  <c r="E104" i="26"/>
  <c r="B105" i="26"/>
  <c r="C105" i="26"/>
  <c r="D105" i="26"/>
  <c r="E105" i="26"/>
  <c r="B106" i="26"/>
  <c r="C106" i="26"/>
  <c r="D106" i="26"/>
  <c r="E106" i="26"/>
  <c r="B107" i="26"/>
  <c r="C107" i="26"/>
  <c r="D107" i="26"/>
  <c r="E107" i="26"/>
  <c r="B108" i="26"/>
  <c r="C108" i="26"/>
  <c r="D108" i="26"/>
  <c r="E108" i="26"/>
  <c r="B109" i="26"/>
  <c r="C109" i="26"/>
  <c r="D109" i="26"/>
  <c r="E109" i="26"/>
  <c r="B110" i="26"/>
  <c r="C110" i="26"/>
  <c r="D110" i="26"/>
  <c r="E110" i="26"/>
  <c r="B111" i="26"/>
  <c r="C111" i="26"/>
  <c r="D111" i="26"/>
  <c r="E111" i="26"/>
  <c r="E5" i="26"/>
  <c r="E11" i="26" s="1"/>
  <c r="E12" i="26" s="1"/>
  <c r="K63" i="26"/>
  <c r="H64" i="26"/>
  <c r="I64" i="26"/>
  <c r="J64" i="26"/>
  <c r="K64" i="26"/>
  <c r="H65" i="26"/>
  <c r="I65" i="26"/>
  <c r="J65" i="26"/>
  <c r="K65" i="26"/>
  <c r="H66" i="26"/>
  <c r="I66" i="26"/>
  <c r="J66" i="26"/>
  <c r="K66" i="26"/>
  <c r="H67" i="26"/>
  <c r="I67" i="26"/>
  <c r="J67" i="26"/>
  <c r="K67" i="26"/>
  <c r="H68" i="26"/>
  <c r="I68" i="26"/>
  <c r="J68" i="26"/>
  <c r="K68" i="26"/>
  <c r="H69" i="26"/>
  <c r="I69" i="26"/>
  <c r="J69" i="26"/>
  <c r="K69" i="26"/>
  <c r="H70" i="26"/>
  <c r="I70" i="26"/>
  <c r="J70" i="26"/>
  <c r="K70" i="26"/>
  <c r="H71" i="26"/>
  <c r="I71" i="26"/>
  <c r="J71" i="26"/>
  <c r="K71" i="26"/>
  <c r="H72" i="26"/>
  <c r="I72" i="26"/>
  <c r="J72" i="26"/>
  <c r="K72" i="26"/>
  <c r="H73" i="26"/>
  <c r="I73" i="26"/>
  <c r="J73" i="26"/>
  <c r="K73" i="26"/>
  <c r="H74" i="26"/>
  <c r="I74" i="26"/>
  <c r="J74" i="26"/>
  <c r="K74" i="26"/>
  <c r="H75" i="26"/>
  <c r="I75" i="26"/>
  <c r="J75" i="26"/>
  <c r="K75" i="26"/>
  <c r="H76" i="26"/>
  <c r="I76" i="26"/>
  <c r="J76" i="26"/>
  <c r="K76" i="26"/>
  <c r="H77" i="26"/>
  <c r="I77" i="26"/>
  <c r="J77" i="26"/>
  <c r="K77" i="26"/>
  <c r="H78" i="26"/>
  <c r="I78" i="26"/>
  <c r="J78" i="26"/>
  <c r="K78" i="26"/>
  <c r="H79" i="26"/>
  <c r="I79" i="26"/>
  <c r="J79" i="26"/>
  <c r="K79" i="26"/>
  <c r="H80" i="26"/>
  <c r="I80" i="26"/>
  <c r="J80" i="26"/>
  <c r="K80" i="26"/>
  <c r="H81" i="26"/>
  <c r="I81" i="26"/>
  <c r="J81" i="26"/>
  <c r="K81" i="26"/>
  <c r="H82" i="26"/>
  <c r="I82" i="26"/>
  <c r="J82" i="26"/>
  <c r="K82" i="26"/>
  <c r="H83" i="26"/>
  <c r="I83" i="26"/>
  <c r="J83" i="26"/>
  <c r="K83" i="26"/>
  <c r="H84" i="26"/>
  <c r="I84" i="26"/>
  <c r="J84" i="26"/>
  <c r="K84" i="26"/>
  <c r="H85" i="26"/>
  <c r="I85" i="26"/>
  <c r="J85" i="26"/>
  <c r="K85" i="26"/>
  <c r="H86" i="26"/>
  <c r="I86" i="26"/>
  <c r="J86" i="26"/>
  <c r="K86" i="26"/>
  <c r="H87" i="26"/>
  <c r="I87" i="26"/>
  <c r="J87" i="26"/>
  <c r="K87" i="26"/>
  <c r="H88" i="26"/>
  <c r="I88" i="26"/>
  <c r="J88" i="26"/>
  <c r="K88" i="26"/>
  <c r="H89" i="26"/>
  <c r="I89" i="26"/>
  <c r="J89" i="26"/>
  <c r="K89" i="26"/>
  <c r="H90" i="26"/>
  <c r="I90" i="26"/>
  <c r="J90" i="26"/>
  <c r="K90" i="26"/>
  <c r="H91" i="26"/>
  <c r="I91" i="26"/>
  <c r="J91" i="26"/>
  <c r="K91" i="26"/>
  <c r="H92" i="26"/>
  <c r="I92" i="26"/>
  <c r="J92" i="26"/>
  <c r="K92" i="26"/>
  <c r="H93" i="26"/>
  <c r="I93" i="26"/>
  <c r="J93" i="26"/>
  <c r="K93" i="26"/>
  <c r="H94" i="26"/>
  <c r="I94" i="26"/>
  <c r="J94" i="26"/>
  <c r="K94" i="26"/>
  <c r="H95" i="26"/>
  <c r="I95" i="26"/>
  <c r="J95" i="26"/>
  <c r="K95" i="26"/>
  <c r="H96" i="26"/>
  <c r="I96" i="26"/>
  <c r="J96" i="26"/>
  <c r="K96" i="26"/>
  <c r="H97" i="26"/>
  <c r="I97" i="26"/>
  <c r="J97" i="26"/>
  <c r="K97" i="26"/>
  <c r="H98" i="26"/>
  <c r="I98" i="26"/>
  <c r="J98" i="26"/>
  <c r="K98" i="26"/>
  <c r="H99" i="26"/>
  <c r="I99" i="26"/>
  <c r="J99" i="26"/>
  <c r="K99" i="26"/>
  <c r="H100" i="26"/>
  <c r="I100" i="26"/>
  <c r="J100" i="26"/>
  <c r="K100" i="26"/>
  <c r="H101" i="26"/>
  <c r="I101" i="26"/>
  <c r="J101" i="26"/>
  <c r="K101" i="26"/>
  <c r="H102" i="26"/>
  <c r="I102" i="26"/>
  <c r="J102" i="26"/>
  <c r="K102" i="26"/>
  <c r="H103" i="26"/>
  <c r="I103" i="26"/>
  <c r="J103" i="26"/>
  <c r="K103" i="26"/>
  <c r="H104" i="26"/>
  <c r="I104" i="26"/>
  <c r="J104" i="26"/>
  <c r="K104" i="26"/>
  <c r="H105" i="26"/>
  <c r="I105" i="26"/>
  <c r="J105" i="26"/>
  <c r="K105" i="26"/>
  <c r="H106" i="26"/>
  <c r="I106" i="26"/>
  <c r="J106" i="26"/>
  <c r="K106" i="26"/>
  <c r="H107" i="26"/>
  <c r="I107" i="26"/>
  <c r="J107" i="26"/>
  <c r="K107" i="26"/>
  <c r="H108" i="26"/>
  <c r="I108" i="26"/>
  <c r="J108" i="26"/>
  <c r="K108" i="26"/>
  <c r="H109" i="26"/>
  <c r="I109" i="26"/>
  <c r="J109" i="26"/>
  <c r="K109" i="26"/>
  <c r="H110" i="26"/>
  <c r="I110" i="26"/>
  <c r="J110" i="26"/>
  <c r="K110" i="26"/>
  <c r="H111" i="26"/>
  <c r="I111" i="26"/>
  <c r="J111" i="26"/>
  <c r="K111" i="26"/>
  <c r="C21" i="26"/>
  <c r="C56" i="26"/>
  <c r="C55" i="26"/>
  <c r="C54" i="26"/>
  <c r="C53" i="26"/>
  <c r="C52" i="26"/>
  <c r="C51" i="26"/>
  <c r="C50" i="26"/>
  <c r="C49" i="26"/>
  <c r="C48" i="26"/>
  <c r="C47" i="26"/>
  <c r="B112" i="26"/>
  <c r="C112" i="26"/>
  <c r="D112" i="26"/>
  <c r="E112" i="26"/>
  <c r="B113" i="26"/>
  <c r="C113" i="26"/>
  <c r="D113" i="26"/>
  <c r="E113" i="26"/>
  <c r="B114" i="26"/>
  <c r="C114" i="26"/>
  <c r="D114" i="26"/>
  <c r="E114" i="26"/>
  <c r="B115" i="26"/>
  <c r="C115" i="26"/>
  <c r="D115" i="26"/>
  <c r="E115" i="26"/>
  <c r="B116" i="26"/>
  <c r="C116" i="26"/>
  <c r="D116" i="26"/>
  <c r="E116" i="26"/>
  <c r="B117" i="26"/>
  <c r="C117" i="26"/>
  <c r="D117" i="26"/>
  <c r="E117" i="26"/>
  <c r="B118" i="26"/>
  <c r="C118" i="26"/>
  <c r="D118" i="26"/>
  <c r="E118" i="26"/>
  <c r="B119" i="26"/>
  <c r="C119" i="26"/>
  <c r="D119" i="26"/>
  <c r="E119" i="26"/>
  <c r="B120" i="26"/>
  <c r="C120" i="26"/>
  <c r="D120" i="26"/>
  <c r="E120" i="26"/>
  <c r="B121" i="26"/>
  <c r="C121" i="26"/>
  <c r="D121" i="26"/>
  <c r="E121" i="26"/>
  <c r="B122" i="26"/>
  <c r="C122" i="26"/>
  <c r="D122" i="26"/>
  <c r="E122" i="26"/>
  <c r="B123" i="26"/>
  <c r="C123" i="26"/>
  <c r="D123" i="26"/>
  <c r="E123" i="26"/>
  <c r="B124" i="26"/>
  <c r="C124" i="26"/>
  <c r="D124" i="26"/>
  <c r="E124" i="26"/>
  <c r="B125" i="26"/>
  <c r="C125" i="26"/>
  <c r="D125" i="26"/>
  <c r="E125" i="26"/>
  <c r="B126" i="26"/>
  <c r="C126" i="26"/>
  <c r="D126" i="26"/>
  <c r="E126" i="26"/>
  <c r="B127" i="26"/>
  <c r="C127" i="26"/>
  <c r="D127" i="26"/>
  <c r="E127" i="26"/>
  <c r="B128" i="26"/>
  <c r="C128" i="26"/>
  <c r="D128" i="26"/>
  <c r="E128" i="26"/>
  <c r="B129" i="26"/>
  <c r="C129" i="26"/>
  <c r="D129" i="26"/>
  <c r="E129" i="26"/>
  <c r="B130" i="26"/>
  <c r="C130" i="26"/>
  <c r="D130" i="26"/>
  <c r="E130" i="26"/>
  <c r="B131" i="26"/>
  <c r="C131" i="26"/>
  <c r="D131" i="26"/>
  <c r="E131" i="26"/>
  <c r="B132" i="26"/>
  <c r="C132" i="26"/>
  <c r="D132" i="26"/>
  <c r="E132" i="26"/>
  <c r="B133" i="26"/>
  <c r="C133" i="26"/>
  <c r="D133" i="26"/>
  <c r="E133" i="26"/>
  <c r="B134" i="26"/>
  <c r="C134" i="26"/>
  <c r="D134" i="26"/>
  <c r="E134" i="26"/>
  <c r="B135" i="26"/>
  <c r="C135" i="26"/>
  <c r="D135" i="26"/>
  <c r="E135" i="26"/>
  <c r="B136" i="26"/>
  <c r="C136" i="26"/>
  <c r="D136" i="26"/>
  <c r="E136" i="26"/>
  <c r="B137" i="26"/>
  <c r="C137" i="26"/>
  <c r="D137" i="26"/>
  <c r="E137" i="26"/>
  <c r="B138" i="26"/>
  <c r="C138" i="26"/>
  <c r="D138" i="26"/>
  <c r="E138" i="26"/>
  <c r="B139" i="26"/>
  <c r="C139" i="26"/>
  <c r="D139" i="26"/>
  <c r="E139" i="26"/>
  <c r="B140" i="26"/>
  <c r="C140" i="26"/>
  <c r="D140" i="26"/>
  <c r="E140" i="26"/>
  <c r="B141" i="26"/>
  <c r="C141" i="26"/>
  <c r="D141" i="26"/>
  <c r="E141" i="26"/>
  <c r="B142" i="26"/>
  <c r="C142" i="26"/>
  <c r="D142" i="26"/>
  <c r="E142" i="26"/>
  <c r="B143" i="26"/>
  <c r="C143" i="26"/>
  <c r="D143" i="26"/>
  <c r="E143" i="26"/>
  <c r="B144" i="26"/>
  <c r="C144" i="26"/>
  <c r="D144" i="26"/>
  <c r="E144" i="26"/>
  <c r="B145" i="26"/>
  <c r="C145" i="26"/>
  <c r="D145" i="26"/>
  <c r="E145" i="26"/>
  <c r="B146" i="26"/>
  <c r="C146" i="26"/>
  <c r="D146" i="26"/>
  <c r="E146" i="26"/>
  <c r="B147" i="26"/>
  <c r="C147" i="26"/>
  <c r="D147" i="26"/>
  <c r="E147" i="26"/>
  <c r="B148" i="26"/>
  <c r="C148" i="26"/>
  <c r="D148" i="26"/>
  <c r="E148" i="26"/>
  <c r="B149" i="26"/>
  <c r="C149" i="26"/>
  <c r="D149" i="26"/>
  <c r="E149" i="26"/>
  <c r="B150" i="26"/>
  <c r="C150" i="26"/>
  <c r="D150" i="26"/>
  <c r="E150" i="26"/>
  <c r="B151" i="26"/>
  <c r="C151" i="26"/>
  <c r="D151" i="26"/>
  <c r="E151" i="26"/>
  <c r="B152" i="26"/>
  <c r="C152" i="26"/>
  <c r="D152" i="26"/>
  <c r="E152" i="26"/>
  <c r="B153" i="26"/>
  <c r="C153" i="26"/>
  <c r="D153" i="26"/>
  <c r="E153" i="26"/>
  <c r="B154" i="26"/>
  <c r="C154" i="26"/>
  <c r="D154" i="26"/>
  <c r="E154" i="26"/>
  <c r="B155" i="26"/>
  <c r="C155" i="26"/>
  <c r="D155" i="26"/>
  <c r="E155" i="26"/>
  <c r="B156" i="26"/>
  <c r="C156" i="26"/>
  <c r="D156" i="26"/>
  <c r="E156" i="26"/>
  <c r="B157" i="26"/>
  <c r="C157" i="26"/>
  <c r="D157" i="26"/>
  <c r="E157" i="26"/>
  <c r="B158" i="26"/>
  <c r="C158" i="26"/>
  <c r="D158" i="26"/>
  <c r="E158" i="26"/>
  <c r="B159" i="26"/>
  <c r="C159" i="26"/>
  <c r="D159" i="26"/>
  <c r="E159" i="26"/>
  <c r="B160" i="26"/>
  <c r="C160" i="26"/>
  <c r="D160" i="26"/>
  <c r="E160" i="26"/>
  <c r="B161" i="26"/>
  <c r="C161" i="26"/>
  <c r="D161" i="26"/>
  <c r="E161" i="26"/>
  <c r="B162" i="26"/>
  <c r="C162" i="26"/>
  <c r="D162" i="26"/>
  <c r="E162" i="26"/>
  <c r="B163" i="26"/>
  <c r="C163" i="26"/>
  <c r="D163" i="26"/>
  <c r="E163" i="26"/>
  <c r="B164" i="26"/>
  <c r="C164" i="26"/>
  <c r="D164" i="26"/>
  <c r="E164" i="26"/>
  <c r="B165" i="26"/>
  <c r="C165" i="26"/>
  <c r="D165" i="26"/>
  <c r="E165" i="26"/>
  <c r="B166" i="26"/>
  <c r="C166" i="26"/>
  <c r="D166" i="26"/>
  <c r="E166" i="26"/>
  <c r="B167" i="26"/>
  <c r="C167" i="26"/>
  <c r="D167" i="26"/>
  <c r="E167" i="26"/>
  <c r="B168" i="26"/>
  <c r="C168" i="26"/>
  <c r="D168" i="26"/>
  <c r="E168" i="26"/>
  <c r="B169" i="26"/>
  <c r="C169" i="26"/>
  <c r="D169" i="26"/>
  <c r="E169" i="26"/>
  <c r="B170" i="26"/>
  <c r="C170" i="26"/>
  <c r="D170" i="26"/>
  <c r="E170" i="26"/>
  <c r="B171" i="26"/>
  <c r="C171" i="26"/>
  <c r="D171" i="26"/>
  <c r="E171" i="26"/>
  <c r="B172" i="26"/>
  <c r="C172" i="26"/>
  <c r="D172" i="26"/>
  <c r="E172" i="26"/>
  <c r="B173" i="26"/>
  <c r="C173" i="26"/>
  <c r="D173" i="26"/>
  <c r="E173" i="26"/>
  <c r="B174" i="26"/>
  <c r="C174" i="26"/>
  <c r="D174" i="26"/>
  <c r="E174" i="26"/>
  <c r="B175" i="26"/>
  <c r="C175" i="26"/>
  <c r="D175" i="26"/>
  <c r="E175" i="26"/>
  <c r="B176" i="26"/>
  <c r="C176" i="26"/>
  <c r="D176" i="26"/>
  <c r="E176" i="26"/>
  <c r="B177" i="26"/>
  <c r="C177" i="26"/>
  <c r="D177" i="26"/>
  <c r="E177" i="26"/>
  <c r="B178" i="26"/>
  <c r="C178" i="26"/>
  <c r="D178" i="26"/>
  <c r="E178" i="26"/>
  <c r="B179" i="26"/>
  <c r="C179" i="26"/>
  <c r="D179" i="26"/>
  <c r="E179" i="26"/>
  <c r="B180" i="26"/>
  <c r="C180" i="26"/>
  <c r="D180" i="26"/>
  <c r="E180" i="26"/>
  <c r="B181" i="26"/>
  <c r="C181" i="26"/>
  <c r="D181" i="26"/>
  <c r="E181" i="26"/>
  <c r="B182" i="26"/>
  <c r="C182" i="26"/>
  <c r="D182" i="26"/>
  <c r="E182" i="26"/>
  <c r="B183" i="26"/>
  <c r="C183" i="26"/>
  <c r="D183" i="26"/>
  <c r="E183" i="26"/>
  <c r="B184" i="26"/>
  <c r="C184" i="26"/>
  <c r="D184" i="26"/>
  <c r="E184" i="26"/>
  <c r="B185" i="26"/>
  <c r="C185" i="26"/>
  <c r="D185" i="26"/>
  <c r="E185" i="26"/>
  <c r="B186" i="26"/>
  <c r="C186" i="26"/>
  <c r="D186" i="26"/>
  <c r="E186" i="26"/>
  <c r="B187" i="26"/>
  <c r="C187" i="26"/>
  <c r="D187" i="26"/>
  <c r="E187" i="26"/>
  <c r="B188" i="26"/>
  <c r="C188" i="26"/>
  <c r="D188" i="26"/>
  <c r="E188" i="26"/>
  <c r="B189" i="26"/>
  <c r="C189" i="26"/>
  <c r="D189" i="26"/>
  <c r="E189" i="26"/>
  <c r="B190" i="26"/>
  <c r="C190" i="26"/>
  <c r="D190" i="26"/>
  <c r="E190" i="26"/>
  <c r="B191" i="26"/>
  <c r="C191" i="26"/>
  <c r="D191" i="26"/>
  <c r="E191" i="26"/>
  <c r="B192" i="26"/>
  <c r="C192" i="26"/>
  <c r="D192" i="26"/>
  <c r="E192" i="26"/>
  <c r="B193" i="26"/>
  <c r="C193" i="26"/>
  <c r="D193" i="26"/>
  <c r="E193" i="26"/>
  <c r="B194" i="26"/>
  <c r="C194" i="26"/>
  <c r="D194" i="26"/>
  <c r="E194" i="26"/>
  <c r="B195" i="26"/>
  <c r="C195" i="26"/>
  <c r="D195" i="26"/>
  <c r="E195" i="26"/>
  <c r="B196" i="26"/>
  <c r="C196" i="26"/>
  <c r="D196" i="26"/>
  <c r="E196" i="26"/>
  <c r="B197" i="26"/>
  <c r="C197" i="26"/>
  <c r="D197" i="26"/>
  <c r="E197" i="26"/>
  <c r="B198" i="26"/>
  <c r="C198" i="26"/>
  <c r="D198" i="26"/>
  <c r="E198" i="26"/>
  <c r="B199" i="26"/>
  <c r="C199" i="26"/>
  <c r="D199" i="26"/>
  <c r="E199" i="26"/>
  <c r="B200" i="26"/>
  <c r="C200" i="26"/>
  <c r="D200" i="26"/>
  <c r="E200" i="26"/>
  <c r="B201" i="26"/>
  <c r="C201" i="26"/>
  <c r="D201" i="26"/>
  <c r="E201" i="26"/>
  <c r="B202" i="26"/>
  <c r="C202" i="26"/>
  <c r="D202" i="26"/>
  <c r="E202" i="26"/>
  <c r="B203" i="26"/>
  <c r="C203" i="26"/>
  <c r="D203" i="26"/>
  <c r="E203" i="26"/>
  <c r="B204" i="26"/>
  <c r="C204" i="26"/>
  <c r="D204" i="26"/>
  <c r="E204" i="26"/>
  <c r="B205" i="26"/>
  <c r="C205" i="26"/>
  <c r="D205" i="26"/>
  <c r="E205" i="26"/>
  <c r="B206" i="26"/>
  <c r="C206" i="26"/>
  <c r="D206" i="26"/>
  <c r="E206" i="26"/>
  <c r="B207" i="26"/>
  <c r="C207" i="26"/>
  <c r="D207" i="26"/>
  <c r="E207" i="26"/>
  <c r="B208" i="26"/>
  <c r="C208" i="26"/>
  <c r="D208" i="26"/>
  <c r="E208" i="26"/>
  <c r="B209" i="26"/>
  <c r="C209" i="26"/>
  <c r="D209" i="26"/>
  <c r="E209" i="26"/>
  <c r="B210" i="26"/>
  <c r="C210" i="26"/>
  <c r="D210" i="26"/>
  <c r="E210" i="26"/>
  <c r="B211" i="26"/>
  <c r="C211" i="26"/>
  <c r="D211" i="26"/>
  <c r="E211" i="26"/>
  <c r="B212" i="26"/>
  <c r="C212" i="26"/>
  <c r="D212" i="26"/>
  <c r="E212" i="26"/>
  <c r="B213" i="26"/>
  <c r="C213" i="26"/>
  <c r="D213" i="26"/>
  <c r="E213" i="26"/>
  <c r="B214" i="26"/>
  <c r="C214" i="26"/>
  <c r="D214" i="26"/>
  <c r="E214" i="26"/>
  <c r="B215" i="26"/>
  <c r="C215" i="26"/>
  <c r="D215" i="26"/>
  <c r="E215" i="26"/>
  <c r="B216" i="26"/>
  <c r="C216" i="26"/>
  <c r="D216" i="26"/>
  <c r="E216" i="26"/>
  <c r="B217" i="26"/>
  <c r="C217" i="26"/>
  <c r="D217" i="26"/>
  <c r="E217" i="26"/>
  <c r="B218" i="26"/>
  <c r="C218" i="26"/>
  <c r="D218" i="26"/>
  <c r="E218" i="26"/>
  <c r="B219" i="26"/>
  <c r="C219" i="26"/>
  <c r="D219" i="26"/>
  <c r="E219" i="26"/>
  <c r="B220" i="26"/>
  <c r="C220" i="26"/>
  <c r="D220" i="26"/>
  <c r="E220" i="26"/>
  <c r="B221" i="26"/>
  <c r="C221" i="26"/>
  <c r="D221" i="26"/>
  <c r="E221" i="26"/>
  <c r="B222" i="26"/>
  <c r="C222" i="26"/>
  <c r="D222" i="26"/>
  <c r="E222" i="26"/>
  <c r="B223" i="26"/>
  <c r="C223" i="26"/>
  <c r="D223" i="26"/>
  <c r="E223" i="26"/>
  <c r="B224" i="26"/>
  <c r="C224" i="26"/>
  <c r="D224" i="26"/>
  <c r="E224" i="26"/>
  <c r="B225" i="26"/>
  <c r="C225" i="26"/>
  <c r="D225" i="26"/>
  <c r="E225" i="26"/>
  <c r="B226" i="26"/>
  <c r="C226" i="26"/>
  <c r="D226" i="26"/>
  <c r="E226" i="26"/>
  <c r="B227" i="26"/>
  <c r="C227" i="26"/>
  <c r="D227" i="26"/>
  <c r="E227" i="26"/>
  <c r="B228" i="26"/>
  <c r="C228" i="26"/>
  <c r="D228" i="26"/>
  <c r="E228" i="26"/>
  <c r="B229" i="26"/>
  <c r="C229" i="26"/>
  <c r="D229" i="26"/>
  <c r="E229" i="26"/>
  <c r="B230" i="26"/>
  <c r="C230" i="26"/>
  <c r="D230" i="26"/>
  <c r="E230" i="26"/>
  <c r="B231" i="26"/>
  <c r="C231" i="26"/>
  <c r="D231" i="26"/>
  <c r="E231" i="26"/>
  <c r="B232" i="26"/>
  <c r="C232" i="26"/>
  <c r="D232" i="26"/>
  <c r="E232" i="26"/>
  <c r="B233" i="26"/>
  <c r="C233" i="26"/>
  <c r="D233" i="26"/>
  <c r="E233" i="26"/>
  <c r="B234" i="26"/>
  <c r="C234" i="26"/>
  <c r="D234" i="26"/>
  <c r="E234" i="26"/>
  <c r="B235" i="26"/>
  <c r="C235" i="26"/>
  <c r="D235" i="26"/>
  <c r="E235" i="26"/>
  <c r="B236" i="26"/>
  <c r="C236" i="26"/>
  <c r="D236" i="26"/>
  <c r="E236" i="26"/>
  <c r="B237" i="26"/>
  <c r="C237" i="26"/>
  <c r="D237" i="26"/>
  <c r="E237" i="26"/>
  <c r="B238" i="26"/>
  <c r="C238" i="26"/>
  <c r="D238" i="26"/>
  <c r="E238" i="26"/>
  <c r="B239" i="26"/>
  <c r="C239" i="26"/>
  <c r="D239" i="26"/>
  <c r="E239" i="26"/>
  <c r="B240" i="26"/>
  <c r="C240" i="26"/>
  <c r="D240" i="26"/>
  <c r="E240" i="26"/>
  <c r="B241" i="26"/>
  <c r="C241" i="26"/>
  <c r="D241" i="26"/>
  <c r="E241" i="26"/>
  <c r="B242" i="26"/>
  <c r="C242" i="26"/>
  <c r="D242" i="26"/>
  <c r="E242" i="26"/>
  <c r="B243" i="26"/>
  <c r="C243" i="26"/>
  <c r="D243" i="26"/>
  <c r="E243" i="26"/>
  <c r="B244" i="26"/>
  <c r="C244" i="26"/>
  <c r="D244" i="26"/>
  <c r="E244" i="26"/>
  <c r="B245" i="26"/>
  <c r="C245" i="26"/>
  <c r="D245" i="26"/>
  <c r="E245" i="26"/>
  <c r="B246" i="26"/>
  <c r="C246" i="26"/>
  <c r="D246" i="26"/>
  <c r="E246" i="26"/>
  <c r="B247" i="26"/>
  <c r="C247" i="26"/>
  <c r="D247" i="26"/>
  <c r="E247" i="26"/>
  <c r="B248" i="26"/>
  <c r="C248" i="26"/>
  <c r="D248" i="26"/>
  <c r="E248" i="26"/>
  <c r="B249" i="26"/>
  <c r="C249" i="26"/>
  <c r="D249" i="26"/>
  <c r="E249" i="26"/>
  <c r="B250" i="26"/>
  <c r="C250" i="26"/>
  <c r="D250" i="26"/>
  <c r="E250" i="26"/>
  <c r="B251" i="26"/>
  <c r="C251" i="26"/>
  <c r="D251" i="26"/>
  <c r="E251" i="26"/>
  <c r="B252" i="26"/>
  <c r="C252" i="26"/>
  <c r="D252" i="26"/>
  <c r="E252" i="26"/>
  <c r="B253" i="26"/>
  <c r="C253" i="26"/>
  <c r="D253" i="26"/>
  <c r="E253" i="26"/>
  <c r="B254" i="26"/>
  <c r="C254" i="26"/>
  <c r="D254" i="26"/>
  <c r="E254" i="26"/>
  <c r="B255" i="26"/>
  <c r="C255" i="26"/>
  <c r="D255" i="26"/>
  <c r="E255" i="26"/>
  <c r="B256" i="26"/>
  <c r="C256" i="26"/>
  <c r="D256" i="26"/>
  <c r="E256" i="26"/>
  <c r="B257" i="26"/>
  <c r="C257" i="26"/>
  <c r="D257" i="26"/>
  <c r="E257" i="26"/>
  <c r="B258" i="26"/>
  <c r="C258" i="26"/>
  <c r="D258" i="26"/>
  <c r="E258" i="26"/>
  <c r="B259" i="26"/>
  <c r="C259" i="26"/>
  <c r="D259" i="26"/>
  <c r="E259" i="26"/>
  <c r="B260" i="26"/>
  <c r="C260" i="26"/>
  <c r="D260" i="26"/>
  <c r="E260" i="26"/>
  <c r="B261" i="26"/>
  <c r="C261" i="26"/>
  <c r="D261" i="26"/>
  <c r="E261" i="26"/>
  <c r="B262" i="26"/>
  <c r="C262" i="26"/>
  <c r="D262" i="26"/>
  <c r="E262" i="26"/>
  <c r="B263" i="26"/>
  <c r="C263" i="26"/>
  <c r="D263" i="26"/>
  <c r="E263" i="26"/>
  <c r="B264" i="26"/>
  <c r="C264" i="26"/>
  <c r="D264" i="26"/>
  <c r="E264" i="26"/>
  <c r="B265" i="26"/>
  <c r="C265" i="26"/>
  <c r="D265" i="26"/>
  <c r="E265" i="26"/>
  <c r="B266" i="26"/>
  <c r="C266" i="26"/>
  <c r="D266" i="26"/>
  <c r="E266" i="26"/>
  <c r="B267" i="26"/>
  <c r="C267" i="26"/>
  <c r="D267" i="26"/>
  <c r="E267" i="26"/>
  <c r="B268" i="26"/>
  <c r="C268" i="26"/>
  <c r="D268" i="26"/>
  <c r="E268" i="26"/>
  <c r="B269" i="26"/>
  <c r="C269" i="26"/>
  <c r="D269" i="26"/>
  <c r="E269" i="26"/>
  <c r="B270" i="26"/>
  <c r="C270" i="26"/>
  <c r="D270" i="26"/>
  <c r="E270" i="26"/>
  <c r="B271" i="26"/>
  <c r="C271" i="26"/>
  <c r="D271" i="26"/>
  <c r="E271" i="26"/>
  <c r="B272" i="26"/>
  <c r="C272" i="26"/>
  <c r="D272" i="26"/>
  <c r="E272" i="26"/>
  <c r="B273" i="26"/>
  <c r="C273" i="26"/>
  <c r="D273" i="26"/>
  <c r="E273" i="26"/>
  <c r="B274" i="26"/>
  <c r="C274" i="26"/>
  <c r="D274" i="26"/>
  <c r="E274" i="26"/>
  <c r="B275" i="26"/>
  <c r="C275" i="26"/>
  <c r="D275" i="26"/>
  <c r="E275" i="26"/>
  <c r="B276" i="26"/>
  <c r="C276" i="26"/>
  <c r="D276" i="26"/>
  <c r="E276" i="26"/>
  <c r="B277" i="26"/>
  <c r="C277" i="26"/>
  <c r="D277" i="26"/>
  <c r="E277" i="26"/>
  <c r="B278" i="26"/>
  <c r="C278" i="26"/>
  <c r="D278" i="26"/>
  <c r="E278" i="26"/>
  <c r="B279" i="26"/>
  <c r="C279" i="26"/>
  <c r="D279" i="26"/>
  <c r="E279" i="26"/>
  <c r="B280" i="26"/>
  <c r="C280" i="26"/>
  <c r="D280" i="26"/>
  <c r="E280" i="26"/>
  <c r="B281" i="26"/>
  <c r="C281" i="26"/>
  <c r="D281" i="26"/>
  <c r="E281" i="26"/>
  <c r="B282" i="26"/>
  <c r="C282" i="26"/>
  <c r="D282" i="26"/>
  <c r="E282" i="26"/>
  <c r="B283" i="26"/>
  <c r="C283" i="26"/>
  <c r="D283" i="26"/>
  <c r="E283" i="26"/>
  <c r="B284" i="26"/>
  <c r="C284" i="26"/>
  <c r="D284" i="26"/>
  <c r="E284" i="26"/>
  <c r="B285" i="26"/>
  <c r="C285" i="26"/>
  <c r="D285" i="26"/>
  <c r="E285" i="26"/>
  <c r="B286" i="26"/>
  <c r="C286" i="26"/>
  <c r="D286" i="26"/>
  <c r="E286" i="26"/>
  <c r="B287" i="26"/>
  <c r="C287" i="26"/>
  <c r="D287" i="26"/>
  <c r="E287" i="26"/>
  <c r="B288" i="26"/>
  <c r="C288" i="26"/>
  <c r="D288" i="26"/>
  <c r="E288" i="26"/>
  <c r="B289" i="26"/>
  <c r="C289" i="26"/>
  <c r="D289" i="26"/>
  <c r="E289" i="26"/>
  <c r="B290" i="26"/>
  <c r="C290" i="26"/>
  <c r="D290" i="26"/>
  <c r="E290" i="26"/>
  <c r="B291" i="26"/>
  <c r="C291" i="26"/>
  <c r="D291" i="26"/>
  <c r="E291" i="26"/>
  <c r="B292" i="26"/>
  <c r="C292" i="26"/>
  <c r="D292" i="26"/>
  <c r="E292" i="26"/>
  <c r="B293" i="26"/>
  <c r="C293" i="26"/>
  <c r="D293" i="26"/>
  <c r="E293" i="26"/>
  <c r="B294" i="26"/>
  <c r="C294" i="26"/>
  <c r="D294" i="26"/>
  <c r="E294" i="26"/>
  <c r="B295" i="26"/>
  <c r="C295" i="26"/>
  <c r="D295" i="26"/>
  <c r="E295" i="26"/>
  <c r="B296" i="26"/>
  <c r="C296" i="26"/>
  <c r="D296" i="26"/>
  <c r="E296" i="26"/>
  <c r="B297" i="26"/>
  <c r="C297" i="26"/>
  <c r="D297" i="26"/>
  <c r="E297" i="26"/>
  <c r="B298" i="26"/>
  <c r="C298" i="26"/>
  <c r="D298" i="26"/>
  <c r="E298" i="26"/>
  <c r="B299" i="26"/>
  <c r="C299" i="26"/>
  <c r="D299" i="26"/>
  <c r="E299" i="26"/>
  <c r="B300" i="26"/>
  <c r="C300" i="26"/>
  <c r="D300" i="26"/>
  <c r="E300" i="26"/>
  <c r="B301" i="26"/>
  <c r="C301" i="26"/>
  <c r="D301" i="26"/>
  <c r="E301" i="26"/>
  <c r="B302" i="26"/>
  <c r="C302" i="26"/>
  <c r="D302" i="26"/>
  <c r="E302" i="26"/>
  <c r="B303" i="26"/>
  <c r="C303" i="26"/>
  <c r="D303" i="26"/>
  <c r="E303" i="26"/>
  <c r="B304" i="26"/>
  <c r="C304" i="26"/>
  <c r="D304" i="26"/>
  <c r="E304" i="26"/>
  <c r="B305" i="26"/>
  <c r="C305" i="26"/>
  <c r="D305" i="26"/>
  <c r="E305" i="26"/>
  <c r="B306" i="26"/>
  <c r="C306" i="26"/>
  <c r="D306" i="26"/>
  <c r="E306" i="26"/>
  <c r="B307" i="26"/>
  <c r="C307" i="26"/>
  <c r="D307" i="26"/>
  <c r="E307" i="26"/>
  <c r="B308" i="26"/>
  <c r="C308" i="26"/>
  <c r="D308" i="26"/>
  <c r="E308" i="26"/>
  <c r="B309" i="26"/>
  <c r="C309" i="26"/>
  <c r="D309" i="26"/>
  <c r="E309" i="26"/>
  <c r="B310" i="26"/>
  <c r="C310" i="26"/>
  <c r="D310" i="26"/>
  <c r="E310" i="26"/>
  <c r="B311" i="26"/>
  <c r="C311" i="26"/>
  <c r="D311" i="26"/>
  <c r="E311" i="26"/>
  <c r="B312" i="26"/>
  <c r="C312" i="26"/>
  <c r="D312" i="26"/>
  <c r="E312" i="26"/>
  <c r="B313" i="26"/>
  <c r="C313" i="26"/>
  <c r="D313" i="26"/>
  <c r="E313" i="26"/>
  <c r="B314" i="26"/>
  <c r="C314" i="26"/>
  <c r="D314" i="26"/>
  <c r="E314" i="26"/>
  <c r="B315" i="26"/>
  <c r="C315" i="26"/>
  <c r="D315" i="26"/>
  <c r="E315" i="26"/>
  <c r="B316" i="26"/>
  <c r="C316" i="26"/>
  <c r="D316" i="26"/>
  <c r="E316" i="26"/>
  <c r="B317" i="26"/>
  <c r="C317" i="26"/>
  <c r="D317" i="26"/>
  <c r="E317" i="26"/>
  <c r="B318" i="26"/>
  <c r="C318" i="26"/>
  <c r="D318" i="26"/>
  <c r="E318" i="26"/>
  <c r="B319" i="26"/>
  <c r="C319" i="26"/>
  <c r="D319" i="26"/>
  <c r="E319" i="26"/>
  <c r="B320" i="26"/>
  <c r="C320" i="26"/>
  <c r="D320" i="26"/>
  <c r="E320" i="26"/>
  <c r="B321" i="26"/>
  <c r="C321" i="26"/>
  <c r="D321" i="26"/>
  <c r="E321" i="26"/>
  <c r="B322" i="26"/>
  <c r="C322" i="26"/>
  <c r="D322" i="26"/>
  <c r="E322" i="26"/>
  <c r="B323" i="26"/>
  <c r="C323" i="26"/>
  <c r="D323" i="26"/>
  <c r="E323" i="26"/>
  <c r="B324" i="26"/>
  <c r="C324" i="26"/>
  <c r="D324" i="26"/>
  <c r="E324" i="26"/>
  <c r="B325" i="26"/>
  <c r="C325" i="26"/>
  <c r="D325" i="26"/>
  <c r="E325" i="26"/>
  <c r="B326" i="26"/>
  <c r="C326" i="26"/>
  <c r="D326" i="26"/>
  <c r="E326" i="26"/>
  <c r="B327" i="26"/>
  <c r="C327" i="26"/>
  <c r="D327" i="26"/>
  <c r="E327" i="26"/>
  <c r="B328" i="26"/>
  <c r="C328" i="26"/>
  <c r="D328" i="26"/>
  <c r="E328" i="26"/>
  <c r="B329" i="26"/>
  <c r="C329" i="26"/>
  <c r="D329" i="26"/>
  <c r="E329" i="26"/>
  <c r="B330" i="26"/>
  <c r="C330" i="26"/>
  <c r="D330" i="26"/>
  <c r="E330" i="26"/>
  <c r="B331" i="26"/>
  <c r="C331" i="26"/>
  <c r="D331" i="26"/>
  <c r="E331" i="26"/>
  <c r="B332" i="26"/>
  <c r="C332" i="26"/>
  <c r="D332" i="26"/>
  <c r="E332" i="26"/>
  <c r="B333" i="26"/>
  <c r="C333" i="26"/>
  <c r="D333" i="26"/>
  <c r="E333" i="26"/>
  <c r="B334" i="26"/>
  <c r="C334" i="26"/>
  <c r="D334" i="26"/>
  <c r="E334" i="26"/>
  <c r="B335" i="26"/>
  <c r="C335" i="26"/>
  <c r="D335" i="26"/>
  <c r="E335" i="26"/>
  <c r="B336" i="26"/>
  <c r="C336" i="26"/>
  <c r="D336" i="26"/>
  <c r="E336" i="26"/>
  <c r="B337" i="26"/>
  <c r="C337" i="26"/>
  <c r="D337" i="26"/>
  <c r="E337" i="26"/>
  <c r="B338" i="26"/>
  <c r="C338" i="26"/>
  <c r="D338" i="26"/>
  <c r="E338" i="26"/>
  <c r="B339" i="26"/>
  <c r="C339" i="26"/>
  <c r="D339" i="26"/>
  <c r="E339" i="26"/>
  <c r="B340" i="26"/>
  <c r="C340" i="26"/>
  <c r="D340" i="26"/>
  <c r="E340" i="26"/>
  <c r="B341" i="26"/>
  <c r="C341" i="26"/>
  <c r="D341" i="26"/>
  <c r="E341" i="26"/>
  <c r="B342" i="26"/>
  <c r="C342" i="26"/>
  <c r="D342" i="26"/>
  <c r="E342" i="26"/>
  <c r="B343" i="26"/>
  <c r="C343" i="26"/>
  <c r="D343" i="26"/>
  <c r="E343" i="26"/>
  <c r="B344" i="26"/>
  <c r="C344" i="26"/>
  <c r="D344" i="26"/>
  <c r="E344" i="26"/>
  <c r="B345" i="26"/>
  <c r="C345" i="26"/>
  <c r="D345" i="26"/>
  <c r="E345" i="26"/>
  <c r="B346" i="26"/>
  <c r="C346" i="26"/>
  <c r="D346" i="26"/>
  <c r="E346" i="26"/>
  <c r="B347" i="26"/>
  <c r="C347" i="26"/>
  <c r="D347" i="26"/>
  <c r="E347" i="26"/>
  <c r="B348" i="26"/>
  <c r="C348" i="26"/>
  <c r="D348" i="26"/>
  <c r="E348" i="26"/>
  <c r="B349" i="26"/>
  <c r="C349" i="26"/>
  <c r="D349" i="26"/>
  <c r="E349" i="26"/>
  <c r="B350" i="26"/>
  <c r="C350" i="26"/>
  <c r="D350" i="26"/>
  <c r="E350" i="26"/>
  <c r="B351" i="26"/>
  <c r="C351" i="26"/>
  <c r="D351" i="26"/>
  <c r="E351" i="26"/>
  <c r="B352" i="26"/>
  <c r="C352" i="26"/>
  <c r="D352" i="26"/>
  <c r="E352" i="26"/>
  <c r="B353" i="26"/>
  <c r="C353" i="26"/>
  <c r="D353" i="26"/>
  <c r="E353" i="26"/>
  <c r="B354" i="26"/>
  <c r="C354" i="26"/>
  <c r="D354" i="26"/>
  <c r="E354" i="26"/>
  <c r="B355" i="26"/>
  <c r="C355" i="26"/>
  <c r="D355" i="26"/>
  <c r="E355" i="26"/>
  <c r="B356" i="26"/>
  <c r="C356" i="26"/>
  <c r="D356" i="26"/>
  <c r="E356" i="26"/>
  <c r="B357" i="26"/>
  <c r="C357" i="26"/>
  <c r="D357" i="26"/>
  <c r="E357" i="26"/>
  <c r="B358" i="26"/>
  <c r="C358" i="26"/>
  <c r="D358" i="26"/>
  <c r="E358" i="26"/>
  <c r="B359" i="26"/>
  <c r="C359" i="26"/>
  <c r="D359" i="26"/>
  <c r="E359" i="26"/>
  <c r="B360" i="26"/>
  <c r="C360" i="26"/>
  <c r="D360" i="26"/>
  <c r="E360" i="26"/>
  <c r="B361" i="26"/>
  <c r="C361" i="26"/>
  <c r="D361" i="26"/>
  <c r="E361" i="26"/>
  <c r="B362" i="26"/>
  <c r="C362" i="26"/>
  <c r="D362" i="26"/>
  <c r="E362" i="26"/>
  <c r="B363" i="26"/>
  <c r="C363" i="26"/>
  <c r="D363" i="26"/>
  <c r="E363" i="26"/>
  <c r="B364" i="26"/>
  <c r="C364" i="26"/>
  <c r="D364" i="26"/>
  <c r="E364" i="26"/>
  <c r="B365" i="26"/>
  <c r="C365" i="26"/>
  <c r="D365" i="26"/>
  <c r="E365" i="26"/>
  <c r="B366" i="26"/>
  <c r="C366" i="26"/>
  <c r="D366" i="26"/>
  <c r="E366" i="26"/>
  <c r="B367" i="26"/>
  <c r="C367" i="26"/>
  <c r="D367" i="26"/>
  <c r="E367" i="26"/>
  <c r="B368" i="26"/>
  <c r="C368" i="26"/>
  <c r="D368" i="26"/>
  <c r="E368" i="26"/>
  <c r="B369" i="26"/>
  <c r="C369" i="26"/>
  <c r="D369" i="26"/>
  <c r="E369" i="26"/>
  <c r="B370" i="26"/>
  <c r="C370" i="26"/>
  <c r="D370" i="26"/>
  <c r="E370" i="26"/>
  <c r="B371" i="26"/>
  <c r="C371" i="26"/>
  <c r="D371" i="26"/>
  <c r="E371" i="26"/>
  <c r="B372" i="26"/>
  <c r="C372" i="26"/>
  <c r="D372" i="26"/>
  <c r="E372" i="26"/>
  <c r="B373" i="26"/>
  <c r="C373" i="26"/>
  <c r="D373" i="26"/>
  <c r="E373" i="26"/>
  <c r="B374" i="26"/>
  <c r="C374" i="26"/>
  <c r="D374" i="26"/>
  <c r="E374" i="26"/>
  <c r="B375" i="26"/>
  <c r="C375" i="26"/>
  <c r="D375" i="26"/>
  <c r="E375" i="26"/>
  <c r="B376" i="26"/>
  <c r="C376" i="26"/>
  <c r="D376" i="26"/>
  <c r="E376" i="26"/>
  <c r="B377" i="26"/>
  <c r="C377" i="26"/>
  <c r="D377" i="26"/>
  <c r="E377" i="26"/>
  <c r="B378" i="26"/>
  <c r="C378" i="26"/>
  <c r="D378" i="26"/>
  <c r="E378" i="26"/>
  <c r="B379" i="26"/>
  <c r="C379" i="26"/>
  <c r="D379" i="26"/>
  <c r="E379" i="26"/>
  <c r="B380" i="26"/>
  <c r="C380" i="26"/>
  <c r="D380" i="26"/>
  <c r="E380" i="26"/>
  <c r="B381" i="26"/>
  <c r="C381" i="26"/>
  <c r="D381" i="26"/>
  <c r="E381" i="26"/>
  <c r="B382" i="26"/>
  <c r="C382" i="26"/>
  <c r="D382" i="26"/>
  <c r="E382" i="26"/>
  <c r="B383" i="26"/>
  <c r="C383" i="26"/>
  <c r="D383" i="26"/>
  <c r="E383" i="26"/>
  <c r="B384" i="26"/>
  <c r="C384" i="26"/>
  <c r="D384" i="26"/>
  <c r="E384" i="26"/>
  <c r="B385" i="26"/>
  <c r="C385" i="26"/>
  <c r="D385" i="26"/>
  <c r="E385" i="26"/>
  <c r="B386" i="26"/>
  <c r="C386" i="26"/>
  <c r="D386" i="26"/>
  <c r="E386" i="26"/>
  <c r="B387" i="26"/>
  <c r="C387" i="26"/>
  <c r="D387" i="26"/>
  <c r="E387" i="26"/>
  <c r="B388" i="26"/>
  <c r="C388" i="26"/>
  <c r="D388" i="26"/>
  <c r="E388" i="26"/>
  <c r="B389" i="26"/>
  <c r="C389" i="26"/>
  <c r="D389" i="26"/>
  <c r="E389" i="26"/>
  <c r="B390" i="26"/>
  <c r="C390" i="26"/>
  <c r="D390" i="26"/>
  <c r="E390" i="26"/>
  <c r="B391" i="26"/>
  <c r="C391" i="26"/>
  <c r="D391" i="26"/>
  <c r="E391" i="26"/>
  <c r="B392" i="26"/>
  <c r="C392" i="26"/>
  <c r="D392" i="26"/>
  <c r="E392" i="26"/>
  <c r="B393" i="26"/>
  <c r="C393" i="26"/>
  <c r="D393" i="26"/>
  <c r="E393" i="26"/>
  <c r="B394" i="26"/>
  <c r="C394" i="26"/>
  <c r="D394" i="26"/>
  <c r="E394" i="26"/>
  <c r="B395" i="26"/>
  <c r="C395" i="26"/>
  <c r="D395" i="26"/>
  <c r="E395" i="26"/>
  <c r="B396" i="26"/>
  <c r="C396" i="26"/>
  <c r="D396" i="26"/>
  <c r="E396" i="26"/>
  <c r="B397" i="26"/>
  <c r="C397" i="26"/>
  <c r="D397" i="26"/>
  <c r="E397" i="26"/>
  <c r="B398" i="26"/>
  <c r="C398" i="26"/>
  <c r="D398" i="26"/>
  <c r="E398" i="26"/>
  <c r="B399" i="26"/>
  <c r="C399" i="26"/>
  <c r="D399" i="26"/>
  <c r="E399" i="26"/>
  <c r="B400" i="26"/>
  <c r="C400" i="26"/>
  <c r="D400" i="26"/>
  <c r="E400" i="26"/>
  <c r="B401" i="26"/>
  <c r="C401" i="26"/>
  <c r="D401" i="26"/>
  <c r="E401" i="26"/>
  <c r="B402" i="26"/>
  <c r="C402" i="26"/>
  <c r="D402" i="26"/>
  <c r="E402" i="26"/>
  <c r="B403" i="26"/>
  <c r="C403" i="26"/>
  <c r="D403" i="26"/>
  <c r="E403" i="26"/>
  <c r="B404" i="26"/>
  <c r="C404" i="26"/>
  <c r="D404" i="26"/>
  <c r="E404" i="26"/>
  <c r="B405" i="26"/>
  <c r="C405" i="26"/>
  <c r="D405" i="26"/>
  <c r="E405" i="26"/>
  <c r="B406" i="26"/>
  <c r="C406" i="26"/>
  <c r="D406" i="26"/>
  <c r="E406" i="26"/>
  <c r="B407" i="26"/>
  <c r="C407" i="26"/>
  <c r="D407" i="26"/>
  <c r="E407" i="26"/>
  <c r="B408" i="26"/>
  <c r="C408" i="26"/>
  <c r="D408" i="26"/>
  <c r="E408" i="26"/>
  <c r="B409" i="26"/>
  <c r="C409" i="26"/>
  <c r="D409" i="26"/>
  <c r="E409" i="26"/>
  <c r="B410" i="26"/>
  <c r="C410" i="26"/>
  <c r="D410" i="26"/>
  <c r="E410" i="26"/>
  <c r="B411" i="26"/>
  <c r="C411" i="26"/>
  <c r="D411" i="26"/>
  <c r="E411" i="26"/>
  <c r="B412" i="26"/>
  <c r="C412" i="26"/>
  <c r="D412" i="26"/>
  <c r="E412" i="26"/>
  <c r="B413" i="26"/>
  <c r="C413" i="26"/>
  <c r="D413" i="26"/>
  <c r="E413" i="26"/>
  <c r="B414" i="26"/>
  <c r="C414" i="26"/>
  <c r="D414" i="26"/>
  <c r="E414" i="26"/>
  <c r="B415" i="26"/>
  <c r="C415" i="26"/>
  <c r="D415" i="26"/>
  <c r="E415" i="26"/>
  <c r="B416" i="26"/>
  <c r="C416" i="26"/>
  <c r="D416" i="26"/>
  <c r="E416" i="26"/>
  <c r="B417" i="26"/>
  <c r="C417" i="26"/>
  <c r="D417" i="26"/>
  <c r="E417" i="26"/>
  <c r="B418" i="26"/>
  <c r="C418" i="26"/>
  <c r="D418" i="26"/>
  <c r="E418" i="26"/>
  <c r="B419" i="26"/>
  <c r="C419" i="26"/>
  <c r="D419" i="26"/>
  <c r="E419" i="26"/>
  <c r="B420" i="26"/>
  <c r="C420" i="26"/>
  <c r="D420" i="26"/>
  <c r="E420" i="26"/>
  <c r="B421" i="26"/>
  <c r="C421" i="26"/>
  <c r="D421" i="26"/>
  <c r="E421" i="26"/>
  <c r="B422" i="26"/>
  <c r="C422" i="26"/>
  <c r="D422" i="26"/>
  <c r="E422" i="26"/>
  <c r="B423" i="26"/>
  <c r="C423" i="26"/>
  <c r="D423" i="26"/>
  <c r="E423" i="26"/>
  <c r="H112" i="26"/>
  <c r="I112" i="26"/>
  <c r="J112" i="26"/>
  <c r="K112" i="26"/>
  <c r="H113" i="26"/>
  <c r="I113" i="26"/>
  <c r="J113" i="26"/>
  <c r="K113" i="26"/>
  <c r="H114" i="26"/>
  <c r="I114" i="26"/>
  <c r="J114" i="26"/>
  <c r="K114" i="26"/>
  <c r="H115" i="26"/>
  <c r="I115" i="26"/>
  <c r="J115" i="26"/>
  <c r="K115" i="26"/>
  <c r="H116" i="26"/>
  <c r="I116" i="26"/>
  <c r="J116" i="26"/>
  <c r="K116" i="26"/>
  <c r="H117" i="26"/>
  <c r="I117" i="26"/>
  <c r="J117" i="26"/>
  <c r="K117" i="26"/>
  <c r="H118" i="26"/>
  <c r="I118" i="26"/>
  <c r="J118" i="26"/>
  <c r="K118" i="26"/>
  <c r="H119" i="26"/>
  <c r="I119" i="26"/>
  <c r="J119" i="26"/>
  <c r="K119" i="26"/>
  <c r="H120" i="26"/>
  <c r="I120" i="26"/>
  <c r="J120" i="26"/>
  <c r="K120" i="26"/>
  <c r="H121" i="26"/>
  <c r="I121" i="26"/>
  <c r="J121" i="26"/>
  <c r="K121" i="26"/>
  <c r="H122" i="26"/>
  <c r="I122" i="26"/>
  <c r="J122" i="26"/>
  <c r="K122" i="26"/>
  <c r="H123" i="26"/>
  <c r="I123" i="26"/>
  <c r="J123" i="26"/>
  <c r="K123" i="26"/>
  <c r="H124" i="26"/>
  <c r="I124" i="26"/>
  <c r="J124" i="26"/>
  <c r="K124" i="26"/>
  <c r="H125" i="26"/>
  <c r="I125" i="26"/>
  <c r="J125" i="26"/>
  <c r="K125" i="26"/>
  <c r="H126" i="26"/>
  <c r="I126" i="26"/>
  <c r="J126" i="26"/>
  <c r="K126" i="26"/>
  <c r="H127" i="26"/>
  <c r="I127" i="26"/>
  <c r="J127" i="26"/>
  <c r="K127" i="26"/>
  <c r="H128" i="26"/>
  <c r="I128" i="26"/>
  <c r="J128" i="26"/>
  <c r="K128" i="26"/>
  <c r="H129" i="26"/>
  <c r="I129" i="26"/>
  <c r="J129" i="26"/>
  <c r="K129" i="26"/>
  <c r="H130" i="26"/>
  <c r="I130" i="26"/>
  <c r="J130" i="26"/>
  <c r="K130" i="26"/>
  <c r="H131" i="26"/>
  <c r="I131" i="26"/>
  <c r="J131" i="26"/>
  <c r="K131" i="26"/>
  <c r="H132" i="26"/>
  <c r="I132" i="26"/>
  <c r="J132" i="26"/>
  <c r="K132" i="26"/>
  <c r="H133" i="26"/>
  <c r="I133" i="26"/>
  <c r="J133" i="26"/>
  <c r="K133" i="26"/>
  <c r="H134" i="26"/>
  <c r="I134" i="26"/>
  <c r="J134" i="26"/>
  <c r="K134" i="26"/>
  <c r="H135" i="26"/>
  <c r="I135" i="26"/>
  <c r="J135" i="26"/>
  <c r="K135" i="26"/>
  <c r="H136" i="26"/>
  <c r="I136" i="26"/>
  <c r="J136" i="26"/>
  <c r="K136" i="26"/>
  <c r="H137" i="26"/>
  <c r="I137" i="26"/>
  <c r="J137" i="26"/>
  <c r="K137" i="26"/>
  <c r="H138" i="26"/>
  <c r="I138" i="26"/>
  <c r="J138" i="26"/>
  <c r="K138" i="26"/>
  <c r="H139" i="26"/>
  <c r="I139" i="26"/>
  <c r="J139" i="26"/>
  <c r="K139" i="26"/>
  <c r="H140" i="26"/>
  <c r="I140" i="26"/>
  <c r="J140" i="26"/>
  <c r="K140" i="26"/>
  <c r="H141" i="26"/>
  <c r="I141" i="26"/>
  <c r="J141" i="26"/>
  <c r="K141" i="26"/>
  <c r="H142" i="26"/>
  <c r="I142" i="26"/>
  <c r="J142" i="26"/>
  <c r="K142" i="26"/>
  <c r="H143" i="26"/>
  <c r="I143" i="26"/>
  <c r="J143" i="26"/>
  <c r="K143" i="26"/>
  <c r="H144" i="26"/>
  <c r="I144" i="26"/>
  <c r="J144" i="26"/>
  <c r="K144" i="26"/>
  <c r="H145" i="26"/>
  <c r="I145" i="26"/>
  <c r="J145" i="26"/>
  <c r="K145" i="26"/>
  <c r="H146" i="26"/>
  <c r="I146" i="26"/>
  <c r="J146" i="26"/>
  <c r="K146" i="26"/>
  <c r="H147" i="26"/>
  <c r="I147" i="26"/>
  <c r="J147" i="26"/>
  <c r="K147" i="26"/>
  <c r="H148" i="26"/>
  <c r="I148" i="26"/>
  <c r="J148" i="26"/>
  <c r="K148" i="26"/>
  <c r="H149" i="26"/>
  <c r="I149" i="26"/>
  <c r="J149" i="26"/>
  <c r="K149" i="26"/>
  <c r="H150" i="26"/>
  <c r="I150" i="26"/>
  <c r="J150" i="26"/>
  <c r="K150" i="26"/>
  <c r="H151" i="26"/>
  <c r="I151" i="26"/>
  <c r="J151" i="26"/>
  <c r="K151" i="26"/>
  <c r="H152" i="26"/>
  <c r="I152" i="26"/>
  <c r="J152" i="26"/>
  <c r="K152" i="26"/>
  <c r="H153" i="26"/>
  <c r="I153" i="26"/>
  <c r="J153" i="26"/>
  <c r="K153" i="26"/>
  <c r="H154" i="26"/>
  <c r="I154" i="26"/>
  <c r="J154" i="26"/>
  <c r="K154" i="26"/>
  <c r="H155" i="26"/>
  <c r="I155" i="26"/>
  <c r="J155" i="26"/>
  <c r="K155" i="26"/>
  <c r="H156" i="26"/>
  <c r="I156" i="26"/>
  <c r="J156" i="26"/>
  <c r="K156" i="26"/>
  <c r="H157" i="26"/>
  <c r="I157" i="26"/>
  <c r="J157" i="26"/>
  <c r="K157" i="26"/>
  <c r="H158" i="26"/>
  <c r="I158" i="26"/>
  <c r="J158" i="26"/>
  <c r="K158" i="26"/>
  <c r="H159" i="26"/>
  <c r="I159" i="26"/>
  <c r="J159" i="26"/>
  <c r="K159" i="26"/>
  <c r="H160" i="26"/>
  <c r="I160" i="26"/>
  <c r="J160" i="26"/>
  <c r="K160" i="26"/>
  <c r="H161" i="26"/>
  <c r="I161" i="26"/>
  <c r="J161" i="26"/>
  <c r="K161" i="26"/>
  <c r="H162" i="26"/>
  <c r="I162" i="26"/>
  <c r="J162" i="26"/>
  <c r="K162" i="26"/>
  <c r="H163" i="26"/>
  <c r="I163" i="26"/>
  <c r="J163" i="26"/>
  <c r="K163" i="26"/>
  <c r="H164" i="26"/>
  <c r="I164" i="26"/>
  <c r="J164" i="26"/>
  <c r="K164" i="26"/>
  <c r="H165" i="26"/>
  <c r="I165" i="26"/>
  <c r="J165" i="26"/>
  <c r="K165" i="26"/>
  <c r="H166" i="26"/>
  <c r="I166" i="26"/>
  <c r="J166" i="26"/>
  <c r="K166" i="26"/>
  <c r="H167" i="26"/>
  <c r="I167" i="26"/>
  <c r="J167" i="26"/>
  <c r="K167" i="26"/>
  <c r="H168" i="26"/>
  <c r="I168" i="26"/>
  <c r="J168" i="26"/>
  <c r="K168" i="26"/>
  <c r="H169" i="26"/>
  <c r="I169" i="26"/>
  <c r="J169" i="26"/>
  <c r="K169" i="26"/>
  <c r="H170" i="26"/>
  <c r="I170" i="26"/>
  <c r="J170" i="26"/>
  <c r="K170" i="26"/>
  <c r="H171" i="26"/>
  <c r="I171" i="26"/>
  <c r="J171" i="26"/>
  <c r="K171" i="26"/>
  <c r="H172" i="26"/>
  <c r="I172" i="26"/>
  <c r="J172" i="26"/>
  <c r="K172" i="26"/>
  <c r="H173" i="26"/>
  <c r="I173" i="26"/>
  <c r="J173" i="26"/>
  <c r="K173" i="26"/>
  <c r="H174" i="26"/>
  <c r="I174" i="26"/>
  <c r="J174" i="26"/>
  <c r="K174" i="26"/>
  <c r="H175" i="26"/>
  <c r="I175" i="26"/>
  <c r="J175" i="26"/>
  <c r="K175" i="26"/>
  <c r="H176" i="26"/>
  <c r="I176" i="26"/>
  <c r="J176" i="26"/>
  <c r="K176" i="26"/>
  <c r="H177" i="26"/>
  <c r="I177" i="26"/>
  <c r="J177" i="26"/>
  <c r="K177" i="26"/>
  <c r="H178" i="26"/>
  <c r="I178" i="26"/>
  <c r="J178" i="26"/>
  <c r="K178" i="26"/>
  <c r="H179" i="26"/>
  <c r="I179" i="26"/>
  <c r="J179" i="26"/>
  <c r="K179" i="26"/>
  <c r="H180" i="26"/>
  <c r="I180" i="26"/>
  <c r="J180" i="26"/>
  <c r="K180" i="26"/>
  <c r="H181" i="26"/>
  <c r="I181" i="26"/>
  <c r="J181" i="26"/>
  <c r="K181" i="26"/>
  <c r="H182" i="26"/>
  <c r="I182" i="26"/>
  <c r="J182" i="26"/>
  <c r="K182" i="26"/>
  <c r="H183" i="26"/>
  <c r="I183" i="26"/>
  <c r="J183" i="26"/>
  <c r="K183" i="26"/>
  <c r="H184" i="26"/>
  <c r="I184" i="26"/>
  <c r="J184" i="26"/>
  <c r="K184" i="26"/>
  <c r="H185" i="26"/>
  <c r="I185" i="26"/>
  <c r="J185" i="26"/>
  <c r="K185" i="26"/>
  <c r="H186" i="26"/>
  <c r="I186" i="26"/>
  <c r="J186" i="26"/>
  <c r="K186" i="26"/>
  <c r="H187" i="26"/>
  <c r="I187" i="26"/>
  <c r="J187" i="26"/>
  <c r="K187" i="26"/>
  <c r="H188" i="26"/>
  <c r="I188" i="26"/>
  <c r="J188" i="26"/>
  <c r="K188" i="26"/>
  <c r="H189" i="26"/>
  <c r="I189" i="26"/>
  <c r="J189" i="26"/>
  <c r="K189" i="26"/>
  <c r="H190" i="26"/>
  <c r="I190" i="26"/>
  <c r="J190" i="26"/>
  <c r="K190" i="26"/>
  <c r="H191" i="26"/>
  <c r="I191" i="26"/>
  <c r="J191" i="26"/>
  <c r="K191" i="26"/>
  <c r="H192" i="26"/>
  <c r="I192" i="26"/>
  <c r="J192" i="26"/>
  <c r="K192" i="26"/>
  <c r="H193" i="26"/>
  <c r="I193" i="26"/>
  <c r="J193" i="26"/>
  <c r="K193" i="26"/>
  <c r="H194" i="26"/>
  <c r="I194" i="26"/>
  <c r="J194" i="26"/>
  <c r="K194" i="26"/>
  <c r="H195" i="26"/>
  <c r="I195" i="26"/>
  <c r="J195" i="26"/>
  <c r="K195" i="26"/>
  <c r="H196" i="26"/>
  <c r="I196" i="26"/>
  <c r="J196" i="26"/>
  <c r="K196" i="26"/>
  <c r="H197" i="26"/>
  <c r="I197" i="26"/>
  <c r="J197" i="26"/>
  <c r="K197" i="26"/>
  <c r="H198" i="26"/>
  <c r="I198" i="26"/>
  <c r="J198" i="26"/>
  <c r="K198" i="26"/>
  <c r="H199" i="26"/>
  <c r="I199" i="26"/>
  <c r="J199" i="26"/>
  <c r="K199" i="26"/>
  <c r="H200" i="26"/>
  <c r="I200" i="26"/>
  <c r="J200" i="26"/>
  <c r="K200" i="26"/>
  <c r="H201" i="26"/>
  <c r="I201" i="26"/>
  <c r="J201" i="26"/>
  <c r="K201" i="26"/>
  <c r="H202" i="26"/>
  <c r="I202" i="26"/>
  <c r="J202" i="26"/>
  <c r="K202" i="26"/>
  <c r="H203" i="26"/>
  <c r="I203" i="26"/>
  <c r="J203" i="26"/>
  <c r="K203" i="26"/>
  <c r="H204" i="26"/>
  <c r="I204" i="26"/>
  <c r="J204" i="26"/>
  <c r="K204" i="26"/>
  <c r="H205" i="26"/>
  <c r="I205" i="26"/>
  <c r="J205" i="26"/>
  <c r="K205" i="26"/>
  <c r="H206" i="26"/>
  <c r="I206" i="26"/>
  <c r="J206" i="26"/>
  <c r="K206" i="26"/>
  <c r="H207" i="26"/>
  <c r="I207" i="26"/>
  <c r="J207" i="26"/>
  <c r="K207" i="26"/>
  <c r="H208" i="26"/>
  <c r="I208" i="26"/>
  <c r="J208" i="26"/>
  <c r="K208" i="26"/>
  <c r="H209" i="26"/>
  <c r="I209" i="26"/>
  <c r="J209" i="26"/>
  <c r="K209" i="26"/>
  <c r="H210" i="26"/>
  <c r="I210" i="26"/>
  <c r="J210" i="26"/>
  <c r="K210" i="26"/>
  <c r="H211" i="26"/>
  <c r="I211" i="26"/>
  <c r="J211" i="26"/>
  <c r="K211" i="26"/>
  <c r="H212" i="26"/>
  <c r="I212" i="26"/>
  <c r="J212" i="26"/>
  <c r="K212" i="26"/>
  <c r="H213" i="26"/>
  <c r="I213" i="26"/>
  <c r="J213" i="26"/>
  <c r="K213" i="26"/>
  <c r="H214" i="26"/>
  <c r="I214" i="26"/>
  <c r="J214" i="26"/>
  <c r="K214" i="26"/>
  <c r="H215" i="26"/>
  <c r="I215" i="26"/>
  <c r="J215" i="26"/>
  <c r="K215" i="26"/>
  <c r="H216" i="26"/>
  <c r="I216" i="26"/>
  <c r="J216" i="26"/>
  <c r="K216" i="26"/>
  <c r="H217" i="26"/>
  <c r="I217" i="26"/>
  <c r="J217" i="26"/>
  <c r="K217" i="26"/>
  <c r="H218" i="26"/>
  <c r="I218" i="26"/>
  <c r="J218" i="26"/>
  <c r="K218" i="26"/>
  <c r="H219" i="26"/>
  <c r="I219" i="26"/>
  <c r="J219" i="26"/>
  <c r="K219" i="26"/>
  <c r="H220" i="26"/>
  <c r="I220" i="26"/>
  <c r="J220" i="26"/>
  <c r="K220" i="26"/>
  <c r="H221" i="26"/>
  <c r="I221" i="26"/>
  <c r="J221" i="26"/>
  <c r="K221" i="26"/>
  <c r="H222" i="26"/>
  <c r="I222" i="26"/>
  <c r="J222" i="26"/>
  <c r="K222" i="26"/>
  <c r="H223" i="26"/>
  <c r="I223" i="26"/>
  <c r="J223" i="26"/>
  <c r="K223" i="26"/>
  <c r="H224" i="26"/>
  <c r="I224" i="26"/>
  <c r="J224" i="26"/>
  <c r="K224" i="26"/>
  <c r="H225" i="26"/>
  <c r="I225" i="26"/>
  <c r="J225" i="26"/>
  <c r="K225" i="26"/>
  <c r="H226" i="26"/>
  <c r="I226" i="26"/>
  <c r="J226" i="26"/>
  <c r="K226" i="26"/>
  <c r="H227" i="26"/>
  <c r="I227" i="26"/>
  <c r="J227" i="26"/>
  <c r="K227" i="26"/>
  <c r="H228" i="26"/>
  <c r="I228" i="26"/>
  <c r="J228" i="26"/>
  <c r="K228" i="26"/>
  <c r="H229" i="26"/>
  <c r="I229" i="26"/>
  <c r="J229" i="26"/>
  <c r="K229" i="26"/>
  <c r="H230" i="26"/>
  <c r="I230" i="26"/>
  <c r="J230" i="26"/>
  <c r="K230" i="26"/>
  <c r="H231" i="26"/>
  <c r="I231" i="26"/>
  <c r="J231" i="26"/>
  <c r="K231" i="26"/>
  <c r="H232" i="26"/>
  <c r="I232" i="26"/>
  <c r="J232" i="26"/>
  <c r="K232" i="26"/>
  <c r="H233" i="26"/>
  <c r="I233" i="26"/>
  <c r="J233" i="26"/>
  <c r="K233" i="26"/>
  <c r="H234" i="26"/>
  <c r="I234" i="26"/>
  <c r="J234" i="26"/>
  <c r="K234" i="26"/>
  <c r="H235" i="26"/>
  <c r="I235" i="26"/>
  <c r="J235" i="26"/>
  <c r="K235" i="26"/>
  <c r="H236" i="26"/>
  <c r="I236" i="26"/>
  <c r="J236" i="26"/>
  <c r="K236" i="26"/>
  <c r="H237" i="26"/>
  <c r="I237" i="26"/>
  <c r="J237" i="26"/>
  <c r="K237" i="26"/>
  <c r="H238" i="26"/>
  <c r="I238" i="26"/>
  <c r="J238" i="26"/>
  <c r="K238" i="26"/>
  <c r="H239" i="26"/>
  <c r="I239" i="26"/>
  <c r="J239" i="26"/>
  <c r="K239" i="26"/>
  <c r="H240" i="26"/>
  <c r="I240" i="26"/>
  <c r="J240" i="26"/>
  <c r="K240" i="26"/>
  <c r="H241" i="26"/>
  <c r="I241" i="26"/>
  <c r="J241" i="26"/>
  <c r="K241" i="26"/>
  <c r="H242" i="26"/>
  <c r="I242" i="26"/>
  <c r="J242" i="26"/>
  <c r="K242" i="26"/>
  <c r="H243" i="26"/>
  <c r="I243" i="26"/>
  <c r="J243" i="26"/>
  <c r="K243" i="26"/>
  <c r="H244" i="26"/>
  <c r="I244" i="26"/>
  <c r="J244" i="26"/>
  <c r="K244" i="26"/>
  <c r="H245" i="26"/>
  <c r="I245" i="26"/>
  <c r="J245" i="26"/>
  <c r="K245" i="26"/>
  <c r="H246" i="26"/>
  <c r="I246" i="26"/>
  <c r="J246" i="26"/>
  <c r="K246" i="26"/>
  <c r="H247" i="26"/>
  <c r="I247" i="26"/>
  <c r="J247" i="26"/>
  <c r="K247" i="26"/>
  <c r="H248" i="26"/>
  <c r="I248" i="26"/>
  <c r="J248" i="26"/>
  <c r="K248" i="26"/>
  <c r="H249" i="26"/>
  <c r="I249" i="26"/>
  <c r="J249" i="26"/>
  <c r="K249" i="26"/>
  <c r="H250" i="26"/>
  <c r="I250" i="26"/>
  <c r="J250" i="26"/>
  <c r="K250" i="26"/>
  <c r="H251" i="26"/>
  <c r="I251" i="26"/>
  <c r="J251" i="26"/>
  <c r="K251" i="26"/>
  <c r="H252" i="26"/>
  <c r="I252" i="26"/>
  <c r="J252" i="26"/>
  <c r="K252" i="26"/>
  <c r="H253" i="26"/>
  <c r="I253" i="26"/>
  <c r="J253" i="26"/>
  <c r="K253" i="26"/>
  <c r="H254" i="26"/>
  <c r="I254" i="26"/>
  <c r="J254" i="26"/>
  <c r="K254" i="26"/>
  <c r="H255" i="26"/>
  <c r="I255" i="26"/>
  <c r="J255" i="26"/>
  <c r="K255" i="26"/>
  <c r="H256" i="26"/>
  <c r="I256" i="26"/>
  <c r="J256" i="26"/>
  <c r="K256" i="26"/>
  <c r="H257" i="26"/>
  <c r="I257" i="26"/>
  <c r="J257" i="26"/>
  <c r="K257" i="26"/>
  <c r="H258" i="26"/>
  <c r="I258" i="26"/>
  <c r="J258" i="26"/>
  <c r="K258" i="26"/>
  <c r="H259" i="26"/>
  <c r="I259" i="26"/>
  <c r="J259" i="26"/>
  <c r="K259" i="26"/>
  <c r="H260" i="26"/>
  <c r="I260" i="26"/>
  <c r="J260" i="26"/>
  <c r="K260" i="26"/>
  <c r="H261" i="26"/>
  <c r="I261" i="26"/>
  <c r="J261" i="26"/>
  <c r="K261" i="26"/>
  <c r="H262" i="26"/>
  <c r="I262" i="26"/>
  <c r="J262" i="26"/>
  <c r="K262" i="26"/>
  <c r="H263" i="26"/>
  <c r="I263" i="26"/>
  <c r="J263" i="26"/>
  <c r="K263" i="26"/>
  <c r="H264" i="26"/>
  <c r="I264" i="26"/>
  <c r="J264" i="26"/>
  <c r="K264" i="26"/>
  <c r="H265" i="26"/>
  <c r="I265" i="26"/>
  <c r="J265" i="26"/>
  <c r="K265" i="26"/>
  <c r="H266" i="26"/>
  <c r="I266" i="26"/>
  <c r="J266" i="26"/>
  <c r="K266" i="26"/>
  <c r="H267" i="26"/>
  <c r="I267" i="26"/>
  <c r="J267" i="26"/>
  <c r="K267" i="26"/>
  <c r="H268" i="26"/>
  <c r="I268" i="26"/>
  <c r="J268" i="26"/>
  <c r="K268" i="26"/>
  <c r="H269" i="26"/>
  <c r="I269" i="26"/>
  <c r="J269" i="26"/>
  <c r="K269" i="26"/>
  <c r="H270" i="26"/>
  <c r="I270" i="26"/>
  <c r="J270" i="26"/>
  <c r="K270" i="26"/>
  <c r="H271" i="26"/>
  <c r="I271" i="26"/>
  <c r="J271" i="26"/>
  <c r="K271" i="26"/>
  <c r="H272" i="26"/>
  <c r="I272" i="26"/>
  <c r="J272" i="26"/>
  <c r="K272" i="26"/>
  <c r="H273" i="26"/>
  <c r="I273" i="26"/>
  <c r="J273" i="26"/>
  <c r="K273" i="26"/>
  <c r="H274" i="26"/>
  <c r="I274" i="26"/>
  <c r="J274" i="26"/>
  <c r="K274" i="26"/>
  <c r="H275" i="26"/>
  <c r="I275" i="26"/>
  <c r="J275" i="26"/>
  <c r="K275" i="26"/>
  <c r="H276" i="26"/>
  <c r="I276" i="26"/>
  <c r="J276" i="26"/>
  <c r="K276" i="26"/>
  <c r="H277" i="26"/>
  <c r="I277" i="26"/>
  <c r="J277" i="26"/>
  <c r="K277" i="26"/>
  <c r="H278" i="26"/>
  <c r="I278" i="26"/>
  <c r="J278" i="26"/>
  <c r="K278" i="26"/>
  <c r="H279" i="26"/>
  <c r="I279" i="26"/>
  <c r="J279" i="26"/>
  <c r="K279" i="26"/>
  <c r="H280" i="26"/>
  <c r="I280" i="26"/>
  <c r="J280" i="26"/>
  <c r="K280" i="26"/>
  <c r="H281" i="26"/>
  <c r="I281" i="26"/>
  <c r="J281" i="26"/>
  <c r="K281" i="26"/>
  <c r="H282" i="26"/>
  <c r="I282" i="26"/>
  <c r="J282" i="26"/>
  <c r="K282" i="26"/>
  <c r="H283" i="26"/>
  <c r="I283" i="26"/>
  <c r="J283" i="26"/>
  <c r="K283" i="26"/>
  <c r="H284" i="26"/>
  <c r="I284" i="26"/>
  <c r="J284" i="26"/>
  <c r="K284" i="26"/>
  <c r="H285" i="26"/>
  <c r="I285" i="26"/>
  <c r="J285" i="26"/>
  <c r="K285" i="26"/>
  <c r="H286" i="26"/>
  <c r="I286" i="26"/>
  <c r="J286" i="26"/>
  <c r="K286" i="26"/>
  <c r="H287" i="26"/>
  <c r="I287" i="26"/>
  <c r="J287" i="26"/>
  <c r="K287" i="26"/>
  <c r="H288" i="26"/>
  <c r="I288" i="26"/>
  <c r="J288" i="26"/>
  <c r="K288" i="26"/>
  <c r="H289" i="26"/>
  <c r="I289" i="26"/>
  <c r="J289" i="26"/>
  <c r="K289" i="26"/>
  <c r="H290" i="26"/>
  <c r="I290" i="26"/>
  <c r="J290" i="26"/>
  <c r="K290" i="26"/>
  <c r="H291" i="26"/>
  <c r="I291" i="26"/>
  <c r="J291" i="26"/>
  <c r="K291" i="26"/>
  <c r="H292" i="26"/>
  <c r="I292" i="26"/>
  <c r="J292" i="26"/>
  <c r="K292" i="26"/>
  <c r="H293" i="26"/>
  <c r="I293" i="26"/>
  <c r="J293" i="26"/>
  <c r="K293" i="26"/>
  <c r="H294" i="26"/>
  <c r="I294" i="26"/>
  <c r="J294" i="26"/>
  <c r="K294" i="26"/>
  <c r="H295" i="26"/>
  <c r="I295" i="26"/>
  <c r="J295" i="26"/>
  <c r="K295" i="26"/>
  <c r="H296" i="26"/>
  <c r="I296" i="26"/>
  <c r="J296" i="26"/>
  <c r="K296" i="26"/>
  <c r="H297" i="26"/>
  <c r="I297" i="26"/>
  <c r="J297" i="26"/>
  <c r="K297" i="26"/>
  <c r="H298" i="26"/>
  <c r="I298" i="26"/>
  <c r="J298" i="26"/>
  <c r="K298" i="26"/>
  <c r="H299" i="26"/>
  <c r="I299" i="26"/>
  <c r="J299" i="26"/>
  <c r="K299" i="26"/>
  <c r="H300" i="26"/>
  <c r="I300" i="26"/>
  <c r="J300" i="26"/>
  <c r="K300" i="26"/>
  <c r="H301" i="26"/>
  <c r="I301" i="26"/>
  <c r="J301" i="26"/>
  <c r="K301" i="26"/>
  <c r="H302" i="26"/>
  <c r="I302" i="26"/>
  <c r="J302" i="26"/>
  <c r="K302" i="26"/>
  <c r="H303" i="26"/>
  <c r="I303" i="26"/>
  <c r="J303" i="26"/>
  <c r="K303" i="26"/>
  <c r="H304" i="26"/>
  <c r="I304" i="26"/>
  <c r="J304" i="26"/>
  <c r="K304" i="26"/>
  <c r="H305" i="26"/>
  <c r="I305" i="26"/>
  <c r="J305" i="26"/>
  <c r="K305" i="26"/>
  <c r="H306" i="26"/>
  <c r="I306" i="26"/>
  <c r="J306" i="26"/>
  <c r="K306" i="26"/>
  <c r="H307" i="26"/>
  <c r="I307" i="26"/>
  <c r="J307" i="26"/>
  <c r="K307" i="26"/>
  <c r="H308" i="26"/>
  <c r="I308" i="26"/>
  <c r="J308" i="26"/>
  <c r="K308" i="26"/>
  <c r="H309" i="26"/>
  <c r="I309" i="26"/>
  <c r="J309" i="26"/>
  <c r="K309" i="26"/>
  <c r="H310" i="26"/>
  <c r="I310" i="26"/>
  <c r="J310" i="26"/>
  <c r="K310" i="26"/>
  <c r="H311" i="26"/>
  <c r="I311" i="26"/>
  <c r="J311" i="26"/>
  <c r="K311" i="26"/>
  <c r="H312" i="26"/>
  <c r="I312" i="26"/>
  <c r="J312" i="26"/>
  <c r="K312" i="26"/>
  <c r="H313" i="26"/>
  <c r="I313" i="26"/>
  <c r="J313" i="26"/>
  <c r="K313" i="26"/>
  <c r="H314" i="26"/>
  <c r="I314" i="26"/>
  <c r="J314" i="26"/>
  <c r="K314" i="26"/>
  <c r="H315" i="26"/>
  <c r="I315" i="26"/>
  <c r="J315" i="26"/>
  <c r="K315" i="26"/>
  <c r="H316" i="26"/>
  <c r="I316" i="26"/>
  <c r="J316" i="26"/>
  <c r="K316" i="26"/>
  <c r="H317" i="26"/>
  <c r="I317" i="26"/>
  <c r="J317" i="26"/>
  <c r="K317" i="26"/>
  <c r="H318" i="26"/>
  <c r="I318" i="26"/>
  <c r="J318" i="26"/>
  <c r="K318" i="26"/>
  <c r="H319" i="26"/>
  <c r="I319" i="26"/>
  <c r="J319" i="26"/>
  <c r="K319" i="26"/>
  <c r="H320" i="26"/>
  <c r="I320" i="26"/>
  <c r="J320" i="26"/>
  <c r="K320" i="26"/>
  <c r="H321" i="26"/>
  <c r="I321" i="26"/>
  <c r="J321" i="26"/>
  <c r="K321" i="26"/>
  <c r="H322" i="26"/>
  <c r="I322" i="26"/>
  <c r="J322" i="26"/>
  <c r="K322" i="26"/>
  <c r="H323" i="26"/>
  <c r="I323" i="26"/>
  <c r="J323" i="26"/>
  <c r="K323" i="26"/>
  <c r="H324" i="26"/>
  <c r="I324" i="26"/>
  <c r="J324" i="26"/>
  <c r="K324" i="26"/>
  <c r="H325" i="26"/>
  <c r="I325" i="26"/>
  <c r="J325" i="26"/>
  <c r="K325" i="26"/>
  <c r="H326" i="26"/>
  <c r="I326" i="26"/>
  <c r="J326" i="26"/>
  <c r="K326" i="26"/>
  <c r="H327" i="26"/>
  <c r="I327" i="26"/>
  <c r="J327" i="26"/>
  <c r="K327" i="26"/>
  <c r="H328" i="26"/>
  <c r="I328" i="26"/>
  <c r="J328" i="26"/>
  <c r="K328" i="26"/>
  <c r="H329" i="26"/>
  <c r="I329" i="26"/>
  <c r="J329" i="26"/>
  <c r="K329" i="26"/>
  <c r="H330" i="26"/>
  <c r="I330" i="26"/>
  <c r="J330" i="26"/>
  <c r="K330" i="26"/>
  <c r="H331" i="26"/>
  <c r="I331" i="26"/>
  <c r="J331" i="26"/>
  <c r="K331" i="26"/>
  <c r="H332" i="26"/>
  <c r="I332" i="26"/>
  <c r="J332" i="26"/>
  <c r="K332" i="26"/>
  <c r="H333" i="26"/>
  <c r="I333" i="26"/>
  <c r="J333" i="26"/>
  <c r="K333" i="26"/>
  <c r="H334" i="26"/>
  <c r="I334" i="26"/>
  <c r="J334" i="26"/>
  <c r="K334" i="26"/>
  <c r="H335" i="26"/>
  <c r="I335" i="26"/>
  <c r="J335" i="26"/>
  <c r="K335" i="26"/>
  <c r="H336" i="26"/>
  <c r="I336" i="26"/>
  <c r="J336" i="26"/>
  <c r="K336" i="26"/>
  <c r="H337" i="26"/>
  <c r="I337" i="26"/>
  <c r="J337" i="26"/>
  <c r="K337" i="26"/>
  <c r="H338" i="26"/>
  <c r="I338" i="26"/>
  <c r="J338" i="26"/>
  <c r="K338" i="26"/>
  <c r="H339" i="26"/>
  <c r="I339" i="26"/>
  <c r="J339" i="26"/>
  <c r="K339" i="26"/>
  <c r="H340" i="26"/>
  <c r="I340" i="26"/>
  <c r="J340" i="26"/>
  <c r="K340" i="26"/>
  <c r="H341" i="26"/>
  <c r="I341" i="26"/>
  <c r="J341" i="26"/>
  <c r="K341" i="26"/>
  <c r="H342" i="26"/>
  <c r="I342" i="26"/>
  <c r="J342" i="26"/>
  <c r="K342" i="26"/>
  <c r="H343" i="26"/>
  <c r="I343" i="26"/>
  <c r="J343" i="26"/>
  <c r="K343" i="26"/>
  <c r="H344" i="26"/>
  <c r="I344" i="26"/>
  <c r="J344" i="26"/>
  <c r="K344" i="26"/>
  <c r="H345" i="26"/>
  <c r="I345" i="26"/>
  <c r="J345" i="26"/>
  <c r="K345" i="26"/>
  <c r="H346" i="26"/>
  <c r="I346" i="26"/>
  <c r="J346" i="26"/>
  <c r="K346" i="26"/>
  <c r="H347" i="26"/>
  <c r="I347" i="26"/>
  <c r="J347" i="26"/>
  <c r="K347" i="26"/>
  <c r="H348" i="26"/>
  <c r="I348" i="26"/>
  <c r="J348" i="26"/>
  <c r="K348" i="26"/>
  <c r="H349" i="26"/>
  <c r="I349" i="26"/>
  <c r="J349" i="26"/>
  <c r="K349" i="26"/>
  <c r="H350" i="26"/>
  <c r="I350" i="26"/>
  <c r="J350" i="26"/>
  <c r="K350" i="26"/>
  <c r="H351" i="26"/>
  <c r="I351" i="26"/>
  <c r="J351" i="26"/>
  <c r="K351" i="26"/>
  <c r="H352" i="26"/>
  <c r="I352" i="26"/>
  <c r="J352" i="26"/>
  <c r="K352" i="26"/>
  <c r="H353" i="26"/>
  <c r="I353" i="26"/>
  <c r="J353" i="26"/>
  <c r="K353" i="26"/>
  <c r="H354" i="26"/>
  <c r="I354" i="26"/>
  <c r="J354" i="26"/>
  <c r="K354" i="26"/>
  <c r="H355" i="26"/>
  <c r="I355" i="26"/>
  <c r="J355" i="26"/>
  <c r="K355" i="26"/>
  <c r="H356" i="26"/>
  <c r="I356" i="26"/>
  <c r="J356" i="26"/>
  <c r="K356" i="26"/>
  <c r="H357" i="26"/>
  <c r="I357" i="26"/>
  <c r="J357" i="26"/>
  <c r="K357" i="26"/>
  <c r="H358" i="26"/>
  <c r="I358" i="26"/>
  <c r="J358" i="26"/>
  <c r="K358" i="26"/>
  <c r="H359" i="26"/>
  <c r="I359" i="26"/>
  <c r="J359" i="26"/>
  <c r="K359" i="26"/>
  <c r="H360" i="26"/>
  <c r="I360" i="26"/>
  <c r="J360" i="26"/>
  <c r="K360" i="26"/>
  <c r="H361" i="26"/>
  <c r="I361" i="26"/>
  <c r="J361" i="26"/>
  <c r="K361" i="26"/>
  <c r="H362" i="26"/>
  <c r="I362" i="26"/>
  <c r="J362" i="26"/>
  <c r="K362" i="26"/>
  <c r="H363" i="26"/>
  <c r="I363" i="26"/>
  <c r="J363" i="26"/>
  <c r="K363" i="26"/>
  <c r="H364" i="26"/>
  <c r="I364" i="26"/>
  <c r="J364" i="26"/>
  <c r="K364" i="26"/>
  <c r="H365" i="26"/>
  <c r="I365" i="26"/>
  <c r="J365" i="26"/>
  <c r="K365" i="26"/>
  <c r="H366" i="26"/>
  <c r="I366" i="26"/>
  <c r="J366" i="26"/>
  <c r="K366" i="26"/>
  <c r="H367" i="26"/>
  <c r="I367" i="26"/>
  <c r="J367" i="26"/>
  <c r="K367" i="26"/>
  <c r="H368" i="26"/>
  <c r="I368" i="26"/>
  <c r="J368" i="26"/>
  <c r="K368" i="26"/>
  <c r="H369" i="26"/>
  <c r="I369" i="26"/>
  <c r="J369" i="26"/>
  <c r="K369" i="26"/>
  <c r="H370" i="26"/>
  <c r="I370" i="26"/>
  <c r="J370" i="26"/>
  <c r="K370" i="26"/>
  <c r="H371" i="26"/>
  <c r="I371" i="26"/>
  <c r="J371" i="26"/>
  <c r="K371" i="26"/>
  <c r="H372" i="26"/>
  <c r="I372" i="26"/>
  <c r="J372" i="26"/>
  <c r="K372" i="26"/>
  <c r="H373" i="26"/>
  <c r="I373" i="26"/>
  <c r="J373" i="26"/>
  <c r="K373" i="26"/>
  <c r="H374" i="26"/>
  <c r="I374" i="26"/>
  <c r="J374" i="26"/>
  <c r="K374" i="26"/>
  <c r="H375" i="26"/>
  <c r="I375" i="26"/>
  <c r="J375" i="26"/>
  <c r="K375" i="26"/>
  <c r="H376" i="26"/>
  <c r="I376" i="26"/>
  <c r="J376" i="26"/>
  <c r="K376" i="26"/>
  <c r="H377" i="26"/>
  <c r="I377" i="26"/>
  <c r="J377" i="26"/>
  <c r="K377" i="26"/>
  <c r="H378" i="26"/>
  <c r="I378" i="26"/>
  <c r="J378" i="26"/>
  <c r="K378" i="26"/>
  <c r="H379" i="26"/>
  <c r="I379" i="26"/>
  <c r="J379" i="26"/>
  <c r="K379" i="26"/>
  <c r="H380" i="26"/>
  <c r="I380" i="26"/>
  <c r="J380" i="26"/>
  <c r="K380" i="26"/>
  <c r="H381" i="26"/>
  <c r="I381" i="26"/>
  <c r="J381" i="26"/>
  <c r="K381" i="26"/>
  <c r="H382" i="26"/>
  <c r="I382" i="26"/>
  <c r="J382" i="26"/>
  <c r="K382" i="26"/>
  <c r="H383" i="26"/>
  <c r="I383" i="26"/>
  <c r="J383" i="26"/>
  <c r="K383" i="26"/>
  <c r="H384" i="26"/>
  <c r="I384" i="26"/>
  <c r="J384" i="26"/>
  <c r="K384" i="26"/>
  <c r="H385" i="26"/>
  <c r="I385" i="26"/>
  <c r="J385" i="26"/>
  <c r="K385" i="26"/>
  <c r="H386" i="26"/>
  <c r="I386" i="26"/>
  <c r="J386" i="26"/>
  <c r="K386" i="26"/>
  <c r="H387" i="26"/>
  <c r="I387" i="26"/>
  <c r="J387" i="26"/>
  <c r="K387" i="26"/>
  <c r="H388" i="26"/>
  <c r="I388" i="26"/>
  <c r="J388" i="26"/>
  <c r="K388" i="26"/>
  <c r="H389" i="26"/>
  <c r="I389" i="26"/>
  <c r="J389" i="26"/>
  <c r="K389" i="26"/>
  <c r="H390" i="26"/>
  <c r="I390" i="26"/>
  <c r="J390" i="26"/>
  <c r="K390" i="26"/>
  <c r="H391" i="26"/>
  <c r="I391" i="26"/>
  <c r="J391" i="26"/>
  <c r="K391" i="26"/>
  <c r="H392" i="26"/>
  <c r="I392" i="26"/>
  <c r="J392" i="26"/>
  <c r="K392" i="26"/>
  <c r="H393" i="26"/>
  <c r="I393" i="26"/>
  <c r="J393" i="26"/>
  <c r="K393" i="26"/>
  <c r="H394" i="26"/>
  <c r="I394" i="26"/>
  <c r="J394" i="26"/>
  <c r="K394" i="26"/>
  <c r="H395" i="26"/>
  <c r="I395" i="26"/>
  <c r="J395" i="26"/>
  <c r="K395" i="26"/>
  <c r="H396" i="26"/>
  <c r="I396" i="26"/>
  <c r="J396" i="26"/>
  <c r="K396" i="26"/>
  <c r="H397" i="26"/>
  <c r="I397" i="26"/>
  <c r="J397" i="26"/>
  <c r="K397" i="26"/>
  <c r="H398" i="26"/>
  <c r="I398" i="26"/>
  <c r="J398" i="26"/>
  <c r="K398" i="26"/>
  <c r="H399" i="26"/>
  <c r="I399" i="26"/>
  <c r="J399" i="26"/>
  <c r="K399" i="26"/>
  <c r="H400" i="26"/>
  <c r="I400" i="26"/>
  <c r="J400" i="26"/>
  <c r="K400" i="26"/>
  <c r="H401" i="26"/>
  <c r="I401" i="26"/>
  <c r="J401" i="26"/>
  <c r="K401" i="26"/>
  <c r="H402" i="26"/>
  <c r="I402" i="26"/>
  <c r="J402" i="26"/>
  <c r="K402" i="26"/>
  <c r="H403" i="26"/>
  <c r="I403" i="26"/>
  <c r="J403" i="26"/>
  <c r="K403" i="26"/>
  <c r="H404" i="26"/>
  <c r="I404" i="26"/>
  <c r="J404" i="26"/>
  <c r="K404" i="26"/>
  <c r="H405" i="26"/>
  <c r="I405" i="26"/>
  <c r="J405" i="26"/>
  <c r="K405" i="26"/>
  <c r="H406" i="26"/>
  <c r="I406" i="26"/>
  <c r="J406" i="26"/>
  <c r="K406" i="26"/>
  <c r="H407" i="26"/>
  <c r="I407" i="26"/>
  <c r="J407" i="26"/>
  <c r="K407" i="26"/>
  <c r="H408" i="26"/>
  <c r="I408" i="26"/>
  <c r="J408" i="26"/>
  <c r="K408" i="26"/>
  <c r="H409" i="26"/>
  <c r="I409" i="26"/>
  <c r="J409" i="26"/>
  <c r="K409" i="26"/>
  <c r="H410" i="26"/>
  <c r="I410" i="26"/>
  <c r="J410" i="26"/>
  <c r="K410" i="26"/>
  <c r="H411" i="26"/>
  <c r="I411" i="26"/>
  <c r="J411" i="26"/>
  <c r="K411" i="26"/>
  <c r="H412" i="26"/>
  <c r="I412" i="26"/>
  <c r="J412" i="26"/>
  <c r="K412" i="26"/>
  <c r="H413" i="26"/>
  <c r="I413" i="26"/>
  <c r="J413" i="26"/>
  <c r="K413" i="26"/>
  <c r="H414" i="26"/>
  <c r="I414" i="26"/>
  <c r="J414" i="26"/>
  <c r="K414" i="26"/>
  <c r="H415" i="26"/>
  <c r="I415" i="26"/>
  <c r="J415" i="26"/>
  <c r="K415" i="26"/>
  <c r="H416" i="26"/>
  <c r="I416" i="26"/>
  <c r="J416" i="26"/>
  <c r="K416" i="26"/>
  <c r="H417" i="26"/>
  <c r="I417" i="26"/>
  <c r="J417" i="26"/>
  <c r="K417" i="26"/>
  <c r="H418" i="26"/>
  <c r="I418" i="26"/>
  <c r="J418" i="26"/>
  <c r="K418" i="26"/>
  <c r="H419" i="26"/>
  <c r="I419" i="26"/>
  <c r="J419" i="26"/>
  <c r="K419" i="26"/>
  <c r="H420" i="26"/>
  <c r="I420" i="26"/>
  <c r="J420" i="26"/>
  <c r="K420" i="26"/>
  <c r="H421" i="26"/>
  <c r="I421" i="26"/>
  <c r="J421" i="26"/>
  <c r="K421" i="26"/>
  <c r="H422" i="26"/>
  <c r="I422" i="26"/>
  <c r="J422" i="26"/>
  <c r="K422" i="26"/>
  <c r="H423" i="26"/>
  <c r="I423" i="26"/>
  <c r="J423" i="26"/>
  <c r="K423" i="26"/>
  <c r="C46" i="26"/>
  <c r="C45" i="26"/>
  <c r="C44" i="26"/>
  <c r="C43" i="26"/>
  <c r="C42" i="26"/>
  <c r="C41" i="26"/>
  <c r="C40" i="26"/>
  <c r="C39" i="26"/>
  <c r="C38" i="26"/>
  <c r="C37" i="26"/>
  <c r="C36" i="26"/>
  <c r="C35" i="26"/>
  <c r="C34" i="26"/>
  <c r="C33" i="26"/>
  <c r="C32" i="26"/>
  <c r="C31" i="26"/>
  <c r="C30" i="26"/>
  <c r="C29" i="26"/>
  <c r="C28" i="26"/>
  <c r="C27" i="26"/>
  <c r="C26" i="26"/>
  <c r="C25" i="26"/>
  <c r="C24" i="26"/>
  <c r="C23" i="26"/>
  <c r="C22" i="26"/>
  <c r="C20" i="26"/>
  <c r="C19" i="26"/>
  <c r="C18" i="26"/>
  <c r="C17" i="26"/>
  <c r="H424" i="26"/>
  <c r="H425" i="26"/>
  <c r="H426" i="26"/>
  <c r="H427" i="26"/>
  <c r="H428" i="26"/>
  <c r="H429" i="26"/>
  <c r="H430" i="26"/>
  <c r="H431" i="26"/>
  <c r="H432" i="26"/>
  <c r="H433" i="26"/>
  <c r="H434" i="26"/>
  <c r="H435" i="26"/>
  <c r="H436" i="26"/>
  <c r="H437" i="26"/>
  <c r="H438" i="26"/>
  <c r="H439" i="26"/>
  <c r="H440" i="26"/>
  <c r="H441" i="26"/>
  <c r="H442" i="26"/>
  <c r="H443" i="26"/>
  <c r="H444" i="26"/>
  <c r="H445" i="26"/>
  <c r="H446" i="26"/>
  <c r="H447" i="26"/>
  <c r="H448" i="26"/>
  <c r="H449" i="26"/>
  <c r="H450" i="26"/>
  <c r="H451" i="26"/>
  <c r="H452" i="26"/>
  <c r="H453" i="26"/>
  <c r="H454" i="26"/>
  <c r="H455" i="26"/>
  <c r="H456" i="26"/>
  <c r="H457" i="26"/>
  <c r="H458" i="26"/>
  <c r="H459" i="26"/>
  <c r="H460" i="26"/>
  <c r="H461" i="26"/>
  <c r="H462" i="26"/>
  <c r="H463" i="26"/>
  <c r="H464" i="26"/>
  <c r="H465" i="26"/>
  <c r="H466" i="26"/>
  <c r="H467" i="26"/>
  <c r="H468" i="26"/>
  <c r="H469" i="26"/>
  <c r="H470" i="26"/>
  <c r="H471" i="26"/>
  <c r="H472" i="26"/>
  <c r="H473" i="26"/>
  <c r="H474" i="26"/>
  <c r="H475" i="26"/>
  <c r="H476" i="26"/>
  <c r="H477" i="26"/>
  <c r="H478" i="26"/>
  <c r="H479" i="26"/>
  <c r="H480" i="26"/>
  <c r="H481" i="26"/>
  <c r="H482" i="26"/>
  <c r="H483" i="26"/>
  <c r="H484" i="26"/>
  <c r="H485" i="26"/>
  <c r="H486" i="26"/>
  <c r="H487" i="26"/>
  <c r="H488" i="26"/>
  <c r="H489" i="26"/>
  <c r="H490" i="26"/>
  <c r="H491" i="26"/>
  <c r="H492" i="26"/>
  <c r="H493" i="26"/>
  <c r="H494" i="26"/>
  <c r="H495" i="26"/>
  <c r="H496" i="26"/>
  <c r="H497" i="26"/>
  <c r="H498" i="26"/>
  <c r="H499" i="26"/>
  <c r="H500" i="26"/>
  <c r="H501" i="26"/>
  <c r="H502" i="26"/>
  <c r="H503" i="26"/>
  <c r="H504" i="26"/>
  <c r="H505" i="26"/>
  <c r="H506" i="26"/>
  <c r="H507" i="26"/>
  <c r="H508" i="26"/>
  <c r="H509" i="26"/>
  <c r="H510" i="26"/>
  <c r="H511" i="26"/>
  <c r="H512" i="26"/>
  <c r="H513" i="26"/>
  <c r="H514" i="26"/>
  <c r="H515" i="26"/>
  <c r="H516" i="26"/>
  <c r="H517" i="26"/>
  <c r="H518" i="26"/>
  <c r="H519" i="26"/>
  <c r="H520" i="26"/>
  <c r="H521" i="26"/>
  <c r="H522" i="26"/>
  <c r="H523" i="26"/>
  <c r="H524" i="26"/>
  <c r="H525" i="26"/>
  <c r="H526" i="26"/>
  <c r="H527" i="26"/>
  <c r="H528" i="26"/>
  <c r="H529" i="26"/>
  <c r="H530" i="26"/>
  <c r="H531" i="26"/>
  <c r="H532" i="26"/>
  <c r="H533" i="26"/>
  <c r="H534" i="26"/>
  <c r="H535" i="26"/>
  <c r="H536" i="26"/>
  <c r="H537" i="26"/>
  <c r="H538" i="26"/>
  <c r="H539" i="26"/>
  <c r="H540" i="26"/>
  <c r="H541" i="26"/>
  <c r="H542" i="26"/>
  <c r="H543" i="26"/>
  <c r="B424" i="26"/>
  <c r="B425" i="26"/>
  <c r="B426" i="26"/>
  <c r="B427" i="26"/>
  <c r="B428" i="26"/>
  <c r="B429" i="26"/>
  <c r="B430" i="26"/>
  <c r="B431" i="26"/>
  <c r="B432" i="26"/>
  <c r="B433" i="26"/>
  <c r="B434" i="26"/>
  <c r="B435" i="26"/>
  <c r="B436" i="26"/>
  <c r="B437" i="26"/>
  <c r="B438" i="26"/>
  <c r="B439" i="26"/>
  <c r="B440" i="26"/>
  <c r="B441" i="26"/>
  <c r="B442" i="26"/>
  <c r="B443" i="26"/>
  <c r="B444" i="26"/>
  <c r="B445" i="26"/>
  <c r="B446" i="26"/>
  <c r="B447" i="26"/>
  <c r="B448" i="26"/>
  <c r="B449" i="26"/>
  <c r="B450" i="26"/>
  <c r="B451" i="26"/>
  <c r="B452" i="26"/>
  <c r="B453" i="26"/>
  <c r="B454" i="26"/>
  <c r="B455" i="26"/>
  <c r="B456" i="26"/>
  <c r="B457" i="26"/>
  <c r="B458" i="26"/>
  <c r="B459" i="26"/>
  <c r="B460" i="26"/>
  <c r="B461" i="26"/>
  <c r="B462" i="26"/>
  <c r="B463" i="26"/>
  <c r="B464" i="26"/>
  <c r="B465" i="26"/>
  <c r="B466" i="26"/>
  <c r="B467" i="26"/>
  <c r="B468" i="26"/>
  <c r="B469" i="26"/>
  <c r="B470" i="26"/>
  <c r="B471" i="26"/>
  <c r="B472" i="26"/>
  <c r="B473" i="26"/>
  <c r="B474" i="26"/>
  <c r="B475" i="26"/>
  <c r="B476" i="26"/>
  <c r="B477" i="26"/>
  <c r="B478" i="26"/>
  <c r="B479" i="26"/>
  <c r="B480" i="26"/>
  <c r="B481" i="26"/>
  <c r="B482" i="26"/>
  <c r="B483" i="26"/>
  <c r="B484" i="26"/>
  <c r="B485" i="26"/>
  <c r="B486" i="26"/>
  <c r="B487" i="26"/>
  <c r="B488" i="26"/>
  <c r="B489" i="26"/>
  <c r="B490" i="26"/>
  <c r="B491" i="26"/>
  <c r="B492" i="26"/>
  <c r="B493" i="26"/>
  <c r="B494" i="26"/>
  <c r="B495" i="26"/>
  <c r="B496" i="26"/>
  <c r="B497" i="26"/>
  <c r="B498" i="26"/>
  <c r="B499" i="26"/>
  <c r="B500" i="26"/>
  <c r="B501" i="26"/>
  <c r="B502" i="26"/>
  <c r="B503" i="26"/>
  <c r="B504" i="26"/>
  <c r="B505" i="26"/>
  <c r="B506" i="26"/>
  <c r="B507" i="26"/>
  <c r="B508" i="26"/>
  <c r="B509" i="26"/>
  <c r="B510" i="26"/>
  <c r="B511" i="26"/>
  <c r="B512" i="26"/>
  <c r="B513" i="26"/>
  <c r="B514" i="26"/>
  <c r="B515" i="26"/>
  <c r="B516" i="26"/>
  <c r="B517" i="26"/>
  <c r="B518" i="26"/>
  <c r="B519" i="26"/>
  <c r="B520" i="26"/>
  <c r="B521" i="26"/>
  <c r="B522" i="26"/>
  <c r="B523" i="26"/>
  <c r="B524" i="26"/>
  <c r="B525" i="26"/>
  <c r="B526" i="26"/>
  <c r="B527" i="26"/>
  <c r="B528" i="26"/>
  <c r="B529" i="26"/>
  <c r="B530" i="26"/>
  <c r="B531" i="26"/>
  <c r="B532" i="26"/>
  <c r="B533" i="26"/>
  <c r="B534" i="26"/>
  <c r="B535" i="26"/>
  <c r="B536" i="26"/>
  <c r="B537" i="26"/>
  <c r="B538" i="26"/>
  <c r="B539" i="26"/>
  <c r="B540" i="26"/>
  <c r="B541" i="26"/>
  <c r="B542" i="26"/>
  <c r="B543" i="26"/>
  <c r="I424" i="26"/>
  <c r="J424" i="26"/>
  <c r="K424" i="26"/>
  <c r="I425" i="26"/>
  <c r="J425" i="26"/>
  <c r="K425" i="26"/>
  <c r="I426" i="26"/>
  <c r="J426" i="26"/>
  <c r="K426" i="26"/>
  <c r="I427" i="26"/>
  <c r="J427" i="26"/>
  <c r="K427" i="26"/>
  <c r="I428" i="26"/>
  <c r="J428" i="26"/>
  <c r="K428" i="26"/>
  <c r="I429" i="26"/>
  <c r="J429" i="26"/>
  <c r="K429" i="26"/>
  <c r="I430" i="26"/>
  <c r="J430" i="26"/>
  <c r="K430" i="26"/>
  <c r="I431" i="26"/>
  <c r="J431" i="26"/>
  <c r="K431" i="26"/>
  <c r="I432" i="26"/>
  <c r="J432" i="26"/>
  <c r="K432" i="26"/>
  <c r="I433" i="26"/>
  <c r="J433" i="26"/>
  <c r="K433" i="26"/>
  <c r="I434" i="26"/>
  <c r="J434" i="26"/>
  <c r="K434" i="26"/>
  <c r="I435" i="26"/>
  <c r="J435" i="26"/>
  <c r="K435" i="26"/>
  <c r="I436" i="26"/>
  <c r="J436" i="26"/>
  <c r="K436" i="26"/>
  <c r="I437" i="26"/>
  <c r="J437" i="26"/>
  <c r="K437" i="26"/>
  <c r="I438" i="26"/>
  <c r="J438" i="26"/>
  <c r="K438" i="26"/>
  <c r="I439" i="26"/>
  <c r="J439" i="26"/>
  <c r="K439" i="26"/>
  <c r="I440" i="26"/>
  <c r="J440" i="26"/>
  <c r="K440" i="26"/>
  <c r="I441" i="26"/>
  <c r="J441" i="26"/>
  <c r="K441" i="26"/>
  <c r="I442" i="26"/>
  <c r="J442" i="26"/>
  <c r="K442" i="26"/>
  <c r="I443" i="26"/>
  <c r="J443" i="26"/>
  <c r="K443" i="26"/>
  <c r="I444" i="26"/>
  <c r="J444" i="26"/>
  <c r="K444" i="26"/>
  <c r="I445" i="26"/>
  <c r="J445" i="26"/>
  <c r="K445" i="26"/>
  <c r="I446" i="26"/>
  <c r="J446" i="26"/>
  <c r="K446" i="26"/>
  <c r="I447" i="26"/>
  <c r="J447" i="26"/>
  <c r="K447" i="26"/>
  <c r="I448" i="26"/>
  <c r="J448" i="26"/>
  <c r="K448" i="26"/>
  <c r="I449" i="26"/>
  <c r="J449" i="26"/>
  <c r="K449" i="26"/>
  <c r="I450" i="26"/>
  <c r="J450" i="26"/>
  <c r="K450" i="26"/>
  <c r="I451" i="26"/>
  <c r="J451" i="26"/>
  <c r="K451" i="26"/>
  <c r="I452" i="26"/>
  <c r="J452" i="26"/>
  <c r="K452" i="26"/>
  <c r="I453" i="26"/>
  <c r="J453" i="26"/>
  <c r="K453" i="26"/>
  <c r="I454" i="26"/>
  <c r="J454" i="26"/>
  <c r="K454" i="26"/>
  <c r="I455" i="26"/>
  <c r="J455" i="26"/>
  <c r="K455" i="26"/>
  <c r="I456" i="26"/>
  <c r="J456" i="26"/>
  <c r="K456" i="26"/>
  <c r="I457" i="26"/>
  <c r="J457" i="26"/>
  <c r="K457" i="26"/>
  <c r="I458" i="26"/>
  <c r="J458" i="26"/>
  <c r="K458" i="26"/>
  <c r="I459" i="26"/>
  <c r="J459" i="26"/>
  <c r="K459" i="26"/>
  <c r="I460" i="26"/>
  <c r="J460" i="26"/>
  <c r="K460" i="26"/>
  <c r="I461" i="26"/>
  <c r="J461" i="26"/>
  <c r="K461" i="26"/>
  <c r="I462" i="26"/>
  <c r="J462" i="26"/>
  <c r="K462" i="26"/>
  <c r="I463" i="26"/>
  <c r="J463" i="26"/>
  <c r="K463" i="26"/>
  <c r="I464" i="26"/>
  <c r="J464" i="26"/>
  <c r="K464" i="26"/>
  <c r="I465" i="26"/>
  <c r="J465" i="26"/>
  <c r="K465" i="26"/>
  <c r="I466" i="26"/>
  <c r="J466" i="26"/>
  <c r="K466" i="26"/>
  <c r="I467" i="26"/>
  <c r="J467" i="26"/>
  <c r="K467" i="26"/>
  <c r="I468" i="26"/>
  <c r="J468" i="26"/>
  <c r="K468" i="26"/>
  <c r="I469" i="26"/>
  <c r="J469" i="26"/>
  <c r="K469" i="26"/>
  <c r="I470" i="26"/>
  <c r="J470" i="26"/>
  <c r="K470" i="26"/>
  <c r="I471" i="26"/>
  <c r="J471" i="26"/>
  <c r="K471" i="26"/>
  <c r="I472" i="26"/>
  <c r="J472" i="26"/>
  <c r="K472" i="26"/>
  <c r="I473" i="26"/>
  <c r="J473" i="26"/>
  <c r="K473" i="26"/>
  <c r="I474" i="26"/>
  <c r="J474" i="26"/>
  <c r="K474" i="26"/>
  <c r="I475" i="26"/>
  <c r="J475" i="26"/>
  <c r="K475" i="26"/>
  <c r="I476" i="26"/>
  <c r="J476" i="26"/>
  <c r="K476" i="26"/>
  <c r="I477" i="26"/>
  <c r="J477" i="26"/>
  <c r="K477" i="26"/>
  <c r="I478" i="26"/>
  <c r="J478" i="26"/>
  <c r="K478" i="26"/>
  <c r="I479" i="26"/>
  <c r="J479" i="26"/>
  <c r="K479" i="26"/>
  <c r="I480" i="26"/>
  <c r="J480" i="26"/>
  <c r="K480" i="26"/>
  <c r="I481" i="26"/>
  <c r="J481" i="26"/>
  <c r="K481" i="26"/>
  <c r="I482" i="26"/>
  <c r="J482" i="26"/>
  <c r="K482" i="26"/>
  <c r="I483" i="26"/>
  <c r="J483" i="26"/>
  <c r="K483" i="26"/>
  <c r="I484" i="26"/>
  <c r="J484" i="26"/>
  <c r="K484" i="26"/>
  <c r="I485" i="26"/>
  <c r="J485" i="26"/>
  <c r="K485" i="26"/>
  <c r="I486" i="26"/>
  <c r="J486" i="26"/>
  <c r="K486" i="26"/>
  <c r="I487" i="26"/>
  <c r="J487" i="26"/>
  <c r="K487" i="26"/>
  <c r="I488" i="26"/>
  <c r="J488" i="26"/>
  <c r="K488" i="26"/>
  <c r="I489" i="26"/>
  <c r="J489" i="26"/>
  <c r="K489" i="26"/>
  <c r="I490" i="26"/>
  <c r="J490" i="26"/>
  <c r="K490" i="26"/>
  <c r="I491" i="26"/>
  <c r="J491" i="26"/>
  <c r="K491" i="26"/>
  <c r="I492" i="26"/>
  <c r="J492" i="26"/>
  <c r="K492" i="26"/>
  <c r="I493" i="26"/>
  <c r="J493" i="26"/>
  <c r="K493" i="26"/>
  <c r="I494" i="26"/>
  <c r="J494" i="26"/>
  <c r="K494" i="26"/>
  <c r="I495" i="26"/>
  <c r="J495" i="26"/>
  <c r="K495" i="26"/>
  <c r="I496" i="26"/>
  <c r="J496" i="26"/>
  <c r="K496" i="26"/>
  <c r="I497" i="26"/>
  <c r="J497" i="26"/>
  <c r="K497" i="26"/>
  <c r="I498" i="26"/>
  <c r="J498" i="26"/>
  <c r="K498" i="26"/>
  <c r="I499" i="26"/>
  <c r="J499" i="26"/>
  <c r="K499" i="26"/>
  <c r="I500" i="26"/>
  <c r="J500" i="26"/>
  <c r="K500" i="26"/>
  <c r="I501" i="26"/>
  <c r="J501" i="26"/>
  <c r="K501" i="26"/>
  <c r="I502" i="26"/>
  <c r="J502" i="26"/>
  <c r="K502" i="26"/>
  <c r="I503" i="26"/>
  <c r="J503" i="26"/>
  <c r="K503" i="26"/>
  <c r="I504" i="26"/>
  <c r="J504" i="26"/>
  <c r="K504" i="26"/>
  <c r="I505" i="26"/>
  <c r="J505" i="26"/>
  <c r="K505" i="26"/>
  <c r="I506" i="26"/>
  <c r="J506" i="26"/>
  <c r="K506" i="26"/>
  <c r="I507" i="26"/>
  <c r="J507" i="26"/>
  <c r="K507" i="26"/>
  <c r="I508" i="26"/>
  <c r="J508" i="26"/>
  <c r="K508" i="26"/>
  <c r="I509" i="26"/>
  <c r="J509" i="26"/>
  <c r="K509" i="26"/>
  <c r="I510" i="26"/>
  <c r="J510" i="26"/>
  <c r="K510" i="26"/>
  <c r="I511" i="26"/>
  <c r="J511" i="26"/>
  <c r="K511" i="26"/>
  <c r="I512" i="26"/>
  <c r="J512" i="26"/>
  <c r="K512" i="26"/>
  <c r="I513" i="26"/>
  <c r="J513" i="26"/>
  <c r="K513" i="26"/>
  <c r="I514" i="26"/>
  <c r="J514" i="26"/>
  <c r="K514" i="26"/>
  <c r="I515" i="26"/>
  <c r="J515" i="26"/>
  <c r="K515" i="26"/>
  <c r="I516" i="26"/>
  <c r="J516" i="26"/>
  <c r="K516" i="26"/>
  <c r="I517" i="26"/>
  <c r="J517" i="26"/>
  <c r="K517" i="26"/>
  <c r="I518" i="26"/>
  <c r="J518" i="26"/>
  <c r="K518" i="26"/>
  <c r="I519" i="26"/>
  <c r="J519" i="26"/>
  <c r="K519" i="26"/>
  <c r="I520" i="26"/>
  <c r="J520" i="26"/>
  <c r="K520" i="26"/>
  <c r="I521" i="26"/>
  <c r="J521" i="26"/>
  <c r="K521" i="26"/>
  <c r="I522" i="26"/>
  <c r="J522" i="26"/>
  <c r="K522" i="26"/>
  <c r="I523" i="26"/>
  <c r="J523" i="26"/>
  <c r="K523" i="26"/>
  <c r="I524" i="26"/>
  <c r="J524" i="26"/>
  <c r="K524" i="26"/>
  <c r="I525" i="26"/>
  <c r="J525" i="26"/>
  <c r="K525" i="26"/>
  <c r="I526" i="26"/>
  <c r="J526" i="26"/>
  <c r="K526" i="26"/>
  <c r="I527" i="26"/>
  <c r="J527" i="26"/>
  <c r="K527" i="26"/>
  <c r="I528" i="26"/>
  <c r="J528" i="26"/>
  <c r="K528" i="26"/>
  <c r="I529" i="26"/>
  <c r="J529" i="26"/>
  <c r="K529" i="26"/>
  <c r="I530" i="26"/>
  <c r="J530" i="26"/>
  <c r="K530" i="26"/>
  <c r="I531" i="26"/>
  <c r="J531" i="26"/>
  <c r="K531" i="26"/>
  <c r="I532" i="26"/>
  <c r="J532" i="26"/>
  <c r="K532" i="26"/>
  <c r="I533" i="26"/>
  <c r="J533" i="26"/>
  <c r="K533" i="26"/>
  <c r="I534" i="26"/>
  <c r="J534" i="26"/>
  <c r="K534" i="26"/>
  <c r="I535" i="26"/>
  <c r="J535" i="26"/>
  <c r="K535" i="26"/>
  <c r="I536" i="26"/>
  <c r="J536" i="26"/>
  <c r="K536" i="26"/>
  <c r="I537" i="26"/>
  <c r="J537" i="26"/>
  <c r="K537" i="26"/>
  <c r="I538" i="26"/>
  <c r="J538" i="26"/>
  <c r="K538" i="26"/>
  <c r="I539" i="26"/>
  <c r="J539" i="26"/>
  <c r="K539" i="26"/>
  <c r="I540" i="26"/>
  <c r="J540" i="26"/>
  <c r="K540" i="26"/>
  <c r="I541" i="26"/>
  <c r="J541" i="26"/>
  <c r="K541" i="26"/>
  <c r="I542" i="26"/>
  <c r="J542" i="26"/>
  <c r="K542" i="26"/>
  <c r="I543" i="26"/>
  <c r="J543" i="26"/>
  <c r="K543" i="26"/>
  <c r="B56" i="25"/>
  <c r="E55" i="25"/>
  <c r="C56" i="25"/>
  <c r="D56" i="25"/>
  <c r="E56" i="25"/>
  <c r="B57" i="25"/>
  <c r="C57" i="25"/>
  <c r="D57" i="25"/>
  <c r="E57" i="25"/>
  <c r="B58" i="25"/>
  <c r="C58" i="25"/>
  <c r="D58" i="25"/>
  <c r="E58" i="25"/>
  <c r="B59" i="25"/>
  <c r="C59" i="25"/>
  <c r="D59" i="25"/>
  <c r="E59" i="25"/>
  <c r="B60" i="25"/>
  <c r="C60" i="25"/>
  <c r="D60" i="25"/>
  <c r="E60" i="25"/>
  <c r="B61" i="25"/>
  <c r="C61" i="25"/>
  <c r="D61" i="25"/>
  <c r="E61" i="25"/>
  <c r="B62" i="25"/>
  <c r="C62" i="25"/>
  <c r="D62" i="25"/>
  <c r="E62" i="25"/>
  <c r="B63" i="25"/>
  <c r="C63" i="25"/>
  <c r="D63" i="25"/>
  <c r="E63" i="25"/>
  <c r="B64" i="25"/>
  <c r="C64" i="25"/>
  <c r="D64" i="25"/>
  <c r="E64" i="25"/>
  <c r="B65" i="25"/>
  <c r="C65" i="25"/>
  <c r="D65" i="25"/>
  <c r="E65" i="25"/>
  <c r="B66" i="25"/>
  <c r="C66" i="25"/>
  <c r="D66" i="25"/>
  <c r="E66" i="25"/>
  <c r="B67" i="25"/>
  <c r="C67" i="25"/>
  <c r="D67" i="25"/>
  <c r="E67" i="25"/>
  <c r="B68" i="25"/>
  <c r="C68" i="25"/>
  <c r="D68" i="25"/>
  <c r="E68" i="25"/>
  <c r="B69" i="25"/>
  <c r="C69" i="25"/>
  <c r="D69" i="25"/>
  <c r="E69" i="25"/>
  <c r="B70" i="25"/>
  <c r="C70" i="25"/>
  <c r="D70" i="25"/>
  <c r="E70" i="25"/>
  <c r="B71" i="25"/>
  <c r="C71" i="25"/>
  <c r="D71" i="25"/>
  <c r="E71" i="25"/>
  <c r="B72" i="25"/>
  <c r="C72" i="25"/>
  <c r="D72" i="25"/>
  <c r="E72" i="25"/>
  <c r="B73" i="25"/>
  <c r="C73" i="25"/>
  <c r="D73" i="25"/>
  <c r="E73" i="25"/>
  <c r="B74" i="25"/>
  <c r="C74" i="25"/>
  <c r="D74" i="25"/>
  <c r="E74" i="25"/>
  <c r="B75" i="25"/>
  <c r="C75" i="25"/>
  <c r="D75" i="25"/>
  <c r="E75" i="25"/>
  <c r="B76" i="25"/>
  <c r="C76" i="25"/>
  <c r="D76" i="25"/>
  <c r="E76" i="25"/>
  <c r="B77" i="25"/>
  <c r="C77" i="25"/>
  <c r="D77" i="25"/>
  <c r="E77" i="25"/>
  <c r="B78" i="25"/>
  <c r="C78" i="25"/>
  <c r="D78" i="25"/>
  <c r="E78" i="25"/>
  <c r="B79" i="25"/>
  <c r="C79" i="25"/>
  <c r="D79" i="25"/>
  <c r="E79" i="25"/>
  <c r="B80" i="25"/>
  <c r="C80" i="25"/>
  <c r="D80" i="25"/>
  <c r="E80" i="25"/>
  <c r="B81" i="25"/>
  <c r="C81" i="25"/>
  <c r="D81" i="25"/>
  <c r="E81" i="25"/>
  <c r="B82" i="25"/>
  <c r="C82" i="25"/>
  <c r="D82" i="25"/>
  <c r="E82" i="25"/>
  <c r="B83" i="25"/>
  <c r="C83" i="25"/>
  <c r="D83" i="25"/>
  <c r="E83" i="25"/>
  <c r="B84" i="25"/>
  <c r="C84" i="25"/>
  <c r="D84" i="25"/>
  <c r="E84" i="25"/>
  <c r="B85" i="25"/>
  <c r="C85" i="25"/>
  <c r="D85" i="25"/>
  <c r="E85" i="25"/>
  <c r="B86" i="25"/>
  <c r="C86" i="25"/>
  <c r="D86" i="25"/>
  <c r="E86" i="25"/>
  <c r="B87" i="25"/>
  <c r="C87" i="25"/>
  <c r="D87" i="25"/>
  <c r="E87" i="25"/>
  <c r="B88" i="25"/>
  <c r="C88" i="25"/>
  <c r="D88" i="25"/>
  <c r="E88" i="25"/>
  <c r="B89" i="25"/>
  <c r="C89" i="25"/>
  <c r="D89" i="25"/>
  <c r="E89" i="25"/>
  <c r="B90" i="25"/>
  <c r="C90" i="25"/>
  <c r="D90" i="25"/>
  <c r="E90" i="25"/>
  <c r="B91" i="25"/>
  <c r="C91" i="25"/>
  <c r="D91" i="25"/>
  <c r="E91" i="25"/>
  <c r="B92" i="25"/>
  <c r="C92" i="25"/>
  <c r="D92" i="25"/>
  <c r="E92" i="25"/>
  <c r="B93" i="25"/>
  <c r="C93" i="25"/>
  <c r="D93" i="25"/>
  <c r="E93" i="25"/>
  <c r="B94" i="25"/>
  <c r="C94" i="25"/>
  <c r="D94" i="25"/>
  <c r="E94" i="25"/>
  <c r="B95" i="25"/>
  <c r="C95" i="25"/>
  <c r="D95" i="25"/>
  <c r="E95" i="25"/>
  <c r="B96" i="25"/>
  <c r="C96" i="25"/>
  <c r="D96" i="25"/>
  <c r="E96" i="25"/>
  <c r="B97" i="25"/>
  <c r="C97" i="25"/>
  <c r="D97" i="25"/>
  <c r="E97" i="25"/>
  <c r="B98" i="25"/>
  <c r="C98" i="25"/>
  <c r="D98" i="25"/>
  <c r="E98" i="25"/>
  <c r="B99" i="25"/>
  <c r="C99" i="25"/>
  <c r="D99" i="25"/>
  <c r="E99" i="25"/>
  <c r="B100" i="25"/>
  <c r="C100" i="25"/>
  <c r="D100" i="25"/>
  <c r="E100" i="25"/>
  <c r="B101" i="25"/>
  <c r="C101" i="25"/>
  <c r="D101" i="25"/>
  <c r="E101" i="25"/>
  <c r="B102" i="25"/>
  <c r="C102" i="25"/>
  <c r="D102" i="25"/>
  <c r="E102" i="25"/>
  <c r="B103" i="25"/>
  <c r="C103" i="25"/>
  <c r="D103" i="25"/>
  <c r="E103" i="25"/>
  <c r="B104" i="25"/>
  <c r="C104" i="25"/>
  <c r="D104" i="25"/>
  <c r="E104" i="25"/>
  <c r="B105" i="25"/>
  <c r="C105" i="25"/>
  <c r="D105" i="25"/>
  <c r="E105" i="25"/>
  <c r="B106" i="25"/>
  <c r="C106" i="25"/>
  <c r="D106" i="25"/>
  <c r="E106" i="25"/>
  <c r="B107" i="25"/>
  <c r="C107" i="25"/>
  <c r="D107" i="25"/>
  <c r="E107" i="25"/>
  <c r="B108" i="25"/>
  <c r="C108" i="25"/>
  <c r="D108" i="25"/>
  <c r="E108" i="25"/>
  <c r="B109" i="25"/>
  <c r="C109" i="25"/>
  <c r="D109" i="25"/>
  <c r="E109" i="25"/>
  <c r="B110" i="25"/>
  <c r="C110" i="25"/>
  <c r="D110" i="25"/>
  <c r="E110" i="25"/>
  <c r="B111" i="25"/>
  <c r="C111" i="25"/>
  <c r="D111" i="25"/>
  <c r="E111" i="25"/>
  <c r="B112" i="25"/>
  <c r="C112" i="25"/>
  <c r="D112" i="25"/>
  <c r="E112" i="25"/>
  <c r="B113" i="25"/>
  <c r="C113" i="25"/>
  <c r="D113" i="25"/>
  <c r="E113" i="25"/>
  <c r="B114" i="25"/>
  <c r="C114" i="25"/>
  <c r="D114" i="25"/>
  <c r="E114" i="25"/>
  <c r="B115" i="25"/>
  <c r="C115" i="25"/>
  <c r="D115" i="25"/>
  <c r="E115" i="25"/>
  <c r="B116" i="25"/>
  <c r="C116" i="25"/>
  <c r="D116" i="25"/>
  <c r="E116" i="25"/>
  <c r="B117" i="25"/>
  <c r="C117" i="25"/>
  <c r="D117" i="25"/>
  <c r="E117" i="25"/>
  <c r="B118" i="25"/>
  <c r="C118" i="25"/>
  <c r="D118" i="25"/>
  <c r="E118" i="25"/>
  <c r="B119" i="25"/>
  <c r="C119" i="25"/>
  <c r="D119" i="25"/>
  <c r="E119" i="25"/>
  <c r="B120" i="25"/>
  <c r="C120" i="25"/>
  <c r="D120" i="25"/>
  <c r="E120" i="25"/>
  <c r="B121" i="25"/>
  <c r="C121" i="25"/>
  <c r="D121" i="25"/>
  <c r="E121" i="25"/>
  <c r="B122" i="25"/>
  <c r="C122" i="25"/>
  <c r="D122" i="25"/>
  <c r="E122" i="25"/>
  <c r="B123" i="25"/>
  <c r="C123" i="25"/>
  <c r="D123" i="25"/>
  <c r="E123" i="25"/>
  <c r="B124" i="25"/>
  <c r="C124" i="25"/>
  <c r="D124" i="25"/>
  <c r="E124" i="25"/>
  <c r="B125" i="25"/>
  <c r="C125" i="25"/>
  <c r="D125" i="25"/>
  <c r="E125" i="25"/>
  <c r="B126" i="25"/>
  <c r="C126" i="25"/>
  <c r="D126" i="25"/>
  <c r="E126" i="25"/>
  <c r="B127" i="25"/>
  <c r="C127" i="25"/>
  <c r="D127" i="25"/>
  <c r="E127" i="25"/>
  <c r="B128" i="25"/>
  <c r="C128" i="25"/>
  <c r="D128" i="25"/>
  <c r="E128" i="25"/>
  <c r="B129" i="25"/>
  <c r="C129" i="25"/>
  <c r="D129" i="25"/>
  <c r="E129" i="25"/>
  <c r="B130" i="25"/>
  <c r="C130" i="25"/>
  <c r="D130" i="25"/>
  <c r="E130" i="25"/>
  <c r="B131" i="25"/>
  <c r="C131" i="25"/>
  <c r="D131" i="25"/>
  <c r="E131" i="25"/>
  <c r="B132" i="25"/>
  <c r="C132" i="25"/>
  <c r="D132" i="25"/>
  <c r="E132" i="25"/>
  <c r="B133" i="25"/>
  <c r="C133" i="25"/>
  <c r="D133" i="25"/>
  <c r="E133" i="25"/>
  <c r="B134" i="25"/>
  <c r="C134" i="25"/>
  <c r="D134" i="25"/>
  <c r="E134" i="25"/>
  <c r="B135" i="25"/>
  <c r="C135" i="25"/>
  <c r="D135" i="25"/>
  <c r="E135" i="25"/>
  <c r="B136" i="25"/>
  <c r="C136" i="25"/>
  <c r="D136" i="25"/>
  <c r="E136" i="25"/>
  <c r="B137" i="25"/>
  <c r="C137" i="25"/>
  <c r="D137" i="25"/>
  <c r="E137" i="25"/>
  <c r="B138" i="25"/>
  <c r="C138" i="25"/>
  <c r="D138" i="25"/>
  <c r="E138" i="25"/>
  <c r="B139" i="25"/>
  <c r="C139" i="25"/>
  <c r="D139" i="25"/>
  <c r="E139" i="25"/>
  <c r="B140" i="25"/>
  <c r="C140" i="25"/>
  <c r="D140" i="25"/>
  <c r="E140" i="25"/>
  <c r="B141" i="25"/>
  <c r="C141" i="25"/>
  <c r="D141" i="25"/>
  <c r="E141" i="25"/>
  <c r="B142" i="25"/>
  <c r="C142" i="25"/>
  <c r="D142" i="25"/>
  <c r="E142" i="25"/>
  <c r="B143" i="25"/>
  <c r="C143" i="25"/>
  <c r="D143" i="25"/>
  <c r="E143" i="25"/>
  <c r="B144" i="25"/>
  <c r="C144" i="25"/>
  <c r="D144" i="25"/>
  <c r="E144" i="25"/>
  <c r="B145" i="25"/>
  <c r="C145" i="25"/>
  <c r="D145" i="25"/>
  <c r="E145" i="25"/>
  <c r="B146" i="25"/>
  <c r="C146" i="25"/>
  <c r="D146" i="25"/>
  <c r="E146" i="25"/>
  <c r="B147" i="25"/>
  <c r="C147" i="25"/>
  <c r="D147" i="25"/>
  <c r="E147" i="25"/>
  <c r="B148" i="25"/>
  <c r="C148" i="25"/>
  <c r="D148" i="25"/>
  <c r="E148" i="25"/>
  <c r="B149" i="25"/>
  <c r="C149" i="25"/>
  <c r="D149" i="25"/>
  <c r="E149" i="25"/>
  <c r="B150" i="25"/>
  <c r="C150" i="25"/>
  <c r="D150" i="25"/>
  <c r="E150" i="25"/>
  <c r="B151" i="25"/>
  <c r="C151" i="25"/>
  <c r="D151" i="25"/>
  <c r="E151" i="25"/>
  <c r="B152" i="25"/>
  <c r="C152" i="25"/>
  <c r="D152" i="25"/>
  <c r="E152" i="25"/>
  <c r="B153" i="25"/>
  <c r="C153" i="25"/>
  <c r="D153" i="25"/>
  <c r="E153" i="25"/>
  <c r="B154" i="25"/>
  <c r="C154" i="25"/>
  <c r="D154" i="25"/>
  <c r="E154" i="25"/>
  <c r="B155" i="25"/>
  <c r="C155" i="25"/>
  <c r="D155" i="25"/>
  <c r="E155" i="25"/>
  <c r="B156" i="25"/>
  <c r="C156" i="25"/>
  <c r="D156" i="25"/>
  <c r="E156" i="25"/>
  <c r="B157" i="25"/>
  <c r="C157" i="25"/>
  <c r="D157" i="25"/>
  <c r="E157" i="25"/>
  <c r="B158" i="25"/>
  <c r="C158" i="25"/>
  <c r="D158" i="25"/>
  <c r="E158" i="25"/>
  <c r="B159" i="25"/>
  <c r="C159" i="25"/>
  <c r="D159" i="25"/>
  <c r="E159" i="25"/>
  <c r="B160" i="25"/>
  <c r="C160" i="25"/>
  <c r="D160" i="25"/>
  <c r="E160" i="25"/>
  <c r="B161" i="25"/>
  <c r="C161" i="25"/>
  <c r="D161" i="25"/>
  <c r="E161" i="25"/>
  <c r="B162" i="25"/>
  <c r="C162" i="25"/>
  <c r="D162" i="25"/>
  <c r="E162" i="25"/>
  <c r="B163" i="25"/>
  <c r="C163" i="25"/>
  <c r="D163" i="25"/>
  <c r="E163" i="25"/>
  <c r="B164" i="25"/>
  <c r="C164" i="25"/>
  <c r="D164" i="25"/>
  <c r="E164" i="25"/>
  <c r="B165" i="25"/>
  <c r="C165" i="25"/>
  <c r="D165" i="25"/>
  <c r="E165" i="25"/>
  <c r="B166" i="25"/>
  <c r="C166" i="25"/>
  <c r="D166" i="25"/>
  <c r="E166" i="25"/>
  <c r="B167" i="25"/>
  <c r="C167" i="25"/>
  <c r="D167" i="25"/>
  <c r="E167" i="25"/>
  <c r="B168" i="25"/>
  <c r="C168" i="25"/>
  <c r="D168" i="25"/>
  <c r="E168" i="25"/>
  <c r="B169" i="25"/>
  <c r="C169" i="25"/>
  <c r="D169" i="25"/>
  <c r="E169" i="25"/>
  <c r="B170" i="25"/>
  <c r="C170" i="25"/>
  <c r="D170" i="25"/>
  <c r="E170" i="25"/>
  <c r="B171" i="25"/>
  <c r="C171" i="25"/>
  <c r="D171" i="25"/>
  <c r="E171" i="25"/>
  <c r="B172" i="25"/>
  <c r="C172" i="25"/>
  <c r="D172" i="25"/>
  <c r="E172" i="25"/>
  <c r="B173" i="25"/>
  <c r="C173" i="25"/>
  <c r="D173" i="25"/>
  <c r="E173" i="25"/>
  <c r="B174" i="25"/>
  <c r="C174" i="25"/>
  <c r="D174" i="25"/>
  <c r="E174" i="25"/>
  <c r="B175" i="25"/>
  <c r="C175" i="25"/>
  <c r="D175" i="25"/>
  <c r="E175" i="25"/>
  <c r="B176" i="25"/>
  <c r="C176" i="25"/>
  <c r="D176" i="25"/>
  <c r="E176" i="25"/>
  <c r="B177" i="25"/>
  <c r="C177" i="25"/>
  <c r="D177" i="25"/>
  <c r="E177" i="25"/>
  <c r="B178" i="25"/>
  <c r="C178" i="25"/>
  <c r="D178" i="25"/>
  <c r="E178" i="25"/>
  <c r="B179" i="25"/>
  <c r="C179" i="25"/>
  <c r="D179" i="25"/>
  <c r="E179" i="25"/>
  <c r="B180" i="25"/>
  <c r="C180" i="25"/>
  <c r="D180" i="25"/>
  <c r="E180" i="25"/>
  <c r="B181" i="25"/>
  <c r="C181" i="25"/>
  <c r="D181" i="25"/>
  <c r="E181" i="25"/>
  <c r="B182" i="25"/>
  <c r="C182" i="25"/>
  <c r="D182" i="25"/>
  <c r="E182" i="25"/>
  <c r="B183" i="25"/>
  <c r="C183" i="25"/>
  <c r="D183" i="25"/>
  <c r="E183" i="25"/>
  <c r="B184" i="25"/>
  <c r="C184" i="25"/>
  <c r="D184" i="25"/>
  <c r="E184" i="25"/>
  <c r="B185" i="25"/>
  <c r="C185" i="25"/>
  <c r="D185" i="25"/>
  <c r="E185" i="25"/>
  <c r="B186" i="25"/>
  <c r="C186" i="25"/>
  <c r="D186" i="25"/>
  <c r="E186" i="25"/>
  <c r="B187" i="25"/>
  <c r="C187" i="25"/>
  <c r="D187" i="25"/>
  <c r="E187" i="25"/>
  <c r="B188" i="25"/>
  <c r="C188" i="25"/>
  <c r="D188" i="25"/>
  <c r="E188" i="25"/>
  <c r="B189" i="25"/>
  <c r="C189" i="25"/>
  <c r="D189" i="25"/>
  <c r="E189" i="25"/>
  <c r="B190" i="25"/>
  <c r="C190" i="25"/>
  <c r="D190" i="25"/>
  <c r="E190" i="25"/>
  <c r="B191" i="25"/>
  <c r="C191" i="25"/>
  <c r="D191" i="25"/>
  <c r="E191" i="25"/>
  <c r="B192" i="25"/>
  <c r="C192" i="25"/>
  <c r="D192" i="25"/>
  <c r="E192" i="25"/>
  <c r="B193" i="25"/>
  <c r="C193" i="25"/>
  <c r="D193" i="25"/>
  <c r="E193" i="25"/>
  <c r="B194" i="25"/>
  <c r="C194" i="25"/>
  <c r="D194" i="25"/>
  <c r="E194" i="25"/>
  <c r="B195" i="25"/>
  <c r="C195" i="25"/>
  <c r="D195" i="25"/>
  <c r="E195" i="25"/>
  <c r="B196" i="25"/>
  <c r="C196" i="25"/>
  <c r="D196" i="25"/>
  <c r="E196" i="25"/>
  <c r="B197" i="25"/>
  <c r="C197" i="25"/>
  <c r="D197" i="25"/>
  <c r="E197" i="25"/>
  <c r="B198" i="25"/>
  <c r="C198" i="25"/>
  <c r="D198" i="25"/>
  <c r="E198" i="25"/>
  <c r="B199" i="25"/>
  <c r="C199" i="25"/>
  <c r="D199" i="25"/>
  <c r="E199" i="25"/>
  <c r="B200" i="25"/>
  <c r="C200" i="25"/>
  <c r="D200" i="25"/>
  <c r="E200" i="25"/>
  <c r="B201" i="25"/>
  <c r="C201" i="25"/>
  <c r="D201" i="25"/>
  <c r="E201" i="25"/>
  <c r="B202" i="25"/>
  <c r="C202" i="25"/>
  <c r="D202" i="25"/>
  <c r="E202" i="25"/>
  <c r="B203" i="25"/>
  <c r="C203" i="25"/>
  <c r="D203" i="25"/>
  <c r="E203" i="25"/>
  <c r="B204" i="25"/>
  <c r="C204" i="25"/>
  <c r="D204" i="25"/>
  <c r="E204" i="25"/>
  <c r="B205" i="25"/>
  <c r="C205" i="25"/>
  <c r="D205" i="25"/>
  <c r="E205" i="25"/>
  <c r="B206" i="25"/>
  <c r="C206" i="25"/>
  <c r="D206" i="25"/>
  <c r="E206" i="25"/>
  <c r="B207" i="25"/>
  <c r="C207" i="25"/>
  <c r="D207" i="25"/>
  <c r="E207" i="25"/>
  <c r="B208" i="25"/>
  <c r="C208" i="25"/>
  <c r="D208" i="25"/>
  <c r="E208" i="25"/>
  <c r="B209" i="25"/>
  <c r="C209" i="25"/>
  <c r="D209" i="25"/>
  <c r="E209" i="25"/>
  <c r="B210" i="25"/>
  <c r="C210" i="25"/>
  <c r="D210" i="25"/>
  <c r="E210" i="25"/>
  <c r="B211" i="25"/>
  <c r="C211" i="25"/>
  <c r="D211" i="25"/>
  <c r="E211" i="25"/>
  <c r="B212" i="25"/>
  <c r="C212" i="25"/>
  <c r="D212" i="25"/>
  <c r="E212" i="25"/>
  <c r="B213" i="25"/>
  <c r="C213" i="25"/>
  <c r="D213" i="25"/>
  <c r="E213" i="25"/>
  <c r="B214" i="25"/>
  <c r="C214" i="25"/>
  <c r="D214" i="25"/>
  <c r="E214" i="25"/>
  <c r="B215" i="25"/>
  <c r="C215" i="25"/>
  <c r="D215" i="25"/>
  <c r="E215" i="25"/>
  <c r="B216" i="25"/>
  <c r="C216" i="25"/>
  <c r="D216" i="25"/>
  <c r="E216" i="25"/>
  <c r="B217" i="25"/>
  <c r="C217" i="25"/>
  <c r="D217" i="25"/>
  <c r="E217" i="25"/>
  <c r="B218" i="25"/>
  <c r="C218" i="25"/>
  <c r="D218" i="25"/>
  <c r="E218" i="25"/>
  <c r="B219" i="25"/>
  <c r="C219" i="25"/>
  <c r="D219" i="25"/>
  <c r="E219" i="25"/>
  <c r="B220" i="25"/>
  <c r="C220" i="25"/>
  <c r="D220" i="25"/>
  <c r="E220" i="25"/>
  <c r="B221" i="25"/>
  <c r="C221" i="25"/>
  <c r="D221" i="25"/>
  <c r="E221" i="25"/>
  <c r="B222" i="25"/>
  <c r="C222" i="25"/>
  <c r="D222" i="25"/>
  <c r="E222" i="25"/>
  <c r="B223" i="25"/>
  <c r="C223" i="25"/>
  <c r="D223" i="25"/>
  <c r="E223" i="25"/>
  <c r="B224" i="25"/>
  <c r="C224" i="25"/>
  <c r="D224" i="25"/>
  <c r="E224" i="25"/>
  <c r="B225" i="25"/>
  <c r="C225" i="25"/>
  <c r="D225" i="25"/>
  <c r="E225" i="25"/>
  <c r="B226" i="25"/>
  <c r="C226" i="25"/>
  <c r="D226" i="25"/>
  <c r="E226" i="25"/>
  <c r="B227" i="25"/>
  <c r="C227" i="25"/>
  <c r="D227" i="25"/>
  <c r="E227" i="25"/>
  <c r="B228" i="25"/>
  <c r="C228" i="25"/>
  <c r="D228" i="25"/>
  <c r="E228" i="25"/>
  <c r="B229" i="25"/>
  <c r="C229" i="25"/>
  <c r="D229" i="25"/>
  <c r="E229" i="25"/>
  <c r="B230" i="25"/>
  <c r="C230" i="25"/>
  <c r="D230" i="25"/>
  <c r="E230" i="25"/>
  <c r="B231" i="25"/>
  <c r="C231" i="25"/>
  <c r="D231" i="25"/>
  <c r="E231" i="25"/>
  <c r="B232" i="25"/>
  <c r="C232" i="25"/>
  <c r="D232" i="25"/>
  <c r="E232" i="25"/>
  <c r="B233" i="25"/>
  <c r="C233" i="25"/>
  <c r="D233" i="25"/>
  <c r="E233" i="25"/>
  <c r="B234" i="25"/>
  <c r="C234" i="25"/>
  <c r="D234" i="25"/>
  <c r="E234" i="25"/>
  <c r="B235" i="25"/>
  <c r="C235" i="25"/>
  <c r="D235" i="25"/>
  <c r="E235" i="25"/>
  <c r="B236" i="25"/>
  <c r="C236" i="25"/>
  <c r="D236" i="25"/>
  <c r="E236" i="25"/>
  <c r="B237" i="25"/>
  <c r="C237" i="25"/>
  <c r="D237" i="25"/>
  <c r="E237" i="25"/>
  <c r="B238" i="25"/>
  <c r="C238" i="25"/>
  <c r="D238" i="25"/>
  <c r="E238" i="25"/>
  <c r="B239" i="25"/>
  <c r="C239" i="25"/>
  <c r="D239" i="25"/>
  <c r="E239" i="25"/>
  <c r="B240" i="25"/>
  <c r="C240" i="25"/>
  <c r="D240" i="25"/>
  <c r="E240" i="25"/>
  <c r="B241" i="25"/>
  <c r="C241" i="25"/>
  <c r="D241" i="25"/>
  <c r="E241" i="25"/>
  <c r="B242" i="25"/>
  <c r="C242" i="25"/>
  <c r="D242" i="25"/>
  <c r="E242" i="25"/>
  <c r="B243" i="25"/>
  <c r="C243" i="25"/>
  <c r="D243" i="25"/>
  <c r="E243" i="25"/>
  <c r="B244" i="25"/>
  <c r="C244" i="25"/>
  <c r="D244" i="25"/>
  <c r="E244" i="25"/>
  <c r="B245" i="25"/>
  <c r="C245" i="25"/>
  <c r="D245" i="25"/>
  <c r="E245" i="25"/>
  <c r="B246" i="25"/>
  <c r="C246" i="25"/>
  <c r="D246" i="25"/>
  <c r="E246" i="25"/>
  <c r="B247" i="25"/>
  <c r="C247" i="25"/>
  <c r="D247" i="25"/>
  <c r="E247" i="25"/>
  <c r="B248" i="25"/>
  <c r="C248" i="25"/>
  <c r="D248" i="25"/>
  <c r="E248" i="25"/>
  <c r="B249" i="25"/>
  <c r="C249" i="25"/>
  <c r="D249" i="25"/>
  <c r="E249" i="25"/>
  <c r="B250" i="25"/>
  <c r="C250" i="25"/>
  <c r="D250" i="25"/>
  <c r="E250" i="25"/>
  <c r="B251" i="25"/>
  <c r="C251" i="25"/>
  <c r="D251" i="25"/>
  <c r="E251" i="25"/>
  <c r="B252" i="25"/>
  <c r="C252" i="25"/>
  <c r="D252" i="25"/>
  <c r="E252" i="25"/>
  <c r="B253" i="25"/>
  <c r="C253" i="25"/>
  <c r="D253" i="25"/>
  <c r="E253" i="25"/>
  <c r="B254" i="25"/>
  <c r="C254" i="25"/>
  <c r="D254" i="25"/>
  <c r="E254" i="25"/>
  <c r="B255" i="25"/>
  <c r="C255" i="25"/>
  <c r="D255" i="25"/>
  <c r="E255" i="25"/>
  <c r="B256" i="25"/>
  <c r="C256" i="25"/>
  <c r="D256" i="25"/>
  <c r="E256" i="25"/>
  <c r="B257" i="25"/>
  <c r="C257" i="25"/>
  <c r="D257" i="25"/>
  <c r="E257" i="25"/>
  <c r="B258" i="25"/>
  <c r="C258" i="25"/>
  <c r="D258" i="25"/>
  <c r="E258" i="25"/>
  <c r="B259" i="25"/>
  <c r="C259" i="25"/>
  <c r="D259" i="25"/>
  <c r="E259" i="25"/>
  <c r="B260" i="25"/>
  <c r="C260" i="25"/>
  <c r="D260" i="25"/>
  <c r="E260" i="25"/>
  <c r="B261" i="25"/>
  <c r="C261" i="25"/>
  <c r="D261" i="25"/>
  <c r="E261" i="25"/>
  <c r="B262" i="25"/>
  <c r="C262" i="25"/>
  <c r="D262" i="25"/>
  <c r="E262" i="25"/>
  <c r="B263" i="25"/>
  <c r="C263" i="25"/>
  <c r="D263" i="25"/>
  <c r="E263" i="25"/>
  <c r="B264" i="25"/>
  <c r="C264" i="25"/>
  <c r="D264" i="25"/>
  <c r="E264" i="25"/>
  <c r="B265" i="25"/>
  <c r="C265" i="25"/>
  <c r="D265" i="25"/>
  <c r="E265" i="25"/>
  <c r="B266" i="25"/>
  <c r="C266" i="25"/>
  <c r="D266" i="25"/>
  <c r="E266" i="25"/>
  <c r="B267" i="25"/>
  <c r="C267" i="25"/>
  <c r="D267" i="25"/>
  <c r="E267" i="25"/>
  <c r="B268" i="25"/>
  <c r="C268" i="25"/>
  <c r="D268" i="25"/>
  <c r="E268" i="25"/>
  <c r="B269" i="25"/>
  <c r="C269" i="25"/>
  <c r="D269" i="25"/>
  <c r="E269" i="25"/>
  <c r="B270" i="25"/>
  <c r="C270" i="25"/>
  <c r="D270" i="25"/>
  <c r="E270" i="25"/>
  <c r="B271" i="25"/>
  <c r="C271" i="25"/>
  <c r="D271" i="25"/>
  <c r="E271" i="25"/>
  <c r="B272" i="25"/>
  <c r="C272" i="25"/>
  <c r="D272" i="25"/>
  <c r="E272" i="25"/>
  <c r="B273" i="25"/>
  <c r="C273" i="25"/>
  <c r="D273" i="25"/>
  <c r="E273" i="25"/>
  <c r="B274" i="25"/>
  <c r="C274" i="25"/>
  <c r="D274" i="25"/>
  <c r="E274" i="25"/>
  <c r="B275" i="25"/>
  <c r="C275" i="25"/>
  <c r="D275" i="25"/>
  <c r="E275" i="25"/>
  <c r="B276" i="25"/>
  <c r="C276" i="25"/>
  <c r="D276" i="25"/>
  <c r="E276" i="25"/>
  <c r="B277" i="25"/>
  <c r="C277" i="25"/>
  <c r="D277" i="25"/>
  <c r="E277" i="25"/>
  <c r="B278" i="25"/>
  <c r="C278" i="25"/>
  <c r="D278" i="25"/>
  <c r="E278" i="25"/>
  <c r="B279" i="25"/>
  <c r="C279" i="25"/>
  <c r="D279" i="25"/>
  <c r="E279" i="25"/>
  <c r="B280" i="25"/>
  <c r="C280" i="25"/>
  <c r="D280" i="25"/>
  <c r="E280" i="25"/>
  <c r="B281" i="25"/>
  <c r="C281" i="25"/>
  <c r="D281" i="25"/>
  <c r="E281" i="25"/>
  <c r="B282" i="25"/>
  <c r="C282" i="25"/>
  <c r="D282" i="25"/>
  <c r="E282" i="25"/>
  <c r="B283" i="25"/>
  <c r="C283" i="25"/>
  <c r="D283" i="25"/>
  <c r="E283" i="25"/>
  <c r="B284" i="25"/>
  <c r="C284" i="25"/>
  <c r="D284" i="25"/>
  <c r="E284" i="25"/>
  <c r="B285" i="25"/>
  <c r="C285" i="25"/>
  <c r="D285" i="25"/>
  <c r="E285" i="25"/>
  <c r="B286" i="25"/>
  <c r="C286" i="25"/>
  <c r="D286" i="25"/>
  <c r="E286" i="25"/>
  <c r="B287" i="25"/>
  <c r="C287" i="25"/>
  <c r="D287" i="25"/>
  <c r="E287" i="25"/>
  <c r="B288" i="25"/>
  <c r="C288" i="25"/>
  <c r="D288" i="25"/>
  <c r="E288" i="25"/>
  <c r="B289" i="25"/>
  <c r="C289" i="25"/>
  <c r="D289" i="25"/>
  <c r="E289" i="25"/>
  <c r="B290" i="25"/>
  <c r="C290" i="25"/>
  <c r="D290" i="25"/>
  <c r="E290" i="25"/>
  <c r="B291" i="25"/>
  <c r="C291" i="25"/>
  <c r="D291" i="25"/>
  <c r="E291" i="25"/>
  <c r="B292" i="25"/>
  <c r="C292" i="25"/>
  <c r="D292" i="25"/>
  <c r="E292" i="25"/>
  <c r="B293" i="25"/>
  <c r="C293" i="25"/>
  <c r="D293" i="25"/>
  <c r="E293" i="25"/>
  <c r="B294" i="25"/>
  <c r="C294" i="25"/>
  <c r="D294" i="25"/>
  <c r="E294" i="25"/>
  <c r="B295" i="25"/>
  <c r="C295" i="25"/>
  <c r="D295" i="25"/>
  <c r="E295" i="25"/>
  <c r="B296" i="25"/>
  <c r="C296" i="25"/>
  <c r="D296" i="25"/>
  <c r="E296" i="25"/>
  <c r="B297" i="25"/>
  <c r="C297" i="25"/>
  <c r="D297" i="25"/>
  <c r="E297" i="25"/>
  <c r="B298" i="25"/>
  <c r="C298" i="25"/>
  <c r="D298" i="25"/>
  <c r="E298" i="25"/>
  <c r="B299" i="25"/>
  <c r="C299" i="25"/>
  <c r="D299" i="25"/>
  <c r="E299" i="25"/>
  <c r="B300" i="25"/>
  <c r="C300" i="25"/>
  <c r="D300" i="25"/>
  <c r="E300" i="25"/>
  <c r="B301" i="25"/>
  <c r="C301" i="25"/>
  <c r="D301" i="25"/>
  <c r="E301" i="25"/>
  <c r="B302" i="25"/>
  <c r="C302" i="25"/>
  <c r="D302" i="25"/>
  <c r="E302" i="25"/>
  <c r="B303" i="25"/>
  <c r="C303" i="25"/>
  <c r="D303" i="25"/>
  <c r="E303" i="25"/>
  <c r="B304" i="25"/>
  <c r="C304" i="25"/>
  <c r="D304" i="25"/>
  <c r="E304" i="25"/>
  <c r="B305" i="25"/>
  <c r="C305" i="25"/>
  <c r="D305" i="25"/>
  <c r="E305" i="25"/>
  <c r="B306" i="25"/>
  <c r="C306" i="25"/>
  <c r="D306" i="25"/>
  <c r="E306" i="25"/>
  <c r="B307" i="25"/>
  <c r="C307" i="25"/>
  <c r="D307" i="25"/>
  <c r="E307" i="25"/>
  <c r="B308" i="25"/>
  <c r="C308" i="25"/>
  <c r="D308" i="25"/>
  <c r="E308" i="25"/>
  <c r="B309" i="25"/>
  <c r="C309" i="25"/>
  <c r="D309" i="25"/>
  <c r="E309" i="25"/>
  <c r="B310" i="25"/>
  <c r="C310" i="25"/>
  <c r="D310" i="25"/>
  <c r="E310" i="25"/>
  <c r="B311" i="25"/>
  <c r="C311" i="25"/>
  <c r="D311" i="25"/>
  <c r="E311" i="25"/>
  <c r="B312" i="25"/>
  <c r="C312" i="25"/>
  <c r="D312" i="25"/>
  <c r="E312" i="25"/>
  <c r="B313" i="25"/>
  <c r="C313" i="25"/>
  <c r="D313" i="25"/>
  <c r="E313" i="25"/>
  <c r="B314" i="25"/>
  <c r="C314" i="25"/>
  <c r="D314" i="25"/>
  <c r="E314" i="25"/>
  <c r="B315" i="25"/>
  <c r="C315" i="25"/>
  <c r="D315" i="25"/>
  <c r="E315" i="25"/>
  <c r="B316" i="25"/>
  <c r="C316" i="25"/>
  <c r="D316" i="25"/>
  <c r="E316" i="25"/>
  <c r="B317" i="25"/>
  <c r="C317" i="25"/>
  <c r="D317" i="25"/>
  <c r="E317" i="25"/>
  <c r="B318" i="25"/>
  <c r="C318" i="25"/>
  <c r="D318" i="25"/>
  <c r="E318" i="25"/>
  <c r="B319" i="25"/>
  <c r="C319" i="25"/>
  <c r="D319" i="25"/>
  <c r="E319" i="25"/>
  <c r="B320" i="25"/>
  <c r="C320" i="25"/>
  <c r="D320" i="25"/>
  <c r="E320" i="25"/>
  <c r="B321" i="25"/>
  <c r="C321" i="25"/>
  <c r="D321" i="25"/>
  <c r="E321" i="25"/>
  <c r="B322" i="25"/>
  <c r="C322" i="25"/>
  <c r="D322" i="25"/>
  <c r="E322" i="25"/>
  <c r="B323" i="25"/>
  <c r="C323" i="25"/>
  <c r="D323" i="25"/>
  <c r="E323" i="25"/>
  <c r="B324" i="25"/>
  <c r="C324" i="25"/>
  <c r="D324" i="25"/>
  <c r="E324" i="25"/>
  <c r="B325" i="25"/>
  <c r="C325" i="25"/>
  <c r="D325" i="25"/>
  <c r="E325" i="25"/>
  <c r="B326" i="25"/>
  <c r="C326" i="25"/>
  <c r="D326" i="25"/>
  <c r="E326" i="25"/>
  <c r="B327" i="25"/>
  <c r="C327" i="25"/>
  <c r="D327" i="25"/>
  <c r="E327" i="25"/>
  <c r="B328" i="25"/>
  <c r="C328" i="25"/>
  <c r="D328" i="25"/>
  <c r="E328" i="25"/>
  <c r="B329" i="25"/>
  <c r="C329" i="25"/>
  <c r="D329" i="25"/>
  <c r="E329" i="25"/>
  <c r="B330" i="25"/>
  <c r="C330" i="25"/>
  <c r="D330" i="25"/>
  <c r="E330" i="25"/>
  <c r="B331" i="25"/>
  <c r="C331" i="25"/>
  <c r="D331" i="25"/>
  <c r="E331" i="25"/>
  <c r="B332" i="25"/>
  <c r="C332" i="25"/>
  <c r="D332" i="25"/>
  <c r="E332" i="25"/>
  <c r="B333" i="25"/>
  <c r="C333" i="25"/>
  <c r="D333" i="25"/>
  <c r="E333" i="25"/>
  <c r="B334" i="25"/>
  <c r="C334" i="25"/>
  <c r="D334" i="25"/>
  <c r="E334" i="25"/>
  <c r="B335" i="25"/>
  <c r="C335" i="25"/>
  <c r="D335" i="25"/>
  <c r="E335" i="25"/>
  <c r="B336" i="25"/>
  <c r="C336" i="25"/>
  <c r="D336" i="25"/>
  <c r="E336" i="25"/>
  <c r="B337" i="25"/>
  <c r="C337" i="25"/>
  <c r="D337" i="25"/>
  <c r="E337" i="25"/>
  <c r="B338" i="25"/>
  <c r="C338" i="25"/>
  <c r="D338" i="25"/>
  <c r="E338" i="25"/>
  <c r="B339" i="25"/>
  <c r="C339" i="25"/>
  <c r="D339" i="25"/>
  <c r="E339" i="25"/>
  <c r="B340" i="25"/>
  <c r="C340" i="25"/>
  <c r="D340" i="25"/>
  <c r="E340" i="25"/>
  <c r="B341" i="25"/>
  <c r="C341" i="25"/>
  <c r="D341" i="25"/>
  <c r="E341" i="25"/>
  <c r="B342" i="25"/>
  <c r="C342" i="25"/>
  <c r="D342" i="25"/>
  <c r="E342" i="25"/>
  <c r="B343" i="25"/>
  <c r="C343" i="25"/>
  <c r="D343" i="25"/>
  <c r="E343" i="25"/>
  <c r="B344" i="25"/>
  <c r="C344" i="25"/>
  <c r="D344" i="25"/>
  <c r="E344" i="25"/>
  <c r="B345" i="25"/>
  <c r="C345" i="25"/>
  <c r="D345" i="25"/>
  <c r="E345" i="25"/>
  <c r="B346" i="25"/>
  <c r="C346" i="25"/>
  <c r="D346" i="25"/>
  <c r="E346" i="25"/>
  <c r="B347" i="25"/>
  <c r="C347" i="25"/>
  <c r="D347" i="25"/>
  <c r="E347" i="25"/>
  <c r="B348" i="25"/>
  <c r="C348" i="25"/>
  <c r="D348" i="25"/>
  <c r="E348" i="25"/>
  <c r="B349" i="25"/>
  <c r="C349" i="25"/>
  <c r="D349" i="25"/>
  <c r="E349" i="25"/>
  <c r="B350" i="25"/>
  <c r="C350" i="25"/>
  <c r="D350" i="25"/>
  <c r="E350" i="25"/>
  <c r="B351" i="25"/>
  <c r="C351" i="25"/>
  <c r="D351" i="25"/>
  <c r="E351" i="25"/>
  <c r="B352" i="25"/>
  <c r="C352" i="25"/>
  <c r="D352" i="25"/>
  <c r="E352" i="25"/>
  <c r="B353" i="25"/>
  <c r="C353" i="25"/>
  <c r="D353" i="25"/>
  <c r="E353" i="25"/>
  <c r="B354" i="25"/>
  <c r="C354" i="25"/>
  <c r="D354" i="25"/>
  <c r="E354" i="25"/>
  <c r="B355" i="25"/>
  <c r="C355" i="25"/>
  <c r="D355" i="25"/>
  <c r="E355" i="25"/>
  <c r="B356" i="25"/>
  <c r="C356" i="25"/>
  <c r="D356" i="25"/>
  <c r="E356" i="25"/>
  <c r="B357" i="25"/>
  <c r="C357" i="25"/>
  <c r="D357" i="25"/>
  <c r="E357" i="25"/>
  <c r="B358" i="25"/>
  <c r="C358" i="25"/>
  <c r="D358" i="25"/>
  <c r="E358" i="25"/>
  <c r="B359" i="25"/>
  <c r="C359" i="25"/>
  <c r="D359" i="25"/>
  <c r="E359" i="25"/>
  <c r="B360" i="25"/>
  <c r="C360" i="25"/>
  <c r="D360" i="25"/>
  <c r="E360" i="25"/>
  <c r="B361" i="25"/>
  <c r="C361" i="25"/>
  <c r="D361" i="25"/>
  <c r="E361" i="25"/>
  <c r="B362" i="25"/>
  <c r="C362" i="25"/>
  <c r="D362" i="25"/>
  <c r="E362" i="25"/>
  <c r="B363" i="25"/>
  <c r="C363" i="25"/>
  <c r="D363" i="25"/>
  <c r="E363" i="25"/>
  <c r="B364" i="25"/>
  <c r="C364" i="25"/>
  <c r="D364" i="25"/>
  <c r="E364" i="25"/>
  <c r="B365" i="25"/>
  <c r="C365" i="25"/>
  <c r="D365" i="25"/>
  <c r="E365" i="25"/>
  <c r="B366" i="25"/>
  <c r="C366" i="25"/>
  <c r="D366" i="25"/>
  <c r="E366" i="25"/>
  <c r="B367" i="25"/>
  <c r="C367" i="25"/>
  <c r="D367" i="25"/>
  <c r="E367" i="25"/>
  <c r="B368" i="25"/>
  <c r="C368" i="25"/>
  <c r="D368" i="25"/>
  <c r="E368" i="25"/>
  <c r="B369" i="25"/>
  <c r="C369" i="25"/>
  <c r="D369" i="25"/>
  <c r="E369" i="25"/>
  <c r="B370" i="25"/>
  <c r="C370" i="25"/>
  <c r="D370" i="25"/>
  <c r="E370" i="25"/>
  <c r="B371" i="25"/>
  <c r="C371" i="25"/>
  <c r="D371" i="25"/>
  <c r="E371" i="25"/>
  <c r="B372" i="25"/>
  <c r="C372" i="25"/>
  <c r="D372" i="25"/>
  <c r="E372" i="25"/>
  <c r="B373" i="25"/>
  <c r="C373" i="25"/>
  <c r="D373" i="25"/>
  <c r="E373" i="25"/>
  <c r="B374" i="25"/>
  <c r="C374" i="25"/>
  <c r="D374" i="25"/>
  <c r="E374" i="25"/>
  <c r="B375" i="25"/>
  <c r="C375" i="25"/>
  <c r="D375" i="25"/>
  <c r="E375" i="25"/>
  <c r="B376" i="25"/>
  <c r="C376" i="25"/>
  <c r="D376" i="25"/>
  <c r="E376" i="25"/>
  <c r="B377" i="25"/>
  <c r="C377" i="25"/>
  <c r="D377" i="25"/>
  <c r="E377" i="25"/>
  <c r="B378" i="25"/>
  <c r="C378" i="25"/>
  <c r="D378" i="25"/>
  <c r="E378" i="25"/>
  <c r="B379" i="25"/>
  <c r="C379" i="25"/>
  <c r="D379" i="25"/>
  <c r="E379" i="25"/>
  <c r="B380" i="25"/>
  <c r="C380" i="25"/>
  <c r="D380" i="25"/>
  <c r="E380" i="25"/>
  <c r="B381" i="25"/>
  <c r="C381" i="25"/>
  <c r="D381" i="25"/>
  <c r="E381" i="25"/>
  <c r="B382" i="25"/>
  <c r="C382" i="25"/>
  <c r="D382" i="25"/>
  <c r="E382" i="25"/>
  <c r="B383" i="25"/>
  <c r="C383" i="25"/>
  <c r="D383" i="25"/>
  <c r="E383" i="25"/>
  <c r="B384" i="25"/>
  <c r="C384" i="25"/>
  <c r="D384" i="25"/>
  <c r="E384" i="25"/>
  <c r="B385" i="25"/>
  <c r="C385" i="25"/>
  <c r="D385" i="25"/>
  <c r="E385" i="25"/>
  <c r="B386" i="25"/>
  <c r="C386" i="25"/>
  <c r="D386" i="25"/>
  <c r="E386" i="25"/>
  <c r="B387" i="25"/>
  <c r="C387" i="25"/>
  <c r="D387" i="25"/>
  <c r="E387" i="25"/>
  <c r="B388" i="25"/>
  <c r="C388" i="25"/>
  <c r="D388" i="25"/>
  <c r="E388" i="25"/>
  <c r="B389" i="25"/>
  <c r="C389" i="25"/>
  <c r="D389" i="25"/>
  <c r="E389" i="25"/>
  <c r="B390" i="25"/>
  <c r="C390" i="25"/>
  <c r="D390" i="25"/>
  <c r="E390" i="25"/>
  <c r="B391" i="25"/>
  <c r="C391" i="25"/>
  <c r="D391" i="25"/>
  <c r="E391" i="25"/>
  <c r="B392" i="25"/>
  <c r="C392" i="25"/>
  <c r="D392" i="25"/>
  <c r="E392" i="25"/>
  <c r="B393" i="25"/>
  <c r="C393" i="25"/>
  <c r="D393" i="25"/>
  <c r="E393" i="25"/>
  <c r="B394" i="25"/>
  <c r="C394" i="25"/>
  <c r="D394" i="25"/>
  <c r="E394" i="25"/>
  <c r="B395" i="25"/>
  <c r="C395" i="25"/>
  <c r="D395" i="25"/>
  <c r="E395" i="25"/>
  <c r="B396" i="25"/>
  <c r="C396" i="25"/>
  <c r="D396" i="25"/>
  <c r="E396" i="25"/>
  <c r="B397" i="25"/>
  <c r="C397" i="25"/>
  <c r="D397" i="25"/>
  <c r="E397" i="25"/>
  <c r="B398" i="25"/>
  <c r="C398" i="25"/>
  <c r="D398" i="25"/>
  <c r="E398" i="25"/>
  <c r="B399" i="25"/>
  <c r="C399" i="25"/>
  <c r="D399" i="25"/>
  <c r="E399" i="25"/>
  <c r="B400" i="25"/>
  <c r="C400" i="25"/>
  <c r="D400" i="25"/>
  <c r="E400" i="25"/>
  <c r="B401" i="25"/>
  <c r="C401" i="25"/>
  <c r="D401" i="25"/>
  <c r="E401" i="25"/>
  <c r="B402" i="25"/>
  <c r="C402" i="25"/>
  <c r="D402" i="25"/>
  <c r="E402" i="25"/>
  <c r="B403" i="25"/>
  <c r="C403" i="25"/>
  <c r="D403" i="25"/>
  <c r="E403" i="25"/>
  <c r="B404" i="25"/>
  <c r="C404" i="25"/>
  <c r="D404" i="25"/>
  <c r="E404" i="25"/>
  <c r="B405" i="25"/>
  <c r="C405" i="25"/>
  <c r="D405" i="25"/>
  <c r="E405" i="25"/>
  <c r="B406" i="25"/>
  <c r="C406" i="25"/>
  <c r="D406" i="25"/>
  <c r="E406" i="25"/>
  <c r="B407" i="25"/>
  <c r="C407" i="25"/>
  <c r="D407" i="25"/>
  <c r="E407" i="25"/>
  <c r="B408" i="25"/>
  <c r="C408" i="25"/>
  <c r="D408" i="25"/>
  <c r="E408" i="25"/>
  <c r="B409" i="25"/>
  <c r="C409" i="25"/>
  <c r="D409" i="25"/>
  <c r="E409" i="25"/>
  <c r="B410" i="25"/>
  <c r="C410" i="25"/>
  <c r="D410" i="25"/>
  <c r="E410" i="25"/>
  <c r="B411" i="25"/>
  <c r="C411" i="25"/>
  <c r="D411" i="25"/>
  <c r="E411" i="25"/>
  <c r="B412" i="25"/>
  <c r="C412" i="25"/>
  <c r="D412" i="25"/>
  <c r="E412" i="25"/>
  <c r="B413" i="25"/>
  <c r="C413" i="25"/>
  <c r="D413" i="25"/>
  <c r="E413" i="25"/>
  <c r="B414" i="25"/>
  <c r="C414" i="25"/>
  <c r="D414" i="25"/>
  <c r="E414" i="25"/>
  <c r="B415" i="25"/>
  <c r="C415" i="25"/>
  <c r="D415" i="25"/>
  <c r="E415" i="25"/>
  <c r="B416" i="25"/>
  <c r="C416" i="25"/>
  <c r="D416" i="25"/>
  <c r="E416" i="25"/>
  <c r="B417" i="25"/>
  <c r="C417" i="25"/>
  <c r="D417" i="25"/>
  <c r="E417" i="25"/>
  <c r="B418" i="25"/>
  <c r="C418" i="25"/>
  <c r="D418" i="25"/>
  <c r="E418" i="25"/>
  <c r="B419" i="25"/>
  <c r="C419" i="25"/>
  <c r="D419" i="25"/>
  <c r="E419" i="25"/>
  <c r="B420" i="25"/>
  <c r="C420" i="25"/>
  <c r="D420" i="25"/>
  <c r="E420" i="25"/>
  <c r="B421" i="25"/>
  <c r="C421" i="25"/>
  <c r="D421" i="25"/>
  <c r="E421" i="25"/>
  <c r="B422" i="25"/>
  <c r="C422" i="25"/>
  <c r="D422" i="25"/>
  <c r="E422" i="25"/>
  <c r="B423" i="25"/>
  <c r="C423" i="25"/>
  <c r="D423" i="25"/>
  <c r="E423" i="25"/>
  <c r="B424" i="25"/>
  <c r="C424" i="25"/>
  <c r="D424" i="25"/>
  <c r="E424" i="25"/>
  <c r="B425" i="25"/>
  <c r="C425" i="25"/>
  <c r="D425" i="25"/>
  <c r="E425" i="25"/>
  <c r="B426" i="25"/>
  <c r="C426" i="25"/>
  <c r="D426" i="25"/>
  <c r="E426" i="25"/>
  <c r="B427" i="25"/>
  <c r="C427" i="25"/>
  <c r="D427" i="25"/>
  <c r="E427" i="25"/>
  <c r="B428" i="25"/>
  <c r="C428" i="25"/>
  <c r="D428" i="25"/>
  <c r="E428" i="25"/>
  <c r="B429" i="25"/>
  <c r="C429" i="25"/>
  <c r="D429" i="25"/>
  <c r="E429" i="25"/>
  <c r="B430" i="25"/>
  <c r="C430" i="25"/>
  <c r="D430" i="25"/>
  <c r="E430" i="25"/>
  <c r="B431" i="25"/>
  <c r="C431" i="25"/>
  <c r="D431" i="25"/>
  <c r="E431" i="25"/>
  <c r="B432" i="25"/>
  <c r="C432" i="25"/>
  <c r="D432" i="25"/>
  <c r="E432" i="25"/>
  <c r="B433" i="25"/>
  <c r="C433" i="25"/>
  <c r="D433" i="25"/>
  <c r="E433" i="25"/>
  <c r="B434" i="25"/>
  <c r="C434" i="25"/>
  <c r="D434" i="25"/>
  <c r="E434" i="25"/>
  <c r="B435" i="25"/>
  <c r="C435" i="25"/>
  <c r="D435" i="25"/>
  <c r="E435" i="25"/>
  <c r="B436" i="25"/>
  <c r="C436" i="25"/>
  <c r="D436" i="25"/>
  <c r="E436" i="25"/>
  <c r="B437" i="25"/>
  <c r="C437" i="25"/>
  <c r="D437" i="25"/>
  <c r="E437" i="25"/>
  <c r="B438" i="25"/>
  <c r="C438" i="25"/>
  <c r="D438" i="25"/>
  <c r="E438" i="25"/>
  <c r="B439" i="25"/>
  <c r="C439" i="25"/>
  <c r="D439" i="25"/>
  <c r="E439" i="25"/>
  <c r="B440" i="25"/>
  <c r="C440" i="25"/>
  <c r="D440" i="25"/>
  <c r="E440" i="25"/>
  <c r="B441" i="25"/>
  <c r="C441" i="25"/>
  <c r="D441" i="25"/>
  <c r="E441" i="25"/>
  <c r="B442" i="25"/>
  <c r="C442" i="25"/>
  <c r="D442" i="25"/>
  <c r="E442" i="25"/>
  <c r="B443" i="25"/>
  <c r="C443" i="25"/>
  <c r="D443" i="25"/>
  <c r="E443" i="25"/>
  <c r="B444" i="25"/>
  <c r="C444" i="25"/>
  <c r="D444" i="25"/>
  <c r="E444" i="25"/>
  <c r="B445" i="25"/>
  <c r="C445" i="25"/>
  <c r="D445" i="25"/>
  <c r="E445" i="25"/>
  <c r="B446" i="25"/>
  <c r="C446" i="25"/>
  <c r="D446" i="25"/>
  <c r="E446" i="25"/>
  <c r="B447" i="25"/>
  <c r="C447" i="25"/>
  <c r="D447" i="25"/>
  <c r="E447" i="25"/>
  <c r="B448" i="25"/>
  <c r="C448" i="25"/>
  <c r="D448" i="25"/>
  <c r="E448" i="25"/>
  <c r="B449" i="25"/>
  <c r="C449" i="25"/>
  <c r="D449" i="25"/>
  <c r="E449" i="25"/>
  <c r="B450" i="25"/>
  <c r="C450" i="25"/>
  <c r="D450" i="25"/>
  <c r="E450" i="25"/>
  <c r="B451" i="25"/>
  <c r="C451" i="25"/>
  <c r="D451" i="25"/>
  <c r="E451" i="25"/>
  <c r="B452" i="25"/>
  <c r="C452" i="25"/>
  <c r="D452" i="25"/>
  <c r="E452" i="25"/>
  <c r="B453" i="25"/>
  <c r="C453" i="25"/>
  <c r="D453" i="25"/>
  <c r="E453" i="25"/>
  <c r="B454" i="25"/>
  <c r="C454" i="25"/>
  <c r="D454" i="25"/>
  <c r="E454" i="25"/>
  <c r="B455" i="25"/>
  <c r="C455" i="25"/>
  <c r="D455" i="25"/>
  <c r="E455" i="25"/>
  <c r="B456" i="25"/>
  <c r="C456" i="25"/>
  <c r="D456" i="25"/>
  <c r="E456" i="25"/>
  <c r="B457" i="25"/>
  <c r="C457" i="25"/>
  <c r="D457" i="25"/>
  <c r="E457" i="25"/>
  <c r="B458" i="25"/>
  <c r="C458" i="25"/>
  <c r="D458" i="25"/>
  <c r="E458" i="25"/>
  <c r="B459" i="25"/>
  <c r="C459" i="25"/>
  <c r="D459" i="25"/>
  <c r="E459" i="25"/>
  <c r="B460" i="25"/>
  <c r="C460" i="25"/>
  <c r="D460" i="25"/>
  <c r="E460" i="25"/>
  <c r="B461" i="25"/>
  <c r="C461" i="25"/>
  <c r="D461" i="25"/>
  <c r="E461" i="25"/>
  <c r="B462" i="25"/>
  <c r="C462" i="25"/>
  <c r="D462" i="25"/>
  <c r="E462" i="25"/>
  <c r="B463" i="25"/>
  <c r="C463" i="25"/>
  <c r="D463" i="25"/>
  <c r="E463" i="25"/>
  <c r="B464" i="25"/>
  <c r="C464" i="25"/>
  <c r="D464" i="25"/>
  <c r="E464" i="25"/>
  <c r="B465" i="25"/>
  <c r="C465" i="25"/>
  <c r="D465" i="25"/>
  <c r="E465" i="25"/>
  <c r="B466" i="25"/>
  <c r="C466" i="25"/>
  <c r="D466" i="25"/>
  <c r="E466" i="25"/>
  <c r="B467" i="25"/>
  <c r="C467" i="25"/>
  <c r="D467" i="25"/>
  <c r="E467" i="25"/>
  <c r="B468" i="25"/>
  <c r="C468" i="25"/>
  <c r="D468" i="25"/>
  <c r="E468" i="25"/>
  <c r="B469" i="25"/>
  <c r="C469" i="25"/>
  <c r="D469" i="25"/>
  <c r="E469" i="25"/>
  <c r="B470" i="25"/>
  <c r="C470" i="25"/>
  <c r="D470" i="25"/>
  <c r="E470" i="25"/>
  <c r="B471" i="25"/>
  <c r="C471" i="25"/>
  <c r="D471" i="25"/>
  <c r="E471" i="25"/>
  <c r="B472" i="25"/>
  <c r="C472" i="25"/>
  <c r="D472" i="25"/>
  <c r="E472" i="25"/>
  <c r="B473" i="25"/>
  <c r="C473" i="25"/>
  <c r="D473" i="25"/>
  <c r="E473" i="25"/>
  <c r="B474" i="25"/>
  <c r="C474" i="25"/>
  <c r="D474" i="25"/>
  <c r="E474" i="25"/>
  <c r="B475" i="25"/>
  <c r="C475" i="25"/>
  <c r="D475" i="25"/>
  <c r="E475" i="25"/>
  <c r="B476" i="25"/>
  <c r="C476" i="25"/>
  <c r="D476" i="25"/>
  <c r="E476" i="25"/>
  <c r="B477" i="25"/>
  <c r="C477" i="25"/>
  <c r="D477" i="25"/>
  <c r="E477" i="25"/>
  <c r="B478" i="25"/>
  <c r="C478" i="25"/>
  <c r="D478" i="25"/>
  <c r="E478" i="25"/>
  <c r="B479" i="25"/>
  <c r="C479" i="25"/>
  <c r="D479" i="25"/>
  <c r="E479" i="25"/>
  <c r="B480" i="25"/>
  <c r="C480" i="25"/>
  <c r="D480" i="25"/>
  <c r="E480" i="25"/>
  <c r="B481" i="25"/>
  <c r="C481" i="25"/>
  <c r="D481" i="25"/>
  <c r="E481" i="25"/>
  <c r="B482" i="25"/>
  <c r="C482" i="25"/>
  <c r="D482" i="25"/>
  <c r="E482" i="25"/>
  <c r="B483" i="25"/>
  <c r="C483" i="25"/>
  <c r="D483" i="25"/>
  <c r="E483" i="25"/>
  <c r="B484" i="25"/>
  <c r="C484" i="25"/>
  <c r="D484" i="25"/>
  <c r="E484" i="25"/>
  <c r="B485" i="25"/>
  <c r="C485" i="25"/>
  <c r="D485" i="25"/>
  <c r="E485" i="25"/>
  <c r="B486" i="25"/>
  <c r="C486" i="25"/>
  <c r="D486" i="25"/>
  <c r="E486" i="25"/>
  <c r="B487" i="25"/>
  <c r="C487" i="25"/>
  <c r="D487" i="25"/>
  <c r="E487" i="25"/>
  <c r="B488" i="25"/>
  <c r="C488" i="25"/>
  <c r="D488" i="25"/>
  <c r="E488" i="25"/>
  <c r="B489" i="25"/>
  <c r="C489" i="25"/>
  <c r="D489" i="25"/>
  <c r="E489" i="25"/>
  <c r="B490" i="25"/>
  <c r="C490" i="25"/>
  <c r="D490" i="25"/>
  <c r="E490" i="25"/>
  <c r="B491" i="25"/>
  <c r="C491" i="25"/>
  <c r="D491" i="25"/>
  <c r="E491" i="25"/>
  <c r="B492" i="25"/>
  <c r="C492" i="25"/>
  <c r="D492" i="25"/>
  <c r="E492" i="25"/>
  <c r="B493" i="25"/>
  <c r="C493" i="25"/>
  <c r="D493" i="25"/>
  <c r="E493" i="25"/>
  <c r="B494" i="25"/>
  <c r="C494" i="25"/>
  <c r="D494" i="25"/>
  <c r="E494" i="25"/>
  <c r="B495" i="25"/>
  <c r="C495" i="25"/>
  <c r="D495" i="25"/>
  <c r="E495" i="25"/>
  <c r="B496" i="25"/>
  <c r="C496" i="25"/>
  <c r="D496" i="25"/>
  <c r="E496" i="25"/>
  <c r="B497" i="25"/>
  <c r="C497" i="25"/>
  <c r="D497" i="25"/>
  <c r="E497" i="25"/>
  <c r="B498" i="25"/>
  <c r="C498" i="25"/>
  <c r="D498" i="25"/>
  <c r="E498" i="25"/>
  <c r="B499" i="25"/>
  <c r="C499" i="25"/>
  <c r="D499" i="25"/>
  <c r="E499" i="25"/>
  <c r="B500" i="25"/>
  <c r="C500" i="25"/>
  <c r="D500" i="25"/>
  <c r="E500" i="25"/>
  <c r="B501" i="25"/>
  <c r="C501" i="25"/>
  <c r="D501" i="25"/>
  <c r="E501" i="25"/>
  <c r="B502" i="25"/>
  <c r="C502" i="25"/>
  <c r="D502" i="25"/>
  <c r="E502" i="25"/>
  <c r="B503" i="25"/>
  <c r="C503" i="25"/>
  <c r="D503" i="25"/>
  <c r="E503" i="25"/>
  <c r="B504" i="25"/>
  <c r="C504" i="25"/>
  <c r="D504" i="25"/>
  <c r="E504" i="25"/>
  <c r="B505" i="25"/>
  <c r="C505" i="25"/>
  <c r="D505" i="25"/>
  <c r="E505" i="25"/>
  <c r="B506" i="25"/>
  <c r="C506" i="25"/>
  <c r="D506" i="25"/>
  <c r="E506" i="25"/>
  <c r="B507" i="25"/>
  <c r="C507" i="25"/>
  <c r="D507" i="25"/>
  <c r="E507" i="25"/>
  <c r="B508" i="25"/>
  <c r="C508" i="25"/>
  <c r="D508" i="25"/>
  <c r="E508" i="25"/>
  <c r="B509" i="25"/>
  <c r="C509" i="25"/>
  <c r="D509" i="25"/>
  <c r="E509" i="25"/>
  <c r="B510" i="25"/>
  <c r="C510" i="25"/>
  <c r="D510" i="25"/>
  <c r="E510" i="25"/>
  <c r="B511" i="25"/>
  <c r="C511" i="25"/>
  <c r="D511" i="25"/>
  <c r="E511" i="25"/>
  <c r="B512" i="25"/>
  <c r="C512" i="25"/>
  <c r="D512" i="25"/>
  <c r="E512" i="25"/>
  <c r="B513" i="25"/>
  <c r="C513" i="25"/>
  <c r="D513" i="25"/>
  <c r="E513" i="25"/>
  <c r="B514" i="25"/>
  <c r="C514" i="25"/>
  <c r="D514" i="25"/>
  <c r="E514" i="25"/>
  <c r="B515" i="25"/>
  <c r="C515" i="25"/>
  <c r="D515" i="25"/>
  <c r="E515" i="25"/>
  <c r="B516" i="25"/>
  <c r="C516" i="25"/>
  <c r="D516" i="25"/>
  <c r="E516" i="25"/>
  <c r="B517" i="25"/>
  <c r="C517" i="25"/>
  <c r="D517" i="25"/>
  <c r="E517" i="25"/>
  <c r="B518" i="25"/>
  <c r="C518" i="25"/>
  <c r="D518" i="25"/>
  <c r="E518" i="25"/>
  <c r="B519" i="25"/>
  <c r="C519" i="25"/>
  <c r="D519" i="25"/>
  <c r="E519" i="25"/>
  <c r="B520" i="25"/>
  <c r="C520" i="25"/>
  <c r="D520" i="25"/>
  <c r="E520" i="25"/>
  <c r="B521" i="25"/>
  <c r="C521" i="25"/>
  <c r="D521" i="25"/>
  <c r="E521" i="25"/>
  <c r="B522" i="25"/>
  <c r="C522" i="25"/>
  <c r="D522" i="25"/>
  <c r="E522" i="25"/>
  <c r="B523" i="25"/>
  <c r="C523" i="25"/>
  <c r="D523" i="25"/>
  <c r="E523" i="25"/>
  <c r="E47" i="25"/>
  <c r="F47" i="25"/>
  <c r="E46" i="25"/>
  <c r="F46" i="25"/>
  <c r="E45" i="25"/>
  <c r="F45" i="25"/>
  <c r="E44" i="25"/>
  <c r="F44" i="25"/>
  <c r="E43" i="25"/>
  <c r="F43" i="25"/>
  <c r="E42" i="25"/>
  <c r="F42" i="25"/>
  <c r="E41" i="25"/>
  <c r="F41" i="25"/>
  <c r="E40" i="25"/>
  <c r="F40" i="25"/>
  <c r="E39" i="25"/>
  <c r="F39" i="25"/>
  <c r="E38" i="25"/>
  <c r="F38" i="25"/>
  <c r="E37" i="25"/>
  <c r="F37" i="25"/>
  <c r="E36" i="25"/>
  <c r="F36" i="25"/>
  <c r="E35" i="25"/>
  <c r="F35" i="25"/>
  <c r="E34" i="25"/>
  <c r="F34" i="25"/>
  <c r="E33" i="25"/>
  <c r="F33" i="25"/>
  <c r="E32" i="25"/>
  <c r="F32" i="25"/>
  <c r="E31" i="25"/>
  <c r="F31" i="25"/>
  <c r="E30" i="25"/>
  <c r="F30" i="25"/>
  <c r="E29" i="25"/>
  <c r="F29" i="25"/>
  <c r="E28" i="25"/>
  <c r="F28" i="25"/>
  <c r="B29" i="25"/>
  <c r="C29" i="25"/>
  <c r="B30" i="25"/>
  <c r="C30" i="25"/>
  <c r="B31" i="25"/>
  <c r="C31" i="25"/>
  <c r="B32" i="25"/>
  <c r="C32" i="25"/>
  <c r="B33" i="25"/>
  <c r="C33" i="25"/>
  <c r="B34" i="25"/>
  <c r="C34" i="25"/>
  <c r="B35" i="25"/>
  <c r="C35" i="25"/>
  <c r="B36" i="25"/>
  <c r="C36" i="25"/>
  <c r="B37" i="25"/>
  <c r="C37" i="25"/>
  <c r="B38" i="25"/>
  <c r="C38" i="25"/>
  <c r="B39" i="25"/>
  <c r="C39" i="25"/>
  <c r="B40" i="25"/>
  <c r="C40" i="25"/>
  <c r="B41" i="25"/>
  <c r="C41" i="25"/>
  <c r="B42" i="25"/>
  <c r="C42" i="25"/>
  <c r="B43" i="25"/>
  <c r="C43" i="25"/>
  <c r="B44" i="25"/>
  <c r="C44" i="25"/>
  <c r="B45" i="25"/>
  <c r="C45" i="25"/>
  <c r="B46" i="25"/>
  <c r="C46" i="25"/>
  <c r="B47" i="25"/>
  <c r="C47" i="25"/>
  <c r="B28" i="25"/>
  <c r="C28" i="25"/>
  <c r="B38" i="26"/>
  <c r="B39" i="26"/>
  <c r="B40" i="26"/>
  <c r="B41" i="26"/>
  <c r="B42" i="26"/>
  <c r="B43" i="26"/>
  <c r="B44" i="26"/>
  <c r="B45" i="26"/>
  <c r="B46" i="26"/>
  <c r="B37" i="26"/>
  <c r="B28" i="26"/>
  <c r="B29" i="26"/>
  <c r="B30" i="26"/>
  <c r="B31" i="26"/>
  <c r="B32" i="26"/>
  <c r="B33" i="26"/>
  <c r="B34" i="26"/>
  <c r="B35" i="26"/>
  <c r="B36" i="26"/>
  <c r="B27" i="26"/>
  <c r="B18" i="26"/>
  <c r="B19" i="26"/>
  <c r="B20" i="26"/>
  <c r="B21" i="26"/>
  <c r="B22" i="26"/>
  <c r="B23" i="26"/>
  <c r="B24" i="26"/>
  <c r="B25" i="26"/>
  <c r="B26" i="26"/>
  <c r="B17" i="26"/>
  <c r="C424" i="26"/>
  <c r="D424" i="26"/>
  <c r="E424" i="26"/>
  <c r="C425" i="26"/>
  <c r="D425" i="26"/>
  <c r="E425" i="26"/>
  <c r="C426" i="26"/>
  <c r="D426" i="26"/>
  <c r="E426" i="26"/>
  <c r="C427" i="26"/>
  <c r="D427" i="26"/>
  <c r="E427" i="26"/>
  <c r="C428" i="26"/>
  <c r="D428" i="26"/>
  <c r="E428" i="26"/>
  <c r="C429" i="26"/>
  <c r="D429" i="26"/>
  <c r="E429" i="26"/>
  <c r="C430" i="26"/>
  <c r="D430" i="26"/>
  <c r="E430" i="26"/>
  <c r="C431" i="26"/>
  <c r="D431" i="26"/>
  <c r="E431" i="26"/>
  <c r="C432" i="26"/>
  <c r="D432" i="26"/>
  <c r="E432" i="26"/>
  <c r="C433" i="26"/>
  <c r="D433" i="26"/>
  <c r="E433" i="26"/>
  <c r="C434" i="26"/>
  <c r="D434" i="26"/>
  <c r="E434" i="26"/>
  <c r="C435" i="26"/>
  <c r="D435" i="26"/>
  <c r="E435" i="26"/>
  <c r="C436" i="26"/>
  <c r="D436" i="26"/>
  <c r="E436" i="26"/>
  <c r="C437" i="26"/>
  <c r="D437" i="26"/>
  <c r="E437" i="26"/>
  <c r="C438" i="26"/>
  <c r="D438" i="26"/>
  <c r="E438" i="26"/>
  <c r="C439" i="26"/>
  <c r="D439" i="26"/>
  <c r="E439" i="26"/>
  <c r="C440" i="26"/>
  <c r="D440" i="26"/>
  <c r="E440" i="26"/>
  <c r="C441" i="26"/>
  <c r="D441" i="26"/>
  <c r="E441" i="26"/>
  <c r="C442" i="26"/>
  <c r="D442" i="26"/>
  <c r="E442" i="26"/>
  <c r="C443" i="26"/>
  <c r="D443" i="26"/>
  <c r="E443" i="26"/>
  <c r="C444" i="26"/>
  <c r="D444" i="26"/>
  <c r="E444" i="26"/>
  <c r="C445" i="26"/>
  <c r="D445" i="26"/>
  <c r="E445" i="26"/>
  <c r="C446" i="26"/>
  <c r="D446" i="26"/>
  <c r="E446" i="26"/>
  <c r="C447" i="26"/>
  <c r="D447" i="26"/>
  <c r="E447" i="26"/>
  <c r="C448" i="26"/>
  <c r="D448" i="26"/>
  <c r="E448" i="26"/>
  <c r="C449" i="26"/>
  <c r="D449" i="26"/>
  <c r="E449" i="26"/>
  <c r="C450" i="26"/>
  <c r="D450" i="26"/>
  <c r="E450" i="26"/>
  <c r="C451" i="26"/>
  <c r="D451" i="26"/>
  <c r="E451" i="26"/>
  <c r="C452" i="26"/>
  <c r="D452" i="26"/>
  <c r="E452" i="26"/>
  <c r="C453" i="26"/>
  <c r="D453" i="26"/>
  <c r="E453" i="26"/>
  <c r="C454" i="26"/>
  <c r="D454" i="26"/>
  <c r="E454" i="26"/>
  <c r="C455" i="26"/>
  <c r="D455" i="26"/>
  <c r="E455" i="26"/>
  <c r="C456" i="26"/>
  <c r="D456" i="26"/>
  <c r="E456" i="26"/>
  <c r="C457" i="26"/>
  <c r="D457" i="26"/>
  <c r="E457" i="26"/>
  <c r="C458" i="26"/>
  <c r="D458" i="26"/>
  <c r="E458" i="26"/>
  <c r="C459" i="26"/>
  <c r="D459" i="26"/>
  <c r="E459" i="26"/>
  <c r="C460" i="26"/>
  <c r="D460" i="26"/>
  <c r="E460" i="26"/>
  <c r="C461" i="26"/>
  <c r="D461" i="26"/>
  <c r="E461" i="26"/>
  <c r="C462" i="26"/>
  <c r="D462" i="26"/>
  <c r="E462" i="26"/>
  <c r="C463" i="26"/>
  <c r="D463" i="26"/>
  <c r="E463" i="26"/>
  <c r="C464" i="26"/>
  <c r="D464" i="26"/>
  <c r="E464" i="26"/>
  <c r="C465" i="26"/>
  <c r="D465" i="26"/>
  <c r="E465" i="26"/>
  <c r="C466" i="26"/>
  <c r="D466" i="26"/>
  <c r="E466" i="26"/>
  <c r="C467" i="26"/>
  <c r="D467" i="26"/>
  <c r="E467" i="26"/>
  <c r="C468" i="26"/>
  <c r="D468" i="26"/>
  <c r="E468" i="26"/>
  <c r="C469" i="26"/>
  <c r="D469" i="26"/>
  <c r="E469" i="26"/>
  <c r="C470" i="26"/>
  <c r="D470" i="26"/>
  <c r="E470" i="26"/>
  <c r="C471" i="26"/>
  <c r="D471" i="26"/>
  <c r="E471" i="26"/>
  <c r="C472" i="26"/>
  <c r="D472" i="26"/>
  <c r="E472" i="26"/>
  <c r="C473" i="26"/>
  <c r="D473" i="26"/>
  <c r="E473" i="26"/>
  <c r="C474" i="26"/>
  <c r="D474" i="26"/>
  <c r="E474" i="26"/>
  <c r="C475" i="26"/>
  <c r="D475" i="26"/>
  <c r="E475" i="26"/>
  <c r="C476" i="26"/>
  <c r="D476" i="26"/>
  <c r="E476" i="26"/>
  <c r="C477" i="26"/>
  <c r="D477" i="26"/>
  <c r="E477" i="26"/>
  <c r="C478" i="26"/>
  <c r="D478" i="26"/>
  <c r="E478" i="26"/>
  <c r="C479" i="26"/>
  <c r="D479" i="26"/>
  <c r="E479" i="26"/>
  <c r="C480" i="26"/>
  <c r="D480" i="26"/>
  <c r="E480" i="26"/>
  <c r="C481" i="26"/>
  <c r="D481" i="26"/>
  <c r="E481" i="26"/>
  <c r="C482" i="26"/>
  <c r="D482" i="26"/>
  <c r="E482" i="26"/>
  <c r="C483" i="26"/>
  <c r="D483" i="26"/>
  <c r="E483" i="26"/>
  <c r="C484" i="26"/>
  <c r="D484" i="26"/>
  <c r="E484" i="26"/>
  <c r="C485" i="26"/>
  <c r="D485" i="26"/>
  <c r="E485" i="26"/>
  <c r="C486" i="26"/>
  <c r="D486" i="26"/>
  <c r="E486" i="26"/>
  <c r="C487" i="26"/>
  <c r="D487" i="26"/>
  <c r="E487" i="26"/>
  <c r="C488" i="26"/>
  <c r="D488" i="26"/>
  <c r="E488" i="26"/>
  <c r="C489" i="26"/>
  <c r="D489" i="26"/>
  <c r="E489" i="26"/>
  <c r="C490" i="26"/>
  <c r="D490" i="26"/>
  <c r="E490" i="26"/>
  <c r="C491" i="26"/>
  <c r="D491" i="26"/>
  <c r="E491" i="26"/>
  <c r="C492" i="26"/>
  <c r="D492" i="26"/>
  <c r="E492" i="26"/>
  <c r="C493" i="26"/>
  <c r="D493" i="26"/>
  <c r="E493" i="26"/>
  <c r="C494" i="26"/>
  <c r="D494" i="26"/>
  <c r="E494" i="26"/>
  <c r="C495" i="26"/>
  <c r="D495" i="26"/>
  <c r="E495" i="26"/>
  <c r="C496" i="26"/>
  <c r="D496" i="26"/>
  <c r="E496" i="26"/>
  <c r="C497" i="26"/>
  <c r="D497" i="26"/>
  <c r="E497" i="26"/>
  <c r="C498" i="26"/>
  <c r="D498" i="26"/>
  <c r="E498" i="26"/>
  <c r="C499" i="26"/>
  <c r="D499" i="26"/>
  <c r="E499" i="26"/>
  <c r="C500" i="26"/>
  <c r="D500" i="26"/>
  <c r="E500" i="26"/>
  <c r="C501" i="26"/>
  <c r="D501" i="26"/>
  <c r="E501" i="26"/>
  <c r="C502" i="26"/>
  <c r="D502" i="26"/>
  <c r="E502" i="26"/>
  <c r="C503" i="26"/>
  <c r="D503" i="26"/>
  <c r="E503" i="26"/>
  <c r="C504" i="26"/>
  <c r="D504" i="26"/>
  <c r="E504" i="26"/>
  <c r="C505" i="26"/>
  <c r="D505" i="26"/>
  <c r="E505" i="26"/>
  <c r="C506" i="26"/>
  <c r="D506" i="26"/>
  <c r="E506" i="26"/>
  <c r="C507" i="26"/>
  <c r="D507" i="26"/>
  <c r="E507" i="26"/>
  <c r="C508" i="26"/>
  <c r="D508" i="26"/>
  <c r="E508" i="26"/>
  <c r="C509" i="26"/>
  <c r="D509" i="26"/>
  <c r="E509" i="26"/>
  <c r="C510" i="26"/>
  <c r="D510" i="26"/>
  <c r="E510" i="26"/>
  <c r="C511" i="26"/>
  <c r="D511" i="26"/>
  <c r="E511" i="26"/>
  <c r="C512" i="26"/>
  <c r="D512" i="26"/>
  <c r="E512" i="26"/>
  <c r="C513" i="26"/>
  <c r="D513" i="26"/>
  <c r="E513" i="26"/>
  <c r="C514" i="26"/>
  <c r="D514" i="26"/>
  <c r="E514" i="26"/>
  <c r="C515" i="26"/>
  <c r="D515" i="26"/>
  <c r="E515" i="26"/>
  <c r="C516" i="26"/>
  <c r="D516" i="26"/>
  <c r="E516" i="26"/>
  <c r="C517" i="26"/>
  <c r="D517" i="26"/>
  <c r="E517" i="26"/>
  <c r="C518" i="26"/>
  <c r="D518" i="26"/>
  <c r="E518" i="26"/>
  <c r="C519" i="26"/>
  <c r="D519" i="26"/>
  <c r="E519" i="26"/>
  <c r="C520" i="26"/>
  <c r="D520" i="26"/>
  <c r="E520" i="26"/>
  <c r="C521" i="26"/>
  <c r="D521" i="26"/>
  <c r="E521" i="26"/>
  <c r="C522" i="26"/>
  <c r="D522" i="26"/>
  <c r="E522" i="26"/>
  <c r="C523" i="26"/>
  <c r="D523" i="26"/>
  <c r="E523" i="26"/>
  <c r="C524" i="26"/>
  <c r="D524" i="26"/>
  <c r="E524" i="26"/>
  <c r="C525" i="26"/>
  <c r="D525" i="26"/>
  <c r="E525" i="26"/>
  <c r="C526" i="26"/>
  <c r="D526" i="26"/>
  <c r="E526" i="26"/>
  <c r="C527" i="26"/>
  <c r="D527" i="26"/>
  <c r="E527" i="26"/>
  <c r="C528" i="26"/>
  <c r="D528" i="26"/>
  <c r="E528" i="26"/>
  <c r="C529" i="26"/>
  <c r="D529" i="26"/>
  <c r="E529" i="26"/>
  <c r="C530" i="26"/>
  <c r="D530" i="26"/>
  <c r="E530" i="26"/>
  <c r="C531" i="26"/>
  <c r="D531" i="26"/>
  <c r="E531" i="26"/>
  <c r="C532" i="26"/>
  <c r="D532" i="26"/>
  <c r="E532" i="26"/>
  <c r="C533" i="26"/>
  <c r="D533" i="26"/>
  <c r="E533" i="26"/>
  <c r="C534" i="26"/>
  <c r="D534" i="26"/>
  <c r="E534" i="26"/>
  <c r="C535" i="26"/>
  <c r="D535" i="26"/>
  <c r="E535" i="26"/>
  <c r="C536" i="26"/>
  <c r="D536" i="26"/>
  <c r="E536" i="26"/>
  <c r="C537" i="26"/>
  <c r="D537" i="26"/>
  <c r="E537" i="26"/>
  <c r="C538" i="26"/>
  <c r="D538" i="26"/>
  <c r="E538" i="26"/>
  <c r="C539" i="26"/>
  <c r="D539" i="26"/>
  <c r="E539" i="26"/>
  <c r="C540" i="26"/>
  <c r="D540" i="26"/>
  <c r="E540" i="26"/>
  <c r="C541" i="26"/>
  <c r="D541" i="26"/>
  <c r="E541" i="26"/>
  <c r="C542" i="26"/>
  <c r="D542" i="26"/>
  <c r="E542" i="26"/>
  <c r="C543" i="26"/>
  <c r="D543" i="26"/>
  <c r="E543" i="26"/>
  <c r="D56" i="26"/>
  <c r="B56" i="26"/>
  <c r="D55" i="26"/>
  <c r="B55" i="26"/>
  <c r="D54" i="26"/>
  <c r="B54" i="26"/>
  <c r="D53" i="26"/>
  <c r="B53" i="26"/>
  <c r="D52" i="26"/>
  <c r="B52" i="26"/>
  <c r="D51" i="26"/>
  <c r="B51" i="26"/>
  <c r="D50" i="26"/>
  <c r="B50" i="26"/>
  <c r="D49" i="26"/>
  <c r="B49" i="26"/>
  <c r="D48" i="26"/>
  <c r="B48" i="26"/>
  <c r="D47" i="26"/>
  <c r="B47" i="26"/>
  <c r="D46" i="26"/>
  <c r="D45" i="26"/>
  <c r="D44" i="26"/>
  <c r="D43" i="26"/>
  <c r="D42" i="26"/>
  <c r="D41" i="26"/>
  <c r="D40" i="26"/>
  <c r="D39" i="26"/>
  <c r="D38" i="26"/>
  <c r="D37" i="26"/>
  <c r="D36" i="26"/>
  <c r="D35" i="26"/>
  <c r="D34" i="26"/>
  <c r="D33" i="26"/>
  <c r="D32" i="26"/>
  <c r="D31" i="26"/>
  <c r="D30" i="26"/>
  <c r="D29" i="26"/>
  <c r="D28" i="26"/>
  <c r="D27" i="26"/>
  <c r="D26" i="26"/>
  <c r="D25" i="26"/>
  <c r="D24" i="26"/>
  <c r="D23" i="26"/>
  <c r="D22" i="26"/>
  <c r="D21" i="26"/>
  <c r="D20" i="26"/>
  <c r="D19" i="26"/>
  <c r="D18" i="26"/>
  <c r="D17" i="26"/>
  <c r="B524" i="25"/>
  <c r="C524" i="25"/>
  <c r="D524" i="25"/>
  <c r="E524" i="25"/>
  <c r="B525" i="25"/>
  <c r="C525" i="25"/>
  <c r="D525" i="25"/>
  <c r="E525" i="25"/>
  <c r="B526" i="25"/>
  <c r="C526" i="25"/>
  <c r="D526" i="25"/>
  <c r="E526" i="25"/>
  <c r="B527" i="25"/>
  <c r="C527" i="25"/>
  <c r="D527" i="25"/>
  <c r="E527" i="25"/>
  <c r="B528" i="25"/>
  <c r="C528" i="25"/>
  <c r="D528" i="25"/>
  <c r="E528" i="25"/>
  <c r="B529" i="25"/>
  <c r="C529" i="25"/>
  <c r="D529" i="25"/>
  <c r="E529" i="25"/>
  <c r="B530" i="25"/>
  <c r="C530" i="25"/>
  <c r="D530" i="25"/>
  <c r="E530" i="25"/>
  <c r="B531" i="25"/>
  <c r="C531" i="25"/>
  <c r="D531" i="25"/>
  <c r="E531" i="25"/>
  <c r="B532" i="25"/>
  <c r="C532" i="25"/>
  <c r="D532" i="25"/>
  <c r="E532" i="25"/>
  <c r="B533" i="25"/>
  <c r="C533" i="25"/>
  <c r="D533" i="25"/>
  <c r="E533" i="25"/>
  <c r="B534" i="25"/>
  <c r="C534" i="25"/>
  <c r="D534" i="25"/>
  <c r="E534" i="25"/>
  <c r="B535" i="25"/>
  <c r="C535" i="25"/>
  <c r="D535" i="25"/>
  <c r="E535" i="25"/>
  <c r="F134" i="74"/>
  <c r="F1162" i="94" s="1"/>
  <c r="A58" i="26"/>
  <c r="G58" i="26"/>
  <c r="A1" i="25"/>
  <c r="A50" i="25"/>
  <c r="A1" i="26"/>
  <c r="Q302" i="72"/>
  <c r="B32" i="82"/>
  <c r="B35" i="82" s="1"/>
  <c r="B36" i="82" s="1"/>
  <c r="I58" i="68"/>
  <c r="J616" i="94" s="1"/>
  <c r="P43" i="68"/>
  <c r="C31" i="74" s="1"/>
  <c r="H75" i="74"/>
  <c r="H1103" i="94" s="1"/>
  <c r="I75" i="74"/>
  <c r="I1103" i="94" s="1"/>
  <c r="J75" i="74"/>
  <c r="J1103" i="94" s="1"/>
  <c r="K75" i="74"/>
  <c r="K1103" i="94" s="1"/>
  <c r="J19" i="75" l="1"/>
  <c r="J788" i="94" s="1"/>
  <c r="L788" i="94" s="1"/>
  <c r="M788" i="94" s="1"/>
  <c r="J67" i="74"/>
  <c r="J1095" i="94" s="1"/>
  <c r="H28" i="87"/>
  <c r="J1087" i="94"/>
  <c r="J36" i="74"/>
  <c r="J1064" i="94" s="1"/>
  <c r="F129" i="74"/>
  <c r="F1157" i="94" s="1"/>
  <c r="F1150" i="94"/>
  <c r="H44" i="87"/>
  <c r="F1149" i="94"/>
  <c r="H30" i="87"/>
  <c r="B1119" i="94"/>
  <c r="H41" i="87"/>
  <c r="C1149" i="94"/>
  <c r="H35" i="87"/>
  <c r="G1119" i="94"/>
  <c r="R1082" i="94"/>
  <c r="S1082" i="94" s="1"/>
  <c r="H19" i="87"/>
  <c r="K1055" i="94"/>
  <c r="J21" i="75"/>
  <c r="H31" i="87"/>
  <c r="C1119" i="94"/>
  <c r="K36" i="74"/>
  <c r="K1064" i="94" s="1"/>
  <c r="I99" i="74"/>
  <c r="I1127" i="94" s="1"/>
  <c r="I1120" i="94"/>
  <c r="D99" i="74"/>
  <c r="D1127" i="94" s="1"/>
  <c r="D1120" i="94"/>
  <c r="H23" i="87"/>
  <c r="E1087" i="94"/>
  <c r="F98" i="74"/>
  <c r="F1126" i="94" s="1"/>
  <c r="H34" i="87"/>
  <c r="F1119" i="94"/>
  <c r="H10" i="87"/>
  <c r="B1055" i="94"/>
  <c r="H39" i="87"/>
  <c r="K1119" i="94"/>
  <c r="J99" i="74"/>
  <c r="J1127" i="94" s="1"/>
  <c r="J1120" i="94"/>
  <c r="F68" i="78"/>
  <c r="E514" i="94"/>
  <c r="F514" i="94" s="1"/>
  <c r="E98" i="74"/>
  <c r="E1126" i="94" s="1"/>
  <c r="H33" i="87"/>
  <c r="E1119" i="94"/>
  <c r="C99" i="74"/>
  <c r="C1127" i="94" s="1"/>
  <c r="C1120" i="94"/>
  <c r="H68" i="74"/>
  <c r="H1096" i="94" s="1"/>
  <c r="H1088" i="94"/>
  <c r="H37" i="87"/>
  <c r="I1119" i="94"/>
  <c r="J98" i="74"/>
  <c r="J1126" i="94" s="1"/>
  <c r="H38" i="87"/>
  <c r="J1119" i="94"/>
  <c r="H14" i="87"/>
  <c r="F1055" i="94"/>
  <c r="H43" i="87"/>
  <c r="E1149" i="94"/>
  <c r="D67" i="74"/>
  <c r="D1095" i="94" s="1"/>
  <c r="H22" i="87"/>
  <c r="D1087" i="94"/>
  <c r="I36" i="74"/>
  <c r="I1064" i="94" s="1"/>
  <c r="I1056" i="94"/>
  <c r="B1058" i="94"/>
  <c r="C30" i="74"/>
  <c r="D30" i="74" s="1"/>
  <c r="E30" i="74" s="1"/>
  <c r="F30" i="74" s="1"/>
  <c r="G30" i="74" s="1"/>
  <c r="H30" i="74" s="1"/>
  <c r="I30" i="74" s="1"/>
  <c r="J30" i="74" s="1"/>
  <c r="K30" i="74" s="1"/>
  <c r="B62" i="74" s="1"/>
  <c r="C62" i="74" s="1"/>
  <c r="D62" i="74" s="1"/>
  <c r="E62" i="74" s="1"/>
  <c r="F62" i="74" s="1"/>
  <c r="G62" i="74" s="1"/>
  <c r="H62" i="74" s="1"/>
  <c r="I62" i="74" s="1"/>
  <c r="J62" i="74" s="1"/>
  <c r="K62" i="74" s="1"/>
  <c r="B128" i="74"/>
  <c r="B1156" i="94" s="1"/>
  <c r="H40" i="87"/>
  <c r="B1149" i="94"/>
  <c r="F99" i="74"/>
  <c r="F1127" i="94" s="1"/>
  <c r="I68" i="74"/>
  <c r="I1096" i="94" s="1"/>
  <c r="I1088" i="94"/>
  <c r="H11" i="87"/>
  <c r="C1055" i="94"/>
  <c r="H13" i="87"/>
  <c r="E1055" i="94"/>
  <c r="H42" i="87"/>
  <c r="D1149" i="94"/>
  <c r="H18" i="87"/>
  <c r="J1055" i="94"/>
  <c r="G35" i="74"/>
  <c r="G1063" i="94" s="1"/>
  <c r="H15" i="87"/>
  <c r="G1055" i="94"/>
  <c r="E129" i="74"/>
  <c r="E1157" i="94" s="1"/>
  <c r="E1150" i="94"/>
  <c r="I35" i="74"/>
  <c r="I1063" i="94" s="1"/>
  <c r="H17" i="87"/>
  <c r="I1055" i="94"/>
  <c r="C129" i="74"/>
  <c r="C1157" i="94" s="1"/>
  <c r="C1150" i="94"/>
  <c r="R1144" i="94" s="1"/>
  <c r="S1144" i="94" s="1"/>
  <c r="E68" i="74"/>
  <c r="E1096" i="94" s="1"/>
  <c r="E1088" i="94"/>
  <c r="H67" i="74"/>
  <c r="H1095" i="94" s="1"/>
  <c r="H26" i="87"/>
  <c r="H1087" i="94"/>
  <c r="D35" i="74"/>
  <c r="D1063" i="94" s="1"/>
  <c r="H12" i="87"/>
  <c r="D1055" i="94"/>
  <c r="C67" i="74"/>
  <c r="C1095" i="94" s="1"/>
  <c r="H21" i="87"/>
  <c r="C1087" i="94"/>
  <c r="B99" i="74"/>
  <c r="B1127" i="94" s="1"/>
  <c r="B1120" i="94"/>
  <c r="F36" i="74"/>
  <c r="F1064" i="94" s="1"/>
  <c r="F1056" i="94"/>
  <c r="D98" i="74"/>
  <c r="D1126" i="94" s="1"/>
  <c r="H32" i="87"/>
  <c r="D1119" i="94"/>
  <c r="B67" i="74"/>
  <c r="B1095" i="94" s="1"/>
  <c r="H20" i="87"/>
  <c r="B1087" i="94"/>
  <c r="H35" i="74"/>
  <c r="H1063" i="94" s="1"/>
  <c r="H16" i="87"/>
  <c r="H1055" i="94"/>
  <c r="G67" i="74"/>
  <c r="G1095" i="94" s="1"/>
  <c r="H25" i="87"/>
  <c r="G1087" i="94"/>
  <c r="F68" i="74"/>
  <c r="F1096" i="94" s="1"/>
  <c r="F1088" i="94"/>
  <c r="E128" i="74"/>
  <c r="E1156" i="94" s="1"/>
  <c r="C12" i="86"/>
  <c r="B1069" i="94"/>
  <c r="C36" i="74"/>
  <c r="C1064" i="94" s="1"/>
  <c r="C1056" i="94"/>
  <c r="H98" i="74"/>
  <c r="H1126" i="94" s="1"/>
  <c r="H36" i="87"/>
  <c r="H1119" i="94"/>
  <c r="H24" i="87"/>
  <c r="F1087" i="94"/>
  <c r="H27" i="87"/>
  <c r="I1087" i="94"/>
  <c r="H29" i="87"/>
  <c r="K1087" i="94"/>
  <c r="D56" i="86"/>
  <c r="E25" i="74"/>
  <c r="B13" i="87" s="1"/>
  <c r="C1147" i="94"/>
  <c r="C57" i="74"/>
  <c r="B21" i="87" s="1"/>
  <c r="J610" i="94"/>
  <c r="J611" i="94" s="1"/>
  <c r="L411" i="94"/>
  <c r="L412" i="94" s="1"/>
  <c r="F84" i="92"/>
  <c r="C1059" i="94"/>
  <c r="F34" i="86"/>
  <c r="P422" i="94"/>
  <c r="E41" i="87"/>
  <c r="C1148" i="94"/>
  <c r="E39" i="87"/>
  <c r="K1118" i="94"/>
  <c r="E21" i="87"/>
  <c r="C1086" i="94"/>
  <c r="E16" i="87"/>
  <c r="H1054" i="94"/>
  <c r="P418" i="94"/>
  <c r="B32" i="87"/>
  <c r="D1117" i="94"/>
  <c r="J57" i="74"/>
  <c r="F57" i="74"/>
  <c r="D57" i="74"/>
  <c r="H57" i="74"/>
  <c r="B57" i="74"/>
  <c r="I57" i="74"/>
  <c r="J25" i="74"/>
  <c r="K25" i="74"/>
  <c r="H25" i="74"/>
  <c r="G25" i="74"/>
  <c r="B44" i="87"/>
  <c r="F1147" i="94"/>
  <c r="E1053" i="94"/>
  <c r="B41" i="87"/>
  <c r="F25" i="74"/>
  <c r="C25" i="74"/>
  <c r="B36" i="87"/>
  <c r="H1117" i="94"/>
  <c r="K57" i="74"/>
  <c r="K65" i="82" s="1"/>
  <c r="E57" i="74"/>
  <c r="G57" i="74"/>
  <c r="B25" i="74"/>
  <c r="I25" i="74"/>
  <c r="D25" i="74"/>
  <c r="E65" i="89"/>
  <c r="P6" i="75"/>
  <c r="T1833" i="94"/>
  <c r="P775" i="94"/>
  <c r="N775" i="94"/>
  <c r="O65" i="94"/>
  <c r="K40" i="66"/>
  <c r="I65" i="94"/>
  <c r="A2" i="88"/>
  <c r="H1" i="95"/>
  <c r="Q55" i="73"/>
  <c r="Q1225" i="94" s="1"/>
  <c r="P2070" i="94"/>
  <c r="L338" i="72"/>
  <c r="O1993" i="94"/>
  <c r="L379" i="72"/>
  <c r="O2034" i="94"/>
  <c r="L2034" i="94" s="1"/>
  <c r="O340" i="72"/>
  <c r="O1995" i="94" s="1"/>
  <c r="Q1995" i="94" s="1"/>
  <c r="O1989" i="94"/>
  <c r="E13" i="72"/>
  <c r="E1668" i="94" s="1"/>
  <c r="O1767" i="94"/>
  <c r="L236" i="72"/>
  <c r="P1767" i="94"/>
  <c r="L274" i="72"/>
  <c r="L1929" i="94" s="1"/>
  <c r="O1719" i="94"/>
  <c r="P55" i="73"/>
  <c r="P1225" i="94" s="1"/>
  <c r="A892" i="94"/>
  <c r="B36" i="74"/>
  <c r="B1064" i="94" s="1"/>
  <c r="L45" i="75"/>
  <c r="M45" i="75" s="1"/>
  <c r="J814" i="94"/>
  <c r="L814" i="94" s="1"/>
  <c r="M814" i="94" s="1"/>
  <c r="L21" i="75"/>
  <c r="M21" i="75" s="1"/>
  <c r="J790" i="94"/>
  <c r="L790" i="94" s="1"/>
  <c r="M790" i="94" s="1"/>
  <c r="L38" i="75"/>
  <c r="M38" i="75" s="1"/>
  <c r="J807" i="94"/>
  <c r="L807" i="94" s="1"/>
  <c r="M807" i="94" s="1"/>
  <c r="L46" i="75"/>
  <c r="M46" i="75" s="1"/>
  <c r="J815" i="94"/>
  <c r="L815" i="94" s="1"/>
  <c r="M815" i="94" s="1"/>
  <c r="L23" i="75"/>
  <c r="M23" i="75" s="1"/>
  <c r="J792" i="94"/>
  <c r="L792" i="94" s="1"/>
  <c r="M792" i="94" s="1"/>
  <c r="L31" i="75"/>
  <c r="M31" i="75" s="1"/>
  <c r="J800" i="94"/>
  <c r="L800" i="94" s="1"/>
  <c r="M800" i="94" s="1"/>
  <c r="L24" i="75"/>
  <c r="M24" i="75" s="1"/>
  <c r="J793" i="94"/>
  <c r="L793" i="94" s="1"/>
  <c r="M793" i="94" s="1"/>
  <c r="L32" i="75"/>
  <c r="M32" i="75" s="1"/>
  <c r="J801" i="94"/>
  <c r="L801" i="94" s="1"/>
  <c r="M801" i="94" s="1"/>
  <c r="L40" i="75"/>
  <c r="M40" i="75" s="1"/>
  <c r="J809" i="94"/>
  <c r="L809" i="94" s="1"/>
  <c r="M809" i="94" s="1"/>
  <c r="L25" i="75"/>
  <c r="M25" i="75" s="1"/>
  <c r="J794" i="94"/>
  <c r="L794" i="94" s="1"/>
  <c r="M794" i="94" s="1"/>
  <c r="L33" i="75"/>
  <c r="M33" i="75" s="1"/>
  <c r="J802" i="94"/>
  <c r="L802" i="94" s="1"/>
  <c r="M802" i="94" s="1"/>
  <c r="L18" i="75"/>
  <c r="M18" i="75" s="1"/>
  <c r="J787" i="94"/>
  <c r="L787" i="94" s="1"/>
  <c r="M787" i="94" s="1"/>
  <c r="L26" i="75"/>
  <c r="M26" i="75" s="1"/>
  <c r="J795" i="94"/>
  <c r="L795" i="94" s="1"/>
  <c r="M795" i="94" s="1"/>
  <c r="L34" i="75"/>
  <c r="M34" i="75" s="1"/>
  <c r="J803" i="94"/>
  <c r="L803" i="94" s="1"/>
  <c r="M803" i="94" s="1"/>
  <c r="L42" i="75"/>
  <c r="M42" i="75" s="1"/>
  <c r="J811" i="94"/>
  <c r="L811" i="94" s="1"/>
  <c r="M811" i="94" s="1"/>
  <c r="L27" i="75"/>
  <c r="M27" i="75" s="1"/>
  <c r="J796" i="94"/>
  <c r="L796" i="94" s="1"/>
  <c r="M796" i="94" s="1"/>
  <c r="L35" i="75"/>
  <c r="M35" i="75" s="1"/>
  <c r="J804" i="94"/>
  <c r="L804" i="94" s="1"/>
  <c r="M804" i="94" s="1"/>
  <c r="L28" i="75"/>
  <c r="M28" i="75" s="1"/>
  <c r="J797" i="94"/>
  <c r="L797" i="94" s="1"/>
  <c r="M797" i="94" s="1"/>
  <c r="L36" i="75"/>
  <c r="M36" i="75" s="1"/>
  <c r="J805" i="94"/>
  <c r="L805" i="94" s="1"/>
  <c r="M805" i="94" s="1"/>
  <c r="C32" i="86"/>
  <c r="G32" i="86"/>
  <c r="I12" i="86"/>
  <c r="L19" i="75"/>
  <c r="M19" i="75" s="1"/>
  <c r="L29" i="75"/>
  <c r="M29" i="75" s="1"/>
  <c r="L37" i="75"/>
  <c r="M37" i="75" s="1"/>
  <c r="L39" i="75"/>
  <c r="M39" i="75" s="1"/>
  <c r="L47" i="75"/>
  <c r="M47" i="75" s="1"/>
  <c r="L41" i="75"/>
  <c r="M41" i="75" s="1"/>
  <c r="L30" i="75"/>
  <c r="M30" i="75" s="1"/>
  <c r="L43" i="75"/>
  <c r="M43" i="75" s="1"/>
  <c r="L17" i="75"/>
  <c r="M17" i="75" s="1"/>
  <c r="L44" i="75"/>
  <c r="M44" i="75" s="1"/>
  <c r="A123" i="75"/>
  <c r="M294" i="72"/>
  <c r="Q338" i="72"/>
  <c r="B44" i="78"/>
  <c r="F47" i="78" s="1"/>
  <c r="C8" i="90"/>
  <c r="C139" i="90" s="1"/>
  <c r="J20" i="75"/>
  <c r="J789" i="94" s="1"/>
  <c r="L789" i="94" s="1"/>
  <c r="M789" i="94" s="1"/>
  <c r="F37" i="78"/>
  <c r="F483" i="94" s="1"/>
  <c r="D31" i="74"/>
  <c r="F35" i="78"/>
  <c r="J22" i="75"/>
  <c r="J791" i="94" s="1"/>
  <c r="L791" i="94" s="1"/>
  <c r="M791" i="94" s="1"/>
  <c r="I31" i="74"/>
  <c r="H31" i="74"/>
  <c r="C21" i="90"/>
  <c r="K31" i="74"/>
  <c r="G31" i="74"/>
  <c r="F16" i="86"/>
  <c r="M132" i="78"/>
  <c r="M149" i="78" s="1"/>
  <c r="M151" i="78" s="1"/>
  <c r="M153" i="78" s="1"/>
  <c r="S132" i="78"/>
  <c r="J164" i="78"/>
  <c r="E35" i="78"/>
  <c r="P132" i="78"/>
  <c r="P149" i="78" s="1"/>
  <c r="P151" i="78" s="1"/>
  <c r="P153" i="78" s="1"/>
  <c r="V132" i="78"/>
  <c r="E36" i="78"/>
  <c r="E37" i="78"/>
  <c r="H1" i="91"/>
  <c r="K60" i="84"/>
  <c r="G60" i="84"/>
  <c r="I60" i="84"/>
  <c r="K59" i="84"/>
  <c r="G61" i="84"/>
  <c r="I61" i="84"/>
  <c r="K61" i="84"/>
  <c r="E61" i="84"/>
  <c r="FU48" i="75"/>
  <c r="N167" i="75" s="1"/>
  <c r="JT48" i="75"/>
  <c r="L128" i="75" s="1"/>
  <c r="HD48" i="75"/>
  <c r="N117" i="75" s="1"/>
  <c r="HY48" i="75"/>
  <c r="IW48" i="75"/>
  <c r="N145" i="75" s="1"/>
  <c r="JH48" i="75"/>
  <c r="O143" i="75" s="1"/>
  <c r="NC48" i="75"/>
  <c r="EG48" i="75"/>
  <c r="N66" i="75" s="1"/>
  <c r="FY48" i="75"/>
  <c r="GL48" i="75"/>
  <c r="K114" i="75" s="1"/>
  <c r="GT48" i="75"/>
  <c r="IB48" i="75"/>
  <c r="JX48" i="75"/>
  <c r="K129" i="75" s="1"/>
  <c r="KN48" i="75"/>
  <c r="L132" i="75" s="1"/>
  <c r="LD48" i="75"/>
  <c r="M135" i="75" s="1"/>
  <c r="MU48" i="75"/>
  <c r="C58" i="84"/>
  <c r="KM48" i="75"/>
  <c r="K132" i="75" s="1"/>
  <c r="FT48" i="75"/>
  <c r="M167" i="75" s="1"/>
  <c r="M14" i="75"/>
  <c r="GC48" i="75"/>
  <c r="L169" i="75" s="1"/>
  <c r="IF48" i="75"/>
  <c r="L138" i="75" s="1"/>
  <c r="E59" i="84"/>
  <c r="M16" i="75"/>
  <c r="I59" i="84"/>
  <c r="G59" i="84"/>
  <c r="M12" i="75"/>
  <c r="C1" i="86"/>
  <c r="P95" i="72"/>
  <c r="O95" i="72"/>
  <c r="O1750" i="94" s="1"/>
  <c r="IR48" i="75"/>
  <c r="N144" i="75" s="1"/>
  <c r="F117" i="78"/>
  <c r="F563" i="94" s="1"/>
  <c r="D43" i="68"/>
  <c r="D422" i="94" s="1"/>
  <c r="F113" i="78"/>
  <c r="F559" i="94" s="1"/>
  <c r="C133" i="90"/>
  <c r="L59" i="85" s="1"/>
  <c r="F116" i="78"/>
  <c r="F562" i="94" s="1"/>
  <c r="BR48" i="75"/>
  <c r="L98" i="75" s="1"/>
  <c r="DD48" i="75"/>
  <c r="O109" i="75" s="1"/>
  <c r="LS48" i="75"/>
  <c r="CD48" i="75"/>
  <c r="N96" i="75" s="1"/>
  <c r="DQ48" i="75"/>
  <c r="M106" i="75" s="1"/>
  <c r="MJ48" i="75"/>
  <c r="EZ48" i="75"/>
  <c r="M162" i="75" s="1"/>
  <c r="CG48" i="75"/>
  <c r="L95" i="75" s="1"/>
  <c r="DO48" i="75"/>
  <c r="K106" i="75" s="1"/>
  <c r="DN48" i="75"/>
  <c r="O107" i="75" s="1"/>
  <c r="II48" i="75"/>
  <c r="O138" i="75" s="1"/>
  <c r="JM48" i="75"/>
  <c r="O140" i="75" s="1"/>
  <c r="KK48" i="75"/>
  <c r="N131" i="75" s="1"/>
  <c r="N156" i="75" s="1"/>
  <c r="GK48" i="75"/>
  <c r="O113" i="75" s="1"/>
  <c r="DJ48" i="75"/>
  <c r="K107" i="75" s="1"/>
  <c r="DS48" i="75"/>
  <c r="O106" i="75" s="1"/>
  <c r="KE48" i="75"/>
  <c r="M130" i="75" s="1"/>
  <c r="M155" i="75" s="1"/>
  <c r="NB48" i="75"/>
  <c r="HT48" i="75"/>
  <c r="O120" i="75" s="1"/>
  <c r="BG48" i="75"/>
  <c r="K64" i="75" s="1"/>
  <c r="BH48" i="75"/>
  <c r="L64" i="75" s="1"/>
  <c r="FR48" i="75"/>
  <c r="K167" i="75" s="1"/>
  <c r="FZ48" i="75"/>
  <c r="GU48" i="75"/>
  <c r="HU48" i="75"/>
  <c r="IS48" i="75"/>
  <c r="O144" i="75" s="1"/>
  <c r="JQ48" i="75"/>
  <c r="N141" i="75" s="1"/>
  <c r="JY48" i="75"/>
  <c r="L129" i="75" s="1"/>
  <c r="MV48" i="75"/>
  <c r="AV48" i="75"/>
  <c r="O60" i="75" s="1"/>
  <c r="AZ48" i="75"/>
  <c r="N61" i="75" s="1"/>
  <c r="DA48" i="75"/>
  <c r="L109" i="75" s="1"/>
  <c r="AG48" i="75"/>
  <c r="O57" i="75" s="1"/>
  <c r="MA48" i="75"/>
  <c r="MI48" i="75"/>
  <c r="IT48" i="75"/>
  <c r="K145" i="75" s="1"/>
  <c r="LF48" i="75"/>
  <c r="O135" i="75" s="1"/>
  <c r="BF48" i="75"/>
  <c r="O62" i="75" s="1"/>
  <c r="MK48" i="75"/>
  <c r="AC48" i="75"/>
  <c r="K57" i="75" s="1"/>
  <c r="FF48" i="75"/>
  <c r="N163" i="75" s="1"/>
  <c r="LW48" i="75"/>
  <c r="ME48" i="75"/>
  <c r="MM48" i="75"/>
  <c r="G16" i="86"/>
  <c r="C16" i="86"/>
  <c r="E170" i="90"/>
  <c r="E16" i="86"/>
  <c r="HO48" i="75"/>
  <c r="O119" i="75" s="1"/>
  <c r="FB48" i="75"/>
  <c r="O162" i="75" s="1"/>
  <c r="AB48" i="75"/>
  <c r="O56" i="75" s="1"/>
  <c r="AH48" i="75"/>
  <c r="K58" i="75" s="1"/>
  <c r="AO48" i="75"/>
  <c r="M59" i="75" s="1"/>
  <c r="FJ48" i="75"/>
  <c r="M164" i="75" s="1"/>
  <c r="GY48" i="75"/>
  <c r="N116" i="75" s="1"/>
  <c r="AY48" i="75"/>
  <c r="M61" i="75" s="1"/>
  <c r="CZ48" i="75"/>
  <c r="K109" i="75" s="1"/>
  <c r="AM48" i="75"/>
  <c r="K59" i="75" s="1"/>
  <c r="BD48" i="75"/>
  <c r="M62" i="75" s="1"/>
  <c r="FI48" i="75"/>
  <c r="L164" i="75" s="1"/>
  <c r="GW48" i="75"/>
  <c r="L116" i="75" s="1"/>
  <c r="AW48" i="75"/>
  <c r="K61" i="75" s="1"/>
  <c r="BT48" i="75"/>
  <c r="N98" i="75" s="1"/>
  <c r="X48" i="75"/>
  <c r="K56" i="75" s="1"/>
  <c r="AT48" i="75"/>
  <c r="M60" i="75" s="1"/>
  <c r="AE48" i="75"/>
  <c r="M57" i="75" s="1"/>
  <c r="EH48" i="75"/>
  <c r="O66" i="75" s="1"/>
  <c r="EL48" i="75"/>
  <c r="N159" i="75" s="1"/>
  <c r="HM48" i="75"/>
  <c r="M119" i="75" s="1"/>
  <c r="EA48" i="75"/>
  <c r="M104" i="75" s="1"/>
  <c r="GH48" i="75"/>
  <c r="L113" i="75" s="1"/>
  <c r="GZ48" i="75"/>
  <c r="O116" i="75" s="1"/>
  <c r="LV48" i="75"/>
  <c r="MD48" i="75"/>
  <c r="ML48" i="75"/>
  <c r="AS48" i="75"/>
  <c r="L60" i="75" s="1"/>
  <c r="DL48" i="75"/>
  <c r="M107" i="75" s="1"/>
  <c r="CI48" i="75"/>
  <c r="N95" i="75" s="1"/>
  <c r="AR48" i="75"/>
  <c r="K60" i="75" s="1"/>
  <c r="AJ48" i="75"/>
  <c r="M58" i="75" s="1"/>
  <c r="AQ48" i="75"/>
  <c r="O59" i="75" s="1"/>
  <c r="FE48" i="75"/>
  <c r="M163" i="75" s="1"/>
  <c r="AL48" i="75"/>
  <c r="O58" i="75" s="1"/>
  <c r="BB48" i="75"/>
  <c r="K62" i="75" s="1"/>
  <c r="CB48" i="75"/>
  <c r="L96" i="75" s="1"/>
  <c r="LR48" i="75"/>
  <c r="Z48" i="75"/>
  <c r="M56" i="75" s="1"/>
  <c r="GV48" i="75"/>
  <c r="K116" i="75" s="1"/>
  <c r="HN48" i="75"/>
  <c r="N119" i="75" s="1"/>
  <c r="BS48" i="75"/>
  <c r="M98" i="75" s="1"/>
  <c r="AA48" i="75"/>
  <c r="N56" i="75" s="1"/>
  <c r="AN48" i="75"/>
  <c r="L59" i="75" s="1"/>
  <c r="BE48" i="75"/>
  <c r="N62" i="75" s="1"/>
  <c r="BK48" i="75"/>
  <c r="O64" i="75" s="1"/>
  <c r="GP48" i="75"/>
  <c r="O114" i="75" s="1"/>
  <c r="HX48" i="75"/>
  <c r="IN48" i="75"/>
  <c r="O139" i="75" s="1"/>
  <c r="IV48" i="75"/>
  <c r="M145" i="75" s="1"/>
  <c r="JD48" i="75"/>
  <c r="K143" i="75" s="1"/>
  <c r="JL48" i="75"/>
  <c r="N140" i="75" s="1"/>
  <c r="KB48" i="75"/>
  <c r="O129" i="75" s="1"/>
  <c r="KJ48" i="75"/>
  <c r="M131" i="75" s="1"/>
  <c r="M156" i="75" s="1"/>
  <c r="KZ48" i="75"/>
  <c r="N134" i="75" s="1"/>
  <c r="MQ48" i="75"/>
  <c r="MY48" i="75"/>
  <c r="GI48" i="75"/>
  <c r="M113" i="75" s="1"/>
  <c r="HK48" i="75"/>
  <c r="K119" i="75" s="1"/>
  <c r="BA48" i="75"/>
  <c r="O61" i="75" s="1"/>
  <c r="DB48" i="75"/>
  <c r="M109" i="75" s="1"/>
  <c r="GJ48" i="75"/>
  <c r="N113" i="75" s="1"/>
  <c r="HL48" i="75"/>
  <c r="L119" i="75" s="1"/>
  <c r="BQ48" i="75"/>
  <c r="K98" i="75" s="1"/>
  <c r="DC48" i="75"/>
  <c r="N109" i="75" s="1"/>
  <c r="AD48" i="75"/>
  <c r="L57" i="75" s="1"/>
  <c r="AK48" i="75"/>
  <c r="N58" i="75" s="1"/>
  <c r="FK48" i="75"/>
  <c r="N164" i="75" s="1"/>
  <c r="EX48" i="75"/>
  <c r="K162" i="75" s="1"/>
  <c r="Y48" i="75"/>
  <c r="L56" i="75" s="1"/>
  <c r="AU48" i="75"/>
  <c r="N60" i="75" s="1"/>
  <c r="AF48" i="75"/>
  <c r="N57" i="75" s="1"/>
  <c r="BC48" i="75"/>
  <c r="L62" i="75" s="1"/>
  <c r="HH48" i="75"/>
  <c r="KO48" i="75"/>
  <c r="M132" i="75" s="1"/>
  <c r="KW48" i="75"/>
  <c r="K134" i="75" s="1"/>
  <c r="ND48" i="75"/>
  <c r="GX48" i="75"/>
  <c r="M116" i="75" s="1"/>
  <c r="CE48" i="75"/>
  <c r="O96" i="75" s="1"/>
  <c r="CF48" i="75"/>
  <c r="K95" i="75" s="1"/>
  <c r="DR48" i="75"/>
  <c r="N106" i="75" s="1"/>
  <c r="AX48" i="75"/>
  <c r="L61" i="75" s="1"/>
  <c r="BU48" i="75"/>
  <c r="O98" i="75" s="1"/>
  <c r="EB48" i="75"/>
  <c r="N104" i="75" s="1"/>
  <c r="FH48" i="75"/>
  <c r="K164" i="75" s="1"/>
  <c r="FC48" i="75"/>
  <c r="K163" i="75" s="1"/>
  <c r="LX48" i="75"/>
  <c r="MF48" i="75"/>
  <c r="MN48" i="75"/>
  <c r="BI48" i="75"/>
  <c r="M64" i="75" s="1"/>
  <c r="FS48" i="75"/>
  <c r="L167" i="75" s="1"/>
  <c r="GA48" i="75"/>
  <c r="GN48" i="75"/>
  <c r="M114" i="75" s="1"/>
  <c r="HA48" i="75"/>
  <c r="K117" i="75" s="1"/>
  <c r="HI48" i="75"/>
  <c r="ID48" i="75"/>
  <c r="JB48" i="75"/>
  <c r="N142" i="75" s="1"/>
  <c r="JJ48" i="75"/>
  <c r="L140" i="75" s="1"/>
  <c r="JR48" i="75"/>
  <c r="O141" i="75" s="1"/>
  <c r="JZ48" i="75"/>
  <c r="M129" i="75" s="1"/>
  <c r="KP48" i="75"/>
  <c r="N132" i="75" s="1"/>
  <c r="KX48" i="75"/>
  <c r="L134" i="75" s="1"/>
  <c r="MW48" i="75"/>
  <c r="GG48" i="75"/>
  <c r="K113" i="75" s="1"/>
  <c r="CP48" i="75"/>
  <c r="K93" i="75" s="1"/>
  <c r="FD48" i="75"/>
  <c r="L163" i="75" s="1"/>
  <c r="LQ48" i="75"/>
  <c r="LY48" i="75"/>
  <c r="MG48" i="75"/>
  <c r="MO48" i="75"/>
  <c r="BJ48" i="75"/>
  <c r="N64" i="75" s="1"/>
  <c r="GB48" i="75"/>
  <c r="K169" i="75" s="1"/>
  <c r="HB48" i="75"/>
  <c r="L117" i="75" s="1"/>
  <c r="HJ48" i="75"/>
  <c r="IE48" i="75"/>
  <c r="K138" i="75" s="1"/>
  <c r="IM48" i="75"/>
  <c r="N139" i="75" s="1"/>
  <c r="JC48" i="75"/>
  <c r="O142" i="75" s="1"/>
  <c r="JK48" i="75"/>
  <c r="M140" i="75" s="1"/>
  <c r="JS48" i="75"/>
  <c r="K128" i="75" s="1"/>
  <c r="KA48" i="75"/>
  <c r="N129" i="75" s="1"/>
  <c r="KI48" i="75"/>
  <c r="L131" i="75" s="1"/>
  <c r="L156" i="75" s="1"/>
  <c r="KQ48" i="75"/>
  <c r="O132" i="75" s="1"/>
  <c r="KY48" i="75"/>
  <c r="M134" i="75" s="1"/>
  <c r="MP48" i="75"/>
  <c r="MX48" i="75"/>
  <c r="DK48" i="75"/>
  <c r="L107" i="75" s="1"/>
  <c r="CH48" i="75"/>
  <c r="M95" i="75" s="1"/>
  <c r="AI48" i="75"/>
  <c r="L58" i="75" s="1"/>
  <c r="AP48" i="75"/>
  <c r="N59" i="75" s="1"/>
  <c r="CS48" i="75"/>
  <c r="N93" i="75" s="1"/>
  <c r="FA48" i="75"/>
  <c r="N162" i="75" s="1"/>
  <c r="LZ48" i="75"/>
  <c r="MH48" i="75"/>
  <c r="ED48" i="75"/>
  <c r="K66" i="75" s="1"/>
  <c r="FV48" i="75"/>
  <c r="O167" i="75" s="1"/>
  <c r="GQ48" i="75"/>
  <c r="HQ48" i="75"/>
  <c r="L120" i="75" s="1"/>
  <c r="IO48" i="75"/>
  <c r="K144" i="75" s="1"/>
  <c r="JE48" i="75"/>
  <c r="L143" i="75" s="1"/>
  <c r="KC48" i="75"/>
  <c r="K130" i="75" s="1"/>
  <c r="K155" i="75" s="1"/>
  <c r="LA48" i="75"/>
  <c r="O134" i="75" s="1"/>
  <c r="MR48" i="75"/>
  <c r="CA48" i="75"/>
  <c r="K96" i="75" s="1"/>
  <c r="DM48" i="75"/>
  <c r="N107" i="75" s="1"/>
  <c r="CJ48" i="75"/>
  <c r="O95" i="75" s="1"/>
  <c r="FL48" i="75"/>
  <c r="O164" i="75" s="1"/>
  <c r="EY48" i="75"/>
  <c r="L162" i="75" s="1"/>
  <c r="EP48" i="75"/>
  <c r="M160" i="75" s="1"/>
  <c r="FG48" i="75"/>
  <c r="O163" i="75" s="1"/>
  <c r="LT48" i="75"/>
  <c r="MB48" i="75"/>
  <c r="EE48" i="75"/>
  <c r="L66" i="75" s="1"/>
  <c r="IX48" i="75"/>
  <c r="O145" i="75" s="1"/>
  <c r="KD48" i="75"/>
  <c r="L130" i="75" s="1"/>
  <c r="L155" i="75" s="1"/>
  <c r="NA48" i="75"/>
  <c r="LU48" i="75"/>
  <c r="MC48" i="75"/>
  <c r="EF48" i="75"/>
  <c r="M66" i="75" s="1"/>
  <c r="FX48" i="75"/>
  <c r="GS48" i="75"/>
  <c r="HF48" i="75"/>
  <c r="HS48" i="75"/>
  <c r="N120" i="75" s="1"/>
  <c r="IQ48" i="75"/>
  <c r="M144" i="75" s="1"/>
  <c r="IY48" i="75"/>
  <c r="K142" i="75" s="1"/>
  <c r="JG48" i="75"/>
  <c r="N143" i="75" s="1"/>
  <c r="JO48" i="75"/>
  <c r="L141" i="75" s="1"/>
  <c r="JW48" i="75"/>
  <c r="O128" i="75" s="1"/>
  <c r="KU48" i="75"/>
  <c r="N133" i="75" s="1"/>
  <c r="LC48" i="75"/>
  <c r="L135" i="75" s="1"/>
  <c r="MT48" i="75"/>
  <c r="CC48" i="75"/>
  <c r="M96" i="75" s="1"/>
  <c r="DP48" i="75"/>
  <c r="L106" i="75" s="1"/>
  <c r="DT48" i="75"/>
  <c r="K105" i="75" s="1"/>
  <c r="FN48" i="75"/>
  <c r="L165" i="75" s="1"/>
  <c r="CQ48" i="75"/>
  <c r="L93" i="75" s="1"/>
  <c r="CX48" i="75"/>
  <c r="N110" i="75" s="1"/>
  <c r="HC48" i="75"/>
  <c r="M117" i="75" s="1"/>
  <c r="KR48" i="75"/>
  <c r="K133" i="75" s="1"/>
  <c r="EN48" i="75"/>
  <c r="K160" i="75" s="1"/>
  <c r="GF48" i="75"/>
  <c r="O169" i="75" s="1"/>
  <c r="DZ48" i="75"/>
  <c r="L104" i="75" s="1"/>
  <c r="IC48" i="75"/>
  <c r="IK48" i="75"/>
  <c r="L139" i="75" s="1"/>
  <c r="KG48" i="75"/>
  <c r="O130" i="75" s="1"/>
  <c r="O155" i="75" s="1"/>
  <c r="EI48" i="75"/>
  <c r="K159" i="75" s="1"/>
  <c r="FP48" i="75"/>
  <c r="N165" i="75" s="1"/>
  <c r="HV48" i="75"/>
  <c r="KH48" i="75"/>
  <c r="K131" i="75" s="1"/>
  <c r="K156" i="75" s="1"/>
  <c r="BO48" i="75"/>
  <c r="N99" i="75" s="1"/>
  <c r="CN48" i="75"/>
  <c r="N94" i="75" s="1"/>
  <c r="CK48" i="75"/>
  <c r="K94" i="75" s="1"/>
  <c r="CW48" i="75"/>
  <c r="M110" i="75" s="1"/>
  <c r="GO48" i="75"/>
  <c r="N114" i="75" s="1"/>
  <c r="HW48" i="75"/>
  <c r="IU48" i="75"/>
  <c r="L145" i="75" s="1"/>
  <c r="EJ48" i="75"/>
  <c r="L159" i="75" s="1"/>
  <c r="EK48" i="75"/>
  <c r="M159" i="75" s="1"/>
  <c r="ER48" i="75"/>
  <c r="O160" i="75" s="1"/>
  <c r="FM48" i="75"/>
  <c r="K165" i="75" s="1"/>
  <c r="FW48" i="75"/>
  <c r="GE48" i="75"/>
  <c r="N169" i="75" s="1"/>
  <c r="GR48" i="75"/>
  <c r="HE48" i="75"/>
  <c r="O117" i="75" s="1"/>
  <c r="HR48" i="75"/>
  <c r="M120" i="75" s="1"/>
  <c r="HZ48" i="75"/>
  <c r="IH48" i="75"/>
  <c r="N138" i="75" s="1"/>
  <c r="IP48" i="75"/>
  <c r="L144" i="75" s="1"/>
  <c r="JF48" i="75"/>
  <c r="M143" i="75" s="1"/>
  <c r="JN48" i="75"/>
  <c r="K141" i="75" s="1"/>
  <c r="JV48" i="75"/>
  <c r="N128" i="75" s="1"/>
  <c r="KL48" i="75"/>
  <c r="O131" i="75" s="1"/>
  <c r="O156" i="75" s="1"/>
  <c r="KT48" i="75"/>
  <c r="M133" i="75" s="1"/>
  <c r="LB48" i="75"/>
  <c r="K135" i="75" s="1"/>
  <c r="MS48" i="75"/>
  <c r="DX48" i="75"/>
  <c r="O105" i="75" s="1"/>
  <c r="BL48" i="75"/>
  <c r="K99" i="75" s="1"/>
  <c r="BX48" i="75"/>
  <c r="M97" i="75" s="1"/>
  <c r="CT48" i="75"/>
  <c r="O93" i="75" s="1"/>
  <c r="CU48" i="75"/>
  <c r="K110" i="75" s="1"/>
  <c r="CV48" i="75"/>
  <c r="L110" i="75" s="1"/>
  <c r="DG48" i="75"/>
  <c r="M108" i="75" s="1"/>
  <c r="DF48" i="75"/>
  <c r="L108" i="75" s="1"/>
  <c r="DV48" i="75"/>
  <c r="M105" i="75" s="1"/>
  <c r="DW48" i="75"/>
  <c r="N105" i="75" s="1"/>
  <c r="EC48" i="75"/>
  <c r="O104" i="75" s="1"/>
  <c r="EU48" i="75"/>
  <c r="M161" i="75" s="1"/>
  <c r="D38" i="78"/>
  <c r="N6" i="75"/>
  <c r="T178" i="72"/>
  <c r="A2" i="83"/>
  <c r="F12" i="85"/>
  <c r="E15" i="89"/>
  <c r="A1" i="87"/>
  <c r="A47" i="84"/>
  <c r="C28" i="90"/>
  <c r="G5" i="92" s="1"/>
  <c r="B129" i="74"/>
  <c r="B1157" i="94" s="1"/>
  <c r="D26" i="74"/>
  <c r="C34" i="86"/>
  <c r="K99" i="74"/>
  <c r="K1127" i="94" s="1"/>
  <c r="I26" i="74"/>
  <c r="J170" i="78"/>
  <c r="K26" i="74"/>
  <c r="B26" i="74"/>
  <c r="I32" i="86"/>
  <c r="D32" i="86"/>
  <c r="F12" i="86"/>
  <c r="D58" i="74"/>
  <c r="G26" i="74"/>
  <c r="C26" i="74"/>
  <c r="J26" i="74"/>
  <c r="E26" i="74"/>
  <c r="E31" i="74"/>
  <c r="F14" i="86" s="1"/>
  <c r="C98" i="74"/>
  <c r="C1126" i="94" s="1"/>
  <c r="E32" i="86"/>
  <c r="F26" i="74"/>
  <c r="B58" i="74"/>
  <c r="K98" i="74"/>
  <c r="K1126" i="94" s="1"/>
  <c r="H52" i="86"/>
  <c r="B35" i="74"/>
  <c r="B1063" i="94" s="1"/>
  <c r="B53" i="82"/>
  <c r="D16" i="86"/>
  <c r="G56" i="86"/>
  <c r="F56" i="86"/>
  <c r="C128" i="74"/>
  <c r="C1156" i="94" s="1"/>
  <c r="D52" i="86"/>
  <c r="I67" i="74"/>
  <c r="I1095" i="94" s="1"/>
  <c r="G36" i="74"/>
  <c r="G1064" i="94" s="1"/>
  <c r="K68" i="74"/>
  <c r="K1096" i="94" s="1"/>
  <c r="F36" i="86"/>
  <c r="E36" i="86"/>
  <c r="G98" i="74"/>
  <c r="G1126" i="94" s="1"/>
  <c r="H32" i="86"/>
  <c r="F67" i="74"/>
  <c r="F1095" i="94" s="1"/>
  <c r="E67" i="74"/>
  <c r="E1095" i="94" s="1"/>
  <c r="F32" i="86"/>
  <c r="E12" i="86"/>
  <c r="D12" i="86"/>
  <c r="H99" i="74"/>
  <c r="H1127" i="94" s="1"/>
  <c r="D129" i="74"/>
  <c r="D1157" i="94" s="1"/>
  <c r="E56" i="86"/>
  <c r="I36" i="86"/>
  <c r="C34" i="84"/>
  <c r="F128" i="74"/>
  <c r="F1156" i="94" s="1"/>
  <c r="B98" i="74"/>
  <c r="B1126" i="94" s="1"/>
  <c r="E52" i="86"/>
  <c r="H12" i="86"/>
  <c r="D36" i="74"/>
  <c r="D1064" i="94" s="1"/>
  <c r="E36" i="74"/>
  <c r="E1064" i="94" s="1"/>
  <c r="C29" i="84"/>
  <c r="K26" i="84" s="1"/>
  <c r="G36" i="86"/>
  <c r="H56" i="86"/>
  <c r="C56" i="86"/>
  <c r="F15" i="85"/>
  <c r="K67" i="74"/>
  <c r="K1095" i="94" s="1"/>
  <c r="G68" i="74"/>
  <c r="G1096" i="94" s="1"/>
  <c r="C36" i="86"/>
  <c r="H36" i="86"/>
  <c r="D36" i="86"/>
  <c r="G34" i="86"/>
  <c r="G12" i="86"/>
  <c r="G99" i="74"/>
  <c r="G1127" i="94" s="1"/>
  <c r="C1058" i="94"/>
  <c r="H16" i="86"/>
  <c r="I16" i="86"/>
  <c r="D14" i="86"/>
  <c r="F31" i="74"/>
  <c r="C52" i="86"/>
  <c r="G52" i="86"/>
  <c r="B31" i="74"/>
  <c r="J31" i="74"/>
  <c r="F52" i="86"/>
  <c r="H36" i="74"/>
  <c r="H1064" i="94" s="1"/>
  <c r="R116" i="74"/>
  <c r="S116" i="74" s="1"/>
  <c r="R86" i="74"/>
  <c r="S86" i="74" s="1"/>
  <c r="E99" i="74"/>
  <c r="E1127" i="94" s="1"/>
  <c r="R54" i="74"/>
  <c r="S54" i="74" s="1"/>
  <c r="D68" i="74"/>
  <c r="D1096" i="94" s="1"/>
  <c r="A48" i="75"/>
  <c r="A5" i="75" s="1"/>
  <c r="GD48" i="75"/>
  <c r="M169" i="75" s="1"/>
  <c r="IG48" i="75"/>
  <c r="M138" i="75" s="1"/>
  <c r="JU48" i="75"/>
  <c r="M128" i="75" s="1"/>
  <c r="KS48" i="75"/>
  <c r="L133" i="75" s="1"/>
  <c r="MZ48" i="75"/>
  <c r="HG48" i="75"/>
  <c r="IJ48" i="75"/>
  <c r="K139" i="75" s="1"/>
  <c r="IZ48" i="75"/>
  <c r="L142" i="75" s="1"/>
  <c r="JP48" i="75"/>
  <c r="M141" i="75" s="1"/>
  <c r="KF48" i="75"/>
  <c r="N130" i="75" s="1"/>
  <c r="N155" i="75" s="1"/>
  <c r="KV48" i="75"/>
  <c r="O133" i="75" s="1"/>
  <c r="J375" i="73"/>
  <c r="F115" i="78"/>
  <c r="F561" i="94" s="1"/>
  <c r="C55" i="84"/>
  <c r="GM48" i="75"/>
  <c r="L114" i="75" s="1"/>
  <c r="JA48" i="75"/>
  <c r="M142" i="75" s="1"/>
  <c r="JI48" i="75"/>
  <c r="K140" i="75" s="1"/>
  <c r="LE48" i="75"/>
  <c r="N135" i="75" s="1"/>
  <c r="IL48" i="75"/>
  <c r="M139" i="75" s="1"/>
  <c r="L32" i="68"/>
  <c r="G132" i="78"/>
  <c r="D13" i="74"/>
  <c r="C23" i="74"/>
  <c r="C1051" i="94" s="1"/>
  <c r="J132" i="78"/>
  <c r="J149" i="78" s="1"/>
  <c r="HP48" i="75"/>
  <c r="K120" i="75" s="1"/>
  <c r="IA48" i="75"/>
  <c r="J68" i="74"/>
  <c r="J1096" i="94" s="1"/>
  <c r="A1" i="89"/>
  <c r="H2" i="91"/>
  <c r="A2" i="90"/>
  <c r="F13" i="85"/>
  <c r="A2" i="84"/>
  <c r="O22" i="86"/>
  <c r="O12" i="86"/>
  <c r="D16" i="83"/>
  <c r="BM48" i="75"/>
  <c r="L99" i="75" s="1"/>
  <c r="BY48" i="75"/>
  <c r="N97" i="75" s="1"/>
  <c r="CR48" i="75"/>
  <c r="M93" i="75" s="1"/>
  <c r="BP48" i="75"/>
  <c r="O99" i="75" s="1"/>
  <c r="BN48" i="75"/>
  <c r="M99" i="75" s="1"/>
  <c r="BW48" i="75"/>
  <c r="L97" i="75" s="1"/>
  <c r="BZ48" i="75"/>
  <c r="O97" i="75" s="1"/>
  <c r="CM48" i="75"/>
  <c r="M94" i="75" s="1"/>
  <c r="CY48" i="75"/>
  <c r="O110" i="75" s="1"/>
  <c r="DI48" i="75"/>
  <c r="O108" i="75" s="1"/>
  <c r="ET48" i="75"/>
  <c r="L161" i="75" s="1"/>
  <c r="BV48" i="75"/>
  <c r="K97" i="75" s="1"/>
  <c r="CO48" i="75"/>
  <c r="O94" i="75" s="1"/>
  <c r="DE48" i="75"/>
  <c r="K108" i="75" s="1"/>
  <c r="DH48" i="75"/>
  <c r="N108" i="75" s="1"/>
  <c r="ES48" i="75"/>
  <c r="K161" i="75" s="1"/>
  <c r="EV48" i="75"/>
  <c r="N161" i="75" s="1"/>
  <c r="DY48" i="75"/>
  <c r="K104" i="75" s="1"/>
  <c r="EQ48" i="75"/>
  <c r="N160" i="75" s="1"/>
  <c r="K55" i="72"/>
  <c r="K1710" i="94" s="1"/>
  <c r="FQ48" i="75"/>
  <c r="O165" i="75" s="1"/>
  <c r="DU48" i="75"/>
  <c r="L105" i="75" s="1"/>
  <c r="EM48" i="75"/>
  <c r="O159" i="75" s="1"/>
  <c r="EO48" i="75"/>
  <c r="L160" i="75" s="1"/>
  <c r="FO48" i="75"/>
  <c r="M165" i="75" s="1"/>
  <c r="CL48" i="75"/>
  <c r="L94" i="75" s="1"/>
  <c r="L102" i="75"/>
  <c r="EW48" i="75"/>
  <c r="O161" i="75" s="1"/>
  <c r="L147" i="75"/>
  <c r="M274" i="72"/>
  <c r="M1929" i="94" s="1"/>
  <c r="L435" i="72"/>
  <c r="O267" i="72"/>
  <c r="P25" i="72"/>
  <c r="P1680" i="94" s="1"/>
  <c r="O175" i="72"/>
  <c r="O1830" i="94" s="1"/>
  <c r="E23" i="72"/>
  <c r="E1678" i="94" s="1"/>
  <c r="E22" i="72"/>
  <c r="E1677" i="94" s="1"/>
  <c r="K236" i="72"/>
  <c r="E11" i="72"/>
  <c r="E1666" i="94" s="1"/>
  <c r="P340" i="72"/>
  <c r="O89" i="72"/>
  <c r="O1744" i="94" s="1"/>
  <c r="P175" i="72"/>
  <c r="K45" i="82" l="1"/>
  <c r="R1114" i="94"/>
  <c r="S1114" i="94" s="1"/>
  <c r="O333" i="72"/>
  <c r="O1988" i="94" s="1"/>
  <c r="Q340" i="72"/>
  <c r="C65" i="82"/>
  <c r="C45" i="82"/>
  <c r="C1085" i="94"/>
  <c r="M154" i="75"/>
  <c r="K57" i="73" s="1"/>
  <c r="K1227" i="94" s="1"/>
  <c r="N1227" i="94" s="1"/>
  <c r="L154" i="75"/>
  <c r="B187" i="95"/>
  <c r="B555" i="91"/>
  <c r="B91" i="95"/>
  <c r="B238" i="91"/>
  <c r="B54" i="95"/>
  <c r="B108" i="91"/>
  <c r="B67" i="95"/>
  <c r="B159" i="91"/>
  <c r="B34" i="95"/>
  <c r="B46" i="91"/>
  <c r="B134" i="95"/>
  <c r="B380" i="91"/>
  <c r="B62" i="95"/>
  <c r="B142" i="91"/>
  <c r="B78" i="95"/>
  <c r="B187" i="91"/>
  <c r="B178" i="95"/>
  <c r="B521" i="91"/>
  <c r="B48" i="95"/>
  <c r="B97" i="91"/>
  <c r="B96" i="95"/>
  <c r="B255" i="91"/>
  <c r="B106" i="95"/>
  <c r="B283" i="91"/>
  <c r="B174" i="95"/>
  <c r="B504" i="91"/>
  <c r="B150" i="95"/>
  <c r="B425" i="91"/>
  <c r="B30" i="95"/>
  <c r="B29" i="91"/>
  <c r="B82" i="95"/>
  <c r="B204" i="91"/>
  <c r="B110" i="95"/>
  <c r="B300" i="91"/>
  <c r="B130" i="95"/>
  <c r="B363" i="91"/>
  <c r="B168" i="95"/>
  <c r="B493" i="91"/>
  <c r="B163" i="95"/>
  <c r="B476" i="91"/>
  <c r="B182" i="95"/>
  <c r="B538" i="91"/>
  <c r="B72" i="95"/>
  <c r="B176" i="91"/>
  <c r="B144" i="95"/>
  <c r="B414" i="91"/>
  <c r="B38" i="95"/>
  <c r="B63" i="91"/>
  <c r="B126" i="95"/>
  <c r="B346" i="91"/>
  <c r="B139" i="95"/>
  <c r="B397" i="91"/>
  <c r="B158" i="95"/>
  <c r="B459" i="91"/>
  <c r="B102" i="95"/>
  <c r="B266" i="91"/>
  <c r="B192" i="95"/>
  <c r="B572" i="91"/>
  <c r="B115" i="95"/>
  <c r="B317" i="91"/>
  <c r="B58" i="95"/>
  <c r="B125" i="91"/>
  <c r="B154" i="95"/>
  <c r="B442" i="91"/>
  <c r="B43" i="95"/>
  <c r="B80" i="91"/>
  <c r="B120" i="95"/>
  <c r="B334" i="91"/>
  <c r="B86" i="95"/>
  <c r="B221" i="91"/>
  <c r="H18" i="84"/>
  <c r="J18" i="84" s="1"/>
  <c r="F34" i="78"/>
  <c r="F481" i="94"/>
  <c r="F480" i="94" s="1"/>
  <c r="G1881" i="94"/>
  <c r="J2057" i="94"/>
  <c r="P1215" i="94"/>
  <c r="I438" i="94"/>
  <c r="H14" i="86"/>
  <c r="G1059" i="94"/>
  <c r="D1091" i="94"/>
  <c r="E1091" i="94"/>
  <c r="F1091" i="94"/>
  <c r="F1059" i="94"/>
  <c r="E1059" i="94"/>
  <c r="E34" i="86"/>
  <c r="K1059" i="94"/>
  <c r="I14" i="86"/>
  <c r="H1059" i="94"/>
  <c r="B1091" i="94"/>
  <c r="J1059" i="94"/>
  <c r="I1059" i="94"/>
  <c r="C1091" i="94"/>
  <c r="E14" i="86"/>
  <c r="D1059" i="94"/>
  <c r="B1059" i="94"/>
  <c r="B43" i="74"/>
  <c r="E10" i="87"/>
  <c r="B1054" i="94"/>
  <c r="B40" i="74"/>
  <c r="C40" i="74" s="1"/>
  <c r="E34" i="87"/>
  <c r="F1118" i="94"/>
  <c r="E20" i="87"/>
  <c r="B1086" i="94"/>
  <c r="E42" i="87"/>
  <c r="D1148" i="94"/>
  <c r="E17" i="87"/>
  <c r="I1054" i="94"/>
  <c r="E31" i="87"/>
  <c r="C1118" i="94"/>
  <c r="E15" i="87"/>
  <c r="G1054" i="94"/>
  <c r="E13" i="87"/>
  <c r="E1054" i="94"/>
  <c r="E22" i="87"/>
  <c r="D1086" i="94"/>
  <c r="E19" i="87"/>
  <c r="K1054" i="94"/>
  <c r="B45" i="82"/>
  <c r="E43" i="87"/>
  <c r="E1148" i="94"/>
  <c r="E18" i="87"/>
  <c r="J1054" i="94"/>
  <c r="E25" i="87"/>
  <c r="G1086" i="94"/>
  <c r="E37" i="87"/>
  <c r="I1118" i="94"/>
  <c r="E14" i="87"/>
  <c r="F1054" i="94"/>
  <c r="E11" i="87"/>
  <c r="C1054" i="94"/>
  <c r="E33" i="87"/>
  <c r="E1118" i="94"/>
  <c r="E65" i="82"/>
  <c r="F45" i="82"/>
  <c r="E29" i="87"/>
  <c r="K1086" i="94"/>
  <c r="E12" i="87"/>
  <c r="D1054" i="94"/>
  <c r="E40" i="87"/>
  <c r="B1148" i="94"/>
  <c r="E27" i="87"/>
  <c r="I1086" i="94"/>
  <c r="E26" i="87"/>
  <c r="H1086" i="94"/>
  <c r="E28" i="87"/>
  <c r="J1086" i="94"/>
  <c r="E32" i="87"/>
  <c r="D1118" i="94"/>
  <c r="E23" i="87"/>
  <c r="E1086" i="94"/>
  <c r="E38" i="87"/>
  <c r="J1118" i="94"/>
  <c r="E36" i="87"/>
  <c r="H1118" i="94"/>
  <c r="E30" i="87"/>
  <c r="B1118" i="94"/>
  <c r="E44" i="87"/>
  <c r="F1148" i="94"/>
  <c r="E24" i="87"/>
  <c r="F1086" i="94"/>
  <c r="E35" i="87"/>
  <c r="G1118" i="94"/>
  <c r="F65" i="82"/>
  <c r="J45" i="82"/>
  <c r="B31" i="87"/>
  <c r="C1117" i="94"/>
  <c r="B11" i="87"/>
  <c r="C1053" i="94"/>
  <c r="H45" i="82"/>
  <c r="I45" i="82"/>
  <c r="B25" i="87"/>
  <c r="G1085" i="94"/>
  <c r="G65" i="82"/>
  <c r="B23" i="87"/>
  <c r="E1085" i="94"/>
  <c r="B14" i="87"/>
  <c r="F1053" i="94"/>
  <c r="B18" i="87"/>
  <c r="J1053" i="94"/>
  <c r="B24" i="87"/>
  <c r="F1085" i="94"/>
  <c r="B15" i="87"/>
  <c r="G1053" i="94"/>
  <c r="B34" i="87"/>
  <c r="F1117" i="94"/>
  <c r="B22" i="87"/>
  <c r="D1085" i="94"/>
  <c r="B43" i="87"/>
  <c r="E1147" i="94"/>
  <c r="B37" i="87"/>
  <c r="I1117" i="94"/>
  <c r="B35" i="87"/>
  <c r="G1117" i="94"/>
  <c r="B42" i="87"/>
  <c r="D1147" i="94"/>
  <c r="B40" i="87"/>
  <c r="B1147" i="94"/>
  <c r="B17" i="87"/>
  <c r="I1053" i="94"/>
  <c r="B16" i="87"/>
  <c r="H1053" i="94"/>
  <c r="B10" i="87"/>
  <c r="B1053" i="94"/>
  <c r="B39" i="74"/>
  <c r="B19" i="87"/>
  <c r="K1053" i="94"/>
  <c r="B38" i="87"/>
  <c r="J1117" i="94"/>
  <c r="G45" i="82"/>
  <c r="C75" i="84"/>
  <c r="E75" i="84" s="1"/>
  <c r="E77" i="84" s="1"/>
  <c r="B30" i="87"/>
  <c r="B1117" i="94"/>
  <c r="B27" i="87"/>
  <c r="I1085" i="94"/>
  <c r="B33" i="87"/>
  <c r="E1117" i="94"/>
  <c r="B39" i="87"/>
  <c r="K1117" i="94"/>
  <c r="B26" i="87"/>
  <c r="H1085" i="94"/>
  <c r="H65" i="82"/>
  <c r="B12" i="87"/>
  <c r="D1053" i="94"/>
  <c r="B29" i="87"/>
  <c r="K1085" i="94"/>
  <c r="B20" i="87"/>
  <c r="B1085" i="94"/>
  <c r="B28" i="87"/>
  <c r="J1085" i="94"/>
  <c r="B5" i="92"/>
  <c r="J372" i="73"/>
  <c r="H15" i="84"/>
  <c r="F18" i="85" s="1"/>
  <c r="T181" i="72"/>
  <c r="H92" i="73"/>
  <c r="T1836" i="94"/>
  <c r="H1262" i="94"/>
  <c r="Q998" i="94"/>
  <c r="K65" i="94"/>
  <c r="P150" i="72"/>
  <c r="P1805" i="94" s="1"/>
  <c r="P1830" i="94"/>
  <c r="P333" i="72"/>
  <c r="P1988" i="94" s="1"/>
  <c r="P1995" i="94"/>
  <c r="L1993" i="94"/>
  <c r="Q1993" i="94"/>
  <c r="P74" i="72"/>
  <c r="P1729" i="94" s="1"/>
  <c r="P1750" i="94"/>
  <c r="M127" i="75"/>
  <c r="M817" i="94"/>
  <c r="M818" i="94" s="1"/>
  <c r="N153" i="75"/>
  <c r="F58" i="73" s="1"/>
  <c r="N127" i="75"/>
  <c r="L127" i="75"/>
  <c r="M153" i="75"/>
  <c r="F57" i="73" s="1"/>
  <c r="O153" i="75"/>
  <c r="F59" i="73" s="1"/>
  <c r="F1229" i="94" s="1"/>
  <c r="I1229" i="94" s="1"/>
  <c r="N154" i="75"/>
  <c r="K58" i="73" s="1"/>
  <c r="K1228" i="94" s="1"/>
  <c r="N1228" i="94" s="1"/>
  <c r="K154" i="75"/>
  <c r="K55" i="73" s="1"/>
  <c r="K1225" i="94" s="1"/>
  <c r="O127" i="75"/>
  <c r="L153" i="75"/>
  <c r="F56" i="73" s="1"/>
  <c r="F1226" i="94" s="1"/>
  <c r="I1226" i="94" s="1"/>
  <c r="O154" i="75"/>
  <c r="K127" i="75"/>
  <c r="K153" i="75"/>
  <c r="F55" i="73" s="1"/>
  <c r="F1225" i="94" s="1"/>
  <c r="C36" i="84"/>
  <c r="K35" i="84" s="1"/>
  <c r="I65" i="82"/>
  <c r="L22" i="75"/>
  <c r="M22" i="75" s="1"/>
  <c r="L20" i="75"/>
  <c r="M20" i="75" s="1"/>
  <c r="L149" i="75"/>
  <c r="K152" i="75"/>
  <c r="K48" i="73" s="1"/>
  <c r="O74" i="72"/>
  <c r="O1729" i="94" s="1"/>
  <c r="L151" i="75"/>
  <c r="F49" i="73" s="1"/>
  <c r="O265" i="72"/>
  <c r="D45" i="82"/>
  <c r="K64" i="73"/>
  <c r="K1234" i="94" s="1"/>
  <c r="N1234" i="94" s="1"/>
  <c r="E45" i="82"/>
  <c r="E38" i="78"/>
  <c r="G34" i="78" s="1"/>
  <c r="P45" i="73"/>
  <c r="P48" i="73"/>
  <c r="P1218" i="94" s="1"/>
  <c r="J163" i="78"/>
  <c r="J165" i="78" s="1"/>
  <c r="F62" i="73"/>
  <c r="F1232" i="94" s="1"/>
  <c r="K63" i="73"/>
  <c r="K1233" i="94" s="1"/>
  <c r="N1233" i="94" s="1"/>
  <c r="I58" i="84"/>
  <c r="I62" i="84" s="1"/>
  <c r="K58" i="84"/>
  <c r="K62" i="84" s="1"/>
  <c r="G58" i="84"/>
  <c r="G62" i="84" s="1"/>
  <c r="E58" i="84"/>
  <c r="E62" i="84" s="1"/>
  <c r="N149" i="75"/>
  <c r="F44" i="73" s="1"/>
  <c r="F1214" i="94" s="1"/>
  <c r="I1214" i="94" s="1"/>
  <c r="C62" i="84"/>
  <c r="O151" i="75"/>
  <c r="L152" i="75"/>
  <c r="M63" i="75"/>
  <c r="O149" i="75"/>
  <c r="F45" i="73" s="1"/>
  <c r="P98" i="75"/>
  <c r="I67" i="66" s="1"/>
  <c r="I92" i="94" s="1"/>
  <c r="O150" i="75"/>
  <c r="O115" i="75"/>
  <c r="F64" i="73"/>
  <c r="F1234" i="94" s="1"/>
  <c r="O121" i="75"/>
  <c r="N150" i="75"/>
  <c r="K44" i="73" s="1"/>
  <c r="K1214" i="94" s="1"/>
  <c r="N1214" i="94" s="1"/>
  <c r="N152" i="75"/>
  <c r="K51" i="73" s="1"/>
  <c r="K63" i="75"/>
  <c r="K65" i="75" s="1"/>
  <c r="P56" i="75"/>
  <c r="P106" i="75"/>
  <c r="P66" i="75"/>
  <c r="N118" i="75"/>
  <c r="Q239" i="75"/>
  <c r="F63" i="73"/>
  <c r="N151" i="75"/>
  <c r="F51" i="73" s="1"/>
  <c r="P239" i="75"/>
  <c r="P164" i="75"/>
  <c r="P59" i="75"/>
  <c r="P134" i="75"/>
  <c r="P132" i="75"/>
  <c r="L118" i="75"/>
  <c r="O118" i="75"/>
  <c r="P144" i="75"/>
  <c r="M118" i="75"/>
  <c r="P169" i="75"/>
  <c r="P96" i="94" s="1"/>
  <c r="P238" i="75"/>
  <c r="P116" i="75"/>
  <c r="L121" i="75"/>
  <c r="P167" i="75"/>
  <c r="P94" i="94" s="1"/>
  <c r="P107" i="75"/>
  <c r="O63" i="75"/>
  <c r="M115" i="75"/>
  <c r="P62" i="75"/>
  <c r="P60" i="75"/>
  <c r="N100" i="75"/>
  <c r="N121" i="75"/>
  <c r="P119" i="75"/>
  <c r="P165" i="75"/>
  <c r="P58" i="75"/>
  <c r="P163" i="75"/>
  <c r="L63" i="75"/>
  <c r="K118" i="75"/>
  <c r="P61" i="75"/>
  <c r="N115" i="75"/>
  <c r="L111" i="75"/>
  <c r="P143" i="75"/>
  <c r="P64" i="75"/>
  <c r="K115" i="75"/>
  <c r="P95" i="75"/>
  <c r="I64" i="66" s="1"/>
  <c r="I89" i="94" s="1"/>
  <c r="P57" i="75"/>
  <c r="P162" i="75"/>
  <c r="P109" i="75"/>
  <c r="O152" i="75"/>
  <c r="P96" i="75"/>
  <c r="P128" i="75"/>
  <c r="P129" i="75"/>
  <c r="N63" i="75"/>
  <c r="P113" i="75"/>
  <c r="K149" i="75"/>
  <c r="L166" i="75"/>
  <c r="L168" i="75" s="1"/>
  <c r="L170" i="75" s="1"/>
  <c r="P110" i="75"/>
  <c r="L115" i="75"/>
  <c r="K62" i="73"/>
  <c r="K1232" i="94" s="1"/>
  <c r="P131" i="75"/>
  <c r="M111" i="75"/>
  <c r="M150" i="75"/>
  <c r="O111" i="75"/>
  <c r="P99" i="75"/>
  <c r="L150" i="75"/>
  <c r="K42" i="73" s="1"/>
  <c r="K1212" i="94" s="1"/>
  <c r="N1212" i="94" s="1"/>
  <c r="L100" i="75"/>
  <c r="Q238" i="75"/>
  <c r="N166" i="75"/>
  <c r="N168" i="75" s="1"/>
  <c r="N170" i="75" s="1"/>
  <c r="M121" i="75"/>
  <c r="P145" i="75"/>
  <c r="M166" i="75"/>
  <c r="M168" i="75" s="1"/>
  <c r="M170" i="75" s="1"/>
  <c r="N111" i="75"/>
  <c r="P159" i="75"/>
  <c r="P117" i="75"/>
  <c r="K29" i="84"/>
  <c r="D65" i="82"/>
  <c r="J65" i="82"/>
  <c r="B65" i="82"/>
  <c r="I34" i="86"/>
  <c r="K33" i="84"/>
  <c r="C53" i="82"/>
  <c r="O100" i="75"/>
  <c r="P160" i="75"/>
  <c r="L33" i="68"/>
  <c r="P142" i="75"/>
  <c r="D34" i="86"/>
  <c r="H34" i="86"/>
  <c r="P97" i="75"/>
  <c r="K100" i="75"/>
  <c r="P139" i="75"/>
  <c r="K125" i="75"/>
  <c r="K150" i="75"/>
  <c r="P135" i="75"/>
  <c r="P105" i="75"/>
  <c r="I55" i="84"/>
  <c r="E55" i="84"/>
  <c r="K55" i="84"/>
  <c r="G55" i="84"/>
  <c r="P104" i="75"/>
  <c r="K111" i="75"/>
  <c r="Q240" i="75"/>
  <c r="P240" i="75"/>
  <c r="M125" i="75"/>
  <c r="L125" i="75"/>
  <c r="P133" i="75"/>
  <c r="R25" i="74"/>
  <c r="R1053" i="94" s="1"/>
  <c r="R29" i="74"/>
  <c r="R1057" i="94" s="1"/>
  <c r="R20" i="74"/>
  <c r="R1048" i="94" s="1"/>
  <c r="R27" i="74"/>
  <c r="R1055" i="94" s="1"/>
  <c r="R38" i="74"/>
  <c r="R1066" i="94" s="1"/>
  <c r="R22" i="74"/>
  <c r="R1050" i="94" s="1"/>
  <c r="R34" i="74"/>
  <c r="R1062" i="94" s="1"/>
  <c r="C14" i="86"/>
  <c r="R28" i="74"/>
  <c r="R1056" i="94" s="1"/>
  <c r="R21" i="74"/>
  <c r="R1049" i="94" s="1"/>
  <c r="R37" i="74"/>
  <c r="R1065" i="94" s="1"/>
  <c r="R31" i="74"/>
  <c r="R1059" i="94" s="1"/>
  <c r="R23" i="74"/>
  <c r="R1051" i="94" s="1"/>
  <c r="R33" i="74"/>
  <c r="R1061" i="94" s="1"/>
  <c r="R24" i="74"/>
  <c r="R1052" i="94" s="1"/>
  <c r="R35" i="74"/>
  <c r="R1063" i="94" s="1"/>
  <c r="R26" i="74"/>
  <c r="R1054" i="94" s="1"/>
  <c r="R32" i="74"/>
  <c r="R1060" i="94" s="1"/>
  <c r="R39" i="74"/>
  <c r="R1067" i="94" s="1"/>
  <c r="R36" i="74"/>
  <c r="R1064" i="94" s="1"/>
  <c r="K166" i="75"/>
  <c r="P161" i="75"/>
  <c r="M100" i="75"/>
  <c r="M151" i="75"/>
  <c r="N125" i="75"/>
  <c r="C54" i="86"/>
  <c r="P94" i="75"/>
  <c r="P120" i="75"/>
  <c r="K121" i="75"/>
  <c r="D23" i="74"/>
  <c r="D1051" i="94" s="1"/>
  <c r="E13" i="74"/>
  <c r="P140" i="75"/>
  <c r="K151" i="75"/>
  <c r="P130" i="75"/>
  <c r="M149" i="75"/>
  <c r="O125" i="75"/>
  <c r="P138" i="75"/>
  <c r="R30" i="74"/>
  <c r="R1058" i="94" s="1"/>
  <c r="O166" i="75"/>
  <c r="O168" i="75" s="1"/>
  <c r="O170" i="75" s="1"/>
  <c r="P108" i="75"/>
  <c r="P93" i="75"/>
  <c r="J151" i="78"/>
  <c r="J153" i="78" s="1"/>
  <c r="E3" i="86"/>
  <c r="B4" i="82"/>
  <c r="C18" i="84"/>
  <c r="J402" i="72"/>
  <c r="G226" i="72"/>
  <c r="K9" i="88"/>
  <c r="K23" i="88" s="1"/>
  <c r="K28" i="88" s="1"/>
  <c r="F39" i="88" s="1"/>
  <c r="I59" i="68"/>
  <c r="P141" i="75"/>
  <c r="M152" i="75"/>
  <c r="P114" i="75"/>
  <c r="G14" i="86"/>
  <c r="G101" i="90"/>
  <c r="K37" i="84" l="1"/>
  <c r="E1058" i="94"/>
  <c r="D1058" i="94"/>
  <c r="H57" i="73"/>
  <c r="H1227" i="94" s="1"/>
  <c r="F1227" i="94"/>
  <c r="I1227" i="94" s="1"/>
  <c r="N1232" i="94"/>
  <c r="I49" i="73"/>
  <c r="F1219" i="94"/>
  <c r="I1219" i="94" s="1"/>
  <c r="I1225" i="94"/>
  <c r="I1232" i="94"/>
  <c r="I51" i="73"/>
  <c r="F1221" i="94"/>
  <c r="I1221" i="94" s="1"/>
  <c r="H63" i="73"/>
  <c r="H1233" i="94" s="1"/>
  <c r="F1233" i="94"/>
  <c r="N1225" i="94"/>
  <c r="I45" i="73"/>
  <c r="F1215" i="94"/>
  <c r="I1215" i="94" s="1"/>
  <c r="I58" i="73"/>
  <c r="F1228" i="94"/>
  <c r="I1228" i="94" s="1"/>
  <c r="C40" i="84"/>
  <c r="P428" i="94"/>
  <c r="P429" i="94"/>
  <c r="I439" i="94"/>
  <c r="M2058" i="94"/>
  <c r="J2058" i="94"/>
  <c r="J2059" i="94" s="1"/>
  <c r="B1071" i="94"/>
  <c r="C43" i="74"/>
  <c r="C1068" i="94"/>
  <c r="C11" i="86"/>
  <c r="B1068" i="94"/>
  <c r="D11" i="86"/>
  <c r="D40" i="74"/>
  <c r="C77" i="84"/>
  <c r="C80" i="84" s="1"/>
  <c r="I75" i="84"/>
  <c r="I77" i="84" s="1"/>
  <c r="K75" i="84"/>
  <c r="K77" i="84" s="1"/>
  <c r="G75" i="84"/>
  <c r="G77" i="84" s="1"/>
  <c r="C10" i="86"/>
  <c r="B1067" i="94"/>
  <c r="C39" i="74"/>
  <c r="Q58" i="73"/>
  <c r="Q1228" i="94" s="1"/>
  <c r="E17" i="72"/>
  <c r="E1672" i="94" s="1"/>
  <c r="O1920" i="94"/>
  <c r="G62" i="73"/>
  <c r="Q167" i="75"/>
  <c r="H94" i="94"/>
  <c r="Q169" i="75"/>
  <c r="H96" i="94"/>
  <c r="P127" i="75"/>
  <c r="I55" i="73"/>
  <c r="H55" i="73"/>
  <c r="H1225" i="94" s="1"/>
  <c r="I59" i="73"/>
  <c r="H59" i="73"/>
  <c r="H1229" i="94" s="1"/>
  <c r="P153" i="75"/>
  <c r="I62" i="73"/>
  <c r="M48" i="75"/>
  <c r="M49" i="75" s="1"/>
  <c r="B14" i="74" s="1"/>
  <c r="Q165" i="75"/>
  <c r="H65" i="66"/>
  <c r="H90" i="94" s="1"/>
  <c r="H64" i="66"/>
  <c r="H89" i="94" s="1"/>
  <c r="K67" i="75"/>
  <c r="G52" i="73"/>
  <c r="G42" i="73"/>
  <c r="G45" i="73"/>
  <c r="G58" i="73"/>
  <c r="G57" i="73"/>
  <c r="G49" i="73"/>
  <c r="E12" i="72"/>
  <c r="E1667" i="94" s="1"/>
  <c r="G64" i="73"/>
  <c r="G51" i="73"/>
  <c r="G50" i="73"/>
  <c r="G48" i="73"/>
  <c r="G63" i="73"/>
  <c r="G44" i="73"/>
  <c r="G66" i="73"/>
  <c r="G65" i="73"/>
  <c r="G55" i="73"/>
  <c r="G43" i="73"/>
  <c r="G56" i="73"/>
  <c r="G41" i="73"/>
  <c r="P58" i="73"/>
  <c r="P1228" i="94" s="1"/>
  <c r="G59" i="73"/>
  <c r="H49" i="73"/>
  <c r="H1219" i="94" s="1"/>
  <c r="D53" i="82"/>
  <c r="K45" i="73"/>
  <c r="M65" i="75"/>
  <c r="F52" i="73"/>
  <c r="K49" i="73"/>
  <c r="N49" i="73" s="1"/>
  <c r="K65" i="73"/>
  <c r="D9" i="88"/>
  <c r="E9" i="88" s="1"/>
  <c r="K66" i="73"/>
  <c r="H62" i="66"/>
  <c r="H87" i="94" s="1"/>
  <c r="Q159" i="75"/>
  <c r="P67" i="66"/>
  <c r="P92" i="94" s="1"/>
  <c r="H64" i="73"/>
  <c r="H1234" i="94" s="1"/>
  <c r="Q161" i="75"/>
  <c r="D7" i="88"/>
  <c r="E7" i="88" s="1"/>
  <c r="P71" i="66"/>
  <c r="H51" i="73"/>
  <c r="H1221" i="94" s="1"/>
  <c r="P69" i="66"/>
  <c r="I68" i="66"/>
  <c r="I93" i="94" s="1"/>
  <c r="H71" i="66"/>
  <c r="F56" i="89"/>
  <c r="D37" i="90" s="1"/>
  <c r="P62" i="66"/>
  <c r="P87" i="94" s="1"/>
  <c r="H69" i="66"/>
  <c r="H58" i="73"/>
  <c r="H1228" i="94" s="1"/>
  <c r="I63" i="73"/>
  <c r="Q164" i="75"/>
  <c r="H68" i="66"/>
  <c r="H93" i="94" s="1"/>
  <c r="O65" i="75"/>
  <c r="F41" i="73"/>
  <c r="F1211" i="94" s="1"/>
  <c r="Q162" i="75"/>
  <c r="D11" i="88"/>
  <c r="E11" i="88" s="1"/>
  <c r="P118" i="75"/>
  <c r="H66" i="66"/>
  <c r="H91" i="94" s="1"/>
  <c r="P66" i="66"/>
  <c r="P91" i="94" s="1"/>
  <c r="Q163" i="75"/>
  <c r="P115" i="75"/>
  <c r="K43" i="73"/>
  <c r="H45" i="73"/>
  <c r="H1215" i="94" s="1"/>
  <c r="H67" i="66"/>
  <c r="H92" i="94" s="1"/>
  <c r="M58" i="73"/>
  <c r="M1228" i="94" s="1"/>
  <c r="N58" i="73"/>
  <c r="P68" i="66"/>
  <c r="P93" i="94" s="1"/>
  <c r="D8" i="88"/>
  <c r="E8" i="88" s="1"/>
  <c r="P121" i="75"/>
  <c r="H55" i="66" s="1"/>
  <c r="H80" i="94" s="1"/>
  <c r="P65" i="66"/>
  <c r="P90" i="94" s="1"/>
  <c r="L65" i="75"/>
  <c r="H63" i="66"/>
  <c r="H88" i="94" s="1"/>
  <c r="Q160" i="75"/>
  <c r="K52" i="73"/>
  <c r="N52" i="73" s="1"/>
  <c r="F66" i="73"/>
  <c r="I65" i="66"/>
  <c r="I90" i="94" s="1"/>
  <c r="D10" i="88"/>
  <c r="E10" i="88" s="1"/>
  <c r="N65" i="75"/>
  <c r="P111" i="75"/>
  <c r="P63" i="75"/>
  <c r="P156" i="75"/>
  <c r="H62" i="73"/>
  <c r="H1232" i="94" s="1"/>
  <c r="N55" i="73"/>
  <c r="M55" i="73"/>
  <c r="M1225" i="94" s="1"/>
  <c r="M63" i="73"/>
  <c r="M1233" i="94" s="1"/>
  <c r="N63" i="73"/>
  <c r="N51" i="73"/>
  <c r="M51" i="73"/>
  <c r="I56" i="73"/>
  <c r="F60" i="73"/>
  <c r="H56" i="73"/>
  <c r="H1226" i="94" s="1"/>
  <c r="M64" i="73"/>
  <c r="M1234" i="94" s="1"/>
  <c r="N64" i="73"/>
  <c r="N57" i="73"/>
  <c r="M57" i="73"/>
  <c r="M1227" i="94" s="1"/>
  <c r="N48" i="73"/>
  <c r="M48" i="73"/>
  <c r="M62" i="73"/>
  <c r="M1232" i="94" s="1"/>
  <c r="N62" i="73"/>
  <c r="M403" i="72"/>
  <c r="J403" i="72"/>
  <c r="J404" i="72" s="1"/>
  <c r="P166" i="75"/>
  <c r="K168" i="75"/>
  <c r="P150" i="75"/>
  <c r="K41" i="73"/>
  <c r="K1211" i="94" s="1"/>
  <c r="I66" i="66"/>
  <c r="I91" i="94" s="1"/>
  <c r="P49" i="68"/>
  <c r="P50" i="68"/>
  <c r="I60" i="68"/>
  <c r="P45" i="68" s="1"/>
  <c r="P424" i="94" s="1"/>
  <c r="D18" i="84"/>
  <c r="K40" i="84"/>
  <c r="C38" i="84"/>
  <c r="I62" i="66"/>
  <c r="I87" i="94" s="1"/>
  <c r="I63" i="66"/>
  <c r="I88" i="94" s="1"/>
  <c r="I45" i="68"/>
  <c r="I424" i="94" s="1"/>
  <c r="P125" i="75"/>
  <c r="O2082" i="94" s="1"/>
  <c r="F48" i="73"/>
  <c r="F1218" i="94" s="1"/>
  <c r="P151" i="75"/>
  <c r="H44" i="73"/>
  <c r="H1214" i="94" s="1"/>
  <c r="I44" i="73"/>
  <c r="P63" i="66"/>
  <c r="P88" i="94" s="1"/>
  <c r="F42" i="73"/>
  <c r="F1212" i="94" s="1"/>
  <c r="I1212" i="94" s="1"/>
  <c r="P149" i="75"/>
  <c r="K50" i="73"/>
  <c r="P152" i="75"/>
  <c r="F1058" i="94"/>
  <c r="E53" i="82"/>
  <c r="F43" i="73"/>
  <c r="F1213" i="94" s="1"/>
  <c r="I1213" i="94" s="1"/>
  <c r="F50" i="73"/>
  <c r="F1220" i="94" s="1"/>
  <c r="I1220" i="94" s="1"/>
  <c r="K56" i="73"/>
  <c r="K1226" i="94" s="1"/>
  <c r="N1226" i="94" s="1"/>
  <c r="P154" i="75"/>
  <c r="N42" i="73"/>
  <c r="M42" i="73"/>
  <c r="M1212" i="94" s="1"/>
  <c r="F13" i="74"/>
  <c r="E23" i="74"/>
  <c r="E1051" i="94" s="1"/>
  <c r="P155" i="75"/>
  <c r="F65" i="73"/>
  <c r="F1235" i="94" s="1"/>
  <c r="I1235" i="94" s="1"/>
  <c r="C55" i="86"/>
  <c r="E55" i="86"/>
  <c r="F15" i="86"/>
  <c r="G55" i="86"/>
  <c r="E15" i="86"/>
  <c r="E35" i="86"/>
  <c r="D55" i="86"/>
  <c r="H15" i="86"/>
  <c r="G15" i="86"/>
  <c r="C15" i="86"/>
  <c r="D35" i="86"/>
  <c r="F35" i="86"/>
  <c r="C35" i="86"/>
  <c r="F55" i="86"/>
  <c r="I35" i="86"/>
  <c r="H55" i="86"/>
  <c r="O17" i="86"/>
  <c r="O16" i="86"/>
  <c r="H35" i="86"/>
  <c r="G35" i="86"/>
  <c r="I15" i="86"/>
  <c r="D15" i="86"/>
  <c r="M44" i="73"/>
  <c r="M1214" i="94" s="1"/>
  <c r="N44" i="73"/>
  <c r="K59" i="73"/>
  <c r="K1229" i="94" s="1"/>
  <c r="N1229" i="94" s="1"/>
  <c r="P64" i="66"/>
  <c r="P89" i="94" s="1"/>
  <c r="P100" i="75"/>
  <c r="J1630" i="94" s="1"/>
  <c r="L239" i="72"/>
  <c r="K1230" i="94" l="1"/>
  <c r="I1230" i="94"/>
  <c r="M45" i="73"/>
  <c r="M1215" i="94" s="1"/>
  <c r="K1215" i="94"/>
  <c r="N1215" i="94" s="1"/>
  <c r="F1230" i="94"/>
  <c r="I1218" i="94"/>
  <c r="N66" i="73"/>
  <c r="K1236" i="94"/>
  <c r="N1236" i="94" s="1"/>
  <c r="N65" i="73"/>
  <c r="K1235" i="94"/>
  <c r="I66" i="73"/>
  <c r="F1236" i="94"/>
  <c r="I1236" i="94" s="1"/>
  <c r="M43" i="73"/>
  <c r="M1213" i="94" s="1"/>
  <c r="K1213" i="94"/>
  <c r="N1213" i="94" s="1"/>
  <c r="I1211" i="94"/>
  <c r="I1216" i="94" s="1"/>
  <c r="F1216" i="94"/>
  <c r="N1230" i="94"/>
  <c r="N1211" i="94"/>
  <c r="I52" i="73"/>
  <c r="F1222" i="94"/>
  <c r="I1222" i="94" s="1"/>
  <c r="K463" i="73"/>
  <c r="K1633" i="94"/>
  <c r="N1630" i="94"/>
  <c r="N1629" i="94"/>
  <c r="E14" i="74"/>
  <c r="B1042" i="94"/>
  <c r="P430" i="94"/>
  <c r="C1071" i="94"/>
  <c r="D43" i="74"/>
  <c r="D1068" i="94"/>
  <c r="E40" i="74"/>
  <c r="C81" i="84"/>
  <c r="E11" i="86"/>
  <c r="C1067" i="94"/>
  <c r="D39" i="74"/>
  <c r="D10" i="86"/>
  <c r="L43" i="73"/>
  <c r="L1213" i="94" s="1"/>
  <c r="G1213" i="94"/>
  <c r="L51" i="73"/>
  <c r="G1221" i="94"/>
  <c r="L52" i="73"/>
  <c r="G1222" i="94"/>
  <c r="L50" i="73"/>
  <c r="G1220" i="94"/>
  <c r="L64" i="73"/>
  <c r="L1234" i="94" s="1"/>
  <c r="G1234" i="94"/>
  <c r="I1234" i="94" s="1"/>
  <c r="L65" i="73"/>
  <c r="L1235" i="94" s="1"/>
  <c r="G1235" i="94"/>
  <c r="L66" i="73"/>
  <c r="L1236" i="94" s="1"/>
  <c r="G1236" i="94"/>
  <c r="L49" i="73"/>
  <c r="G1219" i="94"/>
  <c r="L56" i="73"/>
  <c r="L1226" i="94" s="1"/>
  <c r="G1226" i="94"/>
  <c r="L59" i="73"/>
  <c r="L1229" i="94" s="1"/>
  <c r="G1229" i="94"/>
  <c r="L44" i="73"/>
  <c r="L1214" i="94" s="1"/>
  <c r="G1214" i="94"/>
  <c r="L57" i="73"/>
  <c r="L1227" i="94" s="1"/>
  <c r="G1227" i="94"/>
  <c r="L62" i="73"/>
  <c r="L1232" i="94" s="1"/>
  <c r="G1232" i="94"/>
  <c r="L42" i="73"/>
  <c r="L1212" i="94" s="1"/>
  <c r="G1212" i="94"/>
  <c r="L63" i="73"/>
  <c r="L1233" i="94" s="1"/>
  <c r="G1233" i="94"/>
  <c r="I1233" i="94" s="1"/>
  <c r="L58" i="73"/>
  <c r="L1228" i="94" s="1"/>
  <c r="G1228" i="94"/>
  <c r="L55" i="73"/>
  <c r="L1225" i="94" s="1"/>
  <c r="G1225" i="94"/>
  <c r="L41" i="73"/>
  <c r="L1211" i="94" s="1"/>
  <c r="G1211" i="94"/>
  <c r="L48" i="73"/>
  <c r="G1218" i="94"/>
  <c r="L45" i="73"/>
  <c r="L1215" i="94" s="1"/>
  <c r="G1215" i="94"/>
  <c r="I86" i="94"/>
  <c r="P86" i="94"/>
  <c r="P95" i="94" s="1"/>
  <c r="P97" i="94" s="1"/>
  <c r="P100" i="94" s="1"/>
  <c r="H86" i="94"/>
  <c r="H95" i="94" s="1"/>
  <c r="H97" i="94" s="1"/>
  <c r="K73" i="75"/>
  <c r="K79" i="75"/>
  <c r="K70" i="75"/>
  <c r="K76" i="75"/>
  <c r="K88" i="75"/>
  <c r="K82" i="75"/>
  <c r="K85" i="75"/>
  <c r="H178" i="75"/>
  <c r="I64" i="73"/>
  <c r="L67" i="75"/>
  <c r="O67" i="75"/>
  <c r="M67" i="75"/>
  <c r="N67" i="75"/>
  <c r="H7" i="88"/>
  <c r="I7" i="88" s="1"/>
  <c r="I57" i="73"/>
  <c r="I60" i="73" s="1"/>
  <c r="N45" i="73"/>
  <c r="H52" i="73"/>
  <c r="H1222" i="94" s="1"/>
  <c r="P51" i="68"/>
  <c r="M66" i="73"/>
  <c r="M1236" i="94" s="1"/>
  <c r="M49" i="73"/>
  <c r="M65" i="73"/>
  <c r="M1235" i="94" s="1"/>
  <c r="K67" i="73"/>
  <c r="H56" i="66"/>
  <c r="H81" i="94" s="1"/>
  <c r="H54" i="66"/>
  <c r="H79" i="94" s="1"/>
  <c r="M52" i="73"/>
  <c r="H66" i="73"/>
  <c r="H1236" i="94" s="1"/>
  <c r="I41" i="73"/>
  <c r="H41" i="73"/>
  <c r="H1211" i="94" s="1"/>
  <c r="H61" i="66"/>
  <c r="H70" i="66" s="1"/>
  <c r="H72" i="66" s="1"/>
  <c r="N43" i="73"/>
  <c r="E100" i="78"/>
  <c r="E13" i="88"/>
  <c r="D12" i="88"/>
  <c r="P65" i="75"/>
  <c r="F489" i="94" s="1"/>
  <c r="N460" i="73"/>
  <c r="N459" i="73"/>
  <c r="E13" i="84"/>
  <c r="C14" i="74"/>
  <c r="D14" i="74"/>
  <c r="C52" i="84"/>
  <c r="P61" i="66"/>
  <c r="P70" i="66" s="1"/>
  <c r="P72" i="66" s="1"/>
  <c r="P75" i="66" s="1"/>
  <c r="G13" i="74"/>
  <c r="F23" i="74"/>
  <c r="F1051" i="94" s="1"/>
  <c r="F14" i="74"/>
  <c r="I43" i="73"/>
  <c r="H43" i="73"/>
  <c r="H1213" i="94" s="1"/>
  <c r="I42" i="73"/>
  <c r="H42" i="73"/>
  <c r="H1212" i="94" s="1"/>
  <c r="F46" i="73"/>
  <c r="I48" i="73"/>
  <c r="H48" i="73"/>
  <c r="H1218" i="94" s="1"/>
  <c r="F53" i="73"/>
  <c r="P55" i="66"/>
  <c r="P80" i="94" s="1"/>
  <c r="O427" i="72"/>
  <c r="Q241" i="75"/>
  <c r="Q242" i="75" s="1"/>
  <c r="Q233" i="75" s="1"/>
  <c r="Q1002" i="94" s="1"/>
  <c r="P242" i="75"/>
  <c r="P241" i="75"/>
  <c r="M41" i="73"/>
  <c r="M1211" i="94" s="1"/>
  <c r="K46" i="73"/>
  <c r="N41" i="73"/>
  <c r="K170" i="75"/>
  <c r="P170" i="75" s="1"/>
  <c r="J490" i="94" s="1"/>
  <c r="P168" i="75"/>
  <c r="F490" i="94" s="1"/>
  <c r="H50" i="73"/>
  <c r="H1220" i="94" s="1"/>
  <c r="I50" i="73"/>
  <c r="N50" i="73"/>
  <c r="N53" i="73" s="1"/>
  <c r="M50" i="73"/>
  <c r="K53" i="73"/>
  <c r="F53" i="82"/>
  <c r="G1058" i="94"/>
  <c r="J460" i="73"/>
  <c r="N59" i="73"/>
  <c r="M59" i="73"/>
  <c r="M1229" i="94" s="1"/>
  <c r="H65" i="73"/>
  <c r="H1235" i="94" s="1"/>
  <c r="F67" i="73"/>
  <c r="I65" i="73"/>
  <c r="O19" i="86"/>
  <c r="O23" i="86" s="1"/>
  <c r="O25" i="86" s="1"/>
  <c r="O31" i="86" s="1"/>
  <c r="N56" i="73"/>
  <c r="K60" i="73"/>
  <c r="M56" i="73"/>
  <c r="M1226" i="94" s="1"/>
  <c r="I61" i="66"/>
  <c r="F1042" i="94" l="1"/>
  <c r="D1042" i="94"/>
  <c r="C1042" i="94"/>
  <c r="E1042" i="94"/>
  <c r="I1237" i="94"/>
  <c r="N67" i="73"/>
  <c r="F1223" i="94"/>
  <c r="N1216" i="94"/>
  <c r="I1223" i="94"/>
  <c r="H1239" i="94" s="1"/>
  <c r="K1216" i="94"/>
  <c r="N1235" i="94"/>
  <c r="N1237" i="94" s="1"/>
  <c r="K1237" i="94"/>
  <c r="F1237" i="94"/>
  <c r="H8" i="88"/>
  <c r="I8" i="88" s="1"/>
  <c r="J600" i="94"/>
  <c r="J601" i="94" s="1"/>
  <c r="J603" i="94" s="1"/>
  <c r="M600" i="94"/>
  <c r="M601" i="94" s="1"/>
  <c r="M603" i="94" s="1"/>
  <c r="D1071" i="94"/>
  <c r="E43" i="74"/>
  <c r="E1068" i="94"/>
  <c r="F40" i="74"/>
  <c r="G11" i="86" s="1"/>
  <c r="F11" i="86"/>
  <c r="D1067" i="94"/>
  <c r="E39" i="74"/>
  <c r="F10" i="86" s="1"/>
  <c r="E10" i="86"/>
  <c r="N1003" i="94"/>
  <c r="Q1003" i="94"/>
  <c r="B15" i="74"/>
  <c r="H947" i="94"/>
  <c r="P947" i="94" s="1"/>
  <c r="K13" i="84"/>
  <c r="H20" i="84" s="1"/>
  <c r="G580" i="94"/>
  <c r="P489" i="94"/>
  <c r="J100" i="78"/>
  <c r="E546" i="94"/>
  <c r="J546" i="94" s="1"/>
  <c r="P600" i="94"/>
  <c r="P601" i="94" s="1"/>
  <c r="P603" i="94" s="1"/>
  <c r="I67" i="73"/>
  <c r="P178" i="75"/>
  <c r="K173" i="75"/>
  <c r="L173" i="75"/>
  <c r="L70" i="75"/>
  <c r="L85" i="75"/>
  <c r="L82" i="75"/>
  <c r="L79" i="75"/>
  <c r="L76" i="75"/>
  <c r="L88" i="75"/>
  <c r="L73" i="75"/>
  <c r="H10" i="88"/>
  <c r="I10" i="88" s="1"/>
  <c r="N76" i="75"/>
  <c r="N88" i="75"/>
  <c r="N82" i="75"/>
  <c r="N85" i="75"/>
  <c r="N73" i="75"/>
  <c r="N70" i="75"/>
  <c r="N79" i="75"/>
  <c r="M73" i="75"/>
  <c r="M85" i="75"/>
  <c r="M82" i="75"/>
  <c r="M79" i="75"/>
  <c r="M88" i="75"/>
  <c r="M70" i="75"/>
  <c r="M76" i="75"/>
  <c r="O88" i="75"/>
  <c r="O79" i="75"/>
  <c r="O82" i="75"/>
  <c r="O73" i="75"/>
  <c r="O70" i="75"/>
  <c r="O85" i="75"/>
  <c r="O76" i="75"/>
  <c r="O173" i="75"/>
  <c r="N173" i="75"/>
  <c r="M173" i="75"/>
  <c r="H11" i="88"/>
  <c r="I11" i="88" s="1"/>
  <c r="P162" i="66"/>
  <c r="P187" i="94" s="1"/>
  <c r="H9" i="88"/>
  <c r="I9" i="88" s="1"/>
  <c r="P67" i="75"/>
  <c r="H7" i="84"/>
  <c r="E47" i="92" s="1"/>
  <c r="N46" i="73"/>
  <c r="P161" i="66"/>
  <c r="P186" i="94" s="1"/>
  <c r="F43" i="78"/>
  <c r="L59" i="72"/>
  <c r="P160" i="66"/>
  <c r="P185" i="94" s="1"/>
  <c r="J59" i="72"/>
  <c r="J1714" i="94" s="1"/>
  <c r="K59" i="72"/>
  <c r="H16" i="85"/>
  <c r="K18" i="88"/>
  <c r="F54" i="89" s="1"/>
  <c r="D33" i="90" s="1"/>
  <c r="D55" i="92" s="1"/>
  <c r="G52" i="84"/>
  <c r="I52" i="84"/>
  <c r="K52" i="84"/>
  <c r="E52" i="84"/>
  <c r="P43" i="78"/>
  <c r="G134" i="78"/>
  <c r="N60" i="73"/>
  <c r="I46" i="73"/>
  <c r="H1058" i="94"/>
  <c r="G53" i="82"/>
  <c r="F44" i="78"/>
  <c r="M154" i="78"/>
  <c r="M155" i="78" s="1"/>
  <c r="M157" i="78" s="1"/>
  <c r="J154" i="78"/>
  <c r="J155" i="78" s="1"/>
  <c r="K69" i="73"/>
  <c r="J44" i="78"/>
  <c r="H13" i="74"/>
  <c r="G23" i="74"/>
  <c r="G1051" i="94" s="1"/>
  <c r="G14" i="74"/>
  <c r="P154" i="78"/>
  <c r="P155" i="78" s="1"/>
  <c r="P157" i="78" s="1"/>
  <c r="E172" i="90"/>
  <c r="E173" i="90" s="1"/>
  <c r="B22" i="74"/>
  <c r="B1050" i="94" s="1"/>
  <c r="C66" i="84"/>
  <c r="N234" i="75"/>
  <c r="Q234" i="75"/>
  <c r="I53" i="73"/>
  <c r="F69" i="73"/>
  <c r="G1042" i="94" l="1"/>
  <c r="G15" i="74"/>
  <c r="G1043" i="94" s="1"/>
  <c r="B21" i="74"/>
  <c r="N1634" i="94"/>
  <c r="O1634" i="94" s="1"/>
  <c r="S1805" i="94"/>
  <c r="F1239" i="94"/>
  <c r="K1239" i="94"/>
  <c r="M1239" i="94"/>
  <c r="I1941" i="94"/>
  <c r="O2077" i="94"/>
  <c r="O2078" i="94" s="1"/>
  <c r="O2083" i="94"/>
  <c r="O2084" i="94" s="1"/>
  <c r="O1402" i="94"/>
  <c r="AE562" i="94"/>
  <c r="AE559" i="94"/>
  <c r="M1475" i="94"/>
  <c r="L1475" i="94" s="1"/>
  <c r="N1631" i="94"/>
  <c r="M1478" i="94"/>
  <c r="L1478" i="94" s="1"/>
  <c r="AE560" i="94"/>
  <c r="AE563" i="94"/>
  <c r="AE561" i="94"/>
  <c r="AE564" i="94"/>
  <c r="Q229" i="75"/>
  <c r="J604" i="94"/>
  <c r="C20" i="84"/>
  <c r="C53" i="84"/>
  <c r="G53" i="84" s="1"/>
  <c r="G54" i="84" s="1"/>
  <c r="D15" i="74"/>
  <c r="C15" i="74"/>
  <c r="F15" i="74"/>
  <c r="B1043" i="94"/>
  <c r="B16" i="74"/>
  <c r="B19" i="74" s="1"/>
  <c r="B1047" i="94" s="1"/>
  <c r="E15" i="74"/>
  <c r="E1071" i="94"/>
  <c r="F43" i="74"/>
  <c r="F1068" i="94"/>
  <c r="G40" i="74"/>
  <c r="H11" i="86" s="1"/>
  <c r="E1067" i="94"/>
  <c r="F39" i="74"/>
  <c r="P59" i="72"/>
  <c r="L1714" i="94"/>
  <c r="O59" i="72"/>
  <c r="O1714" i="94" s="1"/>
  <c r="K1714" i="94"/>
  <c r="AE116" i="78"/>
  <c r="D580" i="94"/>
  <c r="E524" i="94"/>
  <c r="J489" i="94"/>
  <c r="E47" i="78"/>
  <c r="E493" i="94" s="1"/>
  <c r="K234" i="75"/>
  <c r="E78" i="78"/>
  <c r="K236" i="75"/>
  <c r="O428" i="72"/>
  <c r="O429" i="72" s="1"/>
  <c r="AE113" i="78"/>
  <c r="P85" i="75"/>
  <c r="P73" i="75"/>
  <c r="P88" i="75"/>
  <c r="P79" i="75"/>
  <c r="P82" i="75"/>
  <c r="P70" i="75"/>
  <c r="P76" i="75"/>
  <c r="K235" i="75"/>
  <c r="I13" i="88"/>
  <c r="AE118" i="78"/>
  <c r="N461" i="73"/>
  <c r="N463" i="73" s="1"/>
  <c r="N464" i="73"/>
  <c r="O464" i="73" s="1"/>
  <c r="O232" i="73"/>
  <c r="J43" i="78"/>
  <c r="D134" i="78"/>
  <c r="N90" i="66"/>
  <c r="N115" i="94" s="1"/>
  <c r="O422" i="72"/>
  <c r="O423" i="72" s="1"/>
  <c r="AE115" i="78"/>
  <c r="I286" i="72"/>
  <c r="M305" i="73"/>
  <c r="L305" i="73" s="1"/>
  <c r="F124" i="78"/>
  <c r="F570" i="94" s="1"/>
  <c r="C13" i="84"/>
  <c r="F52" i="89" s="1"/>
  <c r="N87" i="66"/>
  <c r="N112" i="94" s="1"/>
  <c r="AE114" i="78"/>
  <c r="H12" i="88"/>
  <c r="D34" i="90" s="1"/>
  <c r="D35" i="90" s="1"/>
  <c r="I64" i="92" s="1"/>
  <c r="M308" i="73"/>
  <c r="L308" i="73" s="1"/>
  <c r="AE117" i="78"/>
  <c r="M69" i="73"/>
  <c r="E26" i="89"/>
  <c r="H69" i="73"/>
  <c r="P63" i="73" s="1"/>
  <c r="J157" i="78"/>
  <c r="J158" i="78" s="1"/>
  <c r="G15" i="82"/>
  <c r="G19" i="82" s="1"/>
  <c r="I66" i="84"/>
  <c r="E66" i="84"/>
  <c r="K66" i="84"/>
  <c r="G66" i="84"/>
  <c r="H53" i="82"/>
  <c r="I1058" i="94"/>
  <c r="G22" i="74"/>
  <c r="G1050" i="94" s="1"/>
  <c r="C13" i="86"/>
  <c r="E22" i="74"/>
  <c r="E1050" i="94" s="1"/>
  <c r="H22" i="74"/>
  <c r="H1050" i="94" s="1"/>
  <c r="D22" i="74"/>
  <c r="D1050" i="94" s="1"/>
  <c r="C22" i="74"/>
  <c r="C1050" i="94" s="1"/>
  <c r="F22" i="74"/>
  <c r="F1050" i="94" s="1"/>
  <c r="G16" i="74"/>
  <c r="G1044" i="94" s="1"/>
  <c r="H23" i="74"/>
  <c r="H1051" i="94" s="1"/>
  <c r="I13" i="74"/>
  <c r="I22" i="74" s="1"/>
  <c r="I1050" i="94" s="1"/>
  <c r="H15" i="74"/>
  <c r="H1043" i="94" s="1"/>
  <c r="H14" i="74"/>
  <c r="H1042" i="94" l="1"/>
  <c r="D1043" i="94"/>
  <c r="D21" i="74"/>
  <c r="F21" i="74"/>
  <c r="B1049" i="94"/>
  <c r="Q988" i="94"/>
  <c r="Q219" i="75"/>
  <c r="E1043" i="94"/>
  <c r="E21" i="74"/>
  <c r="G21" i="74"/>
  <c r="C1043" i="94"/>
  <c r="C21" i="74"/>
  <c r="I53" i="84"/>
  <c r="I54" i="84" s="1"/>
  <c r="I56" i="84" s="1"/>
  <c r="I64" i="84" s="1"/>
  <c r="E53" i="84"/>
  <c r="E54" i="84" s="1"/>
  <c r="E56" i="84" s="1"/>
  <c r="E64" i="84" s="1"/>
  <c r="K53" i="84"/>
  <c r="K54" i="84" s="1"/>
  <c r="K56" i="84" s="1"/>
  <c r="K64" i="84" s="1"/>
  <c r="O58" i="72"/>
  <c r="O1713" i="94" s="1"/>
  <c r="N1633" i="94"/>
  <c r="K1634" i="94"/>
  <c r="AF559" i="94"/>
  <c r="AF562" i="94"/>
  <c r="D16" i="74"/>
  <c r="D1044" i="94" s="1"/>
  <c r="C16" i="74"/>
  <c r="C1044" i="94" s="1"/>
  <c r="E16" i="74"/>
  <c r="E1044" i="94" s="1"/>
  <c r="C54" i="84"/>
  <c r="C56" i="84" s="1"/>
  <c r="C64" i="84" s="1"/>
  <c r="K5" i="74"/>
  <c r="K1033" i="94" s="1"/>
  <c r="K7" i="74"/>
  <c r="K1035" i="94" s="1"/>
  <c r="B1044" i="94"/>
  <c r="J4" i="91"/>
  <c r="L4" i="95"/>
  <c r="F1043" i="94"/>
  <c r="F16" i="74"/>
  <c r="F1071" i="94"/>
  <c r="G43" i="74"/>
  <c r="G1068" i="94"/>
  <c r="H40" i="74"/>
  <c r="I11" i="86" s="1"/>
  <c r="F1067" i="94"/>
  <c r="G39" i="74"/>
  <c r="H10" i="86" s="1"/>
  <c r="G10" i="86"/>
  <c r="P58" i="72"/>
  <c r="P1714" i="94"/>
  <c r="J612" i="94"/>
  <c r="M611" i="94" s="1"/>
  <c r="P1233" i="94"/>
  <c r="O86" i="75"/>
  <c r="O87" i="75" s="1"/>
  <c r="M86" i="75"/>
  <c r="M87" i="75" s="1"/>
  <c r="K86" i="75"/>
  <c r="K87" i="75" s="1"/>
  <c r="L86" i="75"/>
  <c r="L87" i="75" s="1"/>
  <c r="N86" i="75"/>
  <c r="N87" i="75" s="1"/>
  <c r="M74" i="75"/>
  <c r="M75" i="75" s="1"/>
  <c r="N74" i="75"/>
  <c r="N75" i="75" s="1"/>
  <c r="L74" i="75"/>
  <c r="L75" i="75" s="1"/>
  <c r="K74" i="75"/>
  <c r="K75" i="75" s="1"/>
  <c r="O74" i="75"/>
  <c r="O75" i="75" s="1"/>
  <c r="O77" i="75"/>
  <c r="O78" i="75" s="1"/>
  <c r="M77" i="75"/>
  <c r="M78" i="75" s="1"/>
  <c r="K77" i="75"/>
  <c r="K78" i="75" s="1"/>
  <c r="N77" i="75"/>
  <c r="N78" i="75" s="1"/>
  <c r="L77" i="75"/>
  <c r="L78" i="75" s="1"/>
  <c r="L71" i="75"/>
  <c r="L72" i="75" s="1"/>
  <c r="O71" i="75"/>
  <c r="O72" i="75" s="1"/>
  <c r="N71" i="75"/>
  <c r="N72" i="75" s="1"/>
  <c r="K71" i="75"/>
  <c r="K72" i="75" s="1"/>
  <c r="M71" i="75"/>
  <c r="M72" i="75" s="1"/>
  <c r="L83" i="75"/>
  <c r="L84" i="75" s="1"/>
  <c r="M83" i="75"/>
  <c r="M84" i="75" s="1"/>
  <c r="O83" i="75"/>
  <c r="O84" i="75" s="1"/>
  <c r="N83" i="75"/>
  <c r="N84" i="75" s="1"/>
  <c r="K83" i="75"/>
  <c r="K84" i="75" s="1"/>
  <c r="M80" i="75"/>
  <c r="M81" i="75" s="1"/>
  <c r="K80" i="75"/>
  <c r="K81" i="75" s="1"/>
  <c r="O80" i="75"/>
  <c r="O81" i="75" s="1"/>
  <c r="L80" i="75"/>
  <c r="L81" i="75" s="1"/>
  <c r="N80" i="75"/>
  <c r="N81" i="75" s="1"/>
  <c r="N89" i="75"/>
  <c r="N90" i="75" s="1"/>
  <c r="L89" i="75"/>
  <c r="L90" i="75" s="1"/>
  <c r="M89" i="75"/>
  <c r="M90" i="75" s="1"/>
  <c r="O89" i="75"/>
  <c r="O90" i="75" s="1"/>
  <c r="K89" i="75"/>
  <c r="K90" i="75" s="1"/>
  <c r="P77" i="75"/>
  <c r="P78" i="75" s="1"/>
  <c r="P83" i="75"/>
  <c r="P84" i="75" s="1"/>
  <c r="P74" i="75"/>
  <c r="P75" i="75" s="1"/>
  <c r="P80" i="75"/>
  <c r="P81" i="75" s="1"/>
  <c r="P89" i="75"/>
  <c r="P90" i="75" s="1"/>
  <c r="P86" i="75"/>
  <c r="P87" i="75" s="1"/>
  <c r="AF116" i="78"/>
  <c r="P71" i="75"/>
  <c r="P72" i="75" s="1"/>
  <c r="K464" i="73"/>
  <c r="H19" i="84"/>
  <c r="AF113" i="78"/>
  <c r="D17" i="83"/>
  <c r="C19" i="84"/>
  <c r="F16" i="85"/>
  <c r="K19" i="88"/>
  <c r="I39" i="88" s="1"/>
  <c r="K38" i="88" s="1"/>
  <c r="J166" i="78"/>
  <c r="M165" i="78" s="1"/>
  <c r="G56" i="84"/>
  <c r="G64" i="84" s="1"/>
  <c r="G19" i="74"/>
  <c r="G1047" i="94" s="1"/>
  <c r="C33" i="86"/>
  <c r="D13" i="86"/>
  <c r="H16" i="74"/>
  <c r="H1044" i="94" s="1"/>
  <c r="E13" i="86"/>
  <c r="I53" i="82"/>
  <c r="J1058" i="94"/>
  <c r="L240" i="72"/>
  <c r="K240" i="72"/>
  <c r="I23" i="74"/>
  <c r="I1051" i="94" s="1"/>
  <c r="J13" i="74"/>
  <c r="I15" i="74"/>
  <c r="I1043" i="94" s="1"/>
  <c r="I14" i="74"/>
  <c r="I13" i="86"/>
  <c r="H13" i="86"/>
  <c r="F13" i="86"/>
  <c r="G13" i="86"/>
  <c r="A9" i="83"/>
  <c r="F1049" i="94" l="1"/>
  <c r="D1049" i="94"/>
  <c r="Q996" i="94"/>
  <c r="O990" i="94"/>
  <c r="O989" i="94"/>
  <c r="G1049" i="94"/>
  <c r="C1049" i="94"/>
  <c r="E1049" i="94"/>
  <c r="H21" i="74"/>
  <c r="I1042" i="94"/>
  <c r="C68" i="84"/>
  <c r="Q227" i="75"/>
  <c r="O220" i="75"/>
  <c r="O221" i="75"/>
  <c r="E19" i="74"/>
  <c r="E1047" i="94" s="1"/>
  <c r="D19" i="74"/>
  <c r="D1047" i="94" s="1"/>
  <c r="O50" i="72"/>
  <c r="O1705" i="94" s="1"/>
  <c r="R1705" i="94" s="1"/>
  <c r="E118" i="78"/>
  <c r="A118" i="78" s="1"/>
  <c r="C19" i="74"/>
  <c r="C1047" i="94" s="1"/>
  <c r="F1044" i="94"/>
  <c r="F19" i="74"/>
  <c r="G1071" i="94"/>
  <c r="H43" i="74"/>
  <c r="H1068" i="94"/>
  <c r="I40" i="74"/>
  <c r="G1067" i="94"/>
  <c r="H39" i="74"/>
  <c r="I10" i="86" s="1"/>
  <c r="P1713" i="94"/>
  <c r="P50" i="72"/>
  <c r="P1705" i="94" s="1"/>
  <c r="K21" i="88"/>
  <c r="K30" i="88" s="1"/>
  <c r="K34" i="88" s="1"/>
  <c r="J169" i="78"/>
  <c r="J615" i="94" s="1"/>
  <c r="J617" i="94" s="1"/>
  <c r="J619" i="94" s="1"/>
  <c r="J622" i="94" s="1"/>
  <c r="J626" i="94" s="1"/>
  <c r="K13" i="88"/>
  <c r="K1058" i="94"/>
  <c r="J53" i="82"/>
  <c r="K13" i="74"/>
  <c r="J23" i="74"/>
  <c r="J1051" i="94" s="1"/>
  <c r="J14" i="74"/>
  <c r="J15" i="74"/>
  <c r="J1043" i="94" s="1"/>
  <c r="J22" i="74"/>
  <c r="J1050" i="94" s="1"/>
  <c r="I16" i="74"/>
  <c r="I1044" i="94" s="1"/>
  <c r="H19" i="74"/>
  <c r="H1047" i="94" s="1"/>
  <c r="B20" i="74" l="1"/>
  <c r="F122" i="78"/>
  <c r="F568" i="94" s="1"/>
  <c r="F121" i="78"/>
  <c r="F567" i="94" s="1"/>
  <c r="Q246" i="75"/>
  <c r="P228" i="75"/>
  <c r="N227" i="75"/>
  <c r="N996" i="94"/>
  <c r="P997" i="94"/>
  <c r="Q1015" i="94"/>
  <c r="K68" i="84"/>
  <c r="K70" i="84" s="1"/>
  <c r="E68" i="84"/>
  <c r="E70" i="84" s="1"/>
  <c r="I68" i="84"/>
  <c r="I70" i="84" s="1"/>
  <c r="G68" i="84"/>
  <c r="G70" i="84" s="1"/>
  <c r="C70" i="84"/>
  <c r="J1042" i="94"/>
  <c r="J21" i="74"/>
  <c r="J1049" i="94" s="1"/>
  <c r="I21" i="74"/>
  <c r="H1049" i="94"/>
  <c r="J630" i="94"/>
  <c r="M628" i="94"/>
  <c r="E564" i="94"/>
  <c r="A564" i="94" s="1"/>
  <c r="R50" i="72"/>
  <c r="F1047" i="94"/>
  <c r="H1071" i="94"/>
  <c r="I43" i="74"/>
  <c r="I1068" i="94"/>
  <c r="J40" i="74"/>
  <c r="C31" i="86"/>
  <c r="H1067" i="94"/>
  <c r="I39" i="74"/>
  <c r="J171" i="78"/>
  <c r="J173" i="78" s="1"/>
  <c r="I19" i="74"/>
  <c r="K23" i="74"/>
  <c r="K1051" i="94" s="1"/>
  <c r="B45" i="74"/>
  <c r="K14" i="74"/>
  <c r="K15" i="74"/>
  <c r="K1043" i="94" s="1"/>
  <c r="K20" i="74"/>
  <c r="K22" i="74"/>
  <c r="K1050" i="94" s="1"/>
  <c r="D33" i="86"/>
  <c r="B1090" i="94"/>
  <c r="K53" i="82"/>
  <c r="J16" i="74"/>
  <c r="J1044" i="94" s="1"/>
  <c r="C72" i="84" l="1"/>
  <c r="C76" i="84"/>
  <c r="C73" i="84" s="1"/>
  <c r="J38" i="74"/>
  <c r="J1066" i="94" s="1"/>
  <c r="G76" i="84"/>
  <c r="G73" i="84" s="1"/>
  <c r="G72" i="84"/>
  <c r="I76" i="84"/>
  <c r="I73" i="84" s="1"/>
  <c r="I72" i="84"/>
  <c r="K1042" i="94"/>
  <c r="K72" i="84"/>
  <c r="K76" i="84"/>
  <c r="K73" i="84" s="1"/>
  <c r="E76" i="84"/>
  <c r="E73" i="84" s="1"/>
  <c r="E72" i="84"/>
  <c r="I1049" i="94"/>
  <c r="B38" i="74"/>
  <c r="B1066" i="94" s="1"/>
  <c r="C20" i="74"/>
  <c r="D20" i="74"/>
  <c r="F20" i="74"/>
  <c r="E20" i="74"/>
  <c r="B1048" i="94"/>
  <c r="G20" i="74"/>
  <c r="H20" i="74"/>
  <c r="I20" i="74"/>
  <c r="I1048" i="94" s="1"/>
  <c r="B24" i="74"/>
  <c r="J20" i="74"/>
  <c r="J1048" i="94" s="1"/>
  <c r="K1048" i="94"/>
  <c r="B15" i="82"/>
  <c r="J176" i="78"/>
  <c r="J180" i="78" s="1"/>
  <c r="I1071" i="94"/>
  <c r="J43" i="74"/>
  <c r="J1068" i="94"/>
  <c r="K40" i="74"/>
  <c r="D31" i="86"/>
  <c r="I1067" i="94"/>
  <c r="J39" i="74"/>
  <c r="C30" i="86"/>
  <c r="I1047" i="94"/>
  <c r="J19" i="74"/>
  <c r="K16" i="74"/>
  <c r="K1044" i="94" s="1"/>
  <c r="C45" i="74"/>
  <c r="B55" i="74"/>
  <c r="B1083" i="94" s="1"/>
  <c r="B47" i="74"/>
  <c r="B1075" i="94" s="1"/>
  <c r="B46" i="74"/>
  <c r="B52" i="74"/>
  <c r="B54" i="74"/>
  <c r="B1082" i="94" s="1"/>
  <c r="C1090" i="94"/>
  <c r="B73" i="82"/>
  <c r="E33" i="86"/>
  <c r="I38" i="74" l="1"/>
  <c r="I1066" i="94" s="1"/>
  <c r="G1048" i="94"/>
  <c r="G24" i="74"/>
  <c r="G38" i="74"/>
  <c r="G1066" i="94" s="1"/>
  <c r="H1048" i="94"/>
  <c r="H38" i="74"/>
  <c r="H1066" i="94" s="1"/>
  <c r="H24" i="74"/>
  <c r="B1074" i="94"/>
  <c r="F1048" i="94"/>
  <c r="F38" i="74"/>
  <c r="F1066" i="94" s="1"/>
  <c r="F24" i="74"/>
  <c r="E1048" i="94"/>
  <c r="E38" i="74"/>
  <c r="E1066" i="94" s="1"/>
  <c r="E24" i="74"/>
  <c r="D1048" i="94"/>
  <c r="D38" i="74"/>
  <c r="D1066" i="94" s="1"/>
  <c r="D24" i="74"/>
  <c r="I24" i="74"/>
  <c r="I33" i="74" s="1"/>
  <c r="I1061" i="94" s="1"/>
  <c r="B44" i="82"/>
  <c r="B32" i="74"/>
  <c r="B34" i="74"/>
  <c r="B1062" i="94" s="1"/>
  <c r="B1052" i="94"/>
  <c r="B37" i="74"/>
  <c r="B1065" i="94" s="1"/>
  <c r="B33" i="74"/>
  <c r="B1061" i="94" s="1"/>
  <c r="C1048" i="94"/>
  <c r="C38" i="74"/>
  <c r="C1066" i="94" s="1"/>
  <c r="C24" i="74"/>
  <c r="K21" i="74"/>
  <c r="B1080" i="94"/>
  <c r="M182" i="78"/>
  <c r="J184" i="78"/>
  <c r="I1052" i="94"/>
  <c r="I34" i="74"/>
  <c r="I1062" i="94" s="1"/>
  <c r="I37" i="74"/>
  <c r="I1065" i="94" s="1"/>
  <c r="J1071" i="94"/>
  <c r="K43" i="74"/>
  <c r="K1068" i="94"/>
  <c r="B72" i="74"/>
  <c r="E31" i="86"/>
  <c r="J1067" i="94"/>
  <c r="K39" i="74"/>
  <c r="E30" i="86" s="1"/>
  <c r="D30" i="86"/>
  <c r="I44" i="82"/>
  <c r="I51" i="82" s="1"/>
  <c r="J24" i="74"/>
  <c r="J32" i="74" s="1"/>
  <c r="J1047" i="94"/>
  <c r="I32" i="74"/>
  <c r="I1060" i="94" s="1"/>
  <c r="C73" i="82"/>
  <c r="D1090" i="94"/>
  <c r="C47" i="74"/>
  <c r="C1075" i="94" s="1"/>
  <c r="C55" i="74"/>
  <c r="C1083" i="94" s="1"/>
  <c r="D45" i="74"/>
  <c r="C46" i="74"/>
  <c r="C52" i="74"/>
  <c r="C54" i="74"/>
  <c r="C1082" i="94" s="1"/>
  <c r="B48" i="74"/>
  <c r="B1076" i="94" s="1"/>
  <c r="F33" i="86"/>
  <c r="K19" i="74"/>
  <c r="K1047" i="94" s="1"/>
  <c r="E34" i="74" l="1"/>
  <c r="E1062" i="94" s="1"/>
  <c r="E44" i="82"/>
  <c r="E33" i="74"/>
  <c r="E1061" i="94" s="1"/>
  <c r="E32" i="74"/>
  <c r="E37" i="74"/>
  <c r="E1065" i="94" s="1"/>
  <c r="E1052" i="94"/>
  <c r="K1049" i="94"/>
  <c r="K38" i="74"/>
  <c r="K1066" i="94" s="1"/>
  <c r="B1060" i="94"/>
  <c r="C9" i="86"/>
  <c r="C17" i="86" s="1"/>
  <c r="C18" i="86" s="1"/>
  <c r="C20" i="86" s="1"/>
  <c r="C24" i="86" s="1"/>
  <c r="K6" i="86" s="1"/>
  <c r="G66" i="86" s="1"/>
  <c r="N85" i="85" s="1"/>
  <c r="S20" i="74"/>
  <c r="S1048" i="94" s="1"/>
  <c r="C33" i="74"/>
  <c r="C1061" i="94" s="1"/>
  <c r="C37" i="74"/>
  <c r="C1065" i="94" s="1"/>
  <c r="C32" i="74"/>
  <c r="C1052" i="94"/>
  <c r="C34" i="74"/>
  <c r="C1062" i="94" s="1"/>
  <c r="C44" i="82"/>
  <c r="B46" i="82"/>
  <c r="B51" i="82"/>
  <c r="F44" i="82"/>
  <c r="F33" i="74"/>
  <c r="F1061" i="94" s="1"/>
  <c r="F32" i="74"/>
  <c r="F1052" i="94"/>
  <c r="F37" i="74"/>
  <c r="F1065" i="94" s="1"/>
  <c r="F34" i="74"/>
  <c r="F1062" i="94" s="1"/>
  <c r="G34" i="74"/>
  <c r="G1062" i="94" s="1"/>
  <c r="G1052" i="94"/>
  <c r="G33" i="74"/>
  <c r="G1061" i="94" s="1"/>
  <c r="G37" i="74"/>
  <c r="G1065" i="94" s="1"/>
  <c r="G44" i="82"/>
  <c r="G32" i="74"/>
  <c r="H1052" i="94"/>
  <c r="H34" i="74"/>
  <c r="H1062" i="94" s="1"/>
  <c r="H32" i="74"/>
  <c r="H33" i="74"/>
  <c r="H1061" i="94" s="1"/>
  <c r="H37" i="74"/>
  <c r="H1065" i="94" s="1"/>
  <c r="H44" i="82"/>
  <c r="S21" i="74"/>
  <c r="S1049" i="94" s="1"/>
  <c r="D1052" i="94"/>
  <c r="D44" i="82"/>
  <c r="D32" i="74"/>
  <c r="D33" i="74"/>
  <c r="D1061" i="94" s="1"/>
  <c r="D34" i="74"/>
  <c r="D1062" i="94" s="1"/>
  <c r="D37" i="74"/>
  <c r="D1065" i="94" s="1"/>
  <c r="C1074" i="94"/>
  <c r="B53" i="74"/>
  <c r="C1080" i="94"/>
  <c r="I34" i="94"/>
  <c r="I9" i="66"/>
  <c r="C21" i="86"/>
  <c r="L50" i="68"/>
  <c r="E99" i="78"/>
  <c r="M61" i="85"/>
  <c r="P61" i="85" s="1"/>
  <c r="L49" i="68"/>
  <c r="I46" i="82"/>
  <c r="J1052" i="94"/>
  <c r="J34" i="74"/>
  <c r="J1062" i="94" s="1"/>
  <c r="J37" i="74"/>
  <c r="J1065" i="94" s="1"/>
  <c r="J33" i="74"/>
  <c r="J1061" i="94" s="1"/>
  <c r="J44" i="82"/>
  <c r="J51" i="82" s="1"/>
  <c r="K1071" i="94"/>
  <c r="B75" i="74"/>
  <c r="B1100" i="94"/>
  <c r="C72" i="74"/>
  <c r="G31" i="86" s="1"/>
  <c r="F31" i="86"/>
  <c r="K1067" i="94"/>
  <c r="B71" i="74"/>
  <c r="F30" i="86" s="1"/>
  <c r="J1060" i="94"/>
  <c r="C29" i="86"/>
  <c r="C37" i="86" s="1"/>
  <c r="C38" i="86" s="1"/>
  <c r="C40" i="86" s="1"/>
  <c r="C44" i="86" s="1"/>
  <c r="K13" i="86" s="1"/>
  <c r="E45" i="74"/>
  <c r="D55" i="74"/>
  <c r="D1083" i="94" s="1"/>
  <c r="D47" i="74"/>
  <c r="D1075" i="94" s="1"/>
  <c r="D46" i="74"/>
  <c r="D52" i="74"/>
  <c r="D54" i="74"/>
  <c r="D1082" i="94" s="1"/>
  <c r="E1090" i="94"/>
  <c r="D73" i="82"/>
  <c r="D29" i="86"/>
  <c r="G33" i="86"/>
  <c r="K24" i="74"/>
  <c r="B51" i="74"/>
  <c r="B1079" i="94" s="1"/>
  <c r="C48" i="74"/>
  <c r="C1076" i="94" s="1"/>
  <c r="C53" i="74" l="1"/>
  <c r="G46" i="82"/>
  <c r="G51" i="82"/>
  <c r="G9" i="86"/>
  <c r="G17" i="86" s="1"/>
  <c r="G18" i="86" s="1"/>
  <c r="G20" i="86" s="1"/>
  <c r="G24" i="86" s="1"/>
  <c r="K10" i="86" s="1"/>
  <c r="F1060" i="94"/>
  <c r="C1060" i="94"/>
  <c r="S23" i="74"/>
  <c r="S1051" i="94" s="1"/>
  <c r="S25" i="74"/>
  <c r="S1053" i="94" s="1"/>
  <c r="D9" i="86"/>
  <c r="D17" i="86" s="1"/>
  <c r="D18" i="86" s="1"/>
  <c r="D20" i="86" s="1"/>
  <c r="D24" i="86" s="1"/>
  <c r="K7" i="86" s="1"/>
  <c r="S26" i="74"/>
  <c r="S1054" i="94" s="1"/>
  <c r="S22" i="74"/>
  <c r="S1050" i="94" s="1"/>
  <c r="S24" i="74"/>
  <c r="S1052" i="94" s="1"/>
  <c r="H46" i="82"/>
  <c r="H51" i="82"/>
  <c r="D46" i="82"/>
  <c r="D51" i="82"/>
  <c r="H9" i="86"/>
  <c r="H17" i="86" s="1"/>
  <c r="H18" i="86" s="1"/>
  <c r="H20" i="86" s="1"/>
  <c r="H24" i="86" s="1"/>
  <c r="K11" i="86" s="1"/>
  <c r="G1060" i="94"/>
  <c r="D1074" i="94"/>
  <c r="F46" i="82"/>
  <c r="F51" i="82"/>
  <c r="E1060" i="94"/>
  <c r="F9" i="86"/>
  <c r="F17" i="86" s="1"/>
  <c r="F18" i="86" s="1"/>
  <c r="F20" i="86" s="1"/>
  <c r="F24" i="86" s="1"/>
  <c r="K9" i="86" s="1"/>
  <c r="B1081" i="94"/>
  <c r="B70" i="74"/>
  <c r="B1098" i="94" s="1"/>
  <c r="S28" i="74"/>
  <c r="S1056" i="94" s="1"/>
  <c r="H1060" i="94"/>
  <c r="I9" i="86"/>
  <c r="I17" i="86" s="1"/>
  <c r="I18" i="86" s="1"/>
  <c r="I20" i="86" s="1"/>
  <c r="I24" i="86" s="1"/>
  <c r="K12" i="86" s="1"/>
  <c r="E46" i="82"/>
  <c r="E51" i="82"/>
  <c r="S27" i="74"/>
  <c r="S1055" i="94" s="1"/>
  <c r="D1060" i="94"/>
  <c r="E9" i="86"/>
  <c r="E17" i="86" s="1"/>
  <c r="E18" i="86" s="1"/>
  <c r="E20" i="86" s="1"/>
  <c r="E24" i="86" s="1"/>
  <c r="K8" i="86" s="1"/>
  <c r="C46" i="82"/>
  <c r="C51" i="82"/>
  <c r="D1080" i="94"/>
  <c r="N49" i="68"/>
  <c r="N428" i="94" s="1"/>
  <c r="B14" i="82"/>
  <c r="L428" i="94"/>
  <c r="E545" i="94"/>
  <c r="J545" i="94" s="1"/>
  <c r="J99" i="78"/>
  <c r="C41" i="86"/>
  <c r="D41" i="86" s="1"/>
  <c r="E41" i="86" s="1"/>
  <c r="D21" i="86"/>
  <c r="C22" i="86"/>
  <c r="C42" i="86" s="1"/>
  <c r="D42" i="86" s="1"/>
  <c r="E42" i="86" s="1"/>
  <c r="L429" i="94"/>
  <c r="N50" i="68"/>
  <c r="N429" i="94" s="1"/>
  <c r="K1052" i="94"/>
  <c r="K34" i="74"/>
  <c r="K1062" i="94" s="1"/>
  <c r="K37" i="74"/>
  <c r="K1065" i="94" s="1"/>
  <c r="K33" i="74"/>
  <c r="K1061" i="94" s="1"/>
  <c r="J46" i="82"/>
  <c r="B1103" i="94"/>
  <c r="C75" i="74"/>
  <c r="C1100" i="94"/>
  <c r="D72" i="74"/>
  <c r="H31" i="86" s="1"/>
  <c r="B1099" i="94"/>
  <c r="C71" i="74"/>
  <c r="C51" i="74"/>
  <c r="E73" i="82"/>
  <c r="F1090" i="94"/>
  <c r="D48" i="74"/>
  <c r="D1076" i="94" s="1"/>
  <c r="B56" i="74"/>
  <c r="D37" i="86"/>
  <c r="D38" i="86" s="1"/>
  <c r="D40" i="86" s="1"/>
  <c r="D44" i="86" s="1"/>
  <c r="K14" i="86" s="1"/>
  <c r="K44" i="82"/>
  <c r="K32" i="74"/>
  <c r="K1060" i="94" s="1"/>
  <c r="E46" i="74"/>
  <c r="E55" i="74"/>
  <c r="E1083" i="94" s="1"/>
  <c r="F45" i="74"/>
  <c r="E47" i="74"/>
  <c r="E1075" i="94" s="1"/>
  <c r="E52" i="74"/>
  <c r="E54" i="74"/>
  <c r="E1082" i="94" s="1"/>
  <c r="H33" i="86"/>
  <c r="E1074" i="94" l="1"/>
  <c r="D53" i="74"/>
  <c r="C1081" i="94"/>
  <c r="C70" i="74"/>
  <c r="C1098" i="94" s="1"/>
  <c r="E1080" i="94"/>
  <c r="D22" i="86"/>
  <c r="E21" i="86"/>
  <c r="G20" i="82"/>
  <c r="B20" i="82"/>
  <c r="B21" i="82" s="1"/>
  <c r="B1084" i="94"/>
  <c r="B69" i="74"/>
  <c r="B1097" i="94" s="1"/>
  <c r="B65" i="74"/>
  <c r="B1093" i="94" s="1"/>
  <c r="B66" i="74"/>
  <c r="B1094" i="94" s="1"/>
  <c r="C1103" i="94"/>
  <c r="D75" i="74"/>
  <c r="D1100" i="94"/>
  <c r="E72" i="74"/>
  <c r="I31" i="86" s="1"/>
  <c r="C1099" i="94"/>
  <c r="D71" i="74"/>
  <c r="H30" i="86" s="1"/>
  <c r="G30" i="86"/>
  <c r="C56" i="74"/>
  <c r="C1079" i="94"/>
  <c r="D51" i="74"/>
  <c r="D1079" i="94" s="1"/>
  <c r="F55" i="74"/>
  <c r="F1083" i="94" s="1"/>
  <c r="F47" i="74"/>
  <c r="F1075" i="94" s="1"/>
  <c r="F46" i="74"/>
  <c r="G45" i="74"/>
  <c r="F52" i="74"/>
  <c r="F54" i="74"/>
  <c r="F1082" i="94" s="1"/>
  <c r="E48" i="74"/>
  <c r="E1076" i="94" s="1"/>
  <c r="E29" i="86"/>
  <c r="S29" i="74"/>
  <c r="S1057" i="94" s="1"/>
  <c r="F73" i="82"/>
  <c r="G1090" i="94"/>
  <c r="K51" i="82"/>
  <c r="K46" i="82"/>
  <c r="B25" i="82" s="1"/>
  <c r="I33" i="86"/>
  <c r="B64" i="82"/>
  <c r="B64" i="74"/>
  <c r="B1092" i="94" s="1"/>
  <c r="F1074" i="94" l="1"/>
  <c r="D1081" i="94"/>
  <c r="D70" i="74"/>
  <c r="D1098" i="94" s="1"/>
  <c r="E53" i="74"/>
  <c r="F1080" i="94"/>
  <c r="E22" i="86"/>
  <c r="F21" i="86"/>
  <c r="C1084" i="94"/>
  <c r="C66" i="74"/>
  <c r="C1094" i="94" s="1"/>
  <c r="C65" i="74"/>
  <c r="C1093" i="94" s="1"/>
  <c r="C69" i="74"/>
  <c r="C1097" i="94" s="1"/>
  <c r="D1103" i="94"/>
  <c r="E75" i="74"/>
  <c r="E1100" i="94"/>
  <c r="D1099" i="94"/>
  <c r="E71" i="74"/>
  <c r="C64" i="82"/>
  <c r="C66" i="82" s="1"/>
  <c r="C64" i="74"/>
  <c r="C1092" i="94" s="1"/>
  <c r="E51" i="74"/>
  <c r="E1079" i="94" s="1"/>
  <c r="C52" i="82"/>
  <c r="C54" i="82" s="1"/>
  <c r="G72" i="82"/>
  <c r="E72" i="82"/>
  <c r="F72" i="82"/>
  <c r="I72" i="82"/>
  <c r="B52" i="82"/>
  <c r="B54" i="82" s="1"/>
  <c r="C72" i="82"/>
  <c r="B72" i="82"/>
  <c r="H52" i="82"/>
  <c r="H54" i="82" s="1"/>
  <c r="H72" i="82"/>
  <c r="E52" i="82"/>
  <c r="E54" i="82" s="1"/>
  <c r="G52" i="82"/>
  <c r="G54" i="82" s="1"/>
  <c r="B26" i="82"/>
  <c r="J52" i="82"/>
  <c r="J54" i="82" s="1"/>
  <c r="J72" i="82"/>
  <c r="D72" i="82"/>
  <c r="D52" i="82"/>
  <c r="D54" i="82" s="1"/>
  <c r="K52" i="82"/>
  <c r="K54" i="82" s="1"/>
  <c r="F52" i="82"/>
  <c r="F54" i="82" s="1"/>
  <c r="I52" i="82"/>
  <c r="I54" i="82" s="1"/>
  <c r="K72" i="82"/>
  <c r="E37" i="86"/>
  <c r="E38" i="86" s="1"/>
  <c r="E40" i="86" s="1"/>
  <c r="E44" i="86" s="1"/>
  <c r="K15" i="86" s="1"/>
  <c r="F48" i="74"/>
  <c r="F1076" i="94" s="1"/>
  <c r="S30" i="74"/>
  <c r="S1058" i="94" s="1"/>
  <c r="F29" i="86"/>
  <c r="H1090" i="94"/>
  <c r="G73" i="82"/>
  <c r="B66" i="82"/>
  <c r="B71" i="82"/>
  <c r="C53" i="86"/>
  <c r="D56" i="74"/>
  <c r="G55" i="74"/>
  <c r="G1083" i="94" s="1"/>
  <c r="G47" i="74"/>
  <c r="G1075" i="94" s="1"/>
  <c r="H45" i="74"/>
  <c r="G46" i="74"/>
  <c r="G52" i="74"/>
  <c r="G54" i="74"/>
  <c r="G1082" i="94" s="1"/>
  <c r="E1081" i="94" l="1"/>
  <c r="E70" i="74"/>
  <c r="E1098" i="94" s="1"/>
  <c r="G1074" i="94"/>
  <c r="F53" i="74"/>
  <c r="G1080" i="94"/>
  <c r="G21" i="86"/>
  <c r="F22" i="86"/>
  <c r="D1084" i="94"/>
  <c r="D65" i="74"/>
  <c r="D1093" i="94" s="1"/>
  <c r="D66" i="74"/>
  <c r="D1094" i="94" s="1"/>
  <c r="D69" i="74"/>
  <c r="D1097" i="94" s="1"/>
  <c r="C71" i="82"/>
  <c r="C74" i="82" s="1"/>
  <c r="C75" i="82" s="1"/>
  <c r="C76" i="82" s="1"/>
  <c r="E1103" i="94"/>
  <c r="F75" i="74"/>
  <c r="F1100" i="94"/>
  <c r="G72" i="74"/>
  <c r="C51" i="86"/>
  <c r="S31" i="74"/>
  <c r="S1059" i="94" s="1"/>
  <c r="G29" i="86"/>
  <c r="G37" i="86" s="1"/>
  <c r="G38" i="86" s="1"/>
  <c r="G40" i="86" s="1"/>
  <c r="G44" i="86" s="1"/>
  <c r="K17" i="86" s="1"/>
  <c r="E1099" i="94"/>
  <c r="F71" i="74"/>
  <c r="C50" i="86" s="1"/>
  <c r="I30" i="86"/>
  <c r="E56" i="74"/>
  <c r="B74" i="82"/>
  <c r="B75" i="82" s="1"/>
  <c r="B55" i="82"/>
  <c r="B56" i="82" s="1"/>
  <c r="B5" i="82"/>
  <c r="B6" i="82" s="1"/>
  <c r="B7" i="82" s="1"/>
  <c r="B28" i="82"/>
  <c r="B58" i="82"/>
  <c r="C58" i="82" s="1"/>
  <c r="D58" i="82" s="1"/>
  <c r="E58" i="82" s="1"/>
  <c r="F58" i="82" s="1"/>
  <c r="G58" i="82" s="1"/>
  <c r="H58" i="82" s="1"/>
  <c r="I58" i="82" s="1"/>
  <c r="J58" i="82" s="1"/>
  <c r="K58" i="82" s="1"/>
  <c r="B78" i="82" s="1"/>
  <c r="C78" i="82" s="1"/>
  <c r="D78" i="82" s="1"/>
  <c r="E78" i="82" s="1"/>
  <c r="F78" i="82" s="1"/>
  <c r="G78" i="82" s="1"/>
  <c r="H78" i="82" s="1"/>
  <c r="I78" i="82" s="1"/>
  <c r="J78" i="82" s="1"/>
  <c r="K78" i="82" s="1"/>
  <c r="B9" i="82"/>
  <c r="B10" i="82" s="1"/>
  <c r="B11" i="82" s="1"/>
  <c r="J55" i="82"/>
  <c r="J56" i="82" s="1"/>
  <c r="H73" i="82"/>
  <c r="I1090" i="94"/>
  <c r="K55" i="82"/>
  <c r="K56" i="82" s="1"/>
  <c r="I55" i="82"/>
  <c r="I56" i="82" s="1"/>
  <c r="G55" i="82"/>
  <c r="G56" i="82" s="1"/>
  <c r="H55" i="74"/>
  <c r="H1083" i="94" s="1"/>
  <c r="H46" i="74"/>
  <c r="H47" i="74"/>
  <c r="H1075" i="94" s="1"/>
  <c r="I45" i="74"/>
  <c r="H52" i="74"/>
  <c r="H54" i="74"/>
  <c r="H1082" i="94" s="1"/>
  <c r="D53" i="86"/>
  <c r="F51" i="74"/>
  <c r="F1079" i="94" s="1"/>
  <c r="F55" i="82"/>
  <c r="F56" i="82" s="1"/>
  <c r="D55" i="82"/>
  <c r="D56" i="82" s="1"/>
  <c r="H55" i="82"/>
  <c r="H56" i="82" s="1"/>
  <c r="C55" i="82"/>
  <c r="C56" i="82" s="1"/>
  <c r="F37" i="86"/>
  <c r="F38" i="86" s="1"/>
  <c r="F40" i="86" s="1"/>
  <c r="F44" i="86" s="1"/>
  <c r="K16" i="86" s="1"/>
  <c r="E55" i="82"/>
  <c r="E56" i="82" s="1"/>
  <c r="G48" i="74"/>
  <c r="G1076" i="94" s="1"/>
  <c r="D64" i="74"/>
  <c r="D1092" i="94" s="1"/>
  <c r="D64" i="82"/>
  <c r="F1081" i="94" l="1"/>
  <c r="F70" i="74"/>
  <c r="F1098" i="94" s="1"/>
  <c r="H1074" i="94"/>
  <c r="G53" i="74"/>
  <c r="H1080" i="94"/>
  <c r="H21" i="86"/>
  <c r="G22" i="86"/>
  <c r="E65" i="74"/>
  <c r="E1093" i="94" s="1"/>
  <c r="E69" i="74"/>
  <c r="E1097" i="94" s="1"/>
  <c r="E66" i="74"/>
  <c r="E1094" i="94" s="1"/>
  <c r="F1103" i="94"/>
  <c r="G75" i="74"/>
  <c r="G1103" i="94" s="1"/>
  <c r="G1100" i="94"/>
  <c r="H72" i="74"/>
  <c r="D51" i="86"/>
  <c r="F1099" i="94"/>
  <c r="G71" i="74"/>
  <c r="E64" i="82"/>
  <c r="E71" i="82" s="1"/>
  <c r="E74" i="82" s="1"/>
  <c r="E1084" i="94"/>
  <c r="E64" i="74"/>
  <c r="B76" i="82"/>
  <c r="E53" i="86"/>
  <c r="H29" i="86"/>
  <c r="S32" i="74"/>
  <c r="S1060" i="94" s="1"/>
  <c r="J45" i="74"/>
  <c r="I55" i="74"/>
  <c r="I1083" i="94" s="1"/>
  <c r="I46" i="74"/>
  <c r="I47" i="74"/>
  <c r="I1075" i="94" s="1"/>
  <c r="I52" i="74"/>
  <c r="I54" i="74"/>
  <c r="I1082" i="94" s="1"/>
  <c r="D71" i="82"/>
  <c r="D74" i="82" s="1"/>
  <c r="D66" i="82"/>
  <c r="B29" i="82"/>
  <c r="G21" i="82"/>
  <c r="G51" i="74"/>
  <c r="G1079" i="94" s="1"/>
  <c r="H48" i="74"/>
  <c r="H1076" i="94" s="1"/>
  <c r="J1090" i="94"/>
  <c r="I73" i="82"/>
  <c r="F56" i="74"/>
  <c r="I1074" i="94" l="1"/>
  <c r="G1081" i="94"/>
  <c r="G70" i="74"/>
  <c r="G1098" i="94" s="1"/>
  <c r="H53" i="74"/>
  <c r="I1080" i="94"/>
  <c r="H22" i="86"/>
  <c r="I21" i="86"/>
  <c r="I22" i="86" s="1"/>
  <c r="F1084" i="94"/>
  <c r="F66" i="74"/>
  <c r="F1094" i="94" s="1"/>
  <c r="F65" i="74"/>
  <c r="F1093" i="94" s="1"/>
  <c r="F69" i="74"/>
  <c r="F1097" i="94" s="1"/>
  <c r="H1100" i="94"/>
  <c r="I72" i="74"/>
  <c r="E51" i="86"/>
  <c r="G1099" i="94"/>
  <c r="H71" i="74"/>
  <c r="D50" i="86"/>
  <c r="D57" i="86" s="1"/>
  <c r="D58" i="86" s="1"/>
  <c r="D60" i="86" s="1"/>
  <c r="D64" i="86" s="1"/>
  <c r="K21" i="86" s="1"/>
  <c r="E66" i="82"/>
  <c r="S33" i="74"/>
  <c r="S1061" i="94" s="1"/>
  <c r="E1092" i="94"/>
  <c r="I29" i="86"/>
  <c r="I37" i="86" s="1"/>
  <c r="I38" i="86" s="1"/>
  <c r="I40" i="86" s="1"/>
  <c r="I44" i="86" s="1"/>
  <c r="K19" i="86" s="1"/>
  <c r="J47" i="74"/>
  <c r="J1075" i="94" s="1"/>
  <c r="K45" i="74"/>
  <c r="J55" i="74"/>
  <c r="J1083" i="94" s="1"/>
  <c r="J46" i="74"/>
  <c r="J52" i="74"/>
  <c r="J54" i="74"/>
  <c r="J1082" i="94" s="1"/>
  <c r="H37" i="86"/>
  <c r="H38" i="86" s="1"/>
  <c r="H40" i="86" s="1"/>
  <c r="H44" i="86" s="1"/>
  <c r="K18" i="86" s="1"/>
  <c r="G56" i="74"/>
  <c r="F64" i="74"/>
  <c r="F1092" i="94" s="1"/>
  <c r="F64" i="82"/>
  <c r="I48" i="74"/>
  <c r="I1076" i="94" s="1"/>
  <c r="J73" i="82"/>
  <c r="K1090" i="94"/>
  <c r="D75" i="82"/>
  <c r="D76" i="82" s="1"/>
  <c r="E75" i="82"/>
  <c r="E76" i="82" s="1"/>
  <c r="H51" i="74"/>
  <c r="H1079" i="94" s="1"/>
  <c r="F53" i="86"/>
  <c r="H1081" i="94" l="1"/>
  <c r="H70" i="74"/>
  <c r="H1098" i="94" s="1"/>
  <c r="J1074" i="94"/>
  <c r="I53" i="74"/>
  <c r="J1080" i="94"/>
  <c r="G1084" i="94"/>
  <c r="G65" i="74"/>
  <c r="G1093" i="94" s="1"/>
  <c r="G66" i="74"/>
  <c r="G1094" i="94" s="1"/>
  <c r="G69" i="74"/>
  <c r="G1097" i="94" s="1"/>
  <c r="I1100" i="94"/>
  <c r="J72" i="74"/>
  <c r="G51" i="86" s="1"/>
  <c r="F51" i="86"/>
  <c r="H1099" i="94"/>
  <c r="I71" i="74"/>
  <c r="E50" i="86"/>
  <c r="E57" i="86" s="1"/>
  <c r="E58" i="86" s="1"/>
  <c r="E60" i="86" s="1"/>
  <c r="E64" i="86" s="1"/>
  <c r="K22" i="86" s="1"/>
  <c r="I51" i="74"/>
  <c r="F66" i="82"/>
  <c r="F71" i="82"/>
  <c r="F74" i="82" s="1"/>
  <c r="G53" i="86"/>
  <c r="G64" i="82"/>
  <c r="G64" i="74"/>
  <c r="G1092" i="94" s="1"/>
  <c r="J48" i="74"/>
  <c r="J1076" i="94" s="1"/>
  <c r="C49" i="86"/>
  <c r="S34" i="74"/>
  <c r="K73" i="82"/>
  <c r="B94" i="74"/>
  <c r="B1122" i="94" s="1"/>
  <c r="B77" i="74"/>
  <c r="K55" i="74"/>
  <c r="K1083" i="94" s="1"/>
  <c r="K46" i="74"/>
  <c r="K47" i="74"/>
  <c r="K1075" i="94" s="1"/>
  <c r="K52" i="74"/>
  <c r="K54" i="74"/>
  <c r="K1082" i="94" s="1"/>
  <c r="H56" i="74"/>
  <c r="K1074" i="94" l="1"/>
  <c r="I1081" i="94"/>
  <c r="I70" i="74"/>
  <c r="I1098" i="94" s="1"/>
  <c r="J53" i="74"/>
  <c r="K1080" i="94"/>
  <c r="H1084" i="94"/>
  <c r="H66" i="74"/>
  <c r="H1094" i="94" s="1"/>
  <c r="H69" i="74"/>
  <c r="H1097" i="94" s="1"/>
  <c r="H65" i="74"/>
  <c r="H1093" i="94" s="1"/>
  <c r="J1100" i="94"/>
  <c r="K72" i="74"/>
  <c r="H51" i="86" s="1"/>
  <c r="I1099" i="94"/>
  <c r="J71" i="74"/>
  <c r="F50" i="86"/>
  <c r="F57" i="86" s="1"/>
  <c r="F58" i="86" s="1"/>
  <c r="F60" i="86" s="1"/>
  <c r="F64" i="86" s="1"/>
  <c r="K23" i="86" s="1"/>
  <c r="F45" i="68"/>
  <c r="F424" i="94" s="1"/>
  <c r="S1062" i="94"/>
  <c r="I56" i="74"/>
  <c r="I64" i="74" s="1"/>
  <c r="I1092" i="94" s="1"/>
  <c r="I1079" i="94"/>
  <c r="J51" i="74"/>
  <c r="C57" i="86"/>
  <c r="C58" i="86" s="1"/>
  <c r="C60" i="86" s="1"/>
  <c r="C64" i="86" s="1"/>
  <c r="K20" i="86" s="1"/>
  <c r="F75" i="82"/>
  <c r="F76" i="82" s="1"/>
  <c r="B87" i="74"/>
  <c r="B1115" i="94" s="1"/>
  <c r="B78" i="74"/>
  <c r="B79" i="74"/>
  <c r="B1107" i="94" s="1"/>
  <c r="C77" i="74"/>
  <c r="B84" i="74"/>
  <c r="B86" i="74"/>
  <c r="B1114" i="94" s="1"/>
  <c r="S35" i="74"/>
  <c r="S1063" i="94" s="1"/>
  <c r="H64" i="82"/>
  <c r="H64" i="74"/>
  <c r="H1092" i="94" s="1"/>
  <c r="H53" i="86"/>
  <c r="G66" i="82"/>
  <c r="G71" i="82"/>
  <c r="G74" i="82" s="1"/>
  <c r="K48" i="74"/>
  <c r="K1076" i="94" s="1"/>
  <c r="C94" i="74"/>
  <c r="C1122" i="94" s="1"/>
  <c r="J1081" i="94" l="1"/>
  <c r="J70" i="74"/>
  <c r="J1098" i="94" s="1"/>
  <c r="B1106" i="94"/>
  <c r="K53" i="74"/>
  <c r="B1112" i="94"/>
  <c r="I1084" i="94"/>
  <c r="I66" i="74"/>
  <c r="I1094" i="94" s="1"/>
  <c r="I69" i="74"/>
  <c r="I1097" i="94" s="1"/>
  <c r="I65" i="74"/>
  <c r="I1093" i="94" s="1"/>
  <c r="K1100" i="94"/>
  <c r="B103" i="74"/>
  <c r="J1099" i="94"/>
  <c r="K71" i="74"/>
  <c r="H50" i="86" s="1"/>
  <c r="H57" i="86" s="1"/>
  <c r="H58" i="86" s="1"/>
  <c r="H60" i="86" s="1"/>
  <c r="H64" i="86" s="1"/>
  <c r="K25" i="86" s="1"/>
  <c r="G50" i="86"/>
  <c r="G57" i="86" s="1"/>
  <c r="G58" i="86" s="1"/>
  <c r="G60" i="86" s="1"/>
  <c r="G64" i="86" s="1"/>
  <c r="K24" i="86" s="1"/>
  <c r="L45" i="68"/>
  <c r="L424" i="94" s="1"/>
  <c r="J56" i="74"/>
  <c r="J64" i="74" s="1"/>
  <c r="J1092" i="94" s="1"/>
  <c r="J1079" i="94"/>
  <c r="I64" i="82"/>
  <c r="I66" i="82" s="1"/>
  <c r="K51" i="74"/>
  <c r="K1079" i="94" s="1"/>
  <c r="B80" i="74"/>
  <c r="B1108" i="94" s="1"/>
  <c r="S36" i="74"/>
  <c r="S1064" i="94" s="1"/>
  <c r="S37" i="74"/>
  <c r="S1065" i="94" s="1"/>
  <c r="D94" i="74"/>
  <c r="D1122" i="94" s="1"/>
  <c r="H66" i="82"/>
  <c r="H71" i="82"/>
  <c r="H74" i="82" s="1"/>
  <c r="C78" i="74"/>
  <c r="D77" i="74"/>
  <c r="C87" i="74"/>
  <c r="C1115" i="94" s="1"/>
  <c r="C79" i="74"/>
  <c r="C1107" i="94" s="1"/>
  <c r="C84" i="74"/>
  <c r="C86" i="74"/>
  <c r="C1114" i="94" s="1"/>
  <c r="G75" i="82"/>
  <c r="G76" i="82" s="1"/>
  <c r="K1081" i="94" l="1"/>
  <c r="K70" i="74"/>
  <c r="K1098" i="94" s="1"/>
  <c r="C1106" i="94"/>
  <c r="B85" i="74"/>
  <c r="C1112" i="94"/>
  <c r="I71" i="82"/>
  <c r="I74" i="82" s="1"/>
  <c r="I75" i="82" s="1"/>
  <c r="I76" i="82" s="1"/>
  <c r="J64" i="82"/>
  <c r="J71" i="82" s="1"/>
  <c r="J74" i="82" s="1"/>
  <c r="J1084" i="94"/>
  <c r="J65" i="74"/>
  <c r="J1093" i="94" s="1"/>
  <c r="J66" i="74"/>
  <c r="J1094" i="94" s="1"/>
  <c r="J69" i="74"/>
  <c r="J1097" i="94" s="1"/>
  <c r="B1131" i="94"/>
  <c r="C103" i="74"/>
  <c r="L63" i="85"/>
  <c r="K1099" i="94"/>
  <c r="L93" i="85"/>
  <c r="O8" i="86"/>
  <c r="O14" i="86" s="1"/>
  <c r="O33" i="86" s="1"/>
  <c r="H63" i="86" s="1"/>
  <c r="C85" i="90"/>
  <c r="F85" i="92"/>
  <c r="F89" i="92" s="1"/>
  <c r="F105" i="92" s="1"/>
  <c r="E77" i="74"/>
  <c r="D78" i="74"/>
  <c r="D79" i="74"/>
  <c r="D1107" i="94" s="1"/>
  <c r="D87" i="74"/>
  <c r="D1115" i="94" s="1"/>
  <c r="D84" i="74"/>
  <c r="D86" i="74"/>
  <c r="D1114" i="94" s="1"/>
  <c r="C80" i="74"/>
  <c r="C1108" i="94" s="1"/>
  <c r="E94" i="74"/>
  <c r="E1122" i="94" s="1"/>
  <c r="B83" i="74"/>
  <c r="B1111" i="94" s="1"/>
  <c r="H75" i="82"/>
  <c r="H76" i="82" s="1"/>
  <c r="S38" i="74"/>
  <c r="S1066" i="94" s="1"/>
  <c r="K56" i="74"/>
  <c r="D1106" i="94" l="1"/>
  <c r="B1113" i="94"/>
  <c r="B101" i="74"/>
  <c r="B1129" i="94" s="1"/>
  <c r="C85" i="74"/>
  <c r="D1112" i="94"/>
  <c r="J66" i="82"/>
  <c r="K1084" i="94"/>
  <c r="K66" i="74"/>
  <c r="K1094" i="94" s="1"/>
  <c r="K69" i="74"/>
  <c r="K1097" i="94" s="1"/>
  <c r="K65" i="74"/>
  <c r="K1093" i="94" s="1"/>
  <c r="C1131" i="94"/>
  <c r="D103" i="74"/>
  <c r="B1130" i="94"/>
  <c r="C83" i="74"/>
  <c r="C1111" i="94" s="1"/>
  <c r="F94" i="74"/>
  <c r="F1122" i="94" s="1"/>
  <c r="K64" i="74"/>
  <c r="K1092" i="94" s="1"/>
  <c r="K64" i="82"/>
  <c r="D80" i="74"/>
  <c r="D1108" i="94" s="1"/>
  <c r="J75" i="82"/>
  <c r="J76" i="82" s="1"/>
  <c r="F77" i="74"/>
  <c r="E87" i="74"/>
  <c r="E1115" i="94" s="1"/>
  <c r="E78" i="74"/>
  <c r="E79" i="74"/>
  <c r="E1107" i="94" s="1"/>
  <c r="E84" i="74"/>
  <c r="E86" i="74"/>
  <c r="E1114" i="94" s="1"/>
  <c r="B88" i="74"/>
  <c r="E1106" i="94" l="1"/>
  <c r="C1113" i="94"/>
  <c r="C101" i="74"/>
  <c r="C1129" i="94" s="1"/>
  <c r="D85" i="74"/>
  <c r="E1112" i="94"/>
  <c r="B97" i="74"/>
  <c r="B1125" i="94" s="1"/>
  <c r="B100" i="74"/>
  <c r="B1128" i="94" s="1"/>
  <c r="B96" i="74"/>
  <c r="B1124" i="94" s="1"/>
  <c r="D1131" i="94"/>
  <c r="E103" i="74"/>
  <c r="C1130" i="94"/>
  <c r="B95" i="74"/>
  <c r="B1123" i="94" s="1"/>
  <c r="B1116" i="94"/>
  <c r="C88" i="74"/>
  <c r="D83" i="74"/>
  <c r="D1111" i="94" s="1"/>
  <c r="E80" i="74"/>
  <c r="E1108" i="94" s="1"/>
  <c r="K71" i="82"/>
  <c r="K74" i="82" s="1"/>
  <c r="K66" i="82"/>
  <c r="F87" i="74"/>
  <c r="F1115" i="94" s="1"/>
  <c r="G77" i="74"/>
  <c r="F79" i="74"/>
  <c r="F1107" i="94" s="1"/>
  <c r="F78" i="74"/>
  <c r="F84" i="74"/>
  <c r="F86" i="74"/>
  <c r="F1114" i="94" s="1"/>
  <c r="S39" i="74"/>
  <c r="S1067" i="94" s="1"/>
  <c r="G94" i="74"/>
  <c r="G1122" i="94" s="1"/>
  <c r="F1106" i="94" l="1"/>
  <c r="D1113" i="94"/>
  <c r="D101" i="74"/>
  <c r="D1129" i="94" s="1"/>
  <c r="E85" i="74"/>
  <c r="F1112" i="94"/>
  <c r="C100" i="74"/>
  <c r="C1128" i="94" s="1"/>
  <c r="C96" i="74"/>
  <c r="C1124" i="94" s="1"/>
  <c r="C97" i="74"/>
  <c r="C1125" i="94" s="1"/>
  <c r="E1131" i="94"/>
  <c r="F103" i="74"/>
  <c r="D1130" i="94"/>
  <c r="C95" i="74"/>
  <c r="C1123" i="94" s="1"/>
  <c r="C1116" i="94"/>
  <c r="E83" i="74"/>
  <c r="E1111" i="94" s="1"/>
  <c r="G78" i="74"/>
  <c r="G87" i="74"/>
  <c r="G1115" i="94" s="1"/>
  <c r="G79" i="74"/>
  <c r="G1107" i="94" s="1"/>
  <c r="H77" i="74"/>
  <c r="G84" i="74"/>
  <c r="G86" i="74"/>
  <c r="G1114" i="94" s="1"/>
  <c r="K75" i="82"/>
  <c r="K76" i="82" s="1"/>
  <c r="H94" i="74"/>
  <c r="H1122" i="94" s="1"/>
  <c r="F80" i="74"/>
  <c r="F1108" i="94" s="1"/>
  <c r="D88" i="74"/>
  <c r="E1113" i="94" l="1"/>
  <c r="E101" i="74"/>
  <c r="E1129" i="94" s="1"/>
  <c r="F85" i="74"/>
  <c r="G1106" i="94"/>
  <c r="G1112" i="94"/>
  <c r="D96" i="74"/>
  <c r="D1124" i="94" s="1"/>
  <c r="D97" i="74"/>
  <c r="D1125" i="94" s="1"/>
  <c r="D100" i="74"/>
  <c r="D1128" i="94" s="1"/>
  <c r="F1131" i="94"/>
  <c r="G103" i="74"/>
  <c r="E1130" i="94"/>
  <c r="D95" i="74"/>
  <c r="D1123" i="94" s="1"/>
  <c r="D1116" i="94"/>
  <c r="E88" i="74"/>
  <c r="F83" i="74"/>
  <c r="F1111" i="94" s="1"/>
  <c r="H87" i="74"/>
  <c r="H1115" i="94" s="1"/>
  <c r="H79" i="74"/>
  <c r="H1107" i="94" s="1"/>
  <c r="H78" i="74"/>
  <c r="I77" i="74"/>
  <c r="H84" i="74"/>
  <c r="H86" i="74"/>
  <c r="H1114" i="94" s="1"/>
  <c r="G80" i="74"/>
  <c r="G1108" i="94" s="1"/>
  <c r="I94" i="74"/>
  <c r="I1122" i="94" s="1"/>
  <c r="G85" i="74" l="1"/>
  <c r="H1106" i="94"/>
  <c r="F1113" i="94"/>
  <c r="F101" i="74"/>
  <c r="F1129" i="94" s="1"/>
  <c r="H1112" i="94"/>
  <c r="E100" i="74"/>
  <c r="E1128" i="94" s="1"/>
  <c r="E97" i="74"/>
  <c r="E1125" i="94" s="1"/>
  <c r="E96" i="74"/>
  <c r="E1124" i="94" s="1"/>
  <c r="G1131" i="94"/>
  <c r="H103" i="74"/>
  <c r="F1130" i="94"/>
  <c r="E95" i="74"/>
  <c r="E1123" i="94" s="1"/>
  <c r="E1116" i="94"/>
  <c r="F88" i="74"/>
  <c r="G83" i="74"/>
  <c r="G1111" i="94" s="1"/>
  <c r="I87" i="74"/>
  <c r="I1115" i="94" s="1"/>
  <c r="I78" i="74"/>
  <c r="J77" i="74"/>
  <c r="I79" i="74"/>
  <c r="I1107" i="94" s="1"/>
  <c r="I84" i="74"/>
  <c r="I86" i="74"/>
  <c r="I1114" i="94" s="1"/>
  <c r="H80" i="74"/>
  <c r="H1108" i="94" s="1"/>
  <c r="J94" i="74"/>
  <c r="J1122" i="94" s="1"/>
  <c r="H85" i="74" l="1"/>
  <c r="I1106" i="94"/>
  <c r="G1113" i="94"/>
  <c r="G101" i="74"/>
  <c r="G1129" i="94" s="1"/>
  <c r="I1112" i="94"/>
  <c r="F100" i="74"/>
  <c r="F1128" i="94" s="1"/>
  <c r="F97" i="74"/>
  <c r="F1125" i="94" s="1"/>
  <c r="F96" i="74"/>
  <c r="F1124" i="94" s="1"/>
  <c r="H1131" i="94"/>
  <c r="I103" i="74"/>
  <c r="G1130" i="94"/>
  <c r="F95" i="74"/>
  <c r="F1123" i="94" s="1"/>
  <c r="F1116" i="94"/>
  <c r="J79" i="74"/>
  <c r="J1107" i="94" s="1"/>
  <c r="K77" i="74"/>
  <c r="J78" i="74"/>
  <c r="J87" i="74"/>
  <c r="J1115" i="94" s="1"/>
  <c r="J84" i="74"/>
  <c r="J86" i="74"/>
  <c r="J1114" i="94" s="1"/>
  <c r="I80" i="74"/>
  <c r="I1108" i="94" s="1"/>
  <c r="K94" i="74"/>
  <c r="K1122" i="94" s="1"/>
  <c r="G88" i="74"/>
  <c r="H83" i="74"/>
  <c r="H1111" i="94" s="1"/>
  <c r="I85" i="74" l="1"/>
  <c r="J1106" i="94"/>
  <c r="H1113" i="94"/>
  <c r="H101" i="74"/>
  <c r="H1129" i="94" s="1"/>
  <c r="J1112" i="94"/>
  <c r="G96" i="74"/>
  <c r="G1124" i="94" s="1"/>
  <c r="G97" i="74"/>
  <c r="G1125" i="94" s="1"/>
  <c r="G100" i="74"/>
  <c r="G1128" i="94" s="1"/>
  <c r="I1131" i="94"/>
  <c r="J103" i="74"/>
  <c r="H1130" i="94"/>
  <c r="G95" i="74"/>
  <c r="G1123" i="94" s="1"/>
  <c r="G1116" i="94"/>
  <c r="H88" i="74"/>
  <c r="J80" i="74"/>
  <c r="J1108" i="94" s="1"/>
  <c r="B124" i="74"/>
  <c r="B1152" i="94" s="1"/>
  <c r="K79" i="74"/>
  <c r="K1107" i="94" s="1"/>
  <c r="B107" i="74"/>
  <c r="K87" i="74"/>
  <c r="K1115" i="94" s="1"/>
  <c r="K78" i="74"/>
  <c r="K84" i="74"/>
  <c r="K86" i="74"/>
  <c r="K1114" i="94" s="1"/>
  <c r="I83" i="74"/>
  <c r="I1111" i="94" s="1"/>
  <c r="J85" i="74" l="1"/>
  <c r="K1106" i="94"/>
  <c r="I1113" i="94"/>
  <c r="I101" i="74"/>
  <c r="I1129" i="94" s="1"/>
  <c r="K1112" i="94"/>
  <c r="H96" i="74"/>
  <c r="H1124" i="94" s="1"/>
  <c r="H97" i="74"/>
  <c r="H1125" i="94" s="1"/>
  <c r="H100" i="74"/>
  <c r="H1128" i="94" s="1"/>
  <c r="J1131" i="94"/>
  <c r="K103" i="74"/>
  <c r="I1130" i="94"/>
  <c r="H95" i="74"/>
  <c r="H1123" i="94" s="1"/>
  <c r="H1116" i="94"/>
  <c r="J83" i="74"/>
  <c r="K80" i="74"/>
  <c r="K1108" i="94" s="1"/>
  <c r="C124" i="74"/>
  <c r="C1152" i="94" s="1"/>
  <c r="I88" i="74"/>
  <c r="B108" i="74"/>
  <c r="C107" i="74"/>
  <c r="B109" i="74"/>
  <c r="B1137" i="94" s="1"/>
  <c r="B117" i="74"/>
  <c r="B1145" i="94" s="1"/>
  <c r="B114" i="74"/>
  <c r="B116" i="74"/>
  <c r="B1144" i="94" s="1"/>
  <c r="K85" i="74" l="1"/>
  <c r="B1136" i="94"/>
  <c r="J1113" i="94"/>
  <c r="J101" i="74"/>
  <c r="J1129" i="94" s="1"/>
  <c r="B1142" i="94"/>
  <c r="I97" i="74"/>
  <c r="I1125" i="94" s="1"/>
  <c r="I100" i="74"/>
  <c r="I1128" i="94" s="1"/>
  <c r="I96" i="74"/>
  <c r="I1124" i="94" s="1"/>
  <c r="K1131" i="94"/>
  <c r="B133" i="74"/>
  <c r="J1130" i="94"/>
  <c r="I95" i="74"/>
  <c r="I1123" i="94" s="1"/>
  <c r="I1116" i="94"/>
  <c r="J88" i="74"/>
  <c r="J1111" i="94"/>
  <c r="K83" i="74"/>
  <c r="D107" i="74"/>
  <c r="C108" i="74"/>
  <c r="C117" i="74"/>
  <c r="C1145" i="94" s="1"/>
  <c r="C109" i="74"/>
  <c r="C1137" i="94" s="1"/>
  <c r="C114" i="74"/>
  <c r="C116" i="74"/>
  <c r="C1144" i="94" s="1"/>
  <c r="D124" i="74"/>
  <c r="D1152" i="94" s="1"/>
  <c r="B110" i="74"/>
  <c r="B1138" i="94" s="1"/>
  <c r="B115" i="74" l="1"/>
  <c r="C1136" i="94"/>
  <c r="K1113" i="94"/>
  <c r="K101" i="74"/>
  <c r="K1129" i="94" s="1"/>
  <c r="C1142" i="94"/>
  <c r="J97" i="74"/>
  <c r="J1125" i="94" s="1"/>
  <c r="J96" i="74"/>
  <c r="J1124" i="94" s="1"/>
  <c r="J100" i="74"/>
  <c r="J1128" i="94" s="1"/>
  <c r="B1161" i="94"/>
  <c r="C133" i="74"/>
  <c r="K1130" i="94"/>
  <c r="B132" i="74"/>
  <c r="K88" i="74"/>
  <c r="K1111" i="94"/>
  <c r="J95" i="74"/>
  <c r="J1123" i="94" s="1"/>
  <c r="J1116" i="94"/>
  <c r="B113" i="74"/>
  <c r="B1141" i="94" s="1"/>
  <c r="C110" i="74"/>
  <c r="C1138" i="94" s="1"/>
  <c r="E124" i="74"/>
  <c r="E1152" i="94" s="1"/>
  <c r="D117" i="74"/>
  <c r="D1145" i="94" s="1"/>
  <c r="D108" i="74"/>
  <c r="E107" i="74"/>
  <c r="D109" i="74"/>
  <c r="D1137" i="94" s="1"/>
  <c r="D114" i="74"/>
  <c r="D116" i="74"/>
  <c r="D1144" i="94" s="1"/>
  <c r="D1136" i="94" l="1"/>
  <c r="C115" i="74"/>
  <c r="B1143" i="94"/>
  <c r="B131" i="74"/>
  <c r="B1159" i="94" s="1"/>
  <c r="D1142" i="94"/>
  <c r="K97" i="74"/>
  <c r="K1125" i="94" s="1"/>
  <c r="K100" i="74"/>
  <c r="K1128" i="94" s="1"/>
  <c r="K96" i="74"/>
  <c r="K1124" i="94" s="1"/>
  <c r="C1161" i="94"/>
  <c r="D133" i="74"/>
  <c r="B1160" i="94"/>
  <c r="C132" i="74"/>
  <c r="K95" i="74"/>
  <c r="K1123" i="94" s="1"/>
  <c r="K1116" i="94"/>
  <c r="B118" i="74"/>
  <c r="C113" i="74"/>
  <c r="C1141" i="94" s="1"/>
  <c r="F124" i="74"/>
  <c r="F1152" i="94" s="1"/>
  <c r="F107" i="74"/>
  <c r="E108" i="74"/>
  <c r="E117" i="74"/>
  <c r="E1145" i="94" s="1"/>
  <c r="E109" i="74"/>
  <c r="E1137" i="94" s="1"/>
  <c r="E114" i="74"/>
  <c r="E116" i="74"/>
  <c r="E1144" i="94" s="1"/>
  <c r="D110" i="74"/>
  <c r="D1138" i="94" s="1"/>
  <c r="E1136" i="94" l="1"/>
  <c r="C1143" i="94"/>
  <c r="C131" i="74"/>
  <c r="C1159" i="94" s="1"/>
  <c r="D115" i="74"/>
  <c r="E1142" i="94"/>
  <c r="B127" i="74"/>
  <c r="B1155" i="94" s="1"/>
  <c r="B126" i="74"/>
  <c r="B1154" i="94" s="1"/>
  <c r="B130" i="74"/>
  <c r="B1158" i="94" s="1"/>
  <c r="D1161" i="94"/>
  <c r="E133" i="74"/>
  <c r="C1160" i="94"/>
  <c r="D132" i="74"/>
  <c r="B125" i="74"/>
  <c r="B1153" i="94" s="1"/>
  <c r="B1146" i="94"/>
  <c r="C118" i="74"/>
  <c r="E110" i="74"/>
  <c r="E1138" i="94" s="1"/>
  <c r="F117" i="74"/>
  <c r="F1145" i="94" s="1"/>
  <c r="F109" i="74"/>
  <c r="F1137" i="94" s="1"/>
  <c r="F108" i="74"/>
  <c r="F114" i="74"/>
  <c r="F116" i="74"/>
  <c r="F1144" i="94" s="1"/>
  <c r="D113" i="74"/>
  <c r="D1141" i="94" s="1"/>
  <c r="F1136" i="94" l="1"/>
  <c r="D1143" i="94"/>
  <c r="D131" i="74"/>
  <c r="D1159" i="94" s="1"/>
  <c r="E115" i="74"/>
  <c r="F1142" i="94"/>
  <c r="C130" i="74"/>
  <c r="C1158" i="94" s="1"/>
  <c r="C126" i="74"/>
  <c r="C1154" i="94" s="1"/>
  <c r="C127" i="74"/>
  <c r="C1155" i="94" s="1"/>
  <c r="E1161" i="94"/>
  <c r="F133" i="74"/>
  <c r="F1161" i="94" s="1"/>
  <c r="D1160" i="94"/>
  <c r="E132" i="74"/>
  <c r="C125" i="74"/>
  <c r="C1153" i="94" s="1"/>
  <c r="C1146" i="94"/>
  <c r="E113" i="74"/>
  <c r="E1141" i="94" s="1"/>
  <c r="F110" i="74"/>
  <c r="F1138" i="94" s="1"/>
  <c r="D118" i="74"/>
  <c r="E1143" i="94" l="1"/>
  <c r="E131" i="74"/>
  <c r="E1159" i="94" s="1"/>
  <c r="F115" i="74"/>
  <c r="D127" i="74"/>
  <c r="D1155" i="94" s="1"/>
  <c r="D130" i="74"/>
  <c r="D1158" i="94" s="1"/>
  <c r="D126" i="74"/>
  <c r="D1154" i="94" s="1"/>
  <c r="E1160" i="94"/>
  <c r="F132" i="74"/>
  <c r="F1160" i="94" s="1"/>
  <c r="D125" i="74"/>
  <c r="D1153" i="94" s="1"/>
  <c r="D1146" i="94"/>
  <c r="E118" i="74"/>
  <c r="F113" i="74"/>
  <c r="F1141" i="94" s="1"/>
  <c r="F1143" i="94" l="1"/>
  <c r="F131" i="74"/>
  <c r="F1159" i="94" s="1"/>
  <c r="E126" i="74"/>
  <c r="E1154" i="94" s="1"/>
  <c r="E127" i="74"/>
  <c r="E1155" i="94" s="1"/>
  <c r="E130" i="74"/>
  <c r="E1158" i="94" s="1"/>
  <c r="E125" i="74"/>
  <c r="E1153" i="94" s="1"/>
  <c r="E1146" i="94"/>
  <c r="F118" i="74"/>
  <c r="F126" i="74" l="1"/>
  <c r="F1154" i="94" s="1"/>
  <c r="F127" i="74"/>
  <c r="F1155" i="94" s="1"/>
  <c r="F130" i="74"/>
  <c r="F1158" i="94" s="1"/>
  <c r="F125" i="74"/>
  <c r="F1153" i="94" s="1"/>
  <c r="F1146" i="94"/>
  <c r="P196" i="72"/>
  <c r="P193" i="72" l="1"/>
  <c r="P1848" i="94" s="1"/>
  <c r="P1851" i="94"/>
  <c r="L235" i="72" l="1"/>
  <c r="P293" i="72"/>
  <c r="P1948" i="94" l="1"/>
  <c r="S165" i="72"/>
  <c r="U165" i="72"/>
  <c r="A164" i="72" l="1"/>
  <c r="S164" i="72"/>
  <c r="T163" i="72" s="1"/>
  <c r="U164" i="72"/>
  <c r="V163" i="72" s="1"/>
  <c r="O150" i="72" l="1"/>
  <c r="S150" i="72"/>
  <c r="K239" i="72" l="1"/>
  <c r="O1805" i="94"/>
  <c r="E14" i="72"/>
  <c r="E1669" i="94" s="1"/>
  <c r="L233" i="72"/>
  <c r="O193" i="72"/>
  <c r="O293" i="72" l="1"/>
  <c r="O1848" i="94"/>
  <c r="E15" i="72"/>
  <c r="E1670" i="94" s="1"/>
  <c r="K235" i="72"/>
  <c r="E18" i="72" l="1"/>
  <c r="E1673" i="94" s="1"/>
  <c r="O1948" i="94"/>
  <c r="E19" i="72" l="1"/>
  <c r="O316" i="72"/>
  <c r="E20" i="72" s="1"/>
  <c r="E1675" i="94" s="1"/>
  <c r="O443" i="72"/>
  <c r="O6" i="72" s="1"/>
  <c r="E1674" i="94"/>
  <c r="O1956" i="94"/>
  <c r="O1971" i="94"/>
  <c r="O2098" i="94"/>
  <c r="O1661" i="94" s="1"/>
  <c r="P316" i="72"/>
  <c r="P1971" i="94" s="1"/>
  <c r="P2098" i="94" s="1"/>
  <c r="P1956" i="94"/>
  <c r="P1661" i="94" l="1"/>
  <c r="P2101" i="94"/>
  <c r="P443" i="72"/>
  <c r="P6" i="72" l="1"/>
  <c r="P446" i="72"/>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A27" authorId="0" shapeId="0" xr:uid="{00000000-0006-0000-0E00-000001000000}">
      <text>
        <r>
          <rPr>
            <b/>
            <sz val="9"/>
            <color indexed="81"/>
            <rFont val="Tahoma"/>
            <family val="2"/>
          </rPr>
          <t>marie.palena:</t>
        </r>
        <r>
          <rPr>
            <sz val="9"/>
            <color indexed="81"/>
            <rFont val="Tahoma"/>
            <family val="2"/>
          </rPr>
          <t xml:space="preserve">
ALL closing conditions must go in here so they flow thru to the Closing Term sheet, use ALT-ENTER to start new line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Josh Marx</author>
  </authors>
  <commentList>
    <comment ref="B17" authorId="0" shapeId="0" xr:uid="{00000000-0006-0000-1000-000001000000}">
      <text>
        <r>
          <rPr>
            <b/>
            <sz val="9"/>
            <color indexed="81"/>
            <rFont val="Tahoma"/>
            <family val="2"/>
          </rPr>
          <t>Josh Marx:</t>
        </r>
        <r>
          <rPr>
            <sz val="9"/>
            <color indexed="81"/>
            <rFont val="Tahoma"/>
            <family val="2"/>
          </rPr>
          <t xml:space="preserve">
Hard coded conservatively based on recent firm commitments received.</t>
        </r>
      </text>
    </comment>
    <comment ref="A28" authorId="0" shapeId="0" xr:uid="{00000000-0006-0000-1000-000002000000}">
      <text>
        <r>
          <rPr>
            <b/>
            <sz val="9"/>
            <color indexed="81"/>
            <rFont val="Tahoma"/>
            <family val="2"/>
          </rPr>
          <t>Josh Marx:</t>
        </r>
        <r>
          <rPr>
            <sz val="9"/>
            <color indexed="81"/>
            <rFont val="Tahoma"/>
            <family val="2"/>
          </rPr>
          <t xml:space="preserve">
Assumes same interest rate and term as first mortgage. Loan fees not included.</t>
        </r>
      </text>
    </comment>
    <comment ref="B33" authorId="0" shapeId="0" xr:uid="{00000000-0006-0000-1000-000003000000}">
      <text>
        <r>
          <rPr>
            <b/>
            <sz val="9"/>
            <color indexed="81"/>
            <rFont val="Tahoma"/>
            <family val="2"/>
          </rPr>
          <t>Josh Marx:</t>
        </r>
        <r>
          <rPr>
            <sz val="9"/>
            <color indexed="81"/>
            <rFont val="Tahoma"/>
            <family val="2"/>
          </rPr>
          <t xml:space="preserve">
Back into the figure that gets the year fifteen figure to zero.</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Charles B. Clark</author>
  </authors>
  <commentList>
    <comment ref="E3" authorId="0" shapeId="0" xr:uid="{00000000-0006-0000-1100-000001000000}">
      <text>
        <r>
          <rPr>
            <b/>
            <sz val="8"/>
            <color indexed="81"/>
            <rFont val="Tahoma"/>
            <family val="2"/>
          </rPr>
          <t>Charles B. Clark:</t>
        </r>
        <r>
          <rPr>
            <sz val="8"/>
            <color indexed="81"/>
            <rFont val="Tahoma"/>
            <family val="2"/>
          </rPr>
          <t xml:space="preserve">
This is following;
 Construction cost less: Contingency
 Contractor Services
 Government Fees
 Professional Services
 Services
 Dev Fee
What about Dev Overhead.
Also, this assumes Contingency not used … if contingency used it becomes depreciable cost.</t>
        </r>
      </text>
    </comment>
    <comment ref="E4" authorId="0" shapeId="0" xr:uid="{00000000-0006-0000-1100-000002000000}">
      <text>
        <r>
          <rPr>
            <b/>
            <sz val="8"/>
            <color indexed="81"/>
            <rFont val="Tahoma"/>
            <family val="2"/>
          </rPr>
          <t>Charles B. Clark:</t>
        </r>
        <r>
          <rPr>
            <sz val="8"/>
            <color indexed="81"/>
            <rFont val="Tahoma"/>
            <family val="2"/>
          </rPr>
          <t xml:space="preserve">
This is Financing cost less:
(1) Tax credit compliance fee.
(2) Tax Credit Application fee.
What about 
(1) Tax Credit Reservation fee (-)
(2) FF&amp;E/Decoration (+)</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E9" authorId="0" shapeId="0" xr:uid="{00000000-0006-0000-1400-000001000000}">
      <text>
        <r>
          <rPr>
            <b/>
            <sz val="9"/>
            <color indexed="81"/>
            <rFont val="Tahoma"/>
            <family val="2"/>
          </rPr>
          <t>marie.palena:</t>
        </r>
        <r>
          <rPr>
            <sz val="9"/>
            <color indexed="81"/>
            <rFont val="Tahoma"/>
            <family val="2"/>
          </rPr>
          <t xml:space="preserve">
see Carryover or Irregular Payment Stream (IPS) confirmation
</t>
        </r>
      </text>
    </comment>
    <comment ref="F35" authorId="0" shapeId="0" xr:uid="{00000000-0006-0000-1400-000002000000}">
      <text>
        <r>
          <rPr>
            <b/>
            <sz val="9"/>
            <color indexed="81"/>
            <rFont val="Tahoma"/>
            <family val="2"/>
          </rPr>
          <t>marie.palena:</t>
        </r>
        <r>
          <rPr>
            <sz val="9"/>
            <color indexed="81"/>
            <rFont val="Tahoma"/>
            <family val="2"/>
          </rPr>
          <t xml:space="preserve">
revise if using Rural step-down interest</t>
        </r>
      </text>
    </comment>
    <comment ref="F60" authorId="0" shapeId="0" xr:uid="{00000000-0006-0000-1400-000003000000}">
      <text>
        <r>
          <rPr>
            <b/>
            <sz val="9"/>
            <color indexed="81"/>
            <rFont val="Tahoma"/>
            <family val="2"/>
          </rPr>
          <t>marie.palena:</t>
        </r>
        <r>
          <rPr>
            <sz val="9"/>
            <color indexed="81"/>
            <rFont val="Tahoma"/>
            <family val="2"/>
          </rPr>
          <t xml:space="preserve">
Only if IPS, otherwise NA</t>
        </r>
      </text>
    </comment>
    <comment ref="G63" authorId="0" shapeId="0" xr:uid="{00000000-0006-0000-1400-000004000000}">
      <text>
        <r>
          <rPr>
            <b/>
            <sz val="9"/>
            <color indexed="81"/>
            <rFont val="Tahoma"/>
            <family val="2"/>
          </rPr>
          <t>marie.palena:</t>
        </r>
        <r>
          <rPr>
            <sz val="9"/>
            <color indexed="81"/>
            <rFont val="Tahoma"/>
            <family val="2"/>
          </rPr>
          <t xml:space="preserve">
construction loan? 1 mortgage?</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marie.palena</author>
    <author>stephen.barrett</author>
  </authors>
  <commentList>
    <comment ref="C47" authorId="0" shapeId="0" xr:uid="{00000000-0006-0000-1500-000001000000}">
      <text>
        <r>
          <rPr>
            <b/>
            <sz val="9"/>
            <color indexed="81"/>
            <rFont val="Tahoma"/>
            <family val="2"/>
          </rPr>
          <t>marie.palena:</t>
        </r>
        <r>
          <rPr>
            <sz val="9"/>
            <color indexed="81"/>
            <rFont val="Tahoma"/>
            <family val="2"/>
          </rPr>
          <t xml:space="preserve">
see threshold</t>
        </r>
      </text>
    </comment>
    <comment ref="C49" authorId="0" shapeId="0" xr:uid="{00000000-0006-0000-1500-000002000000}">
      <text>
        <r>
          <rPr>
            <b/>
            <sz val="9"/>
            <color indexed="81"/>
            <rFont val="Tahoma"/>
            <family val="2"/>
          </rPr>
          <t>marie.palena:</t>
        </r>
        <r>
          <rPr>
            <sz val="9"/>
            <color indexed="81"/>
            <rFont val="Tahoma"/>
            <family val="2"/>
          </rPr>
          <t xml:space="preserve">
confirm with threshold
</t>
        </r>
      </text>
    </comment>
    <comment ref="D75" authorId="0" shapeId="0" xr:uid="{00000000-0006-0000-1500-000003000000}">
      <text>
        <r>
          <rPr>
            <b/>
            <sz val="9"/>
            <color indexed="81"/>
            <rFont val="Tahoma"/>
            <family val="2"/>
          </rPr>
          <t>marie.palena:</t>
        </r>
        <r>
          <rPr>
            <sz val="9"/>
            <color indexed="81"/>
            <rFont val="Tahoma"/>
            <family val="2"/>
          </rPr>
          <t xml:space="preserve">
may need to reference additional Preview Term Sheet cells if Rural step-down</t>
        </r>
      </text>
    </comment>
    <comment ref="D81" authorId="0" shapeId="0" xr:uid="{00000000-0006-0000-1500-000004000000}">
      <text>
        <r>
          <rPr>
            <b/>
            <sz val="9"/>
            <color indexed="81"/>
            <rFont val="Tahoma"/>
            <family val="2"/>
          </rPr>
          <t>marie.palena:</t>
        </r>
        <r>
          <rPr>
            <sz val="9"/>
            <color indexed="81"/>
            <rFont val="Tahoma"/>
            <family val="2"/>
          </rPr>
          <t xml:space="preserve">
If IPS, use NA</t>
        </r>
      </text>
    </comment>
    <comment ref="D83" authorId="0" shapeId="0" xr:uid="{00000000-0006-0000-1500-000005000000}">
      <text>
        <r>
          <rPr>
            <b/>
            <sz val="9"/>
            <color indexed="81"/>
            <rFont val="Tahoma"/>
            <family val="2"/>
          </rPr>
          <t>marie.palena:</t>
        </r>
        <r>
          <rPr>
            <sz val="9"/>
            <color indexed="81"/>
            <rFont val="Tahoma"/>
            <family val="2"/>
          </rPr>
          <t xml:space="preserve">
for fully am, use NA</t>
        </r>
      </text>
    </comment>
    <comment ref="D85" authorId="0" shapeId="0" xr:uid="{00000000-0006-0000-1500-000006000000}">
      <text>
        <r>
          <rPr>
            <b/>
            <sz val="8"/>
            <color indexed="81"/>
            <rFont val="Tahoma"/>
            <family val="2"/>
          </rPr>
          <t>marie.palena:</t>
        </r>
        <r>
          <rPr>
            <sz val="8"/>
            <color indexed="81"/>
            <rFont val="Tahoma"/>
            <family val="2"/>
          </rPr>
          <t xml:space="preserve">
delete if fully amortizing</t>
        </r>
      </text>
    </comment>
    <comment ref="B87" authorId="0" shapeId="0" xr:uid="{00000000-0006-0000-1500-000007000000}">
      <text>
        <r>
          <rPr>
            <b/>
            <sz val="8"/>
            <color indexed="81"/>
            <rFont val="Tahoma"/>
            <family val="2"/>
          </rPr>
          <t>marie.palena:</t>
        </r>
        <r>
          <rPr>
            <sz val="8"/>
            <color indexed="81"/>
            <rFont val="Tahoma"/>
            <family val="2"/>
          </rPr>
          <t xml:space="preserve">
delete if fully amortizing</t>
        </r>
      </text>
    </comment>
    <comment ref="C87" authorId="1" shapeId="0" xr:uid="{00000000-0006-0000-1500-000008000000}">
      <text>
        <r>
          <rPr>
            <b/>
            <sz val="9"/>
            <color indexed="81"/>
            <rFont val="Tahoma"/>
            <family val="2"/>
          </rPr>
          <t>marie.palena:</t>
        </r>
        <r>
          <rPr>
            <sz val="9"/>
            <color indexed="81"/>
            <rFont val="Tahoma"/>
            <family val="2"/>
          </rPr>
          <t xml:space="preserve">
will only change if Permanent Supportive Housing HOME loan</t>
        </r>
      </text>
    </comment>
    <comment ref="D101" authorId="1" shapeId="0" xr:uid="{00000000-0006-0000-1500-000009000000}">
      <text>
        <r>
          <rPr>
            <b/>
            <sz val="9"/>
            <color indexed="81"/>
            <rFont val="Tahoma"/>
            <family val="2"/>
          </rPr>
          <t>Marie Palena:</t>
        </r>
        <r>
          <rPr>
            <sz val="9"/>
            <color indexed="81"/>
            <rFont val="Tahoma"/>
            <family val="2"/>
          </rPr>
          <t xml:space="preserve">
See Scoring</t>
        </r>
      </text>
    </comment>
    <comment ref="D103" authorId="0" shapeId="0" xr:uid="{00000000-0006-0000-1500-00000A000000}">
      <text>
        <r>
          <rPr>
            <b/>
            <sz val="9"/>
            <color indexed="81"/>
            <rFont val="Tahoma"/>
            <family val="2"/>
          </rPr>
          <t>marie.palena:</t>
        </r>
        <r>
          <rPr>
            <sz val="9"/>
            <color indexed="81"/>
            <rFont val="Tahoma"/>
            <family val="2"/>
          </rPr>
          <t xml:space="preserve">
Expand this to include name, contact name and # and email, amount, and adjust A105 if it will be a Superior Lien (1st mtg)</t>
        </r>
      </text>
    </comment>
    <comment ref="D156" authorId="0" shapeId="0" xr:uid="{00000000-0006-0000-1500-00000B000000}">
      <text>
        <r>
          <rPr>
            <b/>
            <sz val="9"/>
            <color indexed="81"/>
            <rFont val="Tahoma"/>
            <family val="2"/>
          </rPr>
          <t>marie.palena:</t>
        </r>
        <r>
          <rPr>
            <sz val="9"/>
            <color indexed="81"/>
            <rFont val="Tahoma"/>
            <family val="2"/>
          </rPr>
          <t xml:space="preserve">
new const= max of 20 or term of loan; rehab= term of loan min</t>
        </r>
      </text>
    </comment>
    <comment ref="E163" authorId="0" shapeId="0" xr:uid="{00000000-0006-0000-1500-00000C000000}">
      <text>
        <r>
          <rPr>
            <b/>
            <sz val="9"/>
            <color indexed="81"/>
            <rFont val="Tahoma"/>
            <family val="2"/>
          </rPr>
          <t>marie.palena:</t>
        </r>
        <r>
          <rPr>
            <sz val="9"/>
            <color indexed="81"/>
            <rFont val="Tahoma"/>
            <family val="2"/>
          </rPr>
          <t xml:space="preserve">
check Uses</t>
        </r>
      </text>
    </comment>
    <comment ref="E178" authorId="1" shapeId="0" xr:uid="{00000000-0006-0000-1500-00000D000000}">
      <text>
        <r>
          <rPr>
            <b/>
            <sz val="9"/>
            <color indexed="81"/>
            <rFont val="Tahoma"/>
            <family val="2"/>
          </rPr>
          <t>marie.palena:</t>
        </r>
        <r>
          <rPr>
            <sz val="9"/>
            <color indexed="81"/>
            <rFont val="Tahoma"/>
            <family val="2"/>
          </rPr>
          <t xml:space="preserve">
Yes - only if IPS
No - only if fully amortized</t>
        </r>
      </text>
    </comment>
    <comment ref="E179" authorId="1" shapeId="0" xr:uid="{00000000-0006-0000-1500-00000E000000}">
      <text>
        <r>
          <rPr>
            <b/>
            <sz val="9"/>
            <color indexed="81"/>
            <rFont val="Tahoma"/>
            <family val="2"/>
          </rPr>
          <t xml:space="preserve">marie.palena:
</t>
        </r>
        <r>
          <rPr>
            <sz val="9"/>
            <color indexed="81"/>
            <rFont val="Tahoma"/>
            <family val="2"/>
          </rPr>
          <t xml:space="preserve">must show on proforma, only for IPS
</t>
        </r>
      </text>
    </comment>
    <comment ref="C195" authorId="1" shapeId="0" xr:uid="{00000000-0006-0000-1500-00000F000000}">
      <text>
        <r>
          <rPr>
            <b/>
            <sz val="9"/>
            <color indexed="81"/>
            <rFont val="Tahoma"/>
            <family val="2"/>
          </rPr>
          <t>marie.palena:</t>
        </r>
        <r>
          <rPr>
            <sz val="9"/>
            <color indexed="81"/>
            <rFont val="Tahoma"/>
            <family val="2"/>
          </rPr>
          <t xml:space="preserve">
If Yes - Federal and State</t>
        </r>
      </text>
    </comment>
    <comment ref="A200" authorId="0" shapeId="0" xr:uid="{00000000-0006-0000-1500-000010000000}">
      <text>
        <r>
          <rPr>
            <b/>
            <sz val="9"/>
            <color indexed="81"/>
            <rFont val="Tahoma"/>
            <family val="2"/>
          </rPr>
          <t>marie.palena:</t>
        </r>
        <r>
          <rPr>
            <sz val="9"/>
            <color indexed="81"/>
            <rFont val="Tahoma"/>
            <family val="2"/>
          </rPr>
          <t xml:space="preserve">
should be able to reference cell A98 in Loan Memo if UNUSUAL circumstance</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Ryan Fleming</author>
  </authors>
  <commentList>
    <comment ref="B32" authorId="0" shapeId="0" xr:uid="{00000000-0006-0000-1700-000001000000}">
      <text>
        <r>
          <rPr>
            <b/>
            <sz val="9"/>
            <color indexed="81"/>
            <rFont val="Tahoma"/>
            <family val="2"/>
          </rPr>
          <t>Ryan Fleming:</t>
        </r>
        <r>
          <rPr>
            <sz val="9"/>
            <color indexed="81"/>
            <rFont val="Tahoma"/>
            <family val="2"/>
          </rPr>
          <t xml:space="preserve">
Not HOME designated.
This is Total Units per type (e.g. 1 BR, 1 BA 50% AMI)</t>
        </r>
      </text>
    </comment>
    <comment ref="A56" authorId="0" shapeId="0" xr:uid="{00000000-0006-0000-1700-000002000000}">
      <text>
        <r>
          <rPr>
            <b/>
            <sz val="9"/>
            <color indexed="81"/>
            <rFont val="Tahoma"/>
            <family val="2"/>
          </rPr>
          <t>Ryan Fleming:</t>
        </r>
        <r>
          <rPr>
            <sz val="9"/>
            <color indexed="81"/>
            <rFont val="Tahoma"/>
            <family val="2"/>
          </rPr>
          <t xml:space="preserve">
Subsidy Limits Published here:
https://www.hudexchange.info/resource/2315/home-per-unit-subsidy/</t>
        </r>
      </text>
    </comment>
    <comment ref="G57" authorId="0" shapeId="0" xr:uid="{00000000-0006-0000-1700-000003000000}">
      <text>
        <r>
          <rPr>
            <b/>
            <sz val="9"/>
            <color indexed="81"/>
            <rFont val="Tahoma"/>
            <family val="2"/>
          </rPr>
          <t>Ryan Fleming:</t>
        </r>
        <r>
          <rPr>
            <sz val="9"/>
            <color indexed="81"/>
            <rFont val="Tahoma"/>
            <family val="2"/>
          </rPr>
          <t xml:space="preserve">
Check most recent year's HUD subsidy limit
2019 limits below</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G13" authorId="0" shapeId="0" xr:uid="{00000000-0006-0000-1800-000001000000}">
      <text>
        <r>
          <rPr>
            <b/>
            <sz val="9"/>
            <color indexed="81"/>
            <rFont val="Tahoma"/>
            <family val="2"/>
          </rPr>
          <t>marie.palena:</t>
        </r>
        <r>
          <rPr>
            <sz val="9"/>
            <color indexed="81"/>
            <rFont val="Tahoma"/>
            <family val="2"/>
          </rPr>
          <t xml:space="preserve">
generally rehabs only</t>
        </r>
      </text>
    </comment>
    <comment ref="G16" authorId="0" shapeId="0" xr:uid="{00000000-0006-0000-1800-000002000000}">
      <text>
        <r>
          <rPr>
            <b/>
            <sz val="9"/>
            <color indexed="81"/>
            <rFont val="Tahoma"/>
            <family val="2"/>
          </rPr>
          <t>marie.palena:</t>
        </r>
        <r>
          <rPr>
            <sz val="9"/>
            <color indexed="81"/>
            <rFont val="Tahoma"/>
            <family val="2"/>
          </rPr>
          <t xml:space="preserve">
check Carryover funding conditions AND confirm with DCA Envir staff</t>
        </r>
      </text>
    </comment>
    <comment ref="G18" authorId="0" shapeId="0" xr:uid="{00000000-0006-0000-1800-000003000000}">
      <text>
        <r>
          <rPr>
            <b/>
            <sz val="8"/>
            <color indexed="81"/>
            <rFont val="Tahoma"/>
            <family val="2"/>
          </rPr>
          <t>marie.palena:</t>
        </r>
        <r>
          <rPr>
            <sz val="8"/>
            <color indexed="81"/>
            <rFont val="Tahoma"/>
            <family val="2"/>
          </rPr>
          <t xml:space="preserve">
check Carryover and HOME Preliminary Commitment</t>
        </r>
      </text>
    </comment>
    <comment ref="E31" authorId="0" shapeId="0" xr:uid="{00000000-0006-0000-1800-00000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 authorId="0" shapeId="0" xr:uid="{00000000-0006-0000-1800-00000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 authorId="0" shapeId="0" xr:uid="{00000000-0006-0000-1800-00000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 authorId="0" shapeId="0" xr:uid="{00000000-0006-0000-1800-00000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 authorId="0" shapeId="0" xr:uid="{00000000-0006-0000-1800-00000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8" authorId="0" shapeId="0" xr:uid="{00000000-0006-0000-1800-00000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65" authorId="0" shapeId="0" xr:uid="{00000000-0006-0000-1800-00000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0" authorId="0" shapeId="0" xr:uid="{00000000-0006-0000-1800-00000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75" authorId="0" shapeId="0" xr:uid="{00000000-0006-0000-1800-00000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2" authorId="0" shapeId="0" xr:uid="{00000000-0006-0000-1800-00000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87" authorId="0" shapeId="0" xr:uid="{00000000-0006-0000-1800-00000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2" authorId="0" shapeId="0" xr:uid="{00000000-0006-0000-1800-00000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99" authorId="0" shapeId="0" xr:uid="{00000000-0006-0000-1800-00001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0" authorId="0" shapeId="0" xr:uid="{00000000-0006-0000-1800-00001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15" authorId="0" shapeId="0" xr:uid="{00000000-0006-0000-1800-00001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0" authorId="0" shapeId="0" xr:uid="{00000000-0006-0000-1800-00001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27" authorId="0" shapeId="0" xr:uid="{00000000-0006-0000-1800-00001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2" authorId="0" shapeId="0" xr:uid="{00000000-0006-0000-1800-00001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37" authorId="0" shapeId="0" xr:uid="{00000000-0006-0000-1800-00001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4" authorId="0" shapeId="0" xr:uid="{00000000-0006-0000-1800-00001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49" authorId="0" shapeId="0" xr:uid="{00000000-0006-0000-1800-00001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54" authorId="0" shapeId="0" xr:uid="{00000000-0006-0000-1800-00001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1" authorId="0" shapeId="0" xr:uid="{00000000-0006-0000-1800-00001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66" authorId="0" shapeId="0" xr:uid="{00000000-0006-0000-1800-00001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1" authorId="0" shapeId="0" xr:uid="{00000000-0006-0000-1800-00001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78" authorId="0" shapeId="0" xr:uid="{00000000-0006-0000-1800-00001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89" authorId="0" shapeId="0" xr:uid="{00000000-0006-0000-1800-00001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4" authorId="0" shapeId="0" xr:uid="{00000000-0006-0000-1800-00001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199" authorId="0" shapeId="0" xr:uid="{00000000-0006-0000-1800-00002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06" authorId="0" shapeId="0" xr:uid="{00000000-0006-0000-1800-00002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1" authorId="0" shapeId="0" xr:uid="{00000000-0006-0000-1800-00002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16" authorId="0" shapeId="0" xr:uid="{00000000-0006-0000-1800-00002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3" authorId="0" shapeId="0" xr:uid="{00000000-0006-0000-1800-00002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28" authorId="0" shapeId="0" xr:uid="{00000000-0006-0000-1800-00002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33" authorId="0" shapeId="0" xr:uid="{00000000-0006-0000-1800-00002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0" authorId="0" shapeId="0" xr:uid="{00000000-0006-0000-1800-00002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45" authorId="0" shapeId="0" xr:uid="{00000000-0006-0000-1800-00002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0" authorId="0" shapeId="0" xr:uid="{00000000-0006-0000-1800-00002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57" authorId="0" shapeId="0" xr:uid="{00000000-0006-0000-1800-00002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68" authorId="0" shapeId="0" xr:uid="{00000000-0006-0000-1800-00002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3" authorId="0" shapeId="0" xr:uid="{00000000-0006-0000-1800-00002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78" authorId="0" shapeId="0" xr:uid="{00000000-0006-0000-1800-00002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85" authorId="0" shapeId="0" xr:uid="{00000000-0006-0000-1800-00002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0" authorId="0" shapeId="0" xr:uid="{00000000-0006-0000-1800-00002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295" authorId="0" shapeId="0" xr:uid="{00000000-0006-0000-1800-00003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2" authorId="0" shapeId="0" xr:uid="{00000000-0006-0000-1800-00003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07" authorId="0" shapeId="0" xr:uid="{00000000-0006-0000-1800-00003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2" authorId="0" shapeId="0" xr:uid="{00000000-0006-0000-1800-00003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19" authorId="0" shapeId="0" xr:uid="{00000000-0006-0000-1800-00003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4" authorId="0" shapeId="0" xr:uid="{00000000-0006-0000-1800-00003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29" authorId="0" shapeId="0" xr:uid="{00000000-0006-0000-1800-00003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36" authorId="0" shapeId="0" xr:uid="{00000000-0006-0000-1800-00003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48" authorId="0" shapeId="0" xr:uid="{00000000-0006-0000-1800-00003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3" authorId="0" shapeId="0" xr:uid="{00000000-0006-0000-1800-00003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58" authorId="0" shapeId="0" xr:uid="{00000000-0006-0000-1800-00003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65" authorId="0" shapeId="0" xr:uid="{00000000-0006-0000-1800-00003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0" authorId="0" shapeId="0" xr:uid="{00000000-0006-0000-1800-00003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75" authorId="0" shapeId="0" xr:uid="{00000000-0006-0000-1800-00003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2" authorId="0" shapeId="0" xr:uid="{00000000-0006-0000-1800-00003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87" authorId="0" shapeId="0" xr:uid="{00000000-0006-0000-1800-00003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2" authorId="0" shapeId="0" xr:uid="{00000000-0006-0000-1800-00004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399" authorId="0" shapeId="0" xr:uid="{00000000-0006-0000-1800-00004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4" authorId="0" shapeId="0" xr:uid="{00000000-0006-0000-1800-00004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09" authorId="0" shapeId="0" xr:uid="{00000000-0006-0000-1800-00004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16" authorId="0" shapeId="0" xr:uid="{00000000-0006-0000-1800-00004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27" authorId="0" shapeId="0" xr:uid="{00000000-0006-0000-1800-00004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2" authorId="0" shapeId="0" xr:uid="{00000000-0006-0000-1800-00004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37" authorId="0" shapeId="0" xr:uid="{00000000-0006-0000-1800-00004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4" authorId="0" shapeId="0" xr:uid="{00000000-0006-0000-1800-00004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49" authorId="0" shapeId="0" xr:uid="{00000000-0006-0000-1800-00004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54" authorId="0" shapeId="0" xr:uid="{00000000-0006-0000-1800-00004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1" authorId="0" shapeId="0" xr:uid="{00000000-0006-0000-1800-00004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66" authorId="0" shapeId="0" xr:uid="{00000000-0006-0000-1800-00004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1" authorId="0" shapeId="0" xr:uid="{00000000-0006-0000-1800-00004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78" authorId="0" shapeId="0" xr:uid="{00000000-0006-0000-1800-00004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3" authorId="0" shapeId="0" xr:uid="{00000000-0006-0000-1800-00004F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88" authorId="0" shapeId="0" xr:uid="{00000000-0006-0000-1800-000050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495" authorId="0" shapeId="0" xr:uid="{00000000-0006-0000-1800-000051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06" authorId="0" shapeId="0" xr:uid="{00000000-0006-0000-1800-000052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1" authorId="0" shapeId="0" xr:uid="{00000000-0006-0000-1800-000053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16" authorId="0" shapeId="0" xr:uid="{00000000-0006-0000-1800-000054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3" authorId="0" shapeId="0" xr:uid="{00000000-0006-0000-1800-000055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28" authorId="0" shapeId="0" xr:uid="{00000000-0006-0000-1800-000056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33" authorId="0" shapeId="0" xr:uid="{00000000-0006-0000-1800-000057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0" authorId="0" shapeId="0" xr:uid="{00000000-0006-0000-1800-000058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45" authorId="0" shapeId="0" xr:uid="{00000000-0006-0000-1800-000059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0" authorId="0" shapeId="0" xr:uid="{00000000-0006-0000-1800-00005A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57" authorId="0" shapeId="0" xr:uid="{00000000-0006-0000-1800-00005B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2" authorId="0" shapeId="0" xr:uid="{00000000-0006-0000-1800-00005C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67" authorId="0" shapeId="0" xr:uid="{00000000-0006-0000-1800-00005D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 ref="E574" authorId="0" shapeId="0" xr:uid="{00000000-0006-0000-1800-00005E000000}">
      <text>
        <r>
          <rPr>
            <b/>
            <sz val="8"/>
            <color indexed="81"/>
            <rFont val="Tahoma"/>
            <family val="2"/>
          </rPr>
          <t>marie.palena:</t>
        </r>
        <r>
          <rPr>
            <sz val="8"/>
            <color indexed="81"/>
            <rFont val="Tahoma"/>
            <family val="2"/>
          </rPr>
          <t xml:space="preserve">
This should be the Proposed Gross Rent from the Rent Schedule tab for this bedroom style</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L13" authorId="0" shapeId="0" xr:uid="{00000000-0006-0000-1900-000001000000}">
      <text>
        <r>
          <rPr>
            <b/>
            <sz val="9"/>
            <color indexed="81"/>
            <rFont val="Tahoma"/>
            <family val="2"/>
          </rPr>
          <t>marie.palena:</t>
        </r>
        <r>
          <rPr>
            <sz val="9"/>
            <color indexed="81"/>
            <rFont val="Tahoma"/>
            <family val="2"/>
          </rPr>
          <t xml:space="preserve">
generally rehabs only</t>
        </r>
      </text>
    </comment>
    <comment ref="L16" authorId="0" shapeId="0" xr:uid="{00000000-0006-0000-1900-000002000000}">
      <text>
        <r>
          <rPr>
            <b/>
            <sz val="9"/>
            <color indexed="81"/>
            <rFont val="Tahoma"/>
            <family val="2"/>
          </rPr>
          <t>marie.palena:</t>
        </r>
        <r>
          <rPr>
            <sz val="9"/>
            <color indexed="81"/>
            <rFont val="Tahoma"/>
            <family val="2"/>
          </rPr>
          <t xml:space="preserve">
check Carryover funding conditions AND confirm with DCA Envir staff</t>
        </r>
      </text>
    </comment>
    <comment ref="L18" authorId="0" shapeId="0" xr:uid="{00000000-0006-0000-1900-000003000000}">
      <text>
        <r>
          <rPr>
            <b/>
            <sz val="8"/>
            <color indexed="81"/>
            <rFont val="Tahoma"/>
            <family val="2"/>
          </rPr>
          <t>marie.palena:</t>
        </r>
        <r>
          <rPr>
            <sz val="8"/>
            <color indexed="81"/>
            <rFont val="Tahoma"/>
            <family val="2"/>
          </rPr>
          <t xml:space="preserve">
check Carryover and HOME Preliminary Commitment</t>
        </r>
      </text>
    </comment>
  </commentList>
</comments>
</file>

<file path=xl/comments9.xml><?xml version="1.0" encoding="utf-8"?>
<comments xmlns="http://schemas.openxmlformats.org/spreadsheetml/2006/main" xmlns:mc="http://schemas.openxmlformats.org/markup-compatibility/2006" xmlns:xr="http://schemas.microsoft.com/office/spreadsheetml/2014/revision" mc:Ignorable="xr">
  <authors>
    <author>marie.palena</author>
  </authors>
  <commentList>
    <comment ref="I72" authorId="0" shapeId="0" xr:uid="{00000000-0006-0000-1A00-000001000000}">
      <text>
        <r>
          <rPr>
            <b/>
            <sz val="9"/>
            <color indexed="81"/>
            <rFont val="Tahoma"/>
            <family val="2"/>
          </rPr>
          <t xml:space="preserve">marie.palena: </t>
        </r>
        <r>
          <rPr>
            <sz val="9"/>
            <color indexed="81"/>
            <rFont val="Tahoma"/>
            <family val="2"/>
          </rPr>
          <t>Rehab only</t>
        </r>
      </text>
    </comment>
    <comment ref="I74" authorId="0" shapeId="0" xr:uid="{00000000-0006-0000-1A00-000002000000}">
      <text>
        <r>
          <rPr>
            <b/>
            <sz val="9"/>
            <color indexed="81"/>
            <rFont val="Tahoma"/>
            <family val="2"/>
          </rPr>
          <t xml:space="preserve">marie.palena: </t>
        </r>
        <r>
          <rPr>
            <sz val="9"/>
            <color indexed="81"/>
            <rFont val="Tahoma"/>
            <family val="2"/>
          </rPr>
          <t>Rehab only</t>
        </r>
      </text>
    </comment>
    <comment ref="I75" authorId="0" shapeId="0" xr:uid="{00000000-0006-0000-1A00-000003000000}">
      <text>
        <r>
          <rPr>
            <b/>
            <sz val="9"/>
            <color indexed="81"/>
            <rFont val="Tahoma"/>
            <family val="2"/>
          </rPr>
          <t xml:space="preserve">marie.palena: </t>
        </r>
        <r>
          <rPr>
            <sz val="9"/>
            <color indexed="81"/>
            <rFont val="Tahoma"/>
            <family val="2"/>
          </rPr>
          <t>Rehab only</t>
        </r>
      </text>
    </comment>
    <comment ref="I76" authorId="0" shapeId="0" xr:uid="{00000000-0006-0000-1A00-000004000000}">
      <text>
        <r>
          <rPr>
            <b/>
            <sz val="9"/>
            <color indexed="81"/>
            <rFont val="Tahoma"/>
            <family val="2"/>
          </rPr>
          <t xml:space="preserve">marie.palena: </t>
        </r>
        <r>
          <rPr>
            <sz val="9"/>
            <color indexed="81"/>
            <rFont val="Tahoma"/>
            <family val="2"/>
          </rPr>
          <t>Rehab only</t>
        </r>
      </text>
    </comment>
    <comment ref="I77" authorId="0" shapeId="0" xr:uid="{00000000-0006-0000-1A00-000005000000}">
      <text>
        <r>
          <rPr>
            <b/>
            <sz val="9"/>
            <color indexed="81"/>
            <rFont val="Tahoma"/>
            <family val="2"/>
          </rPr>
          <t>marie.palena:</t>
        </r>
        <r>
          <rPr>
            <sz val="9"/>
            <color indexed="81"/>
            <rFont val="Tahoma"/>
            <family val="2"/>
          </rPr>
          <t xml:space="preserve">
rehab- no lead based paint contamination- see DCA enviro staff</t>
        </r>
      </text>
    </comment>
    <comment ref="F92" authorId="0" shapeId="0" xr:uid="{00000000-0006-0000-1A00-000006000000}">
      <text>
        <r>
          <rPr>
            <b/>
            <sz val="9"/>
            <color indexed="81"/>
            <rFont val="Tahoma"/>
            <family val="2"/>
          </rPr>
          <t>marie.palena:</t>
        </r>
        <r>
          <rPr>
            <sz val="9"/>
            <color indexed="81"/>
            <rFont val="Tahoma"/>
            <family val="2"/>
          </rPr>
          <t xml:space="preserve">
USDA 515, other HUD funds</t>
        </r>
      </text>
    </comment>
    <comment ref="F93" authorId="0" shapeId="0" xr:uid="{00000000-0006-0000-1A00-000007000000}">
      <text>
        <r>
          <rPr>
            <b/>
            <sz val="9"/>
            <color indexed="81"/>
            <rFont val="Tahoma"/>
            <family val="2"/>
          </rPr>
          <t>marie.palena:</t>
        </r>
        <r>
          <rPr>
            <sz val="9"/>
            <color indexed="81"/>
            <rFont val="Tahoma"/>
            <family val="2"/>
          </rPr>
          <t xml:space="preserve">
local grants from the city or local housing authority if not sourced from HUD</t>
        </r>
      </text>
    </comment>
    <comment ref="F98" authorId="0" shapeId="0" xr:uid="{00000000-0006-0000-1A00-000008000000}">
      <text>
        <r>
          <rPr>
            <b/>
            <sz val="9"/>
            <color indexed="81"/>
            <rFont val="Tahoma"/>
            <family val="2"/>
          </rPr>
          <t>marie.palena:</t>
        </r>
        <r>
          <rPr>
            <sz val="9"/>
            <color indexed="81"/>
            <rFont val="Tahoma"/>
            <family val="2"/>
          </rPr>
          <t xml:space="preserve">
permanent conventional debt; also includes deferred developer fee</t>
        </r>
      </text>
    </comment>
    <comment ref="F99" authorId="0" shapeId="0" xr:uid="{00000000-0006-0000-1A00-000009000000}">
      <text>
        <r>
          <rPr>
            <b/>
            <sz val="9"/>
            <color indexed="81"/>
            <rFont val="Tahoma"/>
            <family val="2"/>
          </rPr>
          <t>marie.palena:</t>
        </r>
        <r>
          <rPr>
            <sz val="9"/>
            <color indexed="81"/>
            <rFont val="Tahoma"/>
            <family val="2"/>
          </rPr>
          <t xml:space="preserve">
not to be repaid, generally not more than $100</t>
        </r>
      </text>
    </comment>
    <comment ref="F100" authorId="0" shapeId="0" xr:uid="{00000000-0006-0000-1A00-00000A000000}">
      <text>
        <r>
          <rPr>
            <b/>
            <sz val="9"/>
            <color indexed="81"/>
            <rFont val="Tahoma"/>
            <family val="2"/>
          </rPr>
          <t>marie.palena:</t>
        </r>
        <r>
          <rPr>
            <sz val="9"/>
            <color indexed="81"/>
            <rFont val="Tahoma"/>
            <family val="2"/>
          </rPr>
          <t xml:space="preserve">
from foundations, nonprofits not sourced by HUD or federal funds</t>
        </r>
      </text>
    </comment>
  </commentList>
</comments>
</file>

<file path=xl/sharedStrings.xml><?xml version="1.0" encoding="utf-8"?>
<sst xmlns="http://schemas.openxmlformats.org/spreadsheetml/2006/main" count="19468" uniqueCount="7189">
  <si>
    <t>Does the unit mix/rents and amenities included in the application match those provided in the market study?</t>
  </si>
  <si>
    <t>LaFayette Housing Authority</t>
  </si>
  <si>
    <t>Ray City</t>
  </si>
  <si>
    <t>LaGrange Development Authority</t>
  </si>
  <si>
    <t>Rayle</t>
  </si>
  <si>
    <t>Lake Oconee Area Development Authority</t>
  </si>
  <si>
    <t>Rebecca</t>
  </si>
  <si>
    <t>Laurens-Treutlen Joint Development Authority</t>
  </si>
  <si>
    <t>Development Authority of Ben Hill County</t>
  </si>
  <si>
    <t>Brunswick</t>
  </si>
  <si>
    <t>Development Authority of Bibb County</t>
  </si>
  <si>
    <t>Buchanan</t>
  </si>
  <si>
    <t>Housing Authority of the City of Fort Oglethorpe, Georgia</t>
  </si>
  <si>
    <t>Chatham-Savannah Authority for the Homeless</t>
  </si>
  <si>
    <t>Barwick</t>
  </si>
  <si>
    <t>Efficiency New Construction CS Units</t>
  </si>
  <si>
    <t>1 BR New Construction CS Units</t>
  </si>
  <si>
    <t>2 BR New Construction CS Units</t>
  </si>
  <si>
    <t>3 BR New Construction CS Units</t>
  </si>
  <si>
    <t>4 BR New Construction CS Units</t>
  </si>
  <si>
    <t>Efficiency CS Acq/Rhb Units</t>
  </si>
  <si>
    <t>1 BR Acq/Rhb CS Units</t>
  </si>
  <si>
    <t>2 BR Acq/Rhb CS Units</t>
  </si>
  <si>
    <t>3 BR Acq/Rhb CS Units</t>
  </si>
  <si>
    <t>4 BR Acq/Rhb CS Units</t>
  </si>
  <si>
    <t>Efficiency Rehab CS Units</t>
  </si>
  <si>
    <t>1 BR Rehab CS Units</t>
  </si>
  <si>
    <t>2 BR Rehab CS Units</t>
  </si>
  <si>
    <t>3 BR Rehab CS Units</t>
  </si>
  <si>
    <t>4 BR Rehab CS Units</t>
  </si>
  <si>
    <t>Total + CS</t>
  </si>
  <si>
    <t>High-speed internet access (see QAP requirements)</t>
  </si>
  <si>
    <t>Annual Debt Service in Year One</t>
  </si>
  <si>
    <t>Off Site Improvements in Master Plan Communities</t>
  </si>
  <si>
    <t>Development Authority of Telfair County</t>
  </si>
  <si>
    <t>Dahlonega</t>
  </si>
  <si>
    <t>Type of Construction Activity</t>
  </si>
  <si>
    <t>Multifamily</t>
  </si>
  <si>
    <t>SF Detached</t>
  </si>
  <si>
    <t>Townhome</t>
  </si>
  <si>
    <t>Housing Authority of the City of Perry, Georgia</t>
  </si>
  <si>
    <t>Housing Authority of the City of Quitman</t>
  </si>
  <si>
    <t>Nahunta</t>
  </si>
  <si>
    <t>Dahlonega Downtown Development Authority</t>
  </si>
  <si>
    <t>Braselton</t>
  </si>
  <si>
    <t>Development Authority of Whitfield County</t>
  </si>
  <si>
    <t>Dooling</t>
  </si>
  <si>
    <t>Development Authority of Wilkinson County</t>
  </si>
  <si>
    <t>Doraville</t>
  </si>
  <si>
    <t>Other (describe here)</t>
  </si>
  <si>
    <t>Other Income (OI)</t>
  </si>
  <si>
    <t>OI Not Subject to Mgt Fee</t>
  </si>
  <si>
    <t>Downtown Development Authority of the City of Norcross</t>
  </si>
  <si>
    <t>Glenwood</t>
  </si>
  <si>
    <t>Development Authority of Brooks County, Georgia</t>
  </si>
  <si>
    <t>Buckhead</t>
  </si>
  <si>
    <t>Development Authority of Bulloch County</t>
  </si>
  <si>
    <t>Buena Vista</t>
  </si>
  <si>
    <t>Development Authority of Burke County</t>
  </si>
  <si>
    <t>Buford</t>
  </si>
  <si>
    <t>Mitchell County Development Authority</t>
  </si>
  <si>
    <t>Richmond Hill</t>
  </si>
  <si>
    <t>Montezuma Downtown Development Authority</t>
  </si>
  <si>
    <t>Riddleville</t>
  </si>
  <si>
    <t>Montgomery County Development Authority</t>
  </si>
  <si>
    <t>Rincon</t>
  </si>
  <si>
    <t>Moultrie-Colquitt County Development Authority</t>
  </si>
  <si>
    <t>Ringgold</t>
  </si>
  <si>
    <t>Nashville Downtown Development Authority</t>
  </si>
  <si>
    <t>Urban Redevelopment Authority of the City of Suwanee</t>
  </si>
  <si>
    <t>Hazlehurst Downtown Development Authority</t>
  </si>
  <si>
    <t>Jeffersonville</t>
  </si>
  <si>
    <t>Loan Type</t>
  </si>
  <si>
    <t>Housing Authority of the City of Adel, Georgia</t>
  </si>
  <si>
    <t>LaGrange</t>
  </si>
  <si>
    <t>Housing Authority of the City of Alamo</t>
  </si>
  <si>
    <t>Lake Park</t>
  </si>
  <si>
    <t>DCA COMMENTS - DCA USE ONLY</t>
  </si>
  <si>
    <t>Please Note:</t>
  </si>
  <si>
    <t>Climax</t>
  </si>
  <si>
    <t>Development Authority of Jefferson County</t>
  </si>
  <si>
    <t>Development Authority of Jefferson, Georgia</t>
  </si>
  <si>
    <t>Development Authority of Jenkins County</t>
  </si>
  <si>
    <t>Cobbtown</t>
  </si>
  <si>
    <t>Development Authority of Johnson County, Georgia</t>
  </si>
  <si>
    <t>Cochran</t>
  </si>
  <si>
    <t>Marion County Development Authority</t>
  </si>
  <si>
    <t>Rest Haven</t>
  </si>
  <si>
    <t>I.  OPERATING ASSUMPTIONS</t>
  </si>
  <si>
    <t>II.  OPERATING PRO FORMA</t>
  </si>
  <si>
    <t>Nonprofit Sponsor</t>
  </si>
  <si>
    <t>Value</t>
  </si>
  <si>
    <t>CDP Name</t>
  </si>
  <si>
    <t>CDP</t>
  </si>
  <si>
    <t>CDP County</t>
  </si>
  <si>
    <t>Check applicable utilities and enter provider name:</t>
  </si>
  <si>
    <t>7)</t>
  </si>
  <si>
    <t>4% Acquisition Basis</t>
  </si>
  <si>
    <t>TOTAL COST</t>
  </si>
  <si>
    <t>PRE-DEVELOPMENT COSTS</t>
  </si>
  <si>
    <t>Ware Co.</t>
  </si>
  <si>
    <t>Warren</t>
  </si>
  <si>
    <t>Warren Co.</t>
  </si>
  <si>
    <t>Washington</t>
  </si>
  <si>
    <t>Washington Co.</t>
  </si>
  <si>
    <t>Wayne</t>
  </si>
  <si>
    <t>Wayne Co.</t>
  </si>
  <si>
    <t>Webster</t>
  </si>
  <si>
    <t>Webster Co.</t>
  </si>
  <si>
    <t>Wheeler</t>
  </si>
  <si>
    <t>Wheeler Co.</t>
  </si>
  <si>
    <t>White</t>
  </si>
  <si>
    <t>White Co.</t>
  </si>
  <si>
    <t>Public sewer</t>
  </si>
  <si>
    <t>Efficiency 60% SF</t>
  </si>
  <si>
    <t>50% AMI</t>
  </si>
  <si>
    <t>Housing Authority of the City of Cleveland, Ga.</t>
  </si>
  <si>
    <t>Loganville</t>
  </si>
  <si>
    <t>Gwinnett</t>
  </si>
  <si>
    <t>Habersham</t>
  </si>
  <si>
    <t>Habersham Co.</t>
  </si>
  <si>
    <t>Exterior envelope wall systems, including the rim (band) joist spaces, to be insulated</t>
  </si>
  <si>
    <t>ARI rated SEER 14 cooling equipment with sensible heat ratio less than 0.75</t>
  </si>
  <si>
    <t>Locate HVAC ductwork in conditioned spaces</t>
  </si>
  <si>
    <t>Installation of at least two plumbing fixture types having lower flow rates than NEPA standards</t>
  </si>
  <si>
    <t>II. Interest Credit / USDA Annual Guaranty Fee</t>
  </si>
  <si>
    <t>Efficiency Mkt Units</t>
  </si>
  <si>
    <t>Efficiency Mkt SF</t>
  </si>
  <si>
    <t>Efficiency 30% SF</t>
  </si>
  <si>
    <t>Efficiency 50% SF</t>
  </si>
  <si>
    <t>Downtown Development Authority of Hartwell, Georgia</t>
  </si>
  <si>
    <t>Operating Expense Growth Rate</t>
  </si>
  <si>
    <t>Replacement Reserve Annual Payment Growth Rate</t>
  </si>
  <si>
    <t>Operating Reserve Annual Payment Growth Rate</t>
  </si>
  <si>
    <t>Base</t>
  </si>
  <si>
    <t>Moreland</t>
  </si>
  <si>
    <t>Housing Authority of the City of Milledgeville and Sparta</t>
  </si>
  <si>
    <t>Housing Authority of the City of Millen</t>
  </si>
  <si>
    <t>Morganton</t>
  </si>
  <si>
    <t>Housing Authority of the City of Monroe, GA</t>
  </si>
  <si>
    <t>Morrow</t>
  </si>
  <si>
    <t>Amount of federal grant(s) used to finance qualifying development costs</t>
  </si>
  <si>
    <t>Monthly Net Rent</t>
  </si>
  <si>
    <t>Insurance**</t>
  </si>
  <si>
    <r>
      <t xml:space="preserve">The Census Tract for the property is characterized as [Choose either </t>
    </r>
    <r>
      <rPr>
        <i/>
        <sz val="8"/>
        <rFont val="Arial"/>
        <family val="2"/>
      </rPr>
      <t>Minority concentration</t>
    </r>
    <r>
      <rPr>
        <sz val="8"/>
        <rFont val="Arial"/>
        <family val="2"/>
      </rPr>
      <t xml:space="preserve"> (50% or more minority), </t>
    </r>
    <r>
      <rPr>
        <i/>
        <sz val="8"/>
        <rFont val="Arial"/>
        <family val="2"/>
      </rPr>
      <t>Racially mixed</t>
    </r>
    <r>
      <rPr>
        <sz val="8"/>
        <rFont val="Arial"/>
        <family val="2"/>
      </rPr>
      <t xml:space="preserve"> (25% - 49% minority), or </t>
    </r>
    <r>
      <rPr>
        <i/>
        <sz val="8"/>
        <rFont val="Arial"/>
        <family val="2"/>
      </rPr>
      <t>Non-minority</t>
    </r>
    <r>
      <rPr>
        <sz val="8"/>
        <rFont val="Arial"/>
        <family val="2"/>
      </rPr>
      <t xml:space="preserve"> (less than 25% minority)]:</t>
    </r>
  </si>
  <si>
    <t>Brownfield?</t>
  </si>
  <si>
    <t>Form of site control:</t>
  </si>
  <si>
    <t>Was a Noise Assessment performed?</t>
  </si>
  <si>
    <t>Gas</t>
  </si>
  <si>
    <t>Development Authority of the City of Roswell</t>
  </si>
  <si>
    <t>Development Authority of the City of Vienna</t>
  </si>
  <si>
    <t>Dearing</t>
  </si>
  <si>
    <t>Baldwin Co.</t>
  </si>
  <si>
    <t>Charlton</t>
  </si>
  <si>
    <t>Charlton Co.</t>
  </si>
  <si>
    <t>Chatham</t>
  </si>
  <si>
    <t>Chattahoochee</t>
  </si>
  <si>
    <t>Columbus</t>
  </si>
  <si>
    <t>Chattooga</t>
  </si>
  <si>
    <t>Chattooga Co.</t>
  </si>
  <si>
    <t>Cherokee</t>
  </si>
  <si>
    <t>Clarke</t>
  </si>
  <si>
    <t>Athens</t>
  </si>
  <si>
    <t>Schley-Sumter-Macon Counties Joint Development Authority</t>
  </si>
  <si>
    <t>Sardis</t>
  </si>
  <si>
    <t>Freestanding shelters</t>
  </si>
  <si>
    <t>Preservation of existing trees and vegetation</t>
  </si>
  <si>
    <t>Bdrms</t>
  </si>
  <si>
    <t>Nbr of</t>
  </si>
  <si>
    <t>Baths</t>
  </si>
  <si>
    <t>Equity Gap Calculation</t>
  </si>
  <si>
    <t>Lowndes</t>
  </si>
  <si>
    <t>Lumpkin</t>
  </si>
  <si>
    <t>Lumpkin Co.</t>
  </si>
  <si>
    <t>Macon Co.</t>
  </si>
  <si>
    <t>Madison</t>
  </si>
  <si>
    <t>Atkinson County-Coffee County Joint Development Authority</t>
  </si>
  <si>
    <t>Allenhurst</t>
  </si>
  <si>
    <t>Atlanta Development Authority</t>
  </si>
  <si>
    <t>Allentown</t>
  </si>
  <si>
    <t>Montgomery</t>
  </si>
  <si>
    <t>Montgomery Co.</t>
  </si>
  <si>
    <t>Gordon Downtown Development Authority</t>
  </si>
  <si>
    <t>Iron City</t>
  </si>
  <si>
    <t>Downtown Development Authority of Barnesville</t>
  </si>
  <si>
    <t>Downtown Development Authority of Baxley</t>
  </si>
  <si>
    <t>Zoning/Site Plan Fees</t>
  </si>
  <si>
    <t>Subtotal</t>
  </si>
  <si>
    <r>
      <t xml:space="preserve">Total OI </t>
    </r>
    <r>
      <rPr>
        <b/>
        <sz val="9"/>
        <rFont val="Arial"/>
        <family val="2"/>
      </rPr>
      <t>NOT</t>
    </r>
    <r>
      <rPr>
        <sz val="9"/>
        <rFont val="Arial"/>
        <family val="2"/>
      </rPr>
      <t xml:space="preserve"> in Mgt Fee</t>
    </r>
  </si>
  <si>
    <t>Crisp Co.</t>
  </si>
  <si>
    <t>Dade</t>
  </si>
  <si>
    <t>Dawson</t>
  </si>
  <si>
    <t>Decatur</t>
  </si>
  <si>
    <t>Decatur Co.</t>
  </si>
  <si>
    <t>Dekalb</t>
  </si>
  <si>
    <t>Dodge</t>
  </si>
  <si>
    <t>Tenant-Paid Utility Allowances by Unit Size (# Bdrms)</t>
  </si>
  <si>
    <t>&lt;Select&gt;</t>
  </si>
  <si>
    <t>Efficiency New Construction NSP 120% Units</t>
  </si>
  <si>
    <t>1 BR New Construction NSP 120% Units</t>
  </si>
  <si>
    <t>2 BR New Construction NSP 120% Units</t>
  </si>
  <si>
    <t>3 BR New Construction NSP 120% Units</t>
  </si>
  <si>
    <t>4 BR New Construction NSP 120% Units</t>
  </si>
  <si>
    <t>Efficiency NSP 120% Acq/Rhb Units</t>
  </si>
  <si>
    <t>1 BR Acq/Rhb NSP 120% Units</t>
  </si>
  <si>
    <t>2 BR Acq/Rhb NSP 120% Units</t>
  </si>
  <si>
    <t>3 BR Acq/Rhb NSP 120% Units</t>
  </si>
  <si>
    <t>4 BR Acq/Rhb NSP 120% Units</t>
  </si>
  <si>
    <t>Efficiency Rehab NSP 120% Units</t>
  </si>
  <si>
    <t>1 BR Rehab NSP 120% Units</t>
  </si>
  <si>
    <t>2 BR Rehab NSP 120% Units</t>
  </si>
  <si>
    <t>3 BR Rehab NSP 120% Units</t>
  </si>
  <si>
    <t>4 BR Rehab NSP 120% Units</t>
  </si>
  <si>
    <t>I. Data Input</t>
  </si>
  <si>
    <t>Downtown Development Authority of Smyrna</t>
  </si>
  <si>
    <t>Forest Park</t>
  </si>
  <si>
    <t>Stephens County, GA</t>
  </si>
  <si>
    <t>Efficiency LI Acq/Rhb Units</t>
  </si>
  <si>
    <t>1 BR Acq/Rhb LI Units</t>
  </si>
  <si>
    <t>2 BR Acq/Rhb LI Units</t>
  </si>
  <si>
    <r>
      <t xml:space="preserve">ANCILLARY AND OTHER INCOME  </t>
    </r>
    <r>
      <rPr>
        <i/>
        <sz val="10"/>
        <rFont val="Arial"/>
        <family val="2"/>
      </rPr>
      <t>(annual amounts)</t>
    </r>
  </si>
  <si>
    <t>2.)</t>
  </si>
  <si>
    <t>Fairmount</t>
  </si>
  <si>
    <t>Deferred Devlpr Fee</t>
  </si>
  <si>
    <t xml:space="preserve">Complete built-in fire sprinkler system in every unit and the community center, including an exterior audio and visual alarm system  </t>
  </si>
  <si>
    <t>Attractively fenced community gardens</t>
  </si>
  <si>
    <t>Downtown Development Authority of the City of Atlanta</t>
  </si>
  <si>
    <t>Fort Oglethorpe</t>
  </si>
  <si>
    <t>Downtown Development Authority of the City of Baconton</t>
  </si>
  <si>
    <t>Fort Valley</t>
  </si>
  <si>
    <t>Downtown Development Authority of the City of Buford</t>
  </si>
  <si>
    <t>Development Authority of Dougherty County</t>
  </si>
  <si>
    <t>Cecil</t>
  </si>
  <si>
    <t>Development Authority of Douglas County</t>
  </si>
  <si>
    <t>Gilmer County, GA</t>
  </si>
  <si>
    <t>Glascock County, GA</t>
  </si>
  <si>
    <t>Gordon County, GA</t>
  </si>
  <si>
    <t>Other Type (specify)</t>
  </si>
  <si>
    <t xml:space="preserve"> </t>
  </si>
  <si>
    <t>Housing Authority of the City of Conyers</t>
  </si>
  <si>
    <t>Porterdale</t>
  </si>
  <si>
    <t>Housing Authority of the City of Forsyth</t>
  </si>
  <si>
    <t>Martin</t>
  </si>
  <si>
    <t>Housing Authority of the City of Fort Gaines</t>
  </si>
  <si>
    <t>Housing Authority of the City of College Park</t>
  </si>
  <si>
    <t>Lone Oak</t>
  </si>
  <si>
    <t>Marketing</t>
  </si>
  <si>
    <t>Total Square Footage</t>
  </si>
  <si>
    <t>Number of Unrestricted (Market) Units</t>
  </si>
  <si>
    <t>Historic Tax Credits (Residential Portion Only)</t>
  </si>
  <si>
    <t>Landscaping and Site Design Features</t>
  </si>
  <si>
    <t>DCA</t>
  </si>
  <si>
    <t>Housing Authority of the City of Glenwood</t>
  </si>
  <si>
    <t>McDonough</t>
  </si>
  <si>
    <t>Housing Authority of the City of Grantville</t>
  </si>
  <si>
    <t>McIntyre</t>
  </si>
  <si>
    <t>Joint Development Authority of Franklin, Hart and Stephens Counties</t>
  </si>
  <si>
    <t>Plainville</t>
  </si>
  <si>
    <t>Subtract Non-LIHTC (excluding deferred fee) Source of Funds</t>
  </si>
  <si>
    <t>Jefferson County, GA</t>
  </si>
  <si>
    <t>Jenkins County, GA</t>
  </si>
  <si>
    <t>Johnson County, GA</t>
  </si>
  <si>
    <t>Lamar County, GA HUD Metro FMR Area</t>
  </si>
  <si>
    <t>Laurens County, GA</t>
  </si>
  <si>
    <t>Hinesville-Fort Stewart, GA HUD Metro FMR Area</t>
  </si>
  <si>
    <t>Property Mgt Fee Growth Rate (choose one):</t>
  </si>
  <si>
    <t>New Construction Basis</t>
  </si>
  <si>
    <t>Rehabilitation Basis</t>
  </si>
  <si>
    <t>Amortizable or Non-Depreciable Basis</t>
  </si>
  <si>
    <t>Housing Authority of City of Danielsville</t>
  </si>
  <si>
    <t>Joint Development Authority of Hazlehurst, Lumber City and Telfair County</t>
  </si>
  <si>
    <t>Rehab</t>
  </si>
  <si>
    <t>Joint Development Authority of Carroll, Haralson, Polk, Heard and Troup Counties</t>
  </si>
  <si>
    <t>Pitts</t>
  </si>
  <si>
    <t>Partnership Organization Fees</t>
  </si>
  <si>
    <t>Tax Credit Legal Opinion</t>
  </si>
  <si>
    <t>DEVELOPER'S FEE</t>
  </si>
  <si>
    <t>DEVELOPER</t>
  </si>
  <si>
    <t>CO-DEVELOPER 1</t>
  </si>
  <si>
    <t>DEVELOPMENT CONSULTANT</t>
  </si>
  <si>
    <t>OTHER PROJECT TEAM MEMBERS</t>
  </si>
  <si>
    <t>OWNERSHIP CONSULTANT</t>
  </si>
  <si>
    <t>GENERAL CONTRACTOR</t>
  </si>
  <si>
    <t>MANAGEMENT COMPANY</t>
  </si>
  <si>
    <t>ATTORNEY</t>
  </si>
  <si>
    <t>ACCOUNTANT</t>
  </si>
  <si>
    <t>ARCHITECT</t>
  </si>
  <si>
    <t>VIII.</t>
  </si>
  <si>
    <t>Warwick</t>
  </si>
  <si>
    <t>Watkinsville</t>
  </si>
  <si>
    <t>Waverly Hall</t>
  </si>
  <si>
    <t>Waycross</t>
  </si>
  <si>
    <t>Waynesboro</t>
  </si>
  <si>
    <t>West Point</t>
  </si>
  <si>
    <t>Weston</t>
  </si>
  <si>
    <t>Whigham</t>
  </si>
  <si>
    <t>Edison</t>
  </si>
  <si>
    <t>Names of Projects in which an Owner, Developer and Consultant(s) and each of its principals has a direct or indirect Ownership interest:</t>
  </si>
  <si>
    <t>Unrestricted</t>
  </si>
  <si>
    <t>Development Authority of Appling County</t>
  </si>
  <si>
    <t>Bremen</t>
  </si>
  <si>
    <t>Fort Valley Downtown Development Authority</t>
  </si>
  <si>
    <t>Homeland</t>
  </si>
  <si>
    <t>Fulton County/City of Atlanta Land Bank Authority, Inc.</t>
  </si>
  <si>
    <t>Homer</t>
  </si>
  <si>
    <t>Sustainable Building Certification</t>
  </si>
  <si>
    <t>Hall</t>
  </si>
  <si>
    <t>Hancock</t>
  </si>
  <si>
    <t>Hancock Co.</t>
  </si>
  <si>
    <t>Haralson</t>
  </si>
  <si>
    <t>Harris</t>
  </si>
  <si>
    <t>Hart</t>
  </si>
  <si>
    <t>Hart Co.</t>
  </si>
  <si>
    <t>Heard</t>
  </si>
  <si>
    <t>Henry</t>
  </si>
  <si>
    <t>Houston</t>
  </si>
  <si>
    <t>Irwin</t>
  </si>
  <si>
    <t>Irwin Co.</t>
  </si>
  <si>
    <t>Jackson</t>
  </si>
  <si>
    <t>Jackson Co.</t>
  </si>
  <si>
    <t>Jasper</t>
  </si>
  <si>
    <t>Jeff Davis</t>
  </si>
  <si>
    <t>Jeff Davis Co.</t>
  </si>
  <si>
    <t>Jefferson</t>
  </si>
  <si>
    <t>Jefferson Co.</t>
  </si>
  <si>
    <t>Jenkins</t>
  </si>
  <si>
    <t>Jenkins Co.</t>
  </si>
  <si>
    <t>Johnson</t>
  </si>
  <si>
    <t>Johnson Co.</t>
  </si>
  <si>
    <t>Development Authority of the City of Dalton</t>
  </si>
  <si>
    <t>Dalton</t>
  </si>
  <si>
    <t>Development Authority of the City of Folkston and Charlton County</t>
  </si>
  <si>
    <t>Damascus</t>
  </si>
  <si>
    <t>Development Authority of the City of Homeland</t>
  </si>
  <si>
    <t>Danielsville</t>
  </si>
  <si>
    <t>Development Authority of the City of Jasper</t>
  </si>
  <si>
    <t>Danville</t>
  </si>
  <si>
    <t>Development Authority of the City of Jeffersonville and Twiggs County</t>
  </si>
  <si>
    <t>Darien</t>
  </si>
  <si>
    <t>Development Authority of the City of Marietta</t>
  </si>
  <si>
    <t>Dasher</t>
  </si>
  <si>
    <t>Acquisition/Rehabilitation</t>
  </si>
  <si>
    <t>Substantial Rehabilitation</t>
  </si>
  <si>
    <t>For Acquisition/Rehabilitation, date of original construction:</t>
  </si>
  <si>
    <t>(See note below)</t>
  </si>
  <si>
    <t>Development Authority of Butts County</t>
  </si>
  <si>
    <t>Butler</t>
  </si>
  <si>
    <t>Development Authority of Carroll County</t>
  </si>
  <si>
    <t>Byromville</t>
  </si>
  <si>
    <t>Development Authority of Cartersville</t>
  </si>
  <si>
    <t>Byron</t>
  </si>
  <si>
    <t>Marion</t>
  </si>
  <si>
    <t>Townhome Units</t>
  </si>
  <si>
    <t>1-Story Units</t>
  </si>
  <si>
    <t>2-Story Units</t>
  </si>
  <si>
    <t>2-Story Wlkp Units</t>
  </si>
  <si>
    <t>X.</t>
  </si>
  <si>
    <t>XI.</t>
  </si>
  <si>
    <t>XII.</t>
  </si>
  <si>
    <t>Adaptive Reuse</t>
  </si>
  <si>
    <t>Historic Rehab</t>
  </si>
  <si>
    <t>Henry County Development Authority</t>
  </si>
  <si>
    <t>Berrien County Development Authority</t>
  </si>
  <si>
    <t>Andersonville</t>
  </si>
  <si>
    <t>Boston Downtown Development Authority</t>
  </si>
  <si>
    <t>Downtown Development Authority of the City of Tifton</t>
  </si>
  <si>
    <t>Grovetown</t>
  </si>
  <si>
    <t>Downtown Development Authority of the City of Unadilla</t>
  </si>
  <si>
    <t>Gum Branch</t>
  </si>
  <si>
    <t>Downtown Development Authority of the City of Vienna</t>
  </si>
  <si>
    <t>Guyton</t>
  </si>
  <si>
    <t>Marietta</t>
  </si>
  <si>
    <t>Housing Authority of the City of Fitzgerald</t>
  </si>
  <si>
    <t>Marshallville</t>
  </si>
  <si>
    <t>Doerun</t>
  </si>
  <si>
    <t>Development Authority of White County</t>
  </si>
  <si>
    <t>Donalsonville</t>
  </si>
  <si>
    <t>Type of</t>
  </si>
  <si>
    <t>Activity</t>
  </si>
  <si>
    <t>3 BR 120% NSP Units</t>
  </si>
  <si>
    <t>4 BR 120% NSP Units</t>
  </si>
  <si>
    <t>Effic 120% NSP SF</t>
  </si>
  <si>
    <t>1 BR 120% NSP SF</t>
  </si>
  <si>
    <t>2 BR 120% NSP SF</t>
  </si>
  <si>
    <t>3 BR 120% NSP SF</t>
  </si>
  <si>
    <t>4 BR 120% NSP SF</t>
  </si>
  <si>
    <t>Housing Authority of the City of Roswell</t>
  </si>
  <si>
    <t>Newborn</t>
  </si>
  <si>
    <t>Housing Authority of the City of Royston</t>
  </si>
  <si>
    <t>Newington</t>
  </si>
  <si>
    <t>Housing Authority of the City of Sandersville</t>
  </si>
  <si>
    <t>Newnan</t>
  </si>
  <si>
    <t>Housing Authority of the City of Senoia</t>
  </si>
  <si>
    <t>Kingston Downtown Development Authority</t>
  </si>
  <si>
    <t>Ranger</t>
  </si>
  <si>
    <t>Grady County, GA</t>
  </si>
  <si>
    <t>Greene County, GA</t>
  </si>
  <si>
    <t>Habersham County, GA</t>
  </si>
  <si>
    <t>Gainesville, GA MSA</t>
  </si>
  <si>
    <t>Hancock County, GA</t>
  </si>
  <si>
    <t>Haralson County, GA HUD Metro FMR Area</t>
  </si>
  <si>
    <t>Hart County, GA</t>
  </si>
  <si>
    <t>Warner Robins, GA MSA</t>
  </si>
  <si>
    <t>Emanuel-Johnson County Development Authority</t>
  </si>
  <si>
    <t>Higgston</t>
  </si>
  <si>
    <t>Etowah Area Consolidated Housing Authority</t>
  </si>
  <si>
    <t>Fairburn Housing Authority</t>
  </si>
  <si>
    <t>Hiltonia</t>
  </si>
  <si>
    <t>Amount of Federal Tax Credits in All Applications:</t>
  </si>
  <si>
    <t>Byron Downtown Development Authority</t>
  </si>
  <si>
    <t>Byron Redevelopment Authority</t>
  </si>
  <si>
    <t>Downtown Development Authority of Hampton</t>
  </si>
  <si>
    <t>Fairburn</t>
  </si>
  <si>
    <t>Wilkes County, GA</t>
  </si>
  <si>
    <t>Wilkinson County, GA</t>
  </si>
  <si>
    <t>N</t>
  </si>
  <si>
    <t>Y</t>
  </si>
  <si>
    <t>FMR MSA Name</t>
  </si>
  <si>
    <t>IX.</t>
  </si>
  <si>
    <t>TOTAL POSSIBLE SCORE</t>
  </si>
  <si>
    <t>Jones</t>
  </si>
  <si>
    <t>Lamar</t>
  </si>
  <si>
    <t>Existing Structures</t>
  </si>
  <si>
    <t>Downtown Waycross Development Authority</t>
  </si>
  <si>
    <t>1 BR Rehab LI Units</t>
  </si>
  <si>
    <t>2 BR Rehab LI Units</t>
  </si>
  <si>
    <t>3 BR Rehab LI Units</t>
  </si>
  <si>
    <t>4 BR Rehab LI Units</t>
  </si>
  <si>
    <t>Efficiency New Construction Mkt Units</t>
  </si>
  <si>
    <t>1 BR New Construction Mkt Units</t>
  </si>
  <si>
    <t>2 BR New Construction Mkt Units</t>
  </si>
  <si>
    <t>3 BR New Construction Mkt Units</t>
  </si>
  <si>
    <t>4 BR New Construction Mkt Units</t>
  </si>
  <si>
    <t>X</t>
  </si>
  <si>
    <t>Augusta, Georgia Landbank Authority</t>
  </si>
  <si>
    <t>Alma</t>
  </si>
  <si>
    <t>Bacon County Development Authority</t>
  </si>
  <si>
    <t>Alpharetta</t>
  </si>
  <si>
    <t>Banks/Habersham Counties Joint Development Authority</t>
  </si>
  <si>
    <t>Alston</t>
  </si>
  <si>
    <t>Barnesville Housing Authority</t>
  </si>
  <si>
    <t>Alto</t>
  </si>
  <si>
    <t>QCT?</t>
  </si>
  <si>
    <t>DDA?</t>
  </si>
  <si>
    <t>West Point Lake Development Authority</t>
  </si>
  <si>
    <t>Taylorsville</t>
  </si>
  <si>
    <t>Eatonton</t>
  </si>
  <si>
    <t>Seminole County, GA</t>
  </si>
  <si>
    <t>Market Study</t>
  </si>
  <si>
    <t>Acquisition Legal Fees (if existing structures)</t>
  </si>
  <si>
    <r>
      <t xml:space="preserve">Constructed and Rehabilitation Construction Hard Costs - </t>
    </r>
    <r>
      <rPr>
        <sz val="8"/>
        <rFont val="Arial"/>
        <family val="2"/>
      </rPr>
      <t>are the following minimum review standards for rehabilitation projects met or exceeded by this project?</t>
    </r>
  </si>
  <si>
    <t>Standard Design Options for All Projects</t>
  </si>
  <si>
    <t>Major Bldg Component Materials &amp; Upgrades</t>
  </si>
  <si>
    <t>Adairsville Development Authority</t>
  </si>
  <si>
    <t>Adel</t>
  </si>
  <si>
    <t>Housing Authority of the City of Macon, Georgia</t>
  </si>
  <si>
    <t>Housing Authority of the City of Madison, GA</t>
  </si>
  <si>
    <t>Montezuma</t>
  </si>
  <si>
    <t>Air Conditioning</t>
  </si>
  <si>
    <t>Is Zoning in place at the time of this application submission?</t>
  </si>
  <si>
    <t>Housing Authority of Cobb County</t>
  </si>
  <si>
    <t>Housing Authority of Columbus, Georgia</t>
  </si>
  <si>
    <t>Kennesaw</t>
  </si>
  <si>
    <t>Housing Authority of Fulton County</t>
  </si>
  <si>
    <t>Keysville</t>
  </si>
  <si>
    <t>Housing Authority of Gwinnett County</t>
  </si>
  <si>
    <t>Kingsland</t>
  </si>
  <si>
    <t>PROFESSIONAL SERVICES</t>
  </si>
  <si>
    <t>Architectural Fee - Design</t>
  </si>
  <si>
    <t>Architectural Fee - Supervision</t>
  </si>
  <si>
    <t>Engineering</t>
  </si>
  <si>
    <t>Real Estate Attorney</t>
  </si>
  <si>
    <t>Housing Authority of the City of Hahira, Georgia</t>
  </si>
  <si>
    <t>Meigs</t>
  </si>
  <si>
    <t>Ludowici</t>
  </si>
  <si>
    <t>GA-</t>
  </si>
  <si>
    <t>0 BR</t>
  </si>
  <si>
    <t>Environmental Report(s)</t>
  </si>
  <si>
    <t>Soil Borings</t>
  </si>
  <si>
    <t>Acquisition Basis</t>
  </si>
  <si>
    <t>Has Applicant/PE completed the HOME and HUD Environmental Questionnaire?</t>
  </si>
  <si>
    <t>Fayette County Development Authority</t>
  </si>
  <si>
    <t>Hiram</t>
  </si>
  <si>
    <t>West Point Development Authority</t>
  </si>
  <si>
    <t>Efficiency Rehab LI Units</t>
  </si>
  <si>
    <t>Efficiency PHA Oper Sub 30% Units</t>
  </si>
  <si>
    <t>1 BR PHA Oper Sub 30% Units</t>
  </si>
  <si>
    <t>2 BR PHA Oper Sub 30% Units</t>
  </si>
  <si>
    <t>3 BR PHA Oper Sub 30% Units</t>
  </si>
  <si>
    <t>4 BR PHA Oper Sub 30% Units</t>
  </si>
  <si>
    <t>The Development Authority of the City of Camilla</t>
  </si>
  <si>
    <t>Social Circle</t>
  </si>
  <si>
    <t>7.</t>
  </si>
  <si>
    <t>8.</t>
  </si>
  <si>
    <t>USDA Spread</t>
  </si>
  <si>
    <t>(aka Interest Assistance Rate in USDA Handbook)</t>
  </si>
  <si>
    <t>see UCL</t>
  </si>
  <si>
    <t>LIHTC</t>
  </si>
  <si>
    <t>Gordon County - Floyd County Development Authority</t>
  </si>
  <si>
    <t>Ila</t>
  </si>
  <si>
    <t>8)</t>
  </si>
  <si>
    <t>9)</t>
  </si>
  <si>
    <t>TC Equity</t>
  </si>
  <si>
    <t>Equity Check</t>
  </si>
  <si>
    <t>+ / -</t>
  </si>
  <si>
    <t>LIHTC Allocation Processing Fee</t>
  </si>
  <si>
    <t>% of Total Units</t>
  </si>
  <si>
    <t>Metter</t>
  </si>
  <si>
    <t>Housing Authority of the City of Hogansville</t>
  </si>
  <si>
    <t>Midville</t>
  </si>
  <si>
    <t>Housing Authority of the City of Jasper</t>
  </si>
  <si>
    <t>Midway</t>
  </si>
  <si>
    <t>Housing Authority of the City of Jefferson</t>
  </si>
  <si>
    <t>Milan</t>
  </si>
  <si>
    <t>Housing Authority of the City of Jesup</t>
  </si>
  <si>
    <t>Milledgeville</t>
  </si>
  <si>
    <t>VI.</t>
  </si>
  <si>
    <t>Invstmt Earnings: T-E Bonds</t>
  </si>
  <si>
    <t>Property Tax Abatement</t>
  </si>
  <si>
    <t>UNIT SUMMARY</t>
  </si>
  <si>
    <t>1BR</t>
  </si>
  <si>
    <t>2BR</t>
  </si>
  <si>
    <t>3BR</t>
  </si>
  <si>
    <t>4BR</t>
  </si>
  <si>
    <t>Total</t>
  </si>
  <si>
    <t>Structure</t>
  </si>
  <si>
    <t>Housing Authority of the City of Lakeland, Georgia</t>
  </si>
  <si>
    <t>Millen</t>
  </si>
  <si>
    <t>Housing Authority of the City of Lavonia</t>
  </si>
  <si>
    <t>Milner</t>
  </si>
  <si>
    <t>No. of</t>
  </si>
  <si>
    <t>Cumming</t>
  </si>
  <si>
    <t>Development Authority of Seminole County and Donalsonville</t>
  </si>
  <si>
    <t>Cusseta</t>
  </si>
  <si>
    <t>FHA Insured Mortgage</t>
  </si>
  <si>
    <t>CDBG</t>
  </si>
  <si>
    <t>Issuer:</t>
  </si>
  <si>
    <t>Inducement Date:</t>
  </si>
  <si>
    <t>If an appraisal is included, indicate Appraiser's Name and answer the following questions:</t>
  </si>
  <si>
    <t>Appraiser's Name:</t>
  </si>
  <si>
    <t>Efficiency PBRA 30% Units</t>
  </si>
  <si>
    <t>1 BR PBRA 30% Units</t>
  </si>
  <si>
    <t>Housing Authority of the City of West Point</t>
  </si>
  <si>
    <t>Oxford</t>
  </si>
  <si>
    <t>Housing Authority of the City of Winder</t>
  </si>
  <si>
    <t>Palmetto</t>
  </si>
  <si>
    <t>Housing Authority of the City of Woodbury, Georgia</t>
  </si>
  <si>
    <t>Parrott</t>
  </si>
  <si>
    <t>Duplex</t>
  </si>
  <si>
    <t>Manufactured home</t>
  </si>
  <si>
    <t>FINAL THRESHOLD DETERMINATION (DCA Use Only)</t>
  </si>
  <si>
    <t>Efficiency</t>
  </si>
  <si>
    <t>Downtown Development Authority of Monticello, Georgia</t>
  </si>
  <si>
    <t>Flovilla</t>
  </si>
  <si>
    <t>III.  Applicant Comments &amp; Clarifications</t>
  </si>
  <si>
    <t>APPLICANT COMMENTS AND CLARIFICATIONS</t>
  </si>
  <si>
    <t>Downtown Development Authority of the City of Thomson</t>
  </si>
  <si>
    <t>Griffin</t>
  </si>
  <si>
    <t>Social and recreational programs planned and overseen by project mgr</t>
  </si>
  <si>
    <t>MSA/NonMSA:</t>
  </si>
  <si>
    <t>2 BR PBRA 30% Units</t>
  </si>
  <si>
    <t>3 BR PBRA 30% Units</t>
  </si>
  <si>
    <t>4 BR PBRA 30% Units</t>
  </si>
  <si>
    <t>Efficiency PBRA 50% Units</t>
  </si>
  <si>
    <t>1 BR PBRA 50% Units</t>
  </si>
  <si>
    <t>2 BR PBRA 50% Units</t>
  </si>
  <si>
    <t>3 BR PBRA 50% Units</t>
  </si>
  <si>
    <t>4 BR PBRA 50% Units</t>
  </si>
  <si>
    <t>Efficiency PBRA 60% Units</t>
  </si>
  <si>
    <t>1 BR PBRA 60% Units</t>
  </si>
  <si>
    <t>Housing Authority of the City of Lithonia, Georgia</t>
  </si>
  <si>
    <t>Housing Authority of the City of Loganville, GA</t>
  </si>
  <si>
    <t>Housing Authority of the City of Nahunta</t>
  </si>
  <si>
    <t>Washers and dryers are installed and maintained in every unit at no additional cost to tenants</t>
  </si>
  <si>
    <t>Furnished Exercise/Fitness Center</t>
  </si>
  <si>
    <t>1 BR Acq/Rhb Mkt Units</t>
  </si>
  <si>
    <t>2 BR Acq/Rhb Mkt Units</t>
  </si>
  <si>
    <t>3 BR Acq/Rhb Mkt Units</t>
  </si>
  <si>
    <t>4 BR Acq/Rhb Mkt Units</t>
  </si>
  <si>
    <t>Downtown Development Authority of the City of Warrenton</t>
  </si>
  <si>
    <t>Development Authority of Peach County</t>
  </si>
  <si>
    <t>Development Authority of Peachtree City</t>
  </si>
  <si>
    <t>Cornelia</t>
  </si>
  <si>
    <t>Development Authority of Pike County</t>
  </si>
  <si>
    <t>Covington</t>
  </si>
  <si>
    <t>Development Authority of Polk County</t>
  </si>
  <si>
    <t>Development Authority of Rabun County</t>
  </si>
  <si>
    <t>Development Authority of Richmond County</t>
  </si>
  <si>
    <t>Crawfordville</t>
  </si>
  <si>
    <t>Development Authority of Rockdale County</t>
  </si>
  <si>
    <t>Culloden</t>
  </si>
  <si>
    <t>Development Authority of Screven County</t>
  </si>
  <si>
    <t>Paid By (check one)</t>
  </si>
  <si>
    <t>OTHER COSTS</t>
  </si>
  <si>
    <t>Relocation</t>
  </si>
  <si>
    <t>+</t>
  </si>
  <si>
    <t>Lavonia</t>
  </si>
  <si>
    <t>Expenses less Mgt Fee</t>
  </si>
  <si>
    <t>I.</t>
  </si>
  <si>
    <t>Project Name</t>
  </si>
  <si>
    <t>City</t>
  </si>
  <si>
    <t>County</t>
  </si>
  <si>
    <t>Athens-Clarke County, GA MSA</t>
  </si>
  <si>
    <t>Clay County, GA</t>
  </si>
  <si>
    <t>Clinch County, GA</t>
  </si>
  <si>
    <t>Coffee County, GA</t>
  </si>
  <si>
    <t>Colquitt County, GA</t>
  </si>
  <si>
    <t>Cook County, GA</t>
  </si>
  <si>
    <t>Crisp County, GA</t>
  </si>
  <si>
    <t>Decatur County, GA</t>
  </si>
  <si>
    <t>DeKalb</t>
  </si>
  <si>
    <t>Brooklet</t>
  </si>
  <si>
    <t>Cadwell</t>
  </si>
  <si>
    <t>Hazlehurst</t>
  </si>
  <si>
    <t>Lake City</t>
  </si>
  <si>
    <t>Development Authority for the City of Savannah</t>
  </si>
  <si>
    <t>Braswell</t>
  </si>
  <si>
    <t>Public water</t>
  </si>
  <si>
    <t>Date of Utility Allowances</t>
  </si>
  <si>
    <t>Political Jurisdiction</t>
  </si>
  <si>
    <t>Name of Chief Elected Official</t>
  </si>
  <si>
    <t>Acquisition</t>
  </si>
  <si>
    <t>Participant</t>
  </si>
  <si>
    <t>Deferred Developer Fees</t>
  </si>
  <si>
    <t>Tenant</t>
  </si>
  <si>
    <t>Urban Redevelopment Agency of the City of Canton</t>
  </si>
  <si>
    <t>Sumner</t>
  </si>
  <si>
    <t>Urban Redevelopment Agency of the City of Dallas</t>
  </si>
  <si>
    <t>Urban Redevelopment Agency of the City of Duluth</t>
  </si>
  <si>
    <t>Housing Authority of the City of Harlem, Georgia</t>
  </si>
  <si>
    <t>Irwin County, GA</t>
  </si>
  <si>
    <t>Jackson County, GA</t>
  </si>
  <si>
    <t>Jeff Davis County, GA</t>
  </si>
  <si>
    <t>NONPROFIT SPONSOR</t>
  </si>
  <si>
    <t>DEVELOPER(S)</t>
  </si>
  <si>
    <t>Developer</t>
  </si>
  <si>
    <t>Evans Co.</t>
  </si>
  <si>
    <t>Fannin</t>
  </si>
  <si>
    <t>Fannin Co.</t>
  </si>
  <si>
    <t>Fayette</t>
  </si>
  <si>
    <t>Floyd</t>
  </si>
  <si>
    <t>Forsyth</t>
  </si>
  <si>
    <t>Franklin</t>
  </si>
  <si>
    <t>Franklin Co.</t>
  </si>
  <si>
    <t>Gilmer</t>
  </si>
  <si>
    <t>Gilmer Co.</t>
  </si>
  <si>
    <t>Glascock</t>
  </si>
  <si>
    <t>Glascock Co.</t>
  </si>
  <si>
    <t>Glynn</t>
  </si>
  <si>
    <t>Gordon</t>
  </si>
  <si>
    <t>Gordon Co.</t>
  </si>
  <si>
    <t>Grady</t>
  </si>
  <si>
    <t>Grady Co.</t>
  </si>
  <si>
    <t>Greene</t>
  </si>
  <si>
    <t>Greene Co.</t>
  </si>
  <si>
    <t>Downtown Development Authority of Moultrie</t>
  </si>
  <si>
    <t>Flowery Branch</t>
  </si>
  <si>
    <t>Development Authority of Forsyth County</t>
  </si>
  <si>
    <t>Chickamauga</t>
  </si>
  <si>
    <t>Downtown Development Authority of Millen, Georgia</t>
  </si>
  <si>
    <t>Operating Deficit Reserve:</t>
  </si>
  <si>
    <t>Downtown Development Authority of the City of Newnan, Georgia</t>
  </si>
  <si>
    <t>Glennville</t>
  </si>
  <si>
    <t>Owner agrees that they must refrain from undertaking any activities that could have an adverse effect on the subject property?</t>
  </si>
  <si>
    <t>Name of Entity with site control:</t>
  </si>
  <si>
    <t>I understand and agree that neither DCA nor any of its individual directors, employees, members, officers, or agents assume any responsibility or make any representations or warranties with respect to: (i) the amount or availability of credit for the project; or (ii) the financial feasibility of the project.</t>
  </si>
  <si>
    <t>Consolidated Housing Authority of Talbot County, Georgia</t>
  </si>
  <si>
    <t>Bowdon</t>
  </si>
  <si>
    <t>Menlo</t>
  </si>
  <si>
    <t>Housing Authority of the City of Hartwell</t>
  </si>
  <si>
    <t>Housing Authority of the City of Hinesville, Ga</t>
  </si>
  <si>
    <t>De Soto</t>
  </si>
  <si>
    <t>Dunwoody</t>
  </si>
  <si>
    <t>Johns Creek</t>
  </si>
  <si>
    <t>Milton</t>
  </si>
  <si>
    <t>Long County, GA HUD Metro FMR Area</t>
  </si>
  <si>
    <t>Lumpkin County, GA</t>
  </si>
  <si>
    <t>Macon County, GA</t>
  </si>
  <si>
    <t>Meriwether County, GA HUD Metro FMR Area</t>
  </si>
  <si>
    <t>Miller County, GA</t>
  </si>
  <si>
    <t>Mitchell County, GA</t>
  </si>
  <si>
    <t>Monroe County, GA HUD Metro FMR Area</t>
  </si>
  <si>
    <t>Montgomery County, GA</t>
  </si>
  <si>
    <t>State legal opinions included in application using boxes provided.</t>
  </si>
  <si>
    <t>[Date]</t>
  </si>
  <si>
    <t>Housing Authority of the City of Oakwood, Georgia</t>
  </si>
  <si>
    <t>Mount Zion</t>
  </si>
  <si>
    <t>Housing Authority of the City of Ocilla, Ga</t>
  </si>
  <si>
    <t>Mountain City</t>
  </si>
  <si>
    <t>Re:  Application for Low-Income Housing Tax Credit and/or HOME Funding</t>
  </si>
  <si>
    <t>City of Stockbridge, Georgia Downtown Development Authority</t>
  </si>
  <si>
    <t>Bluffton</t>
  </si>
  <si>
    <t>City of Sugar Hill Downtown Development Authority</t>
  </si>
  <si>
    <t>Blythe</t>
  </si>
  <si>
    <t>City of Sylvania Downtown Development Authority</t>
  </si>
  <si>
    <t>Bogart</t>
  </si>
  <si>
    <t>City of Washington Downtown Development Authority</t>
  </si>
  <si>
    <t>Housing Authority of the City of Lawrenceville, GA</t>
  </si>
  <si>
    <t>Downtown Development Authority for the City of Warner Robins</t>
  </si>
  <si>
    <t>Duluth</t>
  </si>
  <si>
    <r>
      <t>Type of Construction</t>
    </r>
    <r>
      <rPr>
        <sz val="10"/>
        <rFont val="Arial Narrow"/>
        <family val="2"/>
      </rPr>
      <t>:</t>
    </r>
  </si>
  <si>
    <t>Southface Energy Institute's Earth Craft House construction and certification</t>
  </si>
  <si>
    <t>US Green Building Council's LEED For Homes construction and certification</t>
  </si>
  <si>
    <t>SUMMARY OF DCA UNDERWRITING ASSUMPTIONS</t>
  </si>
  <si>
    <t>CONSTRUCTION PERIOD FINANCING</t>
  </si>
  <si>
    <t>Construction Period Real Estate Tax</t>
  </si>
  <si>
    <t>PERMANENT FINANCING FEES</t>
  </si>
  <si>
    <t>DCA-RELATED COSTS</t>
  </si>
  <si>
    <t xml:space="preserve">Financial and Other Adjustments </t>
  </si>
  <si>
    <t>Northwest Georgia Housing Authority</t>
  </si>
  <si>
    <t>Riverside</t>
  </si>
  <si>
    <t>Northwest Georgia Joint Development Authority</t>
  </si>
  <si>
    <t>Camden Co.</t>
  </si>
  <si>
    <t>Candler</t>
  </si>
  <si>
    <t>Candler Co.</t>
  </si>
  <si>
    <t>Carroll</t>
  </si>
  <si>
    <t>Taylor County Development Authority</t>
  </si>
  <si>
    <t>Shiloh</t>
  </si>
  <si>
    <t>State Senate</t>
  </si>
  <si>
    <t>State House</t>
  </si>
  <si>
    <t>If on boundary, other district:</t>
  </si>
  <si>
    <t>Projected Place-In-Service Date</t>
  </si>
  <si>
    <t>II.</t>
  </si>
  <si>
    <t>Other:</t>
  </si>
  <si>
    <t>III.</t>
  </si>
  <si>
    <t>Joint Development Authority of Jeff Davis County, Hazlehurst and Denton, Georgia</t>
  </si>
  <si>
    <t>Portal</t>
  </si>
  <si>
    <t>Joint Development Authority of Metropolitan Atlanta</t>
  </si>
  <si>
    <t>Cuthbert</t>
  </si>
  <si>
    <t>Development Authority of Talbot County</t>
  </si>
  <si>
    <t>Dacula</t>
  </si>
  <si>
    <t>C.</t>
  </si>
  <si>
    <t>Federal Limited Partner</t>
  </si>
  <si>
    <t>State Limited Partner</t>
  </si>
  <si>
    <t>Does the Applicant anticipate displacing or relocating any tenants?</t>
  </si>
  <si>
    <t>LIHTC Compliance Monitoring Fee</t>
  </si>
  <si>
    <t>Mount Airy</t>
  </si>
  <si>
    <t>Mount Vernon</t>
  </si>
  <si>
    <t>1 BR 60% Units</t>
  </si>
  <si>
    <t>2 BR 60% Units</t>
  </si>
  <si>
    <t>3 BR 60% Units</t>
  </si>
  <si>
    <t>4 BR 60% Units</t>
  </si>
  <si>
    <t>Hard Costs</t>
  </si>
  <si>
    <t>If yes, expiration year:</t>
  </si>
  <si>
    <t>Fed Tax ID:</t>
  </si>
  <si>
    <t>DCA HOME Cash Resrv.</t>
  </si>
  <si>
    <t>Atlanta-Sandy Springs-Marietta</t>
  </si>
  <si>
    <t>Augusta-Richmond Co.</t>
  </si>
  <si>
    <t>Haralson Co.</t>
  </si>
  <si>
    <t>Lamar Co.</t>
  </si>
  <si>
    <t>Hinesville-Fort Stewart</t>
  </si>
  <si>
    <t>Meriwether Co.</t>
  </si>
  <si>
    <t>Oper Exp Coverage Ratio</t>
  </si>
  <si>
    <t>Southwest Georgia Joint Development Authority</t>
  </si>
  <si>
    <t>VII.</t>
  </si>
  <si>
    <t>Guidebook Met?</t>
  </si>
  <si>
    <t>Northeast Georgia Housing Authority</t>
  </si>
  <si>
    <t>Riverdale</t>
  </si>
  <si>
    <t>Calhoun Downtown Development Authority</t>
  </si>
  <si>
    <t>Attapulgus</t>
  </si>
  <si>
    <t>Camden County Joint Development Authority</t>
  </si>
  <si>
    <t>Downtown Development Authority of Snellville, Georgia</t>
  </si>
  <si>
    <t>Downtown Development Authority of Social Circle</t>
  </si>
  <si>
    <t>DCR Other Source</t>
  </si>
  <si>
    <t>Other Source Balance</t>
  </si>
  <si>
    <t>Downtown Development Authority of the City of Canton, Georgia</t>
  </si>
  <si>
    <t>Downtown Development Authority of the City of Dallas, Georgia</t>
  </si>
  <si>
    <t>Franklin Springs</t>
  </si>
  <si>
    <t>Downtown Development Authority of the City of Darien</t>
  </si>
  <si>
    <t>Coweta County Development Authority</t>
  </si>
  <si>
    <t>Development Authority of Tift County</t>
  </si>
  <si>
    <t>Deepstep</t>
  </si>
  <si>
    <t>Development Authority of Union County</t>
  </si>
  <si>
    <t>Demorest</t>
  </si>
  <si>
    <t>Development Authority of Vidalia</t>
  </si>
  <si>
    <t>Denton</t>
  </si>
  <si>
    <t>Nbr of Units Equipped:</t>
  </si>
  <si>
    <t>Number Occupied</t>
  </si>
  <si>
    <t>Utility</t>
  </si>
  <si>
    <t>Allowance</t>
  </si>
  <si>
    <t>PERMANENT FINANCING</t>
  </si>
  <si>
    <t>State, Local, or Private Grant</t>
  </si>
  <si>
    <t>Federal Housing Credit Equity</t>
  </si>
  <si>
    <t>State Housing Credit Equity</t>
  </si>
  <si>
    <t>Assumed Family Size Adjustments</t>
  </si>
  <si>
    <t>Adj</t>
  </si>
  <si>
    <t>AFS</t>
  </si>
  <si>
    <t># Bdrms</t>
  </si>
  <si>
    <t>Applicable QAP:</t>
  </si>
  <si>
    <t>Efficiency PBRA SF</t>
  </si>
  <si>
    <t>1 BR PBRA SF</t>
  </si>
  <si>
    <t>2 BR PBRA SF</t>
  </si>
  <si>
    <t>3 BR PBRA SF</t>
  </si>
  <si>
    <t>4 BR PBRA SF</t>
  </si>
  <si>
    <t>ANNUAL TOTAL</t>
  </si>
  <si>
    <t>Sandy Springs</t>
  </si>
  <si>
    <t>St. Marys</t>
  </si>
  <si>
    <t>Sunny Side</t>
  </si>
  <si>
    <t>Tunnell Hill</t>
  </si>
  <si>
    <t>Housing Authority of the City of Cedartown, Ga.</t>
  </si>
  <si>
    <t>Housing Authority of the City of Clarkesville, Ga.</t>
  </si>
  <si>
    <t>Lithonia</t>
  </si>
  <si>
    <t>Housing Authority of the City of Clarkston</t>
  </si>
  <si>
    <t>Housing Authority of the City of Clayton, Georgia</t>
  </si>
  <si>
    <t>Locust Grove</t>
  </si>
  <si>
    <t>Bibb City</t>
  </si>
  <si>
    <t>Corinth</t>
  </si>
  <si>
    <t>Linwood</t>
  </si>
  <si>
    <t>Lithia Springs</t>
  </si>
  <si>
    <t>Mineral Bluff</t>
  </si>
  <si>
    <t>Naylor</t>
  </si>
  <si>
    <t>Omaha</t>
  </si>
  <si>
    <t>Russell</t>
  </si>
  <si>
    <t>The Rock</t>
  </si>
  <si>
    <t>Wrightsville</t>
  </si>
  <si>
    <t>Yatesville</t>
  </si>
  <si>
    <t>Young Harris</t>
  </si>
  <si>
    <t>Zebulon</t>
  </si>
  <si>
    <t>AL</t>
  </si>
  <si>
    <t>AK</t>
  </si>
  <si>
    <t>AZ</t>
  </si>
  <si>
    <t>AR</t>
  </si>
  <si>
    <t>CA</t>
  </si>
  <si>
    <t>CO</t>
  </si>
  <si>
    <t>CT</t>
  </si>
  <si>
    <t>DE</t>
  </si>
  <si>
    <t>DC</t>
  </si>
  <si>
    <t>FL</t>
  </si>
  <si>
    <t>GA</t>
  </si>
  <si>
    <t>HI</t>
  </si>
  <si>
    <t>ID</t>
  </si>
  <si>
    <t>IL</t>
  </si>
  <si>
    <t>IN</t>
  </si>
  <si>
    <t>IA</t>
  </si>
  <si>
    <t>KS</t>
  </si>
  <si>
    <t>KY</t>
  </si>
  <si>
    <t>LA</t>
  </si>
  <si>
    <t>ME</t>
  </si>
  <si>
    <t>MD</t>
  </si>
  <si>
    <t>MA</t>
  </si>
  <si>
    <t>MI</t>
  </si>
  <si>
    <t>MN</t>
  </si>
  <si>
    <t>MS</t>
  </si>
  <si>
    <t>Downtown Marietta Development Authority</t>
  </si>
  <si>
    <t>Harrison</t>
  </si>
  <si>
    <t>Downtown Savannah Authority</t>
  </si>
  <si>
    <t>Hartwell</t>
  </si>
  <si>
    <t>Downtown Statesboro Development Authority</t>
  </si>
  <si>
    <t>Redecorating</t>
  </si>
  <si>
    <t>Taylor Co.</t>
  </si>
  <si>
    <t>Telfair</t>
  </si>
  <si>
    <t>Telfair Co.</t>
  </si>
  <si>
    <t>Douglas</t>
  </si>
  <si>
    <t>Early</t>
  </si>
  <si>
    <t>Early Co.</t>
  </si>
  <si>
    <t>Echols</t>
  </si>
  <si>
    <t>Effingham</t>
  </si>
  <si>
    <t>Elbert</t>
  </si>
  <si>
    <t>Elbert Co.</t>
  </si>
  <si>
    <t>Efficiency PHA Oper Sub 50% Units</t>
  </si>
  <si>
    <t>1 BR PHA Oper Sub 50% Units</t>
  </si>
  <si>
    <t>2 BR PHA Oper Sub 50% Units</t>
  </si>
  <si>
    <t>3 BR PHA Oper Sub 50% Units</t>
  </si>
  <si>
    <t>4 BR PHA Oper Sub 50% Units</t>
  </si>
  <si>
    <t>Efficiency PHA Oper Sub 60% Units</t>
  </si>
  <si>
    <t>1 BR PHA Oper Sub 60% Units</t>
  </si>
  <si>
    <t>2 BR PHA Oper Sub 60% Units</t>
  </si>
  <si>
    <t>3 BR PHA Oper Sub 60% Units</t>
  </si>
  <si>
    <t>4 BR PHA Oper Sub 60% Units</t>
  </si>
  <si>
    <t>PHA Operating Subsidy-Assisted</t>
  </si>
  <si>
    <t>Development Authority of Lumpkin County</t>
  </si>
  <si>
    <t>Development Authority of Macon County</t>
  </si>
  <si>
    <t>Comer</t>
  </si>
  <si>
    <t>Development Authority of McDuffie County</t>
  </si>
  <si>
    <t>Commerce</t>
  </si>
  <si>
    <t>Development Authority of McDuffie County and the City of Thomson</t>
  </si>
  <si>
    <t>Concord</t>
  </si>
  <si>
    <t>Downtown Development Authority of the City of Greensboro</t>
  </si>
  <si>
    <t>Garfield</t>
  </si>
  <si>
    <t>DEVELOPMENT BUDGET</t>
  </si>
  <si>
    <t>Downtown Development Authority of the City of LaFayette</t>
  </si>
  <si>
    <t>Geneva</t>
  </si>
  <si>
    <t>Downtown Development Authority of the City of LaGrange</t>
  </si>
  <si>
    <t>Georgetown</t>
  </si>
  <si>
    <t>Downtown Development Authority of the City of Locust Grove</t>
  </si>
  <si>
    <t>Gibson</t>
  </si>
  <si>
    <t>Downtown Development Authority of the City of Monroe</t>
  </si>
  <si>
    <t>Gillsville</t>
  </si>
  <si>
    <t>Downtown Development Authority of the City of Morrow, Georgia</t>
  </si>
  <si>
    <t>Girard</t>
  </si>
  <si>
    <t>1 BR 30% SF</t>
  </si>
  <si>
    <t>2 BR 30% SF</t>
  </si>
  <si>
    <t>3 BR 30% SF</t>
  </si>
  <si>
    <t>4 BR 30% SF</t>
  </si>
  <si>
    <t>1 BR Mkt SF</t>
  </si>
  <si>
    <t>2 BR Mkt SF</t>
  </si>
  <si>
    <t>3 BR Mkt SF</t>
  </si>
  <si>
    <t>4 BR Mkt SF</t>
  </si>
  <si>
    <t>Efficiency 60% Units</t>
  </si>
  <si>
    <t>Efficiency 50% Units</t>
  </si>
  <si>
    <t>Efficiency 30% Units</t>
  </si>
  <si>
    <t>APPLICANT/OWNER</t>
  </si>
  <si>
    <t>Printed Name</t>
  </si>
  <si>
    <t>Signature</t>
  </si>
  <si>
    <t>Date</t>
  </si>
  <si>
    <t>[SEAL]</t>
  </si>
  <si>
    <t>(Select an energy standard from options provided here)</t>
  </si>
  <si>
    <t>Total OI in Mgt Fee</t>
  </si>
  <si>
    <t>Annual Debt Service at Effective Rate</t>
  </si>
  <si>
    <t>2 BR PBRA 60% Units</t>
  </si>
  <si>
    <t>3 BR PBRA 60% Units</t>
  </si>
  <si>
    <t>4 BR PBRA 60% Units</t>
  </si>
  <si>
    <t>PBRA-Assisted</t>
  </si>
  <si>
    <t>Applicant Response</t>
  </si>
  <si>
    <t>Thomasville Downtown Development Authority</t>
  </si>
  <si>
    <t>Stillmore</t>
  </si>
  <si>
    <t>Tift County Development Authority</t>
  </si>
  <si>
    <t>Stockbridge</t>
  </si>
  <si>
    <t>Tift-Turner-Worth-Cook Joint Development Authority</t>
  </si>
  <si>
    <t>Roberta</t>
  </si>
  <si>
    <t>Gainesville and Hall County Development Authority</t>
  </si>
  <si>
    <t>Homerville</t>
  </si>
  <si>
    <t>Southeast Georgia Regional Development Authority</t>
  </si>
  <si>
    <t>Adairsville</t>
  </si>
  <si>
    <t>Applicant agrees and understands that it may be charged for all fees and costs incurred by DCA in the inspection of funded properties during and after construction and in the enforcement of DCA regulations and policies.</t>
  </si>
  <si>
    <t xml:space="preserve">ARI rated furnace (90% AFUE) or heat pump (HSPF 8.0 for both HP 2 ton and HP 1.5 ton units) </t>
  </si>
  <si>
    <t>LIHTC Allocation Fee</t>
  </si>
  <si>
    <t>Percent of Credit Request</t>
  </si>
  <si>
    <t>4% LIHTC IRS Form 8609 Fee</t>
  </si>
  <si>
    <t>Compliance Monitoring Fee</t>
  </si>
  <si>
    <t>Dodge Co.</t>
  </si>
  <si>
    <t>Dooly</t>
  </si>
  <si>
    <t>Dooly Co.</t>
  </si>
  <si>
    <t>Dougherty</t>
  </si>
  <si>
    <t>NOTE:  If this section is completed, then Applicant must also complete the "Additional HUD Requirements" section in the Threshold Criteria tab.</t>
  </si>
  <si>
    <t>Efficiency Common Space SF</t>
  </si>
  <si>
    <t>1 BR Common Space SF</t>
  </si>
  <si>
    <t>2 BR Common Space SF</t>
  </si>
  <si>
    <t>3 BR Common Space SF</t>
  </si>
  <si>
    <t>Downtown Development Authority of the City of Perry</t>
  </si>
  <si>
    <t>Good Hope</t>
  </si>
  <si>
    <t>Was the community originally designed as one development with different phases?</t>
  </si>
  <si>
    <t>Are any other phases for this project also submitted during the current funding round?</t>
  </si>
  <si>
    <t>Was site control over the entire site (including all phases) in place when the initial phase was closed?</t>
  </si>
  <si>
    <t>Housing Authority of the City of Augusta, Georgia</t>
  </si>
  <si>
    <t>Lawrenceville</t>
  </si>
  <si>
    <t>Housing Authority of the City of Bainbridge</t>
  </si>
  <si>
    <t>Leary</t>
  </si>
  <si>
    <t>N/A</t>
  </si>
  <si>
    <t>Rehabilitation</t>
  </si>
  <si>
    <t>Acq portion</t>
  </si>
  <si>
    <t>Rhb portion</t>
  </si>
  <si>
    <t>% of Existing Structures acquisition cost (including Acquisition Legal Fees)</t>
  </si>
  <si>
    <t>% of (TDC - budgeted DF - Demo - uw Land)</t>
  </si>
  <si>
    <t>% of (TDC - budgeted DF - uw Land - Acq Lgl Fees - Existing Structures)</t>
  </si>
  <si>
    <t>% DF to bldg acq</t>
  </si>
  <si>
    <t>% of (TDC - budgeted DF - uw Land)</t>
  </si>
  <si>
    <t>Project Narrative</t>
  </si>
  <si>
    <t>Downtown Development Authority of the City of Royston</t>
  </si>
  <si>
    <t>Gray</t>
  </si>
  <si>
    <t>Downtown Development Authority of the City of Senoia</t>
  </si>
  <si>
    <t>Grayson</t>
  </si>
  <si>
    <t>Downtown Development Authority of the City of Smithville</t>
  </si>
  <si>
    <t>Greensboro</t>
  </si>
  <si>
    <t>Downtown Development Authority of the City of Tallapoosa</t>
  </si>
  <si>
    <t>Greenville</t>
  </si>
  <si>
    <t>Screven County Development Authority</t>
  </si>
  <si>
    <t>Smyrna Housing Authority</t>
  </si>
  <si>
    <t>Sasser</t>
  </si>
  <si>
    <t>Social Circle Development Authority</t>
  </si>
  <si>
    <t>Downtown Development Authority of Maysville</t>
  </si>
  <si>
    <t>Flemington</t>
  </si>
  <si>
    <t>Housing Authority of the City of McDonough</t>
  </si>
  <si>
    <t>Montrose</t>
  </si>
  <si>
    <t>Housing Authority of the City of Menlo, Georgia</t>
  </si>
  <si>
    <t>Housing Authority of the City of Metter</t>
  </si>
  <si>
    <t>Downtown Development Authority of the City of Rome</t>
  </si>
  <si>
    <t>Downtown Development Authority of the City of Rossville</t>
  </si>
  <si>
    <t>Graham</t>
  </si>
  <si>
    <t>Downtown Development Authority of the City of Roswell</t>
  </si>
  <si>
    <t>Grantville</t>
  </si>
  <si>
    <t>Extermination</t>
  </si>
  <si>
    <t>Maintenance Supplies</t>
  </si>
  <si>
    <t>Elevator Maintenance</t>
  </si>
  <si>
    <t>Central Savannah River Area Unified Development Authority</t>
  </si>
  <si>
    <t>Barnesville</t>
  </si>
  <si>
    <t>Downtown Development Authority of the Mayor and City Council of Americus</t>
  </si>
  <si>
    <t>Hamilton</t>
  </si>
  <si>
    <t>Downtown Development Authority of Toccoa</t>
  </si>
  <si>
    <t>Hampton</t>
  </si>
  <si>
    <t>Downtown Development Authority of Woodbury</t>
  </si>
  <si>
    <t>Hapeville</t>
  </si>
  <si>
    <t>(Select an amenity from options provided here)</t>
  </si>
  <si>
    <t>Unit Amenities</t>
  </si>
  <si>
    <t>Ancillary Income</t>
  </si>
  <si>
    <t>Operating Subsidy</t>
  </si>
  <si>
    <t>TOTAL</t>
  </si>
  <si>
    <t>ANNUAL OPERATING EXPENSE BUDGET</t>
  </si>
  <si>
    <t>Total Utility Allowance by Unit Size</t>
  </si>
  <si>
    <t>Office Street Address</t>
  </si>
  <si>
    <t>Cartersville</t>
  </si>
  <si>
    <t>Development Authority of Dawson County</t>
  </si>
  <si>
    <t>Development Authority of DeKalb County</t>
  </si>
  <si>
    <t>Cave Spring</t>
  </si>
  <si>
    <t>MIP</t>
  </si>
  <si>
    <t>Joint Development Authority of Northeast Georgia</t>
  </si>
  <si>
    <t>Poulan</t>
  </si>
  <si>
    <t>Joint Development Authority of Winder-Barrow County</t>
  </si>
  <si>
    <t>Nelson</t>
  </si>
  <si>
    <t>IV.  DCA Comments</t>
  </si>
  <si>
    <t>Emanuel County Development Authority</t>
  </si>
  <si>
    <t>Hiawassee</t>
  </si>
  <si>
    <t>Name of CHDO:</t>
  </si>
  <si>
    <t>AMI</t>
  </si>
  <si>
    <t>Athens-Clarke County</t>
  </si>
  <si>
    <t>Butts Co.</t>
  </si>
  <si>
    <t>Hinesville - Fort Stewart</t>
  </si>
  <si>
    <t>Ben Hill Co.</t>
  </si>
  <si>
    <t>% of AMI</t>
  </si>
  <si>
    <t>Oglethorpe Development Authority</t>
  </si>
  <si>
    <t>Okefenokee Area Development Authority</t>
  </si>
  <si>
    <t>Rockmart</t>
  </si>
  <si>
    <t>Palmetto Housing Authority</t>
  </si>
  <si>
    <t>Fort Stewart</t>
  </si>
  <si>
    <t>Gresham Park</t>
  </si>
  <si>
    <t>Gumlog</t>
  </si>
  <si>
    <t>Hannahs Mill</t>
  </si>
  <si>
    <t>Hilltop</t>
  </si>
  <si>
    <t>Indian Springs</t>
  </si>
  <si>
    <t>Irondale</t>
  </si>
  <si>
    <t>Isle of Hope</t>
  </si>
  <si>
    <t>Kings Bay Base</t>
  </si>
  <si>
    <t>Lakeview</t>
  </si>
  <si>
    <t>Lakeview Estates</t>
  </si>
  <si>
    <t>Lincoln Park</t>
  </si>
  <si>
    <t>Mableton</t>
  </si>
  <si>
    <t>Midway-Hardwick</t>
  </si>
  <si>
    <t>Moody AFB</t>
  </si>
  <si>
    <t>North Atlanta</t>
  </si>
  <si>
    <t>North Decatur</t>
  </si>
  <si>
    <t>North Druid Hills</t>
  </si>
  <si>
    <t>Panthersville</t>
  </si>
  <si>
    <t>Phillipsburg</t>
  </si>
  <si>
    <t>Putney</t>
  </si>
  <si>
    <t>Raoul</t>
  </si>
  <si>
    <t>Redan</t>
  </si>
  <si>
    <t>Reed Creek</t>
  </si>
  <si>
    <t>Robins AFB</t>
  </si>
  <si>
    <t>St. Simons</t>
  </si>
  <si>
    <t>Salem</t>
  </si>
  <si>
    <t>Scottdale</t>
  </si>
  <si>
    <t>Shannon</t>
  </si>
  <si>
    <t>Skidaway Island</t>
  </si>
  <si>
    <t>Sunnyside</t>
  </si>
  <si>
    <t>Sunset Village</t>
  </si>
  <si>
    <t>Tucker</t>
  </si>
  <si>
    <t>Unionville</t>
  </si>
  <si>
    <t>Vinings</t>
  </si>
  <si>
    <t>Whitemarsh Island</t>
  </si>
  <si>
    <t>Wilmington Island</t>
  </si>
  <si>
    <t>&lt;&lt;Select attractive features&gt;&gt;</t>
  </si>
  <si>
    <t>&lt;&lt;Select materials&gt;&gt;</t>
  </si>
  <si>
    <t>&lt;&lt;Select landscaping or site design feature&gt;&gt;</t>
  </si>
  <si>
    <t>Housing Authority of the City of Fort Valley</t>
  </si>
  <si>
    <t>Maxeys</t>
  </si>
  <si>
    <t>Housing Authority of the City of Gainesville</t>
  </si>
  <si>
    <t>Maysville</t>
  </si>
  <si>
    <t>Housing Authority of the City of Glennville</t>
  </si>
  <si>
    <t>McCaysville</t>
  </si>
  <si>
    <t>Peach</t>
  </si>
  <si>
    <t>Peach Co.</t>
  </si>
  <si>
    <t>Pickens</t>
  </si>
  <si>
    <t>Pierce</t>
  </si>
  <si>
    <t>Pierce Co.</t>
  </si>
  <si>
    <t>Pike</t>
  </si>
  <si>
    <t>Polk</t>
  </si>
  <si>
    <t>Polk Co.</t>
  </si>
  <si>
    <t>Pulaski</t>
  </si>
  <si>
    <t>Pulaski Co.</t>
  </si>
  <si>
    <t>Putnam</t>
  </si>
  <si>
    <t>Putnam Co.</t>
  </si>
  <si>
    <t>Quitman</t>
  </si>
  <si>
    <t>Quitman Co.</t>
  </si>
  <si>
    <t>Rabun</t>
  </si>
  <si>
    <t>Rabun Co.</t>
  </si>
  <si>
    <t>Randolph</t>
  </si>
  <si>
    <t>Randolph Co.</t>
  </si>
  <si>
    <t>Richmond</t>
  </si>
  <si>
    <t>Rockdale</t>
  </si>
  <si>
    <t>Schley</t>
  </si>
  <si>
    <t>Jakin</t>
  </si>
  <si>
    <t>Hawkinsville Downtown Development Authority</t>
  </si>
  <si>
    <t>Hawkinsville Housing Authority</t>
  </si>
  <si>
    <t>Property Mgmt</t>
  </si>
  <si>
    <t>Talbotton</t>
  </si>
  <si>
    <t>Villa Rica Downtown Development Authority</t>
  </si>
  <si>
    <t>Talking Rock</t>
  </si>
  <si>
    <t>Site Demolition</t>
  </si>
  <si>
    <t>LAND IMPROVEMENTS</t>
  </si>
  <si>
    <t>Site Construction (On-site)</t>
  </si>
  <si>
    <t>Site Construction (Off-site)</t>
  </si>
  <si>
    <t>STRUCTURES</t>
  </si>
  <si>
    <t>Residential Structures - New Construction</t>
  </si>
  <si>
    <t>Residential Structures - Rehab</t>
  </si>
  <si>
    <t>CONSTRUCTION CONTINGENCY</t>
  </si>
  <si>
    <t>Green Building Consultant Fee</t>
  </si>
  <si>
    <t>Green Building Program Certification Fee (LEED or Earthcraft)</t>
  </si>
  <si>
    <t>Accessibility Inspections and Plan Review</t>
  </si>
  <si>
    <t>Construction Materials Testing</t>
  </si>
  <si>
    <t>Exterior Wall Finishes (select one)</t>
  </si>
  <si>
    <t>Major Bldg Component Materials &amp; Upgrades  (select one)</t>
  </si>
  <si>
    <t>Addition of decorative elements</t>
  </si>
  <si>
    <t>Name of Project</t>
  </si>
  <si>
    <t>Kingsland Downtown Development Authority</t>
  </si>
  <si>
    <t>Units:</t>
  </si>
  <si>
    <t>Low-Income</t>
  </si>
  <si>
    <t>Total Residential</t>
  </si>
  <si>
    <t>Downtown Development Authority of Adel, Georgia</t>
  </si>
  <si>
    <t>East Dublin</t>
  </si>
  <si>
    <t>Downtown Development Authority of Albany, Georgia</t>
  </si>
  <si>
    <t>East Ellijay</t>
  </si>
  <si>
    <t>Downtown Development Authority of Augusta-Richmond County</t>
  </si>
  <si>
    <t>East Point</t>
  </si>
  <si>
    <t>Habersham County Development Authority</t>
  </si>
  <si>
    <t>Jacksonville</t>
  </si>
  <si>
    <t>Hapeville Development Authority</t>
  </si>
  <si>
    <t>4 BR Mkt Units</t>
  </si>
  <si>
    <t>60% AMI</t>
  </si>
  <si>
    <t>MSA?</t>
  </si>
  <si>
    <t>1 BR 60% SF</t>
  </si>
  <si>
    <t>2 BR 60% SF</t>
  </si>
  <si>
    <t>Payment and Performance bonds</t>
  </si>
  <si>
    <t>The Downtown Development Authority of Bainbridge, Georgia</t>
  </si>
  <si>
    <t>Sparta</t>
  </si>
  <si>
    <t>Development Authority of St. Marys</t>
  </si>
  <si>
    <t>FMR MSA</t>
  </si>
  <si>
    <t>Appling County, GA</t>
  </si>
  <si>
    <t>Atkinson County, GA</t>
  </si>
  <si>
    <t>Bacon County, GA</t>
  </si>
  <si>
    <t>Albany, GA MSA</t>
  </si>
  <si>
    <t>Baldwin County, GA</t>
  </si>
  <si>
    <t>Asset Mgmt</t>
  </si>
  <si>
    <t>Cash Flow</t>
  </si>
  <si>
    <t>Tift County, GA</t>
  </si>
  <si>
    <t>Toombs County, GA</t>
  </si>
  <si>
    <t>Towns County, GA</t>
  </si>
  <si>
    <t>Treutlen County, GA</t>
  </si>
  <si>
    <t>Troup County, GA</t>
  </si>
  <si>
    <t>Turner County, GA</t>
  </si>
  <si>
    <t>Union County, GA</t>
  </si>
  <si>
    <t>Upson County, GA</t>
  </si>
  <si>
    <t>Ware County, GA</t>
  </si>
  <si>
    <t>Warren County, GA</t>
  </si>
  <si>
    <t>Washington County, GA</t>
  </si>
  <si>
    <t>Wayne County, GA</t>
  </si>
  <si>
    <t>Webster County, GA</t>
  </si>
  <si>
    <t>Patterson</t>
  </si>
  <si>
    <t>Ocmulgee Regional Joint Development Authority</t>
  </si>
  <si>
    <t>Rochelle</t>
  </si>
  <si>
    <t>Pooler</t>
  </si>
  <si>
    <t>Joint Development Authority of Jasper, Morgan, Newton, and Walton Counties</t>
  </si>
  <si>
    <t>Port Wentworth</t>
  </si>
  <si>
    <t>Putting Green</t>
  </si>
  <si>
    <t>Movie Theater</t>
  </si>
  <si>
    <t>TAX EXEMPT BOND FINANCED PROJECT</t>
  </si>
  <si>
    <t>ADDITIONAL PROJECT INFORMATION</t>
  </si>
  <si>
    <t>TENANCY CHARACTERISTICS</t>
  </si>
  <si>
    <t>Is there a Pre-Approval Form from DCA included in this application for this criterion?</t>
  </si>
  <si>
    <t>Equipped walking path w/exercise stations or sitting areas</t>
  </si>
  <si>
    <t>Annual Operating Expenses</t>
  </si>
  <si>
    <t>Urban</t>
  </si>
  <si>
    <t>Replacement Reserve Pymt</t>
  </si>
  <si>
    <t>New</t>
  </si>
  <si>
    <t>Development Costs</t>
  </si>
  <si>
    <t>Per Project - For Profit or Joint Venture</t>
  </si>
  <si>
    <t>Per Project - Nonprofit</t>
  </si>
  <si>
    <t>Reserves</t>
  </si>
  <si>
    <t>NOI</t>
  </si>
  <si>
    <t>Front Loading washers in Community Laundry</t>
  </si>
  <si>
    <t>Atlanta</t>
  </si>
  <si>
    <t>Fulton</t>
  </si>
  <si>
    <t>County Name</t>
  </si>
  <si>
    <t>Utility Region</t>
  </si>
  <si>
    <t>(Non)Metropolitan SA</t>
  </si>
  <si>
    <t>Appling</t>
  </si>
  <si>
    <t>South</t>
  </si>
  <si>
    <t>Appling Co.</t>
  </si>
  <si>
    <t>3 BR 60% SF</t>
  </si>
  <si>
    <t>4 BR 60% SF</t>
  </si>
  <si>
    <t>1 BR 50% SF</t>
  </si>
  <si>
    <t>2 BR 50% SF</t>
  </si>
  <si>
    <t>3 BR 50% SF</t>
  </si>
  <si>
    <t>4 BR 50% SF</t>
  </si>
  <si>
    <t>Funston</t>
  </si>
  <si>
    <t>Downtown Development Authority of the City of Decatur</t>
  </si>
  <si>
    <t>Gainesville</t>
  </si>
  <si>
    <t>Downtown Development Authority of the City of Douglasville</t>
  </si>
  <si>
    <t>Garden City</t>
  </si>
  <si>
    <t>4.</t>
  </si>
  <si>
    <t>5.</t>
  </si>
  <si>
    <t>TOTALS:</t>
  </si>
  <si>
    <t>Development Authority of Jones County</t>
  </si>
  <si>
    <t>Cohutta</t>
  </si>
  <si>
    <t>Development Authority of LaFayette</t>
  </si>
  <si>
    <t>Colbert</t>
  </si>
  <si>
    <t>Development Authority of LaGrange</t>
  </si>
  <si>
    <t>Coleman</t>
  </si>
  <si>
    <t>Development Authority of Lanier County</t>
  </si>
  <si>
    <t>College Park</t>
  </si>
  <si>
    <t>Development Authority of Lawrenceville, GA</t>
  </si>
  <si>
    <t>Collins</t>
  </si>
  <si>
    <t>Development Authority of Lee County</t>
  </si>
  <si>
    <t>various</t>
  </si>
  <si>
    <t>Support Services Salaries &amp; Benefits</t>
  </si>
  <si>
    <t>Housing Authority of Lee County</t>
  </si>
  <si>
    <t>Kingston</t>
  </si>
  <si>
    <t>Housing Authority of Savannah</t>
  </si>
  <si>
    <t>Kite</t>
  </si>
  <si>
    <t>Replacement Reserve</t>
  </si>
  <si>
    <t>Furniture, Fixtures and Equipment</t>
  </si>
  <si>
    <t>Development Authority of Gwinnett County</t>
  </si>
  <si>
    <t>Clarkston</t>
  </si>
  <si>
    <t>Development Authority of Haralson County</t>
  </si>
  <si>
    <t>Claxton</t>
  </si>
  <si>
    <t>Development Authority of Harris County</t>
  </si>
  <si>
    <t>Development Authority of Heard County</t>
  </si>
  <si>
    <t>Clermont</t>
  </si>
  <si>
    <t>Development Authority of Houston County</t>
  </si>
  <si>
    <t>Row size may be increased.</t>
  </si>
  <si>
    <t>Elevators are installed for access to all units above the ground floor.</t>
  </si>
  <si>
    <t xml:space="preserve">Per Owner Per Round </t>
  </si>
  <si>
    <t>Butts County, GA HUD Metro FMR Area</t>
  </si>
  <si>
    <t>Calhoun County, GA</t>
  </si>
  <si>
    <t>Camden County, GA</t>
  </si>
  <si>
    <t>Is the subject property located in a:</t>
  </si>
  <si>
    <t>100 year flood plain / floodway?</t>
  </si>
  <si>
    <t>Wetlands?</t>
  </si>
  <si>
    <t>Development Authority of Early County</t>
  </si>
  <si>
    <t>Housing Authority of the City of Marietta</t>
  </si>
  <si>
    <t>Monticello</t>
  </si>
  <si>
    <t>Temple Downtown Development Authority</t>
  </si>
  <si>
    <t>Siloam</t>
  </si>
  <si>
    <t>Type of rehab (choose one):</t>
  </si>
  <si>
    <t>LOCAL GOVERNMENT FEES</t>
  </si>
  <si>
    <t>Building Permits</t>
  </si>
  <si>
    <t>Impact Fees</t>
  </si>
  <si>
    <t>Water Tap Fees</t>
  </si>
  <si>
    <t>Sewer Tap Fees</t>
  </si>
  <si>
    <t>Permanent Loan Fees</t>
  </si>
  <si>
    <t>Permanent Loan Legal Fees</t>
  </si>
  <si>
    <t>Title and Recording Fees</t>
  </si>
  <si>
    <t>As-Built Survey</t>
  </si>
  <si>
    <t>Bond Issuance Premium</t>
  </si>
  <si>
    <t>Area</t>
  </si>
  <si>
    <t>Lilly</t>
  </si>
  <si>
    <t>Housing Authority of the City of Canton</t>
  </si>
  <si>
    <t>Lincolnton</t>
  </si>
  <si>
    <t>Zip Codes</t>
  </si>
  <si>
    <t>http://zip4.usps.com/zip4/welcome.jsp</t>
  </si>
  <si>
    <t>HOME Consent?</t>
  </si>
  <si>
    <t>Divide Equity Gap by 10</t>
  </si>
  <si>
    <t xml:space="preserve">Annual Equity Required </t>
  </si>
  <si>
    <t>Federal</t>
  </si>
  <si>
    <t>=</t>
  </si>
  <si>
    <t>On-Site Staff Costs</t>
  </si>
  <si>
    <t>On-Site Office Costs</t>
  </si>
  <si>
    <t>Professional Services</t>
  </si>
  <si>
    <t>Maintenance Expenses</t>
  </si>
  <si>
    <t>Interest</t>
  </si>
  <si>
    <t>Term</t>
  </si>
  <si>
    <t>Type</t>
  </si>
  <si>
    <t xml:space="preserve"> Name of Financing Entity</t>
  </si>
  <si>
    <t>Total Construction Financing:</t>
  </si>
  <si>
    <t>Total Construction Period Costs from Development Budget:</t>
  </si>
  <si>
    <t>Amort.</t>
  </si>
  <si>
    <t>Housing Authority of the City of Hampton, Georgia</t>
  </si>
  <si>
    <t>MONTHLY TOTAL</t>
  </si>
  <si>
    <t>Santa Claus</t>
  </si>
  <si>
    <t>Suwanee Downtown Development Authority</t>
  </si>
  <si>
    <t>Sharon</t>
  </si>
  <si>
    <t>Tallapoosa Development Authority</t>
  </si>
  <si>
    <t>Sharpsburg</t>
  </si>
  <si>
    <t>START-UP AND RESERVES</t>
  </si>
  <si>
    <t>Banks</t>
  </si>
  <si>
    <t>North</t>
  </si>
  <si>
    <t>Banks Co.</t>
  </si>
  <si>
    <t>Barrow</t>
  </si>
  <si>
    <t>Bartow</t>
  </si>
  <si>
    <t>Ben Hill</t>
  </si>
  <si>
    <t>Ben Hill Co</t>
  </si>
  <si>
    <t>Berrien</t>
  </si>
  <si>
    <t>Berrien Co.</t>
  </si>
  <si>
    <t>Bibb</t>
  </si>
  <si>
    <t>Macon</t>
  </si>
  <si>
    <t>Bleckley</t>
  </si>
  <si>
    <t>Bleckley Co.</t>
  </si>
  <si>
    <t>Brantley</t>
  </si>
  <si>
    <t>Brooks</t>
  </si>
  <si>
    <t>Bryan</t>
  </si>
  <si>
    <t>Savannah</t>
  </si>
  <si>
    <t>Bulloch</t>
  </si>
  <si>
    <t>Bulloch Co.</t>
  </si>
  <si>
    <t>Burke</t>
  </si>
  <si>
    <t>Augusta</t>
  </si>
  <si>
    <t>Butts</t>
  </si>
  <si>
    <t>Calhoun</t>
  </si>
  <si>
    <t>Calhoun Co.</t>
  </si>
  <si>
    <t>Camden</t>
  </si>
  <si>
    <t>Elbert County, GA</t>
  </si>
  <si>
    <t>Emanuel County, GA</t>
  </si>
  <si>
    <t>Evans County, GA</t>
  </si>
  <si>
    <t>Fannin County, GA</t>
  </si>
  <si>
    <t>Rome, GA MSA</t>
  </si>
  <si>
    <t>Franklin County, GA</t>
  </si>
  <si>
    <t>MO</t>
  </si>
  <si>
    <t>MT</t>
  </si>
  <si>
    <t>NE</t>
  </si>
  <si>
    <t>NV</t>
  </si>
  <si>
    <t>NH</t>
  </si>
  <si>
    <t>NJ</t>
  </si>
  <si>
    <t>NM</t>
  </si>
  <si>
    <t>NY</t>
  </si>
  <si>
    <t>NC</t>
  </si>
  <si>
    <t>ND</t>
  </si>
  <si>
    <t>OH</t>
  </si>
  <si>
    <t>OK</t>
  </si>
  <si>
    <t>OR</t>
  </si>
  <si>
    <t>PA</t>
  </si>
  <si>
    <t>RI</t>
  </si>
  <si>
    <t>SC</t>
  </si>
  <si>
    <t>SD</t>
  </si>
  <si>
    <t>TN</t>
  </si>
  <si>
    <t>TX</t>
  </si>
  <si>
    <t>UT</t>
  </si>
  <si>
    <t>VT</t>
  </si>
  <si>
    <t>VA</t>
  </si>
  <si>
    <t>WA</t>
  </si>
  <si>
    <t>WV</t>
  </si>
  <si>
    <t>WI</t>
  </si>
  <si>
    <t>WY</t>
  </si>
  <si>
    <t>Maintenance Salaries &amp; Benefits</t>
  </si>
  <si>
    <t>Electricity</t>
  </si>
  <si>
    <t>Natural Gas</t>
  </si>
  <si>
    <t>Water &amp; Sewer</t>
  </si>
  <si>
    <t>Trash Collection</t>
  </si>
  <si>
    <t>Office Supplies &amp; Postage</t>
  </si>
  <si>
    <t>Telephone</t>
  </si>
  <si>
    <t>Travel</t>
  </si>
  <si>
    <t>Utilities</t>
  </si>
  <si>
    <t>Taxes and Insurance</t>
  </si>
  <si>
    <t>On-Site Security</t>
  </si>
  <si>
    <t>Contracted Guard</t>
  </si>
  <si>
    <t>Electronic Alarm System</t>
  </si>
  <si>
    <r>
      <t>Management Fee:</t>
    </r>
    <r>
      <rPr>
        <sz val="9"/>
        <color indexed="10"/>
        <rFont val="Arial"/>
        <family val="2"/>
      </rPr>
      <t/>
    </r>
  </si>
  <si>
    <t>Applicant agrees to provide the following required Unit Amenities:</t>
  </si>
  <si>
    <t>Combustion equipment isolated in a sealed combustion closet that is vented from outside building envelope</t>
  </si>
  <si>
    <t>Annual P &amp; I</t>
  </si>
  <si>
    <t>Monthly P &amp; I</t>
  </si>
  <si>
    <t>Loan Term (yrs)</t>
  </si>
  <si>
    <t>Amortization Pd (yrs)</t>
  </si>
  <si>
    <t>Development of green space on a master plan development site</t>
  </si>
  <si>
    <t>Development of walking trails on a master plan development site</t>
  </si>
  <si>
    <t>Construction of sidewalks and streetscape adjacent to the property</t>
  </si>
  <si>
    <t>Construction of on-site access road req'd for property access</t>
  </si>
  <si>
    <t>Construction of off-site access road req'd for property access</t>
  </si>
  <si>
    <t>Housing Authority of the City of Crawfordville</t>
  </si>
  <si>
    <t>Lula</t>
  </si>
  <si>
    <t>Housing Authority of the City of Cumming</t>
  </si>
  <si>
    <t>Lumber City</t>
  </si>
  <si>
    <t>Housing Authority of the City of Cuthbert, GA</t>
  </si>
  <si>
    <t>Housing Authority of the City of Dahlonega</t>
  </si>
  <si>
    <t>Luthersville</t>
  </si>
  <si>
    <t>Housing Authority of the City of Dawson</t>
  </si>
  <si>
    <t>Lyerly</t>
  </si>
  <si>
    <t>Housing Authority of the City of Decatur, Georgia</t>
  </si>
  <si>
    <t>per unit</t>
  </si>
  <si>
    <t>waived?</t>
  </si>
  <si>
    <t>3.)</t>
  </si>
  <si>
    <t>4.)</t>
  </si>
  <si>
    <t>5.)</t>
  </si>
  <si>
    <t>6.)</t>
  </si>
  <si>
    <t xml:space="preserve">1.) </t>
  </si>
  <si>
    <t>7.)</t>
  </si>
  <si>
    <t>Historic Credit Equity</t>
  </si>
  <si>
    <t>Mobility Impaired</t>
  </si>
  <si>
    <t xml:space="preserve">Number of Applications Submitted: </t>
  </si>
  <si>
    <t>Swainsboro</t>
  </si>
  <si>
    <t>Urban Residential Finance Authority of the City of Atlanta, Georgia</t>
  </si>
  <si>
    <t>Downtown Development Authority of the City of Warwick</t>
  </si>
  <si>
    <t>Hagan</t>
  </si>
  <si>
    <t>Ancillary Income Limit</t>
  </si>
  <si>
    <t>Substantial Rehab Only</t>
  </si>
  <si>
    <t>Total Square Footage from Units</t>
  </si>
  <si>
    <t>Stewart County, GA</t>
  </si>
  <si>
    <t>Sumter County, GA</t>
  </si>
  <si>
    <t>Talbot County, GA</t>
  </si>
  <si>
    <t>Total Basis Method Tax Credit Calculation</t>
  </si>
  <si>
    <t>Total Gap Method Tax Credit Calculation</t>
  </si>
  <si>
    <t>TAX CREDIT CALCULATION - BASIS METHOD</t>
  </si>
  <si>
    <t>TAX CREDIT CALCULATION - GAP METHOD</t>
  </si>
  <si>
    <t>Has the property been:</t>
  </si>
  <si>
    <t>Rezoned?</t>
  </si>
  <si>
    <t>Subdivided?</t>
  </si>
  <si>
    <t>Modified?</t>
  </si>
  <si>
    <t>Low Inc</t>
  </si>
  <si>
    <t>Efficiency New Construction LI Units</t>
  </si>
  <si>
    <t>1 BR New Construction LI Units</t>
  </si>
  <si>
    <t>2 BR New Construction LI Units</t>
  </si>
  <si>
    <t>3 BR New Construction LI Units</t>
  </si>
  <si>
    <t>4 BR New Construction LI Units</t>
  </si>
  <si>
    <t>Norcross</t>
  </si>
  <si>
    <t>Pendergrass</t>
  </si>
  <si>
    <t>Jackson Housing Authority</t>
  </si>
  <si>
    <t>Perry</t>
  </si>
  <si>
    <t>Jenkins County Development Authority</t>
  </si>
  <si>
    <t>Pine Lake</t>
  </si>
  <si>
    <t xml:space="preserve"> --&gt; If Yes, indicate Yr 1 Mgt Fee Amt:</t>
  </si>
  <si>
    <t>Other Income (OI) by Year:</t>
  </si>
  <si>
    <t>Housing Authority of the County of Atkinson, Georgia</t>
  </si>
  <si>
    <t>Pavo</t>
  </si>
  <si>
    <t>Housing Authority of the County of DeKalb, Georgia</t>
  </si>
  <si>
    <t>Housing Authority of the County of Harris</t>
  </si>
  <si>
    <t>Peachtree City</t>
  </si>
  <si>
    <t>Lanier</t>
  </si>
  <si>
    <t>Laurens</t>
  </si>
  <si>
    <t>Laurens Co.</t>
  </si>
  <si>
    <t>Lee</t>
  </si>
  <si>
    <t>Liberty</t>
  </si>
  <si>
    <t>Lincoln</t>
  </si>
  <si>
    <t>Lincoln Co.</t>
  </si>
  <si>
    <t>Long</t>
  </si>
  <si>
    <t>Long Co.</t>
  </si>
  <si>
    <t>3+ Story Units</t>
  </si>
  <si>
    <t>0 BR MF Units</t>
  </si>
  <si>
    <t>Savannah, GA MSA</t>
  </si>
  <si>
    <t>Surrency</t>
  </si>
  <si>
    <t>In addition, Applicant understands:</t>
  </si>
  <si>
    <t>•</t>
  </si>
  <si>
    <t>Sparta-Hancock County Development Authority</t>
  </si>
  <si>
    <t>Senoia</t>
  </si>
  <si>
    <t>St. Marys Downtown Development Authority</t>
  </si>
  <si>
    <t>Shady Dale</t>
  </si>
  <si>
    <t>Stephens County Development Authority</t>
  </si>
  <si>
    <t>PROJECT LOCATION</t>
  </si>
  <si>
    <t>PROJECT DESCRIPTION</t>
  </si>
  <si>
    <t>Unit</t>
  </si>
  <si>
    <t>Count</t>
  </si>
  <si>
    <t>Rent</t>
  </si>
  <si>
    <t>3 BR Rehab Mkt Units</t>
  </si>
  <si>
    <t>4 BR Rehab Mkt Units</t>
  </si>
  <si>
    <t xml:space="preserve">Community Development Block Grant (CDBG) program funds </t>
  </si>
  <si>
    <t>Federal Home Loan Bank Affordable Housing Program (AHP)</t>
  </si>
  <si>
    <t>If Yes, applicant will need to check with the source of these funds to determine if this project will trigger the Uniform Relocation Act or 104(d).</t>
  </si>
  <si>
    <r>
      <t>Enter Final Federal and State Equity Factors (</t>
    </r>
    <r>
      <rPr>
        <b/>
        <sz val="10"/>
        <rFont val="Arial Narrow"/>
        <family val="2"/>
      </rPr>
      <t>not</t>
    </r>
    <r>
      <rPr>
        <sz val="10"/>
        <rFont val="Arial Narrow"/>
        <family val="2"/>
      </rPr>
      <t xml:space="preserve"> </t>
    </r>
    <r>
      <rPr>
        <b/>
        <sz val="10"/>
        <rFont val="Arial Narrow"/>
        <family val="2"/>
      </rPr>
      <t>including GP contribution</t>
    </r>
    <r>
      <rPr>
        <sz val="10"/>
        <rFont val="Arial Narrow"/>
        <family val="2"/>
      </rPr>
      <t>)</t>
    </r>
  </si>
  <si>
    <t>Eligible Basis Adjustment (DDA/QCT Location or State Designated Boost)</t>
  </si>
  <si>
    <t>A1)</t>
  </si>
  <si>
    <t>A2)</t>
  </si>
  <si>
    <t>A3)</t>
  </si>
  <si>
    <t>b. Electronically controlled solid cover plates over stove top burners</t>
  </si>
  <si>
    <t>Housing Authority of the City of Baxley</t>
  </si>
  <si>
    <t>Housing Authority of the City of Blackshear</t>
  </si>
  <si>
    <t>Leesburg</t>
  </si>
  <si>
    <t>Housing Authority of the City of Blakely, Georgia</t>
  </si>
  <si>
    <t>Lenox</t>
  </si>
  <si>
    <t>Housing Authority of the City of Buford, Georgia</t>
  </si>
  <si>
    <t>Leslie</t>
  </si>
  <si>
    <t>Housing Authority of the City of Cairo, Georgia</t>
  </si>
  <si>
    <t>[This document is to be submitted with Application]</t>
  </si>
  <si>
    <t>APPLICATION CERTIFICATION FORM LETTER</t>
  </si>
  <si>
    <t>[to be submitted under Applicant's letterhead]</t>
  </si>
  <si>
    <t>(Excluding MIP)</t>
  </si>
  <si>
    <t>Monthly Debt Service at Effective Rate</t>
  </si>
  <si>
    <t>GICH Communities</t>
  </si>
  <si>
    <t>Housing Authority of the City of Colquitt</t>
  </si>
  <si>
    <t>Lookout Mountain</t>
  </si>
  <si>
    <t>Effective Interest Rate</t>
  </si>
  <si>
    <t>Housing Authority of the City of Cave Spring</t>
  </si>
  <si>
    <t>Louisville</t>
  </si>
  <si>
    <t>Housing Authority of the City of Cornelia, Ga.</t>
  </si>
  <si>
    <t>Lovejoy</t>
  </si>
  <si>
    <t>Housing Authority of the City of Covington</t>
  </si>
  <si>
    <t>Reynolds</t>
  </si>
  <si>
    <t>Middle Georgia Regional Development Authority</t>
  </si>
  <si>
    <t>Rhine</t>
  </si>
  <si>
    <t>Milledgeville MainStreet/The Downtown Development Authority of the City of Milledgeville</t>
  </si>
  <si>
    <t>Riceboro</t>
  </si>
  <si>
    <t>Miller County Development Authority</t>
  </si>
  <si>
    <t>Richland</t>
  </si>
  <si>
    <t>Catoosa</t>
  </si>
  <si>
    <t>Chattanooga</t>
  </si>
  <si>
    <t>Abbeville Housing Authority</t>
  </si>
  <si>
    <t>Acworth</t>
  </si>
  <si>
    <t>Acworth Downtown Development Authority</t>
  </si>
  <si>
    <t>Surplus/(Shortage) of Permanent funds to development costs:</t>
  </si>
  <si>
    <t>Substantial replanting of trees and integrated vegetation</t>
  </si>
  <si>
    <t>Is proposed project part of a local public housing replacement program?</t>
  </si>
  <si>
    <t>CO-DEVELOPER 2</t>
  </si>
  <si>
    <t>Contractor</t>
  </si>
  <si>
    <t>Per Unit</t>
  </si>
  <si>
    <t>The Housing Authority of the City of Atlanta, Georgia</t>
  </si>
  <si>
    <t>The Housing Authority of the City of Brunswick, Georgia</t>
  </si>
  <si>
    <t>Stapleton</t>
  </si>
  <si>
    <t>DCA HOME Projects Minimum Set-Aside Requirement (Rent &amp; Income)</t>
  </si>
  <si>
    <t>Rent-Up Reserves</t>
  </si>
  <si>
    <t>FHA Risk Share</t>
  </si>
  <si>
    <t>Is a Phase II Environmental Report included?</t>
  </si>
  <si>
    <t>White Plains</t>
  </si>
  <si>
    <t>Whitesburg</t>
  </si>
  <si>
    <t>Willacoochee</t>
  </si>
  <si>
    <t>Williamson</t>
  </si>
  <si>
    <t>Winder</t>
  </si>
  <si>
    <t>Winterville</t>
  </si>
  <si>
    <t>Woodbine</t>
  </si>
  <si>
    <t>Woodbury</t>
  </si>
  <si>
    <t>Woodland</t>
  </si>
  <si>
    <t>Woodstock</t>
  </si>
  <si>
    <t>5)</t>
  </si>
  <si>
    <t>6)</t>
  </si>
  <si>
    <t>PCB's?</t>
  </si>
  <si>
    <t>Mold?</t>
  </si>
  <si>
    <t>Radon?</t>
  </si>
  <si>
    <t>Downtown Development Authority of the City of Dawson</t>
  </si>
  <si>
    <t>Joint Development Authority of Baker, Dougherty, Terrell, and Lee Counties</t>
  </si>
  <si>
    <t>Pine Mountain</t>
  </si>
  <si>
    <t>Joint Development Authority of Bartow County and Pickens County</t>
  </si>
  <si>
    <t>In USDA Rural Area?</t>
  </si>
  <si>
    <t>Development Authority of Clayton County</t>
  </si>
  <si>
    <t>Camilla</t>
  </si>
  <si>
    <t>Development Authority of Cobb County</t>
  </si>
  <si>
    <t>Canon</t>
  </si>
  <si>
    <t>Development Authority of Columbia County</t>
  </si>
  <si>
    <t>Canton</t>
  </si>
  <si>
    <t>Development Authority of Columbus, Georgia</t>
  </si>
  <si>
    <t>Carl</t>
  </si>
  <si>
    <t>Development Authority of Conyers, Georgia</t>
  </si>
  <si>
    <t>Carlton</t>
  </si>
  <si>
    <t>Housing Authority of the City of Doerun, Georgia</t>
  </si>
  <si>
    <t>Housing Authority of the City of Dublin, Georgia</t>
  </si>
  <si>
    <t>Housing Authority of the City of East Point, Georgia</t>
  </si>
  <si>
    <t>Housing Authority of the City of Eastman</t>
  </si>
  <si>
    <t>Manassas</t>
  </si>
  <si>
    <t>Housing Authority of the City of Eatonton</t>
  </si>
  <si>
    <t>Manchester</t>
  </si>
  <si>
    <t>Housing Authority of the City of Edison, GA.</t>
  </si>
  <si>
    <t>Housing Authority of the City of Ellaville</t>
  </si>
  <si>
    <t>Mansfield</t>
  </si>
  <si>
    <t>Housing Authority of the City of Ellijay, Georgia</t>
  </si>
  <si>
    <t>Development Authority of the Unified Government of Athens-Clarke County, Georgia</t>
  </si>
  <si>
    <t>Housing Authority of the County of Houston, Georgia</t>
  </si>
  <si>
    <t>Pearson</t>
  </si>
  <si>
    <t>Housing Authority of the City of Shellman</t>
  </si>
  <si>
    <t>Nicholls</t>
  </si>
  <si>
    <t>Housing Authority of the City of Social Circle, GA</t>
  </si>
  <si>
    <t>Nicholson</t>
  </si>
  <si>
    <t>Housing Authority of the City of Soperton</t>
  </si>
  <si>
    <t>Kitchen range hood ventilation to be ducted to the exterior and equipped with a damper</t>
  </si>
  <si>
    <t>Additional Required Project Amenities for 4% Tax Credit Projects</t>
  </si>
  <si>
    <t>Retention pond / fountain</t>
  </si>
  <si>
    <t>Mortgage A</t>
  </si>
  <si>
    <t>Mortgage B</t>
  </si>
  <si>
    <t>Mortgage C</t>
  </si>
  <si>
    <t>Downtown Development Authority of the City of Zebulon</t>
  </si>
  <si>
    <t>Hahira</t>
  </si>
  <si>
    <t>Electric</t>
  </si>
  <si>
    <t>Cooking</t>
  </si>
  <si>
    <t>Hot Water</t>
  </si>
  <si>
    <t>Fuel</t>
  </si>
  <si>
    <t>Activities Supplies / Overhead Cost</t>
  </si>
  <si>
    <t>Other</t>
  </si>
  <si>
    <t>Legal</t>
  </si>
  <si>
    <t>Advertising</t>
  </si>
  <si>
    <t>Contracted Repairs</t>
  </si>
  <si>
    <t>General Repairs</t>
  </si>
  <si>
    <t>Grounds Maintenance</t>
  </si>
  <si>
    <t>Martinez</t>
  </si>
  <si>
    <t>Select City first</t>
  </si>
  <si>
    <t>Waivers and/or Pre-Approvals - have the following waivers and/or pre-approvals been approved by DCA?</t>
  </si>
  <si>
    <t>Qualification Determination?</t>
  </si>
  <si>
    <t>LIHTC Fee (both 4% and 9%)</t>
  </si>
  <si>
    <t>Putnam Development Authority</t>
  </si>
  <si>
    <t>Randolph County Development Authority</t>
  </si>
  <si>
    <t>Royston</t>
  </si>
  <si>
    <t>Redevelopment Authority of Clayton County</t>
  </si>
  <si>
    <t>Rochelle Housing Authority</t>
  </si>
  <si>
    <t>Rutledge</t>
  </si>
  <si>
    <t>Rockmart Development Authority</t>
  </si>
  <si>
    <t>Rome-Floyd County Development Authority</t>
  </si>
  <si>
    <t>Sale City</t>
  </si>
  <si>
    <t>Sandersville Downtown Development Authority</t>
  </si>
  <si>
    <t>The Housing Authority of the City of Washington</t>
  </si>
  <si>
    <t>Statham</t>
  </si>
  <si>
    <t>Thomaston Downtown Development Authority</t>
  </si>
  <si>
    <t>Effic 120% NSP Units</t>
  </si>
  <si>
    <t>Toomsboro</t>
  </si>
  <si>
    <t>Trenton</t>
  </si>
  <si>
    <t>Housing Authority of the City of Greensboro, Georgia</t>
  </si>
  <si>
    <t>EPA Energy Star Program construction and certification:</t>
  </si>
  <si>
    <t>Term (In Months)</t>
  </si>
  <si>
    <t>Miller</t>
  </si>
  <si>
    <t>Miller Co.</t>
  </si>
  <si>
    <t>Mitchell</t>
  </si>
  <si>
    <t>Mitchell Co.</t>
  </si>
  <si>
    <t>Monroe</t>
  </si>
  <si>
    <t>Housing Authority of the City of Warner Robins, Georgia</t>
  </si>
  <si>
    <t>Housing Authority of the City of Warrenton</t>
  </si>
  <si>
    <t>Oliver</t>
  </si>
  <si>
    <t>Housing Authority of the City of Waycross</t>
  </si>
  <si>
    <t>Flint Area Consolidated Housing Authority</t>
  </si>
  <si>
    <t>Hogansville</t>
  </si>
  <si>
    <t>Fort Oglethorpe Downtown Development Authority</t>
  </si>
  <si>
    <t>Holly Springs</t>
  </si>
  <si>
    <t>Installed call system in all units, including a buzzer and light to the exterior</t>
  </si>
  <si>
    <t>Equipped soccer field</t>
  </si>
  <si>
    <t>Tennis court</t>
  </si>
  <si>
    <t>Retention pond/Fountain</t>
  </si>
  <si>
    <t>Equipped playground</t>
  </si>
  <si>
    <t>Covered pavilion with picnic/barbecue facilities</t>
  </si>
  <si>
    <t>Furnished Children’s Activity center</t>
  </si>
  <si>
    <t>Furnished Library</t>
  </si>
  <si>
    <t>Equipped Computer Center</t>
  </si>
  <si>
    <t>Furnished sitting areas by elevators</t>
  </si>
  <si>
    <t>Swimming Pool</t>
  </si>
  <si>
    <t>Complete built-in fire sprinkler system</t>
  </si>
  <si>
    <t>Hist Desig</t>
  </si>
  <si>
    <t>(Effective Interest Assistance Rate in USDA Handbook)</t>
  </si>
  <si>
    <t>(per annum)</t>
  </si>
  <si>
    <t>Terrell</t>
  </si>
  <si>
    <t>Thomas</t>
  </si>
  <si>
    <t>Thomas Co.</t>
  </si>
  <si>
    <t>Tift</t>
  </si>
  <si>
    <t>AWARD LIMITATIONS FOR CURRENT DCA COMPETITIVE ROUND</t>
  </si>
  <si>
    <t>DCA COMMUNITY INITIATIVES</t>
  </si>
  <si>
    <t>Downtown Development Authority of Hinesville, Georgia</t>
  </si>
  <si>
    <t>Fargo</t>
  </si>
  <si>
    <t>Downtown Development Authority of Woodstock</t>
  </si>
  <si>
    <t>Downtown Development Authority, City of Forest Park</t>
  </si>
  <si>
    <t>Downtown LaGrange Development Authority</t>
  </si>
  <si>
    <t>Harlem</t>
  </si>
  <si>
    <t>Chattanooga, TN-GA MSA</t>
  </si>
  <si>
    <t>Charlton County, GA</t>
  </si>
  <si>
    <t>Columbus, GA-AL MSA</t>
  </si>
  <si>
    <t>Chattooga County, GA</t>
  </si>
  <si>
    <t>Joint Development Authority of Fannin County, Towns County and Union County</t>
  </si>
  <si>
    <t>Plains</t>
  </si>
  <si>
    <t>Trion</t>
  </si>
  <si>
    <t>Turin</t>
  </si>
  <si>
    <t>Twin City</t>
  </si>
  <si>
    <t>Ty Ty</t>
  </si>
  <si>
    <t>Tybee Island</t>
  </si>
  <si>
    <t>Tyrone</t>
  </si>
  <si>
    <t>Unadilla</t>
  </si>
  <si>
    <t>Union City</t>
  </si>
  <si>
    <t>Union Point</t>
  </si>
  <si>
    <t>Uvalda</t>
  </si>
  <si>
    <t>Valdosta</t>
  </si>
  <si>
    <t>Varnell</t>
  </si>
  <si>
    <t>Vernonburg</t>
  </si>
  <si>
    <t>Vidalia</t>
  </si>
  <si>
    <t>Vidette</t>
  </si>
  <si>
    <t>Vienna</t>
  </si>
  <si>
    <t>Villa Rica</t>
  </si>
  <si>
    <t>Waco</t>
  </si>
  <si>
    <t>Wadley</t>
  </si>
  <si>
    <t>Waleska</t>
  </si>
  <si>
    <t>Walnut Grove</t>
  </si>
  <si>
    <t>Walthourville</t>
  </si>
  <si>
    <t>Warm Springs</t>
  </si>
  <si>
    <t>Warner Robins</t>
  </si>
  <si>
    <t>Warrenton</t>
  </si>
  <si>
    <t>Candler County, GA</t>
  </si>
  <si>
    <t>Original GHFA/DCA Project Number</t>
  </si>
  <si>
    <t>Subsequent Allocation</t>
  </si>
  <si>
    <t>Type:</t>
  </si>
  <si>
    <t>Identity of Interest</t>
  </si>
  <si>
    <t>HUD Mortgage Insurance Premium</t>
  </si>
  <si>
    <t>II. HUD Mortgage Insurance Premium / Debt Service</t>
  </si>
  <si>
    <t xml:space="preserve">     Percent of Effective Gross Income</t>
  </si>
  <si>
    <t>Ext.</t>
  </si>
  <si>
    <t>Office Phone</t>
  </si>
  <si>
    <t>Direct Line</t>
  </si>
  <si>
    <t>Dublin-Laurens County Development Authority</t>
  </si>
  <si>
    <t>Helen</t>
  </si>
  <si>
    <t>Shuffleboard Court</t>
  </si>
  <si>
    <t>XIII.</t>
  </si>
  <si>
    <t>Category</t>
  </si>
  <si>
    <t>Specification</t>
  </si>
  <si>
    <t>Scale</t>
  </si>
  <si>
    <t>Maximum</t>
  </si>
  <si>
    <t>Funding Limits</t>
  </si>
  <si>
    <t xml:space="preserve">Per Project </t>
  </si>
  <si>
    <t>n/a</t>
  </si>
  <si>
    <t>c.</t>
  </si>
  <si>
    <t>E.</t>
  </si>
  <si>
    <t>F.</t>
  </si>
  <si>
    <t>1)</t>
  </si>
  <si>
    <t>2)</t>
  </si>
  <si>
    <t>3)</t>
  </si>
  <si>
    <t>Hawkinsville</t>
  </si>
  <si>
    <t>Downtown Development Authority of the City of Richland, Georgia</t>
  </si>
  <si>
    <t>Development Authority of Coweta County</t>
  </si>
  <si>
    <t>Carnesville</t>
  </si>
  <si>
    <t>Development Authority of Crawford County</t>
  </si>
  <si>
    <t>Carrollton</t>
  </si>
  <si>
    <t>Development Authority of Crisp County</t>
  </si>
  <si>
    <t>Title of Principal</t>
  </si>
  <si>
    <t>Downtown Development Authority of Holly Springs</t>
  </si>
  <si>
    <t>Berlin</t>
  </si>
  <si>
    <t>Powder Springs</t>
  </si>
  <si>
    <t>Recreation of existing or missing known historic decorative elements</t>
  </si>
  <si>
    <t>Addition of or the redesign of existing covered entries</t>
  </si>
  <si>
    <t>Jersey</t>
  </si>
  <si>
    <t>Housing Authority of City of Carrollton</t>
  </si>
  <si>
    <t>Jesup</t>
  </si>
  <si>
    <t>Is there a Tenant Ownership Plan?</t>
  </si>
  <si>
    <t>Cedartown</t>
  </si>
  <si>
    <t>No Identity of Interest</t>
  </si>
  <si>
    <t>Operating Deficit Reserve</t>
  </si>
  <si>
    <t>Mths of Year 1 Debt Service (out of 12)</t>
  </si>
  <si>
    <t>Mths of Year 1 O&amp;M Expense (out of 12)</t>
  </si>
  <si>
    <t>Per Project</t>
  </si>
  <si>
    <t>Proforma Operating Forecast</t>
  </si>
  <si>
    <t>Revenue Growth Rate</t>
  </si>
  <si>
    <t>Per Operation Year</t>
  </si>
  <si>
    <t>V&amp;C Loss Rate (Non-PBRA/USDA)</t>
  </si>
  <si>
    <t>V&amp;C Loss Rate (PBRA/USDA)</t>
  </si>
  <si>
    <t>Port Wentworth Downtown Development Authority</t>
  </si>
  <si>
    <t>Roopville</t>
  </si>
  <si>
    <t>&lt;&lt;Select&gt;&gt;</t>
  </si>
  <si>
    <t>If Other, specify:</t>
  </si>
  <si>
    <t>City of Cairo Development Authority</t>
  </si>
  <si>
    <t>Bethlehem</t>
  </si>
  <si>
    <t>City of Claxton Downtown Development Authority</t>
  </si>
  <si>
    <t>Between</t>
  </si>
  <si>
    <t>Atkinson</t>
  </si>
  <si>
    <t>Atkinson Co.</t>
  </si>
  <si>
    <t>Bacon</t>
  </si>
  <si>
    <t>Bacon Co.</t>
  </si>
  <si>
    <t>Baker</t>
  </si>
  <si>
    <t>Albany</t>
  </si>
  <si>
    <t>Baldwin</t>
  </si>
  <si>
    <t>Quitman County, GA</t>
  </si>
  <si>
    <t>Rabun County, GA</t>
  </si>
  <si>
    <t>Randolph County, GA</t>
  </si>
  <si>
    <t>Schley County, GA</t>
  </si>
  <si>
    <t>Screven County, GA</t>
  </si>
  <si>
    <t>Energy Standards</t>
  </si>
  <si>
    <t>Total Basis</t>
  </si>
  <si>
    <t>% Existing Occupied</t>
  </si>
  <si>
    <t>IV.</t>
  </si>
  <si>
    <t>Total Units</t>
  </si>
  <si>
    <t>V.</t>
  </si>
  <si>
    <t>% of Total Residential Units</t>
  </si>
  <si>
    <t>Local PHA</t>
  </si>
  <si>
    <t>Contact</t>
  </si>
  <si>
    <t>State</t>
  </si>
  <si>
    <t>Email</t>
  </si>
  <si>
    <t>Direct line</t>
  </si>
  <si>
    <t>Taxable Bonds</t>
  </si>
  <si>
    <t>Vidalia Development Authority</t>
  </si>
  <si>
    <t>Are 100% of units HUD PBRA?</t>
  </si>
  <si>
    <t>Int Rate</t>
  </si>
  <si>
    <t>Operating Expense?</t>
  </si>
  <si>
    <t>Semi-monthly classes conducted on site</t>
  </si>
  <si>
    <t>Housing Authority of the City of Vienna</t>
  </si>
  <si>
    <t>Offerman</t>
  </si>
  <si>
    <t>3 BR Acq/Rhb LI Units</t>
  </si>
  <si>
    <t>4 BR Acq/Rhb LI Units</t>
  </si>
  <si>
    <t>Efficiency Acq/Rhb Mkt Units</t>
  </si>
  <si>
    <t>Kennesaw Development Authority</t>
  </si>
  <si>
    <t>Preston</t>
  </si>
  <si>
    <t>Kennesaw Downtown Development Authority</t>
  </si>
  <si>
    <t>Kingsland Development Authority</t>
  </si>
  <si>
    <t>Housing Authority City of Sylvester, GA</t>
  </si>
  <si>
    <t>North High Shoals</t>
  </si>
  <si>
    <t>&lt;&lt;Select Fuel &gt;&gt;</t>
  </si>
  <si>
    <t>PHA Units</t>
  </si>
  <si>
    <t>Banks County, GA</t>
  </si>
  <si>
    <t>Downtown Development Authority of Bremen</t>
  </si>
  <si>
    <t>Elberton</t>
  </si>
  <si>
    <t>Downtown Development Authority of Brunswick</t>
  </si>
  <si>
    <t>Ellaville</t>
  </si>
  <si>
    <t>Housing Authority of the City of Swainsboro</t>
  </si>
  <si>
    <t>Norwood</t>
  </si>
  <si>
    <t>Housing Authority of the City of Sylvania</t>
  </si>
  <si>
    <t>Nunez</t>
  </si>
  <si>
    <t>Housing Authority of the City of Tallapoosa, Georgia</t>
  </si>
  <si>
    <t>Housing Authority of the City of Thomaston</t>
  </si>
  <si>
    <t>Oak Park</t>
  </si>
  <si>
    <t>Housing Authority of the City of Thomasville, Georgia</t>
  </si>
  <si>
    <t>Oakwood</t>
  </si>
  <si>
    <t>Housing Authority of the City of Thomson, Georgia</t>
  </si>
  <si>
    <t>Ochlocknee</t>
  </si>
  <si>
    <t>Housing Authority of the City of Tifton, Georgia</t>
  </si>
  <si>
    <t>Ocilla</t>
  </si>
  <si>
    <t>Housing Authority of the City of Toccoa, Ga.</t>
  </si>
  <si>
    <t>Housing Authority of the City of Vidalia</t>
  </si>
  <si>
    <t>DCA USE</t>
  </si>
  <si>
    <t>&lt;&lt;Enter Provider Name Here&gt;&gt;</t>
  </si>
  <si>
    <t>Sight / Hearing Impaired</t>
  </si>
  <si>
    <t>DCA COMMENTS</t>
  </si>
  <si>
    <t>HOME projects - Fixed or Floating units:</t>
  </si>
  <si>
    <t>Names of Projects in which the Owner, Developer and Consultant(s) and each of its principals is partnering with an inexperienced unrelated entity for purposes of meeting DCA Experience Requirements:</t>
  </si>
  <si>
    <t>Americus</t>
  </si>
  <si>
    <t>Check all that are available to the site and enter provider name:</t>
  </si>
  <si>
    <t>Owner</t>
  </si>
  <si>
    <t>Refuse Collection</t>
  </si>
  <si>
    <t>Heat</t>
  </si>
  <si>
    <t>Developer's Profit</t>
  </si>
  <si>
    <t>OWNERSHIP ENTITY</t>
  </si>
  <si>
    <t>PROPOSED PARTNERSHIP INFORMATION</t>
  </si>
  <si>
    <t>Managing Gen'l Partner</t>
  </si>
  <si>
    <t>Other General Partner</t>
  </si>
  <si>
    <t>OWNERSHIP INFORMATION</t>
  </si>
  <si>
    <t>LIMITED PARTNERS (PROPOSED OR ACTUAL)</t>
  </si>
  <si>
    <t>Developer's Overhead</t>
  </si>
  <si>
    <t>Consultant's Fee</t>
  </si>
  <si>
    <t>Developer's Fee</t>
  </si>
  <si>
    <t>Costs of Nonqualifying units of higher quality</t>
  </si>
  <si>
    <t>Nonqualifying excess portion of higher quality units</t>
  </si>
  <si>
    <t>Total Subtractions From Basis:</t>
  </si>
  <si>
    <t>DCA's Comments:</t>
  </si>
  <si>
    <t>Pass?</t>
  </si>
  <si>
    <t>Invstmt Earnings: Taxable Bonds</t>
  </si>
  <si>
    <t>Income from Operations</t>
  </si>
  <si>
    <t>Financing Type</t>
  </si>
  <si>
    <t>Joint Development Authority of Burke County and City of Waynesboro</t>
  </si>
  <si>
    <t>Pineview</t>
  </si>
  <si>
    <t>Desirable Activities</t>
  </si>
  <si>
    <t xml:space="preserve">Swimming Pool </t>
  </si>
  <si>
    <t>McDuffie</t>
  </si>
  <si>
    <t>McIntosh</t>
  </si>
  <si>
    <t>Meriwether</t>
  </si>
  <si>
    <t>See scoring criteria for further requirements and information</t>
  </si>
  <si>
    <t>Attic insulation to R-38</t>
  </si>
  <si>
    <t>6.</t>
  </si>
  <si>
    <t>Terrell County Development Authority</t>
  </si>
  <si>
    <t>The Commerce Housing Authority</t>
  </si>
  <si>
    <t>Sky Valley</t>
  </si>
  <si>
    <t>The Development Authority of Long County</t>
  </si>
  <si>
    <t>Smithville</t>
  </si>
  <si>
    <t>The Development Authority of Pickens County</t>
  </si>
  <si>
    <t>Smyrna</t>
  </si>
  <si>
    <t>The Development Authority of Snellville, Georgia</t>
  </si>
  <si>
    <t>Snellville</t>
  </si>
  <si>
    <t>Downtown Development Authority of Centerville</t>
  </si>
  <si>
    <t>Ellenton</t>
  </si>
  <si>
    <t>Downtown Development Authority of Chatsworth</t>
  </si>
  <si>
    <t>Downtown Development Authority of Columbus, Georgia</t>
  </si>
  <si>
    <t>Ellijay</t>
  </si>
  <si>
    <t>Downtown Development Authority of Cordele</t>
  </si>
  <si>
    <t>Emerson</t>
  </si>
  <si>
    <t>Downtown Development Authority of Cuthbert, Georgia</t>
  </si>
  <si>
    <t>Enigma</t>
  </si>
  <si>
    <t>Sugar Hill</t>
  </si>
  <si>
    <t>Turner County Development Authority</t>
  </si>
  <si>
    <t>Union City Housing Authority</t>
  </si>
  <si>
    <t>Summertown</t>
  </si>
  <si>
    <t>Urban Redevelopment Agency of Clayton County, Georgia</t>
  </si>
  <si>
    <t>Summerville</t>
  </si>
  <si>
    <t>To DCA:</t>
  </si>
  <si>
    <t xml:space="preserve">      Yr 1 Asset Mgt Fee Percentage of EGI:</t>
  </si>
  <si>
    <t>Tift Co.</t>
  </si>
  <si>
    <t>Toombs</t>
  </si>
  <si>
    <t>Toombs Co.</t>
  </si>
  <si>
    <t>Towns</t>
  </si>
  <si>
    <t>Towns Co.</t>
  </si>
  <si>
    <t>Treutlen</t>
  </si>
  <si>
    <t>Treutlen Co.</t>
  </si>
  <si>
    <t>Troup</t>
  </si>
  <si>
    <t>Troup Co.</t>
  </si>
  <si>
    <t>Turner</t>
  </si>
  <si>
    <t>Turner Co.</t>
  </si>
  <si>
    <t>Twiggs</t>
  </si>
  <si>
    <t>Union</t>
  </si>
  <si>
    <t>Union Co.</t>
  </si>
  <si>
    <t>Downtown Athens Development Authority</t>
  </si>
  <si>
    <t>Downtown Camilla Development Authority</t>
  </si>
  <si>
    <t>Douglasville</t>
  </si>
  <si>
    <t>Downtown Dalton Development Authority</t>
  </si>
  <si>
    <t>Downtown Development Authority for the City of Garden City</t>
  </si>
  <si>
    <t>Downtown Development Authority for the City of Hahira, Georgia</t>
  </si>
  <si>
    <t>Dublin</t>
  </si>
  <si>
    <t>Downtown Development Authority for the City of Savannah</t>
  </si>
  <si>
    <t>Dudley</t>
  </si>
  <si>
    <t>Community area (select either community room or community building):</t>
  </si>
  <si>
    <t>Downtown Development Authority of Douglas</t>
  </si>
  <si>
    <t>Ephesus</t>
  </si>
  <si>
    <t>Downtown Development Authority of Fairburn</t>
  </si>
  <si>
    <t>Downtown Development Authority of Fitzgerald</t>
  </si>
  <si>
    <t>Eton</t>
  </si>
  <si>
    <t>Downtown Development Authority of Forsyth</t>
  </si>
  <si>
    <t>Euharlee</t>
  </si>
  <si>
    <t>Downtown Development Authority of Fort Gaines, Georgia</t>
  </si>
  <si>
    <t>Development Authority of the City of Milledgeville and Baldwin County</t>
  </si>
  <si>
    <t>Davisboro</t>
  </si>
  <si>
    <t>Development Authority of the City of Newnan</t>
  </si>
  <si>
    <t>Fall Line Regional Development Authority</t>
  </si>
  <si>
    <t>Hinesville</t>
  </si>
  <si>
    <t>Name of consultant preparing PNA:</t>
  </si>
  <si>
    <t>Odum</t>
  </si>
  <si>
    <t>G.</t>
  </si>
  <si>
    <t>Attractive Features</t>
  </si>
  <si>
    <t>Washer/dryer hookups in all units in addition to required central laundry</t>
  </si>
  <si>
    <t>Whitfield</t>
  </si>
  <si>
    <t>Wilcox</t>
  </si>
  <si>
    <t>Murray County, GA HUD Metro FMR Area</t>
  </si>
  <si>
    <t>Peach County, GA</t>
  </si>
  <si>
    <t>Pierce County, GA</t>
  </si>
  <si>
    <t>Polk County, GA</t>
  </si>
  <si>
    <t>Pulaski County, GA</t>
  </si>
  <si>
    <t>Putnam County, GA</t>
  </si>
  <si>
    <t>Dodge County, GA</t>
  </si>
  <si>
    <t>Dooly County, GA</t>
  </si>
  <si>
    <t>Early County, GA</t>
  </si>
  <si>
    <t>Construction Contingency</t>
  </si>
  <si>
    <t>Athens-Clarke County Downtown Development Authority</t>
  </si>
  <si>
    <t>Aldora</t>
  </si>
  <si>
    <t>Development Authority of the City of Americus</t>
  </si>
  <si>
    <t>Daisy</t>
  </si>
  <si>
    <t>Development Authority of the City of Bowdon</t>
  </si>
  <si>
    <t>Dallas</t>
  </si>
  <si>
    <t>Waycross and Ware County Development Authority</t>
  </si>
  <si>
    <t>Tallulah Falls</t>
  </si>
  <si>
    <t>West Central Georgia Joint Development Authority</t>
  </si>
  <si>
    <t>Talmo</t>
  </si>
  <si>
    <t>West Georgia Joint Development Authority</t>
  </si>
  <si>
    <t>Tarrytown</t>
  </si>
  <si>
    <t>Irwinton</t>
  </si>
  <si>
    <t>Greene County Development Authority</t>
  </si>
  <si>
    <t>Ivey</t>
  </si>
  <si>
    <t>Griffin-Spalding County Development Authority</t>
  </si>
  <si>
    <t>Is the Project Currently Occupied?</t>
  </si>
  <si>
    <t>Cellular</t>
  </si>
  <si>
    <t>Title</t>
  </si>
  <si>
    <t>Address</t>
  </si>
  <si>
    <t>Phone</t>
  </si>
  <si>
    <t>A.</t>
  </si>
  <si>
    <t>E-mail</t>
  </si>
  <si>
    <t>B.</t>
  </si>
  <si>
    <t>1.</t>
  </si>
  <si>
    <t>GENERAL PARTNER(S)</t>
  </si>
  <si>
    <t>2.</t>
  </si>
  <si>
    <t>Name of Principal</t>
  </si>
  <si>
    <t>Amount</t>
  </si>
  <si>
    <t>Tattnall County Development Authority</t>
  </si>
  <si>
    <t>Shellman</t>
  </si>
  <si>
    <t>Housing Authority of Screven County</t>
  </si>
  <si>
    <t>Housing Authority of the City of Acworth</t>
  </si>
  <si>
    <t>LaFayette</t>
  </si>
  <si>
    <t>Number of Residential Buildings</t>
  </si>
  <si>
    <t>Number of Non-Residential Buildings</t>
  </si>
  <si>
    <t>Total Number of Buildings</t>
  </si>
  <si>
    <t>Avalon</t>
  </si>
  <si>
    <t>Property Appraisal</t>
  </si>
  <si>
    <t>Southeast Georgia Joint Development Authority</t>
  </si>
  <si>
    <t>Central Valdosta Development Authority</t>
  </si>
  <si>
    <t>Elberton Downtown Development Authority d/b/a MainStreet Elberton</t>
  </si>
  <si>
    <t>Hephzibah</t>
  </si>
  <si>
    <t>Upson</t>
  </si>
  <si>
    <t>Upson Co.</t>
  </si>
  <si>
    <t>Walker</t>
  </si>
  <si>
    <t>Walton</t>
  </si>
  <si>
    <t>Ware</t>
  </si>
  <si>
    <t>HVAC system designed for controlled introduction of outside air per ASHRAE 62.2</t>
  </si>
  <si>
    <t>High-speed internet access</t>
  </si>
  <si>
    <t>Taliaferro County, GA</t>
  </si>
  <si>
    <t>Tattnall County, GA</t>
  </si>
  <si>
    <t>Taylor County, GA</t>
  </si>
  <si>
    <t>Telfair County, GA</t>
  </si>
  <si>
    <t>Thomas County, GA</t>
  </si>
  <si>
    <t>Middle Coastal Unified Development Authority</t>
  </si>
  <si>
    <t xml:space="preserve">8.) </t>
  </si>
  <si>
    <t>9.)</t>
  </si>
  <si>
    <t>10.)</t>
  </si>
  <si>
    <t>11.)</t>
  </si>
  <si>
    <t>12.)</t>
  </si>
  <si>
    <t>13.)</t>
  </si>
  <si>
    <t>14.)</t>
  </si>
  <si>
    <t xml:space="preserve">15.) </t>
  </si>
  <si>
    <t>16.)</t>
  </si>
  <si>
    <t>17.)</t>
  </si>
  <si>
    <t>18.)</t>
  </si>
  <si>
    <t>19.)</t>
  </si>
  <si>
    <t>20.)</t>
  </si>
  <si>
    <t>Please increase or decrease row size as needed.</t>
  </si>
  <si>
    <t>Deferred DF % of Total DF</t>
  </si>
  <si>
    <t>Deferred DF Term (Years)</t>
  </si>
  <si>
    <t>Rent-Up Reserve</t>
  </si>
  <si>
    <t>Mths of projected operating expenses</t>
  </si>
  <si>
    <t>Additional Requirements and Amenities for Senior projects</t>
  </si>
  <si>
    <t>Builder Profit</t>
  </si>
  <si>
    <t xml:space="preserve">Builder's Overhead </t>
  </si>
  <si>
    <t>TYPE OF APPLICATION</t>
  </si>
  <si>
    <t>SET ASIDES</t>
  </si>
  <si>
    <t>Monroe Co.</t>
  </si>
  <si>
    <t>Athens-Clarke Co.</t>
  </si>
  <si>
    <t>Subtractions From Eligible Basis</t>
  </si>
  <si>
    <t>Qualified Basis</t>
  </si>
  <si>
    <r>
      <t>Multiply Qualified Basis by Applicable Credit Percentage</t>
    </r>
    <r>
      <rPr>
        <sz val="8"/>
        <rFont val="Arial"/>
        <family val="2"/>
      </rPr>
      <t/>
    </r>
  </si>
  <si>
    <t>Walker County Development Authority</t>
  </si>
  <si>
    <t>Tallapoosa</t>
  </si>
  <si>
    <t>Accounting</t>
  </si>
  <si>
    <t>Scattered Site?</t>
  </si>
  <si>
    <t>Joint Development Authority of Brooks, Colquitt, Grady, Mitchell, and Thomas Counties</t>
  </si>
  <si>
    <t>Pinehurst</t>
  </si>
  <si>
    <t>Housing Authority of the City of Wrightsville</t>
  </si>
  <si>
    <t>Adjusted Eligible Basis</t>
  </si>
  <si>
    <t>Development Authority of Morgan County</t>
  </si>
  <si>
    <t>Coolidge</t>
  </si>
  <si>
    <t>Development Authority of Palmetto</t>
  </si>
  <si>
    <t>Cordele</t>
  </si>
  <si>
    <t>Development Authority of Effingham County</t>
  </si>
  <si>
    <t>Centerville</t>
  </si>
  <si>
    <t>Development Authority of Elbert County, Elberton and Bowman</t>
  </si>
  <si>
    <t>Centralhatchee</t>
  </si>
  <si>
    <t>Development Authority of Emanuel County</t>
  </si>
  <si>
    <t>Chamblee</t>
  </si>
  <si>
    <t>Development Authority of Emanuel County and the City of Swainsboro</t>
  </si>
  <si>
    <t>Chatsworth</t>
  </si>
  <si>
    <t>Development Authority of Fairburn</t>
  </si>
  <si>
    <t>Chauncey</t>
  </si>
  <si>
    <t>Development Authority of Floyd County</t>
  </si>
  <si>
    <t>Chester</t>
  </si>
  <si>
    <t>Auburn</t>
  </si>
  <si>
    <t>Canton Development Authority</t>
  </si>
  <si>
    <t>Carrollton Redevelopment Authority</t>
  </si>
  <si>
    <t>Austell</t>
  </si>
  <si>
    <t>Cartersville Development Authority</t>
  </si>
  <si>
    <t>Avera</t>
  </si>
  <si>
    <t>Housing Authority of the City of Louisville</t>
  </si>
  <si>
    <t>Molena</t>
  </si>
  <si>
    <t xml:space="preserve">Other (If Yes, then also describe): </t>
  </si>
  <si>
    <t>Adairsville Downtown Development Authority</t>
  </si>
  <si>
    <t>Adrian</t>
  </si>
  <si>
    <t>Albany-Dougherty Inner City Authority</t>
  </si>
  <si>
    <t>Ailey</t>
  </si>
  <si>
    <t>Alma Downtown Development Authority</t>
  </si>
  <si>
    <t>Alamo</t>
  </si>
  <si>
    <t>Arabi Industrial Development Authority</t>
  </si>
  <si>
    <t>Alapaha</t>
  </si>
  <si>
    <t>Arlington Housing Authority</t>
  </si>
  <si>
    <t>Microwave Oven in every unit</t>
  </si>
  <si>
    <t>Built in dishwasher in every unit</t>
  </si>
  <si>
    <t>Installed call system in all units</t>
  </si>
  <si>
    <t>High-speed internet access No Cost</t>
  </si>
  <si>
    <t>High-speed internet access Low Cost</t>
  </si>
  <si>
    <t>Housing Authority of the City of Moultrie, Georgia</t>
  </si>
  <si>
    <t>Moultrie</t>
  </si>
  <si>
    <t>Housing Authority of the City of Mt. Vernon</t>
  </si>
  <si>
    <t>Winder Downtown Development Authority</t>
  </si>
  <si>
    <t>Temple</t>
  </si>
  <si>
    <t>Effective</t>
  </si>
  <si>
    <t>The Housing Authority of the City of Dallas, Georgia</t>
  </si>
  <si>
    <t>The Housing Authority of the City of Newnan</t>
  </si>
  <si>
    <t>Statesboro</t>
  </si>
  <si>
    <t>Wellness Center</t>
  </si>
  <si>
    <t>Equipped Playground</t>
  </si>
  <si>
    <t>Cartersville Downtown Development Authority</t>
  </si>
  <si>
    <t>Avondale Estates</t>
  </si>
  <si>
    <t>Catoosa County Development Authority</t>
  </si>
  <si>
    <t>Baconton</t>
  </si>
  <si>
    <t>Cedartown Development Authority</t>
  </si>
  <si>
    <t>Bainbridge</t>
  </si>
  <si>
    <t>Cedartown Downtown Development Authority</t>
  </si>
  <si>
    <t>Grady County Joint Development Authority</t>
  </si>
  <si>
    <t>D.</t>
  </si>
  <si>
    <t>a.</t>
  </si>
  <si>
    <t>b.</t>
  </si>
  <si>
    <t>Site entry w/ permanent, illuminated entry sign and decorative fence</t>
  </si>
  <si>
    <t>Housing Authority of the Town of Homer, Ga.</t>
  </si>
  <si>
    <t>Pelham</t>
  </si>
  <si>
    <t>Houston County Development Authority</t>
  </si>
  <si>
    <t>Pembroke</t>
  </si>
  <si>
    <t>Ideal Downtown Development Authority</t>
  </si>
  <si>
    <t>Woodbine Downtown Development Authority</t>
  </si>
  <si>
    <t>Tennille</t>
  </si>
  <si>
    <t>Thomaston</t>
  </si>
  <si>
    <t>Thomasville</t>
  </si>
  <si>
    <t>Development of YMCA center</t>
  </si>
  <si>
    <t>Development of youth center</t>
  </si>
  <si>
    <t>Development of senior center</t>
  </si>
  <si>
    <t>Construction of sidewalks adjacent to the property</t>
  </si>
  <si>
    <t>Construction of streetscape adjacent to the property</t>
  </si>
  <si>
    <t>Development of parks on a master plan development site</t>
  </si>
  <si>
    <t>per annum</t>
  </si>
  <si>
    <t>Project Participant</t>
  </si>
  <si>
    <t>Low Income</t>
  </si>
  <si>
    <t>Acq/Rehab</t>
  </si>
  <si>
    <t>Development Authority of Mitchell County</t>
  </si>
  <si>
    <t>Development Authority of Monroe County</t>
  </si>
  <si>
    <t>Conyers</t>
  </si>
  <si>
    <t>Census Designated Place</t>
  </si>
  <si>
    <t>Register</t>
  </si>
  <si>
    <t>Lavonia Downtown Development Authority</t>
  </si>
  <si>
    <t>Reidsville</t>
  </si>
  <si>
    <t>Lincoln County Development Authority</t>
  </si>
  <si>
    <t>Remerton</t>
  </si>
  <si>
    <t>Long County Housing Authority</t>
  </si>
  <si>
    <t>Rentz</t>
  </si>
  <si>
    <t>Lyons Downtown Development Authority</t>
  </si>
  <si>
    <t>Resaca</t>
  </si>
  <si>
    <t>Macon-Bibb County Urban Development Authority</t>
  </si>
  <si>
    <t>Amount of nonqualified nonrecourse financing</t>
  </si>
  <si>
    <t>The following sections apply to all direct and indirect Owners, Developers and Consultants (Entity and Principal) :</t>
  </si>
  <si>
    <t>Development Authority of the City of Oakwood</t>
  </si>
  <si>
    <t>Dawsonville</t>
  </si>
  <si>
    <t>Enterprise Foundation's Green Communities standard of construction and certification</t>
  </si>
  <si>
    <t>Surplus / (Shortage) of Construction funds to Construction costs:</t>
  </si>
  <si>
    <t>City of Clayton Downtown Development Authority</t>
  </si>
  <si>
    <t>City of Commerce Downtown Development Authority</t>
  </si>
  <si>
    <t>Bishop</t>
  </si>
  <si>
    <t>Fitzgerald/Ben Hill County Development Authority</t>
  </si>
  <si>
    <t>Hoboken</t>
  </si>
  <si>
    <t>Pulaski County-Hawkinsville Development Authority</t>
  </si>
  <si>
    <t>Roswell</t>
  </si>
  <si>
    <t>Unit Square Footage:</t>
  </si>
  <si>
    <t>Date all buildings will complete 15 yr Compliance pd</t>
  </si>
  <si>
    <t>Schley Co.</t>
  </si>
  <si>
    <t>Screven</t>
  </si>
  <si>
    <t>Screven Co.</t>
  </si>
  <si>
    <t>Seminole</t>
  </si>
  <si>
    <t>Seminole Co.</t>
  </si>
  <si>
    <t>Spalding</t>
  </si>
  <si>
    <t>Stephens</t>
  </si>
  <si>
    <t>Stephens Co.</t>
  </si>
  <si>
    <t>Stewart</t>
  </si>
  <si>
    <t>Stewart Co.</t>
  </si>
  <si>
    <t>Sumter</t>
  </si>
  <si>
    <t>Sumter Co.</t>
  </si>
  <si>
    <t>Talbot</t>
  </si>
  <si>
    <t>Talbot Co.</t>
  </si>
  <si>
    <t>Taliaferro</t>
  </si>
  <si>
    <t>Taliaferro Co.</t>
  </si>
  <si>
    <t>Tattnall</t>
  </si>
  <si>
    <t>Tattnall Co.</t>
  </si>
  <si>
    <t>Taylor</t>
  </si>
  <si>
    <t>TOTAL OPERATING EXPENSES</t>
  </si>
  <si>
    <t>TOTAL ANNUAL EXPENSES</t>
  </si>
  <si>
    <t>Revenue Growth</t>
  </si>
  <si>
    <t>Expense Growth</t>
  </si>
  <si>
    <t>Vacancy &amp; Collection Loss</t>
  </si>
  <si>
    <t>Reserves Growth</t>
  </si>
  <si>
    <t>Phased Project?</t>
  </si>
  <si>
    <t>10-Digit Office Phone</t>
  </si>
  <si>
    <t>Contact Name</t>
  </si>
  <si>
    <t>Installed call system in all units, including a buzzer and light to the exterior (basic amenity for senior projects)</t>
  </si>
  <si>
    <t>Management Salaries &amp; Benefits</t>
  </si>
  <si>
    <t>ACQUISITION</t>
  </si>
  <si>
    <t>Land</t>
  </si>
  <si>
    <t>Housing Authority of the City of Ashburn</t>
  </si>
  <si>
    <t>Housing Authority of the City of Athens, Georgia</t>
  </si>
  <si>
    <t>Is sufficient comparable replacement housing identified in the relocation plan according to DCA relocation requirements?</t>
  </si>
  <si>
    <t>Efficiency Rehab Mkt Units</t>
  </si>
  <si>
    <t>1 BR Rehab Mkt Units</t>
  </si>
  <si>
    <t>2 BR Rehab Mkt Units</t>
  </si>
  <si>
    <t>Does this application meet the Architectural Standards contained in the Application Manual for quality and longevity?</t>
  </si>
  <si>
    <t>Amenities?</t>
  </si>
  <si>
    <t>Architectural Standards?</t>
  </si>
  <si>
    <t>(Years)</t>
  </si>
  <si>
    <t>Federal Grant</t>
  </si>
  <si>
    <t>Total Permanent Financing:</t>
  </si>
  <si>
    <t>Total Development Costs from Development Budget:</t>
  </si>
  <si>
    <t>Self</t>
  </si>
  <si>
    <t>Score</t>
  </si>
  <si>
    <t>Less Total Subtractions From Basis (see above)</t>
  </si>
  <si>
    <t>Total Eligible Basis</t>
  </si>
  <si>
    <t>City of Willacoochee Development Authority</t>
  </si>
  <si>
    <t>Clay County Development Authority</t>
  </si>
  <si>
    <t>Boston</t>
  </si>
  <si>
    <t>Clinch County Development Authority</t>
  </si>
  <si>
    <t>Bostwick</t>
  </si>
  <si>
    <t>UTILITY ALLOWANCE SCHEDULE #1</t>
  </si>
  <si>
    <t>UTILITY ALLOWANCE SCHEDULE #2</t>
  </si>
  <si>
    <t>Zip+4</t>
  </si>
  <si>
    <t>City of Jesup Downtown Development Authority</t>
  </si>
  <si>
    <t>Blue Ridge</t>
  </si>
  <si>
    <t>Equity Gap</t>
  </si>
  <si>
    <t xml:space="preserve">Waiver of Qualified Contract Right </t>
  </si>
  <si>
    <t>Chattooga County Development Authority</t>
  </si>
  <si>
    <t>Baxley</t>
  </si>
  <si>
    <t>Cherokee County Development Authority</t>
  </si>
  <si>
    <t>Bellville</t>
  </si>
  <si>
    <t>City of Alpharetta Development Authority</t>
  </si>
  <si>
    <t>Berkeley Lake</t>
  </si>
  <si>
    <t>Exterior Wall Finishes and Major Building Component Materials and Upgrades</t>
  </si>
  <si>
    <t>Emanuel</t>
  </si>
  <si>
    <t>Emanuel Co.</t>
  </si>
  <si>
    <t>Evans</t>
  </si>
  <si>
    <t>First Building ID Nbr in Project</t>
  </si>
  <si>
    <t>Last Building ID Nbr in Project</t>
  </si>
  <si>
    <t>Housing Authority of the City of Ringgold</t>
  </si>
  <si>
    <t>Nashville</t>
  </si>
  <si>
    <t>Hogansville Development Authority</t>
  </si>
  <si>
    <t>Jenkinsburg</t>
  </si>
  <si>
    <t>XV.</t>
  </si>
  <si>
    <t>Is there a Waiver Approval Letter From DCA included in this application for this criterion?</t>
  </si>
  <si>
    <t>Annual Debt Svc</t>
  </si>
  <si>
    <t>Loan Amount:</t>
  </si>
  <si>
    <t>Sycamore</t>
  </si>
  <si>
    <t>Valdosta Housing Authority</t>
  </si>
  <si>
    <t>Sylvania</t>
  </si>
  <si>
    <t>Valley Partnership Joint Development Authority</t>
  </si>
  <si>
    <t>Sylvester</t>
  </si>
  <si>
    <t>Toccoa</t>
  </si>
  <si>
    <t>Bartow-Cartersville Joint Development Authority</t>
  </si>
  <si>
    <t>Ambrose</t>
  </si>
  <si>
    <t>Ben Hill-Irwin Area Joint Development Authority</t>
  </si>
  <si>
    <t>Pelham Housing Authority</t>
  </si>
  <si>
    <t>Rocky Ford</t>
  </si>
  <si>
    <t>Pooler Development Authority</t>
  </si>
  <si>
    <t>Rome</t>
  </si>
  <si>
    <t>City of Barnesville and County of Lamar Development Authority</t>
  </si>
  <si>
    <t>Bowersville</t>
  </si>
  <si>
    <t>Coweta, Fayette, Meriwether Joint Development Authority</t>
  </si>
  <si>
    <t>Omega</t>
  </si>
  <si>
    <t>Housing Authority of the City of Waynesboro</t>
  </si>
  <si>
    <t>Orchard Hill</t>
  </si>
  <si>
    <t>Housing Authority of the City of Roberta, GA.</t>
  </si>
  <si>
    <t>Unit Breakdown</t>
  </si>
  <si>
    <t>Number of Low Income Units</t>
  </si>
  <si>
    <t>Downtown Development Authority of Lawrenceville, GA</t>
  </si>
  <si>
    <t>Fayetteville</t>
  </si>
  <si>
    <t>Downtown Development Authority of Madison</t>
  </si>
  <si>
    <t>Fitzgerald</t>
  </si>
  <si>
    <t>Other (See comments)</t>
  </si>
  <si>
    <t>Acreage</t>
  </si>
  <si>
    <t>Housing Authority of the City of Pearson, Georgia</t>
  </si>
  <si>
    <t>Mountain Park</t>
  </si>
  <si>
    <t>Included in Mgt Fee:</t>
  </si>
  <si>
    <t>Elbert County Richard B. Russell Development Authority</t>
  </si>
  <si>
    <t>Helena</t>
  </si>
  <si>
    <t>Development Authority of Catoosa County</t>
  </si>
  <si>
    <t>Cairo</t>
  </si>
  <si>
    <t>Development Authority of Chattooga County</t>
  </si>
  <si>
    <t>Development Authority of Cherokee County</t>
  </si>
  <si>
    <t>Development Authority of City of Edison, Georgia</t>
  </si>
  <si>
    <t>Camak</t>
  </si>
  <si>
    <t>New Construction</t>
  </si>
  <si>
    <t>Mixed Use</t>
  </si>
  <si>
    <t>Buildings</t>
  </si>
  <si>
    <t>Cost of Issuance / Underwriter's Discount</t>
  </si>
  <si>
    <t>EQUITY COSTS</t>
  </si>
  <si>
    <t>Crisp-Dooly Joint Development Authority</t>
  </si>
  <si>
    <t>Unit Area</t>
  </si>
  <si>
    <t>Gibson Housing Authority</t>
  </si>
  <si>
    <t>Glennville Development Authority</t>
  </si>
  <si>
    <t>Hull</t>
  </si>
  <si>
    <t>Glennville Downtown Development Authority</t>
  </si>
  <si>
    <t>Ideal</t>
  </si>
  <si>
    <t>Urban Redevelopment Agency of the City of Kennesaw, Georgia</t>
  </si>
  <si>
    <t>Suwanee</t>
  </si>
  <si>
    <t>1 BR 50% Units</t>
  </si>
  <si>
    <t>2 BR 50% Units</t>
  </si>
  <si>
    <t>3 BR 50% Units</t>
  </si>
  <si>
    <t>4 BR 50% Units</t>
  </si>
  <si>
    <t>1 BR 30% Units</t>
  </si>
  <si>
    <t>2 BR 30% Units</t>
  </si>
  <si>
    <t>3 BR 30% Units</t>
  </si>
  <si>
    <t>4 BR 30% Units</t>
  </si>
  <si>
    <t>1 BR Mkt Units</t>
  </si>
  <si>
    <t>2 BR Mkt Units</t>
  </si>
  <si>
    <t>3 BR Mkt Units</t>
  </si>
  <si>
    <t>Gainesville Redevelopment Authority</t>
  </si>
  <si>
    <t>Georgia Bioscience Joint Development Authority</t>
  </si>
  <si>
    <t>Hoschton</t>
  </si>
  <si>
    <t>Housing Authority of the City of Griffin</t>
  </si>
  <si>
    <t>Meansville</t>
  </si>
  <si>
    <t>Nbr yrs to forgo cancellation option:</t>
  </si>
  <si>
    <t>&lt;&lt;Select exterior material /finish upgrade choice from options provided here&gt;&gt;</t>
  </si>
  <si>
    <t>Development Authority of Fulton County</t>
  </si>
  <si>
    <t>Development Authority of Gordon County</t>
  </si>
  <si>
    <t>Clarkesville</t>
  </si>
  <si>
    <t>Bowman</t>
  </si>
  <si>
    <t>Thomson</t>
  </si>
  <si>
    <t>Thunderbolt</t>
  </si>
  <si>
    <t>Tifton</t>
  </si>
  <si>
    <t>Tiger</t>
  </si>
  <si>
    <t>Tignall</t>
  </si>
  <si>
    <t>Lexington</t>
  </si>
  <si>
    <t>Housing Authority of the City of Calhoun</t>
  </si>
  <si>
    <t>Lilburn</t>
  </si>
  <si>
    <t>Eligible Basis Calculation</t>
  </si>
  <si>
    <t>Leased Furniture / Equipment</t>
  </si>
  <si>
    <t>Housing Authority of the City of Nashville, Georgia</t>
  </si>
  <si>
    <t>CONTRACTOR SERVICES</t>
  </si>
  <si>
    <t>Builder Profit:</t>
  </si>
  <si>
    <t>CONSTRUCTION FINANCING</t>
  </si>
  <si>
    <t>Construction Loan Fee</t>
  </si>
  <si>
    <t>Construction Loan Interest</t>
  </si>
  <si>
    <t>Construction Legal Fees</t>
  </si>
  <si>
    <t>Construction Insurance</t>
  </si>
  <si>
    <t>Has there been any change in the Project Team since the initial pre-application submission?</t>
  </si>
  <si>
    <t>DCA Final Determination</t>
  </si>
  <si>
    <t>Jonesboro</t>
  </si>
  <si>
    <t>Housing Authority of Clayton County</t>
  </si>
  <si>
    <t>Junction City</t>
  </si>
  <si>
    <t xml:space="preserve"> --&gt; If Yes, indicate actual percentage:</t>
  </si>
  <si>
    <t>Wheeler County, GA</t>
  </si>
  <si>
    <t>White County, GA</t>
  </si>
  <si>
    <t>Dalton, GA HUD Metro FMR Area</t>
  </si>
  <si>
    <t>Wilcox County, GA</t>
  </si>
  <si>
    <t>Development Authority of Bartow County</t>
  </si>
  <si>
    <t>Broxton</t>
  </si>
  <si>
    <t>Fort Gaines</t>
  </si>
  <si>
    <t>Please note:</t>
  </si>
  <si>
    <t>4)</t>
  </si>
  <si>
    <t>RENT SCHEDULE</t>
  </si>
  <si>
    <t>Employee</t>
  </si>
  <si>
    <t>Addition of new or redesign of existing durable attractive stair and railing elements</t>
  </si>
  <si>
    <t>Development Authority of Atkinson County</t>
  </si>
  <si>
    <t>Brinson</t>
  </si>
  <si>
    <t>LESSER OF % of (TDC - uw Land - budgeted DF - Bldr profit)</t>
  </si>
  <si>
    <t>OR percentage proposed</t>
  </si>
  <si>
    <t>?</t>
  </si>
  <si>
    <t xml:space="preserve">      Yr 1 Prop Mgt Fee Percentage of EGI:</t>
  </si>
  <si>
    <t>DCA RESOURCES</t>
  </si>
  <si>
    <t>Tax Credit Election</t>
  </si>
  <si>
    <t>Project Nbr</t>
  </si>
  <si>
    <t>Are all issues and questions surrounding the zoning and land use classification clearly defined prior to this application submission?</t>
  </si>
  <si>
    <t>South Georgia Business and Development Authority</t>
  </si>
  <si>
    <t>Woodville</t>
  </si>
  <si>
    <t>Woolsey</t>
  </si>
  <si>
    <t>Wrens</t>
  </si>
  <si>
    <t>Per Owner Per Round (% of HOME funds available)</t>
  </si>
  <si>
    <t>Syndicator Legal Fees</t>
  </si>
  <si>
    <t>Downtown Development Authority of Pitts, Georgia</t>
  </si>
  <si>
    <t>Folkston</t>
  </si>
  <si>
    <t>(see Income)</t>
  </si>
  <si>
    <t>Designated Middle or Upper Income level</t>
  </si>
  <si>
    <t>(see Demographics)</t>
  </si>
  <si>
    <t>Development Authority of Bainbridge and Decatur County</t>
  </si>
  <si>
    <t>Bronwood</t>
  </si>
  <si>
    <t>Development Authority of Baker County</t>
  </si>
  <si>
    <t>Development Authority of Banks County</t>
  </si>
  <si>
    <t>Wilcox Co.</t>
  </si>
  <si>
    <t>Wilkes</t>
  </si>
  <si>
    <t>Wilkes Co.</t>
  </si>
  <si>
    <t>Wilkinson</t>
  </si>
  <si>
    <t>Wilkinson Co.</t>
  </si>
  <si>
    <t>Worth</t>
  </si>
  <si>
    <t>Tax-Exempt Bond Issuers</t>
  </si>
  <si>
    <t>Abbeville</t>
  </si>
  <si>
    <t>Revenues</t>
  </si>
  <si>
    <t>Vacancy</t>
  </si>
  <si>
    <r>
      <t xml:space="preserve">Subsidy </t>
    </r>
    <r>
      <rPr>
        <b/>
        <sz val="10"/>
        <color indexed="10"/>
        <rFont val="Arial"/>
        <family val="2"/>
      </rPr>
      <t>***</t>
    </r>
  </si>
  <si>
    <t>Total Residential Units</t>
  </si>
  <si>
    <t>Common Space Units</t>
  </si>
  <si>
    <t>HOME</t>
  </si>
  <si>
    <t>Tax Credits</t>
  </si>
  <si>
    <t>Number of Persons in Family and Percentage Adjustments for Rent Calculations</t>
  </si>
  <si>
    <t>Housing Authority of the City of Albany</t>
  </si>
  <si>
    <t>Lakeland</t>
  </si>
  <si>
    <t>Has the Environmental Professional identified any of the following on the subject property:</t>
  </si>
  <si>
    <t>&lt;Enter detailed description here; use Comments section if needed&gt;</t>
  </si>
  <si>
    <t>Sandersville</t>
  </si>
  <si>
    <t>Sardis Development Authority</t>
  </si>
  <si>
    <t>Expiring Tax Credit (15 Year)</t>
  </si>
  <si>
    <t>Year of Original Allocation</t>
  </si>
  <si>
    <t>First Year of Credit Period</t>
  </si>
  <si>
    <t>Development Authority of Walton County</t>
  </si>
  <si>
    <t>Development Authority of Warner Robins</t>
  </si>
  <si>
    <t>Dexter</t>
  </si>
  <si>
    <t>Development Authority of Warren County</t>
  </si>
  <si>
    <t>Dillard</t>
  </si>
  <si>
    <t>Development Authority of Washington County</t>
  </si>
  <si>
    <t>Development Authority of Wheeler County</t>
  </si>
  <si>
    <t>4 BR Common Space SF</t>
  </si>
  <si>
    <t>Efficiency Common Space Units</t>
  </si>
  <si>
    <t>1 BR Common Space Units</t>
  </si>
  <si>
    <t>2 BR Common Space Units</t>
  </si>
  <si>
    <t>3 BR Common Space Units</t>
  </si>
  <si>
    <t>4 BR Common Space Units</t>
  </si>
  <si>
    <t>a)</t>
  </si>
  <si>
    <t>b)</t>
  </si>
  <si>
    <t>c)</t>
  </si>
  <si>
    <t>d)</t>
  </si>
  <si>
    <t>e)</t>
  </si>
  <si>
    <t>1 BR</t>
  </si>
  <si>
    <t>2 BR</t>
  </si>
  <si>
    <t>3 BR</t>
  </si>
  <si>
    <t>4 BR</t>
  </si>
  <si>
    <t>City of Cumming Development Authority</t>
  </si>
  <si>
    <t>Blackshear</t>
  </si>
  <si>
    <t>City of Dawson Development Authority</t>
  </si>
  <si>
    <t>Blairsville</t>
  </si>
  <si>
    <t>City of Dublin and County of Laurens Development Authority</t>
  </si>
  <si>
    <t>Blakely</t>
  </si>
  <si>
    <t>City of Duluth Downtown Development Authority</t>
  </si>
  <si>
    <t>City of Fayetteville Downtown Development Authority</t>
  </si>
  <si>
    <t>Bloomingdale</t>
  </si>
  <si>
    <t>Norman Park</t>
  </si>
  <si>
    <t>Housing Authority of the City of Summerville</t>
  </si>
  <si>
    <t>f)</t>
  </si>
  <si>
    <t>g)</t>
  </si>
  <si>
    <t>h)</t>
  </si>
  <si>
    <t>i)</t>
  </si>
  <si>
    <t>Provide the name of the market study analyst used by applicant:</t>
  </si>
  <si>
    <t>Downtown Development Authority of the City of Jackson</t>
  </si>
  <si>
    <t>Gay</t>
  </si>
  <si>
    <t>Interest Rate:</t>
  </si>
  <si>
    <t>Investor Rate</t>
  </si>
  <si>
    <t>Servicing Fee</t>
  </si>
  <si>
    <t>GNMA Gty Fee</t>
  </si>
  <si>
    <t>USDA Annual Fee</t>
  </si>
  <si>
    <t>Loan Term</t>
  </si>
  <si>
    <t>years</t>
  </si>
  <si>
    <t>Amortization Period</t>
  </si>
  <si>
    <t>III. Amortization Schedule</t>
  </si>
  <si>
    <t>Month</t>
  </si>
  <si>
    <t>P&amp;I Payment</t>
  </si>
  <si>
    <t>Principal</t>
  </si>
  <si>
    <t>Balance</t>
  </si>
  <si>
    <t>Close</t>
  </si>
  <si>
    <t>Interest Credit</t>
  </si>
  <si>
    <t>Guarantee Fee</t>
  </si>
  <si>
    <t>Effective Rate</t>
  </si>
  <si>
    <t>Year</t>
  </si>
  <si>
    <t>Clay</t>
  </si>
  <si>
    <t>Clay Co.</t>
  </si>
  <si>
    <t>Clayton</t>
  </si>
  <si>
    <t>Clinch</t>
  </si>
  <si>
    <t>Clinch Co.</t>
  </si>
  <si>
    <t>Cobb</t>
  </si>
  <si>
    <t>Coffee</t>
  </si>
  <si>
    <t>Coffee Co.</t>
  </si>
  <si>
    <t>Colquitt</t>
  </si>
  <si>
    <t>GOVERNMENT FUNDING SOURCES  (check all that apply)</t>
  </si>
  <si>
    <t>Lyons</t>
  </si>
  <si>
    <t>Cleveland</t>
  </si>
  <si>
    <t>Development Authority of Jasper County</t>
  </si>
  <si>
    <t>Lead-based paint?</t>
  </si>
  <si>
    <t>MF Units</t>
  </si>
  <si>
    <t>SF Det'd Units</t>
  </si>
  <si>
    <t>MH Units</t>
  </si>
  <si>
    <t>Duplex Units</t>
  </si>
  <si>
    <t>Boundary and Topographical Survey</t>
  </si>
  <si>
    <t>Toombs County Development Authority</t>
  </si>
  <si>
    <t>Stone Mountain</t>
  </si>
  <si>
    <t>Treutlen County Development Authority</t>
  </si>
  <si>
    <t>Troup County Development  Authority</t>
  </si>
  <si>
    <t>Equipped walking path with exercise stations or sitting areas</t>
  </si>
  <si>
    <t xml:space="preserve">     </t>
  </si>
  <si>
    <t xml:space="preserve">Covered pavilion with picnic/barbecue facilities to encourage community or family reunion type functions  </t>
  </si>
  <si>
    <t xml:space="preserve">     Expense Growth Rate (3.00%)</t>
  </si>
  <si>
    <t>Yes/No</t>
  </si>
  <si>
    <t>Common Space</t>
  </si>
  <si>
    <t>(included in LI above)</t>
  </si>
  <si>
    <t>Downtown Development Authority of Austell</t>
  </si>
  <si>
    <t>Eastman</t>
  </si>
  <si>
    <t>Downtown Development Authority of Avondale Estates</t>
  </si>
  <si>
    <t>The Downtown Development Authority of the City of Griffin, Georgia</t>
  </si>
  <si>
    <t>Springfield</t>
  </si>
  <si>
    <t>The Housing Authority of the City of Americus, GA</t>
  </si>
  <si>
    <t>Source of Utility Allowances</t>
  </si>
  <si>
    <t>Powder Springs Downtown Development Authority</t>
  </si>
  <si>
    <t>Rossville</t>
  </si>
  <si>
    <t>&lt; Select applicable GICH &gt;</t>
  </si>
  <si>
    <t>1 BR 120% NSP Units</t>
  </si>
  <si>
    <t>2 BR 120% NSP Units</t>
  </si>
  <si>
    <t>Southeast Georgia Consolidated Housing Authority</t>
  </si>
  <si>
    <t>Scotland</t>
  </si>
  <si>
    <t>Colquitt Co.</t>
  </si>
  <si>
    <t>Columbia</t>
  </si>
  <si>
    <t>Cook</t>
  </si>
  <si>
    <t>Cook Co.</t>
  </si>
  <si>
    <t>Coweta</t>
  </si>
  <si>
    <t>Crawford</t>
  </si>
  <si>
    <t>Crisp</t>
  </si>
  <si>
    <t>3.</t>
  </si>
  <si>
    <t>The Development Authority of the City of Manchester</t>
  </si>
  <si>
    <t>Soperton</t>
  </si>
  <si>
    <t>The Development Authority of the City of Tallapoosa</t>
  </si>
  <si>
    <t>Sparks</t>
  </si>
  <si>
    <t>Central Georgia Joint Development Authority</t>
  </si>
  <si>
    <t>Ball Ground</t>
  </si>
  <si>
    <t>Multiply Adjusted Eligible Basis by Applicable Fraction</t>
  </si>
  <si>
    <t>Maximum Tax Credit Amount</t>
  </si>
  <si>
    <t>Is 20-year replacement reserve study included?</t>
  </si>
  <si>
    <t>In-sink disposal in every unit</t>
  </si>
  <si>
    <t>Bowdon Housing Authority</t>
  </si>
  <si>
    <t>Arabi</t>
  </si>
  <si>
    <t>Brantley County Development Authority</t>
  </si>
  <si>
    <t>Aragon</t>
  </si>
  <si>
    <t>Bremen Housing Authority</t>
  </si>
  <si>
    <t>Arcade</t>
  </si>
  <si>
    <t>Brooks County Development Authority</t>
  </si>
  <si>
    <t>Argyle</t>
  </si>
  <si>
    <t>Brunswick and Glynn County Development Authority</t>
  </si>
  <si>
    <t>Arlington</t>
  </si>
  <si>
    <t>Bryan County-Pembroke Development Authority</t>
  </si>
  <si>
    <t>Butts, Henry, Lamar and Spalding County Joint Development Authority</t>
  </si>
  <si>
    <t>Arnoldsville</t>
  </si>
  <si>
    <t>Byron  Development Authority</t>
  </si>
  <si>
    <t>Ashburn</t>
  </si>
  <si>
    <t>% of TDC</t>
  </si>
  <si>
    <t>Belvedere Park</t>
  </si>
  <si>
    <t>Blacksville</t>
  </si>
  <si>
    <t>Bonanza</t>
  </si>
  <si>
    <t>Candler-McAfee</t>
  </si>
  <si>
    <t>Chattanooga Valley</t>
  </si>
  <si>
    <t>Conley</t>
  </si>
  <si>
    <t>Country Club Estates</t>
  </si>
  <si>
    <t>Deenwood</t>
  </si>
  <si>
    <t>Dock Junction</t>
  </si>
  <si>
    <t>Druid Hills</t>
  </si>
  <si>
    <t>East Griffin</t>
  </si>
  <si>
    <t>East Newnan</t>
  </si>
  <si>
    <t>Experiment</t>
  </si>
  <si>
    <t>Fair Oaks</t>
  </si>
  <si>
    <t>Fairview</t>
  </si>
  <si>
    <t>Atlanta-Sandy Springs-Marietta, GA HUD Metro FMR Area</t>
  </si>
  <si>
    <t>Ben Hill County, GA</t>
  </si>
  <si>
    <t>Berrien County, GA</t>
  </si>
  <si>
    <t>Macon, GA MSA</t>
  </si>
  <si>
    <t>Bleckley County, GA</t>
  </si>
  <si>
    <t>Brunswick, GA MSA</t>
  </si>
  <si>
    <t>Valdosta, GA MSA</t>
  </si>
  <si>
    <t>Morgan</t>
  </si>
  <si>
    <t>Morgan Co.</t>
  </si>
  <si>
    <t>Murray</t>
  </si>
  <si>
    <t>Murray Co.</t>
  </si>
  <si>
    <t>Muscogee</t>
  </si>
  <si>
    <t>Newton</t>
  </si>
  <si>
    <t>Oconee</t>
  </si>
  <si>
    <t>Oglethorpe</t>
  </si>
  <si>
    <t>Paulding</t>
  </si>
  <si>
    <t>Housing Authority of the City of Statesboro</t>
  </si>
  <si>
    <t>Housing Authority of the City of Monticello</t>
  </si>
  <si>
    <t>Morven</t>
  </si>
  <si>
    <t>Housing Authority of the City of Camilla</t>
  </si>
  <si>
    <t>Bulloch County, GA</t>
  </si>
  <si>
    <t>Augusta-Richmond County, GA-SC MSA</t>
  </si>
  <si>
    <t>Rural</t>
  </si>
  <si>
    <t>Nonprofit</t>
  </si>
  <si>
    <t>USDA 515</t>
  </si>
  <si>
    <t>USDA 538</t>
  </si>
  <si>
    <t>OTHER REQUIRED INFORMATION  (Answer each of the questions below for each participant listed below.)</t>
  </si>
  <si>
    <t>1-Story</t>
  </si>
  <si>
    <t>2-Story</t>
  </si>
  <si>
    <t>3+-Story</t>
  </si>
  <si>
    <t>2-Story Wlkp</t>
  </si>
  <si>
    <t>FHLB / AHP *</t>
  </si>
  <si>
    <t>Section 8 PBRA</t>
  </si>
  <si>
    <t>McKinney-Vento Homeless</t>
  </si>
  <si>
    <t>HUD SA:</t>
  </si>
  <si>
    <t>Non-MSA</t>
  </si>
  <si>
    <t>MSA</t>
  </si>
  <si>
    <t>Mortgage A (Lien Position 1)</t>
  </si>
  <si>
    <t>Mortgage B (Lien Position 2)</t>
  </si>
  <si>
    <t>Mortgage C (Lien Position 3)</t>
  </si>
  <si>
    <t>Mortgage A Balance</t>
  </si>
  <si>
    <t>Mortgage B Balance</t>
  </si>
  <si>
    <t>Mortgage C Balance</t>
  </si>
  <si>
    <r>
      <t xml:space="preserve">*** NOTE: When selecting "PHA Operating Subsidy" in the "PBRA Provider or Operating Subsidy" column above, please also then enter a zero in the "Proposed Gross Rent" column above </t>
    </r>
    <r>
      <rPr>
        <b/>
        <i/>
        <sz val="8"/>
        <color indexed="10"/>
        <rFont val="Arial Narrow"/>
        <family val="2"/>
      </rPr>
      <t>AND</t>
    </r>
    <r>
      <rPr>
        <b/>
        <sz val="8"/>
        <color indexed="10"/>
        <rFont val="Arial Narrow"/>
        <family val="2"/>
      </rPr>
      <t xml:space="preserve"> include the PHA operating subsidy amount in the "III. Ancillary and Other Income" section below.  Also refer to the Application Instructions provided separately.</t>
    </r>
  </si>
  <si>
    <t>Years 11 - 20</t>
  </si>
  <si>
    <t>Years 21 - 30</t>
  </si>
  <si>
    <t>Years 1 - 10</t>
  </si>
  <si>
    <t>Deeper Targeting through Rent Restrictions</t>
  </si>
  <si>
    <t>Point Scale</t>
  </si>
  <si>
    <t>Total Qualifying Sources (TQS):</t>
  </si>
  <si>
    <t>Total Development Costs (TDC):</t>
  </si>
  <si>
    <t>COMMUNITY TRANSPORTATION OPTIONS</t>
  </si>
  <si>
    <t>If "Yes":</t>
  </si>
  <si>
    <t>Percentage of site that is within a floodplain:</t>
  </si>
  <si>
    <t>Will any development occur in the floodplain?</t>
  </si>
  <si>
    <t>Is documentation provided as per Threshold criteria?</t>
  </si>
  <si>
    <t>Enter the percentage of the site that is a wetlands:</t>
  </si>
  <si>
    <t>Will any development occur in the wetlands?</t>
  </si>
  <si>
    <t>Water leaks?</t>
  </si>
  <si>
    <t>Endangered species?</t>
  </si>
  <si>
    <t>Historic designation?</t>
  </si>
  <si>
    <t>Does zoning of the development site conform to the site development plan?</t>
  </si>
  <si>
    <t>Is the zoning confirmed, in writing, by the authorized Local Government official?</t>
  </si>
  <si>
    <t>Is this written confirmation included in the Application?</t>
  </si>
  <si>
    <r>
      <t xml:space="preserve">Does the letter include the zoning </t>
    </r>
    <r>
      <rPr>
        <i/>
        <sz val="8"/>
        <rFont val="Arial"/>
        <family val="2"/>
      </rPr>
      <t>and</t>
    </r>
    <r>
      <rPr>
        <sz val="8"/>
        <rFont val="Arial"/>
        <family val="2"/>
      </rPr>
      <t xml:space="preserve"> land use classification of the property?</t>
    </r>
  </si>
  <si>
    <t>Is the letter accompanied by all conditions of these zoning and land use classifications?</t>
  </si>
  <si>
    <t>If project is requesting HOME or HUD funds, does Local Government official also comment on whether project will include development of prime or unique farmland?</t>
  </si>
  <si>
    <t>Is documentation provided (on the Architectural Site Conceptual Development Plan either graphically or in written form) that demonstrates that the site layout conforms to any moratoriums, density, setbacks or other requirements?</t>
  </si>
  <si>
    <t>Upgraded roofing shingles, or roofing materials  (warranty 30 years or greater)</t>
  </si>
  <si>
    <t>PROJECT FEASIBILITY, VIABILITY ANALYSIS, AND CONFORMANCE WITH PLAN</t>
  </si>
  <si>
    <t>REQUIRED SERVICES</t>
  </si>
  <si>
    <t>APPRAISALS</t>
  </si>
  <si>
    <t>ENVIRONMENTAL REQUIREMENTS</t>
  </si>
  <si>
    <t>SITE CONTROL</t>
  </si>
  <si>
    <t>SITE ACCESS</t>
  </si>
  <si>
    <t>SITE ZONING</t>
  </si>
  <si>
    <t>OPERATING UTILITIES</t>
  </si>
  <si>
    <t>PUBLIC WATER/SANITARY SEWER/STORM SEWER</t>
  </si>
  <si>
    <t>REQUIRED AMENITIES</t>
  </si>
  <si>
    <t>SITE INFORMATION AND CONCEPTUAL SITE DEVELOPMENT PLAN</t>
  </si>
  <si>
    <t>BUILDING SUSTAINABILITY</t>
  </si>
  <si>
    <t>ACCESSIBILITY STANDARDS</t>
  </si>
  <si>
    <t>ARCHITECTURAL DESIGN &amp; QUALITY STANDARDS</t>
  </si>
  <si>
    <t>REQUIRED LEGAL OPINIONS</t>
  </si>
  <si>
    <t>OPTIMAL UTILIZATION OF RESOURCES</t>
  </si>
  <si>
    <t>Name of CHDO Managing GP:</t>
  </si>
  <si>
    <r>
      <t>Additional Design Options</t>
    </r>
    <r>
      <rPr>
        <sz val="8"/>
        <rFont val="Arial"/>
        <family val="2"/>
      </rPr>
      <t xml:space="preserve"> - not listed above, proposed by Applicant prior to Application Submittal in accordance with Exhibit A DCA Pre-application and Pre-Award Deadlines and Fee Schedule, and subsequently approved by DCA.</t>
    </r>
  </si>
  <si>
    <t>Credit Eligibility for Acquisition</t>
  </si>
  <si>
    <t>Installation of Energy star “Advanced Lighting Package” throughout the property</t>
  </si>
  <si>
    <t>Installation of common area lighting with Energy star rating and controlled with either photocells or timers</t>
  </si>
  <si>
    <t>Energy star ceiling fans in living rooms, sunrooms and all bedrooms</t>
  </si>
  <si>
    <t xml:space="preserve">Energy star bath exhaust fan with timer and humidistat control </t>
  </si>
  <si>
    <t>Setasides</t>
  </si>
  <si>
    <t>CHDO</t>
  </si>
  <si>
    <t>Percent of available 9% credit pool</t>
  </si>
  <si>
    <t>Per Dwelling</t>
  </si>
  <si>
    <t>USDA 515 or URFA Fee</t>
  </si>
  <si>
    <t>DCA COMMENTS - DCA Use Only</t>
  </si>
  <si>
    <t>ELIGIBILITY FOR HOME LOANS UNDER THE CHDO SET-ASIDE</t>
  </si>
  <si>
    <t>Project is located in a census tract that meets the following demographics according to the most recent FFIEC Census Report (www.ffiec.gov/Census/):</t>
  </si>
  <si>
    <t>Construction Period Inspection Fees</t>
  </si>
  <si>
    <t xml:space="preserve"> If "Yes", name of company that prepared the noise assessment?</t>
  </si>
  <si>
    <t>Other (specify):</t>
  </si>
  <si>
    <r>
      <t>Family or Senior</t>
    </r>
    <r>
      <rPr>
        <sz val="8"/>
        <rFont val="Arial Narrow"/>
        <family val="2"/>
      </rPr>
      <t xml:space="preserve"> (if Senior, specify Elderly or HFOP)</t>
    </r>
  </si>
  <si>
    <t>NOTE: Row size may be increased or decreased as needed.  Press and hold Alt-Enter to start new paragraphs in the same box.</t>
  </si>
  <si>
    <t>Current</t>
  </si>
  <si>
    <t>Rental</t>
  </si>
  <si>
    <t>Percent</t>
  </si>
  <si>
    <t>Diff</t>
  </si>
  <si>
    <t>Rehabs Only:</t>
  </si>
  <si>
    <t>Site Street Address (if known)</t>
  </si>
  <si>
    <r>
      <t>9-digit Zip</t>
    </r>
    <r>
      <rPr>
        <b/>
        <sz val="11"/>
        <color indexed="10"/>
        <rFont val="Arial Narrow"/>
        <family val="2"/>
      </rPr>
      <t>**</t>
    </r>
  </si>
  <si>
    <t>Expiring HUD</t>
  </si>
  <si>
    <t>Existing properties: currently an Extension of Cancellation Option?</t>
  </si>
  <si>
    <t>New properties: to exercise an Extension of Cancellation Option?</t>
  </si>
  <si>
    <t>Website</t>
  </si>
  <si>
    <t>&lt;---This box for points, not Y/N.</t>
  </si>
  <si>
    <t>Expiration Date:</t>
  </si>
  <si>
    <t>LIHTC:</t>
  </si>
  <si>
    <t>HOME:</t>
  </si>
  <si>
    <t>(must be pre-qualified by DCA as CHDO)</t>
  </si>
  <si>
    <t>COST LIMITS</t>
  </si>
  <si>
    <t>1 Bedroom</t>
  </si>
  <si>
    <t>2 Bedroom</t>
  </si>
  <si>
    <t>Unit Type</t>
  </si>
  <si>
    <t>New Construction and</t>
  </si>
  <si>
    <t>3 Bedroom</t>
  </si>
  <si>
    <t>Totals</t>
  </si>
  <si>
    <t>(1 or 2 pts each - see QAP)</t>
  </si>
  <si>
    <t>INTEGRATED SUPPORTIVE HOUSING</t>
  </si>
  <si>
    <t>HISTORIC PRESERVATION</t>
  </si>
  <si>
    <t>Sustainable Communities Site Analysis Packet or Feasibility study?</t>
  </si>
  <si>
    <t>If "Other", explain here</t>
  </si>
  <si>
    <t>A1).</t>
  </si>
  <si>
    <t xml:space="preserve">                                                                                                                                                                                                                                                                                                                                                                                                                                                                                                                                                                                                                                                                                                                                                                                                                                                                                                                                                                                                                                                                                                                                                                                                                                                                                                                                                                                                                                                                                                                                                                                                                                                                                                                                                                                                                                                                                                                                                                                                                                                                                                                                                                                                                                                                                                                                                                                                                                                                                                                                                                                                                                                                                                                                                                                                                                                                                                                                                                                                                                                                                                                                                                                                                                                                                                                                                                                                                                                                                                                                                                                                                                                                                                                                                                                                                                                                                                                                                                                                                                                                                                                                                                                                                                                                                                                                                                                                                                                                                                                                                                                                                                                                                                                                                                                                                                                                                                                                                                                                                                                                                                                                                                                                                                                                                                                                                                                                                                                                                                                                                                                                                                                                                                                                                                </t>
  </si>
  <si>
    <t>For single family units, the total building envelope will have 35% minimum brick coverage; remaining 65% will be fiber cement siding or other product w/40 yr warranty</t>
  </si>
  <si>
    <r>
      <t xml:space="preserve">2-4 adjustments/revisions = one (1) pt deduction total; </t>
    </r>
    <r>
      <rPr>
        <i/>
        <sz val="8"/>
        <rFont val="Arial Narrow"/>
        <family val="2"/>
      </rPr>
      <t>then</t>
    </r>
    <r>
      <rPr>
        <sz val="8"/>
        <rFont val="Arial Narrow"/>
        <family val="2"/>
      </rPr>
      <t xml:space="preserve"> (1) pt deducted for each add'l adjustment.</t>
    </r>
  </si>
  <si>
    <t>Historic tax credit proceeds</t>
  </si>
  <si>
    <t>Designation:</t>
  </si>
  <si>
    <r>
      <t xml:space="preserve">Nearest Physical Street Address </t>
    </r>
    <r>
      <rPr>
        <b/>
        <sz val="10"/>
        <color rgb="FFFF0000"/>
        <rFont val="Arial Narrow"/>
        <family val="2"/>
      </rPr>
      <t>*</t>
    </r>
  </si>
  <si>
    <t>Is this Criterion met?</t>
  </si>
  <si>
    <t>Builder Overhead</t>
  </si>
  <si>
    <t>General Requirements*</t>
  </si>
  <si>
    <t>Actual Percent</t>
  </si>
  <si>
    <t>Less than</t>
  </si>
  <si>
    <t xml:space="preserve">below Poverty level </t>
  </si>
  <si>
    <r>
      <t xml:space="preserve">OTHER CONSTRUCTION HARD COSTS </t>
    </r>
    <r>
      <rPr>
        <sz val="8"/>
        <rFont val="Arial Narrow"/>
        <family val="2"/>
      </rPr>
      <t>(Non-GC work scope items done by Owner)</t>
    </r>
  </si>
  <si>
    <r>
      <t xml:space="preserve">Laundry, vending, app fees, etc.  </t>
    </r>
    <r>
      <rPr>
        <b/>
        <sz val="9"/>
        <rFont val="Arial"/>
        <family val="2"/>
      </rPr>
      <t>Actual pct of PGI:</t>
    </r>
  </si>
  <si>
    <r>
      <rPr>
        <b/>
        <sz val="10"/>
        <color rgb="FFFF0000"/>
        <rFont val="Arial Narrow"/>
        <family val="2"/>
      </rPr>
      <t xml:space="preserve">  * </t>
    </r>
    <r>
      <rPr>
        <sz val="8"/>
        <rFont val="Arial Narrow"/>
        <family val="2"/>
      </rPr>
      <t>If street number unknown</t>
    </r>
  </si>
  <si>
    <t>Average TCHC:</t>
  </si>
  <si>
    <r>
      <rPr>
        <b/>
        <i/>
        <u/>
        <sz val="10"/>
        <rFont val="Arial Narrow"/>
        <family val="2"/>
      </rPr>
      <t>T</t>
    </r>
    <r>
      <rPr>
        <i/>
        <sz val="10"/>
        <rFont val="Arial Narrow"/>
        <family val="2"/>
      </rPr>
      <t xml:space="preserve">otal </t>
    </r>
    <r>
      <rPr>
        <b/>
        <i/>
        <u/>
        <sz val="10"/>
        <rFont val="Arial Narrow"/>
        <family val="2"/>
      </rPr>
      <t>C</t>
    </r>
    <r>
      <rPr>
        <i/>
        <sz val="10"/>
        <rFont val="Arial Narrow"/>
        <family val="2"/>
      </rPr>
      <t xml:space="preserve">onstruction </t>
    </r>
    <r>
      <rPr>
        <b/>
        <i/>
        <u/>
        <sz val="10"/>
        <rFont val="Arial Narrow"/>
        <family val="2"/>
      </rPr>
      <t>H</t>
    </r>
    <r>
      <rPr>
        <i/>
        <sz val="10"/>
        <rFont val="Arial Narrow"/>
        <family val="2"/>
      </rPr>
      <t xml:space="preserve">ard </t>
    </r>
    <r>
      <rPr>
        <b/>
        <i/>
        <u/>
        <sz val="10"/>
        <rFont val="Arial Narrow"/>
        <family val="2"/>
      </rPr>
      <t>C</t>
    </r>
    <r>
      <rPr>
        <i/>
        <sz val="10"/>
        <rFont val="Arial Narrow"/>
        <family val="2"/>
      </rPr>
      <t>osts</t>
    </r>
  </si>
  <si>
    <t>Funding Amount</t>
  </si>
  <si>
    <t>Georgia Department of Community Affairs
Housing Finance and Development Division
60 Executive Park South, NE.
Atlanta, Georgia 30329-2231</t>
  </si>
  <si>
    <t>DCA reserves the right to verify all information or documents used in processing the Application, including requiring credit checks on all parties involved in the transaction.  Applicant hereby authorizes the financing bank, accountant, mortgage lender, creditors, other state housing agencies and others sources identified in the Application to release information to DCA or its designee in order to verify the accuracy of information in the Application and amendments thereto.</t>
  </si>
  <si>
    <t>Under penalty of perjury, to the best of my knowledge, I certify that all of the information in the attached Application, including all supporting documentation, is correct, complete and accurate.</t>
  </si>
  <si>
    <t xml:space="preserve">   If Yes -----------------&gt;:</t>
  </si>
  <si>
    <t xml:space="preserve">   If Yes, new Limit is --------------------------------------------&gt;:</t>
  </si>
  <si>
    <t>Average per unit per year</t>
  </si>
  <si>
    <t>Average per unit per month</t>
  </si>
  <si>
    <t>Average per unit</t>
  </si>
  <si>
    <t>http://votesmart.org/</t>
  </si>
  <si>
    <t>Legislative Districts:</t>
  </si>
  <si>
    <r>
      <t>Legislative Districts</t>
    </r>
    <r>
      <rPr>
        <b/>
        <sz val="10"/>
        <color rgb="FFFF0000"/>
        <rFont val="Arial Narrow"/>
        <family val="2"/>
      </rPr>
      <t xml:space="preserve"> **</t>
    </r>
  </si>
  <si>
    <t>Congressional</t>
  </si>
  <si>
    <t>Square Foot:</t>
  </si>
  <si>
    <r>
      <t xml:space="preserve">Average TDC Per:            </t>
    </r>
    <r>
      <rPr>
        <i/>
        <sz val="10"/>
        <rFont val="Arial Narrow"/>
        <family val="2"/>
      </rPr>
      <t xml:space="preserve"> Unit:</t>
    </r>
  </si>
  <si>
    <t>&lt;&lt; Select from list &gt;&gt;</t>
  </si>
  <si>
    <t>DCA Rural County</t>
  </si>
  <si>
    <r>
      <rPr>
        <b/>
        <u/>
        <sz val="10"/>
        <rFont val="Arial Narrow"/>
        <family val="2"/>
      </rPr>
      <t>T</t>
    </r>
    <r>
      <rPr>
        <b/>
        <sz val="10"/>
        <rFont val="Arial Narrow"/>
        <family val="2"/>
      </rPr>
      <t xml:space="preserve">OTAL </t>
    </r>
    <r>
      <rPr>
        <b/>
        <u/>
        <sz val="10"/>
        <rFont val="Arial Narrow"/>
        <family val="2"/>
      </rPr>
      <t>D</t>
    </r>
    <r>
      <rPr>
        <b/>
        <sz val="10"/>
        <rFont val="Arial Narrow"/>
        <family val="2"/>
      </rPr>
      <t xml:space="preserve">EVELOPMENT </t>
    </r>
    <r>
      <rPr>
        <b/>
        <u/>
        <sz val="10"/>
        <rFont val="Arial Narrow"/>
        <family val="2"/>
      </rPr>
      <t>C</t>
    </r>
    <r>
      <rPr>
        <b/>
        <sz val="10"/>
        <rFont val="Arial Narrow"/>
        <family val="2"/>
      </rPr>
      <t>OST  (TDC)</t>
    </r>
  </si>
  <si>
    <t>Project Cost Limit (PCL)</t>
  </si>
  <si>
    <r>
      <t xml:space="preserve">per </t>
    </r>
    <r>
      <rPr>
        <i/>
        <u/>
        <sz val="8"/>
        <rFont val="Arial Narrow"/>
        <family val="2"/>
      </rPr>
      <t>Res'l</t>
    </r>
    <r>
      <rPr>
        <i/>
        <sz val="8"/>
        <rFont val="Arial Narrow"/>
        <family val="2"/>
      </rPr>
      <t xml:space="preserve"> unit</t>
    </r>
  </si>
  <si>
    <r>
      <t xml:space="preserve">per </t>
    </r>
    <r>
      <rPr>
        <i/>
        <u/>
        <sz val="8"/>
        <rFont val="Arial Narrow"/>
        <family val="2"/>
      </rPr>
      <t>Res'l</t>
    </r>
    <r>
      <rPr>
        <i/>
        <sz val="8"/>
        <rFont val="Arial Narrow"/>
        <family val="2"/>
      </rPr>
      <t xml:space="preserve"> unit SF</t>
    </r>
  </si>
  <si>
    <t>Total Low Income Residential Unit Square Footage</t>
  </si>
  <si>
    <t>Total Unrestricted (Market) Residential Unit Square Footage</t>
  </si>
  <si>
    <t>Total Residential Unit Square Footage</t>
  </si>
  <si>
    <t>Total Common Space Unit Square Footage</t>
  </si>
  <si>
    <t>per unit sq ft</t>
  </si>
  <si>
    <t>per total sq ft</t>
  </si>
  <si>
    <t>Accessory Structures (ie. community bldg, maintenance bldg, etc.) - Rehab</t>
  </si>
  <si>
    <t>Accessory Structures (ie. community bldg, maintenance bldg, etc.) - New Constr</t>
  </si>
  <si>
    <t>In DCA Rural County?</t>
  </si>
  <si>
    <t>XIV.</t>
  </si>
  <si>
    <t>COMPETITIVE POOL</t>
  </si>
  <si>
    <t>APPLICATION COMPLETENESS</t>
  </si>
  <si>
    <t>Flexible Pool</t>
  </si>
  <si>
    <t>STABLE COMMUNITIES</t>
  </si>
  <si>
    <t>Rural Pool</t>
  </si>
  <si>
    <t>&lt;Select a Stable Communities option&gt;</t>
  </si>
  <si>
    <t>Flexible Pool, &lt; 5%</t>
  </si>
  <si>
    <t>Flexible Pool, &lt; 10%</t>
  </si>
  <si>
    <t>Flexible Pool, &lt; 15%</t>
  </si>
  <si>
    <t>Rural Pool, &lt; 15%</t>
  </si>
  <si>
    <t>Rural Pool, &lt; 20%</t>
  </si>
  <si>
    <t>Competitive Pool chosen:</t>
  </si>
  <si>
    <t>COMMUNITY REVITALIZATION PLANS</t>
  </si>
  <si>
    <t>HUD CHOICE Neighborhoods</t>
  </si>
  <si>
    <t>6a)</t>
  </si>
  <si>
    <t>6b)</t>
  </si>
  <si>
    <t>Overall:</t>
  </si>
  <si>
    <t>Asbestos-containing materials?</t>
  </si>
  <si>
    <t>Noise?</t>
  </si>
  <si>
    <t>Other (e.g., Native American burial grounds, etc.) - describe in box below:</t>
  </si>
  <si>
    <t>Lead in water?</t>
  </si>
  <si>
    <t>Eight-Step Process for Wetlands and/or Floodplains required and included?</t>
  </si>
  <si>
    <t>Energy Star refrigerators</t>
  </si>
  <si>
    <t>Stoves</t>
  </si>
  <si>
    <t>Microwave ovens</t>
  </si>
  <si>
    <t>Date of Physical Needs Assessment (PNA):</t>
  </si>
  <si>
    <t>Applicant agrees that the final construction documents must clearly indicate all components of the building envelope and all materials and equipment that meet the requirements set forth in the QAP and DCA Architectural Manual?</t>
  </si>
  <si>
    <t>Provide summary data collected from DCA Relocation Displacement Spreadsheet:</t>
  </si>
  <si>
    <t>AFFIRMATIVELY FURTHERING FAIR HOUSING (AFFH)</t>
  </si>
  <si>
    <r>
      <t xml:space="preserve">General Requirements </t>
    </r>
    <r>
      <rPr>
        <sz val="6"/>
        <rFont val="Arial Narrow"/>
        <family val="2"/>
      </rPr>
      <t>(exclusive of Contractor Svcs)</t>
    </r>
  </si>
  <si>
    <t>Pools</t>
  </si>
  <si>
    <t>Flexible</t>
  </si>
  <si>
    <t>remaining</t>
  </si>
  <si>
    <t>Plus travel</t>
  </si>
  <si>
    <t>Single Family Detached or Duplex fee</t>
  </si>
  <si>
    <t>&lt;Select a Community Revitalization Plan option&gt;</t>
  </si>
  <si>
    <t>None</t>
  </si>
  <si>
    <t>EXTENDED AFFORDABILITY COMMITMENT</t>
  </si>
  <si>
    <t>Funding or assistance provided below is binding and unconditional except as set forth in this section.</t>
  </si>
  <si>
    <t>&lt;Select unrelated 3rd party type&gt;</t>
  </si>
  <si>
    <t xml:space="preserve">Total Units </t>
  </si>
  <si>
    <t>% of Total</t>
  </si>
  <si>
    <t>Historic Credit Equity:</t>
  </si>
  <si>
    <t>Project City</t>
  </si>
  <si>
    <t>Project County</t>
  </si>
  <si>
    <t>HUD SA</t>
  </si>
  <si>
    <t>Developer and Contractor?</t>
  </si>
  <si>
    <t>Owner and Consultant?</t>
  </si>
  <si>
    <t>Developer and Consultant?</t>
  </si>
  <si>
    <t>Roll-In Showers</t>
  </si>
  <si>
    <t>% of Units for the Mobility-Impaired</t>
  </si>
  <si>
    <t xml:space="preserve">Total Residential Parking Spaces </t>
  </si>
  <si>
    <r>
      <t xml:space="preserve">DEVELOPMENT BUDGET </t>
    </r>
    <r>
      <rPr>
        <i/>
        <sz val="8"/>
        <rFont val="Arial Narrow"/>
        <family val="2"/>
      </rPr>
      <t xml:space="preserve"> (cont'd)</t>
    </r>
  </si>
  <si>
    <r>
      <t xml:space="preserve">DEVELOPMENT BUDGET </t>
    </r>
    <r>
      <rPr>
        <i/>
        <sz val="8"/>
        <rFont val="Arial Narrow"/>
        <family val="2"/>
      </rPr>
      <t>(cont'd)</t>
    </r>
  </si>
  <si>
    <t>Payment and Performance Bond (HOME only)?</t>
  </si>
  <si>
    <r>
      <t xml:space="preserve">OTHER REQUIRED INFORMATION  -  </t>
    </r>
    <r>
      <rPr>
        <i/>
        <sz val="10"/>
        <rFont val="Arial Narrow"/>
        <family val="2"/>
      </rPr>
      <t>Continued</t>
    </r>
    <r>
      <rPr>
        <b/>
        <sz val="10"/>
        <rFont val="Arial Narrow"/>
        <family val="2"/>
      </rPr>
      <t xml:space="preserve"> (Answer each of the questions below for each participant listed below.)</t>
    </r>
  </si>
  <si>
    <t>Brookhaven</t>
  </si>
  <si>
    <t>Calvary</t>
  </si>
  <si>
    <t>Canoochee</t>
  </si>
  <si>
    <t>Cedar Springs</t>
  </si>
  <si>
    <t>Cherry Log</t>
  </si>
  <si>
    <t>Crooked Creek</t>
  </si>
  <si>
    <t>Dewy Rose</t>
  </si>
  <si>
    <t>Du Pont</t>
  </si>
  <si>
    <t>Dutch Island</t>
  </si>
  <si>
    <t>Eagle Grove</t>
  </si>
  <si>
    <t>Empire</t>
  </si>
  <si>
    <t>Epworth</t>
  </si>
  <si>
    <t>Hardwick</t>
  </si>
  <si>
    <t>Henderson</t>
  </si>
  <si>
    <t>Heron Bay</t>
  </si>
  <si>
    <t>Howard</t>
  </si>
  <si>
    <t>Knoxville</t>
  </si>
  <si>
    <t>Matthews</t>
  </si>
  <si>
    <t>Mendes</t>
  </si>
  <si>
    <t>Payne</t>
  </si>
  <si>
    <t>Peachtree Corners</t>
  </si>
  <si>
    <t>Perkins</t>
  </si>
  <si>
    <t>Rockingham</t>
  </si>
  <si>
    <t>Satilla</t>
  </si>
  <si>
    <t>Sautee Nacoochee</t>
  </si>
  <si>
    <t>Seville</t>
  </si>
  <si>
    <t>Statenville</t>
  </si>
  <si>
    <t>Talahi Island</t>
  </si>
  <si>
    <t>Tate</t>
  </si>
  <si>
    <t>Yonah</t>
  </si>
  <si>
    <t>Owner and Contractor?</t>
  </si>
  <si>
    <t xml:space="preserve">Overall Market Occupancy Rate </t>
  </si>
  <si>
    <t>Does the appraisal conform to USPAP standards?</t>
  </si>
  <si>
    <t>Rehabilitation projects will be considered for funding only if the per unit rehabilitation hard costs exceed $25,000.  The costs of furniture, fixtures, construction or rehabilitation of community buildings and common area amenities are not included in these amounts.</t>
  </si>
  <si>
    <t>DCA's pre-application Qualification of Project's Team Determination indicated a status of (select one):</t>
  </si>
  <si>
    <t>&lt;&lt; Select Designation &gt;&gt;</t>
  </si>
  <si>
    <t>Qualified w/out Conditions</t>
  </si>
  <si>
    <t>Qualified w/ Conditions (i)</t>
  </si>
  <si>
    <t>Qualified w/ Conditions (ii)</t>
  </si>
  <si>
    <t>Qualified w/ Conditions (iii)</t>
  </si>
  <si>
    <t>Qualified w/ Conditions (iv)</t>
  </si>
  <si>
    <t>Ineligible - Signif Adverse Events</t>
  </si>
  <si>
    <t>NQ - Partnering w/ Qualified Entity</t>
  </si>
  <si>
    <t>NQ - Probationary Participation</t>
  </si>
  <si>
    <t>12)</t>
  </si>
  <si>
    <t>NonProfit Sponsor</t>
  </si>
  <si>
    <t>Co-Developer 1</t>
  </si>
  <si>
    <t>Co-Developer 2</t>
  </si>
  <si>
    <t>Developer Consultant</t>
  </si>
  <si>
    <t>Owner Consultant</t>
  </si>
  <si>
    <t>Management Company</t>
  </si>
  <si>
    <t>Buyer and Seller of Land/Property?</t>
  </si>
  <si>
    <t>Credit Award Limitation (extraordinary circumstances)?</t>
  </si>
  <si>
    <t>Tenancy</t>
  </si>
  <si>
    <t>included in 2</t>
  </si>
  <si>
    <t>Census Tract Number</t>
  </si>
  <si>
    <t>Brief Explanation</t>
  </si>
  <si>
    <r>
      <t>3.</t>
    </r>
    <r>
      <rPr>
        <sz val="10"/>
        <rFont val="Arial Narrow"/>
        <family val="2"/>
      </rPr>
      <t xml:space="preserve"> Org Type (FP,NP, CHDO)</t>
    </r>
  </si>
  <si>
    <r>
      <t xml:space="preserve">4. </t>
    </r>
    <r>
      <rPr>
        <sz val="10"/>
        <rFont val="Arial Narrow"/>
        <family val="2"/>
      </rPr>
      <t xml:space="preserve"> Project Ownership Percentage</t>
    </r>
  </si>
  <si>
    <t>----------------------------&gt;</t>
  </si>
  <si>
    <t>Family</t>
  </si>
  <si>
    <t>Elderly</t>
  </si>
  <si>
    <t>HFOP</t>
  </si>
  <si>
    <t>EXECUTIVE SUMMARY</t>
  </si>
  <si>
    <t>DCA HOME/LIHTC</t>
  </si>
  <si>
    <t>1.  Program Overview</t>
  </si>
  <si>
    <t>2.  Borrower</t>
  </si>
  <si>
    <t>3.  DCA Loan Term</t>
  </si>
  <si>
    <t xml:space="preserve">     A. Type of Financing</t>
  </si>
  <si>
    <t>Construction/Permanent HOME Funds</t>
  </si>
  <si>
    <t xml:space="preserve">     B. Amount:</t>
  </si>
  <si>
    <t xml:space="preserve">     C. Number of Units:</t>
  </si>
  <si>
    <t>4.  Other Sources of Funds</t>
  </si>
  <si>
    <t>5.  Project &amp; Loan Review Committee Recommendations</t>
  </si>
  <si>
    <t>6.  Approval and Authorization</t>
  </si>
  <si>
    <t>Division Director</t>
  </si>
  <si>
    <t>Deputy Commissioner</t>
  </si>
  <si>
    <t>SUBSIDY LAYERING MEMORANDUM</t>
  </si>
  <si>
    <t>TO:</t>
  </si>
  <si>
    <t>Loan Committee</t>
  </si>
  <si>
    <t>FROM:</t>
  </si>
  <si>
    <t>(Underwriter)</t>
  </si>
  <si>
    <t>TRANSMITTAL DATE:</t>
  </si>
  <si>
    <t>(date final draft complete)</t>
  </si>
  <si>
    <t>CONSIDERATION DATE:</t>
  </si>
  <si>
    <t>(date of Loan Committee meeting)</t>
  </si>
  <si>
    <t>SUBJECT:</t>
  </si>
  <si>
    <t>Project #</t>
  </si>
  <si>
    <t>City / County</t>
  </si>
  <si>
    <t>(# units / # LI units)</t>
  </si>
  <si>
    <t>Project Manager Remarks:</t>
  </si>
  <si>
    <t>Recommendation:</t>
  </si>
  <si>
    <t xml:space="preserve">The proposed project meets the State’s mandated goal of providing safe, decent, affordable housing at below-market rental rates.  Therefore, we recommend approval of the proposed loan, contingent upon the following:
1. Formalization of the ownership’s entity organizational structure as outlined in this Memorandum.
2. Verification that all required insurance is in place in accordance with DCA Insurance Requirements.
3.                                                                                                                                         </t>
  </si>
  <si>
    <t>Other Conditions:</t>
  </si>
  <si>
    <t>Policy Exception:</t>
  </si>
  <si>
    <t>Applicant/Organizational Structure:</t>
  </si>
  <si>
    <t xml:space="preserve">General Partner: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</si>
  <si>
    <t>Limited Partner: The Limited Partner entity for the proposed development is (NAME). (NAME) will have a (X%) ownership in Profits and Losses in addition to a (X%)% interest in the ownership entity.   [Detail the state equity partner if it is different from the federal partner]</t>
  </si>
  <si>
    <t>Other Sources of Funds:</t>
  </si>
  <si>
    <t xml:space="preserve">(FUNDING SOURCE) will provide a construction/bridge loan for ($X.XX) .(DESCRIBE THE TERMS OF ANY OTHER DEBT SOURCES IN THIS SECTION) In the event that the construction contingency can not cover any unforeseen cost increases, the Developer can defer up to 50% of the Developer's Fee ($X.XX.) </t>
  </si>
  <si>
    <t>Appraisal:</t>
  </si>
  <si>
    <t>Market Study:</t>
  </si>
  <si>
    <t xml:space="preserve">(COMPANY NAME) was engaged by Owner to prepare an analysis of the [tenancy] housing market in the (CITY, COUNTY NAME) County market area.  The Analyst concluded a sufficient market demand for the number and configuration of units proposed in the subject market. The Market Study was reviewed and approved by DCA during the threshold scoring process.    </t>
  </si>
  <si>
    <t xml:space="preserve">DCA has determined that there is sufficient need and favorable demand for the project as proposed. </t>
  </si>
  <si>
    <t>Environmental:</t>
  </si>
  <si>
    <t xml:space="preserve">All environmental requirements have been met and approved.  As the responsible entity (RE) referred to in 24 CFR § 58.43, Environmental Review Procedures for Entities Assuming HUD Responsibilities, DCA was responsible for undertaking the environmental review of the project. The Environmental Clearance Letter dated (DATE OF NEPA RELEASE) is included in the project file.    The DCA HOME/HUD Environmental Workbook has also been reviewed and included in the project documentation.  DCA has reviewed all relevant information and determined that the project meets all program requirements for Environmental approval. </t>
  </si>
  <si>
    <t>Architectural Review:</t>
  </si>
  <si>
    <t>The Office of Housing Finance Architect has reviewed and approved all required documentation including the proposed design, plans, specification, the construction cost budget and the construction contract.   All DCA design Architectural Standards have been met.  All proposed costs have been examined and determined to be reasonable.</t>
  </si>
  <si>
    <t>General Contractor Approval</t>
  </si>
  <si>
    <t>Completion</t>
  </si>
  <si>
    <t>Subsidy Layering Review:</t>
  </si>
  <si>
    <t>A HOME Subsidy Layering Review was conducted as a part of the underwriting analysis to ensure that only the amount of resources necessary to provide affordable housing were invested in this project.  The review concluded that the project is in compliance with HUD and DCA Subsidy Layering Policy and Guidance requirements.  The review consisted of, but is not limited to, a review of the Sources and Uses and a determination that the costs are reasonable; an assessment, including but not limited to, the current market demand in the neighborhood in which the project will be located, the experience of the developer, the financial capacity of the developer, and firm written financial commitments for the project.</t>
  </si>
  <si>
    <t>92.250(b)(1) and (2)</t>
  </si>
  <si>
    <t>Rates of Return:</t>
  </si>
  <si>
    <t>The review of the Project income and expenses statement, rent levels, market vacancies, operating expenses, estimated after tax benefits, and estimated rate of return on the equity investment (IRR%) indicate that the costs are normal and customary for a project of this type and are reasonable in terms of industry standards.  DCA has evaluated the project in accordance with guidelines that it has adopted for determining a reasonable level of profit or return on owner's or developer's investment in the project, and has limited the amount of HOME funds to that amount necessary to provide quality affordable housing that is financially viable for the longer of the HOME loan term or the period of affordability.</t>
  </si>
  <si>
    <t>92.250(b)</t>
  </si>
  <si>
    <t>IRR</t>
  </si>
  <si>
    <t>Compliance:</t>
  </si>
  <si>
    <t xml:space="preserve">The Compliance Section has determined that the applicant has complied with all applicable federal regulations, including environmental, Site and Neighborhood Standards.  The Minority/Women Business Enterprise outreach, and Affirmative Fair Housing Marketing Plans will be reviewed on an ongoing basis during lease up and as deemed necessary by the Compliance Department.
The Compliance Section, which is charged with compliance monitoring of the HOME funded projects, has determined that each member of the proposed development team (owner, developer, property manager) is in compliance with all DCA funded programs.
</t>
  </si>
  <si>
    <t>Preconstruction Conference</t>
  </si>
  <si>
    <t>A Preconstruction Conference will be conducted to include the owner, the contractor and representatives from DCA's federal compliance, legal affairs, construction management and underwriting departments.  All reporting requirements, applicable regulations and  processes will be discussed in detail at that time.  The owner and contractor will provide a construction time line and "flow of funds" chart, to be reviewed by DCA, and executed as evidence that they acknowledge that delays within the control of the owner and contractor will be considered when rating owner/contractors performance for future competitive rounds.  DCA will determine that all parties to the development are in full understanding of their responsibilities.</t>
  </si>
  <si>
    <t>Proposed Loan Structure:</t>
  </si>
  <si>
    <t>The proposed HOME construction/permanent loan in the amount of ($X.XX) will be a (Irregular Payment Stream/FULLY AMORTIZING) loan amortized over a (# OF YEARS)-year term.  The construction loan will be at 0% interest with no scheduled payments.  Upon conversion, the permanent loan will have an interest rate of (X%) per annum. The (projected cash flow) repayment schedule is shown in the attached "Exhibit B." OPTIONAL:  (Accordingly, the borrower will deposit one-half of the cash flow after the payment of secured debt service into an interest bearing reserve account. The funds held in the reserve account may be used for principal reduction of the HOME loan or capital improvements.)</t>
  </si>
  <si>
    <t>balloon balance</t>
  </si>
  <si>
    <t>Other Reserve Requirements:</t>
  </si>
  <si>
    <t>Include any reserve requirements; explain any reserves far in excess of 6 month ODR, 3 mo lease up, 1 year RR, 6 mo T&amp;I standards.</t>
  </si>
  <si>
    <t>Comments/Conditions:</t>
  </si>
  <si>
    <t>Borrower shall comply with all DCA requirements, statutory requirements and program requirements, as amended, and any subsequent guidance or regulations from HUD relating to the HOME Rental Housing Loan Program.</t>
  </si>
  <si>
    <t>Approval:</t>
  </si>
  <si>
    <t>The Project and Loan Review Committee approves the proposed loan</t>
  </si>
  <si>
    <t>as presented; or</t>
  </si>
  <si>
    <t>subject to any conditions listed here in</t>
  </si>
  <si>
    <t>and is attested by the undersigned.</t>
  </si>
  <si>
    <t>Date:</t>
  </si>
  <si>
    <t>Office of Housing Finance and Development</t>
  </si>
  <si>
    <t>DATE</t>
  </si>
  <si>
    <t>PROJECT NAME &amp; NUMBER</t>
  </si>
  <si>
    <t>CITY/COUNTY</t>
  </si>
  <si>
    <t>Yes</t>
  </si>
  <si>
    <t>PROGRAM(S)</t>
  </si>
  <si>
    <t>OWNER</t>
  </si>
  <si>
    <t>No</t>
  </si>
  <si>
    <t>MANAGING GENERAL PARTNER</t>
  </si>
  <si>
    <t>OTHER GENERAL PARTNER</t>
  </si>
  <si>
    <t>CONTRACTOR</t>
  </si>
  <si>
    <t>MANAGEMENT CO</t>
  </si>
  <si>
    <t>TOTAL UNITS/ LI UNITS</t>
  </si>
  <si>
    <t>STYLE</t>
  </si>
  <si>
    <t>UTILITIES</t>
  </si>
  <si>
    <t>PER UNIT</t>
  </si>
  <si>
    <t>PER SQUARE FOOT</t>
  </si>
  <si>
    <t>RECOMMENDED FINANCING</t>
  </si>
  <si>
    <t>Lien position</t>
  </si>
  <si>
    <t>DCA LOAN(S):</t>
  </si>
  <si>
    <t>First</t>
  </si>
  <si>
    <t>Restricted Market Value @ Stabilization:</t>
  </si>
  <si>
    <t>DCA Loan(s)/Restricted Market Value:</t>
  </si>
  <si>
    <t>Unrestricted Market Value @ Stabilization:</t>
  </si>
  <si>
    <t>TOTAL DCA INVESTMENT:</t>
  </si>
  <si>
    <t>DCA Loan(s)/Unrestricted Mkt Value:</t>
  </si>
  <si>
    <t>TAX CREDIT PROCEEDS:</t>
  </si>
  <si>
    <t>OTHER MTG DEBT:</t>
  </si>
  <si>
    <t>Unrestricted Market Value @ Maturity</t>
  </si>
  <si>
    <t>*DCA Loan Bal.@ Maturity/Unrestr. Value</t>
  </si>
  <si>
    <t>TOTAL OTHER DEBT:</t>
  </si>
  <si>
    <t>Total Loans/Restricted Value @Stabilization:</t>
  </si>
  <si>
    <t>TOTAL SECURED DEBT:</t>
  </si>
  <si>
    <t>*Total Loans/Unrestricted Value @ Maturity</t>
  </si>
  <si>
    <t>TOTAL DEBT/TOTAL COST:</t>
  </si>
  <si>
    <t>TOTAL DEBT/HARD COST:</t>
  </si>
  <si>
    <t>INVESTOR EQUITY/TOTAL COST:</t>
  </si>
  <si>
    <t>SENSITIVITY ANALYSIS:</t>
  </si>
  <si>
    <t>UNDERWRITING CUSHION:</t>
  </si>
  <si>
    <t>YR 1 as underwritten:</t>
  </si>
  <si>
    <t>high impact test:</t>
  </si>
  <si>
    <t>Gross Potential Rents</t>
  </si>
  <si>
    <t>Vacancy Loss- 7%</t>
  </si>
  <si>
    <t>Other Income</t>
  </si>
  <si>
    <t>Ancillary</t>
  </si>
  <si>
    <t>Effective Gross Income</t>
  </si>
  <si>
    <t>Administration</t>
  </si>
  <si>
    <t>Maintenance</t>
  </si>
  <si>
    <t>Total Operating Expense</t>
  </si>
  <si>
    <t>Net Operating Income</t>
  </si>
  <si>
    <t>Replacement Reserves</t>
  </si>
  <si>
    <t>Management Fee</t>
  </si>
  <si>
    <t>Adjusted NOI</t>
  </si>
  <si>
    <t>Debt Coverage Ratio</t>
  </si>
  <si>
    <t>Operating Exp Cushion</t>
  </si>
  <si>
    <t>Debt Service</t>
  </si>
  <si>
    <t>Serviceable Debt</t>
  </si>
  <si>
    <t>(based on consistent debt service; year 1 projection)</t>
  </si>
  <si>
    <t>Minimum</t>
  </si>
  <si>
    <t>Interest Rate</t>
  </si>
  <si>
    <t>Project:</t>
  </si>
  <si>
    <t>Assumptions:</t>
  </si>
  <si>
    <t>Depreciable Basis:</t>
  </si>
  <si>
    <t>Depreciation Period:</t>
  </si>
  <si>
    <t>Equity Investment:</t>
  </si>
  <si>
    <t>Income Tax Rate:</t>
  </si>
  <si>
    <t>Sales Price</t>
  </si>
  <si>
    <t>Less: Mortgage Balance</t>
  </si>
  <si>
    <t>Pre-Tax Cashflow</t>
  </si>
  <si>
    <t>Add: Principal Paid</t>
  </si>
  <si>
    <t>*chng if not</t>
  </si>
  <si>
    <t>1st mrt</t>
  </si>
  <si>
    <t>Less: Depreciation</t>
  </si>
  <si>
    <t>Less: Selling costs</t>
  </si>
  <si>
    <t>Less: Amortization</t>
  </si>
  <si>
    <t>Pre-Tax Earnings</t>
  </si>
  <si>
    <t>Before Tax Cash</t>
  </si>
  <si>
    <t>Tax (Tax Savings)</t>
  </si>
  <si>
    <t>Original Basis</t>
  </si>
  <si>
    <t>After-Tax Cashflow</t>
  </si>
  <si>
    <t>Add: Federal Credits</t>
  </si>
  <si>
    <t>Add: State Credits</t>
  </si>
  <si>
    <t>20 Year Basis</t>
  </si>
  <si>
    <t>Add: Residual Value</t>
  </si>
  <si>
    <t>Net After-Tax Benefit</t>
  </si>
  <si>
    <t>Less: 20 year basis</t>
  </si>
  <si>
    <t>Taxable Gain(Loss)</t>
  </si>
  <si>
    <t>Tax Rate -LT Cap Gain</t>
  </si>
  <si>
    <t>Tax Liability/Benefit</t>
  </si>
  <si>
    <t>Net After Tax Cash</t>
  </si>
  <si>
    <t>The IRR for the Entire Ownership Entity for these after-tax benefits is:</t>
  </si>
  <si>
    <t>Exhibit "B"</t>
  </si>
  <si>
    <t>Monthly</t>
  </si>
  <si>
    <t>Payment</t>
  </si>
  <si>
    <t>HOME Allocation Limit</t>
  </si>
  <si>
    <t>Efficency</t>
  </si>
  <si>
    <t>Total Project Subsidy Limit</t>
  </si>
  <si>
    <t>Number of Total Units Specified in Application</t>
  </si>
  <si>
    <t>HOME Percent of Total Units</t>
  </si>
  <si>
    <t>Requested Home Funds</t>
  </si>
  <si>
    <t>Total Eligible Costs</t>
  </si>
  <si>
    <t>(less reserves held for more than 18 months)</t>
  </si>
  <si>
    <t xml:space="preserve">Other </t>
  </si>
  <si>
    <t>Total HOME Eligible Costs</t>
  </si>
  <si>
    <t>Proportion of Total HOME Eligible Cost</t>
  </si>
  <si>
    <t>complete only highlighted sections</t>
  </si>
  <si>
    <t>Name of Borrower:</t>
  </si>
  <si>
    <t>Address of Borrower:</t>
  </si>
  <si>
    <t>Tax I.D. number:</t>
  </si>
  <si>
    <t>Contact Name:</t>
  </si>
  <si>
    <t>Name of Project:</t>
  </si>
  <si>
    <t>Address of Project:</t>
  </si>
  <si>
    <t>Management Company:</t>
  </si>
  <si>
    <t>Address:</t>
  </si>
  <si>
    <t>Loan Type:</t>
  </si>
  <si>
    <t>Amount of Loan:</t>
  </si>
  <si>
    <t>construction</t>
  </si>
  <si>
    <t>same</t>
  </si>
  <si>
    <t>permanent</t>
  </si>
  <si>
    <t>Construction Interest Rate:</t>
  </si>
  <si>
    <t>Perm. Interest Rate:</t>
  </si>
  <si>
    <t>Term of Const Loan (conversion period):</t>
  </si>
  <si>
    <t>months</t>
  </si>
  <si>
    <t>Term of Perm Loan:</t>
  </si>
  <si>
    <t>Conversion Period:</t>
  </si>
  <si>
    <t>Loan Closing Date:</t>
  </si>
  <si>
    <t>asap</t>
  </si>
  <si>
    <t>Amt of Monthly Pmt:</t>
  </si>
  <si>
    <t>See Payment Schedule Exhibit B</t>
  </si>
  <si>
    <t>Name of sole/managing General Partner:</t>
  </si>
  <si>
    <t>Email:</t>
  </si>
  <si>
    <t>Total Number of Units:</t>
  </si>
  <si>
    <t>Number of HOME Units:</t>
  </si>
  <si>
    <t>Number of Manager Units:</t>
  </si>
  <si>
    <t>Number of Supportive Services:</t>
  </si>
  <si>
    <t>Balloon Amount:</t>
  </si>
  <si>
    <t>1st constr/perm</t>
  </si>
  <si>
    <t>Guarantor (and name, if applicable)</t>
  </si>
  <si>
    <t>Tax Credits?</t>
  </si>
  <si>
    <t>yes</t>
  </si>
  <si>
    <t>Affordability Period</t>
  </si>
  <si>
    <t>ODR amount:</t>
  </si>
  <si>
    <t>Replacement Reserve Escrow:</t>
  </si>
  <si>
    <t>Rent-up Reserve? (if applicable, amount)</t>
  </si>
  <si>
    <t>Tax and Insurance Escrow</t>
  </si>
  <si>
    <t>Internal Information:</t>
  </si>
  <si>
    <t>1. Underwriter's Name:</t>
  </si>
  <si>
    <t>Borrower Information:</t>
  </si>
  <si>
    <t>1. Name of Borrower:</t>
  </si>
  <si>
    <t>2. Type of Entity:</t>
  </si>
  <si>
    <t>Other (explain)</t>
  </si>
  <si>
    <t>3. Contact Person #1:</t>
  </si>
  <si>
    <t>4. Address of Borrower:</t>
  </si>
  <si>
    <t>5. Name of Borrower's Attorney:</t>
  </si>
  <si>
    <t>6. Telephone Number:</t>
  </si>
  <si>
    <t>7. E-Mail Address:</t>
  </si>
  <si>
    <t>Project Information:</t>
  </si>
  <si>
    <t>1. Name of Project:</t>
  </si>
  <si>
    <t>2. Address of Project:</t>
  </si>
  <si>
    <t>3. Number of Units:</t>
  </si>
  <si>
    <t>HOME assisted units</t>
  </si>
  <si>
    <t>Non-HOME units</t>
  </si>
  <si>
    <t>Total units</t>
  </si>
  <si>
    <t>4. Manager's Unit(s):</t>
  </si>
  <si>
    <t>Total  common space units</t>
  </si>
  <si>
    <t>5. Site Amenities:</t>
  </si>
  <si>
    <t>6. Unit Amenities:</t>
  </si>
  <si>
    <t>7. County in which Project is located:</t>
  </si>
  <si>
    <t>8. Senior</t>
  </si>
  <si>
    <t>9. Number of Supportive Services:</t>
  </si>
  <si>
    <t>Describe:</t>
  </si>
  <si>
    <t>10. Other Information:</t>
  </si>
  <si>
    <t>Utilities paid by:</t>
  </si>
  <si>
    <t>General Partner Information (if applicable):</t>
  </si>
  <si>
    <t>1. Name of Managing General Partner:</t>
  </si>
  <si>
    <t>2. Name(s) of other General Partner(s):</t>
  </si>
  <si>
    <t>3. Other Information:</t>
  </si>
  <si>
    <t>Loan Information:</t>
  </si>
  <si>
    <t>1. Amount of Loan:</t>
  </si>
  <si>
    <t>HOME (constr and perm)</t>
  </si>
  <si>
    <t>2. Allowable Conversion Amount:</t>
  </si>
  <si>
    <t>NA</t>
  </si>
  <si>
    <t>(if different than #1)</t>
  </si>
  <si>
    <t>3A. Type of Loan:</t>
  </si>
  <si>
    <t>CHDO?</t>
  </si>
  <si>
    <t>3B. Terms of Loan:</t>
  </si>
  <si>
    <t>4. Recourse:</t>
  </si>
  <si>
    <t>5. Interest Rates:</t>
  </si>
  <si>
    <t>Construction</t>
  </si>
  <si>
    <t>6. Conversion Deadline:</t>
  </si>
  <si>
    <t>7. Loan Term:</t>
  </si>
  <si>
    <t>8. Monthly Payment Amount (fully amortizing note):</t>
  </si>
  <si>
    <t>9. Monthly Payments (for balloon note):</t>
  </si>
  <si>
    <t>See Attached</t>
  </si>
  <si>
    <t>10 Balloon Amount:</t>
  </si>
  <si>
    <t>11. HOME will fund:</t>
  </si>
  <si>
    <t>12. Closing:</t>
  </si>
  <si>
    <t>Desired date:</t>
  </si>
  <si>
    <t>Other info:</t>
  </si>
  <si>
    <t>13. Priority (vs. other lenders):</t>
  </si>
  <si>
    <t>first</t>
  </si>
  <si>
    <t>14. Waiving opt out provision for 5 years?:</t>
  </si>
  <si>
    <t>1. Construction and Draw Information:</t>
  </si>
  <si>
    <t>2. Payment &amp; Performance Bonds</t>
  </si>
  <si>
    <t>3. Has construction started:</t>
  </si>
  <si>
    <t>4. Construction Completion Date:</t>
  </si>
  <si>
    <t>Months</t>
  </si>
  <si>
    <t>5. Amount of Equity funded for Hard Cost before GHFA funds:</t>
  </si>
  <si>
    <t>=not less than HOME loan amount</t>
  </si>
  <si>
    <t>6. Pro Rata Funding:</t>
  </si>
  <si>
    <t>% GHFA's percentage</t>
  </si>
  <si>
    <t>% Senior Lender</t>
  </si>
  <si>
    <t>% Junior Lender</t>
  </si>
  <si>
    <t>7. Sequenced Funding (list order):</t>
  </si>
  <si>
    <t>8. Other Funding Procedures (if 9-12 inapplicable):</t>
  </si>
  <si>
    <t>9. Additional First Draw Requirements (not normal):</t>
  </si>
  <si>
    <t>None known at this time</t>
  </si>
  <si>
    <t>Other Parties and Related Information:</t>
  </si>
  <si>
    <t>1. Name of Developer(s):</t>
  </si>
  <si>
    <t>2. Max Developer Fee before Conversion:</t>
  </si>
  <si>
    <t>3. Name of Inspection Firm:</t>
  </si>
  <si>
    <t>TBD</t>
  </si>
  <si>
    <t>4. Name of Property Management:</t>
  </si>
  <si>
    <t>5. Name(s) of Guarantor(s):</t>
  </si>
  <si>
    <t>6. Address(es) of Guarantor(s):</t>
  </si>
  <si>
    <t>7. Name of Federal Investor:</t>
  </si>
  <si>
    <t>8. Name of State Investor:</t>
  </si>
  <si>
    <t>9. Name of CHDO Consultant:</t>
  </si>
  <si>
    <t>10. Date of Consulting Agreement:</t>
  </si>
  <si>
    <t>LURA Information:</t>
  </si>
  <si>
    <t>Note:</t>
  </si>
  <si>
    <t>1. Affordability period (how many years after project completion):</t>
  </si>
  <si>
    <t>2. Unit HOME designation:</t>
  </si>
  <si>
    <t>3. See Exhibits B attached.</t>
  </si>
  <si>
    <t>Reserves:</t>
  </si>
  <si>
    <t xml:space="preserve">2. ODR:                         </t>
  </si>
  <si>
    <t>(a) amount</t>
  </si>
  <si>
    <t>(c) deviations from normal procedures:</t>
  </si>
  <si>
    <t>(b) deposited at or before conversion</t>
  </si>
  <si>
    <t>(c) subsequent deposits- when:</t>
  </si>
  <si>
    <t>Annually</t>
  </si>
  <si>
    <t>(e) 3% escalator</t>
  </si>
  <si>
    <t>(f) deviations from normal procedures:</t>
  </si>
  <si>
    <t>(b) 50% of excess cash</t>
  </si>
  <si>
    <t>(d) deviations from normal procedures:</t>
  </si>
  <si>
    <t>(c) released to whom:</t>
  </si>
  <si>
    <t>Conversion Conditions:</t>
  </si>
  <si>
    <t>See Exhibit A &amp; B attached.</t>
  </si>
  <si>
    <t>Other Information:</t>
  </si>
  <si>
    <t>1. Tax Credits:</t>
  </si>
  <si>
    <t>Approval was granted subject to the following conditions:</t>
  </si>
  <si>
    <t>Exhibit A</t>
  </si>
  <si>
    <t>Conversion Conditions</t>
  </si>
  <si>
    <t>Profit and Loss statement for the Premises;</t>
  </si>
  <si>
    <t>Documentation confirming satisfaction of the other requirements of this condition.</t>
  </si>
  <si>
    <t>Additional Information or Conditions:</t>
  </si>
  <si>
    <t>Exhibit B</t>
  </si>
  <si>
    <t>The greater of:</t>
  </si>
  <si>
    <t>less the applicable utility allowances;</t>
  </si>
  <si>
    <t>Applicant</t>
  </si>
  <si>
    <t>IDIS Activity Number</t>
  </si>
  <si>
    <t>Taxpayer EIN #</t>
  </si>
  <si>
    <t>Is the applicant a CHDO?</t>
  </si>
  <si>
    <t xml:space="preserve">1.  Is funding limited to CHDO Operating (CO) or CHDO Capacity Building (CC)?  </t>
  </si>
  <si>
    <t>If Yes, STOP.  DO NOT FILL OUT THIS FORM.</t>
  </si>
  <si>
    <t>3.  Will initial funding be a CHDO Site Control and/or Seed Money Loan?</t>
  </si>
  <si>
    <t>1.  Objective (enter code):</t>
  </si>
  <si>
    <t>2.  Outcome (enter code)</t>
  </si>
  <si>
    <t>(1) Create suitable living environments</t>
  </si>
  <si>
    <t>(1) Availability / Accessibility</t>
  </si>
  <si>
    <t>(2) Provide decent affordable housing</t>
  </si>
  <si>
    <t>(2) Affordability</t>
  </si>
  <si>
    <t>(3) Create economic opportunities</t>
  </si>
  <si>
    <t>(3) Sustainability</t>
  </si>
  <si>
    <t>(1) Rehab only</t>
  </si>
  <si>
    <t>(2) New construction only</t>
  </si>
  <si>
    <t>(3) Acquisition only</t>
  </si>
  <si>
    <t>(4) Acquisition &amp; Rehab</t>
  </si>
  <si>
    <t>(5) Acquisition &amp; New Construction</t>
  </si>
  <si>
    <t xml:space="preserve">* Note:  If multi-address property, please </t>
  </si>
  <si>
    <t>complete this section for each address</t>
  </si>
  <si>
    <t>by making copies.</t>
  </si>
  <si>
    <t xml:space="preserve"> ACTIVITY INFORMATION</t>
  </si>
  <si>
    <t>Unit Information:</t>
  </si>
  <si>
    <t>Property Type (enter code):</t>
  </si>
  <si>
    <t>Total Number:</t>
  </si>
  <si>
    <t>Proposed HOME Assisted:</t>
  </si>
  <si>
    <t>(1) Condominium</t>
  </si>
  <si>
    <t>(4) Apartment</t>
  </si>
  <si>
    <t>(2) Cooperative</t>
  </si>
  <si>
    <t>(5) Other</t>
  </si>
  <si>
    <t>(3) SRO</t>
  </si>
  <si>
    <r>
      <t xml:space="preserve">Please complete this section for projects proposing </t>
    </r>
    <r>
      <rPr>
        <b/>
        <sz val="10"/>
        <rFont val="Arial"/>
        <family val="2"/>
      </rPr>
      <t>rehab</t>
    </r>
    <r>
      <rPr>
        <sz val="10"/>
        <rFont val="Arial"/>
        <family val="2"/>
      </rPr>
      <t xml:space="preserve"> of an existing structure or structures.</t>
    </r>
  </si>
  <si>
    <t>Year built:</t>
  </si>
  <si>
    <t>Proposed Lead Hazard Remediation Activities:</t>
  </si>
  <si>
    <t>Project Budget</t>
  </si>
  <si>
    <t>1.  HOME Funds (Including Program Income)</t>
  </si>
  <si>
    <t>Amortized Loan</t>
  </si>
  <si>
    <t>Grant</t>
  </si>
  <si>
    <t>Deferred Payment Loan</t>
  </si>
  <si>
    <t>Other (including PDC / John Grubb's fee)</t>
  </si>
  <si>
    <t>CHDO Loan</t>
  </si>
  <si>
    <t>Total HOME Funds:</t>
  </si>
  <si>
    <t>2.  Public Funds</t>
  </si>
  <si>
    <t>Other Federal Funds</t>
  </si>
  <si>
    <t>State/Local Funds</t>
  </si>
  <si>
    <t>Tax Exempt Bond Proceeds</t>
  </si>
  <si>
    <t>Total Public Funds</t>
  </si>
  <si>
    <t>3.  Private Funds</t>
  </si>
  <si>
    <t>Private Loans</t>
  </si>
  <si>
    <t>Owner Cash Contribution</t>
  </si>
  <si>
    <t>Private Grants</t>
  </si>
  <si>
    <t>Total Private Funds</t>
  </si>
  <si>
    <t>4.  LIHTC Proceeds</t>
  </si>
  <si>
    <t>must equal total Sources plus Grubb's fee</t>
  </si>
  <si>
    <t>5.  Total</t>
  </si>
  <si>
    <t>DCA HOME Amount</t>
  </si>
  <si>
    <t>/</t>
  </si>
  <si>
    <t>CHDO Setaside</t>
  </si>
  <si>
    <t>TENANCY</t>
  </si>
  <si>
    <t>RURAL or URBAN</t>
  </si>
  <si>
    <t>Rural or Urban</t>
  </si>
  <si>
    <t>TOTAL DEVELOPMENT COSTS (TDC)</t>
  </si>
  <si>
    <r>
      <t xml:space="preserve">DCA investment / </t>
    </r>
    <r>
      <rPr>
        <b/>
        <i/>
        <sz val="12"/>
        <rFont val="Arial"/>
        <family val="2"/>
      </rPr>
      <t>TDC</t>
    </r>
  </si>
  <si>
    <t>TOTAL HARD COSTS (THC)</t>
  </si>
  <si>
    <r>
      <t xml:space="preserve">DCA Investment / </t>
    </r>
    <r>
      <rPr>
        <b/>
        <i/>
        <sz val="12"/>
        <rFont val="Arial"/>
        <family val="2"/>
      </rPr>
      <t>THC</t>
    </r>
  </si>
  <si>
    <r>
      <rPr>
        <b/>
        <sz val="11"/>
        <rFont val="Arial"/>
        <family val="2"/>
      </rPr>
      <t xml:space="preserve">IF A CHDO PROJECT ONLY: </t>
    </r>
    <r>
      <rPr>
        <sz val="11"/>
        <rFont val="Arial"/>
        <family val="2"/>
      </rPr>
      <t>The office of Housing Policy has reviewed and approved CHDO certification pursuant to §92.2 definition of CHDO and staffing requirement.  Also, the underwriting review confirms the developers’ capacity and fiscal soundness to own develop or sponsor housing.</t>
    </r>
    <r>
      <rPr>
        <b/>
        <sz val="11"/>
        <color rgb="FFFF0000"/>
        <rFont val="Arial"/>
        <family val="2"/>
      </rPr>
      <t xml:space="preserve">  </t>
    </r>
  </si>
  <si>
    <t>Per Year</t>
  </si>
  <si>
    <t>Design Type</t>
  </si>
  <si>
    <t>PRIMARY ACTIVITY</t>
  </si>
  <si>
    <t>Total Unit Cost Limit</t>
  </si>
  <si>
    <t>Yellow cells - DCA Use ONLY</t>
  </si>
  <si>
    <t xml:space="preserve"> LOAN TERMS, CONDITIONS AND INFORMATION</t>
  </si>
  <si>
    <r>
      <t xml:space="preserve">Explain any </t>
    </r>
    <r>
      <rPr>
        <b/>
        <u/>
        <sz val="10"/>
        <color indexed="8"/>
        <rFont val="Arial"/>
        <family val="2"/>
      </rPr>
      <t>unusual</t>
    </r>
    <r>
      <rPr>
        <b/>
        <sz val="10"/>
        <color indexed="8"/>
        <rFont val="Arial"/>
        <family val="2"/>
      </rPr>
      <t xml:space="preserve"> terms or reserve requirements here:</t>
    </r>
  </si>
  <si>
    <t xml:space="preserve">4. HOME Reserve:     </t>
  </si>
  <si>
    <t>(a) applicable?</t>
  </si>
  <si>
    <t>1. Taxes and Insurance:</t>
  </si>
  <si>
    <t>(a) funded at conversion</t>
  </si>
  <si>
    <t>3. Replacement Reserves:</t>
  </si>
  <si>
    <t>(a) initial amount</t>
  </si>
  <si>
    <t>5. Rent-up Reserves:</t>
  </si>
  <si>
    <t>(a) amount:</t>
  </si>
  <si>
    <t xml:space="preserve">6. Tenant Assistance Reserve: </t>
  </si>
  <si>
    <t>Applicable?</t>
  </si>
  <si>
    <t>Permanent</t>
  </si>
  <si>
    <r>
      <t>Junior Lender #1 Information</t>
    </r>
    <r>
      <rPr>
        <sz val="10"/>
        <rFont val="Arial"/>
        <family val="2"/>
      </rPr>
      <t xml:space="preserve"> (if applicable):</t>
    </r>
  </si>
  <si>
    <r>
      <t xml:space="preserve">Construction and Draw Information </t>
    </r>
    <r>
      <rPr>
        <u/>
        <sz val="10"/>
        <rFont val="Arial"/>
        <family val="2"/>
      </rPr>
      <t>(if applicable):</t>
    </r>
  </si>
  <si>
    <t>If tax credits are applicable, the minimum amount Borrower must receive from the sale of the credits:</t>
  </si>
  <si>
    <t>Is there an Operation and Maintenance Plan that must be implemented, and, if so, the nature of the Plan?</t>
  </si>
  <si>
    <t>List any other project specific conversion condition(s):</t>
  </si>
  <si>
    <r>
      <t xml:space="preserve">Verification that for </t>
    </r>
    <r>
      <rPr>
        <b/>
        <sz val="10"/>
        <rFont val="Arial"/>
        <family val="2"/>
      </rPr>
      <t>3 consecutive months</t>
    </r>
    <r>
      <rPr>
        <sz val="10"/>
        <rFont val="Arial"/>
        <family val="2"/>
      </rPr>
      <t xml:space="preserve"> after the date of issuance of the final certificate of occupancy for all Improvements, the </t>
    </r>
    <r>
      <rPr>
        <b/>
        <sz val="10"/>
        <rFont val="Arial"/>
        <family val="2"/>
      </rPr>
      <t>minimum occupancy</t>
    </r>
    <r>
      <rPr>
        <sz val="10"/>
        <rFont val="Arial"/>
        <family val="2"/>
      </rPr>
      <t xml:space="preserve"> of the Premises has been at least </t>
    </r>
    <r>
      <rPr>
        <b/>
        <sz val="10"/>
        <rFont val="Arial"/>
        <family val="2"/>
      </rPr>
      <t>93%</t>
    </r>
    <r>
      <rPr>
        <sz val="10"/>
        <rFont val="Arial"/>
        <family val="2"/>
      </rPr>
      <t xml:space="preserve"> and the minimum monthly effective gross income from the Premises has been at least </t>
    </r>
    <r>
      <rPr>
        <b/>
        <u/>
        <sz val="10"/>
        <rFont val="Arial"/>
        <family val="2"/>
      </rPr>
      <t>$</t>
    </r>
    <r>
      <rPr>
        <b/>
        <sz val="10"/>
        <color rgb="FFFF0000"/>
        <rFont val="Arial"/>
        <family val="2"/>
      </rPr>
      <t xml:space="preserve">0 </t>
    </r>
    <r>
      <rPr>
        <b/>
        <sz val="10"/>
        <rFont val="Arial"/>
        <family val="2"/>
      </rPr>
      <t>(one twelfth of the first year Effective Gross Income)</t>
    </r>
    <r>
      <rPr>
        <sz val="10"/>
        <rFont val="Arial"/>
        <family val="2"/>
      </rPr>
      <t xml:space="preserve"> substantiated by Lender's receipt of the following:</t>
    </r>
  </si>
  <si>
    <t>Is a radon amelioration plan applicable?</t>
  </si>
  <si>
    <r>
      <t xml:space="preserve">For  </t>
    </r>
    <r>
      <rPr>
        <sz val="10"/>
        <color indexed="10"/>
        <rFont val="Arial"/>
        <family val="2"/>
      </rPr>
      <t/>
    </r>
  </si>
  <si>
    <r>
      <rPr>
        <b/>
        <u/>
        <sz val="10"/>
        <rFont val="Arial"/>
        <family val="2"/>
      </rPr>
      <t>One</t>
    </r>
    <r>
      <rPr>
        <sz val="10"/>
        <rFont val="Arial"/>
        <family val="2"/>
      </rPr>
      <t xml:space="preserve"> Bedroom Units:</t>
    </r>
  </si>
  <si>
    <r>
      <rPr>
        <b/>
        <u/>
        <sz val="10"/>
        <rFont val="Arial"/>
        <family val="2"/>
      </rPr>
      <t>Two</t>
    </r>
    <r>
      <rPr>
        <sz val="10"/>
        <rFont val="Arial"/>
        <family val="2"/>
      </rPr>
      <t xml:space="preserve"> Bedroom Units:</t>
    </r>
  </si>
  <si>
    <r>
      <rPr>
        <b/>
        <u/>
        <sz val="10"/>
        <rFont val="Arial"/>
        <family val="2"/>
      </rPr>
      <t>Three</t>
    </r>
    <r>
      <rPr>
        <sz val="10"/>
        <rFont val="Arial"/>
        <family val="2"/>
      </rPr>
      <t xml:space="preserve"> Bedroom Units:</t>
    </r>
  </si>
  <si>
    <t>or</t>
  </si>
  <si>
    <t xml:space="preserve">the lesser of: </t>
  </si>
  <si>
    <t>the lesser of:</t>
  </si>
  <si>
    <t>2.  Will the activity by funded with CHDO Reserve (CR)?</t>
  </si>
  <si>
    <t>1. Lead safe work practices</t>
  </si>
  <si>
    <t>2. Interim control or standard practices</t>
  </si>
  <si>
    <t>3. Abatement</t>
  </si>
  <si>
    <t>4. No lead present or exempt</t>
  </si>
  <si>
    <t>Detached / SemiDetached</t>
  </si>
  <si>
    <t>Row House</t>
  </si>
  <si>
    <t>Walkup</t>
  </si>
  <si>
    <t>Elevator</t>
  </si>
  <si>
    <t>4+</t>
  </si>
  <si>
    <t>Historic</t>
  </si>
  <si>
    <t>Detached/Semi-Detached</t>
  </si>
  <si>
    <t>Unit TDC Limit by Bedroom Size</t>
  </si>
  <si>
    <t>1-Story Hist Units</t>
  </si>
  <si>
    <t>Townhome Hist Units</t>
  </si>
  <si>
    <t>Duplex Hist Units</t>
  </si>
  <si>
    <t>2-Story Hist Units</t>
  </si>
  <si>
    <t>2-Story Wlkp Hist Units</t>
  </si>
  <si>
    <t>3+ Story Hist Units</t>
  </si>
  <si>
    <t>SF Det'd Hist Units</t>
  </si>
  <si>
    <t>MH Hist Units</t>
  </si>
  <si>
    <t>Subotal</t>
  </si>
  <si>
    <t>Total Per Construction Type</t>
  </si>
  <si>
    <t>H.</t>
  </si>
  <si>
    <t>Eligible Basis Adjustment:</t>
  </si>
  <si>
    <t>QCT &amp; Local Govt Adptd Revital Plan</t>
  </si>
  <si>
    <t>Local Govt Adopted Revitaliztn Plan</t>
  </si>
  <si>
    <t>HUD Choice Nbrhd Implement Grant</t>
  </si>
  <si>
    <t>Fitzgerald Hill</t>
  </si>
  <si>
    <t>Ft. Gaines</t>
  </si>
  <si>
    <t>Ft. Oglethorpe</t>
  </si>
  <si>
    <t>Lafayette</t>
  </si>
  <si>
    <t>Lagrange</t>
  </si>
  <si>
    <t>Mccaysville</t>
  </si>
  <si>
    <t>Mcdonough</t>
  </si>
  <si>
    <t>Mt. Vernon</t>
  </si>
  <si>
    <t>Rabun Gap</t>
  </si>
  <si>
    <t>Cities w/ LIHTC Projects</t>
  </si>
  <si>
    <t>Has LIHTC Project</t>
  </si>
  <si>
    <t xml:space="preserve">(NAME) will make a capital contribution totaling ($X) via the syndication of the 2015 Federal LIHTC allocation of ($X TAX CREDIT AMOUNT) per annum.   (NAME) will make a capital contribution totaling ($X) via the syndication of the 2015 State LIHTC allocation of ($X TAX CREDIT AMOUNT) per annum.  The total equity price per credit will be $.X.  ($.X Federal tax credit and $.X State tax credit) for a (X%) ownership interest of the Federal Credits and a (X%) ownership interest of the State Credits. </t>
  </si>
  <si>
    <t>(choose A or B)</t>
  </si>
  <si>
    <t>Liberty County</t>
  </si>
  <si>
    <r>
      <t xml:space="preserve">Historic </t>
    </r>
    <r>
      <rPr>
        <sz val="9"/>
        <rFont val="Arial"/>
        <family val="2"/>
      </rPr>
      <t>Adaptive Reuse</t>
    </r>
  </si>
  <si>
    <t>Grades Served</t>
  </si>
  <si>
    <t>Atlanta Metro</t>
  </si>
  <si>
    <t>National big box general merchandise store</t>
  </si>
  <si>
    <t>Hospital</t>
  </si>
  <si>
    <t>Traditional town square</t>
  </si>
  <si>
    <t>Grocery store w/meat, dairy, &amp; produce</t>
  </si>
  <si>
    <t>Elementary, middle, or high school</t>
  </si>
  <si>
    <t>Public park/Public community garden</t>
  </si>
  <si>
    <t>Public library</t>
  </si>
  <si>
    <t>Fire Station or Police Station</t>
  </si>
  <si>
    <t>Retail/Clothing/Department store</t>
  </si>
  <si>
    <t>Restaurants</t>
  </si>
  <si>
    <t>Federally insured banking institutions</t>
  </si>
  <si>
    <t>Post Office</t>
  </si>
  <si>
    <t>Pharmacy</t>
  </si>
  <si>
    <t>Church</t>
  </si>
  <si>
    <t>Day care services</t>
  </si>
  <si>
    <t>Bonus Desirables</t>
  </si>
  <si>
    <t>&lt;&lt;Select Desirable Category&gt;&gt;</t>
  </si>
  <si>
    <t>Maximum Waiver Amount for 4% bond applications</t>
  </si>
  <si>
    <t>Efficiency Multifamily New Construction Units</t>
  </si>
  <si>
    <t>1 BR Multifamily New Construction Units</t>
  </si>
  <si>
    <t>2 BR Multifamily New Construction Units</t>
  </si>
  <si>
    <t>3 BR Multifamily New Construction Units</t>
  </si>
  <si>
    <t>4 BR Multifamily New Construction Units</t>
  </si>
  <si>
    <t>Efficiency Nonhistoric Multifamily Rehab or Acq/Rehab Units</t>
  </si>
  <si>
    <t>1 BR NonhistoricMultifamily Rehab or Acq/Rehab Units</t>
  </si>
  <si>
    <t>2 BR NonhistoricMultifamily Rehab or Acq/Rehab Units</t>
  </si>
  <si>
    <t>3 BR NonhistoricMultifamily Rehab or Acq/Rehab Units</t>
  </si>
  <si>
    <t>4 BR Nonhistoric Multifamily Rehab or Acq/Rehab Units</t>
  </si>
  <si>
    <t>Historic Rhb</t>
  </si>
  <si>
    <t xml:space="preserve">   New Constr</t>
  </si>
  <si>
    <t xml:space="preserve">   Rehab</t>
  </si>
  <si>
    <t>Single Family and Duplex</t>
  </si>
  <si>
    <t>Efficiency SF or Duplex Nonhistoric Units</t>
  </si>
  <si>
    <t>SF or Duplex</t>
  </si>
  <si>
    <t>1 BR SF or Duplex Nonhistoric Units</t>
  </si>
  <si>
    <t>2 BR SF or Duplex Nonhistoric Units</t>
  </si>
  <si>
    <t>3 BR SF or Duplex Nonhistoric Units</t>
  </si>
  <si>
    <t>4 BR SF or Duplex Nonhistoric Units</t>
  </si>
  <si>
    <t>Total by Type</t>
  </si>
  <si>
    <t>Tax Credit Letter of Determination Fee</t>
  </si>
  <si>
    <t>Non-compliant Reinspection Fee</t>
  </si>
  <si>
    <t>Per Unit or File</t>
  </si>
  <si>
    <t xml:space="preserve">  1-Owner     2-Sponsor    3-Developer</t>
  </si>
  <si>
    <t>Managing Genrl Prtnr</t>
  </si>
  <si>
    <t>Other Genrl Prtnr 1</t>
  </si>
  <si>
    <t>Other Genrl Prtnr 2</t>
  </si>
  <si>
    <t>Federal Ltd Partner</t>
  </si>
  <si>
    <t>State Ltd Partner</t>
  </si>
  <si>
    <t>1.  Has any person, principal, or agent for this entity ever been convicted of a felony (Yes or No)?</t>
  </si>
  <si>
    <t>2. Is entity a MBE/ WBE?</t>
  </si>
  <si>
    <t>DCA's Overall Comments / Approval Conditions:</t>
  </si>
  <si>
    <t>Nbr Units</t>
  </si>
  <si>
    <t>Full Cost of Improvement</t>
  </si>
  <si>
    <r>
      <t xml:space="preserve">as a </t>
    </r>
    <r>
      <rPr>
        <sz val="8"/>
        <color rgb="FFFF0000"/>
        <rFont val="Arial"/>
        <family val="2"/>
      </rPr>
      <t>Percent of TDC:</t>
    </r>
  </si>
  <si>
    <t>I understand and agree that my Application for a low-income housing credit and/or HOME loan, all attachments thereto, amendments, and all correspondence relating to my Application in particular or the credit in general are subject to a request disclosure under the Georgia Open Records Act and I expressly consent to such disclosure.  I further understand and agree that any and all correspondence to me from DCA, other DCA-generated documents, or documents to or from a third party in the possession of DCA relating to my Application are subject to a request for disclosure under the Georgia Open Records Act and I expressly consent to such disclosure.  I agree to hold harmless DCA and the individual directors, employees, members, officers, and agents of DCA against all losses, costs, damages, expenses, and liability of whatsoever nature or kind (including, but not limited to, attorneys' fees, litigation, and court costs) directly or indirectly resulting from or arising out of the release of all information pertaining to my Application pursuant to a request under the Georgia Open Records Act or resulting from or arising out of the release.</t>
  </si>
  <si>
    <t>I understand and agree that DCA makes no representations or warranties regarding the financial feasibility of the project, the amount of credit, or the appropriateness of the allocation of the credit and makes no independent investigation as to the eligible and qualified basis and that any and all credit awards and credit amounts are solely based on representations made by me.  I therefore agree to hold harmless and indemnify DCA and the individual directors, employees, members, officers, and agents of DCA in the event that I or anyone acting on my behalf, at my request or by and through me incurs any loss, injury, or damages in conjunction with the project including those that may result from any inquiries or gathering of information by DCA concerning the proposed project team or Application, diminution of the credit, loss of the credit, recapture of part or all of the credit, failure to allocate the credit requested in my Application or, the failure of DCA, in whole or in part, to grant my Application.</t>
  </si>
  <si>
    <r>
      <t xml:space="preserve">5. </t>
    </r>
    <r>
      <rPr>
        <sz val="10"/>
        <rFont val="Arial Narrow"/>
        <family val="2"/>
      </rPr>
      <t xml:space="preserve"> Does this entity or a member of this entity have a conflict of interest with any member, officer, or employee of an entity that partners or contracts with the Applicant?  </t>
    </r>
    <r>
      <rPr>
        <b/>
        <sz val="10"/>
        <rFont val="Arial Narrow"/>
        <family val="2"/>
      </rPr>
      <t>If yes, explain briefly in boxes below and use Comment box at the bottom of this tab or attach explanation.</t>
    </r>
  </si>
  <si>
    <t>I understand that any misrepresentations, which includes fraudulent, negligent, and/or innocent,  in this Application or supporting documentation may result in a withdrawal of tax credits and/or HOME loan by DCA, my (and related parties) being barred from future program participation, and notification of the Internal Revenue Service and/or HUD.</t>
  </si>
  <si>
    <t>Beltline Grant/Loan</t>
  </si>
  <si>
    <t>The property is:</t>
  </si>
  <si>
    <t>Is a copy of the CHDO pre-qualification letter from DCA included in the Application?</t>
  </si>
  <si>
    <t>HVAC systems</t>
  </si>
  <si>
    <t>Syndicator and Developer?</t>
  </si>
  <si>
    <t>Syndicator and Contractor?</t>
  </si>
  <si>
    <r>
      <t>Submetered</t>
    </r>
    <r>
      <rPr>
        <sz val="10"/>
        <color rgb="FFFF0000"/>
        <rFont val="Arial"/>
        <family val="2"/>
      </rPr>
      <t>*</t>
    </r>
    <r>
      <rPr>
        <sz val="10"/>
        <rFont val="Arial"/>
        <family val="2"/>
      </rPr>
      <t>?</t>
    </r>
  </si>
  <si>
    <r>
      <rPr>
        <sz val="8"/>
        <color rgb="FFFF0000"/>
        <rFont val="Arial"/>
        <family val="2"/>
      </rPr>
      <t>*</t>
    </r>
    <r>
      <rPr>
        <sz val="8"/>
        <rFont val="Arial"/>
        <family val="2"/>
      </rPr>
      <t>New Construction units MUST be sub-metered.</t>
    </r>
  </si>
  <si>
    <t>Does it provide a land value?</t>
  </si>
  <si>
    <t>Does it provide a value for the improvements?</t>
  </si>
  <si>
    <t xml:space="preserve"> If "Yes", provide the maximum noise level on site in decibels over the 10 year projection:</t>
  </si>
  <si>
    <t>Is the CHDO either the sole general partner of the ownership entity or the managing member of the LLC general partner of the ownership entity (the CHDO must also exercise effective control of the project)?</t>
  </si>
  <si>
    <t>If tenants will be displaced, has Applicant received DCA written approval and placed a copy where indicated in the Tabs Checklist?</t>
  </si>
  <si>
    <t>If Yes, explain relationship in boxes provided below, and use Comment box at bottom of this tab or attach additional pages as needed:</t>
  </si>
  <si>
    <t>DCA HOME Consent Loan Pre-Application Fee</t>
  </si>
  <si>
    <t>LIHTC Final Inspection Fee</t>
  </si>
  <si>
    <t>Replacement Reserve (RR)</t>
  </si>
  <si>
    <t>State Basis Boost (extraordinary circumstances)</t>
  </si>
  <si>
    <t>I certify that all sources of funds, including but not limited to Federal, State and local funding sources,  have been disclosed and revealed.</t>
  </si>
  <si>
    <t>The above certifications are of a continuing nature and apply at all stages of the Application process: initial application, commitment, carryover allocation, and final allocation/funding.</t>
  </si>
  <si>
    <t>DCA must be notified of any subsequent events or information, which would change any statements or representations in the attached Application or amendments thereto;</t>
  </si>
  <si>
    <t>Choose A or B.</t>
  </si>
  <si>
    <t>Max Dev Fee Bef Conv</t>
  </si>
  <si>
    <t>Fed Equity Contrib</t>
  </si>
  <si>
    <t>St Equity Contrib</t>
  </si>
  <si>
    <t>Fed Equity Factor</t>
  </si>
  <si>
    <t>St Equity Factor</t>
  </si>
  <si>
    <t>St Credit Amt</t>
  </si>
  <si>
    <t>Fed Credit Amt</t>
  </si>
  <si>
    <t>Balloon balance, be sure maturity year is correct from proforma.</t>
  </si>
  <si>
    <t xml:space="preserve">(PROJECT NAME), located in (CITY), GA., is the proposed (substantial rehabilitation / new construction) of a # -Unit (Describe Project) project (additional comments about project).  (PBRA? Subsidies?).  Additionally, financing for the proposed development will include (describe general financing structure) .   In addition to (describe energy efficiency) the EarthCraft Building designation for incorporating green and sustainable building components, the project will offer amenities that include [see threshold and scoring] a (furnished library) and (exercise facility); (equipped computer center) and (playground) along with a (community building for residents).  </t>
  </si>
  <si>
    <t>Check rent chart &amp; select below</t>
  </si>
  <si>
    <t>Change in vacancy to:</t>
  </si>
  <si>
    <t>Tax increase by:</t>
  </si>
  <si>
    <t>Utilities incr by:</t>
  </si>
  <si>
    <t>Total Development Costs (TDC)</t>
  </si>
  <si>
    <t>Total Subsidy Units</t>
  </si>
  <si>
    <t>Loan Funding Source:</t>
  </si>
  <si>
    <t>Preview Term Sheet - HOME - Multifamily Loan Setup Form</t>
  </si>
  <si>
    <t>(refer to Threshold)</t>
  </si>
  <si>
    <t>(enter source here)</t>
  </si>
  <si>
    <t>($Amt here)</t>
  </si>
  <si>
    <r>
      <t xml:space="preserve">HVAC, Refrigerator, Microwave, Dishwasher, Stove, and </t>
    </r>
    <r>
      <rPr>
        <b/>
        <i/>
        <sz val="10"/>
        <color rgb="FFFF0000"/>
        <rFont val="Arial"/>
        <family val="2"/>
      </rPr>
      <t>either</t>
    </r>
    <r>
      <rPr>
        <sz val="10"/>
        <rFont val="Arial"/>
        <family val="2"/>
      </rPr>
      <t xml:space="preserve"> Powder-based stovetop fire suppression canisters installed above the range cook top </t>
    </r>
    <r>
      <rPr>
        <b/>
        <i/>
        <sz val="10"/>
        <color rgb="FFFF0000"/>
        <rFont val="Arial"/>
        <family val="2"/>
      </rPr>
      <t>or</t>
    </r>
    <r>
      <rPr>
        <sz val="10"/>
        <rFont val="Arial"/>
        <family val="2"/>
      </rPr>
      <t xml:space="preserve"> Electronically controlled solid cover plates over stove top burners </t>
    </r>
    <r>
      <rPr>
        <sz val="10"/>
        <color rgb="FFFF0000"/>
        <rFont val="Arial"/>
        <family val="2"/>
      </rPr>
      <t xml:space="preserve"> (confirm from Threshold tabs)</t>
    </r>
  </si>
  <si>
    <t>Tenant:</t>
  </si>
  <si>
    <t>Owner:</t>
  </si>
  <si>
    <t>Payments based on cash flow indicate no balloon, but subject to change</t>
  </si>
  <si>
    <t>point(s)</t>
  </si>
  <si>
    <t>Months - Permanent</t>
  </si>
  <si>
    <t>See closing Exhibit A</t>
  </si>
  <si>
    <t>(b) if not held by State Home, who will hold:</t>
  </si>
  <si>
    <t>(d) if not held by State Home, who will hold:</t>
  </si>
  <si>
    <t>(c) if not held by State Home, who will hold:</t>
  </si>
  <si>
    <t>CHDO Name:</t>
  </si>
  <si>
    <t>2. If CHDO project, the HOME funds must go directly to the CHDO then to the project.</t>
  </si>
  <si>
    <t>Other Funding (non-DCA)?</t>
  </si>
  <si>
    <r>
      <t>(a) Low HOME Rent</t>
    </r>
    <r>
      <rPr>
        <sz val="10"/>
        <rFont val="Arial"/>
        <family val="2"/>
      </rPr>
      <t xml:space="preserve"> less the applicable utility allowance;</t>
    </r>
  </si>
  <si>
    <t>(b) High HOME Rent less the applicable utility allowance;</t>
  </si>
  <si>
    <t>if more than one rent amount for one bedroom Low HOME unit, list each separately</t>
  </si>
  <si>
    <t>if more than one rent amount for two bedroom Low HOME unit, list each separately</t>
  </si>
  <si>
    <t>if more than one rent amount for three bedroom Low HOME unit, list each separately</t>
  </si>
  <si>
    <r>
      <t xml:space="preserve">SETASIDES:   </t>
    </r>
    <r>
      <rPr>
        <b/>
        <i/>
        <sz val="12"/>
        <rFont val="Arial"/>
        <family val="2"/>
      </rPr>
      <t>Non-Profit</t>
    </r>
  </si>
  <si>
    <t>4+ Bedroom</t>
  </si>
  <si>
    <r>
      <t>Subsidy</t>
    </r>
    <r>
      <rPr>
        <sz val="9"/>
        <rFont val="Arial"/>
        <family val="2"/>
      </rPr>
      <t xml:space="preserve"> Limit</t>
    </r>
  </si>
  <si>
    <r>
      <t>Cost</t>
    </r>
    <r>
      <rPr>
        <sz val="9"/>
        <rFont val="Arial"/>
        <family val="2"/>
      </rPr>
      <t xml:space="preserve"> Limit</t>
    </r>
  </si>
  <si>
    <t>TDC in Application</t>
  </si>
  <si>
    <t>Project Cost Limit</t>
  </si>
  <si>
    <t>(HUD 221d(3))</t>
  </si>
  <si>
    <t>( = Nbr of Home Units / Nbr of Total Units)</t>
  </si>
  <si>
    <t>Number of HOME Units Specified in Application</t>
  </si>
  <si>
    <t>(Using TDC Limits Posted by HUD PIH Office of Capital Improvements)</t>
  </si>
  <si>
    <t>Minimum # of HOME Units (Required):</t>
  </si>
  <si>
    <t>(Requested HOME Funds/Total HOME Eligible Costs) x Total Units= # Units</t>
  </si>
  <si>
    <t>(=Total HOME Eligible Costs x Home Percent of Total Units)</t>
  </si>
  <si>
    <t>(the Lessor of Method I or II)</t>
  </si>
  <si>
    <t>(HOME Eligible Amount cannot exceed HOME Loan Amount)</t>
  </si>
  <si>
    <t>ELIGIBLE Amount</t>
  </si>
  <si>
    <t>REQUESTED Amount</t>
  </si>
  <si>
    <t>Method I:</t>
  </si>
  <si>
    <t>Method II:</t>
  </si>
  <si>
    <t>HOME Loan:</t>
  </si>
  <si>
    <t>Amort. Basis Perm Fin:</t>
  </si>
  <si>
    <t>Amort. Basis TC Fees:</t>
  </si>
  <si>
    <t>Reserves (Non-tax item)</t>
  </si>
  <si>
    <t>DDF Payment</t>
  </si>
  <si>
    <t>LTD P'TNER (Fed/State)</t>
  </si>
  <si>
    <t xml:space="preserve">Months from Date of Closing </t>
  </si>
  <si>
    <t>(annual)</t>
  </si>
  <si>
    <t>If "Floating", all units will be designated as "floating" units.</t>
  </si>
  <si>
    <t>PBRA</t>
  </si>
  <si>
    <r>
      <t>*</t>
    </r>
    <r>
      <rPr>
        <b/>
        <sz val="10"/>
        <rFont val="Arial Narrow"/>
        <family val="2"/>
      </rPr>
      <t xml:space="preserve"> Must be verified by applicant using following website:</t>
    </r>
  </si>
  <si>
    <t>Proposed Avg Per Unit:</t>
  </si>
  <si>
    <t xml:space="preserve">Do NOT cut, copy or paste cells in this tab.  Complete ALL columns. For Common Space (non-income producing) units, select "N/A-CS" for Rent Type and "Common Space" for Employee Unit.  </t>
  </si>
  <si>
    <t>Is all additional environmental documentation required for a HOME application included, such as:</t>
  </si>
  <si>
    <t>Will any funding source used trigger the Uniform Relocation Act or HUD 104 (d) requirements?</t>
  </si>
  <si>
    <t>Census Tract Number:</t>
  </si>
  <si>
    <r>
      <t>LAND SELLER</t>
    </r>
    <r>
      <rPr>
        <sz val="10"/>
        <rFont val="Arial Narrow"/>
        <family val="2"/>
      </rPr>
      <t xml:space="preserve"> (If applicable)</t>
    </r>
  </si>
  <si>
    <t>10-Digit Phone / Ext.</t>
  </si>
  <si>
    <t>Historic / CTO</t>
  </si>
  <si>
    <t>Credit Eligibility for Assisted Living Facility</t>
  </si>
  <si>
    <t>Scattered Site Developments [as defined in Section 42(g)(7) of the Code and this QAP]</t>
  </si>
  <si>
    <t>included in 4</t>
  </si>
  <si>
    <t>included in 6</t>
  </si>
  <si>
    <t>included in 8</t>
  </si>
  <si>
    <t>included in 10</t>
  </si>
  <si>
    <t>DEEPER TARGETING / RENT / INCOME RESTRICTIONS</t>
  </si>
  <si>
    <t>Applicant Agrees?</t>
  </si>
  <si>
    <t>DCA Agrees?</t>
  </si>
  <si>
    <t>Total Units:</t>
  </si>
  <si>
    <t>Mkt Pct of Total:</t>
  </si>
  <si>
    <t>Georgia Initiative for Community Housing (GICH)</t>
  </si>
  <si>
    <t>NOTE:  If more than one letter is issued by a GICH community, no project in that community shall be awarded this point.</t>
  </si>
  <si>
    <t>National Housing Trust Fund</t>
  </si>
  <si>
    <t>Replacement Housing Factor Funds or other HUD PHI fund</t>
  </si>
  <si>
    <t>j)</t>
  </si>
  <si>
    <t>Long-term Ground Lease</t>
  </si>
  <si>
    <t>Total Nbr of Jobs w/in the 2-mile radius:</t>
  </si>
  <si>
    <t>Urban or Rural</t>
  </si>
  <si>
    <t>HUD PIH Office of Capital Improvements - Total Development Costs</t>
  </si>
  <si>
    <t>Per Unit (Avg)</t>
  </si>
  <si>
    <t>Historic Preservation Pts</t>
  </si>
  <si>
    <t>Community Transp Opt Pts</t>
  </si>
  <si>
    <t>Acq / Rhb</t>
  </si>
  <si>
    <t>Guarantor Fees</t>
  </si>
  <si>
    <t>Historic Rehab or Transit-Oriented Devlpmt</t>
  </si>
  <si>
    <t xml:space="preserve">qualifying for Historic Preservation or TOD pt(s) </t>
  </si>
  <si>
    <t>Name of Company that prepared the Phase I Assessment in accordance with ASTM 1527-13:</t>
  </si>
  <si>
    <t>B1)a.</t>
  </si>
  <si>
    <t>A pre-construction plan and specification review to determine that the proposed property will meet all required accessibility requirements.  The Consultant report must be included with the Step 2 construction documents submitted to DCA.  At a minimum, the report will include the initial comments from the consultant, all documents related to resolution of identified accessibility issues and a certification from the consultant that the plans appear to meet all  accessibility requirements.</t>
  </si>
  <si>
    <t>Applicant will retain a DCA qualified consultant to monitor the project for accessibility compliance who will not be a member of the proposed Project Team nor have an Identify of Interest with any member of the proposed Project Team?</t>
  </si>
  <si>
    <t>The DCA qualified consultant will perform the following:</t>
  </si>
  <si>
    <t xml:space="preserve">An inspection of the construction site after framing is completed to determine that the property is following the approved plans and specifications as to accessibility.  DCA must receive a copy of the report issued by the consultant as well as documentation that all issues, if any, have been resolved. </t>
  </si>
  <si>
    <t xml:space="preserve">A final inspection of the property after completion of construction to determine that the property has been constructed in accordance with all accessibility requirements.  DCA must receive a copy of the report issued by the consultant as well as documentation that all issues, if any, have been resolved prior to submission of the project cost certification.  </t>
  </si>
  <si>
    <t>C1).</t>
  </si>
  <si>
    <t>2).</t>
  </si>
  <si>
    <t>3).</t>
  </si>
  <si>
    <t>4).</t>
  </si>
  <si>
    <t>For each missing or incomplete document, one (1) point will be deducted</t>
  </si>
  <si>
    <r>
      <t xml:space="preserve">Deeper Targeting through </t>
    </r>
    <r>
      <rPr>
        <b/>
        <i/>
        <u/>
        <sz val="9"/>
        <rFont val="Arial"/>
        <family val="2"/>
      </rPr>
      <t>New</t>
    </r>
    <r>
      <rPr>
        <b/>
        <sz val="9"/>
        <rFont val="Arial"/>
        <family val="2"/>
      </rPr>
      <t xml:space="preserve"> PBRA Contracts</t>
    </r>
  </si>
  <si>
    <t>(at least) of residential units to have PBRA for 10+ yrs:</t>
  </si>
  <si>
    <t>Base Score</t>
  </si>
  <si>
    <t>Deductions</t>
  </si>
  <si>
    <t>Additions</t>
  </si>
  <si>
    <t>Other MSA</t>
  </si>
  <si>
    <t>City of Atlanta</t>
  </si>
  <si>
    <t>T-E Bond $ Allocated:</t>
  </si>
  <si>
    <t>Max</t>
  </si>
  <si>
    <t>Gross</t>
  </si>
  <si>
    <t>Limit</t>
  </si>
  <si>
    <t>Provider or</t>
  </si>
  <si>
    <t>Operating</t>
  </si>
  <si>
    <t>(Includes inc-restr mgr units)</t>
  </si>
  <si>
    <t>(no rent charged)</t>
  </si>
  <si>
    <r>
      <t>NOT</t>
    </r>
    <r>
      <rPr>
        <i/>
        <sz val="9"/>
        <color indexed="10"/>
        <rFont val="Arial"/>
        <family val="2"/>
      </rPr>
      <t xml:space="preserve"> Included in Mgt Fee:</t>
    </r>
  </si>
  <si>
    <t>Non-historic</t>
  </si>
  <si>
    <t>Adaptive Reuse:</t>
  </si>
  <si>
    <t>If proposed project has Historic Designation, indicate below (Y/N):</t>
  </si>
  <si>
    <t>I understand that, in the event an allocation (or an allowance) for LIHTCs was obtained with false information supplied to the Georgia Department of Community Affairs ("DCA"),  DCA will recapture the LIHTCs or request that the IRS deny tax credits to the Applicant entity.   Also, a supplier, including the developer or owner, who knowingly provides false information will be barred by  DCA from program participation for a period of five (5) years from the date the false information was discovered, in accordance with a Memorandum of Understanding between the Internal Revenue Service and the Georgia Housing and Finance Authority.</t>
  </si>
  <si>
    <t>I am responsible for ensuring the project consists or will consist of a qualified low-income building (or buildings) as defined in the Internal Revenue Code section 42(c)(2) and will satisfy all applicable requirements of State and Federal tax law in the acquisition, development and operation of the project to receive State and federal housing tax credits.</t>
  </si>
  <si>
    <t>I am responsible for all calculations and figures relating to the determination of the eligible basis of the building(s).  I understand and agree  the amount of the credit is allocated by reference to the figures that I submit as to eligible and qualified basis.  I understand that the actual amount of credit allocated may vary somewhat from the amount initially reserved or committed due to (a) the determination by the Georgia Department of Community Affairs ("DCA") as to the amount of credit necessary for the financial feasibility of the project and its viability as a qualified low-income housing project; (b) revisions in the calculations of eligible and qualified basis as finally determined; (c) fluctuations in the prevailing credit percentage; and (d) availability of the credit.</t>
  </si>
  <si>
    <t>I understand and agree to authorize DCA access to information relevant to DCA's Application review.  I understand that DCA may request an IRS Form 8821 for any Project Participant through final allocation of credits and/or disbursement of funds.  Project Participants will complete Form 8821 upon DCA's request.</t>
  </si>
  <si>
    <t>Replacement Housing Funds</t>
  </si>
  <si>
    <t>Nbr of Sites</t>
  </si>
  <si>
    <t>DCA Project Nbr of previous phase:</t>
  </si>
  <si>
    <t>Phased Development?</t>
  </si>
  <si>
    <t>USDA PBRA</t>
  </si>
  <si>
    <t>Org Type:</t>
  </si>
  <si>
    <t>DCA has included the following area for Applicants to make comments in any section they claimed points but were not provided with comment section.  Include the section/(s) you are referring to within this area along with any applicable comments.</t>
  </si>
  <si>
    <t>Unit Accessibility</t>
  </si>
  <si>
    <t>With Roll-In Showers</t>
  </si>
  <si>
    <t>Equipped for Hearing- and Sight-Impaired Residents</t>
  </si>
  <si>
    <t>Equipped for Mobility Disabled Residents</t>
  </si>
  <si>
    <t>Percent of Total Units</t>
  </si>
  <si>
    <t>Percent of Units Equipped for Mobility Disabled</t>
  </si>
  <si>
    <t>Required:</t>
  </si>
  <si>
    <t>CHDO has been granted a DCA HOME consent?</t>
  </si>
  <si>
    <t xml:space="preserve">     DCA HOME Consent amount:</t>
  </si>
  <si>
    <r>
      <t xml:space="preserve">Certified Historic/ Deemed Historic? 
</t>
    </r>
    <r>
      <rPr>
        <sz val="8"/>
        <color rgb="FFFF0000"/>
        <rFont val="Arial"/>
        <family val="2"/>
      </rPr>
      <t>(See QAP)</t>
    </r>
  </si>
  <si>
    <t>&lt;&lt; Select &gt;&gt;</t>
  </si>
  <si>
    <r>
      <t xml:space="preserve">Total </t>
    </r>
    <r>
      <rPr>
        <i/>
        <sz val="10"/>
        <rFont val="Arial Narrow"/>
        <family val="2"/>
      </rPr>
      <t>Existing</t>
    </r>
    <r>
      <rPr>
        <sz val="10"/>
        <rFont val="Arial Narrow"/>
        <family val="2"/>
      </rPr>
      <t xml:space="preserve"> Units</t>
    </r>
  </si>
  <si>
    <t>Years 31 - 35</t>
  </si>
  <si>
    <t>Description/Nature of Cost</t>
  </si>
  <si>
    <t>Basis Justification</t>
  </si>
  <si>
    <t>OTHER CONSTRUCTION HARD COSTS</t>
  </si>
  <si>
    <t>Total Cost</t>
  </si>
  <si>
    <r>
      <t>DCA-RELATED COSTS</t>
    </r>
    <r>
      <rPr>
        <sz val="10"/>
        <rFont val="Arial"/>
        <family val="2"/>
      </rPr>
      <t xml:space="preserve"> </t>
    </r>
  </si>
  <si>
    <r>
      <t>EQUITY COSTS</t>
    </r>
    <r>
      <rPr>
        <sz val="10"/>
        <rFont val="Arial"/>
        <family val="2"/>
      </rPr>
      <t xml:space="preserve"> </t>
    </r>
  </si>
  <si>
    <r>
      <t>OTHER COSTS</t>
    </r>
    <r>
      <rPr>
        <sz val="10"/>
        <rFont val="Arial"/>
        <family val="2"/>
      </rPr>
      <t xml:space="preserve"> </t>
    </r>
  </si>
  <si>
    <t>&lt;&lt; Enter description here; provide detail &amp; justification in tab Part IV-b &gt;&gt;</t>
  </si>
  <si>
    <t>Total DCR</t>
  </si>
  <si>
    <t>DCA requires the Applicant provide a narrative for all "Other" development costs listed on Part IV-Uses of Funds.  For any amounts shown below the Applicant needs to provide an explanation of the cost incurred by the development.  The narrative should be a brief description for DCA intended to justify its inclusion as a valid development cost.  Further, if the "Other" cost is included into eligible basis, a second narrative is required describing its justification into tax credit basis.  Expand row size as needed to show text.</t>
  </si>
  <si>
    <t>-----&gt;</t>
  </si>
  <si>
    <t>Latitude:</t>
  </si>
  <si>
    <t>Longitude:</t>
  </si>
  <si>
    <r>
      <rPr>
        <b/>
        <u/>
        <sz val="8"/>
        <color rgb="FFFF0000"/>
        <rFont val="Arial Narrow"/>
        <family val="2"/>
      </rPr>
      <t>If yes</t>
    </r>
    <r>
      <rPr>
        <sz val="8"/>
        <rFont val="Arial Narrow"/>
        <family val="2"/>
      </rPr>
      <t xml:space="preserve">, </t>
    </r>
    <r>
      <rPr>
        <b/>
        <u/>
        <sz val="8"/>
        <color rgb="FFFF0000"/>
        <rFont val="Arial Narrow"/>
        <family val="2"/>
      </rPr>
      <t>explain</t>
    </r>
    <r>
      <rPr>
        <sz val="8"/>
        <rFont val="Arial Narrow"/>
        <family val="2"/>
      </rPr>
      <t xml:space="preserve"> briefly in boxes below and either use Comment box or attach explanation.</t>
    </r>
  </si>
  <si>
    <t>NAHASDA</t>
  </si>
  <si>
    <t>Other PBRA - Source:</t>
  </si>
  <si>
    <r>
      <t xml:space="preserve">DCA HOME * </t>
    </r>
    <r>
      <rPr>
        <sz val="8"/>
        <rFont val="Arial Narrow"/>
        <family val="2"/>
      </rPr>
      <t xml:space="preserve"> -- Amt $</t>
    </r>
  </si>
  <si>
    <r>
      <t>Other HOME *</t>
    </r>
    <r>
      <rPr>
        <sz val="8"/>
        <rFont val="Arial Narrow"/>
        <family val="2"/>
      </rPr>
      <t xml:space="preserve"> -- Amt $</t>
    </r>
  </si>
  <si>
    <t>Neigborhood Stabilization Program *</t>
  </si>
  <si>
    <t>Per acre:</t>
  </si>
  <si>
    <t>Downtown Development Authority of the City of Jonesboro</t>
  </si>
  <si>
    <t>(Mgt Fee - see Pro Forma, Sect 1, Operating Assumptions)</t>
  </si>
  <si>
    <t>Total OE Required</t>
  </si>
  <si>
    <t>DCA Limit</t>
  </si>
  <si>
    <t>*See QAP: General Requirements policy</t>
  </si>
  <si>
    <t>Bridge Loan Fee</t>
  </si>
  <si>
    <t>Bridge Loan Interest</t>
  </si>
  <si>
    <t>Avg per unit:</t>
  </si>
  <si>
    <t>Site Geo Coordinates     (##.######)</t>
  </si>
  <si>
    <t>Minimum Replacement Reserve Calculation</t>
  </si>
  <si>
    <t>Morgan County, GA HUD Metro FMR Area</t>
  </si>
  <si>
    <t>Lincoln County, GA HUD Metro FMR Area</t>
  </si>
  <si>
    <t>Does this site provide a specified entrance that is legally accessible by paved roads and are the appropriate drawings, surveys, photographs and other documentation reflecting such paved roads included in the electronic application binder?</t>
  </si>
  <si>
    <t>If the road is going to be paved by the applicant, are these costs documented in the submitted electronic application binder and reflected in the development budget provided in the core application?</t>
  </si>
  <si>
    <t>Is the letter accompanied by a clear explanation of the requirements (include a copy of the applicable sections of the zoning ordinance highlighted for the stated classification)?</t>
  </si>
  <si>
    <t>Transit-Oriented Development</t>
  </si>
  <si>
    <t>Applicant in A1 or A2 above serves Family tenancy.</t>
  </si>
  <si>
    <t>Access to Public Transportation</t>
  </si>
  <si>
    <r>
      <t xml:space="preserve">a.  Will at least </t>
    </r>
    <r>
      <rPr>
        <b/>
        <sz val="8"/>
        <color rgb="FFFF0000"/>
        <rFont val="Arial"/>
        <family val="2"/>
      </rPr>
      <t>5%</t>
    </r>
    <r>
      <rPr>
        <sz val="8"/>
        <rFont val="Arial"/>
        <family val="2"/>
      </rPr>
      <t xml:space="preserve"> of the total units (but no less than one unit) be equipped for the mobility disabled, including wheelchair restricted residents? </t>
    </r>
  </si>
  <si>
    <r>
      <t xml:space="preserve">b.  Roll-in showers will be incorporated into </t>
    </r>
    <r>
      <rPr>
        <b/>
        <sz val="8"/>
        <color rgb="FFFF0000"/>
        <rFont val="Arial"/>
        <family val="2"/>
      </rPr>
      <t>40%</t>
    </r>
    <r>
      <rPr>
        <sz val="8"/>
        <rFont val="Arial"/>
        <family val="2"/>
      </rPr>
      <t xml:space="preserve"> of the mobility equipped units (but no fewer than one unit)?</t>
    </r>
  </si>
  <si>
    <r>
      <t xml:space="preserve">Will least an additional </t>
    </r>
    <r>
      <rPr>
        <b/>
        <sz val="8"/>
        <color rgb="FFFF0000"/>
        <rFont val="Arial"/>
        <family val="2"/>
      </rPr>
      <t>2%</t>
    </r>
    <r>
      <rPr>
        <sz val="8"/>
        <rFont val="Arial"/>
        <family val="2"/>
      </rPr>
      <t xml:space="preserve"> of the total units (but no less than one unit) be equipped for hearing and sight-impaired residents?</t>
    </r>
  </si>
  <si>
    <t>Threshold Justification per Applicant</t>
  </si>
  <si>
    <t>Scoring Justification per Applicant</t>
  </si>
  <si>
    <r>
      <t xml:space="preserve">Choose </t>
    </r>
    <r>
      <rPr>
        <b/>
        <i/>
        <u/>
        <sz val="8"/>
        <rFont val="Arial"/>
        <family val="2"/>
      </rPr>
      <t>A or B.</t>
    </r>
  </si>
  <si>
    <t>Are all interior and exterior site related amenities required and selected in this application indicated on the Conceptual Site Development Plan?</t>
  </si>
  <si>
    <t>Location/Vicinity map delineates location point of proposed property (site geo coordinates) &amp; shows entire municipality area (city limits, etc.)?</t>
  </si>
  <si>
    <t>Site Map delineates the approximate location point of each photo?</t>
  </si>
  <si>
    <t>DCA Rehabilitation Work Scope form referenced above clearly addresses:</t>
  </si>
  <si>
    <t>Name of Accessibility Consultant</t>
  </si>
  <si>
    <t>Minimum Required:</t>
  </si>
  <si>
    <t>Nbr of Units</t>
  </si>
  <si>
    <t xml:space="preserve">Fiber cement siding or other 30 year warranty product installed on all exterior wall surfaces not already required to be brick </t>
  </si>
  <si>
    <t xml:space="preserve">Community or Recreational Center </t>
  </si>
  <si>
    <t xml:space="preserve">Medical care provider </t>
  </si>
  <si>
    <t>Bonus Desirables Point Values</t>
  </si>
  <si>
    <t>See QAP Scoring for requirements.</t>
  </si>
  <si>
    <t>Earth Craft House Multifamily</t>
  </si>
  <si>
    <t>Earth Craft House Single Family</t>
  </si>
  <si>
    <t>Earth Craft House Renovation</t>
  </si>
  <si>
    <t>LEED-ND v4</t>
  </si>
  <si>
    <t>LEED for Homes</t>
  </si>
  <si>
    <t>EnergyStar v3</t>
  </si>
  <si>
    <t>USDOE Zero Energy Ready Home</t>
  </si>
  <si>
    <t>Sustainable Development</t>
  </si>
  <si>
    <t>Project is in a QCT?</t>
  </si>
  <si>
    <t>i.</t>
  </si>
  <si>
    <t>ii.</t>
  </si>
  <si>
    <t>iii.</t>
  </si>
  <si>
    <t>See QAP for requirements.</t>
  </si>
  <si>
    <t>iv.</t>
  </si>
  <si>
    <t>v.</t>
  </si>
  <si>
    <t>Community Improvement Fund</t>
  </si>
  <si>
    <t>miles</t>
  </si>
  <si>
    <t>Community Designations</t>
  </si>
  <si>
    <t>HUD Choice Neighborhood Implementation (CNI) Grant</t>
  </si>
  <si>
    <t>Purpose Built Communities</t>
  </si>
  <si>
    <t>Percentage</t>
  </si>
  <si>
    <t>Nbr of Units
Equipped:</t>
  </si>
  <si>
    <t>Has the Project Team changed?</t>
  </si>
  <si>
    <t>LIHTC (auto-filled from later entries)</t>
  </si>
  <si>
    <t>DCA HOME (from Consent Form)</t>
  </si>
  <si>
    <t>(Choose only one.)</t>
  </si>
  <si>
    <t>No funds other than what is disclosed in the Application have been or will be paid for the lease either directly or indirectly?</t>
  </si>
  <si>
    <t>Range/Microwave</t>
  </si>
  <si>
    <t>Refrigerator</t>
  </si>
  <si>
    <t>Other Electric</t>
  </si>
  <si>
    <t>Note: Elderly allowances cannot be used except at properties that have 100% HUD PBRA and satisfy the DCA definition of "elderly"</t>
  </si>
  <si>
    <t>If Yes, indicate DCA Project Nbr and Project Name of the first phase:</t>
  </si>
  <si>
    <t>Bartow County</t>
  </si>
  <si>
    <t>Loans are for both construction and permanent financing phases.</t>
  </si>
  <si>
    <t>Resources will be utilized if the project is selected for funding by DCA.</t>
  </si>
  <si>
    <t>Cost to Resident</t>
  </si>
  <si>
    <t>Occurrence</t>
  </si>
  <si>
    <t>Healthy Eating Initiative</t>
  </si>
  <si>
    <t>Average
CCRPI Score</t>
  </si>
  <si>
    <t>District / School System - from state CCRPI website:</t>
  </si>
  <si>
    <t>Application develops a property located in the attendance zone of one or more high-performing schools as determined by the state CCRPI?</t>
  </si>
  <si>
    <t xml:space="preserve">Minimum </t>
  </si>
  <si>
    <r>
      <t xml:space="preserve">Show </t>
    </r>
    <r>
      <rPr>
        <b/>
        <sz val="10"/>
        <color rgb="FFFF0000"/>
        <rFont val="Arial"/>
        <family val="2"/>
      </rPr>
      <t>Owner-paid</t>
    </r>
    <r>
      <rPr>
        <sz val="10"/>
        <color rgb="FFFF0000"/>
        <rFont val="Arial"/>
        <family val="2"/>
      </rPr>
      <t xml:space="preserve"> utility amounts in the Operating Expense Budget in the Part VI tab.  
</t>
    </r>
    <r>
      <rPr>
        <b/>
        <sz val="10"/>
        <color rgb="FFFF0000"/>
        <rFont val="Arial"/>
        <family val="2"/>
      </rPr>
      <t xml:space="preserve">Do not enter </t>
    </r>
    <r>
      <rPr>
        <sz val="10"/>
        <color rgb="FFFF0000"/>
        <rFont val="Arial"/>
        <family val="2"/>
      </rPr>
      <t>Owner-paid utility amounts here in this chart.</t>
    </r>
  </si>
  <si>
    <r>
      <t xml:space="preserve">DEVELOPMENT COST SCHEDULE
Section Name
</t>
    </r>
    <r>
      <rPr>
        <sz val="10"/>
        <rFont val="Arial"/>
        <family val="2"/>
      </rPr>
      <t>Section's Other Line Item</t>
    </r>
  </si>
  <si>
    <t>Description of Monthly Healthy Eating Programs</t>
  </si>
  <si>
    <t>Probationary Certifying GP/Dev</t>
  </si>
  <si>
    <t>Not Qualified Partnering</t>
  </si>
  <si>
    <t>Did the project team request a waiver or waiver renewal of a Significant Adverse Event at pre-application?</t>
  </si>
  <si>
    <t xml:space="preserve">Undesirable/Inefficient Site Activities/Characteristics   </t>
  </si>
  <si>
    <r>
      <rPr>
        <u/>
        <sz val="7"/>
        <color rgb="FFFF0000"/>
        <rFont val="Arial Narrow"/>
        <family val="2"/>
      </rPr>
      <t>Disclaimer:</t>
    </r>
    <r>
      <rPr>
        <sz val="7"/>
        <color rgb="FFFF0000"/>
        <rFont val="Arial Narrow"/>
        <family val="2"/>
      </rPr>
      <t xml:space="preserve">  DCA Threshold and Scoring section reviews pertain only to the corresponding funding round and have no effect on subsequent or future funding round scoring decisions.</t>
    </r>
  </si>
  <si>
    <t>Vapor intrusion?</t>
  </si>
  <si>
    <t>DCA-Related Costs</t>
  </si>
  <si>
    <t xml:space="preserve">Max: </t>
  </si>
  <si>
    <t>Units x RR Min</t>
  </si>
  <si>
    <t>D/S Other Source,not DDF</t>
  </si>
  <si>
    <t>(If no local zoning requirement: DCA minimum 1.5 spaces per unit for family projects, 1 per unit for senior projects)</t>
  </si>
  <si>
    <t>Is the completed and executed DCA Desirable/Undesirable Certification form included in the appropriate application tab, in both the original Excel version and signed PDF?</t>
  </si>
  <si>
    <r>
      <t xml:space="preserve">Choose only </t>
    </r>
    <r>
      <rPr>
        <b/>
        <i/>
        <u/>
        <sz val="8"/>
        <rFont val="Arial"/>
        <family val="2"/>
      </rPr>
      <t>one</t>
    </r>
    <r>
      <rPr>
        <b/>
        <i/>
        <sz val="8"/>
        <rFont val="Arial"/>
        <family val="2"/>
      </rPr>
      <t xml:space="preserve"> option in B.</t>
    </r>
  </si>
  <si>
    <r>
      <t xml:space="preserve">Choose either option 1 </t>
    </r>
    <r>
      <rPr>
        <b/>
        <i/>
        <u/>
        <sz val="8"/>
        <rFont val="Arial"/>
        <family val="2"/>
      </rPr>
      <t>or</t>
    </r>
    <r>
      <rPr>
        <b/>
        <i/>
        <sz val="8"/>
        <rFont val="Arial"/>
        <family val="2"/>
      </rPr>
      <t xml:space="preserve"> 2 under A.</t>
    </r>
  </si>
  <si>
    <t>&lt;Enter page nbr(s) from Plan&gt;</t>
  </si>
  <si>
    <t>Unrelated Third-Party Name</t>
  </si>
  <si>
    <t>Unrelated Third-Party Type</t>
  </si>
  <si>
    <t>If current application is for third phase, indicate for second phase:</t>
  </si>
  <si>
    <t>MSA / Non-MSA</t>
  </si>
  <si>
    <t>Entity Name</t>
  </si>
  <si>
    <t>Project Application Amendments, Post Award Project Concept Amendments, Post Letter of Determination</t>
  </si>
  <si>
    <t>Avg Per "Dwelling" unit hard costs - not including community bldgs and common areas.</t>
  </si>
  <si>
    <t>CCRPI Scores from School Years Ending In:</t>
  </si>
  <si>
    <t>DCA Use ONLY - Project Nbr:</t>
  </si>
  <si>
    <t>Other - explain in Comments</t>
  </si>
  <si>
    <t>Specify Other PBRA Source here</t>
  </si>
  <si>
    <t>Other Sr</t>
  </si>
  <si>
    <t>Unit Configuration</t>
  </si>
  <si>
    <t>DCA Qualified Consultant</t>
  </si>
  <si>
    <t>(Enter all phone numbers without using hyphens, parentheses, decimals, etc - for example: 1234567890)</t>
  </si>
  <si>
    <t>Organization Name</t>
  </si>
  <si>
    <t>Is there ID of interest between:</t>
  </si>
  <si>
    <t>(same as LIHTC above unless noted separately in QAP)</t>
  </si>
  <si>
    <t>Yrs Thru</t>
  </si>
  <si>
    <t>Minimum Jobs Threshold Exceeded by:</t>
  </si>
  <si>
    <t>HUD Sect 202 Supportive Housing for Elderly</t>
  </si>
  <si>
    <t>Kresge Foundation</t>
  </si>
  <si>
    <t>Proposed</t>
  </si>
  <si>
    <t>TDC Cost Limit Area</t>
  </si>
  <si>
    <t>Rural HOME Preservation</t>
  </si>
  <si>
    <t>Overall capture rate for</t>
  </si>
  <si>
    <t>D1.  Tax Credit units</t>
  </si>
  <si>
    <t>If the Local Government (LG) does not have or enforce a zoning ordinance, has Applicant included a letter from a LG official to that effect AND is this Letter on official letterhead with the name and title of the LG official?</t>
  </si>
  <si>
    <t>General</t>
  </si>
  <si>
    <t>Amount Up To from available 9% credit pool</t>
  </si>
  <si>
    <t>Total Amount Up To from available 9% credit pool</t>
  </si>
  <si>
    <t>Per Project Amount Up To from available 9% credit pool</t>
  </si>
  <si>
    <t>Is evidence of the easements and commitments from the water and sewer authorities included in the Application?</t>
  </si>
  <si>
    <t>Is verification of any annexation or improvements submitted with the Application?</t>
  </si>
  <si>
    <t>DCA Rehabilitation Work Scope form is completed, included in PNA tab,and clearly indicates percentages of each item to be "demoed" or replaced:</t>
  </si>
  <si>
    <t>For all senior (HFOP or elderly) properties, regardless of the year of first residential use, 100% of the units must be accessible and adaptable, as defined by the Fair Housing Amendments Act of 1988. This is not a waivable requirement.</t>
  </si>
  <si>
    <t>All applicable Federal and State accessibility laws including but not limited to: The Fair Housing Amendments Act of 1988, Americans with Disabilities Act, Section 504 of the Rehabilitation Act of 1973, Georgia Fair Housing Law and Georgia Access Law as set forth in the 2018 Accessibility Manual?  (When two or more accessibility standards apply, the applicant is required to follow and apply both standards so that a maximum accessibility is obtained.)</t>
  </si>
  <si>
    <t>Rehab of bldgs eligible for historic preservatn credits will maintain &amp; if necessary replace with matching materials, the existing or original exterior finish surfaces including front wall face, rear wall face and both side wall faces</t>
  </si>
  <si>
    <t>DCA Project Nbr:</t>
  </si>
  <si>
    <t xml:space="preserve">Requirements </t>
  </si>
  <si>
    <t>Placed-In-Service Date for previous DCA project listed above:</t>
  </si>
  <si>
    <t>The property is in a(n)</t>
  </si>
  <si>
    <t>area.</t>
  </si>
  <si>
    <t>Applicant is appying for</t>
  </si>
  <si>
    <t>in 9% Credits?</t>
  </si>
  <si>
    <t>The Project meets all Threshold Requirements?</t>
  </si>
  <si>
    <t xml:space="preserve">Selection Criteria </t>
  </si>
  <si>
    <t>Percentage of the original HOME loan that has been paid:</t>
  </si>
  <si>
    <t>Percentage Paid</t>
  </si>
  <si>
    <t>Number of successful deals completed by the Project Team</t>
  </si>
  <si>
    <t>Original HOME Loan Closing Amount</t>
  </si>
  <si>
    <t>The property has no other secured debt beside the DCA HOME loan.</t>
  </si>
  <si>
    <t>A comprehensive documented marketing strategy to affirmatively market and attract individuals least likely to apply, including persons with disabilities and the homeless, that includes:
1. Goals, outcomes</t>
  </si>
  <si>
    <t>HUD Affirmative Fair Housing Marketing Plan (AFHMP) – Multifamily Housing Form (HUD-935.2A) with completed worksheets and supportive documentation.</t>
  </si>
  <si>
    <t>A formal documented strategy and outreach examples for individuals with Limited English Proficiency (LEP) for languages identified as being prevalent in the surrounding market area.</t>
  </si>
  <si>
    <t>Amount from State HOME allocation</t>
  </si>
  <si>
    <t>With USDA 515 Funding</t>
  </si>
  <si>
    <t>% of Total Construction Hard Costs</t>
  </si>
  <si>
    <r>
      <t>% of subtotal of Land Improvements + Structures</t>
    </r>
    <r>
      <rPr>
        <sz val="7"/>
        <rFont val="Arial Narrow"/>
        <family val="2"/>
      </rPr>
      <t xml:space="preserve"> (on Core Application. Part IV – Uses of Funds)</t>
    </r>
  </si>
  <si>
    <t>Payment &amp; Performance Bond Waiver</t>
  </si>
  <si>
    <t>DCA Waiver &amp; Pre-approval Fees (AS&amp;DO/OptAm/OE-$1500 ea, QD-$1000)</t>
  </si>
  <si>
    <t>Architectural Standards &amp; Design Options</t>
  </si>
  <si>
    <t>Optional Amenity Request</t>
  </si>
  <si>
    <t>Qualification Determination</t>
  </si>
  <si>
    <t>Operating Expense Waiver</t>
  </si>
  <si>
    <t>DCA Waiver and Pre-Application Fees</t>
  </si>
  <si>
    <t>PBRA contract has a minimum term of ten (10) years.</t>
  </si>
  <si>
    <r>
      <t>Mandatory Evaluation Criteria</t>
    </r>
    <r>
      <rPr>
        <b/>
        <i/>
        <u/>
        <sz val="8"/>
        <rFont val="Arial"/>
        <family val="2"/>
      </rPr>
      <t/>
    </r>
  </si>
  <si>
    <r>
      <t>Site is</t>
    </r>
    <r>
      <rPr>
        <i/>
        <sz val="8"/>
        <rFont val="Arial"/>
        <family val="2"/>
      </rPr>
      <t xml:space="preserve"> </t>
    </r>
    <r>
      <rPr>
        <b/>
        <i/>
        <sz val="8"/>
        <rFont val="Arial"/>
        <family val="2"/>
      </rPr>
      <t>within</t>
    </r>
    <r>
      <rPr>
        <b/>
        <sz val="8"/>
        <rFont val="Arial"/>
        <family val="2"/>
      </rPr>
      <t xml:space="preserve"> </t>
    </r>
    <r>
      <rPr>
        <b/>
        <i/>
        <sz val="8"/>
        <rFont val="Arial"/>
        <family val="2"/>
      </rPr>
      <t>one (1) mile</t>
    </r>
    <r>
      <rPr>
        <b/>
        <sz val="8"/>
        <color rgb="FFFF0000"/>
        <rFont val="Arial"/>
        <family val="2"/>
      </rPr>
      <t>*</t>
    </r>
    <r>
      <rPr>
        <sz val="8"/>
        <rFont val="Arial"/>
        <family val="2"/>
      </rPr>
      <t xml:space="preserve"> walking distance of a transit hub</t>
    </r>
  </si>
  <si>
    <r>
      <t>Site is</t>
    </r>
    <r>
      <rPr>
        <i/>
        <sz val="8"/>
        <rFont val="Arial"/>
        <family val="2"/>
      </rPr>
      <t xml:space="preserve"> </t>
    </r>
    <r>
      <rPr>
        <b/>
        <i/>
        <sz val="8"/>
        <rFont val="Arial"/>
        <family val="2"/>
      </rPr>
      <t>within a 0.25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</si>
  <si>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0.5 mile</t>
    </r>
    <r>
      <rPr>
        <b/>
        <i/>
        <sz val="8"/>
        <color rgb="FFFF0000"/>
        <rFont val="Arial"/>
        <family val="2"/>
      </rPr>
      <t>*</t>
    </r>
    <r>
      <rPr>
        <sz val="8"/>
        <rFont val="Arial"/>
        <family val="2"/>
      </rPr>
      <t xml:space="preserve"> walking distance of an established public transportation stop</t>
    </r>
  </si>
  <si>
    <r>
      <t>Site is</t>
    </r>
    <r>
      <rPr>
        <i/>
        <sz val="8"/>
        <rFont val="Arial"/>
        <family val="2"/>
      </rPr>
      <t xml:space="preserve"> </t>
    </r>
    <r>
      <rPr>
        <b/>
        <i/>
        <sz val="8"/>
        <rFont val="Arial"/>
        <family val="2"/>
      </rPr>
      <t>within a 1 mile</t>
    </r>
    <r>
      <rPr>
        <b/>
        <i/>
        <sz val="8"/>
        <color rgb="FFFF0000"/>
        <rFont val="Arial"/>
        <family val="2"/>
      </rPr>
      <t>*</t>
    </r>
    <r>
      <rPr>
        <sz val="8"/>
        <rFont val="Arial"/>
        <family val="2"/>
      </rPr>
      <t xml:space="preserve"> walking distance of an established public transportation stop</t>
    </r>
  </si>
  <si>
    <t xml:space="preserve">Pedestrian Site Entrance </t>
  </si>
  <si>
    <t>Geo Coordinates (##.######) for:</t>
  </si>
  <si>
    <t>Proposed Transit Stop</t>
  </si>
  <si>
    <t>PLACE-BASED OPPORTUNITY</t>
  </si>
  <si>
    <t>Earth Craft House Multifamily - Platinum Certification</t>
  </si>
  <si>
    <t>Earth Craft House Single Family - Platinum Certification</t>
  </si>
  <si>
    <t>Earth Craft House Renovation - Platinum Certification</t>
  </si>
  <si>
    <t>LEED for Homes - Platinum Certification</t>
  </si>
  <si>
    <t>Earth Craft Communities (Urban Development)</t>
  </si>
  <si>
    <t>Enterprise Foundation Green Communities</t>
  </si>
  <si>
    <t>HIRL National Green Building Standard - Min Bronze</t>
  </si>
  <si>
    <t>HIRL National Green Building Standard - Emerald Certification</t>
  </si>
  <si>
    <t>Enterprise Foundation Green Communities - 10 Pts &gt; Min</t>
  </si>
  <si>
    <t>&lt;&lt; Select a Sustainable Development Certification &gt;&gt;</t>
  </si>
  <si>
    <t>ENRICHED PROPERTY SERVICES</t>
  </si>
  <si>
    <t>Education Outcomes</t>
  </si>
  <si>
    <t>(2 pts subtracted each)</t>
  </si>
  <si>
    <t>Preventive Health Care</t>
  </si>
  <si>
    <t>Quality Education Areas</t>
  </si>
  <si>
    <t>Workforce Housing Need</t>
  </si>
  <si>
    <t xml:space="preserve">Exceeding Threshold by 50% </t>
  </si>
  <si>
    <t>(Cherokee, Clayton, Cobb, DeKalb, Douglas, Fayette, Fulton, Gwinnett, Henry &amp; Rockdale counties)</t>
  </si>
  <si>
    <t>Jobs Threshold</t>
  </si>
  <si>
    <t>Exceed the minimum jobs threshold by 50%?</t>
  </si>
  <si>
    <t>REVITALIZATION/REDEVELOPMENT PLANS</t>
  </si>
  <si>
    <t>COMMUNITY TRANSFORMATION</t>
  </si>
  <si>
    <t>Eligibility:</t>
  </si>
  <si>
    <t>Community Partnerships</t>
  </si>
  <si>
    <r>
      <t xml:space="preserve">Community-Based Developer </t>
    </r>
    <r>
      <rPr>
        <sz val="9"/>
        <rFont val="Arial"/>
        <family val="2"/>
      </rPr>
      <t>(CBD)</t>
    </r>
  </si>
  <si>
    <t>Philanthropic Activities</t>
  </si>
  <si>
    <r>
      <t xml:space="preserve">Community Quarterback Board </t>
    </r>
    <r>
      <rPr>
        <sz val="9"/>
        <rFont val="Arial"/>
        <family val="2"/>
      </rPr>
      <t>(CQB)</t>
    </r>
  </si>
  <si>
    <t>Applicant has or will receive a commitment of funds for services to support the provision of community services and resources to the proposed development’s future residents and/or neighbors?</t>
  </si>
  <si>
    <t>The funds have been or will be directed to a designated financial account that is capable of documenting specific deposits and expenditures?
in service</t>
  </si>
  <si>
    <t>Driving Distance (mi) from Site Entr</t>
  </si>
  <si>
    <t>COMMUNITY DESIGNATIONS</t>
  </si>
  <si>
    <t>EXCEPTIONAL NONPROFIT/PUBLIC HOUSING AUTHORITY</t>
  </si>
  <si>
    <t>Exceptional Nonprofit</t>
  </si>
  <si>
    <t>Exceptional Public Housing Authority</t>
  </si>
  <si>
    <t>Identifies the boundaries of their GICH community:</t>
  </si>
  <si>
    <t>Identifies the project as located within their stated GICH community boundaries:</t>
  </si>
  <si>
    <t>McRae-Helena</t>
  </si>
  <si>
    <t>FAVORABLE FINANCING</t>
  </si>
  <si>
    <t>Qualifying Sources for Favorable Financing</t>
  </si>
  <si>
    <t>Projects receives a long-term ground lease (no less than 45-year) from a local public housing authority or government entity for nominal consideration and no other land costs?  Leases can only be considered for points under this sub-section and not under any other scoring sub-section.</t>
  </si>
  <si>
    <t>Is the nonprofit the same entity that meets requirements for the Nonprofit Set Aside?</t>
  </si>
  <si>
    <t>Is the NonProfit/PHA Assessment form and the required documentation included in the appropriate tab of the application?</t>
  </si>
  <si>
    <t>Is the organization a qualified nonprofit, defined as a 501(c)(3) or 501(c)(4) organization, which is not affiliated with or controlled by a for-profit organization and has included the fostering of low income housing as one of its tax-exempt purposes?</t>
  </si>
  <si>
    <t>Will the qualified nonprofit materially participate in the development and operation of the project as described in IRC Section 469(h) throughout the project compliance period?</t>
  </si>
  <si>
    <t>Does the qualified nonprofit own at least 51% of the GP's interest in the project and is the managing general partner of the ownership entity?</t>
  </si>
  <si>
    <t>Is this entity a corporation with 100 percent of the stock of such corporation held by one or more qualified nonprofit organizations at all times during the period such corporation is in existence?</t>
  </si>
  <si>
    <t>All Applicants: Does the nonprofit receive a percentage of the developer fee greater than or equal to its percentage of its ownership interest?</t>
  </si>
  <si>
    <t>Is a copy of the GP joint venture agreement or GP operating agreement that provides the nonprofit’s GP interest and the Developer Fee amount included in the application?</t>
  </si>
  <si>
    <t>Is a an opinion of a third party attorney who specializes in tax law on the nonprofit’s current federal tax exempt qualification status included in the Application?  If such an opinion has been previously obtained, this requirement may be satisfied by submitting the opinion with documentation demonstrating that the nonprofit’s bylaws have not changed since the legal opinion was issued.</t>
  </si>
  <si>
    <t>ELIGIBILITY FOR CREDIT UNDER THE NONPROFIT SET-ASIDE</t>
  </si>
  <si>
    <t>Name of Qualified Nonprofit:</t>
  </si>
  <si>
    <t>Nonprofit's Website:</t>
  </si>
  <si>
    <t>Is this the only application from this Project Team requesting these points in this funding round?</t>
  </si>
  <si>
    <t>DDF</t>
  </si>
  <si>
    <t>DDF Balance</t>
  </si>
  <si>
    <t>Cash Flow:</t>
  </si>
  <si>
    <r>
      <t xml:space="preserve">Building Type: (for </t>
    </r>
    <r>
      <rPr>
        <b/>
        <i/>
        <sz val="10"/>
        <rFont val="Arial"/>
        <family val="2"/>
      </rPr>
      <t>Utility Allowance, Monitoring Fees</t>
    </r>
    <r>
      <rPr>
        <sz val="10"/>
        <rFont val="Arial"/>
        <family val="2"/>
      </rPr>
      <t xml:space="preserve"> and other purposes)</t>
    </r>
  </si>
  <si>
    <t>Cost Waiver / DCA Override</t>
  </si>
  <si>
    <t>Is there a pre-application Qualification of Project Team Determination letter from DCA included in this application for this criterion?</t>
  </si>
  <si>
    <r>
      <t xml:space="preserve">For </t>
    </r>
    <r>
      <rPr>
        <b/>
        <i/>
        <sz val="11"/>
        <color rgb="FFFF0000"/>
        <rFont val="Arial Narrow"/>
        <family val="2"/>
      </rPr>
      <t>ALL</t>
    </r>
    <r>
      <rPr>
        <sz val="11"/>
        <color rgb="FFFF0000"/>
        <rFont val="Arial Narrow"/>
        <family val="2"/>
      </rPr>
      <t xml:space="preserve"> options under this scoring criterion, 
</t>
    </r>
    <r>
      <rPr>
        <b/>
        <i/>
        <u/>
        <sz val="11"/>
        <color rgb="FFFF0000"/>
        <rFont val="Arial Narrow"/>
        <family val="2"/>
      </rPr>
      <t>regardless</t>
    </r>
    <r>
      <rPr>
        <b/>
        <i/>
        <sz val="11"/>
        <color rgb="FFFF0000"/>
        <rFont val="Arial Narrow"/>
        <family val="2"/>
      </rPr>
      <t xml:space="preserve"> of Competitive Pool chosen</t>
    </r>
    <r>
      <rPr>
        <sz val="11"/>
        <color rgb="FFFF0000"/>
        <rFont val="Arial Narrow"/>
        <family val="2"/>
      </rPr>
      <t>, 
provide the information below for the transit agency/service:</t>
    </r>
  </si>
  <si>
    <t>Tenancy selected:</t>
  </si>
  <si>
    <t>Proposed Transit Stop 2</t>
  </si>
  <si>
    <t>Pedestrian Site Entrance 2</t>
  </si>
  <si>
    <r>
      <t xml:space="preserve"> </t>
    </r>
    <r>
      <rPr>
        <b/>
        <sz val="10"/>
        <color rgb="FFFF0000"/>
        <rFont val="Arial"/>
        <family val="2"/>
      </rPr>
      <t xml:space="preserve">* </t>
    </r>
    <r>
      <rPr>
        <sz val="8"/>
        <rFont val="Arial"/>
        <family val="2"/>
      </rPr>
      <t>Walking distance route provided must be from Google Maps, and route must be from the geo-coordinates of the pedestrian site entrance to the transit stop.  DCA will verify distances in this manner.</t>
    </r>
  </si>
  <si>
    <t>DESIRABLE AND UNDESIRABLE ACTIVITIES</t>
  </si>
  <si>
    <t>Desirable / Undesirable Activities Pts</t>
  </si>
  <si>
    <t>(for properties with Family Tenancy only)</t>
  </si>
  <si>
    <t>XVIII.</t>
  </si>
  <si>
    <t>XVI.</t>
  </si>
  <si>
    <t>XVII.</t>
  </si>
  <si>
    <t>XIX.</t>
  </si>
  <si>
    <t>XX.</t>
  </si>
  <si>
    <t>NOTE: 
Row size may be increased or decreased as needed.  
Press and hold Alt-Enter to start new paragraphs in the same box.</t>
  </si>
  <si>
    <t>VI.  DCA COMMENTS</t>
  </si>
  <si>
    <t>XXI.</t>
  </si>
  <si>
    <t>XXII.</t>
  </si>
  <si>
    <t>XXIII.</t>
  </si>
  <si>
    <t>XXIV.</t>
  </si>
  <si>
    <t>XXV.</t>
  </si>
  <si>
    <t>XXVI.</t>
  </si>
  <si>
    <t>1)  All immediate needs identified in the PNA.</t>
  </si>
  <si>
    <t>2)  All application threshold and scoring requirements</t>
  </si>
  <si>
    <t>3)  All applicable architectural and accessibility standards.</t>
  </si>
  <si>
    <t>4)  All remediation issues identified in the Phase I Environmental Site Assessment.</t>
  </si>
  <si>
    <r>
      <t xml:space="preserve">Accessibility standards that must be met at the time of project completion by all projects under this QAP.  </t>
    </r>
    <r>
      <rPr>
        <sz val="9"/>
        <rFont val="Arial"/>
        <family val="2"/>
      </rPr>
      <t>Upon completion, will this project comply with:</t>
    </r>
  </si>
  <si>
    <t>a. Mobility Impaired</t>
  </si>
  <si>
    <t>b. Roll-In Showers</t>
  </si>
  <si>
    <t>Sight/Hearing Impaired</t>
  </si>
  <si>
    <t>Description of Services</t>
  </si>
  <si>
    <t>D2.  Market rate units</t>
  </si>
  <si>
    <t>Description of Education Incorporated (Specific Topics)</t>
  </si>
  <si>
    <t>EXPERIENCE, CAPACITY &amp; PERFORMANCE REQUIREMENTS FOR GENERAL PARTNER AND DEVELOPER ENTITIES</t>
  </si>
  <si>
    <t>If multiple entrances and/or stops:</t>
  </si>
  <si>
    <t>Pt Deductions</t>
  </si>
  <si>
    <t>Sect #</t>
  </si>
  <si>
    <t>Section Name</t>
  </si>
  <si>
    <t>Desirable/Undesirable Activities</t>
  </si>
  <si>
    <t>Place-Based Opportunity</t>
  </si>
  <si>
    <t>Revitalization/Redevelopment Plans</t>
  </si>
  <si>
    <t>Community Transformation</t>
  </si>
  <si>
    <t>DCA Community Initiatives</t>
  </si>
  <si>
    <t>Favorable Financing</t>
  </si>
  <si>
    <t>Historic Preservation</t>
  </si>
  <si>
    <t>DCA's Comments</t>
  </si>
  <si>
    <t>Minimum jobs threshold met?</t>
  </si>
  <si>
    <t>Rural Area</t>
  </si>
  <si>
    <t>Investment or Funding Mechanism</t>
  </si>
  <si>
    <t>Investment’s Furtherance of Plan</t>
  </si>
  <si>
    <t>Please provide Description of:</t>
  </si>
  <si>
    <t>Applicant Scoring Justification (partial)</t>
  </si>
  <si>
    <t>Self Score</t>
  </si>
  <si>
    <t xml:space="preserve">  </t>
  </si>
  <si>
    <t>(Alphabetized by Area, Not MSA))</t>
  </si>
  <si>
    <r>
      <t>Green-shaded cells are unlocked for your use and</t>
    </r>
    <r>
      <rPr>
        <b/>
        <sz val="9"/>
        <color rgb="FFFF0000"/>
        <rFont val="Arial Narrow"/>
        <family val="2"/>
      </rPr>
      <t xml:space="preserve"> contain</t>
    </r>
    <r>
      <rPr>
        <sz val="9"/>
        <color rgb="FFFF0000"/>
        <rFont val="Arial Narrow"/>
        <family val="2"/>
      </rPr>
      <t xml:space="preserve"> references/formulas that </t>
    </r>
    <r>
      <rPr>
        <b/>
        <sz val="9"/>
        <color rgb="FFFF0000"/>
        <rFont val="Arial Narrow"/>
        <family val="2"/>
      </rPr>
      <t>may</t>
    </r>
    <r>
      <rPr>
        <sz val="9"/>
        <color rgb="FFFF0000"/>
        <rFont val="Arial Narrow"/>
        <family val="2"/>
      </rPr>
      <t xml:space="preserve"> be overwritten if needed.</t>
    </r>
  </si>
  <si>
    <r>
      <t>Asset Management Fee Amount</t>
    </r>
    <r>
      <rPr>
        <sz val="9"/>
        <rFont val="Arial"/>
        <family val="2"/>
      </rPr>
      <t xml:space="preserve"> </t>
    </r>
    <r>
      <rPr>
        <sz val="8"/>
        <rFont val="Arial"/>
        <family val="2"/>
      </rPr>
      <t xml:space="preserve">(include total charged by </t>
    </r>
    <r>
      <rPr>
        <sz val="8"/>
        <color rgb="FFFF0000"/>
        <rFont val="Arial"/>
        <family val="2"/>
      </rPr>
      <t>all</t>
    </r>
    <r>
      <rPr>
        <sz val="8"/>
        <rFont val="Arial"/>
        <family val="2"/>
      </rPr>
      <t xml:space="preserve"> lenders/investors)</t>
    </r>
    <r>
      <rPr>
        <sz val="7"/>
        <rFont val="Arial"/>
        <family val="2"/>
      </rPr>
      <t xml:space="preserve">. </t>
    </r>
    <r>
      <rPr>
        <sz val="7"/>
        <color rgb="FFFF0000"/>
        <rFont val="Arial"/>
        <family val="2"/>
      </rPr>
      <t>DCA Yrly fee:</t>
    </r>
  </si>
  <si>
    <t>DDF Paid:</t>
  </si>
  <si>
    <t>Proforma Totals over DDF Term ------&gt;</t>
  </si>
  <si>
    <t xml:space="preserve">Actual %: </t>
  </si>
  <si>
    <t>Total DDF Paid</t>
  </si>
  <si>
    <t>Total CF Before Any DDF Pymt</t>
  </si>
  <si>
    <t>$ Limit:</t>
  </si>
  <si>
    <t>Actual %</t>
  </si>
  <si>
    <t>COMMUNITY TRANSFORMATION POINTS</t>
  </si>
  <si>
    <t>EXCEPTIONAL NONPROFIT/PUBLIC HOUSING AUTHORITY POINTS</t>
  </si>
  <si>
    <t xml:space="preserve">     Developer’s Fee earned during Construction Period    $</t>
  </si>
  <si>
    <t>NET POSSIBLE DCA SCORE WITHOUT DCA EXTRA POINTS</t>
  </si>
  <si>
    <t>HOME Asset Management</t>
  </si>
  <si>
    <r>
      <rPr>
        <b/>
        <sz val="7"/>
        <color rgb="FFFF0000"/>
        <rFont val="Arial Narrow"/>
        <family val="2"/>
      </rPr>
      <t>OR</t>
    </r>
    <r>
      <rPr>
        <b/>
        <sz val="9"/>
        <rFont val="Arial"/>
        <family val="2"/>
      </rPr>
      <t xml:space="preserve"> B.</t>
    </r>
  </si>
  <si>
    <t>&lt;&lt; Enter here Applicant's Narrative of how building will be reused. Adjust row height as needed. &gt;&gt;</t>
  </si>
  <si>
    <t>TDC Analysis</t>
  </si>
  <si>
    <t>Proposed TDC</t>
  </si>
  <si>
    <t>TDC Increase</t>
  </si>
  <si>
    <t>% Increase</t>
  </si>
  <si>
    <t>Max TDC</t>
  </si>
  <si>
    <t>Equity</t>
  </si>
  <si>
    <t>Proposed Total Equity</t>
  </si>
  <si>
    <t>Proposed Equity Price</t>
  </si>
  <si>
    <t>Market Total Equity</t>
  </si>
  <si>
    <t>Market Equity Price</t>
  </si>
  <si>
    <t>Potential Equity Change</t>
  </si>
  <si>
    <t>% Change</t>
  </si>
  <si>
    <t>Debt</t>
  </si>
  <si>
    <t>Proposed Total Debt</t>
  </si>
  <si>
    <t>Increased Annual DS</t>
  </si>
  <si>
    <t>Potential Debt Load</t>
  </si>
  <si>
    <t>Potential Debt Change</t>
  </si>
  <si>
    <t>Proposed DDF</t>
  </si>
  <si>
    <t>Potential DDF</t>
  </si>
  <si>
    <t>Potential DDF Change</t>
  </si>
  <si>
    <t>%  Change</t>
  </si>
  <si>
    <t>Unchanged Other Sources</t>
  </si>
  <si>
    <t>Proforma</t>
  </si>
  <si>
    <t>Proposed DS</t>
  </si>
  <si>
    <t>Potential Added DS</t>
  </si>
  <si>
    <t>DCR</t>
  </si>
  <si>
    <t>Potential Debt</t>
  </si>
  <si>
    <t>AM Fees</t>
  </si>
  <si>
    <t>CF Before DDF</t>
  </si>
  <si>
    <t>FCF</t>
  </si>
  <si>
    <t>Debt Balance</t>
  </si>
  <si>
    <t>NC or Rehab?</t>
  </si>
  <si>
    <r>
      <t>Max TDC</t>
    </r>
    <r>
      <rPr>
        <sz val="7"/>
        <rFont val="Arial"/>
        <family val="2"/>
      </rPr>
      <t xml:space="preserve"> (excluding increased DDF)</t>
    </r>
  </si>
  <si>
    <r>
      <rPr>
        <sz val="7"/>
        <color rgb="FFFF0000"/>
        <rFont val="Arial Narrow"/>
        <family val="2"/>
      </rPr>
      <t>NOTE:</t>
    </r>
    <r>
      <rPr>
        <sz val="7"/>
        <rFont val="Arial Narrow"/>
        <family val="2"/>
      </rPr>
      <t xml:space="preserve"> If a PUCL Waiver has been approved by DCA, that amount would supercede the amounts shown at left.  DCA will enter it in the yellow Cost Waiver/DCA Override box above.</t>
    </r>
  </si>
  <si>
    <t>Front End Analysis Fee</t>
  </si>
  <si>
    <t>Construction Inspection Fee (Tax Credit only - no HOME)</t>
  </si>
  <si>
    <t>TOTAL  BUILDINGS / SF</t>
  </si>
  <si>
    <r>
      <rPr>
        <b/>
        <sz val="11"/>
        <rFont val="Arial"/>
        <family val="2"/>
      </rPr>
      <t>Ownership entity</t>
    </r>
    <r>
      <rPr>
        <sz val="11"/>
        <rFont val="Arial"/>
        <family val="2"/>
      </rPr>
      <t xml:space="preserve">:  (NAME) LP, a Georgia Limited Partnership, will be the ownership entity for the proposed project. </t>
    </r>
  </si>
  <si>
    <r>
      <rPr>
        <b/>
        <sz val="11"/>
        <rFont val="Arial"/>
        <family val="2"/>
      </rPr>
      <t>General Partner</t>
    </r>
    <r>
      <rPr>
        <sz val="11"/>
        <rFont val="Arial"/>
        <family val="2"/>
      </rPr>
      <t xml:space="preserve">:  The General Partner is (NAME), a (DESCRIBE LLC/LLP ETC.) . (NAME) is (jointly-owned) by (NAME1) (x% ownership) and (NAME2) (X% ownership) (where both will serve as its Managing Members?).  As the General Partner, (NAME), will have a partnership interest of .01% of the Operating Profits and Losses as well as .01% ownership interest of the  Federal Tax Credits and Depreciation of the ownership. </t>
    </r>
  </si>
  <si>
    <r>
      <rPr>
        <b/>
        <sz val="11"/>
        <rFont val="Arial"/>
        <family val="2"/>
      </rPr>
      <t>Limited Partner</t>
    </r>
    <r>
      <rPr>
        <sz val="11"/>
        <rFont val="Arial"/>
        <family val="2"/>
      </rPr>
      <t>: The Limited Partner entity for the proposed development is (NAME). (NAME) will have a (X%) ownership in Profits and Losses in addition to a (X%)% interest in the ownership entity.   [Detail the state equity partner if it is different from the federal partner]</t>
    </r>
  </si>
  <si>
    <r>
      <rPr>
        <b/>
        <sz val="11"/>
        <rFont val="Arial"/>
        <family val="2"/>
      </rPr>
      <t>Developer:</t>
    </r>
    <r>
      <rPr>
        <sz val="11"/>
        <rFont val="Arial"/>
        <family val="2"/>
      </rPr>
      <t xml:space="preserve"> (DEVELOPMENT ENTITY) is wholly-owned by (NAMES).  [State whether or not there is any identity of interest between the developer and the contractor or any other team members.</t>
    </r>
  </si>
  <si>
    <r>
      <rPr>
        <b/>
        <sz val="11"/>
        <rFont val="Arial"/>
        <family val="2"/>
      </rPr>
      <t>Property Manager:</t>
    </r>
    <r>
      <rPr>
        <sz val="11"/>
        <rFont val="Arial"/>
        <family val="2"/>
      </rPr>
      <t xml:space="preserve"> (NAME), a (STATE INCORPORATED) Corporation, will serve as the Management firm for the proposed development. (NAME) is its Principal Director. (NAME) has been approved by DCA as an experienced Management Company and currently has no outstanding compliance issues. </t>
    </r>
  </si>
  <si>
    <r>
      <rPr>
        <b/>
        <sz val="11"/>
        <rFont val="Arial"/>
        <family val="2"/>
      </rPr>
      <t>Contractor:</t>
    </r>
    <r>
      <rPr>
        <sz val="11"/>
        <rFont val="Arial"/>
        <family val="2"/>
      </rPr>
      <t xml:space="preserve"> (NAME) will serve as the Contractor for the proposed rehabilitation. The Contractor is an experienced contractor with DCA and has extensive experience constructing Low Income Housing Tax Credit projects in the state of Georgia. DCA has reviewed the capacity and performance of the Contractor and determined that the Contractor meets its guidelines.     </t>
    </r>
  </si>
  <si>
    <r>
      <t xml:space="preserve">An appraisal was commissioned by DCA as part of its underwriting review process for projects awarded HOME funds in the 2018 Competitive Round. (APPRAISAL FIRM) conducted an appraisal on (DATE). The appraiser estimated the market value of the property at stabilization including the value of the tax credits and favorable HOME financing to be ($X.XX). This figure includes a valuation of the (# OF ACRES) acre tract of land comprising the subject site of $X.XX.  The estimated value at loan maturity is $XXX, which **exceeds the estimated balloon balance due of $XXX.
</t>
    </r>
    <r>
      <rPr>
        <b/>
        <sz val="11"/>
        <rFont val="Arial"/>
        <family val="2"/>
      </rPr>
      <t>USE ONLY IF REHAB:</t>
    </r>
    <r>
      <rPr>
        <sz val="11"/>
        <rFont val="Arial"/>
        <family val="2"/>
      </rPr>
      <t xml:space="preserve"> The appraiser estimated the market value of the property at stabilization including the value of the tax credits and favorable HOME financing to be ($X.XX). Moreover, the appraiser concluded that the "As-Is As Encumbered" value is ($X.XX).  The total hard cost of this project does not exceed 90% of the as completed unencumbered appraised value of the property. </t>
    </r>
  </si>
  <si>
    <t>The completion date pursuant to the construction contract is (X) days from the date of commencement.  Each building must be placed in service by December 31, 2020.</t>
  </si>
  <si>
    <t>(Assumes all Low-Income units are HOME - adjust if otherwise)</t>
  </si>
  <si>
    <t>Complete only highlighted sections!!!</t>
  </si>
  <si>
    <t>Office Main Phone:</t>
  </si>
  <si>
    <t>(Enter 10-Digit phone nbrs w/out using hyphens, parentheses, etc - ex: 1234567890)</t>
  </si>
  <si>
    <t>10-digit Entity Office Phone / Ext.</t>
  </si>
  <si>
    <t>Contact Direct Phone:</t>
  </si>
  <si>
    <t>Contact Email:</t>
  </si>
  <si>
    <t>Total Common Space Units</t>
  </si>
  <si>
    <t>Name of Borrower's Attorney:</t>
  </si>
  <si>
    <t>This is a 2018 tax credit round project and must be placed in service by year-end 2020.</t>
  </si>
  <si>
    <t>Certificates of Occupancy must be issued prior to December 31, 2020</t>
  </si>
  <si>
    <r>
      <rPr>
        <b/>
        <sz val="10"/>
        <rFont val="Arial"/>
        <family val="2"/>
      </rPr>
      <t>Draws:</t>
    </r>
    <r>
      <rPr>
        <sz val="10"/>
        <rFont val="Arial"/>
        <family val="2"/>
      </rPr>
      <t xml:space="preserve"> none more frequent than monthly or less frequent than quarterly; $50,000 min- maximun should be commensurate with percentage of construction completion compared to percentage of total HOME funds disbursed to date.</t>
    </r>
  </si>
  <si>
    <t>B. CHDO Questions:</t>
  </si>
  <si>
    <t>Set Up Activity</t>
  </si>
  <si>
    <t>4. Is the activity going forward? (Y/N)</t>
  </si>
  <si>
    <t>If "NO", go to section C.</t>
  </si>
  <si>
    <t xml:space="preserve">         If Yes, CHDO Acting As: (enter code)</t>
  </si>
  <si>
    <t xml:space="preserve">        If Y, answer Item 4.</t>
  </si>
  <si>
    <t xml:space="preserve">       If Y, fill out the rest of the form. If N, only the cost information is needed.</t>
  </si>
  <si>
    <t>C. Objective and Outcome.</t>
  </si>
  <si>
    <t>A. General Information.</t>
  </si>
  <si>
    <t>D. Special Characteristics.</t>
  </si>
  <si>
    <t>1 Activity Type (enter code):</t>
  </si>
  <si>
    <t>E. Activity Information.</t>
  </si>
  <si>
    <t>1. Activity Location Type “Y” next to any that apply:</t>
  </si>
  <si>
    <r>
      <rPr>
        <sz val="12"/>
        <rFont val="Arial"/>
        <family val="2"/>
      </rPr>
      <t>Preview for</t>
    </r>
    <r>
      <rPr>
        <b/>
        <sz val="12"/>
        <rFont val="Arial"/>
        <family val="2"/>
      </rPr>
      <t xml:space="preserve"> HUD Rental Set Up and Completion Form - HOME Program</t>
    </r>
  </si>
  <si>
    <t>(7)  Colonia (For AZ, CA, NM, TX)</t>
  </si>
  <si>
    <t>(6)  Conversion of nonresidential to residential use</t>
  </si>
  <si>
    <t>(5)  Brownfield redevelopment area</t>
  </si>
  <si>
    <t>(4)  Historic preservation area</t>
  </si>
  <si>
    <t>(2)  Local target area</t>
  </si>
  <si>
    <t>(3)  Presidentially declared major disaster area</t>
  </si>
  <si>
    <t>(1)  CDBG Strategy Area</t>
  </si>
  <si>
    <t>2. Will this activity be carried out by a faith-based organization (Y/N)?</t>
  </si>
  <si>
    <t>2. Property Street Address:</t>
  </si>
  <si>
    <t>3. City</t>
  </si>
  <si>
    <t>4. State</t>
  </si>
  <si>
    <t>5. Zip</t>
  </si>
  <si>
    <t>County Code</t>
  </si>
  <si>
    <t>001</t>
  </si>
  <si>
    <t>002</t>
  </si>
  <si>
    <t>003</t>
  </si>
  <si>
    <t>004</t>
  </si>
  <si>
    <t>005</t>
  </si>
  <si>
    <t>006</t>
  </si>
  <si>
    <t>007</t>
  </si>
  <si>
    <t>008</t>
  </si>
  <si>
    <t>009</t>
  </si>
  <si>
    <t>010</t>
  </si>
  <si>
    <t>011</t>
  </si>
  <si>
    <t>012</t>
  </si>
  <si>
    <t>013</t>
  </si>
  <si>
    <t>014</t>
  </si>
  <si>
    <t>015</t>
  </si>
  <si>
    <t>016</t>
  </si>
  <si>
    <t>017</t>
  </si>
  <si>
    <t>018</t>
  </si>
  <si>
    <t>019</t>
  </si>
  <si>
    <t>020</t>
  </si>
  <si>
    <t>021</t>
  </si>
  <si>
    <t>022</t>
  </si>
  <si>
    <t>023</t>
  </si>
  <si>
    <t>024</t>
  </si>
  <si>
    <t>025</t>
  </si>
  <si>
    <t>026</t>
  </si>
  <si>
    <t>027</t>
  </si>
  <si>
    <t>028</t>
  </si>
  <si>
    <t>029</t>
  </si>
  <si>
    <t>030</t>
  </si>
  <si>
    <t>031</t>
  </si>
  <si>
    <t>032</t>
  </si>
  <si>
    <t>033</t>
  </si>
  <si>
    <t>034</t>
  </si>
  <si>
    <t>035</t>
  </si>
  <si>
    <t>036</t>
  </si>
  <si>
    <t>037</t>
  </si>
  <si>
    <t>038</t>
  </si>
  <si>
    <t>039</t>
  </si>
  <si>
    <t>040</t>
  </si>
  <si>
    <t>041</t>
  </si>
  <si>
    <t>042</t>
  </si>
  <si>
    <t>043</t>
  </si>
  <si>
    <t>044</t>
  </si>
  <si>
    <t>045</t>
  </si>
  <si>
    <t>046</t>
  </si>
  <si>
    <t>047</t>
  </si>
  <si>
    <t>048</t>
  </si>
  <si>
    <t>049</t>
  </si>
  <si>
    <t>050</t>
  </si>
  <si>
    <t>051</t>
  </si>
  <si>
    <t>052</t>
  </si>
  <si>
    <t>053</t>
  </si>
  <si>
    <t>054</t>
  </si>
  <si>
    <t>055</t>
  </si>
  <si>
    <t>056</t>
  </si>
  <si>
    <t>057</t>
  </si>
  <si>
    <t>058</t>
  </si>
  <si>
    <t>059</t>
  </si>
  <si>
    <t>060</t>
  </si>
  <si>
    <t>061</t>
  </si>
  <si>
    <t>062</t>
  </si>
  <si>
    <t>063</t>
  </si>
  <si>
    <t>064</t>
  </si>
  <si>
    <t>065</t>
  </si>
  <si>
    <t>066</t>
  </si>
  <si>
    <t>067</t>
  </si>
  <si>
    <t>068</t>
  </si>
  <si>
    <t>069</t>
  </si>
  <si>
    <t>070</t>
  </si>
  <si>
    <t>071</t>
  </si>
  <si>
    <t>072</t>
  </si>
  <si>
    <t>073</t>
  </si>
  <si>
    <t>074</t>
  </si>
  <si>
    <t>075</t>
  </si>
  <si>
    <t>076</t>
  </si>
  <si>
    <t>077</t>
  </si>
  <si>
    <t>078</t>
  </si>
  <si>
    <t>079</t>
  </si>
  <si>
    <t>080</t>
  </si>
  <si>
    <t>081</t>
  </si>
  <si>
    <t>082</t>
  </si>
  <si>
    <t>083</t>
  </si>
  <si>
    <t>084</t>
  </si>
  <si>
    <t>085</t>
  </si>
  <si>
    <t>086</t>
  </si>
  <si>
    <t>087</t>
  </si>
  <si>
    <t>088</t>
  </si>
  <si>
    <t>089</t>
  </si>
  <si>
    <t>090</t>
  </si>
  <si>
    <t>091</t>
  </si>
  <si>
    <t>092</t>
  </si>
  <si>
    <t>093</t>
  </si>
  <si>
    <t>094</t>
  </si>
  <si>
    <t>095</t>
  </si>
  <si>
    <t>096</t>
  </si>
  <si>
    <t>097</t>
  </si>
  <si>
    <t>098</t>
  </si>
  <si>
    <t>099</t>
  </si>
  <si>
    <t>100</t>
  </si>
  <si>
    <t>101</t>
  </si>
  <si>
    <t>102</t>
  </si>
  <si>
    <t>103</t>
  </si>
  <si>
    <t>104</t>
  </si>
  <si>
    <t>105</t>
  </si>
  <si>
    <t>106</t>
  </si>
  <si>
    <t>107</t>
  </si>
  <si>
    <t>108</t>
  </si>
  <si>
    <t>109</t>
  </si>
  <si>
    <t>110</t>
  </si>
  <si>
    <t>111</t>
  </si>
  <si>
    <t>112</t>
  </si>
  <si>
    <t>113</t>
  </si>
  <si>
    <t>114</t>
  </si>
  <si>
    <t>115</t>
  </si>
  <si>
    <t>116</t>
  </si>
  <si>
    <t>117</t>
  </si>
  <si>
    <t>118</t>
  </si>
  <si>
    <t>119</t>
  </si>
  <si>
    <t>120</t>
  </si>
  <si>
    <t>121</t>
  </si>
  <si>
    <t>122</t>
  </si>
  <si>
    <t>123</t>
  </si>
  <si>
    <t>124</t>
  </si>
  <si>
    <t>125</t>
  </si>
  <si>
    <t>126</t>
  </si>
  <si>
    <t>127</t>
  </si>
  <si>
    <t>128</t>
  </si>
  <si>
    <t>129</t>
  </si>
  <si>
    <t>130</t>
  </si>
  <si>
    <t>131</t>
  </si>
  <si>
    <t>132</t>
  </si>
  <si>
    <t>133</t>
  </si>
  <si>
    <t>134</t>
  </si>
  <si>
    <t>135</t>
  </si>
  <si>
    <t>136</t>
  </si>
  <si>
    <t>137</t>
  </si>
  <si>
    <t>138</t>
  </si>
  <si>
    <t>139</t>
  </si>
  <si>
    <t>140</t>
  </si>
  <si>
    <t>141</t>
  </si>
  <si>
    <t>142</t>
  </si>
  <si>
    <t>143</t>
  </si>
  <si>
    <t>144</t>
  </si>
  <si>
    <t>145</t>
  </si>
  <si>
    <t>146</t>
  </si>
  <si>
    <t>147</t>
  </si>
  <si>
    <t>148</t>
  </si>
  <si>
    <t>149</t>
  </si>
  <si>
    <t>150</t>
  </si>
  <si>
    <t>151</t>
  </si>
  <si>
    <t>152</t>
  </si>
  <si>
    <t>153</t>
  </si>
  <si>
    <t>154</t>
  </si>
  <si>
    <t>155</t>
  </si>
  <si>
    <t>156</t>
  </si>
  <si>
    <t>157</t>
  </si>
  <si>
    <t>158</t>
  </si>
  <si>
    <t>159</t>
  </si>
  <si>
    <t>160</t>
  </si>
  <si>
    <t>6. County Code</t>
  </si>
  <si>
    <t>Activity Estimates:</t>
  </si>
  <si>
    <t>7. HOME Units</t>
  </si>
  <si>
    <t>9. Multi-Address?  (Y/N?)</t>
  </si>
  <si>
    <t>8. HOME Cost</t>
  </si>
  <si>
    <t>Do NOT delete this tab from this workbook.  Do NOT Copy from another workbook to "Paste" here - use "Paste Special", select "Values" instead, only on contiguous blue cells.</t>
  </si>
  <si>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Sandy Wyckoff at 404-679-0670 or email fairhousing@dca.ga.gov.</t>
  </si>
  <si>
    <t>DCA has reviewed the capacity, experience and finances of the proposed contractor and determined that the contractor has the capacity to complete the project.  DCA has also reviewed the HUD debarred list and determined that the general contractor is eligible to participate in federal funding.  DCA's Affordable Housing Program Manager and Construction Services Manager have approved the general contractor.</t>
  </si>
  <si>
    <t>TC Fees Amortizatn Period:</t>
  </si>
  <si>
    <t>Perm Fin Amortizatn Period:</t>
  </si>
  <si>
    <r>
      <t xml:space="preserve">Subsidy </t>
    </r>
    <r>
      <rPr>
        <sz val="12"/>
        <rFont val="Arial"/>
        <family val="2"/>
      </rPr>
      <t xml:space="preserve">Limitation
</t>
    </r>
    <r>
      <rPr>
        <sz val="8"/>
        <rFont val="Arial"/>
        <family val="2"/>
      </rPr>
      <t>Section 234-Condominium Housing basic mortgage limits for elevator-type projects</t>
    </r>
  </si>
  <si>
    <r>
      <t xml:space="preserve">Unit Cost </t>
    </r>
    <r>
      <rPr>
        <sz val="12"/>
        <rFont val="Arial"/>
        <family val="2"/>
      </rPr>
      <t xml:space="preserve">Limitation
</t>
    </r>
    <r>
      <rPr>
        <sz val="8"/>
        <rFont val="Arial"/>
        <family val="2"/>
      </rPr>
      <t>Lesser of HOME and Threshold Cost Limit</t>
    </r>
  </si>
  <si>
    <r>
      <rPr>
        <b/>
        <u/>
        <sz val="10"/>
        <rFont val="Arial"/>
        <family val="2"/>
      </rPr>
      <t>For Comparison Purposes</t>
    </r>
    <r>
      <rPr>
        <sz val="10"/>
        <rFont val="Arial"/>
        <family val="2"/>
      </rPr>
      <t xml:space="preserve">
Unit Cost Limitation Waiver / DCA Override</t>
    </r>
  </si>
  <si>
    <t># LI Units</t>
  </si>
  <si>
    <t># Units</t>
  </si>
  <si>
    <t xml:space="preserve">    Title</t>
  </si>
  <si>
    <t xml:space="preserve">  Insert in A4</t>
  </si>
  <si>
    <t>Bond Analysis</t>
  </si>
  <si>
    <t xml:space="preserve">Credit Percentage </t>
  </si>
  <si>
    <t>Market Bond Equity Price</t>
  </si>
  <si>
    <t>Market Bond Total Credit %</t>
  </si>
  <si>
    <t>Bond Equity</t>
  </si>
  <si>
    <t>Difference</t>
  </si>
  <si>
    <t>Can Deal work as 4%?</t>
  </si>
  <si>
    <t>Alternate Contact</t>
  </si>
  <si>
    <t>APPLICANT CONTACT FOR APPLICATION SUBMISSION AND REVIEW</t>
  </si>
  <si>
    <r>
      <t xml:space="preserve">Building Type:
(for </t>
    </r>
    <r>
      <rPr>
        <b/>
        <i/>
        <sz val="10"/>
        <rFont val="Arial"/>
        <family val="2"/>
      </rPr>
      <t>Cost Limit</t>
    </r>
    <r>
      <rPr>
        <sz val="10"/>
        <rFont val="Arial"/>
        <family val="2"/>
      </rPr>
      <t xml:space="preserve"> purposes only - </t>
    </r>
    <r>
      <rPr>
        <sz val="8"/>
        <rFont val="Arial"/>
        <family val="2"/>
      </rPr>
      <t>see Application Instructions for further detail</t>
    </r>
    <r>
      <rPr>
        <sz val="10"/>
        <rFont val="Arial"/>
        <family val="2"/>
      </rPr>
      <t>)</t>
    </r>
  </si>
  <si>
    <t>DCA Utility Region for:</t>
  </si>
  <si>
    <t>Is the Applicant claiming these points for this section?</t>
  </si>
  <si>
    <t>N/A-CS</t>
  </si>
  <si>
    <t>LI</t>
  </si>
  <si>
    <t>80% AMI</t>
  </si>
  <si>
    <t>70% AMI</t>
  </si>
  <si>
    <t>40% AMI</t>
  </si>
  <si>
    <t>30% AMI</t>
  </si>
  <si>
    <t>20% AMI</t>
  </si>
  <si>
    <t>Efficiency 80% Units</t>
  </si>
  <si>
    <t>1 BR 80% Units</t>
  </si>
  <si>
    <t>2 BR 80% Units</t>
  </si>
  <si>
    <t>3 BR 80% Units</t>
  </si>
  <si>
    <t>4 BR 80% Units</t>
  </si>
  <si>
    <t>Efficiency 70% Units</t>
  </si>
  <si>
    <t>1 BR 70% Units</t>
  </si>
  <si>
    <t>2 BR 70% Units</t>
  </si>
  <si>
    <t>3 BR 70% Units</t>
  </si>
  <si>
    <t>4 BR 70% Units</t>
  </si>
  <si>
    <t>4 BR 40% Units</t>
  </si>
  <si>
    <t>Efficiency 40% Units</t>
  </si>
  <si>
    <t>1 BR 40% Units</t>
  </si>
  <si>
    <t>2 BR 40% Units</t>
  </si>
  <si>
    <t>3 BR 40% Units</t>
  </si>
  <si>
    <t>Efficiency 20% Units</t>
  </si>
  <si>
    <t>1 BR 20% Units</t>
  </si>
  <si>
    <t>2 BR 20% Units</t>
  </si>
  <si>
    <t>3 BR 20% Units</t>
  </si>
  <si>
    <t>4 BR 20% Units</t>
  </si>
  <si>
    <t>Efficiency PBRA 20% Units</t>
  </si>
  <si>
    <t>1 BR PBRA 20% Units</t>
  </si>
  <si>
    <t>2 BR PBRA 20% Units</t>
  </si>
  <si>
    <t>3 BR PBRA 20% Units</t>
  </si>
  <si>
    <t>4 BR PBRA 20% Units</t>
  </si>
  <si>
    <t>Efficiency PBRA 40% Units</t>
  </si>
  <si>
    <t>1 BR PBRA 40% Units</t>
  </si>
  <si>
    <t>2 BR PBRA 40% Units</t>
  </si>
  <si>
    <t>3 BR PBRA 40% Units</t>
  </si>
  <si>
    <t>4 BR PBRA 40% Units</t>
  </si>
  <si>
    <t>Efficiency PBRA 80% Units</t>
  </si>
  <si>
    <t>1 BR PBRA 80% Units</t>
  </si>
  <si>
    <t>2 BR PBRA 80% Units</t>
  </si>
  <si>
    <t>3 BR PBRA 80% Units</t>
  </si>
  <si>
    <t>4 BR PBRA 80% Units</t>
  </si>
  <si>
    <t>Efficiency PBRA 70% Units</t>
  </si>
  <si>
    <t>1 BR PBRA 70% Units</t>
  </si>
  <si>
    <t>2 BR PBRA 70% Units</t>
  </si>
  <si>
    <t>3 BR PBRA 70% Units</t>
  </si>
  <si>
    <t>4 BR PBRA 70% Units</t>
  </si>
  <si>
    <t>Efficiency PHA Oper Sub 20% Units</t>
  </si>
  <si>
    <t>1 BR PHA Oper Sub 20% Units</t>
  </si>
  <si>
    <t>2 BR PHA Oper Sub 20% Units</t>
  </si>
  <si>
    <t>3 BR PHA Oper Sub 20% Units</t>
  </si>
  <si>
    <t>4 BR PHA Oper Sub 20% Units</t>
  </si>
  <si>
    <t>Efficiency PHA Oper Sub 40% Units</t>
  </si>
  <si>
    <t>1 BR PHA Oper Sub 40% Units</t>
  </si>
  <si>
    <t>2 BR PHA Oper Sub 40% Units</t>
  </si>
  <si>
    <t>3 BR PHA Oper Sub 40% Units</t>
  </si>
  <si>
    <t>4 BR PHA Oper Sub 40% Units</t>
  </si>
  <si>
    <t>Efficiency PHA Oper Sub 70% Units</t>
  </si>
  <si>
    <t>1 BR PHA Oper Sub 70% Units</t>
  </si>
  <si>
    <t>2 BR PHA Oper Sub 70% Units</t>
  </si>
  <si>
    <t>3 BR PHA Oper Sub 70% Units</t>
  </si>
  <si>
    <t>4 BR PHA Oper Sub 70% Units</t>
  </si>
  <si>
    <t>Efficiency PHA Oper Sub 80% Units</t>
  </si>
  <si>
    <t>1 BR PHA Oper Sub 80% Units</t>
  </si>
  <si>
    <t>2 BR PHA Oper Sub 80% Units</t>
  </si>
  <si>
    <t>3 BR PHA Oper Sub 80% Units</t>
  </si>
  <si>
    <t>4 BR PHA Oper Sub 80% Units</t>
  </si>
  <si>
    <t>Efficiency 80% SF</t>
  </si>
  <si>
    <t>1 BR 80% SF</t>
  </si>
  <si>
    <t>2 BR 80% SF</t>
  </si>
  <si>
    <t>3 BR 80% SF</t>
  </si>
  <si>
    <t>4 BR 80% SF</t>
  </si>
  <si>
    <t>Efficiency 70% SF</t>
  </si>
  <si>
    <t>1 BR 70% SF</t>
  </si>
  <si>
    <t>2 BR 70% SF</t>
  </si>
  <si>
    <t>3 BR 70% SF</t>
  </si>
  <si>
    <t>4 BR 70% SF</t>
  </si>
  <si>
    <t>Efficiency 40% SF</t>
  </si>
  <si>
    <t>1 BR 40% SF</t>
  </si>
  <si>
    <t>2 BR 40% SF</t>
  </si>
  <si>
    <t>3 BR 40% SF</t>
  </si>
  <si>
    <t>4 BR 40% SF</t>
  </si>
  <si>
    <t>Efficiency 20% SF</t>
  </si>
  <si>
    <t>1 BR 20% SF</t>
  </si>
  <si>
    <t>2 BR 20% SF</t>
  </si>
  <si>
    <t>3 BR 20% SF</t>
  </si>
  <si>
    <t>4 BR 20% SF</t>
  </si>
  <si>
    <t>LI Total SF</t>
  </si>
  <si>
    <t>Total Low Income</t>
  </si>
  <si>
    <t>Rent Type</t>
  </si>
  <si>
    <t>(Select)</t>
  </si>
  <si>
    <t>4% / T-E Bonds:</t>
  </si>
  <si>
    <t>40/60 Test</t>
  </si>
  <si>
    <t>20/50 Test</t>
  </si>
  <si>
    <t>LI Income Average %</t>
  </si>
  <si>
    <t>60% AMI Units</t>
  </si>
  <si>
    <t>50% AMI Units</t>
  </si>
  <si>
    <t>80% AMI Units</t>
  </si>
  <si>
    <t>70% AMI Units</t>
  </si>
  <si>
    <t>40% AMI Units</t>
  </si>
  <si>
    <t>30% AMI Units</t>
  </si>
  <si>
    <t>20% AMI Units</t>
  </si>
  <si>
    <r>
      <t>AMI</t>
    </r>
    <r>
      <rPr>
        <sz val="8"/>
        <rFont val="Arial"/>
        <family val="2"/>
      </rPr>
      <t xml:space="preserve"> (MTSP)</t>
    </r>
  </si>
  <si>
    <r>
      <t xml:space="preserve">Other </t>
    </r>
    <r>
      <rPr>
        <sz val="9"/>
        <color rgb="FFFF0000"/>
        <rFont val="Arial Narrow"/>
        <family val="2"/>
      </rPr>
      <t>Type</t>
    </r>
    <r>
      <rPr>
        <sz val="9"/>
        <rFont val="Arial Narrow"/>
        <family val="2"/>
      </rPr>
      <t xml:space="preserve"> of FEDERAL Funding - describe </t>
    </r>
    <r>
      <rPr>
        <i/>
        <sz val="9"/>
        <rFont val="Arial Narrow"/>
        <family val="2"/>
      </rPr>
      <t>type/program</t>
    </r>
    <r>
      <rPr>
        <sz val="9"/>
        <rFont val="Arial Narrow"/>
        <family val="2"/>
      </rPr>
      <t xml:space="preserve"> here</t>
    </r>
  </si>
  <si>
    <r>
      <t xml:space="preserve">Other </t>
    </r>
    <r>
      <rPr>
        <sz val="9"/>
        <color rgb="FFFF0000"/>
        <rFont val="Arial Narrow"/>
        <family val="2"/>
      </rPr>
      <t>Type</t>
    </r>
    <r>
      <rPr>
        <sz val="9"/>
        <rFont val="Arial Narrow"/>
        <family val="2"/>
      </rPr>
      <t xml:space="preserve"> of STATE/LOCAL Funding - describe </t>
    </r>
    <r>
      <rPr>
        <i/>
        <sz val="9"/>
        <rFont val="Arial Narrow"/>
        <family val="2"/>
      </rPr>
      <t>type/program</t>
    </r>
    <r>
      <rPr>
        <sz val="9"/>
        <rFont val="Arial Narrow"/>
        <family val="2"/>
      </rPr>
      <t xml:space="preserve"> here</t>
    </r>
  </si>
  <si>
    <r>
      <t xml:space="preserve">Specify </t>
    </r>
    <r>
      <rPr>
        <i/>
        <sz val="9"/>
        <color rgb="FFFF0000"/>
        <rFont val="Arial Narrow"/>
        <family val="2"/>
      </rPr>
      <t>Source/Administrator</t>
    </r>
    <r>
      <rPr>
        <sz val="9"/>
        <rFont val="Arial Narrow"/>
        <family val="2"/>
      </rPr>
      <t xml:space="preserve"> of Other FEDERAL Funding here</t>
    </r>
  </si>
  <si>
    <r>
      <t xml:space="preserve">Specify </t>
    </r>
    <r>
      <rPr>
        <i/>
        <sz val="9"/>
        <color rgb="FFFF0000"/>
        <rFont val="Arial Narrow"/>
        <family val="2"/>
      </rPr>
      <t>Source/Administrator</t>
    </r>
    <r>
      <rPr>
        <sz val="9"/>
        <rFont val="Arial Narrow"/>
        <family val="2"/>
      </rPr>
      <t xml:space="preserve"> of Other STATE/LOCAL Funding here</t>
    </r>
  </si>
  <si>
    <t xml:space="preserve">Income Limit Distribution among Bedroom Sizes </t>
  </si>
  <si>
    <t>PHA Area Code / Phone Number</t>
  </si>
  <si>
    <t>Street Addr</t>
  </si>
  <si>
    <t>Disaster Rebuilding</t>
  </si>
  <si>
    <t>If State Designated Boost Selected, indicate Category of Eligibility:</t>
  </si>
  <si>
    <t>Disaster Recovery</t>
  </si>
  <si>
    <t>Percent of available 9% credit pool (minimum)</t>
  </si>
  <si>
    <t>Resubmission Fee</t>
  </si>
  <si>
    <t>For Incomplete Applications</t>
  </si>
  <si>
    <t>Tax Credit Application Fee and Third Party Review Fees</t>
  </si>
  <si>
    <t>Front-End Cost Review Fee</t>
  </si>
  <si>
    <t>Income Averaging Projects</t>
  </si>
  <si>
    <t>Construction Inspection Fee (all 9% &amp; 4% projects, excluding HOME)</t>
  </si>
  <si>
    <t>Per Project, annually</t>
  </si>
  <si>
    <t>Chattahoochee Hills</t>
  </si>
  <si>
    <t>Edge Hill</t>
  </si>
  <si>
    <t>South Fulton</t>
  </si>
  <si>
    <t>Stonecrest</t>
  </si>
  <si>
    <t>Applicant certifies that they will include in the property the number and kinds of services required in the applicable QAP for their proposed Tenancy?</t>
  </si>
  <si>
    <t xml:space="preserve"> If "Yes", and noise requirements are not met, has required Noise Attenuation Plan been submitted as part of Environmental Site Assessment?</t>
  </si>
  <si>
    <t>Accesible exterior gathering area (if "Other", explain in box provided at right):</t>
  </si>
  <si>
    <t>A4)</t>
  </si>
  <si>
    <t>On site laundry facility type:</t>
  </si>
  <si>
    <t>If new construction (NC), washer &amp; dryer (W&amp;D) hookups provided in each unit:</t>
  </si>
  <si>
    <t>Senior</t>
  </si>
  <si>
    <t>Property Type</t>
  </si>
  <si>
    <t>Min # Svcs</t>
  </si>
  <si>
    <t>Applicant certifies that they will meet the following additional policy requirements related to the services referenced above:</t>
  </si>
  <si>
    <t>Temporary staffing during lease-up to handle activities set-up and sign-up will be considered on a case-by-case basis.</t>
  </si>
  <si>
    <t>Part-time (on a proportional basis) activity managers will be allowed in the operating budgets for smaller projects.</t>
  </si>
  <si>
    <t>Applicants must track resident participation in any on-site services. If participation declines continuously over a six-month window, on-site staff is expected to request resident feedback on the services provided.</t>
  </si>
  <si>
    <t>A full-time activities manager will be allowed in the operating budgets for those properties that are 100 units or more in size.</t>
  </si>
  <si>
    <t>Applications for rehabilitation of existing congregate supportive housing developments must provide a memorandum of agreement.</t>
  </si>
  <si>
    <t>Name of behavioral health agency, continuum of care or service provider for which MOA included:</t>
  </si>
  <si>
    <t>Is DCA included as an intended user?</t>
  </si>
  <si>
    <t>If access roads are not in place at the time of Application Submission, does the application contain documentation evidencing local government approval to pave the road, a commitment for funding, and the timetable for completion of such paved roads?</t>
  </si>
  <si>
    <t>Buildings with multi-story construction have interior furnished gathering areas including but not limited to areas near elevators.</t>
  </si>
  <si>
    <t>Indicates energy audit completed by qualified BPI Building Analyst?  BPI Building Analyst Name:</t>
  </si>
  <si>
    <t>Actual Pct:</t>
  </si>
  <si>
    <t>An overall energy savings of 20% or greater over pre-retrofit levels?</t>
  </si>
  <si>
    <t>Actual SIR:</t>
  </si>
  <si>
    <t>Energy Audit Report identifies ECM that will result in either:</t>
  </si>
  <si>
    <t>Earth Craft House Sustainable Preservation</t>
  </si>
  <si>
    <t>USGBC LEED for Homes</t>
  </si>
  <si>
    <t>&lt;&lt; Select a Sustainable Building Certification &gt;&gt;</t>
  </si>
  <si>
    <t>Row size may be increased or decreased.</t>
  </si>
  <si>
    <t xml:space="preserve">PHA Tenants w/ PBRA: </t>
  </si>
  <si>
    <t>Public housing tenants:</t>
  </si>
  <si>
    <t>Number of Households on Waiting List:</t>
  </si>
  <si>
    <t xml:space="preserve">This PHA will contract to provide PBRA to proposed project? </t>
  </si>
  <si>
    <t>Other - describe in box provided:</t>
  </si>
  <si>
    <t>XXVII.</t>
  </si>
  <si>
    <t>XXVIII.</t>
  </si>
  <si>
    <t>Min 1 BR Units required</t>
  </si>
  <si>
    <t>NC Units:</t>
  </si>
  <si>
    <t>NC% of Tot</t>
  </si>
  <si>
    <t>Is Applicant prevented from adopting and implementing either of the criteria listed below due to program regulations?</t>
  </si>
  <si>
    <t>Extended Affordability Commitment</t>
  </si>
  <si>
    <t>B. Financial and Other Adjustments/ Revisions:</t>
  </si>
  <si>
    <t>Missing/Incomplete Documents/Organization</t>
  </si>
  <si>
    <t>One (1) pt deducted for every two (2) Incomplete, Inaccurate, or Illegible Documents necessary for Core or Threshold</t>
  </si>
  <si>
    <t>Incorrect Application Organization</t>
  </si>
  <si>
    <t>Missing Documents</t>
  </si>
  <si>
    <r>
      <rPr>
        <b/>
        <i/>
        <u/>
        <sz val="10"/>
        <color rgb="FFFF0000"/>
        <rFont val="Arial"/>
        <family val="2"/>
      </rPr>
      <t>DCA Staff</t>
    </r>
    <r>
      <rPr>
        <sz val="10"/>
        <color indexed="10"/>
        <rFont val="Arial"/>
        <family val="2"/>
      </rPr>
      <t>: Select "1" for a Point Deduction in each line as applicable.</t>
    </r>
  </si>
  <si>
    <t>Not Full:</t>
  </si>
  <si>
    <t>One (1) pt deducted if Application is not organized as set out in the Tab checklist and the Application Instructions</t>
  </si>
  <si>
    <t>MISSING / INADEQUATE SCORING JUSTIFICATION</t>
  </si>
  <si>
    <t>Applications with an overall property area median income, calculated based on the imputed income and rent limitations (20%, 30%, 40%, 50%, 60%, 70%, 80%) for each affordable unit, equal to or less than 58%.</t>
  </si>
  <si>
    <t>Income Averaging</t>
  </si>
  <si>
    <t>Overall Project % of AMI</t>
  </si>
  <si>
    <t>40% at 60% Minimum Set-asides and Targeting Units at Lower Levels</t>
  </si>
  <si>
    <t>Enter Nbr of PBRA Residential Units:</t>
  </si>
  <si>
    <t>Tot Resid Units</t>
  </si>
  <si>
    <t>.</t>
  </si>
  <si>
    <t>On-call transportation services are not eligible for points in the Flexible Pool.</t>
  </si>
  <si>
    <r>
      <t>Site is</t>
    </r>
    <r>
      <rPr>
        <i/>
        <sz val="8"/>
        <rFont val="Arial"/>
        <family val="2"/>
      </rPr>
      <t xml:space="preserve"> </t>
    </r>
    <r>
      <rPr>
        <b/>
        <i/>
        <sz val="8"/>
        <rFont val="Arial"/>
        <family val="2"/>
      </rPr>
      <t>owned</t>
    </r>
    <r>
      <rPr>
        <i/>
        <sz val="8"/>
        <rFont val="Arial"/>
        <family val="2"/>
      </rPr>
      <t xml:space="preserve"> by a public or local transit agency </t>
    </r>
    <r>
      <rPr>
        <sz val="8"/>
        <rFont val="Arial"/>
        <family val="2"/>
      </rPr>
      <t xml:space="preserve">&amp; is strategically targeted by agency to create housing with </t>
    </r>
    <r>
      <rPr>
        <b/>
        <i/>
        <sz val="8"/>
        <rFont val="Arial"/>
        <family val="2"/>
      </rPr>
      <t>on site or adjacent</t>
    </r>
    <r>
      <rPr>
        <sz val="8"/>
        <rFont val="Arial"/>
        <family val="2"/>
      </rPr>
      <t xml:space="preserve"> access to public transportation.</t>
    </r>
  </si>
  <si>
    <t>For items B1-3 below, the stop also rests along a transit line that follows a fixed route and daily schedule?</t>
  </si>
  <si>
    <t>For items B1-4 below, the service serves the public no less than 5 days per week?</t>
  </si>
  <si>
    <t>Transportation service is publicized to the general public via website or published brochure?</t>
  </si>
  <si>
    <t>Transportation service is available to all residents of the proposed development/site?</t>
  </si>
  <si>
    <r>
      <t xml:space="preserve">Transportation route has a local route. Routes that </t>
    </r>
    <r>
      <rPr>
        <u/>
        <sz val="8"/>
        <rFont val="Arial"/>
        <family val="2"/>
      </rPr>
      <t>only</t>
    </r>
    <r>
      <rPr>
        <sz val="8"/>
        <rFont val="Arial"/>
        <family val="2"/>
      </rPr>
      <t xml:space="preserve"> run direct or express routes will not qualify.</t>
    </r>
  </si>
  <si>
    <t>Organization(s) partnering with to provide services, if applicable:</t>
  </si>
  <si>
    <t>CCRPI &gt; State Average?</t>
  </si>
  <si>
    <t>If Charter school used, it has a designated (not district wide) attendance zone that includes property site &amp; it serves at least 3 grades?</t>
  </si>
  <si>
    <t>Tenancy:</t>
  </si>
  <si>
    <t>Includes an assessment of the community’s existing infrastructure?</t>
  </si>
  <si>
    <t>Applicants are eligible for A2 points only if receiving A1 points.</t>
  </si>
  <si>
    <t>Third-Party Capital Investment</t>
  </si>
  <si>
    <t>Is 3rd party investment within a 0.5 mile radius of the proposed site?</t>
  </si>
  <si>
    <t>Distance from proposed project site in miles, rounded up to the next tenth of a mile:</t>
  </si>
  <si>
    <t>Improvement Completion Date:</t>
  </si>
  <si>
    <t>Was 3rd party improvement completed within three (3) years prior to Application Submission?</t>
  </si>
  <si>
    <t>The funds will be spent out over a period of five (5) years following the date that the development is placed in service?</t>
  </si>
  <si>
    <t>Equitable Geographic Allocation</t>
  </si>
  <si>
    <t>Low-Poverty Communities</t>
  </si>
  <si>
    <t>Enterprise Community Partners Opportunity360</t>
  </si>
  <si>
    <t>(seven measures assessing residents’ health status and ability to access care)</t>
  </si>
  <si>
    <t>(four measures assessing residents’ ability to afford a good standard of living)</t>
  </si>
  <si>
    <r>
      <t>Green-shaded cells are unlocked for Applicant use and</t>
    </r>
    <r>
      <rPr>
        <b/>
        <sz val="9"/>
        <rFont val="Arial Narrow"/>
        <family val="2"/>
      </rPr>
      <t xml:space="preserve"> </t>
    </r>
    <r>
      <rPr>
        <b/>
        <i/>
        <sz val="9"/>
        <rFont val="Arial Narrow"/>
        <family val="2"/>
      </rPr>
      <t>do</t>
    </r>
    <r>
      <rPr>
        <b/>
        <sz val="9"/>
        <rFont val="Arial Narrow"/>
        <family val="2"/>
      </rPr>
      <t xml:space="preserve"> contain</t>
    </r>
    <r>
      <rPr>
        <sz val="9"/>
        <rFont val="Arial Narrow"/>
        <family val="2"/>
      </rPr>
      <t xml:space="preserve"> references/formulas that can be overwritten.</t>
    </r>
  </si>
  <si>
    <r>
      <t>Blue-shaded cells are unlocked for Applicant use and</t>
    </r>
    <r>
      <rPr>
        <b/>
        <sz val="9"/>
        <rFont val="Arial Narrow"/>
        <family val="2"/>
      </rPr>
      <t xml:space="preserve"> do </t>
    </r>
    <r>
      <rPr>
        <b/>
        <i/>
        <sz val="9"/>
        <rFont val="Arial Narrow"/>
        <family val="2"/>
      </rPr>
      <t>not</t>
    </r>
    <r>
      <rPr>
        <b/>
        <sz val="9"/>
        <rFont val="Arial Narrow"/>
        <family val="2"/>
      </rPr>
      <t xml:space="preserve"> contain</t>
    </r>
    <r>
      <rPr>
        <sz val="9"/>
        <rFont val="Arial Narrow"/>
        <family val="2"/>
      </rPr>
      <t xml:space="preserve"> references/formulas.</t>
    </r>
  </si>
  <si>
    <t>RENT AND INCOME MINIMUM SET-ASIDE ELECTIONS</t>
  </si>
  <si>
    <t>DCA Project Number:</t>
  </si>
  <si>
    <t>Does each phase of the property have common ownership entities?</t>
  </si>
  <si>
    <t>Owner is willing to forgo the Qualified Contract "cancellation option" after the close of the Compliance period?</t>
  </si>
  <si>
    <t>Owner is willing to forgo the Qualified Contract "cancellation option" for at least 10 years after the close of the Compliance period?</t>
  </si>
  <si>
    <t>Owner is willing to forgo the Qualified Contract "cancellation option" for at least 5 years after the close of the Compliance period?</t>
  </si>
  <si>
    <t>Waiver of Qualified Contract Right and Right of First Refusal</t>
  </si>
  <si>
    <t>Does project qualify under CHDO Set-Aside?</t>
  </si>
  <si>
    <t>Does project qualify under Rural HOME Preservation Set-Aside?</t>
  </si>
  <si>
    <t>Loans are for a minimum period of 10 years at or below long term monthly AFR. DCA may include any fees in the calculation of the overall interest rate. Commitment or award documentation meets the terms and conditions as applicable specified in Appendix I, Threshold Criteria, Section I. (I) (Permanent financing, limited partnership equity, deferred developer fee and other financing Commitment).</t>
  </si>
  <si>
    <r>
      <t xml:space="preserve">Indicate that the following criteria are met for </t>
    </r>
    <r>
      <rPr>
        <b/>
        <i/>
        <sz val="8"/>
        <rFont val="Arial"/>
        <family val="2"/>
      </rPr>
      <t>all</t>
    </r>
    <r>
      <rPr>
        <b/>
        <sz val="8"/>
        <rFont val="Arial"/>
        <family val="2"/>
      </rPr>
      <t xml:space="preserve"> permanent sources of funds used:</t>
    </r>
  </si>
  <si>
    <t>funding will qualify for points under this category:</t>
  </si>
  <si>
    <t xml:space="preserve">Loans must have a maximum interest rate of long term monthly AFR.  New loans or new grants from the following sources that will provide new capital </t>
  </si>
  <si>
    <r>
      <t>TCAP acquisition loans passed through a Qualified CDFI revolving loan fund</t>
    </r>
    <r>
      <rPr>
        <sz val="8"/>
        <color rgb="FFFF0000"/>
        <rFont val="Arial"/>
        <family val="2"/>
      </rPr>
      <t>*</t>
    </r>
  </si>
  <si>
    <t>Foundation grants, or loans based from grant proceeds that meet QAP requiremts</t>
  </si>
  <si>
    <t>Other Federal, State, or local grant funds or loans</t>
  </si>
  <si>
    <r>
      <rPr>
        <b/>
        <sz val="7"/>
        <color rgb="FFFF0000"/>
        <rFont val="Arial Narrow"/>
        <family val="2"/>
      </rPr>
      <t>*</t>
    </r>
    <r>
      <rPr>
        <sz val="7"/>
        <rFont val="Arial Narrow"/>
        <family val="2"/>
      </rPr>
      <t xml:space="preserve"> Do not have to be used for permanent financing or be for a minimum period of 10 yrs.</t>
    </r>
  </si>
  <si>
    <t>The Lessor is willing to execute the tax credit Land Use Restriction Agreement in order to qualify for points in this section?</t>
  </si>
  <si>
    <r>
      <t xml:space="preserve">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t>
    </r>
    <r>
      <rPr>
        <b/>
        <sz val="8"/>
        <color rgb="FFFF0000"/>
        <rFont val="Arial"/>
        <family val="2"/>
      </rPr>
      <t>50%</t>
    </r>
    <r>
      <rPr>
        <sz val="8"/>
        <rFont val="Arial"/>
        <family val="2"/>
      </rPr>
      <t xml:space="preserve"> of the total units.</t>
    </r>
  </si>
  <si>
    <t>Historic Units</t>
  </si>
  <si>
    <t>XI</t>
  </si>
  <si>
    <t>Current Team</t>
  </si>
  <si>
    <r>
      <t xml:space="preserve">Application includes Letter from eligible GICH team that </t>
    </r>
    <r>
      <rPr>
        <i/>
        <sz val="8"/>
        <rFont val="Arial"/>
        <family val="2"/>
      </rPr>
      <t>clearly</t>
    </r>
    <r>
      <rPr>
        <sz val="8"/>
        <rFont val="Arial"/>
        <family val="2"/>
      </rPr>
      <t>:</t>
    </r>
  </si>
  <si>
    <r>
      <t xml:space="preserve">(Applicants start with 10 pts.  Any points entered will be </t>
    </r>
    <r>
      <rPr>
        <u/>
        <sz val="8"/>
        <rFont val="Arial Narrow"/>
        <family val="2"/>
      </rPr>
      <t>subtracted</t>
    </r>
    <r>
      <rPr>
        <sz val="8"/>
        <rFont val="Arial Narrow"/>
        <family val="2"/>
      </rPr>
      <t xml:space="preserve"> from score value)</t>
    </r>
  </si>
  <si>
    <r>
      <t xml:space="preserve">Points </t>
    </r>
    <r>
      <rPr>
        <i/>
        <sz val="8"/>
        <rFont val="Arial Narrow"/>
        <family val="2"/>
      </rPr>
      <t>Deducted</t>
    </r>
    <r>
      <rPr>
        <sz val="8"/>
        <rFont val="Arial Narrow"/>
        <family val="2"/>
      </rPr>
      <t>:</t>
    </r>
  </si>
  <si>
    <r>
      <t xml:space="preserve">2-4 adjustments/revisions = one (1) pt deduction total; </t>
    </r>
    <r>
      <rPr>
        <i/>
        <sz val="8"/>
        <rFont val="Arial Narrow"/>
        <family val="2"/>
      </rPr>
      <t>then</t>
    </r>
    <r>
      <rPr>
        <sz val="8"/>
        <rFont val="Arial Narrow"/>
        <family val="2"/>
      </rPr>
      <t xml:space="preserve"> (1) pt deducted for each add'l adjustment.  </t>
    </r>
  </si>
  <si>
    <r>
      <t xml:space="preserve">Any points entered will be </t>
    </r>
    <r>
      <rPr>
        <u/>
        <sz val="8"/>
        <rFont val="Arial"/>
        <family val="2"/>
      </rPr>
      <t>subtracted</t>
    </r>
    <r>
      <rPr>
        <sz val="8"/>
        <rFont val="Arial"/>
        <family val="2"/>
      </rPr>
      <t xml:space="preserve"> from score value.</t>
    </r>
  </si>
  <si>
    <t>If use of private drive proposed, is site control of private drive documented by proof of ownership or by a properly executed non-utility easement on private drive, and are the plans for paving private drive, including associated development costs, adequately addressed in Application?</t>
  </si>
  <si>
    <t>For rehabilitation developments, Date of Energy Audit Report:</t>
  </si>
  <si>
    <t>At least two training sessions to the Architect, General Contractor, Job Superintendent, and a representative of every subcontractor group that will affect accessibility (grading, concrete, framing, electrical, plumbing, sheetrock, and cabinetry) regarding accessibility requirements. One training must be on site.</t>
  </si>
  <si>
    <t>As of Application Submission, the HOME loan:</t>
  </si>
  <si>
    <t>a) Existing balance is:</t>
  </si>
  <si>
    <t>b) Payments are current?</t>
  </si>
  <si>
    <t>Per Applicant &amp; Per DCA:</t>
  </si>
  <si>
    <t>If project involves new construction, at least 10% of the total units in the proposed Application will be one bedroom units?</t>
  </si>
  <si>
    <t>Owner agrees to forgo Qualified Contract "cancellation option" for at least five (5) years after the close of the Compliance period?</t>
  </si>
  <si>
    <t>For Previous DCA Project:</t>
  </si>
  <si>
    <t>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t>
  </si>
  <si>
    <t>Rehab of bldgs w/out existing brick/stone over 40% (&amp; ineligible for historic credits) will replace &amp; upgrade existing exterior finish surfaces on all wall faces (front, back, both side faces) w/brick or product w/40 yr warranty. N/Ap to interior wall faces of open breezeways.</t>
  </si>
  <si>
    <t>If Yes, answer following questions:</t>
  </si>
  <si>
    <t>How investment will serve the tenant base</t>
  </si>
  <si>
    <r>
      <t>Publicly operated/sponsored and established transit service</t>
    </r>
    <r>
      <rPr>
        <sz val="8"/>
        <rFont val="Arial"/>
        <family val="2"/>
      </rPr>
      <t xml:space="preserve"> 
</t>
    </r>
    <r>
      <rPr>
        <sz val="8"/>
        <rFont val="Arial Narrow"/>
        <family val="2"/>
      </rPr>
      <t>(including on-call service onsite or fixed-route service within 1/2 mile of site entrance</t>
    </r>
    <r>
      <rPr>
        <sz val="8"/>
        <color rgb="FFFF0000"/>
        <rFont val="Arial Narrow"/>
        <family val="2"/>
      </rPr>
      <t>*</t>
    </r>
    <r>
      <rPr>
        <sz val="8"/>
        <rFont val="Arial Narrow"/>
        <family val="2"/>
      </rPr>
      <t>)</t>
    </r>
  </si>
  <si>
    <t>Proposed Advisory Services to be employed (see Relocation Manual):</t>
  </si>
  <si>
    <r>
      <t xml:space="preserve">Qualified Census Tract </t>
    </r>
    <r>
      <rPr>
        <b/>
        <i/>
        <sz val="8"/>
        <rFont val="Arial"/>
        <family val="2"/>
      </rPr>
      <t>and</t>
    </r>
    <r>
      <rPr>
        <b/>
        <sz val="8"/>
        <rFont val="Arial"/>
        <family val="2"/>
      </rPr>
      <t xml:space="preserve"> Community Revitalization Plan</t>
    </r>
  </si>
  <si>
    <r>
      <rPr>
        <b/>
        <sz val="8"/>
        <rFont val="Arial"/>
        <family val="2"/>
      </rPr>
      <t xml:space="preserve">Community Revitalization Plan - </t>
    </r>
    <r>
      <rPr>
        <sz val="8"/>
        <rFont val="Arial"/>
        <family val="2"/>
      </rPr>
      <t>Application proposes to develop housing within 
a Targeted Area of a revitalization / redevelopment plan meeting CRP requirements.</t>
    </r>
  </si>
  <si>
    <t xml:space="preserve">     Points as suggested by TQS/TDC %</t>
  </si>
  <si>
    <t xml:space="preserve">     TQS as a Percent of TDC:</t>
  </si>
  <si>
    <t xml:space="preserve">     Total Development Costs (TDC):</t>
  </si>
  <si>
    <t>20% of HOME-Assisted Units at 50% of AMI</t>
  </si>
  <si>
    <t>Does the appraisal meet the requirements in the DCA Appraisal Manual?</t>
  </si>
  <si>
    <t>Ground Lease Pymt</t>
  </si>
  <si>
    <t>EGI</t>
  </si>
  <si>
    <t>Select</t>
  </si>
  <si>
    <r>
      <rPr>
        <b/>
        <sz val="10"/>
        <color rgb="FFFF0000"/>
        <rFont val="Arial Narrow"/>
        <family val="2"/>
      </rPr>
      <t>**</t>
    </r>
    <r>
      <rPr>
        <b/>
        <sz val="9"/>
        <rFont val="Arial Narrow"/>
        <family val="2"/>
      </rPr>
      <t xml:space="preserve"> Must be verified by applicant using following websites:</t>
    </r>
  </si>
  <si>
    <r>
      <t xml:space="preserve">REMINDER: Applicants must include comments in sections where points are claimed.   Failure to do so will result in a one (1) point deduction.  Refer to QAP Scoring for requirements detail for all criteria.  </t>
    </r>
    <r>
      <rPr>
        <u/>
        <sz val="8"/>
        <color rgb="FFFF0000"/>
        <rFont val="Arial Narrow"/>
        <family val="2"/>
      </rPr>
      <t>Disclaimer:</t>
    </r>
    <r>
      <rPr>
        <sz val="8"/>
        <color rgb="FFFF0000"/>
        <rFont val="Arial Narrow"/>
        <family val="2"/>
      </rPr>
      <t xml:space="preserve"> DCA Threshold and Scoring section reviews pertain only to the corresponding funding round and have no effect on subsequent or future funding round scoring decisions.</t>
    </r>
  </si>
  <si>
    <t>Most recent approval date:</t>
  </si>
  <si>
    <t>Clearly delineates Targeted Area within a Local Government boundary that includes proposed project site?</t>
  </si>
  <si>
    <t>Amount of Commitment:</t>
  </si>
  <si>
    <t>a)  Is the applicant claiming these points for this project?</t>
  </si>
  <si>
    <t>1a.</t>
  </si>
  <si>
    <t>1b.</t>
  </si>
  <si>
    <t>Is this the only application from this nonprofit requesting these points in this funding round?</t>
  </si>
  <si>
    <t>Principal Amount ($)</t>
  </si>
  <si>
    <t>Amount ($)</t>
  </si>
  <si>
    <t>Other Non-Sr</t>
  </si>
  <si>
    <t># Units per Tenancy:</t>
  </si>
  <si>
    <t>Site and Neighborhood Standards form is included?</t>
  </si>
  <si>
    <t>Applicant agrees that this proposed property must comply with Georgia State Minimum Standard Energy Code (International Energy Conservation Code with Georgia State Supplements and Amendments) in effect at the time of permit issuance? Proof of compliance must be submitted prior to release of 8609s.</t>
  </si>
  <si>
    <t>Applicant was member of a Project Team or a Seller of a Property that received a Rural HOME Preservation Set Aside Selection in the previous round?</t>
  </si>
  <si>
    <r>
      <t xml:space="preserve">PRESERVATION </t>
    </r>
    <r>
      <rPr>
        <sz val="10"/>
        <rFont val="Arial Narrow"/>
        <family val="2"/>
      </rPr>
      <t>(Rehabilitation of Existing Subsidized Housing)</t>
    </r>
  </si>
  <si>
    <t>Additional DDF Need:</t>
  </si>
  <si>
    <t>Fenced community gardens</t>
  </si>
  <si>
    <t xml:space="preserve">Covered pavilion with picnic/BBQ facilities </t>
  </si>
  <si>
    <t>Furnished Exercise /Fitness Center</t>
  </si>
  <si>
    <t>Additional Site Amenities</t>
  </si>
  <si>
    <r>
      <t>The number of additional amenities required depends on the total unit count:</t>
    </r>
    <r>
      <rPr>
        <b/>
        <sz val="8"/>
        <rFont val="Arial"/>
        <family val="2"/>
      </rPr>
      <t xml:space="preserve"> 1-125 units = 2 amenities, 126+ units = 4 amenities</t>
    </r>
  </si>
  <si>
    <t>DCA Pre-approved</t>
  </si>
  <si>
    <t>Other Additional Amenities</t>
  </si>
  <si>
    <t>DCA Amenities Guide - Additional Site Amenity Options:</t>
  </si>
  <si>
    <t xml:space="preserve">2)  </t>
  </si>
  <si>
    <t xml:space="preserve">5)  </t>
  </si>
  <si>
    <t xml:space="preserve">6)  </t>
  </si>
  <si>
    <t xml:space="preserve">7)  </t>
  </si>
  <si>
    <t xml:space="preserve">8)  </t>
  </si>
  <si>
    <t xml:space="preserve">9)  </t>
  </si>
  <si>
    <t xml:space="preserve">10)  </t>
  </si>
  <si>
    <t xml:space="preserve">11)  </t>
  </si>
  <si>
    <t>d.</t>
  </si>
  <si>
    <r>
      <t xml:space="preserve">Other Additional Amenities - Pre-Approved by DCA via Waiver </t>
    </r>
    <r>
      <rPr>
        <sz val="7"/>
        <rFont val="Arial"/>
        <family val="2"/>
      </rPr>
      <t>(describe each separately below)</t>
    </r>
  </si>
  <si>
    <t>c) Briefly summarize Service Provider's prior experience in face-to-face community engagement among the tenancy served.</t>
  </si>
  <si>
    <t>Goals, outcomes and action steps to thoroughly market to target populations and to establish and maintain relationships between the management agent and all community partners noted in the marketing strategy.</t>
  </si>
  <si>
    <t>The progress assessment plan from the Evaluation of Marketing Activities section noted in the HUD-935.2A form.</t>
  </si>
  <si>
    <t>Examples of outreach efforts (i.e. letters, meeting dates, events, etc.) to each service provider, homeless shelter and/or local disability advocacy organization in the county in which the proposed development is located. Be sure all marketing efforts include the Fair Housing and Accessibility logos, slogan and/or statement.</t>
  </si>
  <si>
    <t>Examples of all marketing materials distributed to underserved populations 2-4 months prior to occupancy (i.e. tear sheets with dates from newspapers and magazines, copies of ads on a website, pictures of signs on the property, etc.).</t>
  </si>
  <si>
    <r>
      <rPr>
        <b/>
        <u/>
        <sz val="8"/>
        <rFont val="Arial"/>
        <family val="2"/>
      </rPr>
      <t>CHDOS Only:</t>
    </r>
    <r>
      <rPr>
        <sz val="8"/>
        <rFont val="Arial"/>
        <family val="2"/>
      </rPr>
      <t xml:space="preserve">  If the nonprofit entity is also a CHDO, is it a DCA-certified CHDO which must own 100% of the General Partnership entity?</t>
    </r>
  </si>
  <si>
    <t>VII.  DCA COMMENTS</t>
  </si>
  <si>
    <t>GROUND LEASE PAYMENT</t>
  </si>
  <si>
    <t>Annual Payment</t>
  </si>
  <si>
    <r>
      <t xml:space="preserve">UNIT SUMMARY </t>
    </r>
    <r>
      <rPr>
        <i/>
        <sz val="9"/>
        <rFont val="Arial"/>
        <family val="2"/>
      </rPr>
      <t>(Continued)</t>
    </r>
  </si>
  <si>
    <t>Total Payments</t>
  </si>
  <si>
    <t>Tax Exempt Bonds: Allocation $</t>
  </si>
  <si>
    <r>
      <t xml:space="preserve">Other HOME  -  </t>
    </r>
    <r>
      <rPr>
        <sz val="8"/>
        <rFont val="Arial Narrow"/>
        <family val="2"/>
      </rPr>
      <t>Source</t>
    </r>
  </si>
  <si>
    <t>Historic Rehab Credit</t>
  </si>
  <si>
    <t>State Housing Trust Fund</t>
  </si>
  <si>
    <t>*This source may possibly trigger Uniform Relocation Act and/or HUD 104(d) reqmts.  Check with source.  For DCA HOME, refer to Relocation Manual. DCA HOME amount must be from DCA Consent Letter.</t>
  </si>
  <si>
    <r>
      <rPr>
        <sz val="10"/>
        <rFont val="Arial Narrow"/>
        <family val="2"/>
      </rPr>
      <t>HUD Sect 811 Supportive Housing</t>
    </r>
    <r>
      <rPr>
        <sz val="9"/>
        <rFont val="Arial Narrow"/>
        <family val="2"/>
      </rPr>
      <t xml:space="preserve"> for Persons w/ Disabilities</t>
    </r>
  </si>
  <si>
    <t>Equipped walking path w/sitting areas</t>
  </si>
  <si>
    <r>
      <t xml:space="preserve">IDENTITY OF INTEREST  </t>
    </r>
    <r>
      <rPr>
        <b/>
        <sz val="10"/>
        <color rgb="FFFF0000"/>
        <rFont val="Arial Narrow"/>
        <family val="2"/>
      </rPr>
      <t>(Applicant MUST answer all questions.  Answer "No" for "N/A" situations.)</t>
    </r>
  </si>
  <si>
    <r>
      <t xml:space="preserve">ADDITIONAL INFORMATION </t>
    </r>
    <r>
      <rPr>
        <b/>
        <sz val="10"/>
        <color rgb="FFFF0000"/>
        <rFont val="Arial Narrow"/>
        <family val="2"/>
      </rPr>
      <t xml:space="preserve"> (Applicant MUST answer all questions. Answer "No" for "N/A" situations.)</t>
    </r>
  </si>
  <si>
    <t>Proposed average RR/unit amount:</t>
  </si>
  <si>
    <t>Avg $/mth/unit</t>
  </si>
  <si>
    <t>A1. Missing Documents Needed 
for QAP Core or Threshold Sections</t>
  </si>
  <si>
    <t>A2.  Incomplete, Inaccurate, or Illegible Docs Needed for QAP Core or Threshold Sections</t>
  </si>
  <si>
    <t>Election:</t>
  </si>
  <si>
    <r>
      <rPr>
        <sz val="8"/>
        <rFont val="Arial"/>
        <family val="2"/>
      </rPr>
      <t>Distance</t>
    </r>
    <r>
      <rPr>
        <b/>
        <sz val="8"/>
        <color rgb="FFFF0000"/>
        <rFont val="Arial"/>
        <family val="2"/>
      </rPr>
      <t>*</t>
    </r>
    <r>
      <rPr>
        <sz val="8"/>
        <rFont val="Arial Narrow"/>
        <family val="2"/>
      </rPr>
      <t xml:space="preserve"> (miles)</t>
    </r>
  </si>
  <si>
    <r>
      <rPr>
        <b/>
        <i/>
        <u/>
        <sz val="8"/>
        <color rgb="FFFF0000"/>
        <rFont val="Arial"/>
        <family val="2"/>
      </rPr>
      <t>DCA Staff</t>
    </r>
    <r>
      <rPr>
        <sz val="8"/>
        <color indexed="10"/>
        <rFont val="Arial"/>
        <family val="2"/>
      </rPr>
      <t xml:space="preserve">: Select "1" for a section if points claimed </t>
    </r>
    <r>
      <rPr>
        <u/>
        <sz val="8"/>
        <color rgb="FFFF0000"/>
        <rFont val="Arial"/>
        <family val="2"/>
      </rPr>
      <t>and</t>
    </r>
    <r>
      <rPr>
        <sz val="8"/>
        <color indexed="10"/>
        <rFont val="Arial"/>
        <family val="2"/>
      </rPr>
      <t xml:space="preserve"> its Applicant Scoring Justification is </t>
    </r>
    <r>
      <rPr>
        <b/>
        <i/>
        <u/>
        <sz val="8"/>
        <color rgb="FFFF0000"/>
        <rFont val="Arial"/>
        <family val="2"/>
      </rPr>
      <t>not</t>
    </r>
    <r>
      <rPr>
        <sz val="8"/>
        <color indexed="10"/>
        <rFont val="Arial"/>
        <family val="2"/>
      </rPr>
      <t xml:space="preserve"> considered "full" per the QAP.</t>
    </r>
  </si>
  <si>
    <t>&lt;Select applicable status&gt;</t>
  </si>
  <si>
    <r>
      <t xml:space="preserve">Hist </t>
    </r>
    <r>
      <rPr>
        <i/>
        <sz val="8"/>
        <color rgb="FF0000FF"/>
        <rFont val="Arial Narrow"/>
        <family val="2"/>
      </rPr>
      <t>Adaptive Reuse</t>
    </r>
    <r>
      <rPr>
        <sz val="8"/>
        <color rgb="FF0000FF"/>
        <rFont val="Arial Narrow"/>
        <family val="2"/>
      </rPr>
      <t xml:space="preserve"> Units:</t>
    </r>
  </si>
  <si>
    <r>
      <t>Total Common Area Square Footage</t>
    </r>
    <r>
      <rPr>
        <sz val="9"/>
        <rFont val="Arial Narrow"/>
        <family val="2"/>
      </rPr>
      <t xml:space="preserve"> (from Nonresidential areas)</t>
    </r>
  </si>
  <si>
    <r>
      <t xml:space="preserve">Average Unit Square Footage by </t>
    </r>
    <r>
      <rPr>
        <b/>
        <sz val="10"/>
        <rFont val="Arial"/>
        <family val="2"/>
      </rPr>
      <t>Unit Configuration</t>
    </r>
    <r>
      <rPr>
        <sz val="10"/>
        <rFont val="Arial"/>
        <family val="2"/>
      </rPr>
      <t xml:space="preserve"> </t>
    </r>
    <r>
      <rPr>
        <sz val="8"/>
        <rFont val="Arial"/>
        <family val="2"/>
      </rPr>
      <t>(Nbr of Bedrooms)</t>
    </r>
  </si>
  <si>
    <t>9.</t>
  </si>
  <si>
    <t>Owner (or Developer) and Lender?</t>
  </si>
  <si>
    <r>
      <t xml:space="preserve">Owner commits, </t>
    </r>
    <r>
      <rPr>
        <b/>
        <i/>
        <u/>
        <sz val="8"/>
        <rFont val="Arial"/>
        <family val="2"/>
      </rPr>
      <t>in addition</t>
    </r>
    <r>
      <rPr>
        <sz val="8"/>
        <rFont val="Arial"/>
        <family val="2"/>
      </rPr>
      <t xml:space="preserve">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r>
  </si>
  <si>
    <t>Please note that ownership transfers for the purposes of resyndication will not trigger the right of first refusal. Also, all applicants are eligible for points under this section, regardless of whether the sponsor is a nonprofit or a for-profit entity.</t>
  </si>
  <si>
    <r>
      <t xml:space="preserve">Average Unit Sq Ft by </t>
    </r>
    <r>
      <rPr>
        <b/>
        <sz val="10"/>
        <rFont val="Arial"/>
        <family val="2"/>
      </rPr>
      <t>AMI% Level</t>
    </r>
  </si>
  <si>
    <r>
      <rPr>
        <b/>
        <u/>
        <sz val="8"/>
        <color rgb="FFFF0000"/>
        <rFont val="Arial Narrow"/>
        <family val="2"/>
      </rPr>
      <t>Applicants</t>
    </r>
    <r>
      <rPr>
        <sz val="8"/>
        <color rgb="FFFF0000"/>
        <rFont val="Arial Narrow"/>
        <family val="2"/>
      </rPr>
      <t>:</t>
    </r>
    <r>
      <rPr>
        <sz val="8"/>
        <rFont val="Arial Narrow"/>
        <family val="2"/>
      </rPr>
      <t xml:space="preserve"> Enter the column J </t>
    </r>
    <r>
      <rPr>
        <b/>
        <sz val="8"/>
        <color rgb="FFFF0000"/>
        <rFont val="Arial Narrow"/>
        <family val="2"/>
      </rPr>
      <t>Final</t>
    </r>
    <r>
      <rPr>
        <sz val="8"/>
        <rFont val="Arial Narrow"/>
        <family val="2"/>
      </rPr>
      <t xml:space="preserve"> amounts for these 3 lines into the column I boxes.  Enter the actual final nbr, not a reference formula.</t>
    </r>
  </si>
  <si>
    <t>If No, what was the previous DCA Qualification Determination for the Team?</t>
  </si>
  <si>
    <t xml:space="preserve">        Unit Cost Limit total by Unit Type</t>
  </si>
  <si>
    <t xml:space="preserve">       Unit Cost Limit total by Unit Type</t>
  </si>
  <si>
    <t>Proposed % of 1 BR units</t>
  </si>
  <si>
    <t>PBRA Units</t>
  </si>
  <si>
    <t>Total Restricted Units</t>
  </si>
  <si>
    <r>
      <rPr>
        <b/>
        <sz val="8"/>
        <color rgb="FFFF0000"/>
        <rFont val="Arial Narrow"/>
        <family val="2"/>
      </rPr>
      <t xml:space="preserve">DCA Staff: </t>
    </r>
    <r>
      <rPr>
        <sz val="8"/>
        <rFont val="Arial Narrow"/>
        <family val="2"/>
      </rPr>
      <t>List here any misplaced docs and the Tab Numbers where they were mistakenly placed.</t>
    </r>
  </si>
  <si>
    <t>NOTE: Row size may be increased or decreased as needed.  Press and hold Alt-Enter to start new paragraphs in the same box.
Please do NOT insert blank lines between paragraphs.  Use outline numbering, bullet points, and/or indentation instead.</t>
  </si>
  <si>
    <t xml:space="preserve">If selected, does the Applicant agree to prepare and submit (prior to the start of lease-up) an AFFH Marketing plan that includes: </t>
  </si>
  <si>
    <r>
      <rPr>
        <b/>
        <sz val="9"/>
        <color rgb="FFFF0000"/>
        <rFont val="Arial Narrow"/>
        <family val="2"/>
      </rPr>
      <t>Changes in the Project</t>
    </r>
    <r>
      <rPr>
        <sz val="9"/>
        <color rgb="FFFF0000"/>
        <rFont val="Arial Narrow"/>
        <family val="2"/>
      </rPr>
      <t xml:space="preserve"> have occurred since pre-application?</t>
    </r>
  </si>
  <si>
    <t>&lt;&lt;Select previous Application Type&gt;&gt;</t>
  </si>
  <si>
    <t>Expiring USDA</t>
  </si>
  <si>
    <r>
      <t xml:space="preserve">Affordable </t>
    </r>
    <r>
      <rPr>
        <b/>
        <i/>
        <u/>
        <sz val="10"/>
        <rFont val="Arial Narrow"/>
        <family val="2"/>
      </rPr>
      <t>non</t>
    </r>
    <r>
      <rPr>
        <sz val="10"/>
        <rFont val="Arial Narrow"/>
        <family val="2"/>
      </rPr>
      <t>public housing project</t>
    </r>
  </si>
  <si>
    <r>
      <t xml:space="preserve">Affordable </t>
    </r>
    <r>
      <rPr>
        <b/>
        <i/>
        <u/>
        <sz val="10"/>
        <rFont val="Arial Narrow"/>
        <family val="2"/>
      </rPr>
      <t>public</t>
    </r>
    <r>
      <rPr>
        <sz val="10"/>
        <rFont val="Arial Narrow"/>
        <family val="2"/>
      </rPr>
      <t xml:space="preserve"> housing project</t>
    </r>
  </si>
  <si>
    <t>Section 8</t>
  </si>
  <si>
    <t xml:space="preserve">Health and Well-being </t>
  </si>
  <si>
    <t xml:space="preserve">Economic Security </t>
  </si>
  <si>
    <t>Total "Yes"</t>
  </si>
  <si>
    <t>School "Yes" in a) or b)</t>
  </si>
  <si>
    <t>Census Tract Nbr Meeting Requiremts</t>
  </si>
  <si>
    <t>DCA's 2019 Qualified Allocation Plan requires [state policy with QAP section reference; state exception requested; state justification for recommendation]</t>
  </si>
  <si>
    <t xml:space="preserve">(NAME) will make a capital contribution totaling ($X) via the syndication of the 2019 Federal LIHTC allocation of ($X TAX CREDIT AMOUNT) per annum.   (NAME) will make a capital contribution totaling ($X) via the syndication of the 2019 State LIHTC allocation of ($X TAX CREDIT AMOUNT) per annum.  The total equity price per credit will be $.X.  ($.X Federal tax credit and $.X State tax credit) for a (X%) ownership interest of the Federal Credits and a (X%) ownership interest of the State Credits. </t>
  </si>
  <si>
    <t>The FY 2013-2017 Consolidated Plan of the State of Georgia, the State of Georgia Executive Summary and Annual Action Plan for FFY 2017 Consolidated Funds and the 2019 State Qualified Allocation Plan outline the State’s mandate to provide safe, decent, sanitary, affordable housing for Georgia’s low-and very-low-income citizens and the application of state and federally-funded resources to that end.</t>
  </si>
  <si>
    <r>
      <t xml:space="preserve">1.) Make sure each section references specifically the subject project; revise as necessary to do so; 
2.) Spell check prior to turning in for review and 
3.) Check to be sure that all remarks reference correct figures (mostly shown to the right); </t>
    </r>
    <r>
      <rPr>
        <i/>
        <u/>
        <sz val="11"/>
        <rFont val="Arial"/>
        <family val="2"/>
      </rPr>
      <t>proofread</t>
    </r>
  </si>
  <si>
    <t>(UA Sched 1 UA, 
so over-write if UA Sched 2 used)</t>
  </si>
  <si>
    <t xml:space="preserve">Furnished Arts &amp; Craft /Activity Center </t>
  </si>
  <si>
    <t xml:space="preserve">Equipped Computer Center and WiFi </t>
  </si>
  <si>
    <t>Nbr of Yrs</t>
  </si>
  <si>
    <t>Does lease have a Graduated Lease Payment / Step-Up provision?</t>
  </si>
  <si>
    <t>If constant increase, amount:</t>
  </si>
  <si>
    <t>Is periodic?</t>
  </si>
  <si>
    <t>Yrs in period</t>
  </si>
  <si>
    <t>Application must include letter from appropriate utility company confirming availability of operating utilities at proposed development site. The letters should be on letterhead, bear signature(s) and title(s) from appropriate utility company signatory, include project name &amp; location and confirm that utilities will be available. The letters must be dated within 6 months of Application Submission.</t>
  </si>
  <si>
    <r>
      <t>Incomplete, Inaccurate, or Illegible Documents</t>
    </r>
    <r>
      <rPr>
        <sz val="6"/>
        <color rgb="FFFF0000"/>
        <rFont val="Arial"/>
        <family val="2"/>
      </rPr>
      <t>(includes core app)</t>
    </r>
  </si>
  <si>
    <t/>
  </si>
  <si>
    <t>A Savings-to-Investment Ratio (SIR) of 2.0 or greater?</t>
  </si>
  <si>
    <t>Other Previous Names</t>
  </si>
  <si>
    <t>Veterans Affairs Supportive Housing</t>
  </si>
  <si>
    <t>Site is predominantly located within:</t>
  </si>
  <si>
    <t>This Application is submitted in accordance with the 2020 Qualified Allocation Plan and the Housing Finance and Development Division Manuals.  In submitting this Application for funding consideration, the undersigned applicant hereby certifies:</t>
  </si>
  <si>
    <t>DCA Adjustment</t>
  </si>
  <si>
    <t>Efficiencies</t>
  </si>
  <si>
    <t>1-bedroom units</t>
  </si>
  <si>
    <t>2-bedroom units</t>
  </si>
  <si>
    <t>3-bedroom units</t>
  </si>
  <si>
    <t>4-bedroom units</t>
  </si>
  <si>
    <t>Development type</t>
  </si>
  <si>
    <t>Developer fee per unit</t>
  </si>
  <si>
    <t>Maximum Developer Fee:</t>
  </si>
  <si>
    <t>Adjustments</t>
  </si>
  <si>
    <t>Formal documented referral and screening process that will be used to refer residents to the development, the screening criteria that will be used, and reasonable accommodations that will be made to facilitate the admittance of persons with disabilities or the homeless.</t>
  </si>
  <si>
    <t>A list of the public locations in and near the community where the development will be located, including at least one that has night hours, where applications for affordable units shall be made available.</t>
  </si>
  <si>
    <t>Applicant agrees to provide on-site preventive health care services and education at the proposed development?</t>
  </si>
  <si>
    <r>
      <rPr>
        <i/>
        <u/>
        <sz val="8"/>
        <rFont val="Arial"/>
        <family val="2"/>
      </rPr>
      <t>NOTE</t>
    </r>
    <r>
      <rPr>
        <i/>
        <sz val="8"/>
        <rFont val="Arial"/>
        <family val="2"/>
      </rPr>
      <t>:</t>
    </r>
    <r>
      <rPr>
        <sz val="8"/>
        <rFont val="Arial"/>
        <family val="2"/>
      </rPr>
      <t xml:space="preserve"> 2017-2019 CCRPI 
Data Must Be Used</t>
    </r>
  </si>
  <si>
    <t>Three-year (2017-2019) average of College and Career Readiness Performance Index (CCRPI) scores are above-average.</t>
  </si>
  <si>
    <t>Min Units</t>
  </si>
  <si>
    <t>Max Units</t>
  </si>
  <si>
    <t>Limit:</t>
  </si>
  <si>
    <t>Max Devlpr Fee per unit</t>
  </si>
  <si>
    <t>Max Devlpr Fee per Tier</t>
  </si>
  <si>
    <t>Project Total Devlpr Fee</t>
  </si>
  <si>
    <t>Credit Type:</t>
  </si>
  <si>
    <t>Requesting Add'l Credits?</t>
  </si>
  <si>
    <t>Previous DCA Project #:</t>
  </si>
  <si>
    <t>Project Dev Fee per Tier</t>
  </si>
  <si>
    <t>TDC for Cost Limit Use</t>
  </si>
  <si>
    <t>Water &amp; Swr</t>
  </si>
  <si>
    <r>
      <t xml:space="preserve">Real Estate Taxes </t>
    </r>
    <r>
      <rPr>
        <sz val="8"/>
        <rFont val="Arial"/>
        <family val="2"/>
      </rPr>
      <t>(Gross)*</t>
    </r>
  </si>
  <si>
    <r>
      <rPr>
        <b/>
        <i/>
        <u/>
        <sz val="11"/>
        <color rgb="FFFF0000"/>
        <rFont val="Arial"/>
        <family val="2"/>
      </rPr>
      <t>NOTE to DCA Staff</t>
    </r>
    <r>
      <rPr>
        <b/>
        <sz val="11"/>
        <color rgb="FFFF0000"/>
        <rFont val="Arial"/>
        <family val="2"/>
      </rPr>
      <t>:</t>
    </r>
    <r>
      <rPr>
        <b/>
        <sz val="11"/>
        <color rgb="FF0066FF"/>
        <rFont val="Arial"/>
        <family val="2"/>
      </rPr>
      <t xml:space="preserve">  If the Applicant self-scored at the full point value for CTO, but DCA did not score CTO at full point value, then the Cost Waiver / DCA Override box here must be used to manually adjust to New Constr &amp; Acq/Rehab limits.</t>
    </r>
  </si>
  <si>
    <r>
      <rPr>
        <b/>
        <i/>
        <u/>
        <sz val="14"/>
        <color rgb="FFFF0000"/>
        <rFont val="Arial"/>
        <family val="2"/>
      </rPr>
      <t>NOTE to DCA Staff</t>
    </r>
    <r>
      <rPr>
        <sz val="14"/>
        <color rgb="FFFF0000"/>
        <rFont val="Arial"/>
        <family val="2"/>
      </rPr>
      <t xml:space="preserve">: </t>
    </r>
    <r>
      <rPr>
        <sz val="11"/>
        <color rgb="FF0066FF"/>
        <rFont val="Arial"/>
        <family val="2"/>
      </rPr>
      <t xml:space="preserve">
</t>
    </r>
    <r>
      <rPr>
        <sz val="11"/>
        <color rgb="FF0000FF"/>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</si>
  <si>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t>Put AMIs Below Line</t>
  </si>
  <si>
    <t>Cost Limit?</t>
  </si>
  <si>
    <r>
      <t xml:space="preserve">Number of Public Housing Units </t>
    </r>
    <r>
      <rPr>
        <sz val="10"/>
        <color rgb="FFFF0000"/>
        <rFont val="Arial Narrow"/>
        <family val="2"/>
      </rPr>
      <t>reserved 
for and rented to</t>
    </r>
    <r>
      <rPr>
        <sz val="10"/>
        <rFont val="Arial Narrow"/>
        <family val="2"/>
      </rPr>
      <t>:</t>
    </r>
  </si>
  <si>
    <t>Total Development Costs and Project Cost Limits</t>
  </si>
  <si>
    <t>TAX CREDIT ALLOCATION</t>
  </si>
  <si>
    <r>
      <rPr>
        <b/>
        <u/>
        <sz val="10"/>
        <rFont val="Arial Narrow"/>
        <family val="2"/>
      </rPr>
      <t>T</t>
    </r>
    <r>
      <rPr>
        <sz val="10"/>
        <rFont val="Arial Narrow"/>
        <family val="2"/>
      </rPr>
      <t xml:space="preserve">otal </t>
    </r>
    <r>
      <rPr>
        <b/>
        <u/>
        <sz val="10"/>
        <rFont val="Arial Narrow"/>
        <family val="2"/>
      </rPr>
      <t>D</t>
    </r>
    <r>
      <rPr>
        <sz val="10"/>
        <rFont val="Arial Narrow"/>
        <family val="2"/>
      </rPr>
      <t xml:space="preserve">evelopment </t>
    </r>
    <r>
      <rPr>
        <b/>
        <u/>
        <sz val="10"/>
        <rFont val="Arial Narrow"/>
        <family val="2"/>
      </rPr>
      <t>C</t>
    </r>
    <r>
      <rPr>
        <sz val="10"/>
        <rFont val="Arial Narrow"/>
        <family val="2"/>
      </rPr>
      <t>ost (TDC)</t>
    </r>
  </si>
  <si>
    <t xml:space="preserve">TDC for Cost Limit Use  (TDC - Excludable Costs) </t>
  </si>
  <si>
    <t>Excludable Costs Per QAP (for Cost Limit purposes)</t>
  </si>
  <si>
    <t>Minimum of TDC or (PCL + Excludable Costs)</t>
  </si>
  <si>
    <t>Total Development Cost (TDC) Cost Limit Area:</t>
  </si>
  <si>
    <t>TDC</t>
  </si>
  <si>
    <t>(= TDC - Excludable Costs per 2020 QAP)</t>
  </si>
  <si>
    <t>Relocation And Displacement Of Tenants</t>
  </si>
  <si>
    <t>OCCUPIED DEVELOPMENTS</t>
  </si>
  <si>
    <t>i) Individual interviews</t>
  </si>
  <si>
    <t>ii) Meetings</t>
  </si>
  <si>
    <t>iii) Written Notifications</t>
  </si>
  <si>
    <t>ii)</t>
  </si>
  <si>
    <t>Entity Type</t>
  </si>
  <si>
    <t>iv) Other - describe in box provided:</t>
  </si>
  <si>
    <t xml:space="preserve">c)  </t>
  </si>
  <si>
    <t xml:space="preserve">a) Number of Over Income Tenants </t>
  </si>
  <si>
    <t>d) Number of Down units</t>
  </si>
  <si>
    <t>b) Number of Rent Burdened Tenants</t>
  </si>
  <si>
    <t>e) Number of Displaced Tenants</t>
  </si>
  <si>
    <t>c) Number of Vacancies</t>
  </si>
  <si>
    <t>a) Indicate format(s) to be used:</t>
  </si>
  <si>
    <t>b) Describe Service Provider to be used.  If 3rd Party, provide:</t>
  </si>
  <si>
    <t xml:space="preserve">Both 4% and 9% Applicants:  </t>
  </si>
  <si>
    <r>
      <rPr>
        <u/>
        <sz val="8"/>
        <rFont val="Arial"/>
        <family val="2"/>
      </rPr>
      <t>Applicant commits to accept DCA-led resident engagement</t>
    </r>
    <r>
      <rPr>
        <sz val="8"/>
        <rFont val="Arial"/>
        <family val="2"/>
      </rPr>
      <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r>
  </si>
  <si>
    <t xml:space="preserve">Applicant hereby certifies that they have completed the required 30-minute Building Sustainability training provided on the DCA website: </t>
  </si>
  <si>
    <t>If Line 165 &gt; Line 166, provide amount of funding from foundation, unrelated not-for-profit charitable organization or governmental entity (not DCA) to cover the cost exceeding the PCL:</t>
  </si>
  <si>
    <t>Foundation, charity or other govt*</t>
  </si>
  <si>
    <t>*Foundation, charity or other government funding to cover costs exceeding DCA cost limit (see Appendix I, Section II).</t>
  </si>
  <si>
    <t>This development is designated as:</t>
  </si>
  <si>
    <t>Property absorption period to reach stabilized occupancy</t>
  </si>
  <si>
    <t>List DCA funded properties in the primary market area.  Include DCA Project Number and Project Name in each case.</t>
  </si>
  <si>
    <t>Is there is an identity of interest between the buyer and seller of the property?</t>
  </si>
  <si>
    <t>For LIHTC properties involving DCA HOME funds, does the total hard cost of the property exceed 90% of the as completed unencumbered appraised value of the property?</t>
  </si>
  <si>
    <t>Properties involving HOME funds must also meet the following Site and Neighborhood Standards:</t>
  </si>
  <si>
    <t>If proposing a Senior development or Special Needs development, Applicant agrees to provide the following additional required Amenities.  Tenancy:</t>
  </si>
  <si>
    <t>Energy Star dishwashers  (except in senior USDA or HUD properties)</t>
  </si>
  <si>
    <t>REHABILITATION STANDARDS</t>
  </si>
  <si>
    <t>Developer Fee calculation (50% of DF for 9% apps):</t>
  </si>
  <si>
    <t>If selected, does the Applicant agree to provide reasonable accommodation for these residents in the Property Management’s tenant application?  Leasing criteria must clearly facilitate admission and inclusion of targeted population residents and must not violate federal or state fair housing laws.</t>
  </si>
  <si>
    <t>(Must use 2017 data from "OnTheMap" tool)</t>
  </si>
  <si>
    <r>
      <t xml:space="preserve">Solicits public input and engagement </t>
    </r>
    <r>
      <rPr>
        <u/>
        <sz val="8"/>
        <rFont val="Arial"/>
        <family val="2"/>
      </rPr>
      <t>during its creation</t>
    </r>
    <r>
      <rPr>
        <sz val="8"/>
        <rFont val="Arial"/>
        <family val="2"/>
      </rPr>
      <t>?</t>
    </r>
  </si>
  <si>
    <t>Applicants are ineligible to claim points in either Scoring Sections VIII. Revitalization/ Redevelopment Plans or IV. Community Transformation if claiming points in either Scoring Sections VI. Place-Based Opportunity or IX. Stable Communities.</t>
  </si>
  <si>
    <t>Application qualifies for at least 1 point in A1 and proposes to develop housing that is in a Qualified Census Tract (QCT).</t>
  </si>
  <si>
    <t>Does 3rd party improvement serve the residents for the proposed development?</t>
  </si>
  <si>
    <t>a)  Three (3) or more points under 2020 Scoring Section VII Revitalization/ Redevelopment Plans?</t>
  </si>
  <si>
    <t>c)  Project Team has submitted only one Application for 2020 Scoring Section VIII Community Transformation?</t>
  </si>
  <si>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rFont val="Arial Narrow"/>
        <family val="2"/>
      </rPr>
      <t>(see Tabs Checklist)</t>
    </r>
    <r>
      <rPr>
        <sz val="8"/>
        <rFont val="Arial"/>
        <family val="2"/>
      </rPr>
      <t>.</t>
    </r>
  </si>
  <si>
    <t>At least one-third are residents of the Defined Neighborhood who self-certify their income at less than 80% of AMI, other individuals who self-certify their income at less than 80% of AMI, or elected representatives of neighborhood organizations serving the Defined Neighborhood?</t>
  </si>
  <si>
    <t>At least one-third include three of the five representatives outlined in the QAP?</t>
  </si>
  <si>
    <r>
      <t xml:space="preserve">Project is </t>
    </r>
    <r>
      <rPr>
        <b/>
        <i/>
        <sz val="8"/>
        <rFont val="Arial"/>
        <family val="2"/>
      </rPr>
      <t>NOT</t>
    </r>
    <r>
      <rPr>
        <sz val="8"/>
        <rFont val="Arial"/>
        <family val="2"/>
      </rPr>
      <t xml:space="preserve"> located in a census tract that meets the above demographics according to the most recent FFIEC Census Report (www.ffiec.gov/Census/), but </t>
    </r>
    <r>
      <rPr>
        <b/>
        <i/>
        <sz val="8"/>
        <rFont val="Arial"/>
        <family val="2"/>
      </rPr>
      <t>IS</t>
    </r>
    <r>
      <rPr>
        <sz val="8"/>
        <rFont val="Arial"/>
        <family val="2"/>
      </rPr>
      <t xml:space="preserve"> located within 1/4 mile of a census tract that </t>
    </r>
    <r>
      <rPr>
        <i/>
        <sz val="8"/>
        <rFont val="Arial"/>
        <family val="2"/>
      </rPr>
      <t>does</t>
    </r>
    <r>
      <rPr>
        <sz val="8"/>
        <rFont val="Arial"/>
        <family val="2"/>
      </rPr>
      <t xml:space="preserve"> meet the above demographics. </t>
    </r>
    <r>
      <rPr>
        <sz val="6"/>
        <rFont val="Arial"/>
        <family val="2"/>
      </rPr>
      <t xml:space="preserve"> </t>
    </r>
    <r>
      <rPr>
        <sz val="8"/>
        <rFont val="Arial"/>
        <family val="2"/>
      </rPr>
      <t>(Applicant answer to Question 1 above cannot be "Yes".)</t>
    </r>
  </si>
  <si>
    <t xml:space="preserve">Applicant is only eligible for either XII Phased Development or XIII Previous Projects, but not both. </t>
  </si>
  <si>
    <t>Resident Ownership</t>
  </si>
  <si>
    <t xml:space="preserve">Owner commits to submit a plan for resident ownership, acceptable to DCA, at the end of the 15-year Compliance Period.  Only single-family styled units are eligible for these points. </t>
  </si>
  <si>
    <t>Is executed by the GICH community’s primary or secondary contact on record w/ University of Georgia Housing &amp; Demographic Research Center as of 5/1/2020?</t>
  </si>
  <si>
    <t>HOME Funds administered by an entity other than DCA</t>
  </si>
  <si>
    <t>Historic Tax Credit Proceeds</t>
  </si>
  <si>
    <t>Historic Structure</t>
  </si>
  <si>
    <r>
      <t xml:space="preserve">The proposed development includes historic tax credit proceeds </t>
    </r>
    <r>
      <rPr>
        <b/>
        <i/>
        <u/>
        <sz val="8"/>
        <rFont val="Arial"/>
        <family val="2"/>
      </rPr>
      <t>and</t>
    </r>
    <r>
      <rPr>
        <sz val="8"/>
        <rFont val="Arial"/>
        <family val="2"/>
      </rPr>
      <t xml:space="preserve">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t>
    </r>
    <r>
      <rPr>
        <b/>
        <sz val="8"/>
        <color rgb="FFFF0000"/>
        <rFont val="Arial"/>
        <family val="2"/>
      </rPr>
      <t>30%</t>
    </r>
    <r>
      <rPr>
        <sz val="8"/>
        <color rgb="FFFF0000"/>
        <rFont val="Arial"/>
        <family val="2"/>
      </rPr>
      <t xml:space="preserve"> </t>
    </r>
    <r>
      <rPr>
        <sz val="8"/>
        <rFont val="Arial"/>
        <family val="2"/>
      </rPr>
      <t>of the total units.</t>
    </r>
  </si>
  <si>
    <t>Applicant has units without rental assistance and commits to accept a PBRA contract for 10% of the total restricted units for the purpose of providing Integrated Supportive Housing (ISH) opportunities to Persons w/ Disabilities (PWD), and is prepared to accept the full utilization by DCA of 10% of the units?</t>
  </si>
  <si>
    <t>PBRA Program:</t>
  </si>
  <si>
    <t>10% of Total Restricted Units:</t>
  </si>
  <si>
    <t>D1.</t>
  </si>
  <si>
    <t>If Yes, has Applicant placed documentation detailing conflicting regulations into Application Binder as instructed by Application Tabs Checklist?</t>
  </si>
  <si>
    <t>D2.</t>
  </si>
  <si>
    <t xml:space="preserve">Applicant understands all requirements of the applicable PBRA program?  (e.g., the 30-year use restriction for all units assisted under HUD’s Section 811 program)
</t>
  </si>
  <si>
    <t>Applicant presents a program that addresses barriers to residents’ educational attainment and improves residents’ educational outcomes?</t>
  </si>
  <si>
    <t>Applicants are ineligible to claim points in either Scoring Sections VII. Revitalization/Redevelopment Plans or VIII. Community Transformation if claiming points in either Scoring Sections VI. Place-Based Opportunity or IX. Stable Communities.</t>
  </si>
  <si>
    <t>Designates implementation measures along with time frames and funding sources?</t>
  </si>
  <si>
    <r>
      <t xml:space="preserve">Eligibility - </t>
    </r>
    <r>
      <rPr>
        <sz val="9"/>
        <rFont val="Arial"/>
        <family val="2"/>
      </rPr>
      <t>The Plan:</t>
    </r>
  </si>
  <si>
    <t>Primary Criteria</t>
  </si>
  <si>
    <t>Additional Criteria</t>
  </si>
  <si>
    <t>Has been officially approved / re-approved by a Local Govt w/in five (5) yrs of Application Submission?</t>
  </si>
  <si>
    <r>
      <t xml:space="preserve">Is </t>
    </r>
    <r>
      <rPr>
        <i/>
        <u/>
        <sz val="8"/>
        <rFont val="Arial"/>
        <family val="2"/>
      </rPr>
      <t>not</t>
    </r>
    <r>
      <rPr>
        <sz val="8"/>
        <rFont val="Arial"/>
        <family val="2"/>
      </rPr>
      <t xml:space="preserve"> a short-term work plan, comprehensive plan, consolidated plan, municipal zoning plan, or land use plan?</t>
    </r>
  </si>
  <si>
    <t>Revitalization Plan / Qualified Census Tract</t>
  </si>
  <si>
    <t>Discusses housing as a goal of the CRP?</t>
  </si>
  <si>
    <t>Is the development within or overlap a defined neighborhood already containing a transformational community initiative funded in 2017, 2018, or 2019?</t>
  </si>
  <si>
    <t>Unrestricted Units</t>
  </si>
  <si>
    <t>Application includes at least 10% unrestricted market rate units, and will not make the income averaging minimum set-aside election.</t>
  </si>
  <si>
    <t>TC Election:</t>
  </si>
  <si>
    <t>PREVIOUS PROJECTS</t>
  </si>
  <si>
    <t>Census Tract</t>
  </si>
  <si>
    <t>Economic security points</t>
  </si>
  <si>
    <t>Health and well-being points</t>
  </si>
  <si>
    <t>Total Opportunity360 points under 2020 QAP</t>
  </si>
  <si>
    <t>Select Site's Census Tract Nbr:</t>
  </si>
  <si>
    <t>Services</t>
  </si>
  <si>
    <t>Outcomes</t>
  </si>
  <si>
    <r>
      <rPr>
        <i/>
        <sz val="8"/>
        <rFont val="Arial"/>
        <family val="2"/>
      </rPr>
      <t xml:space="preserve">Community garden
</t>
    </r>
    <r>
      <rPr>
        <sz val="8"/>
        <rFont val="Arial"/>
        <family val="2"/>
      </rPr>
      <t xml:space="preserve">      The community garden will:</t>
    </r>
  </si>
  <si>
    <r>
      <rPr>
        <i/>
        <sz val="8"/>
        <rFont val="Arial"/>
        <family val="2"/>
      </rPr>
      <t>Monthly healthy eating programs</t>
    </r>
    <r>
      <rPr>
        <sz val="8"/>
        <rFont val="Arial"/>
        <family val="2"/>
      </rPr>
      <t xml:space="preserve"> - will be free of charge to residents and may incorporate education about healthy food and/or access to healthy food?</t>
    </r>
  </si>
  <si>
    <t>a)   The services will be provided at least monthly and be offered at minimal (no more than $15) or no cost to the residents?</t>
  </si>
  <si>
    <t>b)   The Applicant will provide health education for the residents on at least a monthly basis?</t>
  </si>
  <si>
    <t>a)   The Applicant will designate a Health Services Coordinator (HSC), from in-house staff or through an external organization.</t>
  </si>
  <si>
    <t>b)   The HSC will assess residents’ health needs, make appropriate referrals, and track health outcomes.</t>
  </si>
  <si>
    <r>
      <t xml:space="preserve">Application is in the Flexible Pool and the proposed project is part of a Phased Development in which one or more phases received an allocation of 9% tax credits or 4% tax credits within the past </t>
    </r>
    <r>
      <rPr>
        <b/>
        <sz val="8"/>
        <rFont val="Arial"/>
        <family val="2"/>
      </rPr>
      <t>six (6)</t>
    </r>
    <r>
      <rPr>
        <sz val="8"/>
        <rFont val="Arial"/>
        <family val="2"/>
      </rPr>
      <t xml:space="preserve"> Qualified Allocation Plans and at least one phase has commenced construction by the 2020 Application Submission deadline?</t>
    </r>
  </si>
  <si>
    <t>(Flexible Pool only)</t>
  </si>
  <si>
    <r>
      <rPr>
        <b/>
        <sz val="8"/>
        <rFont val="Arial"/>
        <family val="2"/>
      </rPr>
      <t xml:space="preserve">NOTE: </t>
    </r>
    <r>
      <rPr>
        <sz val="8"/>
        <rFont val="Arial"/>
        <family val="2"/>
      </rPr>
      <t xml:space="preserve">Projects that DCA determines are </t>
    </r>
    <r>
      <rPr>
        <i/>
        <sz val="8"/>
        <rFont val="Arial"/>
        <family val="2"/>
      </rPr>
      <t>adjacent</t>
    </r>
    <r>
      <rPr>
        <sz val="8"/>
        <rFont val="Arial"/>
        <family val="2"/>
      </rPr>
      <t xml:space="preserve"> (as opposed to being Phased Developments) are not eligible for points.  
</t>
    </r>
    <r>
      <rPr>
        <b/>
        <sz val="8"/>
        <rFont val="Arial"/>
        <family val="2"/>
      </rPr>
      <t>NOTE</t>
    </r>
    <r>
      <rPr>
        <sz val="8"/>
        <rFont val="Arial"/>
        <family val="2"/>
      </rPr>
      <t>: In determining whether a project is a phased development, only the second and third phase of a project may receive these points.</t>
    </r>
  </si>
  <si>
    <t>Do the phases share common planning documents which include a master site plan and may also include documents including parks, green space, and shared amenities between the different phases?</t>
  </si>
  <si>
    <t>Site predominantly located in:</t>
  </si>
  <si>
    <t>(choose B1, B2, B3 or B4)</t>
  </si>
  <si>
    <r>
      <t xml:space="preserve">Not </t>
    </r>
    <r>
      <rPr>
        <sz val="8"/>
        <rFont val="Arial"/>
        <family val="2"/>
      </rPr>
      <t>been awarded 9% Credits</t>
    </r>
  </si>
  <si>
    <r>
      <rPr>
        <sz val="8"/>
        <rFont val="Arial"/>
        <family val="2"/>
      </rPr>
      <t>Only received</t>
    </r>
    <r>
      <rPr>
        <b/>
        <sz val="8"/>
        <rFont val="Arial"/>
        <family val="2"/>
      </rPr>
      <t xml:space="preserve"> one (1) </t>
    </r>
    <r>
      <rPr>
        <sz val="8"/>
        <rFont val="Arial"/>
        <family val="2"/>
      </rPr>
      <t>9% Credits award</t>
    </r>
  </si>
  <si>
    <r>
      <t>15 Years</t>
    </r>
    <r>
      <rPr>
        <sz val="9"/>
        <rFont val="Arial"/>
        <family val="2"/>
      </rPr>
      <t xml:space="preserve"> Lookback Period</t>
    </r>
  </si>
  <si>
    <r>
      <t xml:space="preserve">Two to Six Years </t>
    </r>
    <r>
      <rPr>
        <sz val="9"/>
        <rFont val="Arial"/>
        <family val="2"/>
      </rPr>
      <t>Lookback Period</t>
    </r>
  </si>
  <si>
    <t>(Rural or Flexible Pool)</t>
  </si>
  <si>
    <r>
      <t>Six (6)</t>
    </r>
    <r>
      <rPr>
        <sz val="8"/>
        <rFont val="Arial"/>
        <family val="2"/>
      </rPr>
      <t xml:space="preserve"> DCA competitive funding cycles</t>
    </r>
  </si>
  <si>
    <r>
      <t xml:space="preserve">Four (4) </t>
    </r>
    <r>
      <rPr>
        <sz val="8"/>
        <rFont val="Arial"/>
        <family val="2"/>
      </rPr>
      <t>DCA competitive funding cycles</t>
    </r>
  </si>
  <si>
    <r>
      <t>Three (3)</t>
    </r>
    <r>
      <rPr>
        <sz val="8"/>
        <rFont val="Arial"/>
        <family val="2"/>
      </rPr>
      <t xml:space="preserve"> DCA competitive funding cycles</t>
    </r>
  </si>
  <si>
    <r>
      <t xml:space="preserve">Two (2) </t>
    </r>
    <r>
      <rPr>
        <sz val="8"/>
        <rFont val="Arial"/>
        <family val="2"/>
      </rPr>
      <t>DCA competitive funding cycles</t>
    </r>
  </si>
  <si>
    <r>
      <t>(</t>
    </r>
    <r>
      <rPr>
        <b/>
        <i/>
        <sz val="9"/>
        <rFont val="Arial"/>
        <family val="2"/>
      </rPr>
      <t>Flexible</t>
    </r>
    <r>
      <rPr>
        <sz val="9"/>
        <rFont val="Arial"/>
        <family val="2"/>
      </rPr>
      <t xml:space="preserve"> Pool) The proposed development site is within a 1-mile radius of a transit hub as defined in Scoring IV. Community Transportation Options </t>
    </r>
    <r>
      <rPr>
        <i/>
        <u/>
        <sz val="9"/>
        <rFont val="Arial"/>
        <family val="2"/>
      </rPr>
      <t xml:space="preserve">and </t>
    </r>
    <r>
      <rPr>
        <sz val="9"/>
        <rFont val="Arial"/>
        <family val="2"/>
      </rPr>
      <t>is not within a 1-mile radius of a 9% Credit development that has received an award in the last</t>
    </r>
    <r>
      <rPr>
        <b/>
        <sz val="9"/>
        <rFont val="Arial"/>
        <family val="2"/>
      </rPr>
      <t>:</t>
    </r>
  </si>
  <si>
    <r>
      <t xml:space="preserve">For purposes of this subsection A, if proposing a development in an incorporated area, the Local Government boundary must be of a municipality that was incorporated on or before January 1, 2014.  </t>
    </r>
    <r>
      <rPr>
        <i/>
        <sz val="9"/>
        <rFont val="Arial"/>
        <family val="2"/>
      </rPr>
      <t>The proposed development site is within a current Local Government Boundary that, within the last 15 DCA Housing Credit Competitive Rounds, has</t>
    </r>
    <r>
      <rPr>
        <b/>
        <i/>
        <sz val="9"/>
        <rFont val="Arial"/>
        <family val="2"/>
      </rPr>
      <t>:</t>
    </r>
  </si>
  <si>
    <r>
      <t xml:space="preserve">The proposed development site is </t>
    </r>
    <r>
      <rPr>
        <b/>
        <i/>
        <u/>
        <sz val="9"/>
        <rFont val="Arial"/>
        <family val="2"/>
      </rPr>
      <t>not</t>
    </r>
    <r>
      <rPr>
        <sz val="9"/>
        <rFont val="Arial"/>
        <family val="2"/>
      </rPr>
      <t xml:space="preserve"> within the pool-specific buffer of a 9% Credit development that has received an award in the last</t>
    </r>
    <r>
      <rPr>
        <b/>
        <sz val="9"/>
        <rFont val="Arial"/>
        <family val="2"/>
      </rPr>
      <t>:</t>
    </r>
  </si>
  <si>
    <r>
      <t xml:space="preserve">a. Powder-based stovetop fire suppression canisters installed above the range cook top, </t>
    </r>
    <r>
      <rPr>
        <b/>
        <sz val="8"/>
        <color rgb="FFFF0000"/>
        <rFont val="Arial"/>
        <family val="2"/>
      </rPr>
      <t>OR</t>
    </r>
  </si>
  <si>
    <t>Proration Method, Cost Allocation Worksheet</t>
  </si>
  <si>
    <t>Proposed HOME/NHTF/CDBG Investment, Determine Units Needed</t>
  </si>
  <si>
    <t>Project Name:</t>
  </si>
  <si>
    <t>Project Address:</t>
  </si>
  <si>
    <t>Date of Review:</t>
  </si>
  <si>
    <t>DCA Fills IN</t>
  </si>
  <si>
    <t>Step 1: Determine Comparability, Select Method of Cost Allocation</t>
  </si>
  <si>
    <t>Gross Residential Sq. Ft.</t>
  </si>
  <si>
    <t>Step 2: Proposed Investment</t>
  </si>
  <si>
    <t>Proposed Investment</t>
  </si>
  <si>
    <t>Step 3: Calculate Actual Cost of Designated Units</t>
  </si>
  <si>
    <t>Total Development Cost</t>
  </si>
  <si>
    <t>Ineligible Development Costs</t>
  </si>
  <si>
    <t>Relocation Costs</t>
  </si>
  <si>
    <t>Assign Relocation Exclusively to HOME Units?</t>
  </si>
  <si>
    <t>Base Project Cost</t>
  </si>
  <si>
    <t>Base Cost/Sq. Ft.</t>
  </si>
  <si>
    <t>HOME Share Ratio - Based on Cost</t>
  </si>
  <si>
    <t>Comparability Test Keys (For Assigning units Below)</t>
  </si>
  <si>
    <t>Autofill with Formula ( do not change)</t>
  </si>
  <si>
    <t>Min. HOME Units</t>
  </si>
  <si>
    <t>Rounded HOME Units</t>
  </si>
  <si>
    <t>Ind. Unit Cost</t>
  </si>
  <si>
    <t>Subtotal HOME Unit Costs</t>
  </si>
  <si>
    <t>Need more Rows? insert more rows if needed - be sure to check gray boxes to makes sure formulas are not affected!!</t>
  </si>
  <si>
    <t>Total Units Needed:</t>
  </si>
  <si>
    <t>Subtotal of HOME Unit Costs</t>
  </si>
  <si>
    <t>Relocation costs allocated exclusively to HOME Units (if applicable)</t>
  </si>
  <si>
    <t>Actual Cost of HOME Units</t>
  </si>
  <si>
    <t>Step 5: Calculate Maximum Project Subsidy</t>
  </si>
  <si>
    <t># of HOME Units</t>
  </si>
  <si>
    <t>Maximum Subsidy/Unit</t>
  </si>
  <si>
    <t>0 Bedroom/Efficiency</t>
  </si>
  <si>
    <t>4 Bedroom</t>
  </si>
  <si>
    <t>5 Bedroom</t>
  </si>
  <si>
    <t>Total:</t>
  </si>
  <si>
    <t>Maximum Project Subsidy</t>
  </si>
  <si>
    <t>Step 6: Maximum HOME Investment, lesser of</t>
  </si>
  <si>
    <t>Proposed Investment (Gap) (from Step 2)</t>
  </si>
  <si>
    <t>Actual Cost of HOME Units (from Step 4)</t>
  </si>
  <si>
    <t>Maximum Project Subsidy (from Step 5)</t>
  </si>
  <si>
    <t>Maximum Investment:</t>
  </si>
  <si>
    <r>
      <rPr>
        <b/>
        <sz val="11"/>
        <rFont val="Arial Narrow"/>
        <family val="2"/>
      </rPr>
      <t>Bathrooms</t>
    </r>
    <r>
      <rPr>
        <sz val="11"/>
        <rFont val="Arial Narrow"/>
        <family val="2"/>
      </rPr>
      <t xml:space="preserve"> 
</t>
    </r>
    <r>
      <rPr>
        <sz val="8"/>
        <rFont val="Arial Narrow"/>
        <family val="2"/>
      </rPr>
      <t>(1.0, 1.5, 2.0, 2.5, 3.0, 3.5, 4.0)</t>
    </r>
  </si>
  <si>
    <r>
      <rPr>
        <b/>
        <sz val="11"/>
        <rFont val="Arial Narrow"/>
        <family val="2"/>
      </rPr>
      <t>Nbr of Bedrooms</t>
    </r>
    <r>
      <rPr>
        <sz val="11"/>
        <rFont val="Arial Narrow"/>
        <family val="2"/>
      </rPr>
      <t xml:space="preserve">
</t>
    </r>
    <r>
      <rPr>
        <sz val="8"/>
        <rFont val="Arial Narrow"/>
        <family val="2"/>
      </rPr>
      <t>(0, 1, 2, 3, 4, 5 BRs)</t>
    </r>
  </si>
  <si>
    <t>Autofilled by Formula
(do not change)</t>
  </si>
  <si>
    <t>Maximum Subsidy by Unit Size
(Nbr of Bedrooms)</t>
  </si>
  <si>
    <t>Unit Size
(Nbr of Bedrooms)</t>
  </si>
  <si>
    <r>
      <t xml:space="preserve">Total Units </t>
    </r>
    <r>
      <rPr>
        <sz val="8"/>
        <rFont val="Arial Narrow"/>
        <family val="2"/>
      </rPr>
      <t>per Type</t>
    </r>
  </si>
  <si>
    <r>
      <rPr>
        <b/>
        <sz val="11"/>
        <rFont val="Arial Narrow"/>
        <family val="2"/>
      </rPr>
      <t xml:space="preserve">Income AMI
</t>
    </r>
    <r>
      <rPr>
        <sz val="11"/>
        <rFont val="Arial Narrow"/>
        <family val="2"/>
      </rPr>
      <t>(%)</t>
    </r>
  </si>
  <si>
    <t>Average Square Footage.</t>
  </si>
  <si>
    <t>Step 4: Assign Units</t>
  </si>
  <si>
    <r>
      <t>►</t>
    </r>
    <r>
      <rPr>
        <u/>
        <sz val="10"/>
        <color theme="1"/>
        <rFont val="Arial Narrow"/>
        <family val="2"/>
      </rPr>
      <t>Beds/Baths</t>
    </r>
    <r>
      <rPr>
        <sz val="10"/>
        <color theme="1"/>
        <rFont val="Arial Narrow"/>
        <family val="2"/>
      </rPr>
      <t>: All units identified have the same number of bedrooms and bathrooms.</t>
    </r>
  </si>
  <si>
    <r>
      <t>►</t>
    </r>
    <r>
      <rPr>
        <u/>
        <sz val="10"/>
        <color theme="1"/>
        <rFont val="Arial Narrow"/>
        <family val="2"/>
      </rPr>
      <t>Configuration</t>
    </r>
    <r>
      <rPr>
        <sz val="10"/>
        <color theme="1"/>
        <rFont val="Arial Narrow"/>
        <family val="2"/>
      </rPr>
      <t>: There are no other obvious differences between the units, such as add'l. rooms or significant differences in layout.</t>
    </r>
  </si>
  <si>
    <r>
      <t>►</t>
    </r>
    <r>
      <rPr>
        <u/>
        <sz val="10"/>
        <color theme="1"/>
        <rFont val="Arial Narrow"/>
        <family val="2"/>
      </rPr>
      <t>Sq. Footage</t>
    </r>
    <r>
      <rPr>
        <sz val="10"/>
        <color theme="1"/>
        <rFont val="Arial Narrow"/>
        <family val="2"/>
      </rPr>
      <t>: All units of this type have square footage within a small variation of the average of this grouping of units.</t>
    </r>
  </si>
  <si>
    <r>
      <t>►</t>
    </r>
    <r>
      <rPr>
        <u/>
        <sz val="10"/>
        <color theme="1"/>
        <rFont val="Arial Narrow"/>
        <family val="2"/>
      </rPr>
      <t>Finishes/Amenities</t>
    </r>
    <r>
      <rPr>
        <sz val="10"/>
        <color theme="1"/>
        <rFont val="Arial Narrow"/>
        <family val="2"/>
      </rPr>
      <t>: All units in this type are substantially similar in terms of unit amenities, fixtures, and finishes.</t>
    </r>
  </si>
  <si>
    <t>MARKET FEASIBILITY (MARKET STUDY)</t>
  </si>
  <si>
    <t>ELIGIBILITY FOR CREDIT UNDER RURAL HOME PRESERVATION SET ASIDE</t>
  </si>
  <si>
    <t>BOND (4%) TAX CREDIT ADDITIONAL THRESHOLD REQUIREMENTS</t>
  </si>
  <si>
    <t xml:space="preserve">   Enriched Property Services HSC</t>
  </si>
  <si>
    <t xml:space="preserve">   Activities Manager</t>
  </si>
  <si>
    <t>Competitive Pool:</t>
  </si>
  <si>
    <t>A. Does Applicant agree?</t>
  </si>
  <si>
    <t>B1.)  Applicant agrees?</t>
  </si>
  <si>
    <t>B2.)  Applicant agrees?</t>
  </si>
  <si>
    <t>B3.)  Applicant agrees?</t>
  </si>
  <si>
    <t>B4.)  Applicant agrees?</t>
  </si>
  <si>
    <t>B5.)  Applicant agrees?</t>
  </si>
  <si>
    <t>Is the appraisal included in this application submission?</t>
  </si>
  <si>
    <r>
      <t xml:space="preserve">Applicant agrees to provide following required </t>
    </r>
    <r>
      <rPr>
        <b/>
        <i/>
        <sz val="8"/>
        <rFont val="Arial"/>
        <family val="2"/>
      </rPr>
      <t>Standard</t>
    </r>
    <r>
      <rPr>
        <sz val="8"/>
        <rFont val="Arial"/>
        <family val="2"/>
      </rPr>
      <t xml:space="preserve"> Site Amenities in conformance with DCA Amenities Guidebook</t>
    </r>
    <r>
      <rPr>
        <sz val="6"/>
        <rFont val="Arial"/>
        <family val="2"/>
      </rPr>
      <t xml:space="preserve"> </t>
    </r>
    <r>
      <rPr>
        <sz val="7"/>
        <rFont val="Arial"/>
        <family val="2"/>
      </rPr>
      <t>(select one in each category)</t>
    </r>
    <r>
      <rPr>
        <sz val="8"/>
        <rFont val="Arial"/>
        <family val="2"/>
      </rPr>
      <t>:</t>
    </r>
  </si>
  <si>
    <r>
      <t xml:space="preserve">Applicant agrees to provide the following required </t>
    </r>
    <r>
      <rPr>
        <b/>
        <i/>
        <sz val="8"/>
        <rFont val="Arial"/>
        <family val="2"/>
      </rPr>
      <t>Additional</t>
    </r>
    <r>
      <rPr>
        <sz val="8"/>
        <rFont val="Arial"/>
        <family val="2"/>
      </rPr>
      <t xml:space="preserve"> Site Amenities to conform with the DCA Amenities Guidebook.  </t>
    </r>
  </si>
  <si>
    <r>
      <t xml:space="preserve">5) Applicant understands that the PNA or work scope must not fail to address any major structural, building code, health, safety, marketing, accessibility, storm water retention, crawl space moisture, or other building system issue  </t>
    </r>
    <r>
      <rPr>
        <b/>
        <u/>
        <sz val="8"/>
        <rFont val="Arial"/>
        <family val="2"/>
      </rPr>
      <t>Applicant agrees?</t>
    </r>
  </si>
  <si>
    <t>Is Conceptual Site Development Plan included in application and has it been prepared in accordance with all instructions set forth in the DCA Architectural Manual, Appendix II: Submission Requirements?</t>
  </si>
  <si>
    <t xml:space="preserve">Did the Certifying Entity meet the experience requirement in 2019? </t>
  </si>
  <si>
    <t>Nonprofit Federal Tax Exempt Qualification Status</t>
  </si>
  <si>
    <t xml:space="preserve">a) </t>
  </si>
  <si>
    <t>Has Applicant included a DCA relocation survey specifically addressing the development history and occupancy of the proposed project?</t>
  </si>
  <si>
    <t xml:space="preserve">Are any of the other sources (not DCA HOME) considered to be Federal Funding? </t>
  </si>
  <si>
    <t>Resident Feedback on Existing Subsidized Housing</t>
  </si>
  <si>
    <t>MIXED INCOME DEVELOPMENTS</t>
  </si>
  <si>
    <t>COMPLIANCE PERFORMANCE</t>
  </si>
  <si>
    <t>PHASED DEVELOPMENT</t>
  </si>
  <si>
    <t>Community Transportation Options</t>
  </si>
  <si>
    <t>Enriched Property Services</t>
  </si>
  <si>
    <t>Stable Communities</t>
  </si>
  <si>
    <t>Application will make the income averaging minimum set-aside election, and does not include market rate units.</t>
  </si>
  <si>
    <t>XII</t>
  </si>
  <si>
    <t>Phased Development</t>
  </si>
  <si>
    <t>Previous Projects</t>
  </si>
  <si>
    <r>
      <t xml:space="preserve">Complete this section using results from completed current DCA Desirable/Undesirable Certification form.  Submit this completed form </t>
    </r>
    <r>
      <rPr>
        <b/>
        <u/>
        <sz val="8"/>
        <color rgb="FFFF0000"/>
        <rFont val="Arial Narrow"/>
        <family val="2"/>
      </rPr>
      <t xml:space="preserve">in </t>
    </r>
    <r>
      <rPr>
        <b/>
        <i/>
        <u/>
        <sz val="8"/>
        <color rgb="FFFF0000"/>
        <rFont val="Arial Narrow"/>
        <family val="2"/>
      </rPr>
      <t>both</t>
    </r>
    <r>
      <rPr>
        <b/>
        <u/>
        <sz val="8"/>
        <color rgb="FFFF0000"/>
        <rFont val="Arial Narrow"/>
        <family val="2"/>
      </rPr>
      <t xml:space="preserve"> Excel and signed PDF</t>
    </r>
    <r>
      <rPr>
        <b/>
        <sz val="8"/>
        <color rgb="FFFF0000"/>
        <rFont val="Arial Narrow"/>
        <family val="2"/>
      </rPr>
      <t>, where indicated in Tabs Checklist.</t>
    </r>
  </si>
  <si>
    <t>Program is best categorized as:</t>
  </si>
  <si>
    <r>
      <t xml:space="preserve">Applicants are </t>
    </r>
    <r>
      <rPr>
        <i/>
        <u/>
        <sz val="8"/>
        <rFont val="Arial"/>
        <family val="2"/>
      </rPr>
      <t>ineligible</t>
    </r>
    <r>
      <rPr>
        <sz val="8"/>
        <rFont val="Arial"/>
        <family val="2"/>
      </rPr>
      <t xml:space="preserve"> to claim points in either Scoring Sections VII. Revitalization/ Redevelopment Plans or VIII. Community Transformation if claiming points in either Scoring Sections VI. Place-Based Opportunity or IX. Stable Communities.</t>
    </r>
  </si>
  <si>
    <t>Site Census Tract Number entered:</t>
  </si>
  <si>
    <t>13001950100</t>
  </si>
  <si>
    <t>Certifying General Partner</t>
  </si>
  <si>
    <t>Certifying Developer</t>
  </si>
  <si>
    <t>Certifying GP/Developer</t>
  </si>
  <si>
    <t>Incomplete</t>
  </si>
  <si>
    <t>Probationary Certifying GP</t>
  </si>
  <si>
    <t>Probationary Certifying Developer</t>
  </si>
  <si>
    <t>Certifying Principal</t>
  </si>
  <si>
    <t>XIII</t>
  </si>
  <si>
    <t>2019 MTSP</t>
  </si>
  <si>
    <t>b)  Was the Nonprofit awarded points in this category in the 2018 or 2019 competitive round?</t>
  </si>
  <si>
    <t>Effective Date of the appraisal:</t>
  </si>
  <si>
    <r>
      <t xml:space="preserve">For </t>
    </r>
    <r>
      <rPr>
        <b/>
        <sz val="8"/>
        <rFont val="Arial"/>
        <family val="2"/>
      </rPr>
      <t>9</t>
    </r>
    <r>
      <rPr>
        <sz val="8"/>
        <rFont val="Arial"/>
        <family val="2"/>
      </rPr>
      <t xml:space="preserve">% Credit developments, is site control provided through </t>
    </r>
    <r>
      <rPr>
        <sz val="8"/>
        <color rgb="FFFF0000"/>
        <rFont val="Arial"/>
        <family val="2"/>
      </rPr>
      <t>November 30, 2020</t>
    </r>
    <r>
      <rPr>
        <sz val="8"/>
        <rFont val="Arial"/>
        <family val="2"/>
      </rPr>
      <t>?</t>
    </r>
  </si>
  <si>
    <r>
      <t xml:space="preserve">For </t>
    </r>
    <r>
      <rPr>
        <b/>
        <sz val="8"/>
        <rFont val="Arial"/>
        <family val="2"/>
      </rPr>
      <t>4</t>
    </r>
    <r>
      <rPr>
        <sz val="8"/>
        <rFont val="Arial"/>
        <family val="2"/>
      </rPr>
      <t xml:space="preserve">% Credit developments, is site control provided through </t>
    </r>
    <r>
      <rPr>
        <sz val="8"/>
        <color rgb="FFFF0000"/>
        <rFont val="Arial"/>
        <family val="2"/>
      </rPr>
      <t>estimated bond closing date</t>
    </r>
    <r>
      <rPr>
        <sz val="8"/>
        <rFont val="Arial"/>
        <family val="2"/>
      </rPr>
      <t>?</t>
    </r>
  </si>
  <si>
    <t>All applicable DCA accessibility requirements detailed in the 2020 Architectural and Accessibility Manuals?</t>
  </si>
  <si>
    <t>Ground level color photos (taken within 6 months of Application Submission) of proposed property and adjacent surrounding properties and structures are included, numbered, and dated with brief descriptions?</t>
  </si>
  <si>
    <t>C1)</t>
  </si>
  <si>
    <t>Are either aerial color photographs that are no more than six months from the Application date or the most recent online satellite map images showing both approximate boundaries of the subject property and adjacent land uses included in Application?</t>
  </si>
  <si>
    <t>(Must use data from the most current FFIEC census report, published as of January 1, 2020)</t>
  </si>
  <si>
    <t>Line Started</t>
  </si>
  <si>
    <t>Line Finished</t>
  </si>
  <si>
    <t>Total Finished</t>
  </si>
  <si>
    <t>Total Started</t>
  </si>
  <si>
    <t>State
Average</t>
  </si>
  <si>
    <t>Agree/Disagree</t>
  </si>
  <si>
    <t>b)  Three (3) or more points under 2020 Scoring Section V Enriched Property Services?</t>
  </si>
  <si>
    <t>d)  Only one Applicant selected from this defined neighborhood?</t>
  </si>
  <si>
    <t>e)  Applicant is claiming points in Scoring Section VI Place-Based Opportunity?</t>
  </si>
  <si>
    <t>f)  Applicant is claiming points in Scoring Section IX Stable Communities?</t>
  </si>
  <si>
    <r>
      <t xml:space="preserve">CBD has successfully partnered with at least two (2) established </t>
    </r>
    <r>
      <rPr>
        <u/>
        <sz val="8"/>
        <rFont val="Arial"/>
        <family val="2"/>
      </rPr>
      <t>community organizations</t>
    </r>
    <r>
      <rPr>
        <sz val="8"/>
        <rFont val="Arial"/>
        <family val="2"/>
      </rPr>
      <t xml:space="preserve"> (COs) that serve the area around the development (proposed or existing elsewhere in Georgia) in the last two years and can document that these partnerships have measurably improved community or resident outcomes?</t>
    </r>
  </si>
  <si>
    <t>Charter Schl</t>
  </si>
  <si>
    <r>
      <rPr>
        <b/>
        <sz val="8"/>
        <color rgb="FFFF0000"/>
        <rFont val="Arial"/>
        <family val="2"/>
      </rPr>
      <t xml:space="preserve">b) </t>
    </r>
    <r>
      <rPr>
        <b/>
        <sz val="8"/>
        <rFont val="Arial"/>
        <family val="2"/>
      </rPr>
      <t xml:space="preserve"> School Receives 2018 or 2019 “</t>
    </r>
    <r>
      <rPr>
        <b/>
        <i/>
        <u/>
        <sz val="8"/>
        <rFont val="Arial"/>
        <family val="2"/>
      </rPr>
      <t>Beating the Odds</t>
    </r>
    <r>
      <rPr>
        <b/>
        <sz val="8"/>
        <rFont val="Arial"/>
        <family val="2"/>
      </rPr>
      <t>” Designation?</t>
    </r>
  </si>
  <si>
    <r>
      <t xml:space="preserve">Complete </t>
    </r>
    <r>
      <rPr>
        <b/>
        <u/>
        <sz val="8"/>
        <color rgb="FFFF0000"/>
        <rFont val="Arial Narrow"/>
        <family val="2"/>
      </rPr>
      <t>all</t>
    </r>
    <r>
      <rPr>
        <b/>
        <sz val="8"/>
        <color rgb="FFFF0000"/>
        <rFont val="Arial Narrow"/>
        <family val="2"/>
      </rPr>
      <t xml:space="preserve"> blue cells for each school. Leave unused CCRPI cells empty. Sort by grade group.</t>
    </r>
  </si>
  <si>
    <t>Max of 2019 or 2020 Opportunity 360 list from DCA website</t>
  </si>
  <si>
    <t>Applicants in this section are ineligible for points under Section VII. Revitalization/Redevelopment Plans or Section IX. Stable Communities.</t>
  </si>
  <si>
    <r>
      <t xml:space="preserve">Applicants are </t>
    </r>
    <r>
      <rPr>
        <b/>
        <i/>
        <sz val="11"/>
        <color rgb="FFFF0000"/>
        <rFont val="Arial"/>
        <family val="2"/>
      </rPr>
      <t>ineligible</t>
    </r>
    <r>
      <rPr>
        <b/>
        <sz val="11"/>
        <color rgb="FFFF0000"/>
        <rFont val="Arial"/>
        <family val="2"/>
      </rPr>
      <t xml:space="preserve"> to claim points in either Scoring Sections:
VII. Revitalization/ Redevelopment Plans or 
VIII. Community Transformation 
</t>
    </r>
    <r>
      <rPr>
        <b/>
        <i/>
        <u/>
        <sz val="11"/>
        <color rgb="FFFF0000"/>
        <rFont val="Arial"/>
        <family val="2"/>
      </rPr>
      <t>if</t>
    </r>
    <r>
      <rPr>
        <b/>
        <sz val="11"/>
        <color rgb="FFFF0000"/>
        <rFont val="Arial"/>
        <family val="2"/>
      </rPr>
      <t xml:space="preserve">
 claiming points in either Scoring Sections 
VI. Place-Based Opportunity or 
IX. Stable Communities.</t>
    </r>
  </si>
  <si>
    <t>&lt;---These blue and yellow boxes are for points, not Y/N.</t>
  </si>
  <si>
    <t>Applicants may claim points in A or B. Applicants claiming points in A may also claim a point in C.</t>
  </si>
  <si>
    <t>b)   Was the PHA awarded points in this category in the 2018 or 2019 competitive round?</t>
  </si>
  <si>
    <t>Rossville/LaFayette</t>
  </si>
  <si>
    <t>Troup County/LaGrange/West Point/Hogansville</t>
  </si>
  <si>
    <t>Current Grad?</t>
  </si>
  <si>
    <t>Communities</t>
  </si>
  <si>
    <t>Alumni Cert Yr</t>
  </si>
  <si>
    <t>n/a - Alumni</t>
  </si>
  <si>
    <t>n/a - Current</t>
  </si>
  <si>
    <t> </t>
  </si>
  <si>
    <r>
      <rPr>
        <sz val="9"/>
        <rFont val="Arial"/>
        <family val="2"/>
      </rPr>
      <t>Equal distribution means the</t>
    </r>
    <r>
      <rPr>
        <sz val="10"/>
        <rFont val="Arial"/>
        <family val="2"/>
      </rPr>
      <t xml:space="preserve"> </t>
    </r>
    <r>
      <rPr>
        <sz val="9"/>
        <color theme="9" tint="-0.499984740745262"/>
        <rFont val="Arial"/>
        <family val="2"/>
      </rPr>
      <t xml:space="preserve">Difference between the Proposed and Exact </t>
    </r>
    <r>
      <rPr>
        <sz val="9"/>
        <rFont val="Arial"/>
        <family val="2"/>
      </rPr>
      <t>units is within 2 units - unless Pre-Approved otherwise by DCA</t>
    </r>
  </si>
  <si>
    <t>(% of BR config Unit Total)</t>
  </si>
  <si>
    <t>2017-2019</t>
  </si>
  <si>
    <t>2018-2019</t>
  </si>
  <si>
    <t>K-5</t>
  </si>
  <si>
    <t>Grades</t>
  </si>
  <si>
    <t>6-8</t>
  </si>
  <si>
    <t>9-12</t>
  </si>
  <si>
    <r>
      <t xml:space="preserve">All District's School Names </t>
    </r>
    <r>
      <rPr>
        <sz val="6"/>
        <rFont val="Arial"/>
        <family val="2"/>
      </rPr>
      <t>per CCRPI</t>
    </r>
  </si>
  <si>
    <t>Spans Grades?</t>
  </si>
  <si>
    <t>UA Building</t>
  </si>
  <si>
    <t>G1)</t>
  </si>
  <si>
    <t>Applicant's due diligence has disclosed an adverse financial impact on pending DCA properties near the proposed site?</t>
  </si>
  <si>
    <r>
      <rPr>
        <b/>
        <sz val="8"/>
        <rFont val="Arial"/>
        <family val="2"/>
      </rPr>
      <t xml:space="preserve">Adverse Financial Impact </t>
    </r>
    <r>
      <rPr>
        <sz val="8"/>
        <rFont val="Arial"/>
        <family val="2"/>
      </rPr>
      <t xml:space="preserve">-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r>
  </si>
  <si>
    <r>
      <t>Pre-Application Number</t>
    </r>
    <r>
      <rPr>
        <sz val="10"/>
        <color rgb="FFFF0000"/>
        <rFont val="Arial Narrow"/>
        <family val="2"/>
      </rPr>
      <t xml:space="preserve"> </t>
    </r>
    <r>
      <rPr>
        <sz val="8"/>
        <color rgb="FFFF0000"/>
        <rFont val="Arial Narrow"/>
        <family val="2"/>
      </rPr>
      <t xml:space="preserve">(REQUIRED)  -  </t>
    </r>
    <r>
      <rPr>
        <b/>
        <u/>
        <sz val="8"/>
        <color rgb="FFFF0000"/>
        <rFont val="Arial Narrow"/>
        <family val="2"/>
      </rPr>
      <t>use format 2020PA-###</t>
    </r>
  </si>
  <si>
    <t>Mandatory Fees Paid By Residents</t>
  </si>
  <si>
    <t>3+ Story Elevator Units</t>
  </si>
  <si>
    <t>3+ Story Elevator Hist Units</t>
  </si>
  <si>
    <t>3+-Story Elevator</t>
  </si>
  <si>
    <t>4% Credit deals:  If an identity of interest exists between the buyer and seller, did seller purchase this property w/in the past three (3) years?</t>
  </si>
  <si>
    <t>9% Credit deals:  If an identity of interest exists between the buyer and seller, did seller purchase this property w/in the past five (5) years?</t>
  </si>
  <si>
    <t>Applicable Minimum Jobs Threshold (from first line in chart above) -- Nbr of Jobs:</t>
  </si>
  <si>
    <t>Project Name used in previous round:</t>
  </si>
  <si>
    <r>
      <rPr>
        <b/>
        <i/>
        <sz val="9"/>
        <rFont val="Arial"/>
        <family val="2"/>
      </rPr>
      <t xml:space="preserve">             </t>
    </r>
    <r>
      <rPr>
        <i/>
        <u/>
        <sz val="9"/>
        <rFont val="Arial"/>
        <family val="2"/>
      </rPr>
      <t>Exact</t>
    </r>
    <r>
      <rPr>
        <sz val="9"/>
        <rFont val="Arial"/>
        <family val="2"/>
      </rPr>
      <t xml:space="preserve"> units needed for equal %</t>
    </r>
  </si>
  <si>
    <r>
      <t xml:space="preserve">             Diff between Proposed &amp; </t>
    </r>
    <r>
      <rPr>
        <i/>
        <u/>
        <sz val="9"/>
        <color theme="9" tint="-0.499984740745262"/>
        <rFont val="Arial"/>
        <family val="2"/>
      </rPr>
      <t>Exact</t>
    </r>
  </si>
  <si>
    <r>
      <t xml:space="preserve">Tax Credit PROJECT MAXIMUM - </t>
    </r>
    <r>
      <rPr>
        <sz val="10"/>
        <rFont val="Arial Narrow"/>
        <family val="2"/>
      </rPr>
      <t>Lower of Basis Method, Gap Method or DCA Limit:</t>
    </r>
  </si>
  <si>
    <r>
      <t xml:space="preserve">Tax Credit REQUEST - </t>
    </r>
    <r>
      <rPr>
        <sz val="10"/>
        <rFont val="Arial Narrow"/>
        <family val="2"/>
      </rPr>
      <t>Cannot exceed Tax Credit Project Maximum, but may be lower:</t>
    </r>
  </si>
  <si>
    <r>
      <t>Tax Credit ALLOCATION -</t>
    </r>
    <r>
      <rPr>
        <b/>
        <sz val="10"/>
        <rFont val="Arial Narrow"/>
        <family val="2"/>
      </rPr>
      <t xml:space="preserve"> </t>
    </r>
    <r>
      <rPr>
        <sz val="10"/>
        <rFont val="Arial Narrow"/>
        <family val="2"/>
      </rPr>
      <t>Lower of Tax Credit Request and Tax Credit Project Maximum</t>
    </r>
  </si>
  <si>
    <t xml:space="preserve">
NOTE TO APPLICANTS: 
If the numbers compiled in this Summary do not appear to match what was entered in the Rent Chart above, please verify that all applicable columns were completed in the rows used in the Rent Chart above.</t>
  </si>
  <si>
    <t>Applicant agrees to provide a Healthy Eating Initiative, as defined in the QAP, at the proposed project that includes both 1 and 2 below?</t>
  </si>
  <si>
    <t>1a)</t>
  </si>
  <si>
    <t>2a)</t>
  </si>
  <si>
    <t>b)   Utilize a nearby water source?</t>
  </si>
  <si>
    <t>c)   Be accessible to all residents?</t>
  </si>
  <si>
    <t>d)   Be surrounded on all sides with fence of weatherproof construction?</t>
  </si>
  <si>
    <t>a)   Have a minimum planting area of at least 400 square feet?</t>
  </si>
  <si>
    <t>e)   Meet the additional criteria outlined in DCA’s Architectural Manual – Amenities Guidebook?</t>
  </si>
  <si>
    <t>The Applicant agrees to ensure that the basic organization and management of the garden is maintained?</t>
  </si>
  <si>
    <t>Nonprofit Setaside selection:</t>
  </si>
  <si>
    <t>This Project submitted in previous round?</t>
  </si>
  <si>
    <t>If Yes, please provide the following information for project submitted in previous round:</t>
  </si>
  <si>
    <r>
      <rPr>
        <b/>
        <u/>
        <sz val="10"/>
        <rFont val="Arial"/>
        <family val="2"/>
      </rPr>
      <t>Efficiency</t>
    </r>
    <r>
      <rPr>
        <sz val="10"/>
        <rFont val="Arial"/>
        <family val="2"/>
      </rPr>
      <t xml:space="preserve"> Units:</t>
    </r>
  </si>
  <si>
    <t>if more than one rent amount for efficiency Low HOME unit, list each separately</t>
  </si>
  <si>
    <t>Be sure each low income unit is addressed below; copy from below and insert/paste above to add more units with more bedrooms or different rents.  Delete AMI sections that don't apply, as well as this red line.</t>
  </si>
  <si>
    <r>
      <rPr>
        <b/>
        <u/>
        <sz val="10"/>
        <rFont val="Arial"/>
        <family val="2"/>
      </rPr>
      <t>Four</t>
    </r>
    <r>
      <rPr>
        <sz val="10"/>
        <rFont val="Arial"/>
        <family val="2"/>
      </rPr>
      <t xml:space="preserve"> Bedroom Units:</t>
    </r>
  </si>
  <si>
    <t>if more than one rent amount for four bedroom Low HOME unit, list each separately</t>
  </si>
  <si>
    <t>Square Footage</t>
  </si>
  <si>
    <r>
      <t xml:space="preserve">Subject to section 2.05, the following number and types of Units are restricted to families and individuals with an Annual Income of </t>
    </r>
    <r>
      <rPr>
        <b/>
        <sz val="12"/>
        <color rgb="FFFF0000"/>
        <rFont val="Arial"/>
        <family val="2"/>
      </rPr>
      <t>50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</si>
  <si>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20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</si>
  <si>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30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</si>
  <si>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40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</si>
  <si>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60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</si>
  <si>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70</t>
    </r>
    <r>
      <rPr>
        <b/>
        <sz val="12"/>
        <rFont val="Arial"/>
        <family val="2"/>
      </rPr>
      <t>%</t>
    </r>
    <r>
      <rPr>
        <sz val="10"/>
        <rFont val="Arial"/>
        <family val="2"/>
      </rPr>
      <t xml:space="preserve"> or less of AMI and are subject to the following rent restrictions:</t>
    </r>
  </si>
  <si>
    <r>
      <t xml:space="preserve">Subject to section 2.05, the following number and types of Units are restricted to families and individuals with an Annual Income of </t>
    </r>
    <r>
      <rPr>
        <b/>
        <sz val="12"/>
        <color rgb="FFFF0000"/>
        <rFont val="Arial"/>
        <family val="2"/>
      </rPr>
      <t>80</t>
    </r>
    <r>
      <rPr>
        <b/>
        <sz val="12"/>
        <rFont val="Arial"/>
        <family val="2"/>
      </rPr>
      <t>%</t>
    </r>
    <r>
      <rPr>
        <sz val="10"/>
        <rFont val="Arial"/>
        <family val="2"/>
      </rPr>
      <t xml:space="preserve"> or less of AMI and are subject to the following rent restrictions:</t>
    </r>
  </si>
  <si>
    <t>13001950200</t>
  </si>
  <si>
    <t>13001950300</t>
  </si>
  <si>
    <t>13001950400</t>
  </si>
  <si>
    <t>13001950500</t>
  </si>
  <si>
    <t>13003960100</t>
  </si>
  <si>
    <t>13003960200</t>
  </si>
  <si>
    <t>13003960300</t>
  </si>
  <si>
    <t>13005970100</t>
  </si>
  <si>
    <t>13005970201</t>
  </si>
  <si>
    <t>13005970202</t>
  </si>
  <si>
    <t>13007960100</t>
  </si>
  <si>
    <t>13007960200</t>
  </si>
  <si>
    <t>13009970100</t>
  </si>
  <si>
    <t>13009970200</t>
  </si>
  <si>
    <t>13009970300</t>
  </si>
  <si>
    <t>13009970400</t>
  </si>
  <si>
    <t>13009970500</t>
  </si>
  <si>
    <t>13009970600</t>
  </si>
  <si>
    <t>13009970701</t>
  </si>
  <si>
    <t>13009970702</t>
  </si>
  <si>
    <t>13009970800</t>
  </si>
  <si>
    <t>13011970100</t>
  </si>
  <si>
    <t>13011970200</t>
  </si>
  <si>
    <t>13011970300</t>
  </si>
  <si>
    <t>13011970400</t>
  </si>
  <si>
    <t>13013180103</t>
  </si>
  <si>
    <t>13013180104</t>
  </si>
  <si>
    <t>13013180105</t>
  </si>
  <si>
    <t>13013180106</t>
  </si>
  <si>
    <t>13013180107</t>
  </si>
  <si>
    <t>13013180108</t>
  </si>
  <si>
    <t>13013180203</t>
  </si>
  <si>
    <t>13013180204</t>
  </si>
  <si>
    <t>13013180205</t>
  </si>
  <si>
    <t>13013180206</t>
  </si>
  <si>
    <t>13013180301</t>
  </si>
  <si>
    <t>13013180302</t>
  </si>
  <si>
    <t>13013180303</t>
  </si>
  <si>
    <t>13013180401</t>
  </si>
  <si>
    <t>13013180402</t>
  </si>
  <si>
    <t>13013180501</t>
  </si>
  <si>
    <t>13013180502</t>
  </si>
  <si>
    <t>13013180503</t>
  </si>
  <si>
    <t>13015960101</t>
  </si>
  <si>
    <t>13015960102</t>
  </si>
  <si>
    <t>13015960200</t>
  </si>
  <si>
    <t>13015960300</t>
  </si>
  <si>
    <t>13015960401</t>
  </si>
  <si>
    <t>13015960402</t>
  </si>
  <si>
    <t>13015960500</t>
  </si>
  <si>
    <t>13015960600</t>
  </si>
  <si>
    <t>13015960700</t>
  </si>
  <si>
    <t>13015960801</t>
  </si>
  <si>
    <t>13015960802</t>
  </si>
  <si>
    <t>13015960803</t>
  </si>
  <si>
    <t>13015960901</t>
  </si>
  <si>
    <t>13015960902</t>
  </si>
  <si>
    <t>13015961000</t>
  </si>
  <si>
    <t>13017960100</t>
  </si>
  <si>
    <t>13017960200</t>
  </si>
  <si>
    <t>13017960300</t>
  </si>
  <si>
    <t>13017960400</t>
  </si>
  <si>
    <t>13017960500</t>
  </si>
  <si>
    <t>13019970100</t>
  </si>
  <si>
    <t>13019970200</t>
  </si>
  <si>
    <t>13019970300</t>
  </si>
  <si>
    <t>13019970400</t>
  </si>
  <si>
    <t>13019970500</t>
  </si>
  <si>
    <t>13019970600</t>
  </si>
  <si>
    <t>13021010100</t>
  </si>
  <si>
    <t>13021010200</t>
  </si>
  <si>
    <t>13021010300</t>
  </si>
  <si>
    <t>13021010400</t>
  </si>
  <si>
    <t>13021010500</t>
  </si>
  <si>
    <t>13021010800</t>
  </si>
  <si>
    <t>13021011000</t>
  </si>
  <si>
    <t>13021011100</t>
  </si>
  <si>
    <t>13021011500</t>
  </si>
  <si>
    <t>13021011701</t>
  </si>
  <si>
    <t>13021011702</t>
  </si>
  <si>
    <t>13021011800</t>
  </si>
  <si>
    <t>13021011900</t>
  </si>
  <si>
    <t>13021012000</t>
  </si>
  <si>
    <t>13021012101</t>
  </si>
  <si>
    <t>13021012102</t>
  </si>
  <si>
    <t>13021012200</t>
  </si>
  <si>
    <t>13021012300</t>
  </si>
  <si>
    <t>13021012400</t>
  </si>
  <si>
    <t>13021012500</t>
  </si>
  <si>
    <t>13021012600</t>
  </si>
  <si>
    <t>13021012700</t>
  </si>
  <si>
    <t>13021012800</t>
  </si>
  <si>
    <t>13021012900</t>
  </si>
  <si>
    <t>13021013101</t>
  </si>
  <si>
    <t>13021013102</t>
  </si>
  <si>
    <t>13021013201</t>
  </si>
  <si>
    <t>13021013202</t>
  </si>
  <si>
    <t>13021013302</t>
  </si>
  <si>
    <t>13021013407</t>
  </si>
  <si>
    <t>13021013408</t>
  </si>
  <si>
    <t>13021013409</t>
  </si>
  <si>
    <t>13021013410</t>
  </si>
  <si>
    <t>13021013411</t>
  </si>
  <si>
    <t>13021013502</t>
  </si>
  <si>
    <t>13021013503</t>
  </si>
  <si>
    <t>13021013504</t>
  </si>
  <si>
    <t>13021013603</t>
  </si>
  <si>
    <t>13021013604</t>
  </si>
  <si>
    <t>13021013605</t>
  </si>
  <si>
    <t>13021013606</t>
  </si>
  <si>
    <t>13021013700</t>
  </si>
  <si>
    <t>13021013800</t>
  </si>
  <si>
    <t>13021013900</t>
  </si>
  <si>
    <t>13023790100</t>
  </si>
  <si>
    <t>13023790200</t>
  </si>
  <si>
    <t>13023790300</t>
  </si>
  <si>
    <t>13025960100</t>
  </si>
  <si>
    <t>13025960200</t>
  </si>
  <si>
    <t>13025960300</t>
  </si>
  <si>
    <t>13027960200</t>
  </si>
  <si>
    <t>13027960300</t>
  </si>
  <si>
    <t>13027960400</t>
  </si>
  <si>
    <t>13027960500</t>
  </si>
  <si>
    <t>13027960600</t>
  </si>
  <si>
    <t>13029920101</t>
  </si>
  <si>
    <t>13029920102</t>
  </si>
  <si>
    <t>13029920301</t>
  </si>
  <si>
    <t>13029920303</t>
  </si>
  <si>
    <t>13029920305</t>
  </si>
  <si>
    <t>13029920306</t>
  </si>
  <si>
    <t>13029980000</t>
  </si>
  <si>
    <t>13031110100</t>
  </si>
  <si>
    <t>13031110200</t>
  </si>
  <si>
    <t>13031110300</t>
  </si>
  <si>
    <t>13031110401</t>
  </si>
  <si>
    <t>13031110403</t>
  </si>
  <si>
    <t>13031110404</t>
  </si>
  <si>
    <t>13031110500</t>
  </si>
  <si>
    <t>13031110601</t>
  </si>
  <si>
    <t>13031110602</t>
  </si>
  <si>
    <t>13031110700</t>
  </si>
  <si>
    <t>13031110800</t>
  </si>
  <si>
    <t>13031110900</t>
  </si>
  <si>
    <t>13033950100</t>
  </si>
  <si>
    <t>13033950200</t>
  </si>
  <si>
    <t>13033950400</t>
  </si>
  <si>
    <t>13033950500</t>
  </si>
  <si>
    <t>13033950700</t>
  </si>
  <si>
    <t>13033950900</t>
  </si>
  <si>
    <t>13035150100</t>
  </si>
  <si>
    <t>13035150200</t>
  </si>
  <si>
    <t>13035150300</t>
  </si>
  <si>
    <t>13037950100</t>
  </si>
  <si>
    <t>13037950200</t>
  </si>
  <si>
    <t>13039010100</t>
  </si>
  <si>
    <t>13039010200</t>
  </si>
  <si>
    <t>13039010301</t>
  </si>
  <si>
    <t>13039010302</t>
  </si>
  <si>
    <t>13039010401</t>
  </si>
  <si>
    <t>13039010402</t>
  </si>
  <si>
    <t>13039010403</t>
  </si>
  <si>
    <t>13039010500</t>
  </si>
  <si>
    <t>13039010601</t>
  </si>
  <si>
    <t>13039010602</t>
  </si>
  <si>
    <t>13039990000</t>
  </si>
  <si>
    <t>13043950100</t>
  </si>
  <si>
    <t>13043950200</t>
  </si>
  <si>
    <t>13043950300</t>
  </si>
  <si>
    <t>13045910101</t>
  </si>
  <si>
    <t>13045910103</t>
  </si>
  <si>
    <t>13045910104</t>
  </si>
  <si>
    <t>13045910200</t>
  </si>
  <si>
    <t>13045910300</t>
  </si>
  <si>
    <t>13045910400</t>
  </si>
  <si>
    <t>13045910501</t>
  </si>
  <si>
    <t>13045910502</t>
  </si>
  <si>
    <t>13045910600</t>
  </si>
  <si>
    <t>13045910701</t>
  </si>
  <si>
    <t>13045910702</t>
  </si>
  <si>
    <t>13045910703</t>
  </si>
  <si>
    <t>13045910800</t>
  </si>
  <si>
    <t>13045910900</t>
  </si>
  <si>
    <t>13045911000</t>
  </si>
  <si>
    <t>13045911100</t>
  </si>
  <si>
    <t>13045911200</t>
  </si>
  <si>
    <t>13047030100</t>
  </si>
  <si>
    <t>13047030201</t>
  </si>
  <si>
    <t>13047030202</t>
  </si>
  <si>
    <t>13047030301</t>
  </si>
  <si>
    <t>13047030303</t>
  </si>
  <si>
    <t>13047030304</t>
  </si>
  <si>
    <t>13047030401</t>
  </si>
  <si>
    <t>13047030402</t>
  </si>
  <si>
    <t>13047030500</t>
  </si>
  <si>
    <t>13047030600</t>
  </si>
  <si>
    <t>13047030700</t>
  </si>
  <si>
    <t>13049010100</t>
  </si>
  <si>
    <t>13049010200</t>
  </si>
  <si>
    <t>13051000100</t>
  </si>
  <si>
    <t>13051000300</t>
  </si>
  <si>
    <t>13051000601</t>
  </si>
  <si>
    <t>13051000900</t>
  </si>
  <si>
    <t>13051001100</t>
  </si>
  <si>
    <t>13051001200</t>
  </si>
  <si>
    <t>13051001500</t>
  </si>
  <si>
    <t>13051002000</t>
  </si>
  <si>
    <t>13051002100</t>
  </si>
  <si>
    <t>13051002200</t>
  </si>
  <si>
    <t>13051002300</t>
  </si>
  <si>
    <t>13051002600</t>
  </si>
  <si>
    <t>13051002700</t>
  </si>
  <si>
    <t>13051002800</t>
  </si>
  <si>
    <t>13051002900</t>
  </si>
  <si>
    <t>13051003000</t>
  </si>
  <si>
    <t>13051003301</t>
  </si>
  <si>
    <t>13051003302</t>
  </si>
  <si>
    <t>13051003400</t>
  </si>
  <si>
    <t>13051003501</t>
  </si>
  <si>
    <t>13051003502</t>
  </si>
  <si>
    <t>13051003601</t>
  </si>
  <si>
    <t>13051003602</t>
  </si>
  <si>
    <t>13051003700</t>
  </si>
  <si>
    <t>13051003800</t>
  </si>
  <si>
    <t>13051003900</t>
  </si>
  <si>
    <t>13051004001</t>
  </si>
  <si>
    <t>13051004002</t>
  </si>
  <si>
    <t>13051004100</t>
  </si>
  <si>
    <t>13051004207</t>
  </si>
  <si>
    <t>13051004208</t>
  </si>
  <si>
    <t>13051004209</t>
  </si>
  <si>
    <t>13051004210</t>
  </si>
  <si>
    <t>13051004211</t>
  </si>
  <si>
    <t>13051004212</t>
  </si>
  <si>
    <t>13051004300</t>
  </si>
  <si>
    <t>13051004400</t>
  </si>
  <si>
    <t>13051004500</t>
  </si>
  <si>
    <t>13051010101</t>
  </si>
  <si>
    <t>13051010102</t>
  </si>
  <si>
    <t>13051010200</t>
  </si>
  <si>
    <t>13051010501</t>
  </si>
  <si>
    <t>13051010502</t>
  </si>
  <si>
    <t>13051010601</t>
  </si>
  <si>
    <t>13051010603</t>
  </si>
  <si>
    <t>13051010605</t>
  </si>
  <si>
    <t>13051010700</t>
  </si>
  <si>
    <t>13051010801</t>
  </si>
  <si>
    <t>13051010802</t>
  </si>
  <si>
    <t>13051010803</t>
  </si>
  <si>
    <t>13051010806</t>
  </si>
  <si>
    <t>13051010807</t>
  </si>
  <si>
    <t>13051010808</t>
  </si>
  <si>
    <t>13051010809</t>
  </si>
  <si>
    <t>13051010901</t>
  </si>
  <si>
    <t>13051011003</t>
  </si>
  <si>
    <t>13051011004</t>
  </si>
  <si>
    <t>13051011005</t>
  </si>
  <si>
    <t>13051011006</t>
  </si>
  <si>
    <t>13051011103</t>
  </si>
  <si>
    <t>13051011104</t>
  </si>
  <si>
    <t>13051011106</t>
  </si>
  <si>
    <t>13051011107</t>
  </si>
  <si>
    <t>13051011108</t>
  </si>
  <si>
    <t>13051011109</t>
  </si>
  <si>
    <t>13051011200</t>
  </si>
  <si>
    <t>13051011300</t>
  </si>
  <si>
    <t>13051011400</t>
  </si>
  <si>
    <t>13051011500</t>
  </si>
  <si>
    <t>13051011600</t>
  </si>
  <si>
    <t>13051980000</t>
  </si>
  <si>
    <t>13051990000</t>
  </si>
  <si>
    <t>13053020100</t>
  </si>
  <si>
    <t>13053020201</t>
  </si>
  <si>
    <t>13053020203</t>
  </si>
  <si>
    <t>13053020205</t>
  </si>
  <si>
    <t>13053020206</t>
  </si>
  <si>
    <t>13055010100</t>
  </si>
  <si>
    <t>13055010200</t>
  </si>
  <si>
    <t>13055010300</t>
  </si>
  <si>
    <t>13055010400</t>
  </si>
  <si>
    <t>13055010500</t>
  </si>
  <si>
    <t>13055010600</t>
  </si>
  <si>
    <t>13057090100</t>
  </si>
  <si>
    <t>13057090200</t>
  </si>
  <si>
    <t>13057090300</t>
  </si>
  <si>
    <t>13057090400</t>
  </si>
  <si>
    <t>13057090501</t>
  </si>
  <si>
    <t>13057090502</t>
  </si>
  <si>
    <t>13057090601</t>
  </si>
  <si>
    <t>13057090602</t>
  </si>
  <si>
    <t>13057090701</t>
  </si>
  <si>
    <t>13057090702</t>
  </si>
  <si>
    <t>13057090802</t>
  </si>
  <si>
    <t>13057090803</t>
  </si>
  <si>
    <t>13057090804</t>
  </si>
  <si>
    <t>13057090901</t>
  </si>
  <si>
    <t>13057090902</t>
  </si>
  <si>
    <t>13057090904</t>
  </si>
  <si>
    <t>13057090905</t>
  </si>
  <si>
    <t>13057091001</t>
  </si>
  <si>
    <t>13057091003</t>
  </si>
  <si>
    <t>13057091005</t>
  </si>
  <si>
    <t>13057091006</t>
  </si>
  <si>
    <t>13057091007</t>
  </si>
  <si>
    <t>13057091008</t>
  </si>
  <si>
    <t>13057091101</t>
  </si>
  <si>
    <t>13057091102</t>
  </si>
  <si>
    <t>13057091103</t>
  </si>
  <si>
    <t>13059000100</t>
  </si>
  <si>
    <t>13059000401</t>
  </si>
  <si>
    <t>13059000402</t>
  </si>
  <si>
    <t>13059000600</t>
  </si>
  <si>
    <t>13059000900</t>
  </si>
  <si>
    <t>13059001200</t>
  </si>
  <si>
    <t>13059001700</t>
  </si>
  <si>
    <t>13059001800</t>
  </si>
  <si>
    <t>13059001900</t>
  </si>
  <si>
    <t>13059002000</t>
  </si>
  <si>
    <t>13059002100</t>
  </si>
  <si>
    <t>13059002200</t>
  </si>
  <si>
    <t>13059030100</t>
  </si>
  <si>
    <t>13059030200</t>
  </si>
  <si>
    <t>13059130300</t>
  </si>
  <si>
    <t>13059130400</t>
  </si>
  <si>
    <t>13059130500</t>
  </si>
  <si>
    <t>13059130600</t>
  </si>
  <si>
    <t>13059130700</t>
  </si>
  <si>
    <t>13059140300</t>
  </si>
  <si>
    <t>13059140400</t>
  </si>
  <si>
    <t>13059140500</t>
  </si>
  <si>
    <t>13059140600</t>
  </si>
  <si>
    <t>13059150300</t>
  </si>
  <si>
    <t>13059150400</t>
  </si>
  <si>
    <t>13059150500</t>
  </si>
  <si>
    <t>13059150600</t>
  </si>
  <si>
    <t>13059150700</t>
  </si>
  <si>
    <t>13059150800</t>
  </si>
  <si>
    <t>13059150900</t>
  </si>
  <si>
    <t>13061960300</t>
  </si>
  <si>
    <t>13063040202</t>
  </si>
  <si>
    <t>13063040203</t>
  </si>
  <si>
    <t>13063040204</t>
  </si>
  <si>
    <t>13063040302</t>
  </si>
  <si>
    <t>13063040303</t>
  </si>
  <si>
    <t>13063040306</t>
  </si>
  <si>
    <t>13063040307</t>
  </si>
  <si>
    <t>13063040308</t>
  </si>
  <si>
    <t>13063040407</t>
  </si>
  <si>
    <t>13063040408</t>
  </si>
  <si>
    <t>13063040409</t>
  </si>
  <si>
    <t>13063040410</t>
  </si>
  <si>
    <t>13063040411</t>
  </si>
  <si>
    <t>13063040412</t>
  </si>
  <si>
    <t>13063040413</t>
  </si>
  <si>
    <t>13063040414</t>
  </si>
  <si>
    <t>13063040415</t>
  </si>
  <si>
    <t>13063040416</t>
  </si>
  <si>
    <t>13063040417</t>
  </si>
  <si>
    <t>13063040509</t>
  </si>
  <si>
    <t>13063040510</t>
  </si>
  <si>
    <t>13063040512</t>
  </si>
  <si>
    <t>13063040513</t>
  </si>
  <si>
    <t>13063040514</t>
  </si>
  <si>
    <t>13063040515</t>
  </si>
  <si>
    <t>13063040516</t>
  </si>
  <si>
    <t>13063040518</t>
  </si>
  <si>
    <t>13063040519</t>
  </si>
  <si>
    <t>13063040520</t>
  </si>
  <si>
    <t>13063040521</t>
  </si>
  <si>
    <t>13063040522</t>
  </si>
  <si>
    <t>13063040523</t>
  </si>
  <si>
    <t>13063040524</t>
  </si>
  <si>
    <t>13063040525</t>
  </si>
  <si>
    <t>13063040526</t>
  </si>
  <si>
    <t>13063040606</t>
  </si>
  <si>
    <t>13063040608</t>
  </si>
  <si>
    <t>13063040609</t>
  </si>
  <si>
    <t>13063040611</t>
  </si>
  <si>
    <t>13063040612</t>
  </si>
  <si>
    <t>13063040613</t>
  </si>
  <si>
    <t>13063040614</t>
  </si>
  <si>
    <t>13063040615</t>
  </si>
  <si>
    <t>13063040616</t>
  </si>
  <si>
    <t>13063040617</t>
  </si>
  <si>
    <t>13063040619</t>
  </si>
  <si>
    <t>13063040620</t>
  </si>
  <si>
    <t>13063040621</t>
  </si>
  <si>
    <t>13063040622</t>
  </si>
  <si>
    <t>13063980000</t>
  </si>
  <si>
    <t>13065970100</t>
  </si>
  <si>
    <t>13065970200</t>
  </si>
  <si>
    <t>13067030101</t>
  </si>
  <si>
    <t>13067030103</t>
  </si>
  <si>
    <t>13067030104</t>
  </si>
  <si>
    <t>13067030106</t>
  </si>
  <si>
    <t>13067030107</t>
  </si>
  <si>
    <t>13067030209</t>
  </si>
  <si>
    <t>13067030214</t>
  </si>
  <si>
    <t>13067030215</t>
  </si>
  <si>
    <t>13067030218</t>
  </si>
  <si>
    <t>13067030219</t>
  </si>
  <si>
    <t>13067030220</t>
  </si>
  <si>
    <t>13067030222</t>
  </si>
  <si>
    <t>13067030223</t>
  </si>
  <si>
    <t>13067030224</t>
  </si>
  <si>
    <t>13067030226</t>
  </si>
  <si>
    <t>13067030227</t>
  </si>
  <si>
    <t>13067030228</t>
  </si>
  <si>
    <t>13067030229</t>
  </si>
  <si>
    <t>13067030230</t>
  </si>
  <si>
    <t>13067030231</t>
  </si>
  <si>
    <t>13067030232</t>
  </si>
  <si>
    <t>13067030233</t>
  </si>
  <si>
    <t>13067030234</t>
  </si>
  <si>
    <t>13067030235</t>
  </si>
  <si>
    <t>13067030236</t>
  </si>
  <si>
    <t>13067030238</t>
  </si>
  <si>
    <t>13067030239</t>
  </si>
  <si>
    <t>13067030310</t>
  </si>
  <si>
    <t>13067030311</t>
  </si>
  <si>
    <t>13067030312</t>
  </si>
  <si>
    <t>13067030313</t>
  </si>
  <si>
    <t>13067030314</t>
  </si>
  <si>
    <t>13067030318</t>
  </si>
  <si>
    <t>13067030319</t>
  </si>
  <si>
    <t>13067030320</t>
  </si>
  <si>
    <t>13067030322</t>
  </si>
  <si>
    <t>13067030324</t>
  </si>
  <si>
    <t>13067030326</t>
  </si>
  <si>
    <t>13067030327</t>
  </si>
  <si>
    <t>13067030328</t>
  </si>
  <si>
    <t>13067030329</t>
  </si>
  <si>
    <t>13067030330</t>
  </si>
  <si>
    <t>13067030331</t>
  </si>
  <si>
    <t>13067030332</t>
  </si>
  <si>
    <t>13067030333</t>
  </si>
  <si>
    <t>13067030334</t>
  </si>
  <si>
    <t>13067030335</t>
  </si>
  <si>
    <t>13067030336</t>
  </si>
  <si>
    <t>13067030337</t>
  </si>
  <si>
    <t>13067030339</t>
  </si>
  <si>
    <t>13067030340</t>
  </si>
  <si>
    <t>13067030341</t>
  </si>
  <si>
    <t>13067030342</t>
  </si>
  <si>
    <t>13067030343</t>
  </si>
  <si>
    <t>13067030344</t>
  </si>
  <si>
    <t>13067030345</t>
  </si>
  <si>
    <t>13067030405</t>
  </si>
  <si>
    <t>13067030407</t>
  </si>
  <si>
    <t>13067030408</t>
  </si>
  <si>
    <t>13067030409</t>
  </si>
  <si>
    <t>13067030410</t>
  </si>
  <si>
    <t>13067030411</t>
  </si>
  <si>
    <t>13067030412</t>
  </si>
  <si>
    <t>13067030413</t>
  </si>
  <si>
    <t>13067030414</t>
  </si>
  <si>
    <t>13067030502</t>
  </si>
  <si>
    <t>13067030504</t>
  </si>
  <si>
    <t>13067030505</t>
  </si>
  <si>
    <t>13067030506</t>
  </si>
  <si>
    <t>13067030507</t>
  </si>
  <si>
    <t>13067030601</t>
  </si>
  <si>
    <t>13067030602</t>
  </si>
  <si>
    <t>13067030700</t>
  </si>
  <si>
    <t>13067030800</t>
  </si>
  <si>
    <t>13067030901</t>
  </si>
  <si>
    <t>13067030902</t>
  </si>
  <si>
    <t>13067030904</t>
  </si>
  <si>
    <t>13067030905</t>
  </si>
  <si>
    <t>13067031001</t>
  </si>
  <si>
    <t>13067031002</t>
  </si>
  <si>
    <t>13067031004</t>
  </si>
  <si>
    <t>13067031005</t>
  </si>
  <si>
    <t>13067031101</t>
  </si>
  <si>
    <t>13067031106</t>
  </si>
  <si>
    <t>13067031108</t>
  </si>
  <si>
    <t>13067031110</t>
  </si>
  <si>
    <t>13067031111</t>
  </si>
  <si>
    <t>13067031112</t>
  </si>
  <si>
    <t>13067031113</t>
  </si>
  <si>
    <t>13067031114</t>
  </si>
  <si>
    <t>13067031115</t>
  </si>
  <si>
    <t>13067031116</t>
  </si>
  <si>
    <t>13067031117</t>
  </si>
  <si>
    <t>13067031118</t>
  </si>
  <si>
    <t>13067031205</t>
  </si>
  <si>
    <t>13067031206</t>
  </si>
  <si>
    <t>13067031207</t>
  </si>
  <si>
    <t>13067031208</t>
  </si>
  <si>
    <t>13067031209</t>
  </si>
  <si>
    <t>13067031211</t>
  </si>
  <si>
    <t>13067031212</t>
  </si>
  <si>
    <t>13067031306</t>
  </si>
  <si>
    <t>13067031307</t>
  </si>
  <si>
    <t>13067031308</t>
  </si>
  <si>
    <t>13067031309</t>
  </si>
  <si>
    <t>13067031310</t>
  </si>
  <si>
    <t>13067031311</t>
  </si>
  <si>
    <t>13067031312</t>
  </si>
  <si>
    <t>13067031313</t>
  </si>
  <si>
    <t>13067031404</t>
  </si>
  <si>
    <t>13067031405</t>
  </si>
  <si>
    <t>13067031406</t>
  </si>
  <si>
    <t>13067031408</t>
  </si>
  <si>
    <t>13067031409</t>
  </si>
  <si>
    <t>13067031503</t>
  </si>
  <si>
    <t>13067031505</t>
  </si>
  <si>
    <t>13067031506</t>
  </si>
  <si>
    <t>13067031507</t>
  </si>
  <si>
    <t>13067031508</t>
  </si>
  <si>
    <t>13067031509</t>
  </si>
  <si>
    <t>13069010100</t>
  </si>
  <si>
    <t>13069010200</t>
  </si>
  <si>
    <t>13069010300</t>
  </si>
  <si>
    <t>13069010400</t>
  </si>
  <si>
    <t>13069010500</t>
  </si>
  <si>
    <t>13069010600</t>
  </si>
  <si>
    <t>13069010700</t>
  </si>
  <si>
    <t>13069010801</t>
  </si>
  <si>
    <t>13069010802</t>
  </si>
  <si>
    <t>13071970100</t>
  </si>
  <si>
    <t>13071970200</t>
  </si>
  <si>
    <t>13071970300</t>
  </si>
  <si>
    <t>13071970400</t>
  </si>
  <si>
    <t>13071970500</t>
  </si>
  <si>
    <t>13071970600</t>
  </si>
  <si>
    <t>13071970701</t>
  </si>
  <si>
    <t>13071970702</t>
  </si>
  <si>
    <t>13071970800</t>
  </si>
  <si>
    <t>13071970900</t>
  </si>
  <si>
    <t>13073030102</t>
  </si>
  <si>
    <t>13073030103</t>
  </si>
  <si>
    <t>13073030105</t>
  </si>
  <si>
    <t>13073030106</t>
  </si>
  <si>
    <t>13073030201</t>
  </si>
  <si>
    <t>13073030202</t>
  </si>
  <si>
    <t>13073030203</t>
  </si>
  <si>
    <t>13073030302</t>
  </si>
  <si>
    <t>13073030304</t>
  </si>
  <si>
    <t>13073030306</t>
  </si>
  <si>
    <t>13073030307</t>
  </si>
  <si>
    <t>13073030308</t>
  </si>
  <si>
    <t>13073030309</t>
  </si>
  <si>
    <t>13073030401</t>
  </si>
  <si>
    <t>13073030402</t>
  </si>
  <si>
    <t>13073030503</t>
  </si>
  <si>
    <t>13073030504</t>
  </si>
  <si>
    <t>13073030505</t>
  </si>
  <si>
    <t>13073030506</t>
  </si>
  <si>
    <t>13073030603</t>
  </si>
  <si>
    <t>13075960100</t>
  </si>
  <si>
    <t>13075960200</t>
  </si>
  <si>
    <t>13075960300</t>
  </si>
  <si>
    <t>13075960400</t>
  </si>
  <si>
    <t>13077170100</t>
  </si>
  <si>
    <t>13077170200</t>
  </si>
  <si>
    <t>13077170303</t>
  </si>
  <si>
    <t>13077170304</t>
  </si>
  <si>
    <t>13077170305</t>
  </si>
  <si>
    <t>13077170306</t>
  </si>
  <si>
    <t>13077170402</t>
  </si>
  <si>
    <t>13077170403</t>
  </si>
  <si>
    <t>13077170404</t>
  </si>
  <si>
    <t>13077170405</t>
  </si>
  <si>
    <t>13077170406</t>
  </si>
  <si>
    <t>13077170501</t>
  </si>
  <si>
    <t>13077170502</t>
  </si>
  <si>
    <t>13077170503</t>
  </si>
  <si>
    <t>13077170601</t>
  </si>
  <si>
    <t>13077170602</t>
  </si>
  <si>
    <t>13077170603</t>
  </si>
  <si>
    <t>13077170700</t>
  </si>
  <si>
    <t>13077170801</t>
  </si>
  <si>
    <t>13077170802</t>
  </si>
  <si>
    <t>13079070100</t>
  </si>
  <si>
    <t>13079070201</t>
  </si>
  <si>
    <t>13079070202</t>
  </si>
  <si>
    <t>13081010100</t>
  </si>
  <si>
    <t>13081010201</t>
  </si>
  <si>
    <t>13081010202</t>
  </si>
  <si>
    <t>13081010300</t>
  </si>
  <si>
    <t>13081010400</t>
  </si>
  <si>
    <t>13081010500</t>
  </si>
  <si>
    <t>13083040101</t>
  </si>
  <si>
    <t>13083040102</t>
  </si>
  <si>
    <t>13083040200</t>
  </si>
  <si>
    <t>13083040300</t>
  </si>
  <si>
    <t>13085970100</t>
  </si>
  <si>
    <t>13085970201</t>
  </si>
  <si>
    <t>13085970202</t>
  </si>
  <si>
    <t>13087970100</t>
  </si>
  <si>
    <t>13087970200</t>
  </si>
  <si>
    <t>13087970300</t>
  </si>
  <si>
    <t>13087970400</t>
  </si>
  <si>
    <t>13087970600</t>
  </si>
  <si>
    <t>13087970700</t>
  </si>
  <si>
    <t>13087970800</t>
  </si>
  <si>
    <t>13089020100</t>
  </si>
  <si>
    <t>13089020200</t>
  </si>
  <si>
    <t>13089020300</t>
  </si>
  <si>
    <t>13089020400</t>
  </si>
  <si>
    <t>13089020500</t>
  </si>
  <si>
    <t>13089020600</t>
  </si>
  <si>
    <t>13089020700</t>
  </si>
  <si>
    <t>13089020801</t>
  </si>
  <si>
    <t>13089020802</t>
  </si>
  <si>
    <t>13089020900</t>
  </si>
  <si>
    <t>13089021101</t>
  </si>
  <si>
    <t>13089021102</t>
  </si>
  <si>
    <t>13089021202</t>
  </si>
  <si>
    <t>13089021204</t>
  </si>
  <si>
    <t>13089021208</t>
  </si>
  <si>
    <t>13089021209</t>
  </si>
  <si>
    <t>13089021210</t>
  </si>
  <si>
    <t>13089021211</t>
  </si>
  <si>
    <t>13089021213</t>
  </si>
  <si>
    <t>13089021214</t>
  </si>
  <si>
    <t>13089021215</t>
  </si>
  <si>
    <t>13089021216</t>
  </si>
  <si>
    <t>13089021217</t>
  </si>
  <si>
    <t>13089021218</t>
  </si>
  <si>
    <t>13089021301</t>
  </si>
  <si>
    <t>13089021303</t>
  </si>
  <si>
    <t>13089021305</t>
  </si>
  <si>
    <t>13089021306</t>
  </si>
  <si>
    <t>13089021307</t>
  </si>
  <si>
    <t>13089021308</t>
  </si>
  <si>
    <t>13089021405</t>
  </si>
  <si>
    <t>13089021409</t>
  </si>
  <si>
    <t>13089021410</t>
  </si>
  <si>
    <t>13089021411</t>
  </si>
  <si>
    <t>13089021412</t>
  </si>
  <si>
    <t>13089021413</t>
  </si>
  <si>
    <t>13089021414</t>
  </si>
  <si>
    <t>13089021415</t>
  </si>
  <si>
    <t>13089021416</t>
  </si>
  <si>
    <t>13089021417</t>
  </si>
  <si>
    <t>13089021502</t>
  </si>
  <si>
    <t>13089021503</t>
  </si>
  <si>
    <t>13089021504</t>
  </si>
  <si>
    <t>13089021602</t>
  </si>
  <si>
    <t>13089021603</t>
  </si>
  <si>
    <t>13089021604</t>
  </si>
  <si>
    <t>13089021605</t>
  </si>
  <si>
    <t>13089021703</t>
  </si>
  <si>
    <t>13089021704</t>
  </si>
  <si>
    <t>13089021705</t>
  </si>
  <si>
    <t>13089021706</t>
  </si>
  <si>
    <t>13089021805</t>
  </si>
  <si>
    <t>13089021806</t>
  </si>
  <si>
    <t>13089021808</t>
  </si>
  <si>
    <t>13089021809</t>
  </si>
  <si>
    <t>13089021810</t>
  </si>
  <si>
    <t>13089021812</t>
  </si>
  <si>
    <t>13089021813</t>
  </si>
  <si>
    <t>13089021814</t>
  </si>
  <si>
    <t>13089021906</t>
  </si>
  <si>
    <t>13089021907</t>
  </si>
  <si>
    <t>13089021908</t>
  </si>
  <si>
    <t>13089021909</t>
  </si>
  <si>
    <t>13089021910</t>
  </si>
  <si>
    <t>13089021911</t>
  </si>
  <si>
    <t>13089021912</t>
  </si>
  <si>
    <t>13089021913</t>
  </si>
  <si>
    <t>13089022001</t>
  </si>
  <si>
    <t>13089022004</t>
  </si>
  <si>
    <t>13089022005</t>
  </si>
  <si>
    <t>13089022007</t>
  </si>
  <si>
    <t>13089022008</t>
  </si>
  <si>
    <t>13089022009</t>
  </si>
  <si>
    <t>13089022010</t>
  </si>
  <si>
    <t>13089022100</t>
  </si>
  <si>
    <t>13089022203</t>
  </si>
  <si>
    <t>13089022204</t>
  </si>
  <si>
    <t>13089022301</t>
  </si>
  <si>
    <t>13089022302</t>
  </si>
  <si>
    <t>13089022401</t>
  </si>
  <si>
    <t>13089022402</t>
  </si>
  <si>
    <t>13089022403</t>
  </si>
  <si>
    <t>13089022500</t>
  </si>
  <si>
    <t>13089022600</t>
  </si>
  <si>
    <t>13089022700</t>
  </si>
  <si>
    <t>13089022800</t>
  </si>
  <si>
    <t>13089022900</t>
  </si>
  <si>
    <t>13089023000</t>
  </si>
  <si>
    <t>13089023101</t>
  </si>
  <si>
    <t>13089023102</t>
  </si>
  <si>
    <t>13089023107</t>
  </si>
  <si>
    <t>13089023108</t>
  </si>
  <si>
    <t>13089023111</t>
  </si>
  <si>
    <t>13089023112</t>
  </si>
  <si>
    <t>13089023113</t>
  </si>
  <si>
    <t>13089023114</t>
  </si>
  <si>
    <t>13089023115</t>
  </si>
  <si>
    <t>13089023204</t>
  </si>
  <si>
    <t>13089023206</t>
  </si>
  <si>
    <t>13089023208</t>
  </si>
  <si>
    <t>13089023209</t>
  </si>
  <si>
    <t>13089023210</t>
  </si>
  <si>
    <t>13089023211</t>
  </si>
  <si>
    <t>13089023212</t>
  </si>
  <si>
    <t>13089023213</t>
  </si>
  <si>
    <t>13089023214</t>
  </si>
  <si>
    <t>13089023303</t>
  </si>
  <si>
    <t>13089023306</t>
  </si>
  <si>
    <t>13089023309</t>
  </si>
  <si>
    <t>13089023310</t>
  </si>
  <si>
    <t>13089023311</t>
  </si>
  <si>
    <t>13089023312</t>
  </si>
  <si>
    <t>13089023313</t>
  </si>
  <si>
    <t>13089023314</t>
  </si>
  <si>
    <t>13089023315</t>
  </si>
  <si>
    <t>13089023316</t>
  </si>
  <si>
    <t>13089023410</t>
  </si>
  <si>
    <t>13089023411</t>
  </si>
  <si>
    <t>13089023412</t>
  </si>
  <si>
    <t>13089023413</t>
  </si>
  <si>
    <t>13089023414</t>
  </si>
  <si>
    <t>13089023416</t>
  </si>
  <si>
    <t>13089023418</t>
  </si>
  <si>
    <t>13089023419</t>
  </si>
  <si>
    <t>13089023421</t>
  </si>
  <si>
    <t>13089023422</t>
  </si>
  <si>
    <t>13089023423</t>
  </si>
  <si>
    <t>13089023424</t>
  </si>
  <si>
    <t>13089023425</t>
  </si>
  <si>
    <t>13089023426</t>
  </si>
  <si>
    <t>13089023427</t>
  </si>
  <si>
    <t>13089023428</t>
  </si>
  <si>
    <t>13089023501</t>
  </si>
  <si>
    <t>13089023504</t>
  </si>
  <si>
    <t>13089023505</t>
  </si>
  <si>
    <t>13089023506</t>
  </si>
  <si>
    <t>13089023507</t>
  </si>
  <si>
    <t>13089023601</t>
  </si>
  <si>
    <t>13089023602</t>
  </si>
  <si>
    <t>13089023603</t>
  </si>
  <si>
    <t>13089023700</t>
  </si>
  <si>
    <t>13089023801</t>
  </si>
  <si>
    <t>13089023802</t>
  </si>
  <si>
    <t>13089023803</t>
  </si>
  <si>
    <t>13089980000</t>
  </si>
  <si>
    <t>13091960100</t>
  </si>
  <si>
    <t>13091960200</t>
  </si>
  <si>
    <t>13091960300</t>
  </si>
  <si>
    <t>13091960400</t>
  </si>
  <si>
    <t>13091960500</t>
  </si>
  <si>
    <t>13091960600</t>
  </si>
  <si>
    <t>13093970100</t>
  </si>
  <si>
    <t>13093970200</t>
  </si>
  <si>
    <t>13093970300</t>
  </si>
  <si>
    <t>13095000100</t>
  </si>
  <si>
    <t>13095000200</t>
  </si>
  <si>
    <t>13095000400</t>
  </si>
  <si>
    <t>13095000501</t>
  </si>
  <si>
    <t>13095000502</t>
  </si>
  <si>
    <t>13095000600</t>
  </si>
  <si>
    <t>13095000700</t>
  </si>
  <si>
    <t>13095000800</t>
  </si>
  <si>
    <t>13095000900</t>
  </si>
  <si>
    <t>13095001000</t>
  </si>
  <si>
    <t>13095001100</t>
  </si>
  <si>
    <t>13095001403</t>
  </si>
  <si>
    <t>13095001500</t>
  </si>
  <si>
    <t>13095010302</t>
  </si>
  <si>
    <t>13095010401</t>
  </si>
  <si>
    <t>13095010402</t>
  </si>
  <si>
    <t>13095010403</t>
  </si>
  <si>
    <t>13095010500</t>
  </si>
  <si>
    <t>13095010601</t>
  </si>
  <si>
    <t>13095010602</t>
  </si>
  <si>
    <t>13095010700</t>
  </si>
  <si>
    <t>13095010900</t>
  </si>
  <si>
    <t>13095011000</t>
  </si>
  <si>
    <t>13095011200</t>
  </si>
  <si>
    <t>13095011300</t>
  </si>
  <si>
    <t>13095011400</t>
  </si>
  <si>
    <t>13095011600</t>
  </si>
  <si>
    <t>13097080102</t>
  </si>
  <si>
    <t>13097080103</t>
  </si>
  <si>
    <t>13097080201</t>
  </si>
  <si>
    <t>13097080202</t>
  </si>
  <si>
    <t>13097080301</t>
  </si>
  <si>
    <t>13097080303</t>
  </si>
  <si>
    <t>13097080304</t>
  </si>
  <si>
    <t>13097080402</t>
  </si>
  <si>
    <t>13097080403</t>
  </si>
  <si>
    <t>13097080404</t>
  </si>
  <si>
    <t>13097080505</t>
  </si>
  <si>
    <t>13097080506</t>
  </si>
  <si>
    <t>13097080507</t>
  </si>
  <si>
    <t>13097080508</t>
  </si>
  <si>
    <t>13097080509</t>
  </si>
  <si>
    <t>13097080510</t>
  </si>
  <si>
    <t>13097080511</t>
  </si>
  <si>
    <t>13097080602</t>
  </si>
  <si>
    <t>13097080603</t>
  </si>
  <si>
    <t>13097080604</t>
  </si>
  <si>
    <t>13099090100</t>
  </si>
  <si>
    <t>13099090200</t>
  </si>
  <si>
    <t>13099090300</t>
  </si>
  <si>
    <t>13099090400</t>
  </si>
  <si>
    <t>13099090500</t>
  </si>
  <si>
    <t>13101880100</t>
  </si>
  <si>
    <t>13101880200</t>
  </si>
  <si>
    <t>13103030100</t>
  </si>
  <si>
    <t>13103030202</t>
  </si>
  <si>
    <t>13103030203</t>
  </si>
  <si>
    <t>13103030204</t>
  </si>
  <si>
    <t>13103030301</t>
  </si>
  <si>
    <t>13103030303</t>
  </si>
  <si>
    <t>13103030304</t>
  </si>
  <si>
    <t>13103030305</t>
  </si>
  <si>
    <t>13103030401</t>
  </si>
  <si>
    <t>13103030402</t>
  </si>
  <si>
    <t>13105000100</t>
  </si>
  <si>
    <t>13105000200</t>
  </si>
  <si>
    <t>13105000300</t>
  </si>
  <si>
    <t>13105000400</t>
  </si>
  <si>
    <t>13105000500</t>
  </si>
  <si>
    <t>13107970100</t>
  </si>
  <si>
    <t>13107970200</t>
  </si>
  <si>
    <t>13107970300</t>
  </si>
  <si>
    <t>13107970400</t>
  </si>
  <si>
    <t>13107970500</t>
  </si>
  <si>
    <t>13107970600</t>
  </si>
  <si>
    <t>13109970100</t>
  </si>
  <si>
    <t>13109970200</t>
  </si>
  <si>
    <t>13109970300</t>
  </si>
  <si>
    <t>13111050100</t>
  </si>
  <si>
    <t>13111050200</t>
  </si>
  <si>
    <t>13111050300</t>
  </si>
  <si>
    <t>13111050400</t>
  </si>
  <si>
    <t>13111050500</t>
  </si>
  <si>
    <t>13113140101</t>
  </si>
  <si>
    <t>13113140102</t>
  </si>
  <si>
    <t>13113140203</t>
  </si>
  <si>
    <t>13113140204</t>
  </si>
  <si>
    <t>13113140206</t>
  </si>
  <si>
    <t>13113140207</t>
  </si>
  <si>
    <t>13113140208</t>
  </si>
  <si>
    <t>13113140303</t>
  </si>
  <si>
    <t>13113140304</t>
  </si>
  <si>
    <t>13113140305</t>
  </si>
  <si>
    <t>13113140306</t>
  </si>
  <si>
    <t>13113140307</t>
  </si>
  <si>
    <t>13113140403</t>
  </si>
  <si>
    <t>13113140404</t>
  </si>
  <si>
    <t>13113140405</t>
  </si>
  <si>
    <t>13113140406</t>
  </si>
  <si>
    <t>13113140407</t>
  </si>
  <si>
    <t>13113140408</t>
  </si>
  <si>
    <t>13113140501</t>
  </si>
  <si>
    <t>13113140502</t>
  </si>
  <si>
    <t>13115000100</t>
  </si>
  <si>
    <t>13115000201</t>
  </si>
  <si>
    <t>13115000202</t>
  </si>
  <si>
    <t>13115000300</t>
  </si>
  <si>
    <t>13115000400</t>
  </si>
  <si>
    <t>13115000500</t>
  </si>
  <si>
    <t>13115000600</t>
  </si>
  <si>
    <t>13115000700</t>
  </si>
  <si>
    <t>13115000800</t>
  </si>
  <si>
    <t>13115000900</t>
  </si>
  <si>
    <t>13115001100</t>
  </si>
  <si>
    <t>13115001200</t>
  </si>
  <si>
    <t>13115001300</t>
  </si>
  <si>
    <t>13115001400</t>
  </si>
  <si>
    <t>13115001600</t>
  </si>
  <si>
    <t>13115001701</t>
  </si>
  <si>
    <t>13115001702</t>
  </si>
  <si>
    <t>13115001800</t>
  </si>
  <si>
    <t>13115002000</t>
  </si>
  <si>
    <t>13115002100</t>
  </si>
  <si>
    <t>13117130101</t>
  </si>
  <si>
    <t>13117130102</t>
  </si>
  <si>
    <t>13117130103</t>
  </si>
  <si>
    <t>13117130104</t>
  </si>
  <si>
    <t>13117130105</t>
  </si>
  <si>
    <t>13117130201</t>
  </si>
  <si>
    <t>13117130202</t>
  </si>
  <si>
    <t>13117130203</t>
  </si>
  <si>
    <t>13117130204</t>
  </si>
  <si>
    <t>13117130205</t>
  </si>
  <si>
    <t>13117130301</t>
  </si>
  <si>
    <t>13117130302</t>
  </si>
  <si>
    <t>13117130303</t>
  </si>
  <si>
    <t>13117130304</t>
  </si>
  <si>
    <t>13117130305</t>
  </si>
  <si>
    <t>13117130306</t>
  </si>
  <si>
    <t>13117130307</t>
  </si>
  <si>
    <t>13117130403</t>
  </si>
  <si>
    <t>13117130404</t>
  </si>
  <si>
    <t>13117130405</t>
  </si>
  <si>
    <t>13117130406</t>
  </si>
  <si>
    <t>13117130408</t>
  </si>
  <si>
    <t>13117130409</t>
  </si>
  <si>
    <t>13117130410</t>
  </si>
  <si>
    <t>13117130503</t>
  </si>
  <si>
    <t>13117130504</t>
  </si>
  <si>
    <t>13117130505</t>
  </si>
  <si>
    <t>13117130506</t>
  </si>
  <si>
    <t>13117130507</t>
  </si>
  <si>
    <t>13117130508</t>
  </si>
  <si>
    <t>13117130509</t>
  </si>
  <si>
    <t>13117130510</t>
  </si>
  <si>
    <t>13117130601</t>
  </si>
  <si>
    <t>13117130602</t>
  </si>
  <si>
    <t>13117130603</t>
  </si>
  <si>
    <t>13117130604</t>
  </si>
  <si>
    <t>13117130605</t>
  </si>
  <si>
    <t>13117130606</t>
  </si>
  <si>
    <t>13117130607</t>
  </si>
  <si>
    <t>13117130608</t>
  </si>
  <si>
    <t>13117130609</t>
  </si>
  <si>
    <t>13117130610</t>
  </si>
  <si>
    <t>13117130611</t>
  </si>
  <si>
    <t>13117130612</t>
  </si>
  <si>
    <t>13117130613</t>
  </si>
  <si>
    <t>13119890101</t>
  </si>
  <si>
    <t>13119890102</t>
  </si>
  <si>
    <t>13119890200</t>
  </si>
  <si>
    <t>13119890300</t>
  </si>
  <si>
    <t>13119890400</t>
  </si>
  <si>
    <t>13121000100</t>
  </si>
  <si>
    <t>13121000200</t>
  </si>
  <si>
    <t>13121000400</t>
  </si>
  <si>
    <t>13121000500</t>
  </si>
  <si>
    <t>13121000600</t>
  </si>
  <si>
    <t>13121000700</t>
  </si>
  <si>
    <t>13121001001</t>
  </si>
  <si>
    <t>13121001002</t>
  </si>
  <si>
    <t>13121001100</t>
  </si>
  <si>
    <t>13121001201</t>
  </si>
  <si>
    <t>13121001202</t>
  </si>
  <si>
    <t>13121001300</t>
  </si>
  <si>
    <t>13121001400</t>
  </si>
  <si>
    <t>13121001500</t>
  </si>
  <si>
    <t>13121001600</t>
  </si>
  <si>
    <t>13121001700</t>
  </si>
  <si>
    <t>13121001800</t>
  </si>
  <si>
    <t>13121001900</t>
  </si>
  <si>
    <t>13121002100</t>
  </si>
  <si>
    <t>13121002300</t>
  </si>
  <si>
    <t>13121002400</t>
  </si>
  <si>
    <t>13121002500</t>
  </si>
  <si>
    <t>13121002600</t>
  </si>
  <si>
    <t>13121002800</t>
  </si>
  <si>
    <t>13121002900</t>
  </si>
  <si>
    <t>13121003000</t>
  </si>
  <si>
    <t>13121003100</t>
  </si>
  <si>
    <t>13121003200</t>
  </si>
  <si>
    <t>13121003500</t>
  </si>
  <si>
    <t>13121003600</t>
  </si>
  <si>
    <t>13121003700</t>
  </si>
  <si>
    <t>13121003800</t>
  </si>
  <si>
    <t>13121003900</t>
  </si>
  <si>
    <t>13121004000</t>
  </si>
  <si>
    <t>13121004100</t>
  </si>
  <si>
    <t>13121004200</t>
  </si>
  <si>
    <t>13121004300</t>
  </si>
  <si>
    <t>13121004400</t>
  </si>
  <si>
    <t>13121004800</t>
  </si>
  <si>
    <t>13121004900</t>
  </si>
  <si>
    <t>13121005000</t>
  </si>
  <si>
    <t>13121005200</t>
  </si>
  <si>
    <t>13121005300</t>
  </si>
  <si>
    <t>13121005501</t>
  </si>
  <si>
    <t>13121005502</t>
  </si>
  <si>
    <t>13121005700</t>
  </si>
  <si>
    <t>13121005800</t>
  </si>
  <si>
    <t>13121006000</t>
  </si>
  <si>
    <t>13121006100</t>
  </si>
  <si>
    <t>13121006200</t>
  </si>
  <si>
    <t>13121006300</t>
  </si>
  <si>
    <t>13121006400</t>
  </si>
  <si>
    <t>13121006500</t>
  </si>
  <si>
    <t>13121006601</t>
  </si>
  <si>
    <t>13121006602</t>
  </si>
  <si>
    <t>13121006700</t>
  </si>
  <si>
    <t>13121006801</t>
  </si>
  <si>
    <t>13121006802</t>
  </si>
  <si>
    <t>13121006900</t>
  </si>
  <si>
    <t>13121007001</t>
  </si>
  <si>
    <t>13121007002</t>
  </si>
  <si>
    <t>13121007100</t>
  </si>
  <si>
    <t>13121007200</t>
  </si>
  <si>
    <t>13121007300</t>
  </si>
  <si>
    <t>13121007400</t>
  </si>
  <si>
    <t>13121007500</t>
  </si>
  <si>
    <t>13121007602</t>
  </si>
  <si>
    <t>13121007603</t>
  </si>
  <si>
    <t>13121007604</t>
  </si>
  <si>
    <t>13121007703</t>
  </si>
  <si>
    <t>13121007704</t>
  </si>
  <si>
    <t>13121007705</t>
  </si>
  <si>
    <t>13121007706</t>
  </si>
  <si>
    <t>13121007802</t>
  </si>
  <si>
    <t>13121007805</t>
  </si>
  <si>
    <t>13121007806</t>
  </si>
  <si>
    <t>13121007807</t>
  </si>
  <si>
    <t>13121007808</t>
  </si>
  <si>
    <t>13121007900</t>
  </si>
  <si>
    <t>13121008000</t>
  </si>
  <si>
    <t>13121008101</t>
  </si>
  <si>
    <t>13121008102</t>
  </si>
  <si>
    <t>13121008201</t>
  </si>
  <si>
    <t>13121008202</t>
  </si>
  <si>
    <t>13121008301</t>
  </si>
  <si>
    <t>13121008302</t>
  </si>
  <si>
    <t>13121008400</t>
  </si>
  <si>
    <t>13121008500</t>
  </si>
  <si>
    <t>13121008601</t>
  </si>
  <si>
    <t>13121008602</t>
  </si>
  <si>
    <t>13121008700</t>
  </si>
  <si>
    <t>13121008800</t>
  </si>
  <si>
    <t>13121008902</t>
  </si>
  <si>
    <t>13121008903</t>
  </si>
  <si>
    <t>13121008904</t>
  </si>
  <si>
    <t>13121009000</t>
  </si>
  <si>
    <t>13121009101</t>
  </si>
  <si>
    <t>13121009102</t>
  </si>
  <si>
    <t>13121009200</t>
  </si>
  <si>
    <t>13121009300</t>
  </si>
  <si>
    <t>13121009402</t>
  </si>
  <si>
    <t>13121009403</t>
  </si>
  <si>
    <t>13121009404</t>
  </si>
  <si>
    <t>13121009501</t>
  </si>
  <si>
    <t>13121009502</t>
  </si>
  <si>
    <t>13121009601</t>
  </si>
  <si>
    <t>13121009602</t>
  </si>
  <si>
    <t>13121009603</t>
  </si>
  <si>
    <t>13121009700</t>
  </si>
  <si>
    <t>13121009801</t>
  </si>
  <si>
    <t>13121009802</t>
  </si>
  <si>
    <t>13121009900</t>
  </si>
  <si>
    <t>13121010001</t>
  </si>
  <si>
    <t>13121010002</t>
  </si>
  <si>
    <t>13121010106</t>
  </si>
  <si>
    <t>13121010107</t>
  </si>
  <si>
    <t>13121010108</t>
  </si>
  <si>
    <t>13121010110</t>
  </si>
  <si>
    <t>13121010113</t>
  </si>
  <si>
    <t>13121010114</t>
  </si>
  <si>
    <t>13121010115</t>
  </si>
  <si>
    <t>13121010117</t>
  </si>
  <si>
    <t>13121010118</t>
  </si>
  <si>
    <t>13121010119</t>
  </si>
  <si>
    <t>13121010120</t>
  </si>
  <si>
    <t>13121010121</t>
  </si>
  <si>
    <t>13121010122</t>
  </si>
  <si>
    <t>13121010123</t>
  </si>
  <si>
    <t>13121010204</t>
  </si>
  <si>
    <t>13121010205</t>
  </si>
  <si>
    <t>13121010206</t>
  </si>
  <si>
    <t>13121010208</t>
  </si>
  <si>
    <t>13121010209</t>
  </si>
  <si>
    <t>13121010210</t>
  </si>
  <si>
    <t>13121010211</t>
  </si>
  <si>
    <t>13121010212</t>
  </si>
  <si>
    <t>13121010301</t>
  </si>
  <si>
    <t>13121010303</t>
  </si>
  <si>
    <t>13121010304</t>
  </si>
  <si>
    <t>13121010400</t>
  </si>
  <si>
    <t>13121010507</t>
  </si>
  <si>
    <t>13121010508</t>
  </si>
  <si>
    <t>13121010510</t>
  </si>
  <si>
    <t>13121010511</t>
  </si>
  <si>
    <t>13121010512</t>
  </si>
  <si>
    <t>13121010513</t>
  </si>
  <si>
    <t>13121010514</t>
  </si>
  <si>
    <t>13121010515</t>
  </si>
  <si>
    <t>13121010516</t>
  </si>
  <si>
    <t>13121010601</t>
  </si>
  <si>
    <t>13121010603</t>
  </si>
  <si>
    <t>13121010604</t>
  </si>
  <si>
    <t>13121010800</t>
  </si>
  <si>
    <t>13121011000</t>
  </si>
  <si>
    <t>13121011100</t>
  </si>
  <si>
    <t>13121011201</t>
  </si>
  <si>
    <t>13121011202</t>
  </si>
  <si>
    <t>13121011301</t>
  </si>
  <si>
    <t>13121011303</t>
  </si>
  <si>
    <t>13121011305</t>
  </si>
  <si>
    <t>13121011306</t>
  </si>
  <si>
    <t>13121011405</t>
  </si>
  <si>
    <t>13121011410</t>
  </si>
  <si>
    <t>13121011411</t>
  </si>
  <si>
    <t>13121011412</t>
  </si>
  <si>
    <t>13121011414</t>
  </si>
  <si>
    <t>13121011416</t>
  </si>
  <si>
    <t>13121011417</t>
  </si>
  <si>
    <t>13121011418</t>
  </si>
  <si>
    <t>13121011419</t>
  </si>
  <si>
    <t>13121011420</t>
  </si>
  <si>
    <t>13121011421</t>
  </si>
  <si>
    <t>13121011422</t>
  </si>
  <si>
    <t>13121011423</t>
  </si>
  <si>
    <t>13121011424</t>
  </si>
  <si>
    <t>13121011425</t>
  </si>
  <si>
    <t>13121011426</t>
  </si>
  <si>
    <t>13121011427</t>
  </si>
  <si>
    <t>13121011503</t>
  </si>
  <si>
    <t>13121011504</t>
  </si>
  <si>
    <t>13121011505</t>
  </si>
  <si>
    <t>13121011506</t>
  </si>
  <si>
    <t>13121011610</t>
  </si>
  <si>
    <t>13121011611</t>
  </si>
  <si>
    <t>13121011612</t>
  </si>
  <si>
    <t>13121011613</t>
  </si>
  <si>
    <t>13121011614</t>
  </si>
  <si>
    <t>13121011615</t>
  </si>
  <si>
    <t>13121011616</t>
  </si>
  <si>
    <t>13121011617</t>
  </si>
  <si>
    <t>13121011618</t>
  </si>
  <si>
    <t>13121011619</t>
  </si>
  <si>
    <t>13121011620</t>
  </si>
  <si>
    <t>13121011621</t>
  </si>
  <si>
    <t>13121011622</t>
  </si>
  <si>
    <t>13121011623</t>
  </si>
  <si>
    <t>13121011624</t>
  </si>
  <si>
    <t>13121011625</t>
  </si>
  <si>
    <t>13121011626</t>
  </si>
  <si>
    <t>13121011800</t>
  </si>
  <si>
    <t>13121011900</t>
  </si>
  <si>
    <t>13121012000</t>
  </si>
  <si>
    <t>13121012300</t>
  </si>
  <si>
    <t>13121980000</t>
  </si>
  <si>
    <t>13123080100</t>
  </si>
  <si>
    <t>13123080200</t>
  </si>
  <si>
    <t>13123080300</t>
  </si>
  <si>
    <t>13123080400</t>
  </si>
  <si>
    <t>13123080500</t>
  </si>
  <si>
    <t>13125010100</t>
  </si>
  <si>
    <t>13127000101</t>
  </si>
  <si>
    <t>13127000102</t>
  </si>
  <si>
    <t>13127000200</t>
  </si>
  <si>
    <t>13127000300</t>
  </si>
  <si>
    <t>13127000401</t>
  </si>
  <si>
    <t>13127000403</t>
  </si>
  <si>
    <t>13127000404</t>
  </si>
  <si>
    <t>13127000501</t>
  </si>
  <si>
    <t>13127000503</t>
  </si>
  <si>
    <t>13127000504</t>
  </si>
  <si>
    <t>13127000600</t>
  </si>
  <si>
    <t>13127000700</t>
  </si>
  <si>
    <t>13127000800</t>
  </si>
  <si>
    <t>13127000900</t>
  </si>
  <si>
    <t>13127001000</t>
  </si>
  <si>
    <t>13127990000</t>
  </si>
  <si>
    <t>13129970100</t>
  </si>
  <si>
    <t>13129970200</t>
  </si>
  <si>
    <t>13129970300</t>
  </si>
  <si>
    <t>13129970400</t>
  </si>
  <si>
    <t>13129970500</t>
  </si>
  <si>
    <t>13129970600</t>
  </si>
  <si>
    <t>13129970700</t>
  </si>
  <si>
    <t>13129970800</t>
  </si>
  <si>
    <t>13129970900</t>
  </si>
  <si>
    <t>13131950100</t>
  </si>
  <si>
    <t>13131950200</t>
  </si>
  <si>
    <t>13131950300</t>
  </si>
  <si>
    <t>13131950400</t>
  </si>
  <si>
    <t>13131950500</t>
  </si>
  <si>
    <t>13131950600</t>
  </si>
  <si>
    <t>13133950100</t>
  </si>
  <si>
    <t>13133950200</t>
  </si>
  <si>
    <t>13133950301</t>
  </si>
  <si>
    <t>13133950302</t>
  </si>
  <si>
    <t>13133950303</t>
  </si>
  <si>
    <t>13133950400</t>
  </si>
  <si>
    <t>13133950500</t>
  </si>
  <si>
    <t>13135050103</t>
  </si>
  <si>
    <t>13135050105</t>
  </si>
  <si>
    <t>13135050106</t>
  </si>
  <si>
    <t>13135050107</t>
  </si>
  <si>
    <t>13135050108</t>
  </si>
  <si>
    <t>13135050109</t>
  </si>
  <si>
    <t>13135050205</t>
  </si>
  <si>
    <t>13135050208</t>
  </si>
  <si>
    <t>13135050209</t>
  </si>
  <si>
    <t>13135050210</t>
  </si>
  <si>
    <t>13135050211</t>
  </si>
  <si>
    <t>13135050212</t>
  </si>
  <si>
    <t>13135050213</t>
  </si>
  <si>
    <t>13135050214</t>
  </si>
  <si>
    <t>13135050215</t>
  </si>
  <si>
    <t>13135050216</t>
  </si>
  <si>
    <t>13135050217</t>
  </si>
  <si>
    <t>13135050218</t>
  </si>
  <si>
    <t>13135050219</t>
  </si>
  <si>
    <t>13135050220</t>
  </si>
  <si>
    <t>13135050304</t>
  </si>
  <si>
    <t>13135050306</t>
  </si>
  <si>
    <t>13135050308</t>
  </si>
  <si>
    <t>13135050309</t>
  </si>
  <si>
    <t>13135050310</t>
  </si>
  <si>
    <t>13135050311</t>
  </si>
  <si>
    <t>13135050313</t>
  </si>
  <si>
    <t>13135050314</t>
  </si>
  <si>
    <t>13135050315</t>
  </si>
  <si>
    <t>13135050317</t>
  </si>
  <si>
    <t>13135050318</t>
  </si>
  <si>
    <t>13135050319</t>
  </si>
  <si>
    <t>13135050320</t>
  </si>
  <si>
    <t>13135050321</t>
  </si>
  <si>
    <t>13135050322</t>
  </si>
  <si>
    <t>13135050410</t>
  </si>
  <si>
    <t>13135050415</t>
  </si>
  <si>
    <t>13135050416</t>
  </si>
  <si>
    <t>13135050417</t>
  </si>
  <si>
    <t>13135050418</t>
  </si>
  <si>
    <t>13135050419</t>
  </si>
  <si>
    <t>13135050421</t>
  </si>
  <si>
    <t>13135050422</t>
  </si>
  <si>
    <t>13135050423</t>
  </si>
  <si>
    <t>13135050424</t>
  </si>
  <si>
    <t>13135050425</t>
  </si>
  <si>
    <t>13135050426</t>
  </si>
  <si>
    <t>13135050427</t>
  </si>
  <si>
    <t>13135050428</t>
  </si>
  <si>
    <t>13135050429</t>
  </si>
  <si>
    <t>13135050430</t>
  </si>
  <si>
    <t>13135050431</t>
  </si>
  <si>
    <t>13135050432</t>
  </si>
  <si>
    <t>13135050433</t>
  </si>
  <si>
    <t>13135050434</t>
  </si>
  <si>
    <t>13135050435</t>
  </si>
  <si>
    <t>13135050436</t>
  </si>
  <si>
    <t>13135050511</t>
  </si>
  <si>
    <t>13135050520</t>
  </si>
  <si>
    <t>13135050521</t>
  </si>
  <si>
    <t>13135050522</t>
  </si>
  <si>
    <t>13135050523</t>
  </si>
  <si>
    <t>13135050524</t>
  </si>
  <si>
    <t>13135050525</t>
  </si>
  <si>
    <t>13135050526</t>
  </si>
  <si>
    <t>13135050527</t>
  </si>
  <si>
    <t>13135050528</t>
  </si>
  <si>
    <t>13135050529</t>
  </si>
  <si>
    <t>13135050530</t>
  </si>
  <si>
    <t>13135050531</t>
  </si>
  <si>
    <t>13135050532</t>
  </si>
  <si>
    <t>13135050533</t>
  </si>
  <si>
    <t>13135050534</t>
  </si>
  <si>
    <t>13135050535</t>
  </si>
  <si>
    <t>13135050536</t>
  </si>
  <si>
    <t>13135050537</t>
  </si>
  <si>
    <t>13135050538</t>
  </si>
  <si>
    <t>13135050539</t>
  </si>
  <si>
    <t>13135050540</t>
  </si>
  <si>
    <t>13135050541</t>
  </si>
  <si>
    <t>13135050542</t>
  </si>
  <si>
    <t>13135050543</t>
  </si>
  <si>
    <t>13135050544</t>
  </si>
  <si>
    <t>13135050545</t>
  </si>
  <si>
    <t>13135050546</t>
  </si>
  <si>
    <t>13135050547</t>
  </si>
  <si>
    <t>13135050548</t>
  </si>
  <si>
    <t>13135050549</t>
  </si>
  <si>
    <t>13135050605</t>
  </si>
  <si>
    <t>13135050606</t>
  </si>
  <si>
    <t>13135050607</t>
  </si>
  <si>
    <t>13135050608</t>
  </si>
  <si>
    <t>13135050609</t>
  </si>
  <si>
    <t>13135050610</t>
  </si>
  <si>
    <t>13135050709</t>
  </si>
  <si>
    <t>13135050712</t>
  </si>
  <si>
    <t>13135050713</t>
  </si>
  <si>
    <t>13135050714</t>
  </si>
  <si>
    <t>13135050715</t>
  </si>
  <si>
    <t>13135050718</t>
  </si>
  <si>
    <t>13135050719</t>
  </si>
  <si>
    <t>13135050720</t>
  </si>
  <si>
    <t>13135050721</t>
  </si>
  <si>
    <t>13135050722</t>
  </si>
  <si>
    <t>13135050723</t>
  </si>
  <si>
    <t>13135050724</t>
  </si>
  <si>
    <t>13135050725</t>
  </si>
  <si>
    <t>13135050726</t>
  </si>
  <si>
    <t>13135050727</t>
  </si>
  <si>
    <t>13135050728</t>
  </si>
  <si>
    <t>13135050729</t>
  </si>
  <si>
    <t>13135050730</t>
  </si>
  <si>
    <t>13135050731</t>
  </si>
  <si>
    <t>13137000100</t>
  </si>
  <si>
    <t>13137000201</t>
  </si>
  <si>
    <t>13137000202</t>
  </si>
  <si>
    <t>13137000300</t>
  </si>
  <si>
    <t>13137000400</t>
  </si>
  <si>
    <t>13137000500</t>
  </si>
  <si>
    <t>13137000601</t>
  </si>
  <si>
    <t>13137000602</t>
  </si>
  <si>
    <t>13139000101</t>
  </si>
  <si>
    <t>13139000102</t>
  </si>
  <si>
    <t>13139000201</t>
  </si>
  <si>
    <t>13139000203</t>
  </si>
  <si>
    <t>13139000204</t>
  </si>
  <si>
    <t>13139000302</t>
  </si>
  <si>
    <t>13139000303</t>
  </si>
  <si>
    <t>13139000304</t>
  </si>
  <si>
    <t>13139000305</t>
  </si>
  <si>
    <t>13139000400</t>
  </si>
  <si>
    <t>13139000500</t>
  </si>
  <si>
    <t>13139000600</t>
  </si>
  <si>
    <t>13139000701</t>
  </si>
  <si>
    <t>13139000702</t>
  </si>
  <si>
    <t>13139000800</t>
  </si>
  <si>
    <t>13139000900</t>
  </si>
  <si>
    <t>13139001002</t>
  </si>
  <si>
    <t>13139001003</t>
  </si>
  <si>
    <t>13139001004</t>
  </si>
  <si>
    <t>13139001101</t>
  </si>
  <si>
    <t>13139001102</t>
  </si>
  <si>
    <t>13139001201</t>
  </si>
  <si>
    <t>13139001202</t>
  </si>
  <si>
    <t>13139001301</t>
  </si>
  <si>
    <t>13139001302</t>
  </si>
  <si>
    <t>13139001402</t>
  </si>
  <si>
    <t>13139001403</t>
  </si>
  <si>
    <t>13139001404</t>
  </si>
  <si>
    <t>13139001501</t>
  </si>
  <si>
    <t>13139001502</t>
  </si>
  <si>
    <t>13139001603</t>
  </si>
  <si>
    <t>13139001604</t>
  </si>
  <si>
    <t>13139001605</t>
  </si>
  <si>
    <t>13139001606</t>
  </si>
  <si>
    <t>13139001607</t>
  </si>
  <si>
    <t>13139001608</t>
  </si>
  <si>
    <t>13141480300</t>
  </si>
  <si>
    <t>13141480400</t>
  </si>
  <si>
    <t>13143010100</t>
  </si>
  <si>
    <t>13143010200</t>
  </si>
  <si>
    <t>13143010301</t>
  </si>
  <si>
    <t>13143010302</t>
  </si>
  <si>
    <t>13143010400</t>
  </si>
  <si>
    <t>13145120198</t>
  </si>
  <si>
    <t>13145120200</t>
  </si>
  <si>
    <t>13145120300</t>
  </si>
  <si>
    <t>13145120401</t>
  </si>
  <si>
    <t>13145120402</t>
  </si>
  <si>
    <t>13147960100</t>
  </si>
  <si>
    <t>13147960200</t>
  </si>
  <si>
    <t>13147960300</t>
  </si>
  <si>
    <t>13147960400</t>
  </si>
  <si>
    <t>13147960500</t>
  </si>
  <si>
    <t>13149970100</t>
  </si>
  <si>
    <t>13149970200</t>
  </si>
  <si>
    <t>13149970300</t>
  </si>
  <si>
    <t>13151070104</t>
  </si>
  <si>
    <t>13151070106</t>
  </si>
  <si>
    <t>13151070107</t>
  </si>
  <si>
    <t>13151070108</t>
  </si>
  <si>
    <t>13151070109</t>
  </si>
  <si>
    <t>13151070110</t>
  </si>
  <si>
    <t>13151070111</t>
  </si>
  <si>
    <t>13151070113</t>
  </si>
  <si>
    <t>13151070114</t>
  </si>
  <si>
    <t>13151070202</t>
  </si>
  <si>
    <t>13151070203</t>
  </si>
  <si>
    <t>13151070204</t>
  </si>
  <si>
    <t>13151070205</t>
  </si>
  <si>
    <t>13151070304</t>
  </si>
  <si>
    <t>13151070305</t>
  </si>
  <si>
    <t>13151070306</t>
  </si>
  <si>
    <t>13151070307</t>
  </si>
  <si>
    <t>13151070309</t>
  </si>
  <si>
    <t>13151070310</t>
  </si>
  <si>
    <t>13151070311</t>
  </si>
  <si>
    <t>13151070402</t>
  </si>
  <si>
    <t>13151070403</t>
  </si>
  <si>
    <t>13151070404</t>
  </si>
  <si>
    <t>13151070501</t>
  </si>
  <si>
    <t>13151070502</t>
  </si>
  <si>
    <t>13153020105</t>
  </si>
  <si>
    <t>13153020106</t>
  </si>
  <si>
    <t>13153020108</t>
  </si>
  <si>
    <t>13153020109</t>
  </si>
  <si>
    <t>13153020200</t>
  </si>
  <si>
    <t>13153020300</t>
  </si>
  <si>
    <t>13153020400</t>
  </si>
  <si>
    <t>13153020600</t>
  </si>
  <si>
    <t>13153020700</t>
  </si>
  <si>
    <t>13153020800</t>
  </si>
  <si>
    <t>13153020900</t>
  </si>
  <si>
    <t>13153021000</t>
  </si>
  <si>
    <t>13153021103</t>
  </si>
  <si>
    <t>13153021104</t>
  </si>
  <si>
    <t>13153021105</t>
  </si>
  <si>
    <t>13153021107</t>
  </si>
  <si>
    <t>13153021108</t>
  </si>
  <si>
    <t>13153021113</t>
  </si>
  <si>
    <t>13153021201</t>
  </si>
  <si>
    <t>13153021202</t>
  </si>
  <si>
    <t>13153021300</t>
  </si>
  <si>
    <t>13153021400</t>
  </si>
  <si>
    <t>13153021500</t>
  </si>
  <si>
    <t>13155950100</t>
  </si>
  <si>
    <t>13155950200</t>
  </si>
  <si>
    <t>13157010101</t>
  </si>
  <si>
    <t>13157010102</t>
  </si>
  <si>
    <t>13157010103</t>
  </si>
  <si>
    <t>13157010200</t>
  </si>
  <si>
    <t>13157010300</t>
  </si>
  <si>
    <t>13157010400</t>
  </si>
  <si>
    <t>13157010500</t>
  </si>
  <si>
    <t>13157010600</t>
  </si>
  <si>
    <t>13157010701</t>
  </si>
  <si>
    <t>13157010702</t>
  </si>
  <si>
    <t>13157010703</t>
  </si>
  <si>
    <t>13159010100</t>
  </si>
  <si>
    <t>13159010200</t>
  </si>
  <si>
    <t>13159010500</t>
  </si>
  <si>
    <t>13161960100</t>
  </si>
  <si>
    <t>13161960200</t>
  </si>
  <si>
    <t>13161960300</t>
  </si>
  <si>
    <t>13163960100</t>
  </si>
  <si>
    <t>13163960200</t>
  </si>
  <si>
    <t>13163960300</t>
  </si>
  <si>
    <t>13163960400</t>
  </si>
  <si>
    <t>13165960100</t>
  </si>
  <si>
    <t>13165960200</t>
  </si>
  <si>
    <t>13167960100</t>
  </si>
  <si>
    <t>13167960200</t>
  </si>
  <si>
    <t>13167960300</t>
  </si>
  <si>
    <t>13169030101</t>
  </si>
  <si>
    <t>13169030103</t>
  </si>
  <si>
    <t>13169030104</t>
  </si>
  <si>
    <t>13169030200</t>
  </si>
  <si>
    <t>13169030301</t>
  </si>
  <si>
    <t>13169030302</t>
  </si>
  <si>
    <t>13171970100</t>
  </si>
  <si>
    <t>13171970200</t>
  </si>
  <si>
    <t>13171970300</t>
  </si>
  <si>
    <t>13173950100</t>
  </si>
  <si>
    <t>13173950200</t>
  </si>
  <si>
    <t>13175950100</t>
  </si>
  <si>
    <t>13175950201</t>
  </si>
  <si>
    <t>13175950202</t>
  </si>
  <si>
    <t>13175950300</t>
  </si>
  <si>
    <t>13175950400</t>
  </si>
  <si>
    <t>13175950500</t>
  </si>
  <si>
    <t>13175950600</t>
  </si>
  <si>
    <t>13175950700</t>
  </si>
  <si>
    <t>13175950800</t>
  </si>
  <si>
    <t>13175950900</t>
  </si>
  <si>
    <t>13175951000</t>
  </si>
  <si>
    <t>13175951100</t>
  </si>
  <si>
    <t>13175951400</t>
  </si>
  <si>
    <t>13177020100</t>
  </si>
  <si>
    <t>13177020200</t>
  </si>
  <si>
    <t>13177020300</t>
  </si>
  <si>
    <t>13177020402</t>
  </si>
  <si>
    <t>13177020403</t>
  </si>
  <si>
    <t>13179010101</t>
  </si>
  <si>
    <t>13179010102</t>
  </si>
  <si>
    <t>13179010103</t>
  </si>
  <si>
    <t>13179010202</t>
  </si>
  <si>
    <t>13179010204</t>
  </si>
  <si>
    <t>13179010205</t>
  </si>
  <si>
    <t>13179010206</t>
  </si>
  <si>
    <t>13179010207</t>
  </si>
  <si>
    <t>13179010208</t>
  </si>
  <si>
    <t>13179010300</t>
  </si>
  <si>
    <t>13179010400</t>
  </si>
  <si>
    <t>13179010501</t>
  </si>
  <si>
    <t>13179010502</t>
  </si>
  <si>
    <t>13179010600</t>
  </si>
  <si>
    <t>13179990000</t>
  </si>
  <si>
    <t>13181970100</t>
  </si>
  <si>
    <t>13181970200</t>
  </si>
  <si>
    <t>13183970100</t>
  </si>
  <si>
    <t>13183970200</t>
  </si>
  <si>
    <t>13183980000</t>
  </si>
  <si>
    <t>13185010101</t>
  </si>
  <si>
    <t>13185010102</t>
  </si>
  <si>
    <t>13185010103</t>
  </si>
  <si>
    <t>13185010201</t>
  </si>
  <si>
    <t>13185010202</t>
  </si>
  <si>
    <t>13185010301</t>
  </si>
  <si>
    <t>13185010302</t>
  </si>
  <si>
    <t>13185010401</t>
  </si>
  <si>
    <t>13185010402</t>
  </si>
  <si>
    <t>13185010500</t>
  </si>
  <si>
    <t>13185010601</t>
  </si>
  <si>
    <t>13185010604</t>
  </si>
  <si>
    <t>13185010700</t>
  </si>
  <si>
    <t>13185010800</t>
  </si>
  <si>
    <t>13185010900</t>
  </si>
  <si>
    <t>13185011000</t>
  </si>
  <si>
    <t>13185011100</t>
  </si>
  <si>
    <t>13185011200</t>
  </si>
  <si>
    <t>13185011301</t>
  </si>
  <si>
    <t>13185011302</t>
  </si>
  <si>
    <t>13185011401</t>
  </si>
  <si>
    <t>13185011402</t>
  </si>
  <si>
    <t>13185011403</t>
  </si>
  <si>
    <t>13185011500</t>
  </si>
  <si>
    <t>13185011600</t>
  </si>
  <si>
    <t>13187960101</t>
  </si>
  <si>
    <t>13187960102</t>
  </si>
  <si>
    <t>13187960201</t>
  </si>
  <si>
    <t>13187960202</t>
  </si>
  <si>
    <t>13189950100</t>
  </si>
  <si>
    <t>13189950200</t>
  </si>
  <si>
    <t>13189950300</t>
  </si>
  <si>
    <t>13189950400</t>
  </si>
  <si>
    <t>13189950500</t>
  </si>
  <si>
    <t>13191110100</t>
  </si>
  <si>
    <t>13191110200</t>
  </si>
  <si>
    <t>13191110300</t>
  </si>
  <si>
    <t>13191980000</t>
  </si>
  <si>
    <t>13191990000</t>
  </si>
  <si>
    <t>13193000100</t>
  </si>
  <si>
    <t>13193000200</t>
  </si>
  <si>
    <t>13193000300</t>
  </si>
  <si>
    <t>13193000400</t>
  </si>
  <si>
    <t>13195020100</t>
  </si>
  <si>
    <t>13195020200</t>
  </si>
  <si>
    <t>13195020300</t>
  </si>
  <si>
    <t>13195020400</t>
  </si>
  <si>
    <t>13195020500</t>
  </si>
  <si>
    <t>13195020600</t>
  </si>
  <si>
    <t>13197920100</t>
  </si>
  <si>
    <t>13197920200</t>
  </si>
  <si>
    <t>13199970500</t>
  </si>
  <si>
    <t>13199970600</t>
  </si>
  <si>
    <t>13199970700</t>
  </si>
  <si>
    <t>13199970800</t>
  </si>
  <si>
    <t>13201950100</t>
  </si>
  <si>
    <t>13201950200</t>
  </si>
  <si>
    <t>13201950300</t>
  </si>
  <si>
    <t>13205090100</t>
  </si>
  <si>
    <t>13205090200</t>
  </si>
  <si>
    <t>13205090300</t>
  </si>
  <si>
    <t>13205090400</t>
  </si>
  <si>
    <t>13205090500</t>
  </si>
  <si>
    <t>13207050101</t>
  </si>
  <si>
    <t>13207050102</t>
  </si>
  <si>
    <t>13207050200</t>
  </si>
  <si>
    <t>13207050301</t>
  </si>
  <si>
    <t>13207050302</t>
  </si>
  <si>
    <t>13209950100</t>
  </si>
  <si>
    <t>13209950200</t>
  </si>
  <si>
    <t>13209950300</t>
  </si>
  <si>
    <t>13211010100</t>
  </si>
  <si>
    <t>13211010200</t>
  </si>
  <si>
    <t>13211010300</t>
  </si>
  <si>
    <t>13211010400</t>
  </si>
  <si>
    <t>13211010500</t>
  </si>
  <si>
    <t>13213010100</t>
  </si>
  <si>
    <t>13213010201</t>
  </si>
  <si>
    <t>13213010202</t>
  </si>
  <si>
    <t>13213010300</t>
  </si>
  <si>
    <t>13213010400</t>
  </si>
  <si>
    <t>13213010500</t>
  </si>
  <si>
    <t>13213010600</t>
  </si>
  <si>
    <t>13213010700</t>
  </si>
  <si>
    <t>13215000200</t>
  </si>
  <si>
    <t>13215000300</t>
  </si>
  <si>
    <t>13215000400</t>
  </si>
  <si>
    <t>13215000800</t>
  </si>
  <si>
    <t>13215000900</t>
  </si>
  <si>
    <t>13215001000</t>
  </si>
  <si>
    <t>13215001100</t>
  </si>
  <si>
    <t>13215001200</t>
  </si>
  <si>
    <t>13215001400</t>
  </si>
  <si>
    <t>13215001600</t>
  </si>
  <si>
    <t>13215001800</t>
  </si>
  <si>
    <t>13215002000</t>
  </si>
  <si>
    <t>13215002100</t>
  </si>
  <si>
    <t>13215002200</t>
  </si>
  <si>
    <t>13215002300</t>
  </si>
  <si>
    <t>13215002400</t>
  </si>
  <si>
    <t>13215002500</t>
  </si>
  <si>
    <t>13215002700</t>
  </si>
  <si>
    <t>13215002800</t>
  </si>
  <si>
    <t>13215002901</t>
  </si>
  <si>
    <t>13215002902</t>
  </si>
  <si>
    <t>13215003000</t>
  </si>
  <si>
    <t>13215003200</t>
  </si>
  <si>
    <t>13215003301</t>
  </si>
  <si>
    <t>13215003302</t>
  </si>
  <si>
    <t>13215003400</t>
  </si>
  <si>
    <t>13215010104</t>
  </si>
  <si>
    <t>13215010106</t>
  </si>
  <si>
    <t>13215010107</t>
  </si>
  <si>
    <t>13215010201</t>
  </si>
  <si>
    <t>13215010203</t>
  </si>
  <si>
    <t>13215010204</t>
  </si>
  <si>
    <t>13215010205</t>
  </si>
  <si>
    <t>13215010301</t>
  </si>
  <si>
    <t>13215010302</t>
  </si>
  <si>
    <t>13215010401</t>
  </si>
  <si>
    <t>13215010402</t>
  </si>
  <si>
    <t>13215010501</t>
  </si>
  <si>
    <t>13215010502</t>
  </si>
  <si>
    <t>13215010602</t>
  </si>
  <si>
    <t>13215010605</t>
  </si>
  <si>
    <t>13215010606</t>
  </si>
  <si>
    <t>13215010607</t>
  </si>
  <si>
    <t>13215010608</t>
  </si>
  <si>
    <t>13215010701</t>
  </si>
  <si>
    <t>13215010702</t>
  </si>
  <si>
    <t>13215010703</t>
  </si>
  <si>
    <t>13215010801</t>
  </si>
  <si>
    <t>13215010802</t>
  </si>
  <si>
    <t>13215011100</t>
  </si>
  <si>
    <t>13215011200</t>
  </si>
  <si>
    <t>13215011400</t>
  </si>
  <si>
    <t>13215011500</t>
  </si>
  <si>
    <t>13217100100</t>
  </si>
  <si>
    <t>13217100201</t>
  </si>
  <si>
    <t>13217100202</t>
  </si>
  <si>
    <t>13217100300</t>
  </si>
  <si>
    <t>13217100400</t>
  </si>
  <si>
    <t>13217100501</t>
  </si>
  <si>
    <t>13217100502</t>
  </si>
  <si>
    <t>13217100600</t>
  </si>
  <si>
    <t>13217100700</t>
  </si>
  <si>
    <t>13217100800</t>
  </si>
  <si>
    <t>13217100901</t>
  </si>
  <si>
    <t>13217100902</t>
  </si>
  <si>
    <t>13217100903</t>
  </si>
  <si>
    <t>13219030100</t>
  </si>
  <si>
    <t>13219030200</t>
  </si>
  <si>
    <t>13219030300</t>
  </si>
  <si>
    <t>13219030400</t>
  </si>
  <si>
    <t>13219030500</t>
  </si>
  <si>
    <t>13219030600</t>
  </si>
  <si>
    <t>13221960100</t>
  </si>
  <si>
    <t>13221960201</t>
  </si>
  <si>
    <t>13221960202</t>
  </si>
  <si>
    <t>13221960300</t>
  </si>
  <si>
    <t>13223120101</t>
  </si>
  <si>
    <t>13223120102</t>
  </si>
  <si>
    <t>13223120103</t>
  </si>
  <si>
    <t>13223120104</t>
  </si>
  <si>
    <t>13223120202</t>
  </si>
  <si>
    <t>13223120203</t>
  </si>
  <si>
    <t>13223120204</t>
  </si>
  <si>
    <t>13223120301</t>
  </si>
  <si>
    <t>13223120302</t>
  </si>
  <si>
    <t>13223120303</t>
  </si>
  <si>
    <t>13223120400</t>
  </si>
  <si>
    <t>13223120501</t>
  </si>
  <si>
    <t>13223120502</t>
  </si>
  <si>
    <t>13223120503</t>
  </si>
  <si>
    <t>13223120601</t>
  </si>
  <si>
    <t>13223120602</t>
  </si>
  <si>
    <t>13223120603</t>
  </si>
  <si>
    <t>13223120604</t>
  </si>
  <si>
    <t>13223120605</t>
  </si>
  <si>
    <t>13225040101</t>
  </si>
  <si>
    <t>13225040102</t>
  </si>
  <si>
    <t>13225040200</t>
  </si>
  <si>
    <t>13225040301</t>
  </si>
  <si>
    <t>13225040302</t>
  </si>
  <si>
    <t>13225040400</t>
  </si>
  <si>
    <t>13227050100</t>
  </si>
  <si>
    <t>13227050200</t>
  </si>
  <si>
    <t>13227050300</t>
  </si>
  <si>
    <t>13227050400</t>
  </si>
  <si>
    <t>13227050500</t>
  </si>
  <si>
    <t>13227050600</t>
  </si>
  <si>
    <t>13229960100</t>
  </si>
  <si>
    <t>13229960200</t>
  </si>
  <si>
    <t>13229960300</t>
  </si>
  <si>
    <t>13229960400</t>
  </si>
  <si>
    <t>13231010100</t>
  </si>
  <si>
    <t>13231010200</t>
  </si>
  <si>
    <t>13231010300</t>
  </si>
  <si>
    <t>13231010400</t>
  </si>
  <si>
    <t>13233010100</t>
  </si>
  <si>
    <t>13233010200</t>
  </si>
  <si>
    <t>13233010300</t>
  </si>
  <si>
    <t>13233010400</t>
  </si>
  <si>
    <t>13233010500</t>
  </si>
  <si>
    <t>13233010600</t>
  </si>
  <si>
    <t>13233010700</t>
  </si>
  <si>
    <t>13235950100</t>
  </si>
  <si>
    <t>13235950200</t>
  </si>
  <si>
    <t>13235950300</t>
  </si>
  <si>
    <t>13237960101</t>
  </si>
  <si>
    <t>13237960102</t>
  </si>
  <si>
    <t>13237960201</t>
  </si>
  <si>
    <t>13237960202</t>
  </si>
  <si>
    <t>13237960300</t>
  </si>
  <si>
    <t>13239960300</t>
  </si>
  <si>
    <t>13241970100</t>
  </si>
  <si>
    <t>13241970201</t>
  </si>
  <si>
    <t>13241970202</t>
  </si>
  <si>
    <t>13241970301</t>
  </si>
  <si>
    <t>13241970302</t>
  </si>
  <si>
    <t>13243790100</t>
  </si>
  <si>
    <t>13243790200</t>
  </si>
  <si>
    <t>13245000100</t>
  </si>
  <si>
    <t>13245000200</t>
  </si>
  <si>
    <t>13245000300</t>
  </si>
  <si>
    <t>13245000600</t>
  </si>
  <si>
    <t>13245000700</t>
  </si>
  <si>
    <t>13245000900</t>
  </si>
  <si>
    <t>13245001000</t>
  </si>
  <si>
    <t>13245001100</t>
  </si>
  <si>
    <t>13245001200</t>
  </si>
  <si>
    <t>13245001300</t>
  </si>
  <si>
    <t>13245001400</t>
  </si>
  <si>
    <t>13245001500</t>
  </si>
  <si>
    <t>13245001601</t>
  </si>
  <si>
    <t>13245001602</t>
  </si>
  <si>
    <t>13245010101</t>
  </si>
  <si>
    <t>13245010104</t>
  </si>
  <si>
    <t>13245010105</t>
  </si>
  <si>
    <t>13245010106</t>
  </si>
  <si>
    <t>13245010107</t>
  </si>
  <si>
    <t>13245010201</t>
  </si>
  <si>
    <t>13245010203</t>
  </si>
  <si>
    <t>13245010204</t>
  </si>
  <si>
    <t>13245010300</t>
  </si>
  <si>
    <t>13245010400</t>
  </si>
  <si>
    <t>13245010504</t>
  </si>
  <si>
    <t>13245010506</t>
  </si>
  <si>
    <t>13245010507</t>
  </si>
  <si>
    <t>13245010508</t>
  </si>
  <si>
    <t>13245010509</t>
  </si>
  <si>
    <t>13245010510</t>
  </si>
  <si>
    <t>13245010511</t>
  </si>
  <si>
    <t>13245010512</t>
  </si>
  <si>
    <t>13245010513</t>
  </si>
  <si>
    <t>13245010600</t>
  </si>
  <si>
    <t>13245010706</t>
  </si>
  <si>
    <t>13245010707</t>
  </si>
  <si>
    <t>13245010708</t>
  </si>
  <si>
    <t>13245010709</t>
  </si>
  <si>
    <t>13245010710</t>
  </si>
  <si>
    <t>13245010711</t>
  </si>
  <si>
    <t>13245010712</t>
  </si>
  <si>
    <t>13245010800</t>
  </si>
  <si>
    <t>13245010903</t>
  </si>
  <si>
    <t>13245010904</t>
  </si>
  <si>
    <t>13245010905</t>
  </si>
  <si>
    <t>13245010906</t>
  </si>
  <si>
    <t>13245011000</t>
  </si>
  <si>
    <t>13247060101</t>
  </si>
  <si>
    <t>13247060102</t>
  </si>
  <si>
    <t>13247060201</t>
  </si>
  <si>
    <t>13247060202</t>
  </si>
  <si>
    <t>13247060304</t>
  </si>
  <si>
    <t>13247060305</t>
  </si>
  <si>
    <t>13247060306</t>
  </si>
  <si>
    <t>13247060307</t>
  </si>
  <si>
    <t>13247060308</t>
  </si>
  <si>
    <t>13247060309</t>
  </si>
  <si>
    <t>13247060403</t>
  </si>
  <si>
    <t>13247060404</t>
  </si>
  <si>
    <t>13247060405</t>
  </si>
  <si>
    <t>13247060406</t>
  </si>
  <si>
    <t>13247060407</t>
  </si>
  <si>
    <t>13249960100</t>
  </si>
  <si>
    <t>13249960200</t>
  </si>
  <si>
    <t>13251970200</t>
  </si>
  <si>
    <t>13251970300</t>
  </si>
  <si>
    <t>13251970400</t>
  </si>
  <si>
    <t>13251970500</t>
  </si>
  <si>
    <t>13251970600</t>
  </si>
  <si>
    <t>13253200100</t>
  </si>
  <si>
    <t>13253200200</t>
  </si>
  <si>
    <t>13253200300</t>
  </si>
  <si>
    <t>13255160100</t>
  </si>
  <si>
    <t>13255160200</t>
  </si>
  <si>
    <t>13255160300</t>
  </si>
  <si>
    <t>13255160400</t>
  </si>
  <si>
    <t>13255160500</t>
  </si>
  <si>
    <t>13255160600</t>
  </si>
  <si>
    <t>13255160700</t>
  </si>
  <si>
    <t>13255160800</t>
  </si>
  <si>
    <t>13255160900</t>
  </si>
  <si>
    <t>13255161000</t>
  </si>
  <si>
    <t>13255161100</t>
  </si>
  <si>
    <t>13255161200</t>
  </si>
  <si>
    <t>13257970100</t>
  </si>
  <si>
    <t>13257970200</t>
  </si>
  <si>
    <t>13257970301</t>
  </si>
  <si>
    <t>13257970302</t>
  </si>
  <si>
    <t>13257970400</t>
  </si>
  <si>
    <t>13259950100</t>
  </si>
  <si>
    <t>13259950400</t>
  </si>
  <si>
    <t>13261950100</t>
  </si>
  <si>
    <t>13261950200</t>
  </si>
  <si>
    <t>13261950300</t>
  </si>
  <si>
    <t>13261950400</t>
  </si>
  <si>
    <t>13261950500</t>
  </si>
  <si>
    <t>13261950600</t>
  </si>
  <si>
    <t>13261950700</t>
  </si>
  <si>
    <t>13261950800</t>
  </si>
  <si>
    <t>13263960100</t>
  </si>
  <si>
    <t>13263960200</t>
  </si>
  <si>
    <t>13263960300</t>
  </si>
  <si>
    <t>13265010200</t>
  </si>
  <si>
    <t>13267950100</t>
  </si>
  <si>
    <t>13267950201</t>
  </si>
  <si>
    <t>13267950202</t>
  </si>
  <si>
    <t>13267950300</t>
  </si>
  <si>
    <t>13267950400</t>
  </si>
  <si>
    <t>13269950100</t>
  </si>
  <si>
    <t>13269950200</t>
  </si>
  <si>
    <t>13269950300</t>
  </si>
  <si>
    <t>13271950100</t>
  </si>
  <si>
    <t>13271950200</t>
  </si>
  <si>
    <t>13271950500</t>
  </si>
  <si>
    <t>13273120200</t>
  </si>
  <si>
    <t>13273120300</t>
  </si>
  <si>
    <t>13273120400</t>
  </si>
  <si>
    <t>13273120500</t>
  </si>
  <si>
    <t>13275960100</t>
  </si>
  <si>
    <t>13275960200</t>
  </si>
  <si>
    <t>13275960300</t>
  </si>
  <si>
    <t>13275960400</t>
  </si>
  <si>
    <t>13275960500</t>
  </si>
  <si>
    <t>13275960600</t>
  </si>
  <si>
    <t>13275960700</t>
  </si>
  <si>
    <t>13275960800</t>
  </si>
  <si>
    <t>13275960900</t>
  </si>
  <si>
    <t>13275961000</t>
  </si>
  <si>
    <t>13275961100</t>
  </si>
  <si>
    <t>13277960100</t>
  </si>
  <si>
    <t>13277960200</t>
  </si>
  <si>
    <t>13277960300</t>
  </si>
  <si>
    <t>13277960400</t>
  </si>
  <si>
    <t>13277960500</t>
  </si>
  <si>
    <t>13277960600</t>
  </si>
  <si>
    <t>13277960700</t>
  </si>
  <si>
    <t>13277960800</t>
  </si>
  <si>
    <t>13277960900</t>
  </si>
  <si>
    <t>13279970100</t>
  </si>
  <si>
    <t>13279970200</t>
  </si>
  <si>
    <t>13279970300</t>
  </si>
  <si>
    <t>13279970400</t>
  </si>
  <si>
    <t>13279970500</t>
  </si>
  <si>
    <t>13279970600</t>
  </si>
  <si>
    <t>13281960100</t>
  </si>
  <si>
    <t>13281960200</t>
  </si>
  <si>
    <t>13281960300</t>
  </si>
  <si>
    <t>13283960100</t>
  </si>
  <si>
    <t>13283960200</t>
  </si>
  <si>
    <t>13285960100</t>
  </si>
  <si>
    <t>13285960201</t>
  </si>
  <si>
    <t>13285960202</t>
  </si>
  <si>
    <t>13285960300</t>
  </si>
  <si>
    <t>13285960400</t>
  </si>
  <si>
    <t>13285960501</t>
  </si>
  <si>
    <t>13285960502</t>
  </si>
  <si>
    <t>13285960600</t>
  </si>
  <si>
    <t>13285960700</t>
  </si>
  <si>
    <t>13285960800</t>
  </si>
  <si>
    <t>13285960901</t>
  </si>
  <si>
    <t>13285960902</t>
  </si>
  <si>
    <t>13285961000</t>
  </si>
  <si>
    <t>13285961100</t>
  </si>
  <si>
    <t>13287970200</t>
  </si>
  <si>
    <t>13287970300</t>
  </si>
  <si>
    <t>13289060100</t>
  </si>
  <si>
    <t>13289060200</t>
  </si>
  <si>
    <t>13291000101</t>
  </si>
  <si>
    <t>13291000102</t>
  </si>
  <si>
    <t>13291000201</t>
  </si>
  <si>
    <t>13291000203</t>
  </si>
  <si>
    <t>13291000204</t>
  </si>
  <si>
    <t>13291000205</t>
  </si>
  <si>
    <t>13293010100</t>
  </si>
  <si>
    <t>13293010201</t>
  </si>
  <si>
    <t>13293010202</t>
  </si>
  <si>
    <t>13293010300</t>
  </si>
  <si>
    <t>13293010400</t>
  </si>
  <si>
    <t>13293010500</t>
  </si>
  <si>
    <t>13293010600</t>
  </si>
  <si>
    <t>13295020100</t>
  </si>
  <si>
    <t>13295020200</t>
  </si>
  <si>
    <t>13295020301</t>
  </si>
  <si>
    <t>13295020302</t>
  </si>
  <si>
    <t>13295020400</t>
  </si>
  <si>
    <t>13295020501</t>
  </si>
  <si>
    <t>13295020502</t>
  </si>
  <si>
    <t>13295020601</t>
  </si>
  <si>
    <t>13295020602</t>
  </si>
  <si>
    <t>13295020700</t>
  </si>
  <si>
    <t>13295020800</t>
  </si>
  <si>
    <t>13295020901</t>
  </si>
  <si>
    <t>13295020902</t>
  </si>
  <si>
    <t>13297110100</t>
  </si>
  <si>
    <t>13297110200</t>
  </si>
  <si>
    <t>13297110300</t>
  </si>
  <si>
    <t>13297110400</t>
  </si>
  <si>
    <t>13297110503</t>
  </si>
  <si>
    <t>13297110504</t>
  </si>
  <si>
    <t>13297110505</t>
  </si>
  <si>
    <t>13297110506</t>
  </si>
  <si>
    <t>13297110507</t>
  </si>
  <si>
    <t>13297110508</t>
  </si>
  <si>
    <t>13297110601</t>
  </si>
  <si>
    <t>13297110602</t>
  </si>
  <si>
    <t>13297110603</t>
  </si>
  <si>
    <t>13297110700</t>
  </si>
  <si>
    <t>13297110800</t>
  </si>
  <si>
    <t>13299950100</t>
  </si>
  <si>
    <t>13299950200</t>
  </si>
  <si>
    <t>13299950300</t>
  </si>
  <si>
    <t>13299950400</t>
  </si>
  <si>
    <t>13299950500</t>
  </si>
  <si>
    <t>13299950600</t>
  </si>
  <si>
    <t>13299950700</t>
  </si>
  <si>
    <t>13299950800</t>
  </si>
  <si>
    <t>13299950900</t>
  </si>
  <si>
    <t>13301970400</t>
  </si>
  <si>
    <t>13301970500</t>
  </si>
  <si>
    <t>13303950100</t>
  </si>
  <si>
    <t>13303950300</t>
  </si>
  <si>
    <t>13303950400</t>
  </si>
  <si>
    <t>13303950500</t>
  </si>
  <si>
    <t>13303950700</t>
  </si>
  <si>
    <t>13305970100</t>
  </si>
  <si>
    <t>13305970200</t>
  </si>
  <si>
    <t>13305970300</t>
  </si>
  <si>
    <t>13305970400</t>
  </si>
  <si>
    <t>13305970500</t>
  </si>
  <si>
    <t>13305970600</t>
  </si>
  <si>
    <t>13307960100</t>
  </si>
  <si>
    <t>13307960200</t>
  </si>
  <si>
    <t>13309780100</t>
  </si>
  <si>
    <t>13309780200</t>
  </si>
  <si>
    <t>13311950100</t>
  </si>
  <si>
    <t>13311950201</t>
  </si>
  <si>
    <t>13311950202</t>
  </si>
  <si>
    <t>13311950203</t>
  </si>
  <si>
    <t>13311950300</t>
  </si>
  <si>
    <t>13313000101</t>
  </si>
  <si>
    <t>13313000102</t>
  </si>
  <si>
    <t>13313000200</t>
  </si>
  <si>
    <t>13313000301</t>
  </si>
  <si>
    <t>13313000302</t>
  </si>
  <si>
    <t>13313000400</t>
  </si>
  <si>
    <t>13313000501</t>
  </si>
  <si>
    <t>13313000502</t>
  </si>
  <si>
    <t>13313000600</t>
  </si>
  <si>
    <t>13313000700</t>
  </si>
  <si>
    <t>13313000800</t>
  </si>
  <si>
    <t>13313000900</t>
  </si>
  <si>
    <t>13313001000</t>
  </si>
  <si>
    <t>13313001100</t>
  </si>
  <si>
    <t>13313001200</t>
  </si>
  <si>
    <t>13313001300</t>
  </si>
  <si>
    <t>13313001400</t>
  </si>
  <si>
    <t>13313001500</t>
  </si>
  <si>
    <t>13315960100</t>
  </si>
  <si>
    <t>13315960200</t>
  </si>
  <si>
    <t>13315960300</t>
  </si>
  <si>
    <t>13315960400</t>
  </si>
  <si>
    <t>13317010101</t>
  </si>
  <si>
    <t>13317010102</t>
  </si>
  <si>
    <t>13317010301</t>
  </si>
  <si>
    <t>13317010302</t>
  </si>
  <si>
    <t>13319960200</t>
  </si>
  <si>
    <t>13319960300</t>
  </si>
  <si>
    <t>13319960400</t>
  </si>
  <si>
    <t>13321950100</t>
  </si>
  <si>
    <t>13321950200</t>
  </si>
  <si>
    <t>13321950400</t>
  </si>
  <si>
    <t>13321950500</t>
  </si>
  <si>
    <t>13321950600</t>
  </si>
  <si>
    <t>Opportunity360 year used:</t>
  </si>
  <si>
    <t>Census Tract scored in this category?</t>
  </si>
  <si>
    <t>Enter GICH Community Name</t>
  </si>
  <si>
    <t>GICH Team is eligible?  It is a:</t>
  </si>
  <si>
    <r>
      <rPr>
        <i/>
        <sz val="8"/>
        <rFont val="Arial"/>
        <family val="2"/>
      </rPr>
      <t>Certified Alumni:</t>
    </r>
    <r>
      <rPr>
        <sz val="8"/>
        <rFont val="Arial"/>
        <family val="2"/>
      </rPr>
      <t xml:space="preserve"> successfully completed GICH Alumni Certification w/in past 2 yrs.  Certification Year:</t>
    </r>
  </si>
  <si>
    <t>Number of Public Housing Units reserved 
for and rented to:</t>
  </si>
  <si>
    <t>* Must be verified by applicant using following website:</t>
  </si>
  <si>
    <t>IDENTITY OF INTEREST  (Applicant MUST answer all questions.  Answer "No" for "N/A" situations.)</t>
  </si>
  <si>
    <t>ADDITIONAL INFORMATION  (Applicant MUST answer all questions. Answer "No" for "N/A" situations.)</t>
  </si>
  <si>
    <t>Submetered*?</t>
  </si>
  <si>
    <t>*New Construction units MUST be sub-metered.</t>
  </si>
  <si>
    <t>Historic Adaptive Reuse</t>
  </si>
  <si>
    <t>NOTE: If a PUCL Waiver has been approved by DCA, that amount would supercede the amounts shown at left.  DCA will enter it in the yellow Cost Waiver/DCA Override box above.</t>
  </si>
  <si>
    <t>as a Percent of TDC:</t>
  </si>
  <si>
    <t>TCAP acquisition loans passed through a Qualified CDFI revolving loan fund*</t>
  </si>
  <si>
    <t xml:space="preserve">x  units = </t>
  </si>
  <si>
    <r>
      <t>Total Common Area Square Footage</t>
    </r>
    <r>
      <rPr>
        <sz val="9"/>
        <color theme="0"/>
        <rFont val="Arial Narrow"/>
        <family val="2"/>
      </rPr>
      <t xml:space="preserve"> (from Nonresidential areas)</t>
    </r>
  </si>
  <si>
    <r>
      <t>Family or Senior</t>
    </r>
    <r>
      <rPr>
        <sz val="8"/>
        <color theme="0"/>
        <rFont val="Arial Narrow"/>
        <family val="2"/>
      </rPr>
      <t xml:space="preserve"> (if Senior, specify Elderly or HFOP)</t>
    </r>
  </si>
  <si>
    <r>
      <t xml:space="preserve">DCA HOME * </t>
    </r>
    <r>
      <rPr>
        <sz val="8"/>
        <color theme="0"/>
        <rFont val="Arial Narrow"/>
        <family val="2"/>
      </rPr>
      <t xml:space="preserve"> -- Amt $</t>
    </r>
  </si>
  <si>
    <r>
      <t>Other HOME *</t>
    </r>
    <r>
      <rPr>
        <sz val="8"/>
        <color theme="0"/>
        <rFont val="Arial Narrow"/>
        <family val="2"/>
      </rPr>
      <t xml:space="preserve"> -- Amt $</t>
    </r>
  </si>
  <si>
    <r>
      <t xml:space="preserve">Other HOME  -  </t>
    </r>
    <r>
      <rPr>
        <sz val="8"/>
        <color theme="0"/>
        <rFont val="Arial Narrow"/>
        <family val="2"/>
      </rPr>
      <t>Source</t>
    </r>
  </si>
  <si>
    <r>
      <rPr>
        <sz val="10"/>
        <color theme="0"/>
        <rFont val="Arial Narrow"/>
        <family val="2"/>
      </rPr>
      <t>HUD Sect 811 Supportive Housing</t>
    </r>
    <r>
      <rPr>
        <sz val="9"/>
        <color theme="0"/>
        <rFont val="Arial Narrow"/>
        <family val="2"/>
      </rPr>
      <t xml:space="preserve"> for Persons w/ Disabilities</t>
    </r>
  </si>
  <si>
    <r>
      <t xml:space="preserve">OTHER CONSTRUCTION HARD COSTS </t>
    </r>
    <r>
      <rPr>
        <sz val="8"/>
        <color theme="0"/>
        <rFont val="Arial Narrow"/>
        <family val="2"/>
      </rPr>
      <t>(Non-GC work scope items done by Owner)</t>
    </r>
  </si>
  <si>
    <r>
      <t xml:space="preserve">Certified Historic/ Deemed Historic? 
</t>
    </r>
    <r>
      <rPr>
        <sz val="8"/>
        <color theme="0"/>
        <rFont val="Arial"/>
        <family val="2"/>
      </rPr>
      <t>(See QAP)</t>
    </r>
  </si>
  <si>
    <r>
      <t>AMI</t>
    </r>
    <r>
      <rPr>
        <sz val="8"/>
        <color theme="0"/>
        <rFont val="Arial"/>
        <family val="2"/>
      </rPr>
      <t xml:space="preserve"> (MTSP)</t>
    </r>
  </si>
  <si>
    <r>
      <rPr>
        <sz val="9"/>
        <color theme="0"/>
        <rFont val="Arial"/>
        <family val="2"/>
      </rPr>
      <t>Equal distribution means the</t>
    </r>
    <r>
      <rPr>
        <sz val="10"/>
        <color theme="0"/>
        <rFont val="Arial"/>
        <family val="2"/>
      </rPr>
      <t xml:space="preserve"> </t>
    </r>
    <r>
      <rPr>
        <sz val="9"/>
        <color theme="0"/>
        <rFont val="Arial"/>
        <family val="2"/>
      </rPr>
      <t>Difference between the Proposed and Exact units is within 2 units - unless Pre-Approved otherwise by DCA</t>
    </r>
  </si>
  <si>
    <r>
      <t xml:space="preserve">Real Estate Taxes </t>
    </r>
    <r>
      <rPr>
        <sz val="8"/>
        <color theme="0"/>
        <rFont val="Arial"/>
        <family val="2"/>
      </rPr>
      <t>(Gross)*</t>
    </r>
  </si>
  <si>
    <r>
      <t>Asset Management Fee Amount</t>
    </r>
    <r>
      <rPr>
        <sz val="9"/>
        <color theme="0"/>
        <rFont val="Arial"/>
        <family val="2"/>
      </rPr>
      <t xml:space="preserve"> </t>
    </r>
    <r>
      <rPr>
        <sz val="8"/>
        <color theme="0"/>
        <rFont val="Arial"/>
        <family val="2"/>
      </rPr>
      <t>(include total charged by all lenders/investors)</t>
    </r>
    <r>
      <rPr>
        <sz val="7"/>
        <color theme="0"/>
        <rFont val="Arial"/>
        <family val="2"/>
      </rPr>
      <t>. DCA Yrly fee:</t>
    </r>
  </si>
  <si>
    <r>
      <t xml:space="preserve">Other Additional Amenities - Pre-Approved by DCA via Waiver </t>
    </r>
    <r>
      <rPr>
        <sz val="7"/>
        <color theme="0"/>
        <rFont val="Arial"/>
        <family val="2"/>
      </rPr>
      <t>(describe each separately below)</t>
    </r>
  </si>
  <si>
    <r>
      <t>Incomplete, Inaccurate, or Illegible Documents</t>
    </r>
    <r>
      <rPr>
        <sz val="6"/>
        <color theme="0"/>
        <rFont val="Arial"/>
        <family val="2"/>
      </rPr>
      <t>(includes core app)</t>
    </r>
  </si>
  <si>
    <r>
      <t>Publicly operated/sponsored and established transit service</t>
    </r>
    <r>
      <rPr>
        <sz val="8"/>
        <color theme="0"/>
        <rFont val="Arial"/>
        <family val="2"/>
      </rPr>
      <t xml:space="preserve"> 
</t>
    </r>
    <r>
      <rPr>
        <sz val="8"/>
        <color theme="0"/>
        <rFont val="Arial Narrow"/>
        <family val="2"/>
      </rPr>
      <t>(including on-call service onsite or fixed-route service within 1/2 mile of site entrance*)</t>
    </r>
  </si>
  <si>
    <r>
      <t xml:space="preserve">All District's School Names </t>
    </r>
    <r>
      <rPr>
        <sz val="6"/>
        <color theme="0"/>
        <rFont val="Arial"/>
        <family val="2"/>
      </rPr>
      <t>per CCRPI</t>
    </r>
  </si>
  <si>
    <r>
      <t xml:space="preserve">In the last 3 years, the CBD has participated or led philanthropic activities benefitting either 1) the community in which proposed development is to be located or 2) a targeted area surrounding their development in another Georgia community.  Attach QAP-required documentation in corresponding Application Binder tab </t>
    </r>
    <r>
      <rPr>
        <sz val="7"/>
        <color theme="0"/>
        <rFont val="Arial Narrow"/>
        <family val="2"/>
      </rPr>
      <t>(see Tabs Checklist)</t>
    </r>
    <r>
      <rPr>
        <sz val="8"/>
        <color theme="0"/>
        <rFont val="Arial"/>
        <family val="2"/>
      </rPr>
      <t>.</t>
    </r>
  </si>
  <si>
    <r>
      <t xml:space="preserve">Mortgage </t>
    </r>
    <r>
      <rPr>
        <b/>
        <sz val="8"/>
        <rFont val="Arial"/>
        <family val="2"/>
      </rPr>
      <t>A</t>
    </r>
    <r>
      <rPr>
        <sz val="8"/>
        <rFont val="Arial"/>
        <family val="2"/>
      </rPr>
      <t xml:space="preserve"> (Lien Position </t>
    </r>
    <r>
      <rPr>
        <b/>
        <sz val="8"/>
        <rFont val="Arial"/>
        <family val="2"/>
      </rPr>
      <t>1</t>
    </r>
    <r>
      <rPr>
        <sz val="8"/>
        <rFont val="Arial"/>
        <family val="2"/>
      </rPr>
      <t>)</t>
    </r>
  </si>
  <si>
    <r>
      <t xml:space="preserve">Mortgage </t>
    </r>
    <r>
      <rPr>
        <b/>
        <sz val="8"/>
        <rFont val="Arial"/>
        <family val="2"/>
      </rPr>
      <t>B</t>
    </r>
    <r>
      <rPr>
        <sz val="8"/>
        <rFont val="Arial"/>
        <family val="2"/>
      </rPr>
      <t xml:space="preserve"> (Lien Position </t>
    </r>
    <r>
      <rPr>
        <b/>
        <sz val="8"/>
        <rFont val="Arial"/>
        <family val="2"/>
      </rPr>
      <t>2</t>
    </r>
    <r>
      <rPr>
        <sz val="8"/>
        <rFont val="Arial"/>
        <family val="2"/>
      </rPr>
      <t>)</t>
    </r>
  </si>
  <si>
    <r>
      <t xml:space="preserve">Mortgage </t>
    </r>
    <r>
      <rPr>
        <b/>
        <sz val="8"/>
        <rFont val="Arial"/>
        <family val="2"/>
      </rPr>
      <t>C</t>
    </r>
    <r>
      <rPr>
        <sz val="8"/>
        <rFont val="Arial"/>
        <family val="2"/>
      </rPr>
      <t xml:space="preserve"> (Lien Position </t>
    </r>
    <r>
      <rPr>
        <b/>
        <sz val="8"/>
        <rFont val="Arial"/>
        <family val="2"/>
      </rPr>
      <t>3</t>
    </r>
    <r>
      <rPr>
        <sz val="8"/>
        <rFont val="Arial"/>
        <family val="2"/>
      </rPr>
      <t>)</t>
    </r>
  </si>
  <si>
    <t xml:space="preserve">HOME Unit Count with 10% Hedge </t>
  </si>
  <si>
    <t>Director, Office of Housing Finance</t>
  </si>
  <si>
    <t>Director, Housing Finance Division</t>
  </si>
  <si>
    <t>Unit Type / Nbr Bdrms</t>
  </si>
  <si>
    <t>Unit Count by Type Sublevel</t>
  </si>
  <si>
    <t xml:space="preserve">The Lesser of: </t>
  </si>
  <si>
    <t>Total Unit Count by Unit Type</t>
  </si>
  <si>
    <t>Unit Sq Ft by Type Sublevel</t>
  </si>
  <si>
    <r>
      <rPr>
        <b/>
        <sz val="12"/>
        <rFont val="Arial"/>
        <family val="2"/>
      </rPr>
      <t>RENT</t>
    </r>
    <r>
      <rPr>
        <sz val="12"/>
        <rFont val="Arial"/>
        <family val="2"/>
      </rPr>
      <t>: The Greater of:</t>
    </r>
  </si>
  <si>
    <r>
      <t xml:space="preserve">(a) </t>
    </r>
    <r>
      <rPr>
        <b/>
        <sz val="8"/>
        <rFont val="Arial"/>
        <family val="2"/>
      </rPr>
      <t>Low</t>
    </r>
    <r>
      <rPr>
        <sz val="8"/>
        <rFont val="Arial"/>
        <family val="2"/>
      </rPr>
      <t xml:space="preserve"> HOME Rent less the applicable utility allowance</t>
    </r>
  </si>
  <si>
    <r>
      <t xml:space="preserve">(b) </t>
    </r>
    <r>
      <rPr>
        <b/>
        <sz val="8"/>
        <rFont val="Arial"/>
        <family val="2"/>
      </rPr>
      <t>High</t>
    </r>
    <r>
      <rPr>
        <sz val="8"/>
        <rFont val="Arial"/>
        <family val="2"/>
      </rPr>
      <t xml:space="preserve"> HOME Rent less the applicable utility allowance</t>
    </r>
  </si>
  <si>
    <t>Proposed Gross Rent from the Rent Schedule tab for this AMI% and Unit Type / Bedroom style</t>
  </si>
  <si>
    <r>
      <t xml:space="preserve">DCA has included the following area for Applicants to make comments in any section they claimed points but were not provided with comment section.  Include the Section Numbers and Names you are referring to within this area along with any applicable comments.  </t>
    </r>
    <r>
      <rPr>
        <b/>
        <i/>
        <sz val="8"/>
        <rFont val="Arial"/>
        <family val="2"/>
      </rPr>
      <t>Please avoid using space lines between paragraphs.  Use indentation instead</t>
    </r>
    <r>
      <rPr>
        <i/>
        <sz val="8"/>
        <rFont val="Arial"/>
        <family val="2"/>
      </rPr>
      <t>.</t>
    </r>
  </si>
  <si>
    <t>Changes in the Project have occurred since pre-application?</t>
  </si>
  <si>
    <t>Nearest Physical Street Address *</t>
  </si>
  <si>
    <t>Legislative Districts **</t>
  </si>
  <si>
    <t>Type of Construction:</t>
  </si>
  <si>
    <t>PRESERVATION (Rehabilitation of Existing Subsidized Housing)</t>
  </si>
  <si>
    <t>LAND SELLER (If applicable)</t>
  </si>
  <si>
    <t>3. Org Type (FP,NP, CHDO)</t>
  </si>
  <si>
    <t>4.  Project Ownership Percentage</t>
  </si>
  <si>
    <t>5.  Does this entity or a member of this entity have a conflict of interest with any member, officer, or employee of an entity that partners or contracts with the Applicant?  If yes, explain briefly in boxes below and use Comment box at the bottom of this tab or attach explanation.</t>
  </si>
  <si>
    <t>Average TDC Per:             Unit:</t>
  </si>
  <si>
    <t>Enter Final Federal and State Equity Factors (not including GP contribution)</t>
  </si>
  <si>
    <t>Tax Credit PROJECT MAXIMUM - Lower of Basis Method, Gap Method or DCA Limit:</t>
  </si>
  <si>
    <t>Tax Credit REQUEST - Cannot exceed Tax Credit Project Maximum, but may be lower:</t>
  </si>
  <si>
    <t>DEVELOPMENT COST SCHEDULE
Section Name
Section's Other Line Item</t>
  </si>
  <si>
    <t xml:space="preserve">DCA-RELATED COSTS </t>
  </si>
  <si>
    <t xml:space="preserve">EQUITY COSTS </t>
  </si>
  <si>
    <t xml:space="preserve">OTHER COSTS </t>
  </si>
  <si>
    <t>Average Unit Sq Ft by AMI% Level</t>
  </si>
  <si>
    <t>Laundry, vending, app fees, etc.  Actual pct of PGI:</t>
  </si>
  <si>
    <t>NOT Included in Mgt Fee:</t>
  </si>
  <si>
    <t>Total OI NOT in Mgt Fee</t>
  </si>
  <si>
    <t>Green-shaded cells are unlocked for your use and contain references/formulas that may be overwritten if needed.</t>
  </si>
  <si>
    <t xml:space="preserve">Adverse Financial Impact - on LIHTC, HOME, National Housing Trust Fund, or CDBG-DR properties within the primary market area or in close proximity to 
the primary market area. The demand for units in the market area as well as timing of properties placed-in-service will be taken into consideration.
1)    Applicant has performed their own due diligence to determine if the property will have an adverse financial impact on pending DCA-funded properties near the proposed site? </t>
  </si>
  <si>
    <t>For 9% Credit developments, is site control provided through November 30, 2020?</t>
  </si>
  <si>
    <t>For 4% Credit developments, is site control provided through estimated bond closing date?</t>
  </si>
  <si>
    <t>The number of additional amenities required depends on the total unit count: 1-125 units = 2 amenities, 126+ units = 4 amenities</t>
  </si>
  <si>
    <t>a. Powder-based stovetop fire suppression canisters installed above the range cook top, OR</t>
  </si>
  <si>
    <t>Accessibility standards that must be met at the time of project completion by all projects under this QAP.  Upon completion, will this project comply with:</t>
  </si>
  <si>
    <t xml:space="preserve">a.  Will at least 5% of the total units (but no less than one unit) be equipped for the mobility disabled, including wheelchair restricted residents? </t>
  </si>
  <si>
    <t>b.  Roll-in showers will be incorporated into 40% of the mobility equipped units (but no fewer than one unit)?</t>
  </si>
  <si>
    <t>Will least an additional 2% of the total units (but no less than one unit) be equipped for hearing and sight-impaired residents?</t>
  </si>
  <si>
    <t>Constructed and Rehabilitation Construction Hard Costs - are the following minimum review standards for rehabilitation projects met or exceeded by this project?</t>
  </si>
  <si>
    <t>Additional Design Options - not listed above, proposed by Applicant prior to Application Submittal in accordance with Exhibit A DCA Pre-application and Pre-Award Deadlines and Fee Schedule, and subsequently approved by DCA.</t>
  </si>
  <si>
    <t>DCA Staff: List here any misplaced docs and the Tab Numbers where they were mistakenly placed.</t>
  </si>
  <si>
    <t>Eligibility - The Plan:</t>
  </si>
  <si>
    <t>Community Revitalization Plan - Application proposes to develop housing within 
a Targeted Area of a revitalization / redevelopment plan meeting CRP requirements.</t>
  </si>
  <si>
    <t>Community-Based Developer (CBD)</t>
  </si>
  <si>
    <t>Community Quarterback Board (CQB)</t>
  </si>
  <si>
    <t>Application is in the Flexible Pool and the proposed project is part of a Phased Development in which one or more phases received an allocation of 9% tax credits or 4% tax credits within the past six (6) Qualified Allocation Plans and at least one phase has commenced construction by the 2020 Application Submission deadline?</t>
  </si>
  <si>
    <t>15 Years Lookback Period</t>
  </si>
  <si>
    <t>Not been awarded 9% Credits</t>
  </si>
  <si>
    <t>Only received one (1) 9% Credits award</t>
  </si>
  <si>
    <t>Two to Six Years Lookback Period</t>
  </si>
  <si>
    <t>Six (6) DCA competitive funding cycles</t>
  </si>
  <si>
    <t>Four (4) DCA competitive funding cycles</t>
  </si>
  <si>
    <t>Three (3) DCA competitive funding cycles</t>
  </si>
  <si>
    <t>Two (2) DCA competitive funding cycles</t>
  </si>
  <si>
    <t>* Do not have to be used for permanent financing or be for a minimum period of 10 yrs.</t>
  </si>
  <si>
    <t>The property is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The historic structure must house at least 50% of the total units.</t>
  </si>
  <si>
    <t>If yes, explain briefly in boxes below and either use Comment box or attach explanation.</t>
  </si>
  <si>
    <t>Total Construction Hard Costs</t>
  </si>
  <si>
    <t>per Res'l unit</t>
  </si>
  <si>
    <t>per Res'l unit SF</t>
  </si>
  <si>
    <t>TOTAL DEVELOPMENT COST  (TDC)</t>
  </si>
  <si>
    <t>Total Development Cost (TDC)</t>
  </si>
  <si>
    <t>Disclaimer:  DCA Threshold and Scoring section reviews pertain only to the corresponding funding round and have no effect on subsequent or future funding round scoring decisions.</t>
  </si>
  <si>
    <t>5) Applicant understands that the PNA or work scope must not fail to address any major structural, building code, health, safety, marketing, accessibility, storm water retention, crawl space moisture, or other building system issue  Applicant agrees?</t>
  </si>
  <si>
    <t>CHDOS Only:  If the nonprofit entity is also a CHDO, is it a DCA-certified CHDO which must own 100% of the General Partnership entity?</t>
  </si>
  <si>
    <t>Applicant commits to accept DCA-led resident engagement. This paragraph does not constitute a commitment that DCA will seek resident feedback at all proposed developments with current occupants. However, if DCA chooses to conduct resident engagement at a proposed development, the Applicant will accept DCA-led resident engagement. By agreeing to this provision, the Applicant agrees to all conditions set forth in the resident engagement process by DCA.</t>
  </si>
  <si>
    <t>REMINDER: Applicants must include comments in sections where points are claimed.   Failure to do so will result in a one (1) point deduction.  Refer to QAP Scoring for requirements detail for all criteria.  Disclaimer: DCA Threshold and Scoring section reviews pertain only to the corresponding funding round and have no effect on subsequent or future funding round scoring decisions.</t>
  </si>
  <si>
    <t>Any points entered will be subtracted from score value.</t>
  </si>
  <si>
    <t>(Applicants start with 10 pts.  Any points entered will be subtracted from score value)</t>
  </si>
  <si>
    <t>Transportation route has a local route. Routes that only run direct or express routes will not qualify.</t>
  </si>
  <si>
    <t>Choose either option 1 or 2 under A.</t>
  </si>
  <si>
    <t>Choose only one option in B.</t>
  </si>
  <si>
    <t>Complete all blue cells for each school. Leave unused CCRPI cells empty. Sort by grade group.</t>
  </si>
  <si>
    <t>Solicits public input and engagement during its creation?</t>
  </si>
  <si>
    <t>CBD has successfully partnered with at least two (2) established community organizations (COs) that serve the area around the development (proposed or existing elsewhere in Georgia) in the last two years and can document that these partnerships have measurably improved community or resident outcomes?</t>
  </si>
  <si>
    <t>Applicants: Enter the column J Final amounts for these 3 lines into the column I boxes.  Enter the actual final nbr, not a reference formula.</t>
  </si>
  <si>
    <t>Blue-shaded cells are unlocked for Applicant use and do not contain references/formulas.</t>
  </si>
  <si>
    <t>Green-shaded cells are unlocked for Applicant use and do contain references/formulas that can be overwritten.</t>
  </si>
  <si>
    <t>Affordable nonpublic housing project</t>
  </si>
  <si>
    <t>Affordable public housing project</t>
  </si>
  <si>
    <t>Total Existing Units</t>
  </si>
  <si>
    <t>OTHER REQUIRED INFORMATION  -  Continued (Answer each of the questions below for each participant listed below.)</t>
  </si>
  <si>
    <t>*** NOTE: When selecting "PHA Operating Subsidy" in the "PBRA Provider or Operating Subsidy" column above, please also then enter a zero in the "Proposed Gross Rent" column above AND include the PHA operating subsidy amount in the "III. Ancillary and Other Income" section below.  Also refer to the Application Instructions provided separately.</t>
  </si>
  <si>
    <t xml:space="preserve">             Exact units needed for equal %</t>
  </si>
  <si>
    <t xml:space="preserve">             Diff between Proposed &amp; Exact</t>
  </si>
  <si>
    <t>Building Type: (for Utility Allowance, Monitoring Fees and other purposes)</t>
  </si>
  <si>
    <t>ANCILLARY AND OTHER INCOME  (annual amounts)</t>
  </si>
  <si>
    <t>NOTE to DCA Staff:  If the Applicant self-scored at the full point value for CTO, but DCA did not score CTO at full point value, then the Cost Waiver / DCA Override box here must be used to manually adjust to New Constr &amp; Acq/Rehab limits.</t>
  </si>
  <si>
    <t>The Census Tract for the property is characterized as [Choose either Minority concentration (50% or more minority), Racially mixed (25% - 49% minority), or Non-minority (less than 25% minority)]:</t>
  </si>
  <si>
    <t>Does the letter include the zoning and land use classification of the property?</t>
  </si>
  <si>
    <t xml:space="preserve">Applicant agrees to provide the following required Additional Site Amenities to conform with the DCA Amenities Guidebook.  </t>
  </si>
  <si>
    <t xml:space="preserve">2-4 adjustments/revisions = one (1) pt deduction total; then (1) pt deducted for each add'l adjustment.  </t>
  </si>
  <si>
    <t>Points Deducted:</t>
  </si>
  <si>
    <t>DCA Staff: Select "1" for a section if points claimed and its Applicant Scoring Justification is not considered "full" per the QAP.</t>
  </si>
  <si>
    <t>2-4 adjustments/revisions = one (1) pt deduction total; then (1) pt deducted for each add'l adjustment.</t>
  </si>
  <si>
    <t>DCA Staff: Select "1" for a Point Deduction in each line as applicable.</t>
  </si>
  <si>
    <t>Deeper Targeting through New PBRA Contracts</t>
  </si>
  <si>
    <t>Complete this section using results from completed current DCA Desirable/Undesirable Certification form.  Submit this completed form in both Excel and signed PDF, where indicated in Tabs Checklist.</t>
  </si>
  <si>
    <t>Site is owned by a public or local transit agency &amp; is strategically targeted by agency to create housing with on site or adjacent access to public transportation.</t>
  </si>
  <si>
    <t>For ALL options under this scoring criterion, 
regardless of Competitive Pool chosen, 
provide the information below for the transit agency/service:</t>
  </si>
  <si>
    <t>Site is within one (1) mile* walking distance of a transit hub</t>
  </si>
  <si>
    <t>Site is within a 0.25 mile* walking distance of an established public transportation stop</t>
  </si>
  <si>
    <t>Site is within a 0.5 mile* walking distance of an established public transportation stop</t>
  </si>
  <si>
    <t>Site is within a 1 mile* walking distance of an established public transportation stop</t>
  </si>
  <si>
    <t>Community garden
      The community garden will:</t>
  </si>
  <si>
    <t>Monthly healthy eating programs - will be free of charge to residents and may incorporate education about healthy food and/or access to healthy food?</t>
  </si>
  <si>
    <t>NOTE: 2017-2019 CCRPI 
Data Must Be Used</t>
  </si>
  <si>
    <t>b)  School Receives 2018 or 2019 “Beating the Odds” Designation?</t>
  </si>
  <si>
    <t>Applicants are ineligible to claim points in either Scoring Sections VII. Revitalization/ Redevelopment Plans or VIII. Community Transformation if claiming points in either Scoring Sections VI. Place-Based Opportunity or IX. Stable Communities.</t>
  </si>
  <si>
    <t>Is not a short-term work plan, comprehensive plan, consolidated plan, municipal zoning plan, or land use plan?</t>
  </si>
  <si>
    <t>Qualified Census Tract and Community Revitalization Plan</t>
  </si>
  <si>
    <t>Applicants are ineligible to claim points in either Scoring Sections:
VII. Revitalization/ Redevelopment Plans or 
VIII. Community Transformation 
if
 claiming points in either Scoring Sections 
VI. Place-Based Opportunity or 
IX. Stable Communities.</t>
  </si>
  <si>
    <t>NOTE: Projects that DCA determines are adjacent (as opposed to being Phased Developments) are not eligible for points.  
NOTE: In determining whether a project is a phased development, only the second and third phase of a project may receive these points.</t>
  </si>
  <si>
    <t>For purposes of this subsection A, if proposing a development in an incorporated area, the Local Government boundary must be of a municipality that was incorporated on or before January 1, 2014.  The proposed development site is within a current Local Government Boundary that, within the last 15 DCA Housing Credit Competitive Rounds, has:</t>
  </si>
  <si>
    <t>The proposed development site is not within the pool-specific buffer of a 9% Credit development that has received an award in the last:</t>
  </si>
  <si>
    <t>(Flexible Pool) The proposed development site is within a 1-mile radius of a transit hub as defined in Scoring IV. Community Transportation Options and is not within a 1-mile radius of a 9% Credit development that has received an award in the last:</t>
  </si>
  <si>
    <t>Owner commits, in addition to the commitment in (A). Waiver of Qualified Contract Right, to provide a right of first refusal to a nonprofit organization or a local housing authority in accordance with DCA requirements set forth in Exhibit B of Appendix II (Scoring), should the owner elect to transfer all or some of the owner’s interest in the property during the Compliance or Extended Use Period.</t>
  </si>
  <si>
    <t>Certified Alumni: successfully completed GICH Alumni Certification w/in past 2 yrs.  Certification Year:</t>
  </si>
  <si>
    <t>Application includes Letter from eligible GICH team that clearly:</t>
  </si>
  <si>
    <t>Indicate that the following criteria are met for all permanent sources of funds used:</t>
  </si>
  <si>
    <t>The proposed development includes historic tax credit proceeds and is an adaptive reuse of a certified historic structure (either listed individually on the National Register, or as a contributing structure in a National Register Historic District) or is deemed historic via a Georgia DNR-HPD approved NPS Part 1- Evaluation of Significance to have a preliminary determination of listing on the National Register. Adaptive reuse is defined as the change in use of a building. For purposes of this scoring section, the building or buildings being adaptively reused must constitute at least 30% of the total units.</t>
  </si>
  <si>
    <t>Hist Adaptive Reuse Units:</t>
  </si>
  <si>
    <r>
      <t xml:space="preserve">Pre-Application Number </t>
    </r>
    <r>
      <rPr>
        <sz val="8"/>
        <color theme="0"/>
        <rFont val="Arial Narrow"/>
        <family val="2"/>
      </rPr>
      <t>(REQUIRED)  -  use format 2020PA-###</t>
    </r>
  </si>
  <si>
    <r>
      <t>9-digit Zip</t>
    </r>
    <r>
      <rPr>
        <sz val="11"/>
        <color theme="0"/>
        <rFont val="Arial Narrow"/>
        <family val="2"/>
      </rPr>
      <t>**</t>
    </r>
  </si>
  <si>
    <r>
      <t xml:space="preserve">  * </t>
    </r>
    <r>
      <rPr>
        <sz val="8"/>
        <color theme="0"/>
        <rFont val="Arial Narrow"/>
        <family val="2"/>
      </rPr>
      <t>If street number unknown</t>
    </r>
  </si>
  <si>
    <r>
      <rPr>
        <sz val="10"/>
        <color theme="0"/>
        <rFont val="Arial Narrow"/>
        <family val="2"/>
      </rPr>
      <t>**</t>
    </r>
    <r>
      <rPr>
        <sz val="9"/>
        <color theme="0"/>
        <rFont val="Arial Narrow"/>
        <family val="2"/>
      </rPr>
      <t xml:space="preserve"> Must be verified by applicant using following websites:</t>
    </r>
  </si>
  <si>
    <r>
      <t xml:space="preserve">DEVELOPMENT BUDGET </t>
    </r>
    <r>
      <rPr>
        <sz val="8"/>
        <color theme="0"/>
        <rFont val="Arial Narrow"/>
        <family val="2"/>
      </rPr>
      <t>(cont'd)</t>
    </r>
  </si>
  <si>
    <r>
      <t xml:space="preserve">DEVELOPMENT BUDGET </t>
    </r>
    <r>
      <rPr>
        <sz val="8"/>
        <color theme="0"/>
        <rFont val="Arial Narrow"/>
        <family val="2"/>
      </rPr>
      <t xml:space="preserve"> (cont'd)</t>
    </r>
  </si>
  <si>
    <r>
      <t>Tax Credit ALLOCATION -</t>
    </r>
    <r>
      <rPr>
        <sz val="10"/>
        <color theme="0"/>
        <rFont val="Arial Narrow"/>
        <family val="2"/>
      </rPr>
      <t xml:space="preserve"> Lower of Tax Credit Request and Tax Credit Project Maximum</t>
    </r>
  </si>
  <si>
    <r>
      <t xml:space="preserve">Subsidy </t>
    </r>
    <r>
      <rPr>
        <sz val="10"/>
        <color theme="0"/>
        <rFont val="Arial"/>
        <family val="2"/>
      </rPr>
      <t>***</t>
    </r>
  </si>
  <si>
    <r>
      <t xml:space="preserve">UNIT SUMMARY </t>
    </r>
    <r>
      <rPr>
        <sz val="9"/>
        <color theme="0"/>
        <rFont val="Arial"/>
        <family val="2"/>
      </rPr>
      <t>(Continued)</t>
    </r>
  </si>
  <si>
    <r>
      <t xml:space="preserve">Building Type:
(for Cost Limit purposes only - </t>
    </r>
    <r>
      <rPr>
        <sz val="8"/>
        <color theme="0"/>
        <rFont val="Arial"/>
        <family val="2"/>
      </rPr>
      <t>see Application Instructions for further detail</t>
    </r>
    <r>
      <rPr>
        <sz val="10"/>
        <color theme="0"/>
        <rFont val="Arial"/>
        <family val="2"/>
      </rPr>
      <t>)</t>
    </r>
  </si>
  <si>
    <r>
      <t xml:space="preserve">Average Unit Square Footage by Unit Configuration </t>
    </r>
    <r>
      <rPr>
        <sz val="8"/>
        <color theme="0"/>
        <rFont val="Arial"/>
        <family val="2"/>
      </rPr>
      <t>(Nbr of Bedrooms)</t>
    </r>
  </si>
  <si>
    <r>
      <t>Applicant agrees to provide following required Standard Site Amenities in conformance with DCA Amenities Guidebook</t>
    </r>
    <r>
      <rPr>
        <sz val="6"/>
        <color theme="0"/>
        <rFont val="Arial"/>
        <family val="2"/>
      </rPr>
      <t xml:space="preserve"> </t>
    </r>
    <r>
      <rPr>
        <sz val="7"/>
        <color theme="0"/>
        <rFont val="Arial"/>
        <family val="2"/>
      </rPr>
      <t>(select one in each category)</t>
    </r>
    <r>
      <rPr>
        <sz val="8"/>
        <color theme="0"/>
        <rFont val="Arial"/>
        <family val="2"/>
      </rPr>
      <t>:</t>
    </r>
  </si>
  <si>
    <r>
      <rPr>
        <sz val="14"/>
        <color theme="0"/>
        <rFont val="Arial"/>
        <family val="2"/>
      </rPr>
      <t xml:space="preserve">NOTE to DCA Staff: </t>
    </r>
    <r>
      <rPr>
        <sz val="11"/>
        <color theme="0"/>
        <rFont val="Arial"/>
        <family val="2"/>
      </rPr>
      <t xml:space="preserve">
If the Applicant self-scored at the full point value for CTO, but DCA did not score at the full value, then the Waiver/DCA Override box in the Threshold Cost Limits section must be used to adjust to New Constr &amp; Acq/Rehab limits.</t>
    </r>
  </si>
  <si>
    <r>
      <rPr>
        <sz val="8"/>
        <color theme="0"/>
        <rFont val="Arial"/>
        <family val="2"/>
      </rPr>
      <t>Distance*</t>
    </r>
    <r>
      <rPr>
        <sz val="8"/>
        <color theme="0"/>
        <rFont val="Arial Narrow"/>
        <family val="2"/>
      </rPr>
      <t xml:space="preserve"> (miles)</t>
    </r>
  </si>
  <si>
    <r>
      <t xml:space="preserve"> </t>
    </r>
    <r>
      <rPr>
        <sz val="10"/>
        <color theme="0"/>
        <rFont val="Arial"/>
        <family val="2"/>
      </rPr>
      <t xml:space="preserve">* </t>
    </r>
    <r>
      <rPr>
        <sz val="8"/>
        <color theme="0"/>
        <rFont val="Arial"/>
        <family val="2"/>
      </rPr>
      <t>Walking distance route provided must be from Google Maps, and route must be from the geo-coordinates of the pedestrian site entrance to the transit stop.  DCA will verify distances in this manner.</t>
    </r>
  </si>
  <si>
    <r>
      <t xml:space="preserve">Project is NOT located in a census tract that meets the above demographics according to the most recent FFIEC Census Report (www.ffiec.gov/Census/), but IS located within 1/4 mile of a census tract that does meet the above demographics. </t>
    </r>
    <r>
      <rPr>
        <sz val="6"/>
        <color theme="0"/>
        <rFont val="Arial"/>
        <family val="2"/>
      </rPr>
      <t xml:space="preserve"> </t>
    </r>
    <r>
      <rPr>
        <sz val="8"/>
        <color theme="0"/>
        <rFont val="Arial"/>
        <family val="2"/>
      </rPr>
      <t>(Applicant answer to Question 1 above cannot be "Yes".)</t>
    </r>
  </si>
  <si>
    <r>
      <rPr>
        <sz val="7"/>
        <color theme="0"/>
        <rFont val="Arial Narrow"/>
        <family val="2"/>
      </rPr>
      <t>OR</t>
    </r>
    <r>
      <rPr>
        <sz val="9"/>
        <color theme="0"/>
        <rFont val="Arial"/>
        <family val="2"/>
      </rPr>
      <t xml:space="preserve"> B.</t>
    </r>
  </si>
  <si>
    <t>The Georgia Department of Community Affairs (DCA) is committed to providing all persons with equal access to its services, programs, activities, education and employment regardless of race, color, national origin, religion, sex, familial status, disability or age.   For a reasonable accommodation please contact Rachael Allen at 404-982-3483 or email fairhousing@dca.ga.gov.</t>
  </si>
  <si>
    <r>
      <t xml:space="preserve">A1. </t>
    </r>
    <r>
      <rPr>
        <sz val="9"/>
        <rFont val="Arial Narrow"/>
        <family val="2"/>
      </rPr>
      <t>Missing Documents Needed 
for QAP Core or Threshold Sections</t>
    </r>
  </si>
  <si>
    <r>
      <t xml:space="preserve">B. </t>
    </r>
    <r>
      <rPr>
        <sz val="8"/>
        <rFont val="Arial"/>
        <family val="2"/>
      </rPr>
      <t>Financial and Other Adjustments/ Revisions:</t>
    </r>
  </si>
  <si>
    <r>
      <t xml:space="preserve">A2.  </t>
    </r>
    <r>
      <rPr>
        <sz val="8"/>
        <rFont val="Arial"/>
        <family val="2"/>
      </rPr>
      <t>Incomplete, Inaccurate, or Illegible Docs
Needed for QAP Core or Threshold Sections</t>
    </r>
  </si>
  <si>
    <t>May 26, 2020 Version</t>
  </si>
  <si>
    <t>9% Credit Competitive Round only</t>
  </si>
  <si>
    <t>2020PA-005</t>
  </si>
  <si>
    <t>Kevin Buckner</t>
  </si>
  <si>
    <t>3825 Paces Walk SE, Suite 100</t>
  </si>
  <si>
    <t xml:space="preserve">kbuckner@tbgresidential.com </t>
  </si>
  <si>
    <t>President</t>
  </si>
  <si>
    <t>TBG Residential</t>
  </si>
  <si>
    <t xml:space="preserve">Atlanta </t>
  </si>
  <si>
    <t xml:space="preserve">ajohnson@tbgresidential.com </t>
  </si>
  <si>
    <t xml:space="preserve">Amelia Johnson </t>
  </si>
  <si>
    <t xml:space="preserve">VP of Development </t>
  </si>
  <si>
    <t xml:space="preserve">Kevin Buckner </t>
  </si>
  <si>
    <t>www.tbgresidential.com</t>
  </si>
  <si>
    <t>Harper Woods II</t>
  </si>
  <si>
    <t xml:space="preserve">6000 Warm Springs Road </t>
  </si>
  <si>
    <t>Consolidated Government</t>
  </si>
  <si>
    <t>Yes- w/Master Plan</t>
  </si>
  <si>
    <t>2019-006</t>
  </si>
  <si>
    <t>101.06</t>
  </si>
  <si>
    <t>Columbus Consolidated Government</t>
  </si>
  <si>
    <t>B.H. "Skip" Henderson III</t>
  </si>
  <si>
    <t xml:space="preserve">Mayor </t>
  </si>
  <si>
    <t>100 10th Street, 6th Floor, Government Town Center</t>
  </si>
  <si>
    <t>www.columbusga.gov</t>
  </si>
  <si>
    <t xml:space="preserve">SkipHenderson@columbusga.org </t>
  </si>
  <si>
    <t>N/a</t>
  </si>
  <si>
    <t>Kevin N. Buckner</t>
  </si>
  <si>
    <t xml:space="preserve">Bradley K. Smith </t>
  </si>
  <si>
    <t>Olivia B. Buckner</t>
  </si>
  <si>
    <t>Sarah C. Buckner</t>
  </si>
  <si>
    <t>Legion Park</t>
  </si>
  <si>
    <t>Direct</t>
  </si>
  <si>
    <t>Both</t>
  </si>
  <si>
    <t>The Housing Authority of the City of Columbus</t>
  </si>
  <si>
    <t>100 Wynnton Road</t>
  </si>
  <si>
    <t xml:space="preserve">Columbus </t>
  </si>
  <si>
    <t>https://www.columbushousing.org/</t>
  </si>
  <si>
    <t>J. Len Williams</t>
  </si>
  <si>
    <t xml:space="preserve">Chief Executive Officer </t>
  </si>
  <si>
    <t>Harper Woods Apartments II, LP</t>
  </si>
  <si>
    <t>Manager</t>
  </si>
  <si>
    <t>For Profit</t>
  </si>
  <si>
    <t>TBG Harper Woods II, LLC</t>
  </si>
  <si>
    <t>800 Shades Creek Parkway</t>
  </si>
  <si>
    <t>www.synovus.com</t>
  </si>
  <si>
    <t>Synovus Bank</t>
  </si>
  <si>
    <t>reeddolihite@synovus.com</t>
  </si>
  <si>
    <t>Reed Dolihite</t>
  </si>
  <si>
    <t>Director, Community Investment Capital</t>
  </si>
  <si>
    <t>TBG Harper Woods II Investments, LLC</t>
  </si>
  <si>
    <t>TBG Development Services, Inc</t>
  </si>
  <si>
    <t>TBG Construction, Inc</t>
  </si>
  <si>
    <t xml:space="preserve">President </t>
  </si>
  <si>
    <t xml:space="preserve">Coleman Talley, LP </t>
  </si>
  <si>
    <t>www.colemantalley.com</t>
  </si>
  <si>
    <t xml:space="preserve">greg.clark@colemantalley.com </t>
  </si>
  <si>
    <t>Greg Clark</t>
  </si>
  <si>
    <t>Partner</t>
  </si>
  <si>
    <t>Aprio, LLC</t>
  </si>
  <si>
    <t>Five Concourse Parkway, Suite 100</t>
  </si>
  <si>
    <t>alison.fossyl@aprio.com</t>
  </si>
  <si>
    <t>www.aprio.com</t>
  </si>
  <si>
    <t xml:space="preserve">Alison Fossyl, CPA </t>
  </si>
  <si>
    <t>Martin Riley Associates</t>
  </si>
  <si>
    <t>215 Church Street, Suite 200</t>
  </si>
  <si>
    <t>www.martinriley.com</t>
  </si>
  <si>
    <t xml:space="preserve">mriley@martinriley.com </t>
  </si>
  <si>
    <t>Miachel T. Riley</t>
  </si>
  <si>
    <t>Vice President</t>
  </si>
  <si>
    <t xml:space="preserve">TBG Development Services, Inc </t>
  </si>
  <si>
    <t xml:space="preserve">Kevin Buckner is the President of TBG Construction, Inc. (Contractor) and TBG Development Services, Inc. (Developer). </t>
  </si>
  <si>
    <t xml:space="preserve">TBG Development Services, Inc.  and Harper Woods Apartments II, LP have the same principal/ president (Kevin Buckner). </t>
  </si>
  <si>
    <t xml:space="preserve">Kevin Buckner is the President of TBG Construction, Inc. (Contractor) and Managing Member of the GP entity. </t>
  </si>
  <si>
    <t xml:space="preserve">Kevin Buckner is the President of TBG Development Services, Inc. (Developer) and a member of the State Limited Partner. </t>
  </si>
  <si>
    <t xml:space="preserve">Kevin Buckner is the President of TBG Construction, Inc. (Contractor) and  a member of the State Limited Partner. </t>
  </si>
  <si>
    <t xml:space="preserve">An identity of interest exists between the owner, Harper Woods II Apartments, LP and the developer, TBG Development Services, Inc. </t>
  </si>
  <si>
    <t xml:space="preserve">Owner and Developer </t>
  </si>
  <si>
    <t xml:space="preserve">A member of the GP is also president of the general contractor, property management company and developer.Two members of the managing general partner are members of the State Limited Partner. </t>
  </si>
  <si>
    <t xml:space="preserve">Kevin Buckner is the President of TBG Construction, Inc. (Contractor), TBG Development Services, Inc. (Developer), and TBG Management Inc. (Management Company). Kevin Buckner is a member of the General Partner, TBG Harper Woods II, LLC. Kevin Buckner is  member of the State Limited Partner, TBG Harper Woods II Investments, LLC. </t>
  </si>
  <si>
    <t xml:space="preserve">City of Columbus </t>
  </si>
  <si>
    <t>City of Columbus HOME Loan</t>
  </si>
  <si>
    <t>Amortizing</t>
  </si>
  <si>
    <t xml:space="preserve">TBG Development Services, Inc. </t>
  </si>
  <si>
    <t xml:space="preserve">Bank Miscellaneous Fees </t>
  </si>
  <si>
    <t xml:space="preserve">3rd Party Cost Review </t>
  </si>
  <si>
    <t>City of Columbus Construction Period Interest</t>
  </si>
  <si>
    <t>Intangible Taxes</t>
  </si>
  <si>
    <t>These costs are related to the construction of the building and are allowed in basis.</t>
  </si>
  <si>
    <t xml:space="preserve">This cost is related to the contruction of the building and are allowed in basis. </t>
  </si>
  <si>
    <t>When closing the construction loan, the construction lender charges for an up front plan and cost review fee, an appraisal fee, flood certificate, environmental review fee and an accounting forecast charge.</t>
  </si>
  <si>
    <t>The Ctty of Columbus is providing an interest only loan at 1% for the construction Period.  See TAB 01 for the calculation of this amount.</t>
  </si>
  <si>
    <t>Interest included here pertains to the construction portion of this loan and is eligible.</t>
  </si>
  <si>
    <t>A landscaping plan will be required for permitting.</t>
  </si>
  <si>
    <t>This cost is eligible just as are the architectural and civil plans.</t>
  </si>
  <si>
    <t xml:space="preserve">The Housing Authority of Columbus </t>
  </si>
  <si>
    <t>3+ Story Elevator</t>
  </si>
  <si>
    <t>Electric Heat Pump</t>
  </si>
  <si>
    <t>Applicant has met Threshold by agreeing to the above statements and that all selcted services will meet QAP policies. Since there are 72 units in this senior project, Applicant will include at least two services from two of the service categories stated in the 2020 QAP.</t>
  </si>
  <si>
    <t>Agree</t>
  </si>
  <si>
    <t>N/ap</t>
  </si>
  <si>
    <t>N/Ap</t>
  </si>
  <si>
    <t>Real Property Research Group</t>
  </si>
  <si>
    <t>11 units/ month for 6 months</t>
  </si>
  <si>
    <t>2001-533</t>
  </si>
  <si>
    <t>Northgate Village</t>
  </si>
  <si>
    <t>2018-050</t>
  </si>
  <si>
    <t>Highland Kayne</t>
  </si>
  <si>
    <t xml:space="preserve">Harper Woods </t>
  </si>
  <si>
    <t xml:space="preserve">Novogradac </t>
  </si>
  <si>
    <t xml:space="preserve">Geotechnical and Environmental Consultants </t>
  </si>
  <si>
    <t>&lt;65</t>
  </si>
  <si>
    <t>Purchase Contract</t>
  </si>
  <si>
    <t xml:space="preserve">Applicant has met Threshold by specifying an entrance to the site  that is legally accessible by paved roads (Warm Springs Road).  See map in TAB 9. </t>
  </si>
  <si>
    <t xml:space="preserve">Georgia Power </t>
  </si>
  <si>
    <t>Applicant has met Threshold because operating utilities are available to the project. The project will not utilize gas service.  The electricity availability letter is in TAB 11.</t>
  </si>
  <si>
    <t>Columbus Water Works</t>
  </si>
  <si>
    <t>Room</t>
  </si>
  <si>
    <t>Covered Porch</t>
  </si>
  <si>
    <t>Yes - W&amp;D hookups installed in each unit</t>
  </si>
  <si>
    <t>On-site laundry</t>
  </si>
  <si>
    <t xml:space="preserve">The project does not include rehabilitation. </t>
  </si>
  <si>
    <t>Terracon</t>
  </si>
  <si>
    <t xml:space="preserve">Applicant has met Threshold by agreeding to all of DCA's accessibility standards stated above and in the 2020 QAP. </t>
  </si>
  <si>
    <t xml:space="preserve">Applicant has met Threshold because the Certifying Entities in this application (Kevin Buckner and TBG Development Services, Inc) were deemed qualified without conditions in the 2020 Pre-Application process. The 2020 determination letter can be found in Tab 19. </t>
  </si>
  <si>
    <t xml:space="preserve">A qualified nonprofit is not part of this application. </t>
  </si>
  <si>
    <t xml:space="preserve">The project is not in the Rural HOME Preservation Set Aside. </t>
  </si>
  <si>
    <t xml:space="preserve">A CHDO is not part of this ownership structure for this Application. </t>
  </si>
  <si>
    <t xml:space="preserve">No legal opinions are required for this application. </t>
  </si>
  <si>
    <t xml:space="preserve">Applicant is not relocating or displacing any tenants. </t>
  </si>
  <si>
    <t xml:space="preserve">Applicant has met Threshold by agreeing to all of the above. </t>
  </si>
  <si>
    <t xml:space="preserve">Applicant has met Threshold by agreeing to the above statements and for providing the required number of one-bedroom units. </t>
  </si>
  <si>
    <t xml:space="preserve">Applicant has met Threshold here by structuring this project in a way that adheres to all of DCA's underwriting Policies. Applicant believes the requested allocation represents an appropriate amount that is consistent with the project scope and budget. Applicant has efficently assembled the project design, financing, and tenant sevices to best fit with DCA's current policies and objectives. </t>
  </si>
  <si>
    <t>https://www.columbusga.gov/Portals/metra/pdfs/Route06.pdf</t>
  </si>
  <si>
    <t>metrainfo@columbusga.org</t>
  </si>
  <si>
    <t xml:space="preserve">METRA Transit System </t>
  </si>
  <si>
    <t xml:space="preserve">Piedmont Columbus Regional </t>
  </si>
  <si>
    <t>Blood Pressure Screenings</t>
  </si>
  <si>
    <t xml:space="preserve">Health Education for Residents </t>
  </si>
  <si>
    <t>monthly</t>
  </si>
  <si>
    <t xml:space="preserve">This newsletter will cover a wide variety of topics that will include a variety of topics including the benefits of fresh fruits and vegetables, dangers of fast food, healthy ways to lose weight and how food directly affects one’s physical well-being.  </t>
  </si>
  <si>
    <t xml:space="preserve">Choose My Plate is a free online resource. This program focuses on learning a healthy eating style that incorporates the following elements: (1) choosing an eating style low in saturated fat, sodium, and added sugars (2) focus on variety, amount and nutrition, and (3) start with small changes. </t>
  </si>
  <si>
    <t xml:space="preserve">Food Network is a free online resource. Sample topics on the site include the following: (1) Your Friend the Freezer, (2) Beans: Vegetarian Protein, (3) Savings at the Butcher, (4) Affordable Super Foods, and (5) Chef's Dollar Stretching Tips. </t>
  </si>
  <si>
    <t>Healthy Eating Newsletter</t>
  </si>
  <si>
    <t>Choose My Plate</t>
  </si>
  <si>
    <t>Food Network</t>
  </si>
  <si>
    <t xml:space="preserve">Applicant is claiming points in this section for Preventative Health Care (3 points) and Healthy Eating Initiative (1 point).  Applicant has committed to promote and measure residents' positive health outcomes with these initiatives.  Blood Pressure Screenings and  resident education are two ways Harper Woods II intends to carry out its Healthy Way program.  Through a partnership with Piedmont Columbus Regional, on-site, monthly blood pressure screenings, will be offered to tenants by their Mobile Unit.  The results of these screenings may be used to identify potential cardiovascular issues such as hypertension, hypotension, heart disease or other conditions.   Another service offered by the Mobile Unit is Ask A Nurse. Through this program, tenants will have the opportunity to talk to a registered nurse about important health issues and will receive referrals based on these conversations.   The convenience of monthly onsite visits from the Mobile Unit will promote early intervention and referrals as necessary.   As the next step, Healthy Way will work to improve participants’ knowledge about what those numbers mean, associated health implications and risks, and how to work on certain behaviors to improve their numbers and manage their blood pressure.  Participants will receive informational pamphlets from the staff of the Mobile Unit which detail the health topics discussed and offer information on health resources.   Residents will be encouraged to utilize Empowered to Serve, an online resource offering health lessons, work out videos and numerous articles relating to a healthy lifestyle.  
Tenants will also enjoy free monthly healthy eating newsletter and free online healthy eating resources.  The project will have a community garden accessible to all residents. This garden is noted on the CSP1. and CSP3. in TAB 15.  The Applicant will ensure that the basic organization and managment of the garden is maintained.      Harper Woods II will track outcomes of tenants' progress and provide DCA with an annual report regarding the biometric screenings and other required performance measurements.  See TAB 29 for required documentation.  Applicant is claiming a total of 4 points in this category.  </t>
  </si>
  <si>
    <t>Muscogee County School System</t>
  </si>
  <si>
    <t>Midland Academy</t>
  </si>
  <si>
    <t>Midland Middle School</t>
  </si>
  <si>
    <t xml:space="preserve">Shaw High School </t>
  </si>
  <si>
    <t xml:space="preserve">Applicant is not claiming points in this category. </t>
  </si>
  <si>
    <t>Upper</t>
  </si>
  <si>
    <t>101.07</t>
  </si>
  <si>
    <t xml:space="preserve">Applicant qualifies for 3 points in this category.  Applicant is taking two points in this category because our site is located within 1/4 mile of a census tract having less than 5% below poverty level and is designated Upper Income level.  Our site is in census tract 101.06 and the census tract that meets the requirements for these points is 101.07. Census tract 101.07 is adjacent to our site.   The most recent FFIEC Census Report demonstrating the project meets these requirements can be found in TAB 33. We are also taking 1 point under Enterprise Community Partners Opportunity 360 for receiving a State percentile of 60% or greater in Health and well-being. </t>
  </si>
  <si>
    <t>Applicant Is not claiming points in this category.</t>
  </si>
  <si>
    <t>Harper Woods</t>
  </si>
  <si>
    <t xml:space="preserve">Applicant is not claiming points in this section. </t>
  </si>
  <si>
    <t xml:space="preserve">The applicant meets threshold in this section because Harper Woods II is receiving a HOME Loan from the City of Columbus for $625,000. This loan is at least 5% of the Total Development Cost. This loan is for the construction and permanent financing of Harper Woods II. </t>
  </si>
  <si>
    <t>City of Columbus Review Fee</t>
  </si>
  <si>
    <t xml:space="preserve">Synovus Bank Construction Loan </t>
  </si>
  <si>
    <t xml:space="preserve">Synovus Bank Bridge Loan </t>
  </si>
  <si>
    <t>jlwilliams@columbushousing.org</t>
  </si>
  <si>
    <t>Managing Member</t>
  </si>
  <si>
    <t xml:space="preserve">Birmingham </t>
  </si>
  <si>
    <t>1 Independent Dr, Suite 3130</t>
  </si>
  <si>
    <t xml:space="preserve">Applicant has met Threshold because project costs are within DCA's Cost Limits. Please note that the Unit Cost Limits shown above utilize HUD's 2019 TDC Limits for buildings with elevators.  This project contains elevators and has three story walk-up buildings as noted on the Revenues &amp; Expenses tab. </t>
  </si>
  <si>
    <t>Applicant has met Threshold by adhereing to DCA design and quality standards. This is not a rehabilitation project, therefore, item A above was left blank. Applicant did not request and additional design options, therefore, item C was left blank.</t>
  </si>
  <si>
    <t xml:space="preserve">Applicant claims 10 points in this category for the following desirable activities/characteristics that are within a 1.5 mile walking/driving distance from the site: Family Dollar, Walmart and Walmart Pharmacy, Trevioli Kitchen, Piedmont Urgent Care, Generations Knowledge &amp; Care, Blackmon Road Middle School, Flat Rock Park and Solid Rock Assembly of God.  See TAB 27 for the Desirable/Undesirable Certification Form and required maps.    There are no undesirable activities/characteristics located within  1/4th mile radius from the site.    </t>
  </si>
  <si>
    <t>Asbestos and Lead Based Paint abatement and disposal</t>
  </si>
  <si>
    <t>This review fee is required by the City of Columbus prior to issuing building permits. Cost is based on Phase I review.</t>
  </si>
  <si>
    <t xml:space="preserve">There is an overage and a deficit created in Equity Check above because Synovus is purchasing 98.991% of the Federal Credits. TBG Harper Woods II Investments, LLC is purchasing 1% of the Federal Credits at federal pricing and 100% of the State Credits at state pricing. The Synovus construction/bridge loan interest rate is 4.00% (325 bsp above LIBOR + Synovus LIBOR floor of .75)  LIBOR as of May 1, 2020 was .30338%.Documentation can be found in TAB 01.
The interest rate on the City of Columbus HOME loan applicable to the construction period is 1% interest only per the commitment letter found in TAB 01. This loan has a 15 year term; a 2 year construction phase plus a 13 year permanent phase. Our proforma assumes that the HOME loan will convert to the permanent phase at Placed In Service, and there will be a ballon note at year 13.
</t>
  </si>
  <si>
    <t>Intangible taxes in Georgia are $1.50 per $500 of the long term debt, capped at $25,000. Our perm loan amount is $930,000.  The loan amount $902,000/ $500 = 2,000 x $1.50 =$2,790.</t>
  </si>
  <si>
    <t>APPLICANTS: Explain any any debt service payment amounts that deviate from the amount shown in Permanent Sources (Part III)
Synovus' asset management fee is $5,400 annually escallating at 3% a year.  The state investor will not charge an asset management fee.
The HOME loan has a 15 year term; a 2 year construction phase plus a 13 year permanent phase. Our proforma assumes that the HOME loan will convert to the permanent phase at Placed In Service,  and there will be a ballon note after year 13.</t>
  </si>
  <si>
    <t xml:space="preserve">Applicant has met Threshold by providing a Phase I Environmental Report that adheres to all requriements in the 2020 Environmental Manual.  There are no floodplains, streams, wetlands or recognized environmental conditions (RECs) on this site. There are asbestos containing materials on the residential structure that is  located on the subject property.  Applicant will properly abate the asbestos containing material. 
There were levels of lead measured on coated components throughout the three structures on the site but at levels below that would deem the coating lead based paint. There is also lead present in the soil at the site, but all concentrations exhibited are below EPD's notification concentration, except the soil around the main house. This soil around the main house will be abated.  
Refer to Phase I for further explanation in Tab 07. </t>
  </si>
  <si>
    <t xml:space="preserve">Applicant has met Threshold because the project will include all required standard site amenities. The Site Information and Conceptual Site Development Plan in TAB 15 include the location of these amenities. </t>
  </si>
  <si>
    <t xml:space="preserve">Applicant is taking points because Harper Woods II is located in the attendance zone of Midland Academy  High Performing School in Muscogee County according to Georgia's performance evaluation system (CCRPI). Harper Woods II is also within the attendance zone of Midland Middle School with "Beating the Odds Designation" for 2019. See Tab 30 for attendance zone maps and data from CCRPI and BTO.  </t>
  </si>
  <si>
    <t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Property Taxes were calculated as follows:  Property Tax Eagle estimated the FMV of  this property at $2,613,900.   Using the income approach to value prescribed by DOR requires application of a factor of 40% Assessment Ratio to FMV to developed Assessed Value (AV) of $1,045,560.  The estimated millage of .0405 is then applied to AV  to derive an estimated property tax liability of $42,345 for year-one.  See documentation from our property tax advisor in TAB 01.
Property insurance is based on $295/unit or $21,240 annually per our insurance agent.  See documentation in TAB 01.
Included above is the estimated annual budget for our  Health Service Coordinator for our Healthy Housing Initiative, Healthy Way.  This person will make $12 an hour x 1,040 hours. The annual  cost of the healthy eating intiative and community garden is $2,100. See TAB 29 for details on this annual amount.
Harper Woods II will have 1 residential building. This building will be 3 stories.  
</t>
  </si>
  <si>
    <t xml:space="preserve"> Harper Woods Phase II is a proposed 72-unit senior 55 and older development to be located in the City of Columbus. The development will include one building with  a comminuty room. The community will be located off of Warm Springs Road and within walking distance of public transportation, a day care, schools, and a park. The site is located in census tract 101.06, but is across the street from census tract 101.07 which is considered upper income and below 5% poverty level. This development will sit on approximately 3.0 acres of land. The site is adjacent to Harper Woods Phase I, single family residential homes, a public park, and townhomes. 
Harper Woods II will be a successful community within its market area and have sufficient demand to be competitive in the rental market. Harper Woods II is estimated to reach a stabilized occupancy of 93% within six months. The overall affordability demand capture rate is well within DCA's guidelines.  Harper Woods II will not have a negative impact on existing communities within the market area.
Harper Woods II will provide a mix of unit choices, and will appeal to a variety of individuals 55 and older. The project will include 20 one-bedroom units and 52 two-bedroom units.  There will be  an equal spread of units that will be marketed to those earning at the 40%, 60% and 80% AMI levels.  Residents will enjoy an computer center, an onsite laundry facility, and share all amenities offered at Harper Woods Phase I. The site will also have plenty of green space for our residents to enjoy and be in close proximity to public transportation. This project will be an active community with regularly scheduled social events.
There will be a healthy housing initiative called Healthy Way and a healthy eating initiative incorporated into the Harper Woods II community.  Beyond answering the demand for affordable housing, Harper Woods II will serve as a platform for community change to improve the health and well-being of our residents through education and regular health screenings.  By locating this initiative at our development, we can literally meet people where they are and work with them to facilitate better health outcomes for themselves and their families.  Healthy Way will utilize Piedmont Columbus Regional’s Mobile Health Unit for monthly visits to the Harper Woods II community. The 40-foot vehicle, which serves as a mobile clinic, consists of a waiting area, well-equipped exam rooms, and a lab. The Unit team consists of a RN (Mobile Unit Coordinator), physicians, and a pharmacist. The Mobile Unit will not only ensure privacy, but it will also have all necessary equipment for blood pressure tests. Additionally, Harper Woods II will provide a free, monthly healthy eating newsletter to its residents.  This newsletter will cover a wide variety of topics that will include a variety of topics including the benefits of fresh fruits and vegetables, dangers of fast food, healthy ways to lose weight and how food directly affects one’s physical well-being.  
TBG Development Services, Inc. is the legal development entity for this project and is 100% owned by Kevin Buckner.  TBG Residential is the marketing name for the developer, and is used in place of the developer in various locations throughout the application.  In places where TBG Residential is seen, it should be understood that it represents TBG Development Services, Inc.
The total development cost for Harper Woods is estimated to be approximately $12,452,350. Sources of funds for construction and permanent financing include federal and state credit equity along with conventional financing. Harper Woods II has recieved a HOME Loan from the City of Columbus for $625,000.
</t>
  </si>
  <si>
    <t xml:space="preserve">The Applicant is claiming 3 points in this category because Harper Woods II is the second phase of this multi-phased development. Harper Woods 2019-006 was funded by DCA in the 2019 Competitive Application Round, and is under construction.  See TAB 36 for documentation that site control was established for all phases when the initial phase was closed.  This includes the Purchase &amp; Sale Agreement of the larger parcel, the deed of the larger parcel, the deed for phase I, a copy of the land disturbance permit, the construction contract and the notice of commencement for the first phase. </t>
  </si>
  <si>
    <t xml:space="preserve">Applicant has met Threshold because a member of the project team has received a Earth Craft House Multifamily certification. The minimum score required is 100 points. Applicant has 108 points on the Earth Craft Housing score sheet. Please see documentation in TAB 16.  </t>
  </si>
  <si>
    <t xml:space="preserve">Applicant is taking three points because the site is within a 0.25 mile walking/driving distance of an established public transportation stop.   There is a bus stop .1 miles from the site that is on METRA's Route 6, Columbus State/Milgen Road line.  This bus stop  is located on Warm Springs Road and is .1 miles from the site's  vehicular entrances.  See TAB 28 for schedule, fares and route.
Applicant notes that the propsed transit stop's latitude is 32.548440, however, the cell does not populate the "0" at the end of this coordinate. </t>
  </si>
  <si>
    <t xml:space="preserve">TBG Management, Inc </t>
  </si>
  <si>
    <t xml:space="preserve">Kevin Buckner is the President of TBG Construction, Inc. (Contractor), TBG Development Services, Inc. (Developer), and TBG Management Inc. (Management Company), a member of the State Limited Partner and managing member of the Limited Partnership. </t>
  </si>
  <si>
    <t xml:space="preserve">Kevin Buckner is the President of TBG Construction, Inc. (Contractor), TBG Development Services, Inc. (Developer), and TBG Management Inc. (Management Company), a member of the State Limited Partner and managing member of the Limited Partnership. . </t>
  </si>
  <si>
    <t xml:space="preserve">Kevin Buckner is the President of TBG Construction, Inc. (Contractor), TBG Development Services, Inc. (Developer), and TBG Management Inc. (Management Company), a member of the State Limited Partner and managing member of the Limited Partnership.  </t>
  </si>
  <si>
    <t xml:space="preserve">Landscape </t>
  </si>
  <si>
    <t>A third part cost review is required on 9% projects.  Must be approved by DCA prior to closing.</t>
  </si>
  <si>
    <t xml:space="preserve">Healthy Eating Initative </t>
  </si>
  <si>
    <t xml:space="preserve">Applicant has met Threshold by providing an apprasial from Novogradac, a certified third-party, and meeting the requirements in the DCA Appraisal Manual.In Section A, question 8 is left unanswered because this property does not involve DCA HOME funds. TBG Development Services, Inc.  and Harper Woods Apartments II, LP have the same principal/ president (Kevin Buckner).  Prior to the Applicant's involvement, the previous owner rezoned the property to RO in 2017. This land was also subdivided March 2020. </t>
  </si>
  <si>
    <t xml:space="preserve">Applicant has met Threshold by adhereing to DCA's feasibility assumptions and policies.  Applicant has made all required certifications to DCA related to subsidies, sources and uses of funds and financing agreements.  Applicant's  income includes rental income plus 2% of gross potential rents  for other income and is within HUD's maximum allowable rent limits.  Development and Construction costs are reasonable and consistent for the project's scope of work.  Applicant  believes the Federal and State Equity Pricing shown in the commitments in TAB 01 are consistent with current equity market pricing.  Annual operating expenses are above the minimums stated in Exhibit A of Appendix I of the 2020 QAP.  Applicant has followed all of DCA's policies pertaining to Project Rents, Operating Utility Allowances, Deferred Developer Fees and Commitments in this application. Applicant has met Threshold because all costs directly associated with developing unrestricted units for this project are covered by conventional or unrestricted financing sources. 
</t>
  </si>
  <si>
    <t xml:space="preserve">Applicant has met Threshold because public water and sanitary sewer are available to the project site.  The water and sewer availability letter can be found in TAB 12.  There are no commitments or easements  necessary for Columbus Water Works to extend the existing water and sewer services to the project.   There is no annexation or improvements documentation submitted with this Application. </t>
  </si>
  <si>
    <t xml:space="preserve">The Qualification Determination Letter can be found in TAB 19. 
In TAB 10, Ordinance No. 17-22 allows for parking to be 1.25 spaces per unit (1.25 parking spaces x 72 units = 90 parking spaces). Applicant is providing 99 parking spaces. </t>
  </si>
  <si>
    <t xml:space="preserve"> Documentation regarding utility allowances can be found in TAB 01. Applicant verified with the Columbus Housing Authority  that the utility allowance provided was the most current and in effect as of January 1, 2020.</t>
  </si>
  <si>
    <t xml:space="preserve">Applicant has met Threshold by providing site control for this project through July 31, 2021.     TAB 8 contains an Agreement of Purchase and Sale and warranty deed.  The  document is the Agreement of Purchase and Sale is between the developer and the applicant, Harper Woods Apartments II, LP.  The Agreement of Purchase and Sale  is included to show the actual site, acreage and land cost for the 2.934 acres.   The Agreement of Purchase and Sale has provisions for 1 thirty-day extensions giving it site control through July 31, 2021.  All documents described here are in TAB 8.  
The land cost for Phase 2 is $587,095 and is reflected in the Uses of Funds tab.  Because Harper Woods II is  part of a phased development, the Applicant has included the Purchase and Sales Agreement for the larger tract. TBG Development Services, Inc. has had site control over this larger tract since at least May 2019. The Agreement of Purchase and Sale for the orignial 11.63 acres before the land was subdivided can be found in TAB 36.   In TAB 44 there is a spreadsheet showing how the total land cost is broken out per phase. </t>
  </si>
  <si>
    <t>Applicant has met Threshold because the site is currently zoned appropriately for multifamily development.  This site is zoned RO (Residential Office) and allows for 43 units per acre per the city's zoning ordinance.  The zoning verificantion letter and zoning documentation can be found  in TAB 10.</t>
  </si>
  <si>
    <t>Applicant has met Threshold because the Site Information and Conceptual Site Development Plan accurately addresses all requirements stated above and in the 2020 Architectural Manual. The Plan can be found in TAB 15.</t>
  </si>
  <si>
    <t xml:space="preserve">The project site contains small traces of asbestos and lead based paint in the soil. These environmental concerns require abatement and disposal. </t>
  </si>
  <si>
    <t xml:space="preserve">This cost is related to the construction of the building and are allowed in basis. </t>
  </si>
  <si>
    <t xml:space="preserve">City Plan Review Fee is based on Phase I review costs.
Tap Fees:   Sewer Tap Fees: $500 x 73 units =$36,500..    Water Tap Fees:  $1500x 73 units= $109,500 + 2" building meter $3,425 plus a 2" irrigation meter for $3,425. See TAB 01 for documentation. 
 Building Permit fees are $85 for the first $30,000 of the total hard cost, plus $4 for each additional thousand dollars.  The total hard costs not including contractor services for this project is  $6,857,405.  $85 for the first $30k, plus $4.00 for each additional thousand dollars  ($6,827,4* 4) or  $27,309.60 plus $85. The total is 27,395.   Tab 01 contains a building permit fee schedule from the City of Columbus.
Construction Inspection Fees are based on $700 a month for 16 months.  
 Construction costs are $108,575 /unit which is within the limits of  HUD's 2019 PIH Office of Capital Improvements total development costs for the Columbus MSA .    Costs were determined based upon most current costs from similar projects.   Construction and Permanent  Loan Financing Fees are calculated at 1%.   
DCA requires an Operating Deficit Reserve in the amount of 6 months operating expenses plus 6 months of debt service.  
Developer fee calculation is on DCA's per unit basis of $25K for units 1-50, $20K for units 51-70, and $15K for units 71 and 72.
 Applicant budgeted $1,680,000 for developer fee.
Furniture Fixtures and Equipment include $20,000 for furnishings for the clubhouse and $10,000 for office equipment and $10,000 for computer center equipment. 
Accounting: DCA's  Cost Certification $12,500 and Contractor's Cost Cert $10,000,  +$3,000 for Carryover Report + $4,500 for dscr analysis.    Accessibilty Inspections &amp; Plan Review: Contract will be approximately $12,000 based upon past projects.
 The Synovus Bridge Loan and Construction Loan are are provided by Synovus at 3.75% (.75 LIBOR floor + 325 bps above LIBOR).  We've rounded up to $370,000 and the Construction Interest Expense Estimate can be found TAB 01.  The City of Columbus HOME loan interest is calculated at 1% interest only and this estimate can be found in TAB 01.
The land cost for Phase 2 is $587,095.  This Appliction is one part of a larger parcel.  The cost of the larger parcel has been allocated among three phases on a per unit basis.  Clarification of the land cost is provided in  TAB 44.
Applicant has experience in dealing with asbestos and lead abatement.  Madison Heights II 2019-017 contained lead and Taylor Village 2016-020 contained lead and asbestos which was properly abated. Applicant feels confident that the estimated amount in “Asbestos and Lead Based Paint abatement and disposal” is accurate.  </t>
  </si>
  <si>
    <t xml:space="preserve">Applicant has met Threshold by designating this a senior (HFOP) project. 
. </t>
  </si>
  <si>
    <t>Applicant has met Threshold by providing a Market Study that adheres to all requirements of the 2020 Market Study Manual. There are no DCA funded projects in the PMA which have physical occupancy rates of less than 90% and which compete for the same tenant base as Harper Woods II.   There are no capture rates over 55% for either a specific bedroom type or market segement.  The overall capture rate is 22.3%.   The other LIHTC projects in the PMA are Northgate Village and Highland Kayne. Highland Kayne is currently under construction for a family tenancy. Harper Woods Phase I is also in the PMA and has a family tenancy. 
Harper Woods II Market Area has a stabilized vacancy rate of 4.7% and most communities including the only LIHTC community have vacancy rates below 3%. The overall  capture rate is 22.3%, which is below DCA's threshold of 30%.  
Applicant has also met Threshold because no more than two DCA funded projects in Harper Woods II's primary market area have a physical occupancy rate of less than 90% and compete for the same tenant base. Furthermore, if there are other competing applications in the City of Columbus, the QAP allows for two Flexible Pool Applicants to be awarded in the same Local Government Area with different tenancy and/or the QAP allows for two Flexible Pool Applicants to be awarded in the same Local Government with the same tenancy providing that each development is in a different market area, i.e. Harper Woods Phase I - 2019-006.  See Tab 44 for a copy of the slide presented at the 2020 QAP Application Workshop on how DCA responded to Market Area Competing Applications in the 2019 round.</t>
  </si>
  <si>
    <t xml:space="preserve">The following scoring sections did not provide a blue scoring justification box for comments.  For those sections, scoring justifications comments are below.
Section 1:  Application Completeness:  Applicant took all available points in this section because the application has no missing  or incomplete documentation.  Each submitted document is accurate and legible.  The application is organized as set out in the Tab Checklist.  In addition, we do not expect there to be any instances where DCA will make  financial adjustments. 
Section 2:  Deeper Targeting/Rent Income Restrictions:  Applicant agrees to an overall property AMI that is equal to or less than 58%, and therefore, qualifies for 2 points.  
Section 10: Mixed Income Developments: Applicant is claiming 1 point in this section for Income Averaging. Harper Woods II will use the income averaging minimum set-aside election, and does not include market rate units. 
Section 14: Extended Affordability Commitment: Owner is willing to forego the Qualified Contract Cancellation Option after the close of the Compliance Period (3 points).  The Owner also commits to providing a right of first refusal to a nonprofit organization or local housing authority in accordance with DCA requirements set forth in Exhibit B of Appendix II (Scoring), should the Owner elect to transfer all or some of the owner's interest in the property during the Compliance or Extended Use Period (1 point).  For these reasons, Applicant qualifies for 4 points in this section.  
Section 15: Exceptional Nonprofit/Public Housing Authority: Applicant is not claiming points in this section. 
Section 19:  Compliance/Performance:  Applicant believes it is eligible for all 10 points for this section as there are no instances of noncompliance for any projects on the CHS and for any General Partnership, Developer Entity or Principal associated with this Project Team.     TAB 43 contains a listing of only the Georgia Properties for the entire Development Team, as included in the Compliance History Summary Section of the Performance Workbook.
</t>
  </si>
  <si>
    <t>2020-074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</si>
</sst>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9">
    <numFmt numFmtId="5" formatCode="&quot;$&quot;#,##0_);\(&quot;$&quot;#,##0\)"/>
    <numFmt numFmtId="6" formatCode="&quot;$&quot;#,##0_);[Red]\(&quot;$&quot;#,##0\)"/>
    <numFmt numFmtId="8" formatCode="&quot;$&quot;#,##0.00_);[Red]\(&quot;$&quot;#,##0.00\)"/>
    <numFmt numFmtId="42" formatCode="_(&quot;$&quot;* #,##0_);_(&quot;$&quot;* \(#,##0\);_(&quot;$&quot;* &quot;-&quot;_);_(@_)"/>
    <numFmt numFmtId="44" formatCode="_(&quot;$&quot;* #,##0.00_);_(&quot;$&quot;* \(#,##0.00\);_(&quot;$&quot;* &quot;-&quot;??_);_(@_)"/>
    <numFmt numFmtId="43" formatCode="_(* #,##0.00_);_(* \(#,##0.00\);_(* &quot;-&quot;??_);_(@_)"/>
    <numFmt numFmtId="164" formatCode="_(* #,##0_);_(* \(#,##0\);_(* &quot;-&quot;??_);_(@_)"/>
    <numFmt numFmtId="165" formatCode="0.0%"/>
    <numFmt numFmtId="166" formatCode="0.000%"/>
    <numFmt numFmtId="167" formatCode="[&lt;=9999999]###\-####;\(###\)\ ###\-####"/>
    <numFmt numFmtId="168" formatCode="#,##0.0000_);[Red]\(#,##0.0000\)"/>
    <numFmt numFmtId="169" formatCode="00000\-0000"/>
    <numFmt numFmtId="170" formatCode="0.0000"/>
    <numFmt numFmtId="171" formatCode="0.00000%"/>
    <numFmt numFmtId="172" formatCode="0.000&quot;  &quot;"/>
    <numFmt numFmtId="173" formatCode="_(* #,##0.0_);_(* \(#,##0.0\);_(* &quot;-&quot;??_);_(@_)"/>
    <numFmt numFmtId="174" formatCode="0.0000%"/>
    <numFmt numFmtId="175" formatCode="[$-409]mmmm\ d\,\ yyyy;@"/>
    <numFmt numFmtId="176" formatCode="m/d/yy;@"/>
    <numFmt numFmtId="177" formatCode="&quot;$&quot;#,##0.00"/>
    <numFmt numFmtId="178" formatCode="#,##0.0000"/>
    <numFmt numFmtId="179" formatCode="_([$€-2]* #,##0.00_);_([$€-2]* \(#,##0.00\);_([$€-2]* &quot;-&quot;??_)"/>
    <numFmt numFmtId="180" formatCode="0.00_);[Red]\(0.00\)"/>
    <numFmt numFmtId="181" formatCode="&quot;$&quot;#,##0"/>
    <numFmt numFmtId="182" formatCode="0.000000"/>
    <numFmt numFmtId="183" formatCode="#,##0.0_);[Red]\(#,##0.0\)"/>
    <numFmt numFmtId="184" formatCode="0;\-0;&quot;-&quot;"/>
    <numFmt numFmtId="185" formatCode="0.0"/>
    <numFmt numFmtId="186" formatCode="0.000;\-0.000;&quot;-&quot;"/>
  </numFmts>
  <fonts count="265">
    <font>
      <sz val="10"/>
      <name val="Arial"/>
    </font>
    <font>
      <sz val="11"/>
      <color theme="1"/>
      <name val="Calibri"/>
      <family val="2"/>
      <scheme val="minor"/>
    </font>
    <font>
      <sz val="11"/>
      <color theme="1"/>
      <name val="Calibri"/>
      <family val="2"/>
      <scheme val="minor"/>
    </font>
    <font>
      <sz val="10"/>
      <name val="Arial"/>
      <family val="2"/>
    </font>
    <font>
      <sz val="8"/>
      <name val="Arial"/>
      <family val="2"/>
    </font>
    <font>
      <b/>
      <sz val="12"/>
      <name val="Arial"/>
      <family val="2"/>
    </font>
    <font>
      <u/>
      <sz val="10"/>
      <color indexed="12"/>
      <name val="Arial"/>
      <family val="2"/>
    </font>
    <font>
      <sz val="8"/>
      <name val="Arial"/>
      <family val="2"/>
    </font>
    <font>
      <b/>
      <sz val="10"/>
      <name val="Arial"/>
      <family val="2"/>
    </font>
    <font>
      <sz val="11"/>
      <name val="Arial"/>
      <family val="2"/>
    </font>
    <font>
      <b/>
      <sz val="9"/>
      <name val="Arial"/>
      <family val="2"/>
    </font>
    <font>
      <sz val="7"/>
      <name val="Arial"/>
      <family val="2"/>
    </font>
    <font>
      <sz val="10"/>
      <name val="Arial"/>
      <family val="2"/>
    </font>
    <font>
      <sz val="9"/>
      <name val="Arial"/>
      <family val="2"/>
    </font>
    <font>
      <b/>
      <sz val="8"/>
      <name val="Arial"/>
      <family val="2"/>
    </font>
    <font>
      <sz val="9"/>
      <color indexed="10"/>
      <name val="Arial"/>
      <family val="2"/>
    </font>
    <font>
      <i/>
      <sz val="8"/>
      <name val="Arial"/>
      <family val="2"/>
    </font>
    <font>
      <sz val="8"/>
      <name val="Garamond"/>
      <family val="1"/>
    </font>
    <font>
      <sz val="11"/>
      <name val="Garamond"/>
      <family val="1"/>
    </font>
    <font>
      <sz val="9"/>
      <name val="Arial"/>
      <family val="2"/>
    </font>
    <font>
      <b/>
      <i/>
      <sz val="10"/>
      <name val="Arial"/>
      <family val="2"/>
    </font>
    <font>
      <sz val="10"/>
      <name val="Arial"/>
      <family val="2"/>
    </font>
    <font>
      <i/>
      <sz val="10"/>
      <name val="Arial"/>
      <family val="2"/>
    </font>
    <font>
      <b/>
      <i/>
      <sz val="9"/>
      <name val="Arial"/>
      <family val="2"/>
    </font>
    <font>
      <b/>
      <i/>
      <sz val="8"/>
      <name val="Arial"/>
      <family val="2"/>
    </font>
    <font>
      <b/>
      <sz val="11"/>
      <name val="Arial"/>
      <family val="2"/>
    </font>
    <font>
      <b/>
      <sz val="10"/>
      <color indexed="10"/>
      <name val="Arial"/>
      <family val="2"/>
    </font>
    <font>
      <sz val="10"/>
      <color indexed="9"/>
      <name val="Arial"/>
      <family val="2"/>
    </font>
    <font>
      <i/>
      <sz val="9"/>
      <name val="Arial"/>
      <family val="2"/>
    </font>
    <font>
      <b/>
      <sz val="10"/>
      <color indexed="9"/>
      <name val="Arial"/>
      <family val="2"/>
    </font>
    <font>
      <sz val="10"/>
      <name val="Garamond"/>
      <family val="1"/>
    </font>
    <font>
      <sz val="10"/>
      <name val="Arial"/>
      <family val="2"/>
    </font>
    <font>
      <sz val="10"/>
      <name val="Geneva"/>
    </font>
    <font>
      <sz val="10"/>
      <color indexed="9"/>
      <name val="Arial"/>
      <family val="2"/>
    </font>
    <font>
      <b/>
      <sz val="9"/>
      <color indexed="9"/>
      <name val="Arial"/>
      <family val="2"/>
    </font>
    <font>
      <b/>
      <sz val="9"/>
      <color indexed="10"/>
      <name val="Arial"/>
      <family val="2"/>
    </font>
    <font>
      <b/>
      <sz val="16"/>
      <color indexed="10"/>
      <name val="Arial"/>
      <family val="2"/>
    </font>
    <font>
      <b/>
      <u/>
      <sz val="8"/>
      <name val="Arial"/>
      <family val="2"/>
    </font>
    <font>
      <sz val="11"/>
      <name val="Arial"/>
      <family val="2"/>
    </font>
    <font>
      <sz val="9"/>
      <color indexed="9"/>
      <name val="Arial"/>
      <family val="2"/>
    </font>
    <font>
      <b/>
      <sz val="12"/>
      <color indexed="10"/>
      <name val="Arial"/>
      <family val="2"/>
    </font>
    <font>
      <sz val="9"/>
      <name val="Arial Narrow"/>
      <family val="2"/>
    </font>
    <font>
      <sz val="8"/>
      <name val="Arial Narrow"/>
      <family val="2"/>
    </font>
    <font>
      <b/>
      <sz val="9"/>
      <color indexed="12"/>
      <name val="Arial Narrow"/>
      <family val="2"/>
    </font>
    <font>
      <b/>
      <sz val="9"/>
      <name val="Arial Narrow"/>
      <family val="2"/>
    </font>
    <font>
      <sz val="10"/>
      <name val="Arial Narrow"/>
      <family val="2"/>
    </font>
    <font>
      <b/>
      <u/>
      <sz val="8"/>
      <name val="Arial Narrow"/>
      <family val="2"/>
    </font>
    <font>
      <u/>
      <sz val="8"/>
      <name val="Arial Narrow"/>
      <family val="2"/>
    </font>
    <font>
      <b/>
      <sz val="8"/>
      <color indexed="12"/>
      <name val="Arial Narrow"/>
      <family val="2"/>
    </font>
    <font>
      <sz val="7"/>
      <name val="Arial Narrow"/>
      <family val="2"/>
    </font>
    <font>
      <sz val="8"/>
      <color indexed="8"/>
      <name val="Arial Narrow"/>
      <family val="2"/>
    </font>
    <font>
      <i/>
      <sz val="8"/>
      <name val="Arial Narrow"/>
      <family val="2"/>
    </font>
    <font>
      <b/>
      <u/>
      <sz val="10"/>
      <name val="Arial"/>
      <family val="2"/>
    </font>
    <font>
      <b/>
      <sz val="10"/>
      <name val="Arial Narrow"/>
      <family val="2"/>
    </font>
    <font>
      <b/>
      <sz val="10"/>
      <color indexed="9"/>
      <name val="Arial Narrow"/>
      <family val="2"/>
    </font>
    <font>
      <b/>
      <sz val="10"/>
      <color indexed="10"/>
      <name val="Arial Narrow"/>
      <family val="2"/>
    </font>
    <font>
      <b/>
      <u/>
      <sz val="10"/>
      <name val="Arial Narrow"/>
      <family val="2"/>
    </font>
    <font>
      <sz val="10"/>
      <color indexed="9"/>
      <name val="Arial Narrow"/>
      <family val="2"/>
    </font>
    <font>
      <sz val="8"/>
      <color indexed="9"/>
      <name val="Arial Narrow"/>
      <family val="2"/>
    </font>
    <font>
      <sz val="10"/>
      <color indexed="10"/>
      <name val="Arial Narrow"/>
      <family val="2"/>
    </font>
    <font>
      <b/>
      <i/>
      <sz val="10"/>
      <color indexed="9"/>
      <name val="Arial Narrow"/>
      <family val="2"/>
    </font>
    <font>
      <b/>
      <i/>
      <sz val="10"/>
      <name val="Arial Narrow"/>
      <family val="2"/>
    </font>
    <font>
      <i/>
      <sz val="10"/>
      <name val="Arial Narrow"/>
      <family val="2"/>
    </font>
    <font>
      <b/>
      <i/>
      <u/>
      <sz val="10"/>
      <name val="Arial Narrow"/>
      <family val="2"/>
    </font>
    <font>
      <u/>
      <sz val="10"/>
      <name val="Arial Narrow"/>
      <family val="2"/>
    </font>
    <font>
      <sz val="8"/>
      <color indexed="10"/>
      <name val="Arial Narrow"/>
      <family val="2"/>
    </font>
    <font>
      <b/>
      <sz val="12"/>
      <color indexed="10"/>
      <name val="Arial Narrow"/>
      <family val="2"/>
    </font>
    <font>
      <b/>
      <sz val="9"/>
      <color indexed="10"/>
      <name val="Arial Narrow"/>
      <family val="2"/>
    </font>
    <font>
      <u/>
      <sz val="9"/>
      <color indexed="12"/>
      <name val="Arial Narrow"/>
      <family val="2"/>
    </font>
    <font>
      <sz val="10"/>
      <color indexed="10"/>
      <name val="Arial"/>
      <family val="2"/>
    </font>
    <font>
      <b/>
      <i/>
      <sz val="10"/>
      <color indexed="10"/>
      <name val="Arial"/>
      <family val="2"/>
    </font>
    <font>
      <b/>
      <i/>
      <sz val="9"/>
      <color indexed="10"/>
      <name val="Arial"/>
      <family val="2"/>
    </font>
    <font>
      <i/>
      <u/>
      <sz val="8"/>
      <name val="Arial Narrow"/>
      <family val="2"/>
    </font>
    <font>
      <u/>
      <sz val="9"/>
      <name val="Arial Narrow"/>
      <family val="2"/>
    </font>
    <font>
      <sz val="11"/>
      <name val="Arial Narrow"/>
      <family val="2"/>
    </font>
    <font>
      <b/>
      <sz val="12"/>
      <name val="Arial Narrow"/>
      <family val="2"/>
    </font>
    <font>
      <sz val="8"/>
      <color indexed="10"/>
      <name val="Arial"/>
      <family val="2"/>
    </font>
    <font>
      <b/>
      <sz val="11"/>
      <color indexed="10"/>
      <name val="Arial Narrow"/>
      <family val="2"/>
    </font>
    <font>
      <b/>
      <sz val="8"/>
      <color indexed="10"/>
      <name val="Arial Narrow"/>
      <family val="2"/>
    </font>
    <font>
      <sz val="8"/>
      <color rgb="FFFF0000"/>
      <name val="Arial Narrow"/>
      <family val="2"/>
    </font>
    <font>
      <sz val="9"/>
      <color rgb="FF00B050"/>
      <name val="Arial"/>
      <family val="2"/>
    </font>
    <font>
      <sz val="10"/>
      <color rgb="FF00B050"/>
      <name val="Arial"/>
      <family val="2"/>
    </font>
    <font>
      <b/>
      <sz val="9"/>
      <color rgb="FF00B050"/>
      <name val="Arial"/>
      <family val="2"/>
    </font>
    <font>
      <b/>
      <sz val="10"/>
      <color theme="0"/>
      <name val="Arial"/>
      <family val="2"/>
    </font>
    <font>
      <b/>
      <sz val="8"/>
      <name val="Arial Narrow"/>
      <family val="2"/>
    </font>
    <font>
      <b/>
      <sz val="10"/>
      <color rgb="FFFF0000"/>
      <name val="Arial Narrow"/>
      <family val="2"/>
    </font>
    <font>
      <b/>
      <sz val="10"/>
      <color theme="0"/>
      <name val="Arial Narrow"/>
      <family val="2"/>
    </font>
    <font>
      <b/>
      <sz val="9"/>
      <color theme="0"/>
      <name val="Arial Narrow"/>
      <family val="2"/>
    </font>
    <font>
      <b/>
      <sz val="11"/>
      <name val="Arial Narrow"/>
      <family val="2"/>
    </font>
    <font>
      <b/>
      <i/>
      <sz val="8"/>
      <color indexed="10"/>
      <name val="Arial Narrow"/>
      <family val="2"/>
    </font>
    <font>
      <sz val="8"/>
      <color rgb="FFFF0000"/>
      <name val="Arial"/>
      <family val="2"/>
    </font>
    <font>
      <b/>
      <sz val="8"/>
      <color rgb="FFFF0000"/>
      <name val="Arial"/>
      <family val="2"/>
    </font>
    <font>
      <sz val="10"/>
      <color theme="0"/>
      <name val="Arial"/>
      <family val="2"/>
    </font>
    <font>
      <sz val="8"/>
      <color theme="0"/>
      <name val="Arial"/>
      <family val="2"/>
    </font>
    <font>
      <sz val="7"/>
      <color rgb="FFFF0000"/>
      <name val="Arial Narrow"/>
      <family val="2"/>
    </font>
    <font>
      <sz val="8"/>
      <color theme="0"/>
      <name val="Arial Narrow"/>
      <family val="2"/>
    </font>
    <font>
      <sz val="9"/>
      <color theme="0"/>
      <name val="Arial"/>
      <family val="2"/>
    </font>
    <font>
      <b/>
      <sz val="11"/>
      <color indexed="10"/>
      <name val="Arial"/>
      <family val="2"/>
    </font>
    <font>
      <b/>
      <sz val="10"/>
      <color rgb="FFFF0000"/>
      <name val="Arial"/>
      <family val="2"/>
    </font>
    <font>
      <b/>
      <sz val="14"/>
      <color indexed="10"/>
      <name val="Arial"/>
      <family val="2"/>
    </font>
    <font>
      <b/>
      <sz val="7"/>
      <color rgb="FFFF0000"/>
      <name val="Arial Narrow"/>
      <family val="2"/>
    </font>
    <font>
      <b/>
      <sz val="11"/>
      <color rgb="FFFF0000"/>
      <name val="Arial Narrow"/>
      <family val="2"/>
    </font>
    <font>
      <sz val="10"/>
      <color theme="0"/>
      <name val="Arial Narrow"/>
      <family val="2"/>
    </font>
    <font>
      <b/>
      <sz val="8"/>
      <color theme="0"/>
      <name val="Arial Narrow"/>
      <family val="2"/>
    </font>
    <font>
      <b/>
      <sz val="9"/>
      <color rgb="FFFF0000"/>
      <name val="Arial Narrow"/>
      <family val="2"/>
    </font>
    <font>
      <b/>
      <sz val="9"/>
      <color rgb="FFFF0000"/>
      <name val="Arial"/>
      <family val="2"/>
    </font>
    <font>
      <sz val="9"/>
      <color rgb="FFFF0000"/>
      <name val="Arial"/>
      <family val="2"/>
    </font>
    <font>
      <u/>
      <sz val="8"/>
      <color indexed="12"/>
      <name val="Arial"/>
      <family val="2"/>
    </font>
    <font>
      <u/>
      <sz val="8"/>
      <color indexed="12"/>
      <name val="Arial Narrow"/>
      <family val="2"/>
    </font>
    <font>
      <sz val="10"/>
      <color rgb="FFFF0000"/>
      <name val="Arial Narrow"/>
      <family val="2"/>
    </font>
    <font>
      <b/>
      <sz val="12"/>
      <color rgb="FFFF0000"/>
      <name val="Arial"/>
      <family val="2"/>
    </font>
    <font>
      <sz val="6"/>
      <name val="Arial Narrow"/>
      <family val="2"/>
    </font>
    <font>
      <u/>
      <sz val="8"/>
      <color theme="0"/>
      <name val="Arial Narrow"/>
      <family val="2"/>
    </font>
    <font>
      <b/>
      <sz val="8"/>
      <color rgb="FFFF0000"/>
      <name val="Arial Narrow"/>
      <family val="2"/>
    </font>
    <font>
      <b/>
      <i/>
      <sz val="16"/>
      <color theme="0"/>
      <name val="Arial"/>
      <family val="2"/>
    </font>
    <font>
      <sz val="11"/>
      <color rgb="FFFF0000"/>
      <name val="Arial"/>
      <family val="2"/>
    </font>
    <font>
      <sz val="12"/>
      <name val="Arial"/>
      <family val="2"/>
    </font>
    <font>
      <b/>
      <u/>
      <sz val="12"/>
      <name val="Arial"/>
      <family val="2"/>
    </font>
    <font>
      <sz val="12"/>
      <name val="Tms Rmn"/>
    </font>
    <font>
      <sz val="11"/>
      <color indexed="8"/>
      <name val="Calibri"/>
      <family val="2"/>
    </font>
    <font>
      <sz val="12"/>
      <name val="Helv"/>
    </font>
    <font>
      <sz val="9"/>
      <name val="Times New Roman"/>
      <family val="1"/>
    </font>
    <font>
      <sz val="12"/>
      <color indexed="9"/>
      <name val="Helv"/>
    </font>
    <font>
      <sz val="12"/>
      <color indexed="13"/>
      <name val="Helv"/>
    </font>
    <font>
      <sz val="7"/>
      <name val="Small Fonts"/>
      <family val="2"/>
    </font>
    <font>
      <i/>
      <sz val="2"/>
      <color indexed="9"/>
      <name val="Tms Rmn"/>
    </font>
    <font>
      <sz val="12"/>
      <color indexed="17"/>
      <name val="Helv"/>
    </font>
    <font>
      <i/>
      <sz val="12"/>
      <name val="Arial"/>
      <family val="2"/>
    </font>
    <font>
      <b/>
      <sz val="9"/>
      <color indexed="81"/>
      <name val="Tahoma"/>
      <family val="2"/>
    </font>
    <font>
      <sz val="9"/>
      <color indexed="81"/>
      <name val="Tahoma"/>
      <family val="2"/>
    </font>
    <font>
      <sz val="12"/>
      <color theme="0"/>
      <name val="Arial"/>
      <family val="2"/>
    </font>
    <font>
      <i/>
      <sz val="11"/>
      <name val="Arial"/>
      <family val="2"/>
    </font>
    <font>
      <b/>
      <sz val="8"/>
      <color indexed="81"/>
      <name val="Tahoma"/>
      <family val="2"/>
    </font>
    <font>
      <sz val="8"/>
      <color indexed="81"/>
      <name val="Tahoma"/>
      <family val="2"/>
    </font>
    <font>
      <b/>
      <sz val="18"/>
      <name val="Arial"/>
      <family val="2"/>
    </font>
    <font>
      <b/>
      <i/>
      <sz val="10"/>
      <color indexed="12"/>
      <name val="Arial"/>
      <family val="2"/>
    </font>
    <font>
      <b/>
      <sz val="10"/>
      <color indexed="12"/>
      <name val="Arial"/>
      <family val="2"/>
    </font>
    <font>
      <b/>
      <u/>
      <sz val="11"/>
      <name val="Arial"/>
      <family val="2"/>
    </font>
    <font>
      <b/>
      <sz val="11"/>
      <color rgb="FFFF0000"/>
      <name val="Arial"/>
      <family val="2"/>
    </font>
    <font>
      <sz val="11"/>
      <color indexed="10"/>
      <name val="Arial"/>
      <family val="2"/>
    </font>
    <font>
      <u/>
      <sz val="10"/>
      <name val="Arial"/>
      <family val="2"/>
    </font>
    <font>
      <b/>
      <i/>
      <sz val="12"/>
      <name val="Arial"/>
      <family val="2"/>
    </font>
    <font>
      <i/>
      <u/>
      <sz val="11"/>
      <name val="Arial"/>
      <family val="2"/>
    </font>
    <font>
      <sz val="10"/>
      <color rgb="FFFF0000"/>
      <name val="Arial"/>
      <family val="2"/>
    </font>
    <font>
      <b/>
      <sz val="10"/>
      <color indexed="8"/>
      <name val="Arial"/>
      <family val="2"/>
    </font>
    <font>
      <b/>
      <u/>
      <sz val="10"/>
      <color indexed="8"/>
      <name val="Arial"/>
      <family val="2"/>
    </font>
    <font>
      <b/>
      <i/>
      <sz val="10"/>
      <color rgb="FFFF0000"/>
      <name val="Arial"/>
      <family val="2"/>
    </font>
    <font>
      <sz val="10"/>
      <color rgb="FF0000FF"/>
      <name val="Arial"/>
      <family val="2"/>
    </font>
    <font>
      <sz val="8"/>
      <color theme="0" tint="-4.9989318521683403E-2"/>
      <name val="Arial"/>
      <family val="2"/>
    </font>
    <font>
      <b/>
      <sz val="9"/>
      <color rgb="FF0000FF"/>
      <name val="Arial"/>
      <family val="2"/>
    </font>
    <font>
      <i/>
      <sz val="7"/>
      <name val="Arial Narrow"/>
      <family val="2"/>
    </font>
    <font>
      <b/>
      <sz val="14"/>
      <name val="Arial"/>
      <family val="2"/>
    </font>
    <font>
      <b/>
      <sz val="8"/>
      <color rgb="FF0000FF"/>
      <name val="Arial Narrow"/>
      <family val="2"/>
    </font>
    <font>
      <u/>
      <sz val="8"/>
      <name val="Arial"/>
      <family val="2"/>
    </font>
    <font>
      <b/>
      <i/>
      <sz val="8"/>
      <color rgb="FFFF0000"/>
      <name val="Arial Narrow"/>
      <family val="2"/>
    </font>
    <font>
      <b/>
      <i/>
      <sz val="8"/>
      <color rgb="FF4F81BD"/>
      <name val="Arial"/>
      <family val="2"/>
    </font>
    <font>
      <u/>
      <sz val="7"/>
      <color rgb="FFFF0000"/>
      <name val="Arial Narrow"/>
      <family val="2"/>
    </font>
    <font>
      <sz val="6"/>
      <name val="Arial"/>
      <family val="2"/>
    </font>
    <font>
      <sz val="10"/>
      <color indexed="12"/>
      <name val="Arial"/>
      <family val="2"/>
    </font>
    <font>
      <b/>
      <i/>
      <sz val="12"/>
      <color indexed="12"/>
      <name val="Arial"/>
      <family val="2"/>
    </font>
    <font>
      <sz val="7"/>
      <color rgb="FFFF0000"/>
      <name val="Arial"/>
      <family val="2"/>
    </font>
    <font>
      <b/>
      <sz val="8"/>
      <color rgb="FF0000FF"/>
      <name val="Arial"/>
      <family val="2"/>
    </font>
    <font>
      <b/>
      <sz val="8"/>
      <color rgb="FFCC9900"/>
      <name val="Arial"/>
      <family val="2"/>
    </font>
    <font>
      <b/>
      <i/>
      <u/>
      <sz val="8"/>
      <name val="Arial"/>
      <family val="2"/>
    </font>
    <font>
      <b/>
      <i/>
      <u/>
      <sz val="12"/>
      <color rgb="FFFF0000"/>
      <name val="Arial"/>
      <family val="2"/>
    </font>
    <font>
      <b/>
      <sz val="14"/>
      <color rgb="FFFF0000"/>
      <name val="Arial"/>
      <family val="2"/>
    </font>
    <font>
      <b/>
      <i/>
      <u/>
      <sz val="9"/>
      <name val="Arial"/>
      <family val="2"/>
    </font>
    <font>
      <b/>
      <i/>
      <sz val="9"/>
      <color indexed="17"/>
      <name val="Arial"/>
      <family val="2"/>
    </font>
    <font>
      <i/>
      <sz val="9"/>
      <color indexed="10"/>
      <name val="Arial"/>
      <family val="2"/>
    </font>
    <font>
      <sz val="9"/>
      <color rgb="FFFF0000"/>
      <name val="Arial Narrow"/>
      <family val="2"/>
    </font>
    <font>
      <i/>
      <sz val="9"/>
      <name val="Arial Narrow"/>
      <family val="2"/>
    </font>
    <font>
      <i/>
      <sz val="9"/>
      <color rgb="FFFF0000"/>
      <name val="Arial Narrow"/>
      <family val="2"/>
    </font>
    <font>
      <b/>
      <sz val="12"/>
      <color indexed="9"/>
      <name val="Arial"/>
      <family val="2"/>
    </font>
    <font>
      <b/>
      <u/>
      <sz val="8"/>
      <color rgb="FFFF0000"/>
      <name val="Arial Narrow"/>
      <family val="2"/>
    </font>
    <font>
      <b/>
      <sz val="6"/>
      <color rgb="FFFF0000"/>
      <name val="Arial Narrow"/>
      <family val="2"/>
    </font>
    <font>
      <i/>
      <sz val="8"/>
      <color rgb="FFFF0000"/>
      <name val="Arial"/>
      <family val="2"/>
    </font>
    <font>
      <sz val="12"/>
      <name val="Arial Narrow"/>
      <family val="2"/>
    </font>
    <font>
      <i/>
      <u/>
      <sz val="10"/>
      <color rgb="FFFF0000"/>
      <name val="Arial"/>
      <family val="2"/>
    </font>
    <font>
      <u/>
      <sz val="8"/>
      <color rgb="FFFF0000"/>
      <name val="Arial Narrow"/>
      <family val="2"/>
    </font>
    <font>
      <b/>
      <sz val="8"/>
      <color theme="0"/>
      <name val="Arial"/>
      <family val="2"/>
    </font>
    <font>
      <b/>
      <i/>
      <sz val="8"/>
      <color theme="0"/>
      <name val="Arial"/>
      <family val="2"/>
    </font>
    <font>
      <b/>
      <i/>
      <sz val="14"/>
      <color indexed="22"/>
      <name val="Arial Narrow"/>
      <family val="2"/>
    </font>
    <font>
      <i/>
      <sz val="12"/>
      <name val="Arial Narrow"/>
      <family val="2"/>
    </font>
    <font>
      <b/>
      <sz val="9"/>
      <color rgb="FF0066FF"/>
      <name val="Arial"/>
      <family val="2"/>
    </font>
    <font>
      <b/>
      <i/>
      <sz val="14"/>
      <color indexed="10"/>
      <name val="Arial"/>
      <family val="2"/>
    </font>
    <font>
      <b/>
      <i/>
      <sz val="8"/>
      <color rgb="FFFF0000"/>
      <name val="Arial"/>
      <family val="2"/>
    </font>
    <font>
      <sz val="8"/>
      <color rgb="FF000000"/>
      <name val="Arial Narrow"/>
      <family val="2"/>
    </font>
    <font>
      <sz val="11"/>
      <color rgb="FF0066FF"/>
      <name val="Arial"/>
      <family val="2"/>
    </font>
    <font>
      <b/>
      <sz val="10"/>
      <color rgb="FF0000FF"/>
      <name val="Arial"/>
      <family val="2"/>
    </font>
    <font>
      <b/>
      <sz val="9"/>
      <color rgb="FFCC9900"/>
      <name val="Arial"/>
      <family val="2"/>
    </font>
    <font>
      <b/>
      <sz val="10"/>
      <color rgb="FFFF6600"/>
      <name val="Arial"/>
      <family val="2"/>
    </font>
    <font>
      <sz val="11"/>
      <color rgb="FFFF0000"/>
      <name val="Arial Narrow"/>
      <family val="2"/>
    </font>
    <font>
      <b/>
      <i/>
      <sz val="11"/>
      <color rgb="FFFF0000"/>
      <name val="Arial Narrow"/>
      <family val="2"/>
    </font>
    <font>
      <b/>
      <i/>
      <u/>
      <sz val="11"/>
      <color rgb="FFFF0000"/>
      <name val="Arial Narrow"/>
      <family val="2"/>
    </font>
    <font>
      <b/>
      <sz val="8"/>
      <color rgb="FFFF6600"/>
      <name val="Arial"/>
      <family val="2"/>
    </font>
    <font>
      <b/>
      <i/>
      <u/>
      <sz val="8"/>
      <color rgb="FFFF0000"/>
      <name val="Arial Narrow"/>
      <family val="2"/>
    </font>
    <font>
      <i/>
      <sz val="10"/>
      <color rgb="FFFF0000"/>
      <name val="Arial"/>
      <family val="2"/>
    </font>
    <font>
      <b/>
      <sz val="16"/>
      <name val="Arial"/>
      <family val="2"/>
    </font>
    <font>
      <b/>
      <sz val="16"/>
      <color rgb="FFFF0000"/>
      <name val="Arial"/>
      <family val="2"/>
    </font>
    <font>
      <sz val="10"/>
      <color theme="1"/>
      <name val="Arial"/>
      <family val="2"/>
    </font>
    <font>
      <b/>
      <u/>
      <sz val="10"/>
      <color theme="1"/>
      <name val="Arial"/>
      <family val="2"/>
    </font>
    <font>
      <sz val="10"/>
      <color theme="3"/>
      <name val="Arial"/>
      <family val="2"/>
    </font>
    <font>
      <sz val="11"/>
      <color theme="0"/>
      <name val="Garamond"/>
      <family val="1"/>
    </font>
    <font>
      <i/>
      <sz val="10"/>
      <color indexed="9"/>
      <name val="Arial"/>
      <family val="2"/>
    </font>
    <font>
      <b/>
      <sz val="8"/>
      <color rgb="FF0066FF"/>
      <name val="Arial"/>
      <family val="2"/>
    </font>
    <font>
      <sz val="8"/>
      <color rgb="FF0066FF"/>
      <name val="Arial"/>
      <family val="2"/>
    </font>
    <font>
      <b/>
      <sz val="11"/>
      <color rgb="FF0066FF"/>
      <name val="Arial"/>
      <family val="2"/>
    </font>
    <font>
      <b/>
      <i/>
      <u/>
      <sz val="11"/>
      <color rgb="FFFF0000"/>
      <name val="Arial"/>
      <family val="2"/>
    </font>
    <font>
      <b/>
      <i/>
      <u/>
      <sz val="8"/>
      <color rgb="FFFF0000"/>
      <name val="Arial"/>
      <family val="2"/>
    </font>
    <font>
      <b/>
      <i/>
      <u/>
      <sz val="10"/>
      <color rgb="FFFF0000"/>
      <name val="Arial"/>
      <family val="2"/>
    </font>
    <font>
      <b/>
      <sz val="8"/>
      <color rgb="FFFF6600"/>
      <name val="Arial Narrow"/>
      <family val="2"/>
    </font>
    <font>
      <b/>
      <u/>
      <sz val="9"/>
      <name val="Arial"/>
      <family val="2"/>
    </font>
    <font>
      <b/>
      <i/>
      <u/>
      <sz val="9"/>
      <color rgb="FFFF0000"/>
      <name val="Arial"/>
      <family val="2"/>
    </font>
    <font>
      <i/>
      <u/>
      <sz val="8"/>
      <name val="Arial"/>
      <family val="2"/>
    </font>
    <font>
      <b/>
      <i/>
      <sz val="9"/>
      <name val="Arial Narrow"/>
      <family val="2"/>
    </font>
    <font>
      <b/>
      <i/>
      <sz val="8"/>
      <color indexed="10"/>
      <name val="Arial"/>
      <family val="2"/>
    </font>
    <font>
      <u/>
      <sz val="8"/>
      <color rgb="FFFF0000"/>
      <name val="Arial"/>
      <family val="2"/>
    </font>
    <font>
      <sz val="8"/>
      <color rgb="FF0000FF"/>
      <name val="Arial Narrow"/>
      <family val="2"/>
    </font>
    <font>
      <i/>
      <sz val="8"/>
      <color rgb="FF0000FF"/>
      <name val="Arial Narrow"/>
      <family val="2"/>
    </font>
    <font>
      <sz val="8"/>
      <color rgb="FF0000FF"/>
      <name val="Arial"/>
      <family val="2"/>
    </font>
    <font>
      <sz val="5"/>
      <color rgb="FFFF0000"/>
      <name val="Arial Narrow"/>
      <family val="2"/>
    </font>
    <font>
      <sz val="6"/>
      <color rgb="FFFF0000"/>
      <name val="Arial"/>
      <family val="2"/>
    </font>
    <font>
      <b/>
      <sz val="8"/>
      <color theme="1"/>
      <name val="Arial Narrow"/>
      <family val="2"/>
    </font>
    <font>
      <sz val="8"/>
      <color theme="1"/>
      <name val="Arial Narrow"/>
      <family val="2"/>
    </font>
    <font>
      <b/>
      <i/>
      <u/>
      <sz val="14"/>
      <color rgb="FFFF0000"/>
      <name val="Arial"/>
      <family val="2"/>
    </font>
    <font>
      <sz val="14"/>
      <color rgb="FFFF0000"/>
      <name val="Arial"/>
      <family val="2"/>
    </font>
    <font>
      <sz val="11"/>
      <color rgb="FF0000FF"/>
      <name val="Arial"/>
      <family val="2"/>
    </font>
    <font>
      <b/>
      <i/>
      <sz val="8"/>
      <name val="Arial Narrow"/>
      <family val="2"/>
    </font>
    <font>
      <i/>
      <u/>
      <sz val="9"/>
      <name val="Arial"/>
      <family val="2"/>
    </font>
    <font>
      <b/>
      <sz val="14"/>
      <color theme="1"/>
      <name val="Arial Narrow"/>
      <family val="2"/>
    </font>
    <font>
      <sz val="11"/>
      <color theme="1"/>
      <name val="Arial Narrow"/>
      <family val="2"/>
    </font>
    <font>
      <b/>
      <i/>
      <sz val="11"/>
      <color theme="1"/>
      <name val="Arial Narrow"/>
      <family val="2"/>
    </font>
    <font>
      <b/>
      <sz val="11"/>
      <color theme="1"/>
      <name val="Arial Narrow"/>
      <family val="2"/>
    </font>
    <font>
      <b/>
      <u/>
      <sz val="14"/>
      <color theme="1"/>
      <name val="Arial Narrow"/>
      <family val="2"/>
    </font>
    <font>
      <b/>
      <sz val="16"/>
      <color rgb="FFFF0000"/>
      <name val="Arial Narrow"/>
      <family val="2"/>
    </font>
    <font>
      <b/>
      <i/>
      <sz val="11"/>
      <name val="Arial Narrow"/>
      <family val="2"/>
    </font>
    <font>
      <sz val="10"/>
      <color theme="1"/>
      <name val="Arial Narrow"/>
      <family val="2"/>
    </font>
    <font>
      <u/>
      <sz val="10"/>
      <color theme="1"/>
      <name val="Arial Narrow"/>
      <family val="2"/>
    </font>
    <font>
      <b/>
      <sz val="7"/>
      <name val="Arial"/>
      <family val="2"/>
    </font>
    <font>
      <b/>
      <i/>
      <sz val="11"/>
      <color rgb="FFFF0000"/>
      <name val="Arial"/>
      <family val="2"/>
    </font>
    <font>
      <b/>
      <sz val="14"/>
      <color rgb="FFFF0000"/>
      <name val="Arial Narrow"/>
      <family val="2"/>
    </font>
    <font>
      <sz val="9"/>
      <color theme="9" tint="-0.499984740745262"/>
      <name val="Arial"/>
      <family val="2"/>
    </font>
    <font>
      <sz val="8"/>
      <color theme="9" tint="-0.499984740745262"/>
      <name val="Arial"/>
      <family val="2"/>
    </font>
    <font>
      <sz val="10"/>
      <color rgb="FF000000"/>
      <name val="Arial"/>
      <family val="2"/>
    </font>
    <font>
      <sz val="10"/>
      <color theme="9" tint="-0.499984740745262"/>
      <name val="Arial"/>
      <family val="2"/>
    </font>
    <font>
      <b/>
      <sz val="9"/>
      <color theme="0"/>
      <name val="Arial"/>
      <family val="2"/>
    </font>
    <font>
      <b/>
      <i/>
      <sz val="9"/>
      <color theme="0"/>
      <name val="Arial"/>
      <family val="2"/>
    </font>
    <font>
      <i/>
      <u/>
      <sz val="9"/>
      <color theme="9" tint="-0.499984740745262"/>
      <name val="Arial"/>
      <family val="2"/>
    </font>
    <font>
      <b/>
      <sz val="11"/>
      <color rgb="FFFF0000"/>
      <name val="Calibri"/>
      <family val="2"/>
      <scheme val="minor"/>
    </font>
    <font>
      <sz val="11"/>
      <color theme="0"/>
      <name val="Arial Narrow"/>
      <family val="2"/>
    </font>
    <font>
      <sz val="9"/>
      <color theme="0"/>
      <name val="Arial Narrow"/>
      <family val="2"/>
    </font>
    <font>
      <sz val="7"/>
      <color theme="0"/>
      <name val="Arial Narrow"/>
      <family val="2"/>
    </font>
    <font>
      <sz val="11"/>
      <color theme="0"/>
      <name val="Arial"/>
      <family val="2"/>
    </font>
    <font>
      <sz val="6"/>
      <color theme="0"/>
      <name val="Arial Narrow"/>
      <family val="2"/>
    </font>
    <font>
      <sz val="5"/>
      <color theme="0"/>
      <name val="Arial Narrow"/>
      <family val="2"/>
    </font>
    <font>
      <sz val="6"/>
      <color theme="0"/>
      <name val="Arial"/>
      <family val="2"/>
    </font>
    <font>
      <sz val="7"/>
      <color theme="0"/>
      <name val="Arial"/>
      <family val="2"/>
    </font>
    <font>
      <sz val="10"/>
      <color theme="0"/>
      <name val="Garamond"/>
      <family val="1"/>
    </font>
    <font>
      <sz val="8"/>
      <color theme="0"/>
      <name val="Garamond"/>
      <family val="1"/>
    </font>
    <font>
      <sz val="14"/>
      <color theme="0"/>
      <name val="Arial"/>
      <family val="2"/>
    </font>
    <font>
      <sz val="14"/>
      <name val="Arial"/>
      <family val="2"/>
    </font>
    <font>
      <sz val="12"/>
      <color theme="0"/>
      <name val="Arial Narrow"/>
      <family val="2"/>
    </font>
    <font>
      <sz val="16"/>
      <color theme="0"/>
      <name val="Arial"/>
      <family val="2"/>
    </font>
    <font>
      <sz val="14"/>
      <color theme="0"/>
      <name val="Arial Narrow"/>
      <family val="2"/>
    </font>
    <font>
      <b/>
      <sz val="11"/>
      <color theme="0"/>
      <name val="Arial"/>
      <family val="2"/>
    </font>
  </fonts>
  <fills count="30">
    <fill>
      <patternFill patternType="none"/>
    </fill>
    <fill>
      <patternFill patternType="gray125"/>
    </fill>
    <fill>
      <patternFill patternType="solid">
        <fgColor indexed="22"/>
        <bgColor indexed="64"/>
      </patternFill>
    </fill>
    <fill>
      <patternFill patternType="solid">
        <fgColor indexed="26"/>
        <bgColor indexed="64"/>
      </patternFill>
    </fill>
    <fill>
      <patternFill patternType="solid">
        <fgColor indexed="43"/>
        <bgColor indexed="64"/>
      </patternFill>
    </fill>
    <fill>
      <patternFill patternType="solid">
        <fgColor indexed="41"/>
        <bgColor indexed="64"/>
      </patternFill>
    </fill>
    <fill>
      <patternFill patternType="solid">
        <fgColor indexed="42"/>
        <bgColor indexed="64"/>
      </patternFill>
    </fill>
    <fill>
      <patternFill patternType="solid">
        <fgColor indexed="9"/>
        <bgColor indexed="64"/>
      </patternFill>
    </fill>
    <fill>
      <patternFill patternType="solid">
        <fgColor indexed="12"/>
        <bgColor indexed="64"/>
      </patternFill>
    </fill>
    <fill>
      <patternFill patternType="solid">
        <fgColor indexed="48"/>
        <bgColor indexed="64"/>
      </patternFill>
    </fill>
    <fill>
      <patternFill patternType="solid">
        <fgColor rgb="FFCCFFFF"/>
        <bgColor indexed="64"/>
      </patternFill>
    </fill>
    <fill>
      <patternFill patternType="solid">
        <fgColor rgb="FFCCFFCC"/>
        <bgColor indexed="64"/>
      </patternFill>
    </fill>
    <fill>
      <patternFill patternType="solid">
        <fgColor rgb="FF0066CC"/>
        <bgColor indexed="64"/>
      </patternFill>
    </fill>
    <fill>
      <patternFill patternType="solid">
        <fgColor rgb="FFFFFFCC"/>
        <bgColor indexed="64"/>
      </patternFill>
    </fill>
    <fill>
      <patternFill patternType="solid">
        <fgColor rgb="FF0066FF"/>
        <bgColor indexed="64"/>
      </patternFill>
    </fill>
    <fill>
      <patternFill patternType="solid">
        <fgColor rgb="FF0000FF"/>
        <bgColor indexed="64"/>
      </patternFill>
    </fill>
    <fill>
      <patternFill patternType="solid">
        <fgColor rgb="FFFFFF99"/>
        <bgColor indexed="64"/>
      </patternFill>
    </fill>
    <fill>
      <patternFill patternType="solid">
        <fgColor theme="0"/>
        <bgColor indexed="64"/>
      </patternFill>
    </fill>
    <fill>
      <patternFill patternType="solid">
        <fgColor indexed="44"/>
        <bgColor indexed="64"/>
      </patternFill>
    </fill>
    <fill>
      <patternFill patternType="solid">
        <fgColor theme="7" tint="0.59999389629810485"/>
        <bgColor indexed="64"/>
      </patternFill>
    </fill>
    <fill>
      <patternFill patternType="solid">
        <fgColor rgb="FFFFFF00"/>
        <bgColor indexed="64"/>
      </patternFill>
    </fill>
    <fill>
      <patternFill patternType="solid">
        <fgColor rgb="FFFFFFFF"/>
      </patternFill>
    </fill>
    <fill>
      <patternFill patternType="solid">
        <fgColor rgb="FFCCECFF"/>
        <bgColor indexed="64"/>
      </patternFill>
    </fill>
    <fill>
      <patternFill patternType="solid">
        <fgColor rgb="FFCCCCFF"/>
        <bgColor indexed="64"/>
      </patternFill>
    </fill>
    <fill>
      <patternFill patternType="solid">
        <fgColor rgb="FFFD938B"/>
        <bgColor indexed="64"/>
      </patternFill>
    </fill>
    <fill>
      <patternFill patternType="solid">
        <fgColor theme="5" tint="0.59999389629810485"/>
        <bgColor indexed="64"/>
      </patternFill>
    </fill>
    <fill>
      <patternFill patternType="solid">
        <fgColor theme="9" tint="0.59999389629810485"/>
        <bgColor indexed="64"/>
      </patternFill>
    </fill>
    <fill>
      <patternFill patternType="solid">
        <fgColor theme="0" tint="-0.14999847407452621"/>
        <bgColor indexed="64"/>
      </patternFill>
    </fill>
    <fill>
      <patternFill patternType="solid">
        <fgColor theme="0" tint="-4.9989318521683403E-2"/>
        <bgColor indexed="64"/>
      </patternFill>
    </fill>
    <fill>
      <patternFill patternType="solid">
        <fgColor theme="9" tint="0.79998168889431442"/>
        <bgColor indexed="64"/>
      </patternFill>
    </fill>
  </fills>
  <borders count="190">
    <border>
      <left/>
      <right/>
      <top/>
      <bottom/>
      <diagonal/>
    </border>
    <border>
      <left/>
      <right/>
      <top style="medium">
        <color indexed="64"/>
      </top>
      <bottom style="medium">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right/>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right/>
      <top style="hair">
        <color indexed="64"/>
      </top>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hair">
        <color indexed="64"/>
      </left>
      <right style="thin">
        <color indexed="64"/>
      </right>
      <top style="thin">
        <color indexed="64"/>
      </top>
      <bottom style="hair">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hair">
        <color indexed="64"/>
      </top>
      <bottom style="hair">
        <color indexed="64"/>
      </bottom>
      <diagonal/>
    </border>
    <border>
      <left style="thin">
        <color indexed="64"/>
      </left>
      <right/>
      <top style="hair">
        <color indexed="64"/>
      </top>
      <bottom/>
      <diagonal/>
    </border>
    <border>
      <left style="thin">
        <color indexed="64"/>
      </left>
      <right/>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hair">
        <color indexed="64"/>
      </top>
      <bottom style="hair">
        <color indexed="64"/>
      </bottom>
      <diagonal/>
    </border>
    <border>
      <left/>
      <right style="thin">
        <color indexed="64"/>
      </right>
      <top style="hair">
        <color indexed="64"/>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medium">
        <color indexed="64"/>
      </right>
      <top style="medium">
        <color indexed="64"/>
      </top>
      <bottom style="medium">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hair">
        <color indexed="64"/>
      </left>
      <right style="hair">
        <color indexed="64"/>
      </right>
      <top style="hair">
        <color indexed="64"/>
      </top>
      <bottom style="hair">
        <color indexed="64"/>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style="hair">
        <color indexed="64"/>
      </left>
      <right/>
      <top style="hair">
        <color indexed="64"/>
      </top>
      <bottom/>
      <diagonal/>
    </border>
    <border>
      <left style="medium">
        <color indexed="64"/>
      </left>
      <right/>
      <top/>
      <bottom/>
      <diagonal/>
    </border>
    <border>
      <left style="medium">
        <color indexed="64"/>
      </left>
      <right/>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thin">
        <color indexed="64"/>
      </left>
      <right style="hair">
        <color indexed="64"/>
      </right>
      <top style="hair">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thin">
        <color indexed="58"/>
      </left>
      <right/>
      <top style="thin">
        <color indexed="58"/>
      </top>
      <bottom style="thin">
        <color indexed="58"/>
      </bottom>
      <diagonal/>
    </border>
    <border>
      <left/>
      <right/>
      <top style="thin">
        <color indexed="58"/>
      </top>
      <bottom style="thin">
        <color indexed="58"/>
      </bottom>
      <diagonal/>
    </border>
    <border>
      <left/>
      <right style="thin">
        <color indexed="58"/>
      </right>
      <top style="thin">
        <color indexed="58"/>
      </top>
      <bottom style="thin">
        <color indexed="58"/>
      </bottom>
      <diagonal/>
    </border>
    <border>
      <left style="medium">
        <color indexed="64"/>
      </left>
      <right/>
      <top style="medium">
        <color indexed="64"/>
      </top>
      <bottom style="medium">
        <color indexed="64"/>
      </bottom>
      <diagonal/>
    </border>
    <border>
      <left/>
      <right/>
      <top style="thin">
        <color indexed="64"/>
      </top>
      <bottom style="hair">
        <color indexed="64"/>
      </bottom>
      <diagonal/>
    </border>
    <border>
      <left/>
      <right/>
      <top style="hair">
        <color indexed="64"/>
      </top>
      <bottom style="thin">
        <color indexed="64"/>
      </bottom>
      <diagonal/>
    </border>
    <border>
      <left/>
      <right style="hair">
        <color indexed="64"/>
      </right>
      <top/>
      <bottom style="hair">
        <color indexed="64"/>
      </bottom>
      <diagonal/>
    </border>
    <border>
      <left style="thin">
        <color indexed="64"/>
      </left>
      <right/>
      <top style="double">
        <color indexed="64"/>
      </top>
      <bottom style="thin">
        <color indexed="64"/>
      </bottom>
      <diagonal/>
    </border>
    <border>
      <left/>
      <right style="thin">
        <color indexed="64"/>
      </right>
      <top style="double">
        <color indexed="64"/>
      </top>
      <bottom style="thin">
        <color indexed="64"/>
      </bottom>
      <diagonal/>
    </border>
    <border>
      <left style="medium">
        <color indexed="64"/>
      </left>
      <right/>
      <top style="medium">
        <color indexed="64"/>
      </top>
      <bottom/>
      <diagonal/>
    </border>
    <border>
      <left/>
      <right style="medium">
        <color indexed="64"/>
      </right>
      <top style="medium">
        <color indexed="64"/>
      </top>
      <bottom/>
      <diagonal/>
    </border>
    <border>
      <left/>
      <right style="medium">
        <color indexed="64"/>
      </right>
      <top/>
      <bottom style="medium">
        <color indexed="64"/>
      </bottom>
      <diagonal/>
    </border>
    <border>
      <left/>
      <right/>
      <top style="thin">
        <color indexed="64"/>
      </top>
      <bottom style="double">
        <color indexed="64"/>
      </bottom>
      <diagonal/>
    </border>
    <border>
      <left style="thin">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right/>
      <top style="medium">
        <color indexed="64"/>
      </top>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right style="hair">
        <color indexed="64"/>
      </right>
      <top style="hair">
        <color indexed="64"/>
      </top>
      <bottom style="hair">
        <color indexed="64"/>
      </bottom>
      <diagonal/>
    </border>
    <border>
      <left/>
      <right style="hair">
        <color indexed="64"/>
      </right>
      <top style="thin">
        <color indexed="64"/>
      </top>
      <bottom style="hair">
        <color indexed="64"/>
      </bottom>
      <diagonal/>
    </border>
    <border>
      <left/>
      <right style="hair">
        <color indexed="64"/>
      </right>
      <top style="hair">
        <color indexed="64"/>
      </top>
      <bottom style="thin">
        <color indexed="64"/>
      </bottom>
      <diagonal/>
    </border>
    <border>
      <left style="hair">
        <color auto="1"/>
      </left>
      <right/>
      <top style="hair">
        <color auto="1"/>
      </top>
      <bottom style="hair">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right/>
      <top style="thin">
        <color indexed="64"/>
      </top>
      <bottom style="thin">
        <color indexed="64"/>
      </bottom>
      <diagonal/>
    </border>
    <border>
      <left/>
      <right/>
      <top/>
      <bottom style="medium">
        <color indexed="64"/>
      </bottom>
      <diagonal/>
    </border>
    <border>
      <left style="thin">
        <color indexed="64"/>
      </left>
      <right style="thin">
        <color indexed="64"/>
      </right>
      <top style="thin">
        <color indexed="64"/>
      </top>
      <bottom/>
      <diagonal/>
    </border>
    <border>
      <left/>
      <right/>
      <top style="thin">
        <color indexed="64"/>
      </top>
      <bottom/>
      <diagonal/>
    </border>
    <border>
      <left style="thin">
        <color auto="1"/>
      </left>
      <right style="thin">
        <color auto="1"/>
      </right>
      <top style="thin">
        <color auto="1"/>
      </top>
      <bottom style="thin">
        <color auto="1"/>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hair">
        <color indexed="64"/>
      </left>
      <right style="hair">
        <color indexed="64"/>
      </right>
      <top style="hair">
        <color indexed="64"/>
      </top>
      <bottom/>
      <diagonal/>
    </border>
    <border>
      <left style="hair">
        <color indexed="64"/>
      </left>
      <right style="hair">
        <color indexed="64"/>
      </right>
      <top/>
      <bottom style="hair">
        <color indexed="64"/>
      </bottom>
      <diagonal/>
    </border>
    <border>
      <left/>
      <right style="thin">
        <color auto="1"/>
      </right>
      <top/>
      <bottom style="hair">
        <color indexed="64"/>
      </bottom>
      <diagonal/>
    </border>
    <border>
      <left style="hair">
        <color auto="1"/>
      </left>
      <right/>
      <top style="hair">
        <color auto="1"/>
      </top>
      <bottom style="thin">
        <color auto="1"/>
      </bottom>
      <diagonal/>
    </border>
    <border>
      <left style="hair">
        <color auto="1"/>
      </left>
      <right/>
      <top/>
      <bottom style="thin">
        <color indexed="64"/>
      </bottom>
      <diagonal/>
    </border>
    <border>
      <left/>
      <right style="hair">
        <color auto="1"/>
      </right>
      <top/>
      <bottom style="thin">
        <color indexed="64"/>
      </bottom>
      <diagonal/>
    </border>
    <border>
      <left style="hair">
        <color indexed="64"/>
      </left>
      <right/>
      <top style="thin">
        <color indexed="64"/>
      </top>
      <bottom style="hair">
        <color indexed="64"/>
      </bottom>
      <diagonal/>
    </border>
    <border>
      <left style="double">
        <color indexed="10"/>
      </left>
      <right style="double">
        <color indexed="10"/>
      </right>
      <top style="double">
        <color indexed="10"/>
      </top>
      <bottom style="double">
        <color indexed="10"/>
      </bottom>
      <diagonal/>
    </border>
    <border>
      <left style="hair">
        <color indexed="64"/>
      </left>
      <right style="thin">
        <color indexed="64"/>
      </right>
      <top/>
      <bottom style="hair">
        <color indexed="64"/>
      </bottom>
      <diagonal/>
    </border>
    <border>
      <left style="thin">
        <color indexed="64"/>
      </left>
      <right style="hair">
        <color indexed="64"/>
      </right>
      <top/>
      <bottom style="hair">
        <color indexed="64"/>
      </bottom>
      <diagonal/>
    </border>
    <border>
      <left style="thin">
        <color indexed="64"/>
      </left>
      <right style="thin">
        <color indexed="64"/>
      </right>
      <top style="hair">
        <color indexed="64"/>
      </top>
      <bottom/>
      <diagonal/>
    </border>
    <border>
      <left/>
      <right/>
      <top style="double">
        <color auto="1"/>
      </top>
      <bottom/>
      <diagonal/>
    </border>
    <border>
      <left style="hair">
        <color indexed="64"/>
      </left>
      <right style="thin">
        <color indexed="64"/>
      </right>
      <top/>
      <bottom/>
      <diagonal/>
    </border>
    <border>
      <left style="hair">
        <color indexed="64"/>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top/>
      <bottom style="thin">
        <color rgb="FFFF0000"/>
      </bottom>
      <diagonal/>
    </border>
    <border>
      <left/>
      <right/>
      <top/>
      <bottom style="hair">
        <color rgb="FFFF0000"/>
      </bottom>
      <diagonal/>
    </border>
    <border>
      <left style="hair">
        <color indexed="64"/>
      </left>
      <right style="hair">
        <color indexed="64"/>
      </right>
      <top style="thin">
        <color indexed="64"/>
      </top>
      <bottom/>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thin">
        <color indexed="64"/>
      </left>
      <right style="hair">
        <color indexed="64"/>
      </right>
      <top style="hair">
        <color indexed="64"/>
      </top>
      <bottom/>
      <diagonal/>
    </border>
    <border>
      <left style="medium">
        <color indexed="64"/>
      </left>
      <right style="thin">
        <color auto="1"/>
      </right>
      <top style="medium">
        <color indexed="64"/>
      </top>
      <bottom style="medium">
        <color indexed="64"/>
      </bottom>
      <diagonal/>
    </border>
    <border>
      <left style="thin">
        <color indexed="64"/>
      </left>
      <right/>
      <top style="hair">
        <color indexed="64"/>
      </top>
      <bottom style="double">
        <color indexed="64"/>
      </bottom>
      <diagonal/>
    </border>
    <border>
      <left/>
      <right style="thin">
        <color indexed="64"/>
      </right>
      <top style="hair">
        <color indexed="64"/>
      </top>
      <bottom style="double">
        <color indexed="64"/>
      </bottom>
      <diagonal/>
    </border>
    <border>
      <left/>
      <right/>
      <top style="hair">
        <color indexed="64"/>
      </top>
      <bottom style="double">
        <color indexed="64"/>
      </bottom>
      <diagonal/>
    </border>
    <border>
      <left style="thin">
        <color auto="1"/>
      </left>
      <right style="hair">
        <color auto="1"/>
      </right>
      <top style="thin">
        <color auto="1"/>
      </top>
      <bottom style="thin">
        <color auto="1"/>
      </bottom>
      <diagonal/>
    </border>
    <border>
      <left style="hair">
        <color auto="1"/>
      </left>
      <right style="hair">
        <color auto="1"/>
      </right>
      <top style="thin">
        <color auto="1"/>
      </top>
      <bottom style="thin">
        <color auto="1"/>
      </bottom>
      <diagonal/>
    </border>
    <border>
      <left style="hair">
        <color auto="1"/>
      </left>
      <right style="thin">
        <color auto="1"/>
      </right>
      <top style="thin">
        <color auto="1"/>
      </top>
      <bottom style="thin">
        <color auto="1"/>
      </bottom>
      <diagonal/>
    </border>
    <border>
      <left style="hair">
        <color auto="1"/>
      </left>
      <right style="hair">
        <color auto="1"/>
      </right>
      <top/>
      <bottom style="thin">
        <color auto="1"/>
      </bottom>
      <diagonal/>
    </border>
    <border>
      <left style="thick">
        <color indexed="64"/>
      </left>
      <right style="thick">
        <color indexed="64"/>
      </right>
      <top style="thick">
        <color indexed="64"/>
      </top>
      <bottom style="thick">
        <color indexed="64"/>
      </bottom>
      <diagonal/>
    </border>
    <border>
      <left style="hair">
        <color indexed="64"/>
      </left>
      <right/>
      <top style="thin">
        <color indexed="64"/>
      </top>
      <bottom/>
      <diagonal/>
    </border>
    <border>
      <left/>
      <right style="hair">
        <color auto="1"/>
      </right>
      <top style="thin">
        <color indexed="64"/>
      </top>
      <bottom/>
      <diagonal/>
    </border>
    <border>
      <left style="hair">
        <color auto="1"/>
      </left>
      <right style="hair">
        <color auto="1"/>
      </right>
      <top/>
      <bottom/>
      <diagonal/>
    </border>
    <border>
      <left style="thick">
        <color rgb="FFFF0000"/>
      </left>
      <right/>
      <top style="thick">
        <color rgb="FFFF0000"/>
      </top>
      <bottom style="thick">
        <color rgb="FFFF0000"/>
      </bottom>
      <diagonal/>
    </border>
    <border>
      <left/>
      <right/>
      <top style="thick">
        <color rgb="FFFF0000"/>
      </top>
      <bottom style="thick">
        <color rgb="FFFF0000"/>
      </bottom>
      <diagonal/>
    </border>
    <border>
      <left/>
      <right style="thick">
        <color rgb="FFFF0000"/>
      </right>
      <top style="thick">
        <color rgb="FFFF0000"/>
      </top>
      <bottom style="thick">
        <color rgb="FFFF0000"/>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hair">
        <color indexed="64"/>
      </top>
      <bottom style="medium">
        <color indexed="64"/>
      </bottom>
      <diagonal/>
    </border>
    <border>
      <left style="thin">
        <color indexed="64"/>
      </left>
      <right style="hair">
        <color indexed="64"/>
      </right>
      <top/>
      <bottom/>
      <diagonal/>
    </border>
    <border>
      <left style="thin">
        <color indexed="64"/>
      </left>
      <right style="hair">
        <color indexed="64"/>
      </right>
      <top/>
      <bottom style="thin">
        <color indexed="64"/>
      </bottom>
      <diagonal/>
    </border>
    <border>
      <left style="hair">
        <color indexed="64"/>
      </left>
      <right style="thin">
        <color indexed="64"/>
      </right>
      <top style="hair">
        <color indexed="64"/>
      </top>
      <bottom/>
      <diagonal/>
    </border>
    <border>
      <left style="thin">
        <color indexed="64"/>
      </left>
      <right style="thin">
        <color indexed="64"/>
      </right>
      <top style="medium">
        <color indexed="64"/>
      </top>
      <bottom/>
      <diagonal/>
    </border>
    <border>
      <left style="thin">
        <color auto="1"/>
      </left>
      <right/>
      <top style="thin">
        <color auto="1"/>
      </top>
      <bottom style="hair">
        <color auto="1"/>
      </bottom>
      <diagonal/>
    </border>
    <border>
      <left/>
      <right/>
      <top style="thin">
        <color auto="1"/>
      </top>
      <bottom style="hair">
        <color auto="1"/>
      </bottom>
      <diagonal/>
    </border>
    <border>
      <left/>
      <right style="thin">
        <color auto="1"/>
      </right>
      <top style="thin">
        <color auto="1"/>
      </top>
      <bottom style="hair">
        <color auto="1"/>
      </bottom>
      <diagonal/>
    </border>
    <border>
      <left style="thin">
        <color auto="1"/>
      </left>
      <right style="thin">
        <color auto="1"/>
      </right>
      <top style="thin">
        <color auto="1"/>
      </top>
      <bottom style="hair">
        <color auto="1"/>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style="hair">
        <color indexed="64"/>
      </right>
      <top style="thin">
        <color indexed="64"/>
      </top>
      <bottom style="hair">
        <color indexed="64"/>
      </bottom>
      <diagonal/>
    </border>
    <border>
      <left style="hair">
        <color indexed="64"/>
      </left>
      <right/>
      <top style="thin">
        <color auto="1"/>
      </top>
      <bottom style="hair">
        <color indexed="64"/>
      </bottom>
      <diagonal/>
    </border>
    <border>
      <left/>
      <right style="thin">
        <color auto="1"/>
      </right>
      <top style="double">
        <color auto="1"/>
      </top>
      <bottom style="thin">
        <color auto="1"/>
      </bottom>
      <diagonal/>
    </border>
    <border>
      <left style="thin">
        <color indexed="64"/>
      </left>
      <right style="hair">
        <color indexed="64"/>
      </right>
      <top style="thin">
        <color indexed="64"/>
      </top>
      <bottom style="hair">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style="medium">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style="medium">
        <color indexed="64"/>
      </right>
      <top style="hair">
        <color indexed="64"/>
      </top>
      <bottom style="thin">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thin">
        <color indexed="64"/>
      </top>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hair">
        <color indexed="64"/>
      </bottom>
      <diagonal/>
    </border>
    <border>
      <left style="medium">
        <color indexed="64"/>
      </left>
      <right style="thin">
        <color indexed="64"/>
      </right>
      <top style="hair">
        <color indexed="64"/>
      </top>
      <bottom style="hair">
        <color indexed="64"/>
      </bottom>
      <diagonal/>
    </border>
    <border>
      <left style="medium">
        <color indexed="64"/>
      </left>
      <right style="thin">
        <color indexed="64"/>
      </right>
      <top style="hair">
        <color indexed="64"/>
      </top>
      <bottom style="thin">
        <color auto="1"/>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medium">
        <color indexed="64"/>
      </right>
      <top style="thin">
        <color auto="1"/>
      </top>
      <bottom style="medium">
        <color indexed="64"/>
      </bottom>
      <diagonal/>
    </border>
    <border>
      <left/>
      <right style="medium">
        <color indexed="64"/>
      </right>
      <top/>
      <bottom style="thin">
        <color indexed="64"/>
      </bottom>
      <diagonal/>
    </border>
    <border>
      <left/>
      <right style="medium">
        <color indexed="64"/>
      </right>
      <top style="thin">
        <color auto="1"/>
      </top>
      <bottom/>
      <diagonal/>
    </border>
    <border>
      <left style="hair">
        <color rgb="FFFF0000"/>
      </left>
      <right/>
      <top style="hair">
        <color rgb="FFFF0000"/>
      </top>
      <bottom/>
      <diagonal/>
    </border>
    <border>
      <left/>
      <right/>
      <top style="hair">
        <color rgb="FFFF0000"/>
      </top>
      <bottom/>
      <diagonal/>
    </border>
    <border>
      <left/>
      <right style="hair">
        <color rgb="FFFF0000"/>
      </right>
      <top style="hair">
        <color rgb="FFFF0000"/>
      </top>
      <bottom/>
      <diagonal/>
    </border>
    <border>
      <left style="hair">
        <color rgb="FFFF0000"/>
      </left>
      <right/>
      <top/>
      <bottom/>
      <diagonal/>
    </border>
    <border>
      <left/>
      <right style="hair">
        <color rgb="FFFF0000"/>
      </right>
      <top/>
      <bottom/>
      <diagonal/>
    </border>
    <border>
      <left style="hair">
        <color rgb="FFFF0000"/>
      </left>
      <right/>
      <top/>
      <bottom style="thick">
        <color rgb="FFFF0000"/>
      </bottom>
      <diagonal/>
    </border>
    <border>
      <left/>
      <right/>
      <top/>
      <bottom style="thick">
        <color rgb="FFFF0000"/>
      </bottom>
      <diagonal/>
    </border>
    <border>
      <left/>
      <right style="hair">
        <color rgb="FFFF0000"/>
      </right>
      <top/>
      <bottom style="thick">
        <color rgb="FFFF0000"/>
      </bottom>
      <diagonal/>
    </border>
    <border>
      <left style="thin">
        <color rgb="FF000000"/>
      </left>
      <right style="thin">
        <color rgb="FF000000"/>
      </right>
      <top style="hair">
        <color rgb="FF000000"/>
      </top>
      <bottom/>
      <diagonal/>
    </border>
    <border>
      <left style="thin">
        <color rgb="FF000000"/>
      </left>
      <right style="thin">
        <color rgb="FF000000"/>
      </right>
      <top/>
      <bottom style="hair">
        <color rgb="FF000000"/>
      </bottom>
      <diagonal/>
    </border>
    <border>
      <left style="thin">
        <color indexed="64"/>
      </left>
      <right style="thin">
        <color rgb="FF000000"/>
      </right>
      <top style="thin">
        <color indexed="64"/>
      </top>
      <bottom/>
      <diagonal/>
    </border>
    <border>
      <left style="thin">
        <color rgb="FF000000"/>
      </left>
      <right style="thin">
        <color rgb="FF000000"/>
      </right>
      <top style="thin">
        <color indexed="64"/>
      </top>
      <bottom/>
      <diagonal/>
    </border>
    <border>
      <left style="thin">
        <color rgb="FF000000"/>
      </left>
      <right style="thin">
        <color indexed="64"/>
      </right>
      <top style="thin">
        <color indexed="64"/>
      </top>
      <bottom/>
      <diagonal/>
    </border>
    <border>
      <left style="thin">
        <color indexed="64"/>
      </left>
      <right style="thin">
        <color rgb="FF000000"/>
      </right>
      <top/>
      <bottom/>
      <diagonal/>
    </border>
    <border>
      <left style="thin">
        <color rgb="FF000000"/>
      </left>
      <right style="thin">
        <color indexed="64"/>
      </right>
      <top/>
      <bottom/>
      <diagonal/>
    </border>
    <border>
      <left style="thin">
        <color indexed="64"/>
      </left>
      <right style="thin">
        <color rgb="FF000000"/>
      </right>
      <top/>
      <bottom style="hair">
        <color rgb="FF000000"/>
      </bottom>
      <diagonal/>
    </border>
    <border>
      <left style="thin">
        <color rgb="FF000000"/>
      </left>
      <right style="thin">
        <color indexed="64"/>
      </right>
      <top/>
      <bottom style="hair">
        <color rgb="FF000000"/>
      </bottom>
      <diagonal/>
    </border>
    <border>
      <left style="thin">
        <color indexed="64"/>
      </left>
      <right style="thin">
        <color rgb="FF000000"/>
      </right>
      <top style="hair">
        <color rgb="FF000000"/>
      </top>
      <bottom/>
      <diagonal/>
    </border>
    <border>
      <left style="thin">
        <color rgb="FF000000"/>
      </left>
      <right style="thin">
        <color indexed="64"/>
      </right>
      <top style="hair">
        <color rgb="FF000000"/>
      </top>
      <bottom/>
      <diagonal/>
    </border>
    <border>
      <left style="thin">
        <color indexed="64"/>
      </left>
      <right style="thin">
        <color rgb="FF000000"/>
      </right>
      <top/>
      <bottom style="thin">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style="thin">
        <color indexed="64"/>
      </right>
      <top/>
      <bottom style="medium">
        <color indexed="64"/>
      </bottom>
      <diagonal/>
    </border>
    <border>
      <left style="thin">
        <color indexed="64"/>
      </left>
      <right/>
      <top/>
      <bottom style="medium">
        <color indexed="64"/>
      </bottom>
      <diagonal/>
    </border>
  </borders>
  <cellStyleXfs count="36">
    <xf numFmtId="0" fontId="0" fillId="0" borderId="0"/>
    <xf numFmtId="43" fontId="3" fillId="0" borderId="0" applyFont="0" applyFill="0" applyBorder="0" applyAlignment="0" applyProtection="0"/>
    <xf numFmtId="44" fontId="3" fillId="0" borderId="0" applyFont="0" applyFill="0" applyBorder="0" applyAlignment="0" applyProtection="0"/>
    <xf numFmtId="38" fontId="4" fillId="2" borderId="0" applyNumberFormat="0" applyBorder="0" applyAlignment="0" applyProtection="0"/>
    <xf numFmtId="0" fontId="5" fillId="0" borderId="1" applyNumberFormat="0" applyAlignment="0" applyProtection="0">
      <alignment horizontal="left" vertical="center"/>
    </xf>
    <xf numFmtId="0" fontId="5" fillId="0" borderId="2">
      <alignment horizontal="left" vertical="center"/>
    </xf>
    <xf numFmtId="0" fontId="6" fillId="0" borderId="0" applyNumberFormat="0" applyFill="0" applyBorder="0" applyAlignment="0" applyProtection="0">
      <alignment vertical="top"/>
      <protection locked="0"/>
    </xf>
    <xf numFmtId="10" fontId="4" fillId="3" borderId="3" applyNumberFormat="0" applyBorder="0" applyAlignment="0" applyProtection="0"/>
    <xf numFmtId="172" fontId="3" fillId="0" borderId="0"/>
    <xf numFmtId="0" fontId="32" fillId="0" borderId="0"/>
    <xf numFmtId="9" fontId="3" fillId="0" borderId="0" applyFont="0" applyFill="0" applyBorder="0" applyAlignment="0" applyProtection="0"/>
    <xf numFmtId="10" fontId="3" fillId="0" borderId="0" applyFont="0" applyFill="0" applyBorder="0" applyAlignment="0" applyProtection="0"/>
    <xf numFmtId="0" fontId="2" fillId="0" borderId="0"/>
    <xf numFmtId="0" fontId="3" fillId="0" borderId="0"/>
    <xf numFmtId="0" fontId="118" fillId="0" borderId="0" applyNumberFormat="0" applyFill="0" applyBorder="0" applyAlignment="0" applyProtection="0"/>
    <xf numFmtId="43" fontId="119" fillId="0" borderId="0" applyFont="0" applyFill="0" applyBorder="0" applyAlignment="0" applyProtection="0"/>
    <xf numFmtId="44" fontId="30" fillId="0" borderId="0" applyFont="0" applyFill="0" applyBorder="0" applyAlignment="0" applyProtection="0"/>
    <xf numFmtId="15" fontId="120" fillId="0" borderId="97" applyFont="0" applyFill="0" applyBorder="0" applyProtection="0">
      <alignment horizontal="center"/>
      <protection locked="0"/>
    </xf>
    <xf numFmtId="179" fontId="121" fillId="0" borderId="0" applyFont="0" applyFill="0" applyBorder="0" applyAlignment="0" applyProtection="0"/>
    <xf numFmtId="38" fontId="120" fillId="0" borderId="0" applyFill="0" applyBorder="0" applyAlignment="0" applyProtection="0"/>
    <xf numFmtId="180" fontId="122" fillId="0" borderId="0" applyFill="0" applyBorder="0" applyAlignment="0" applyProtection="0">
      <alignment horizontal="right"/>
    </xf>
    <xf numFmtId="37" fontId="123" fillId="0" borderId="97" applyNumberFormat="0" applyFont="0" applyFill="0" applyAlignment="0" applyProtection="0">
      <alignment horizontal="center" vertical="center"/>
    </xf>
    <xf numFmtId="37" fontId="124" fillId="0" borderId="0"/>
    <xf numFmtId="0" fontId="3" fillId="0" borderId="0"/>
    <xf numFmtId="0" fontId="3" fillId="0" borderId="0"/>
    <xf numFmtId="0" fontId="125" fillId="0" borderId="0" applyNumberFormat="0" applyFill="0" applyBorder="0" applyAlignment="0" applyProtection="0"/>
    <xf numFmtId="37" fontId="126" fillId="0" borderId="0" applyFill="0" applyBorder="0" applyAlignment="0" applyProtection="0"/>
    <xf numFmtId="9" fontId="119" fillId="0" borderId="0" applyFont="0" applyFill="0" applyBorder="0" applyAlignment="0" applyProtection="0"/>
    <xf numFmtId="43" fontId="2" fillId="0" borderId="0" applyFont="0" applyFill="0" applyBorder="0" applyAlignment="0" applyProtection="0"/>
    <xf numFmtId="9" fontId="2" fillId="0" borderId="0" applyFont="0" applyFill="0" applyBorder="0" applyAlignment="0" applyProtection="0"/>
    <xf numFmtId="0" fontId="3" fillId="0" borderId="0"/>
    <xf numFmtId="0" fontId="5" fillId="0" borderId="82">
      <alignment horizontal="left" vertical="center"/>
    </xf>
    <xf numFmtId="10" fontId="4" fillId="3" borderId="86" applyNumberFormat="0" applyBorder="0" applyAlignment="0" applyProtection="0"/>
    <xf numFmtId="0" fontId="1" fillId="0" borderId="0"/>
    <xf numFmtId="43" fontId="1" fillId="0" borderId="0" applyFont="0" applyFill="0" applyBorder="0" applyAlignment="0" applyProtection="0"/>
    <xf numFmtId="9" fontId="1" fillId="0" borderId="0" applyFont="0" applyFill="0" applyBorder="0" applyAlignment="0" applyProtection="0"/>
  </cellStyleXfs>
  <cellXfs count="4249">
    <xf numFmtId="0" fontId="0" fillId="0" borderId="0" xfId="0"/>
    <xf numFmtId="0" fontId="12" fillId="0" borderId="0" xfId="0" applyFont="1" applyFill="1" applyAlignment="1" applyProtection="1">
      <alignment vertical="center"/>
    </xf>
    <xf numFmtId="0" fontId="8" fillId="0" borderId="0" xfId="0" applyFont="1" applyFill="1" applyBorder="1" applyAlignment="1" applyProtection="1">
      <alignment horizontal="left" vertical="center"/>
    </xf>
    <xf numFmtId="38" fontId="8" fillId="0" borderId="0" xfId="0" applyNumberFormat="1" applyFont="1" applyFill="1" applyBorder="1" applyAlignment="1" applyProtection="1">
      <alignment horizontal="center" vertical="center"/>
    </xf>
    <xf numFmtId="0" fontId="8" fillId="0" borderId="0" xfId="0" applyFont="1" applyFill="1" applyAlignment="1" applyProtection="1">
      <alignment vertical="center"/>
    </xf>
    <xf numFmtId="0" fontId="12" fillId="0" borderId="0" xfId="0" applyFont="1" applyFill="1" applyBorder="1" applyAlignment="1" applyProtection="1">
      <alignment vertical="center"/>
    </xf>
    <xf numFmtId="0" fontId="12" fillId="0" borderId="0" xfId="0" applyFont="1" applyFill="1" applyAlignment="1" applyProtection="1">
      <alignment horizontal="center" vertical="center"/>
    </xf>
    <xf numFmtId="0" fontId="12" fillId="0" borderId="0" xfId="0" applyFont="1" applyFill="1" applyBorder="1" applyAlignment="1" applyProtection="1">
      <alignment horizontal="center" vertical="center"/>
    </xf>
    <xf numFmtId="0" fontId="12" fillId="0" borderId="0" xfId="0" applyFont="1" applyFill="1" applyProtection="1"/>
    <xf numFmtId="38" fontId="12" fillId="0" borderId="0" xfId="0" applyNumberFormat="1" applyFont="1" applyFill="1" applyAlignment="1" applyProtection="1">
      <alignment horizontal="center" vertical="center"/>
    </xf>
    <xf numFmtId="0" fontId="8" fillId="0" borderId="0" xfId="0" applyFont="1" applyFill="1" applyBorder="1" applyAlignment="1" applyProtection="1">
      <alignment vertical="center"/>
    </xf>
    <xf numFmtId="0" fontId="20" fillId="0" borderId="0" xfId="0" applyFont="1" applyFill="1" applyAlignment="1" applyProtection="1">
      <alignment horizontal="right" vertical="center"/>
    </xf>
    <xf numFmtId="38" fontId="12" fillId="0" borderId="0" xfId="1" applyNumberFormat="1" applyFont="1" applyFill="1" applyBorder="1" applyAlignment="1" applyProtection="1">
      <alignment horizontal="right" vertical="center"/>
    </xf>
    <xf numFmtId="0" fontId="8" fillId="0" borderId="0" xfId="0" applyFont="1" applyFill="1" applyProtection="1"/>
    <xf numFmtId="0" fontId="8" fillId="0" borderId="0" xfId="0" applyFont="1" applyFill="1" applyAlignment="1" applyProtection="1">
      <alignment horizontal="right" vertical="center"/>
    </xf>
    <xf numFmtId="164" fontId="8" fillId="0" borderId="0" xfId="1" applyNumberFormat="1" applyFont="1" applyFill="1" applyProtection="1"/>
    <xf numFmtId="0" fontId="12" fillId="0" borderId="0" xfId="0" applyFont="1" applyFill="1" applyBorder="1" applyProtection="1"/>
    <xf numFmtId="164" fontId="12" fillId="0" borderId="0" xfId="1" applyNumberFormat="1" applyFont="1" applyFill="1" applyProtection="1"/>
    <xf numFmtId="0" fontId="12" fillId="0" borderId="4" xfId="0" applyFont="1" applyFill="1" applyBorder="1" applyProtection="1"/>
    <xf numFmtId="164" fontId="12" fillId="0" borderId="5" xfId="1" applyNumberFormat="1" applyFont="1" applyFill="1" applyBorder="1" applyProtection="1"/>
    <xf numFmtId="164" fontId="12" fillId="0" borderId="6" xfId="1" applyNumberFormat="1" applyFont="1" applyFill="1" applyBorder="1" applyProtection="1"/>
    <xf numFmtId="0" fontId="12" fillId="0" borderId="7" xfId="0" applyFont="1" applyFill="1" applyBorder="1" applyProtection="1"/>
    <xf numFmtId="164" fontId="12" fillId="0" borderId="0" xfId="1" applyNumberFormat="1" applyFont="1" applyFill="1" applyBorder="1" applyProtection="1"/>
    <xf numFmtId="164" fontId="12" fillId="0" borderId="8" xfId="1" applyNumberFormat="1" applyFont="1" applyFill="1" applyBorder="1" applyProtection="1"/>
    <xf numFmtId="43" fontId="12" fillId="0" borderId="0" xfId="1" applyNumberFormat="1" applyFont="1" applyFill="1" applyBorder="1" applyProtection="1"/>
    <xf numFmtId="43" fontId="12" fillId="0" borderId="8" xfId="1" applyNumberFormat="1" applyFont="1" applyFill="1" applyBorder="1" applyProtection="1"/>
    <xf numFmtId="0" fontId="12" fillId="0" borderId="9" xfId="0" applyFont="1" applyFill="1" applyBorder="1" applyProtection="1"/>
    <xf numFmtId="0" fontId="0" fillId="0" borderId="0" xfId="0" applyProtection="1"/>
    <xf numFmtId="0" fontId="8" fillId="0" borderId="0" xfId="0" applyFont="1" applyFill="1" applyBorder="1" applyProtection="1"/>
    <xf numFmtId="0" fontId="8" fillId="0" borderId="0" xfId="0" applyFont="1" applyFill="1" applyBorder="1" applyAlignment="1" applyProtection="1">
      <alignment horizontal="left"/>
    </xf>
    <xf numFmtId="0" fontId="8" fillId="0" borderId="0" xfId="0" applyFont="1" applyFill="1" applyBorder="1" applyAlignment="1" applyProtection="1">
      <alignment horizontal="center"/>
    </xf>
    <xf numFmtId="0" fontId="8" fillId="0" borderId="0" xfId="0" applyFont="1" applyFill="1" applyAlignment="1" applyProtection="1"/>
    <xf numFmtId="0" fontId="8" fillId="0" borderId="0" xfId="0" quotePrefix="1" applyFont="1" applyFill="1" applyAlignment="1" applyProtection="1">
      <alignment horizontal="center" vertical="center"/>
    </xf>
    <xf numFmtId="0" fontId="0" fillId="0" borderId="0" xfId="0" applyAlignment="1" applyProtection="1">
      <alignment vertical="center"/>
    </xf>
    <xf numFmtId="44" fontId="12" fillId="0" borderId="0" xfId="0" applyNumberFormat="1" applyFont="1" applyFill="1" applyProtection="1"/>
    <xf numFmtId="0" fontId="21" fillId="0" borderId="0" xfId="0" applyFont="1" applyFill="1" applyProtection="1"/>
    <xf numFmtId="0" fontId="4" fillId="0" borderId="0" xfId="0" applyFont="1" applyFill="1" applyAlignment="1" applyProtection="1">
      <alignment vertical="center"/>
    </xf>
    <xf numFmtId="1" fontId="4" fillId="0" borderId="0" xfId="0" applyNumberFormat="1" applyFont="1" applyFill="1" applyAlignment="1" applyProtection="1">
      <alignment horizontal="left" vertical="center"/>
    </xf>
    <xf numFmtId="0" fontId="7" fillId="0" borderId="0" xfId="0" applyFont="1" applyFill="1" applyAlignment="1" applyProtection="1">
      <alignment horizontal="center" vertical="center"/>
    </xf>
    <xf numFmtId="0" fontId="7" fillId="0" borderId="0" xfId="0" applyFont="1" applyFill="1" applyAlignment="1" applyProtection="1">
      <alignment vertical="center"/>
    </xf>
    <xf numFmtId="0" fontId="4" fillId="0" borderId="0" xfId="0" applyFont="1" applyFill="1" applyAlignment="1" applyProtection="1">
      <alignment horizontal="left" vertical="center"/>
    </xf>
    <xf numFmtId="0" fontId="17" fillId="0" borderId="0" xfId="0" applyFont="1" applyFill="1" applyProtection="1"/>
    <xf numFmtId="0" fontId="21" fillId="0" borderId="0" xfId="0" applyFont="1" applyFill="1" applyAlignment="1" applyProtection="1">
      <alignment vertical="center"/>
    </xf>
    <xf numFmtId="0" fontId="18" fillId="0" borderId="0" xfId="0" applyFont="1" applyFill="1" applyProtection="1"/>
    <xf numFmtId="0" fontId="9" fillId="0" borderId="0" xfId="0" applyFont="1" applyFill="1" applyAlignment="1" applyProtection="1">
      <alignment vertical="center"/>
    </xf>
    <xf numFmtId="0" fontId="24" fillId="0" borderId="0" xfId="0" applyFont="1" applyFill="1" applyAlignment="1" applyProtection="1">
      <alignment vertical="center"/>
    </xf>
    <xf numFmtId="0" fontId="21" fillId="0" borderId="0" xfId="0" applyFont="1" applyFill="1" applyAlignment="1" applyProtection="1">
      <alignment horizontal="center" vertical="center"/>
    </xf>
    <xf numFmtId="0" fontId="14" fillId="0" borderId="0" xfId="0" applyFont="1" applyFill="1" applyAlignment="1" applyProtection="1">
      <alignment horizontal="right" vertical="center"/>
    </xf>
    <xf numFmtId="0" fontId="19" fillId="0" borderId="0" xfId="0" applyFont="1" applyFill="1" applyAlignment="1" applyProtection="1">
      <alignment vertical="center"/>
    </xf>
    <xf numFmtId="0" fontId="16" fillId="0" borderId="0" xfId="0" applyFont="1" applyFill="1" applyAlignment="1" applyProtection="1">
      <alignment vertical="center"/>
    </xf>
    <xf numFmtId="0" fontId="21" fillId="0" borderId="0" xfId="0" applyFont="1" applyFill="1" applyBorder="1" applyAlignment="1" applyProtection="1">
      <alignment vertical="center"/>
    </xf>
    <xf numFmtId="0" fontId="14" fillId="0" borderId="0" xfId="0" applyFont="1" applyFill="1" applyAlignment="1" applyProtection="1">
      <alignment horizontal="center" vertical="center"/>
    </xf>
    <xf numFmtId="0" fontId="4" fillId="0" borderId="0" xfId="0" applyFont="1" applyFill="1" applyBorder="1" applyAlignment="1" applyProtection="1">
      <alignment vertical="center"/>
    </xf>
    <xf numFmtId="0" fontId="19" fillId="0" borderId="0" xfId="0" applyFont="1" applyFill="1" applyBorder="1" applyAlignment="1" applyProtection="1">
      <alignment vertical="center"/>
    </xf>
    <xf numFmtId="0" fontId="18" fillId="0" borderId="0" xfId="0" applyFont="1" applyFill="1" applyBorder="1" applyProtection="1"/>
    <xf numFmtId="0" fontId="4" fillId="0" borderId="0" xfId="0" applyFont="1" applyFill="1" applyProtection="1"/>
    <xf numFmtId="0" fontId="11" fillId="0" borderId="0" xfId="0" applyFont="1" applyFill="1" applyBorder="1" applyAlignment="1" applyProtection="1">
      <alignment horizontal="right"/>
    </xf>
    <xf numFmtId="0" fontId="7" fillId="0" borderId="0" xfId="0" applyFont="1" applyFill="1" applyBorder="1" applyAlignment="1" applyProtection="1">
      <alignment vertical="center"/>
    </xf>
    <xf numFmtId="0" fontId="4" fillId="0" borderId="0" xfId="0" applyFont="1" applyFill="1" applyBorder="1" applyAlignment="1" applyProtection="1"/>
    <xf numFmtId="0" fontId="24" fillId="0" borderId="0" xfId="0" applyFont="1" applyFill="1" applyBorder="1" applyAlignment="1" applyProtection="1">
      <alignment vertical="center"/>
    </xf>
    <xf numFmtId="0" fontId="7" fillId="0" borderId="0" xfId="0" applyFont="1" applyFill="1" applyBorder="1" applyAlignment="1" applyProtection="1">
      <alignment horizontal="center" vertical="center"/>
    </xf>
    <xf numFmtId="0" fontId="24" fillId="0" borderId="0" xfId="0" applyFont="1" applyFill="1" applyAlignment="1" applyProtection="1">
      <alignment horizontal="left" vertical="center"/>
    </xf>
    <xf numFmtId="0" fontId="12" fillId="0" borderId="0" xfId="0" applyFont="1" applyFill="1" applyAlignment="1" applyProtection="1">
      <alignment horizontal="center"/>
    </xf>
    <xf numFmtId="0" fontId="14" fillId="0" borderId="0" xfId="0" applyFont="1" applyFill="1" applyBorder="1" applyAlignment="1" applyProtection="1">
      <alignment horizontal="right" vertical="center"/>
    </xf>
    <xf numFmtId="0" fontId="4" fillId="0" borderId="0" xfId="0" applyFont="1" applyFill="1" applyBorder="1" applyAlignment="1" applyProtection="1">
      <alignment horizontal="right" vertical="center"/>
    </xf>
    <xf numFmtId="0" fontId="7" fillId="0" borderId="0" xfId="0" applyFont="1" applyFill="1" applyAlignment="1" applyProtection="1">
      <alignment horizontal="right" vertical="center"/>
    </xf>
    <xf numFmtId="0" fontId="16" fillId="0" borderId="0" xfId="0" applyFont="1" applyFill="1" applyBorder="1" applyAlignment="1" applyProtection="1">
      <alignment vertical="center"/>
    </xf>
    <xf numFmtId="0" fontId="11" fillId="0" borderId="0" xfId="0" applyFont="1" applyFill="1" applyBorder="1" applyProtection="1"/>
    <xf numFmtId="0" fontId="21" fillId="0" borderId="0" xfId="0" applyFont="1" applyFill="1" applyAlignment="1" applyProtection="1"/>
    <xf numFmtId="0" fontId="5" fillId="0" borderId="0" xfId="0" applyFont="1" applyFill="1" applyAlignment="1" applyProtection="1">
      <alignment horizontal="center" vertical="center"/>
    </xf>
    <xf numFmtId="0" fontId="8" fillId="0" borderId="0" xfId="0" applyFont="1" applyFill="1" applyBorder="1" applyAlignment="1" applyProtection="1">
      <alignment horizontal="center" vertical="top" wrapText="1"/>
    </xf>
    <xf numFmtId="0" fontId="8" fillId="0" borderId="0" xfId="0" applyFont="1" applyAlignment="1" applyProtection="1">
      <alignment horizontal="center"/>
    </xf>
    <xf numFmtId="0" fontId="3" fillId="0" borderId="0" xfId="0" applyFont="1" applyFill="1" applyAlignment="1" applyProtection="1">
      <alignment horizontal="center" vertical="center"/>
    </xf>
    <xf numFmtId="0" fontId="31" fillId="0" borderId="0" xfId="0" applyFont="1" applyFill="1" applyAlignment="1" applyProtection="1">
      <alignment horizontal="center" vertical="center"/>
    </xf>
    <xf numFmtId="0" fontId="12" fillId="0" borderId="0" xfId="0" applyFont="1" applyFill="1" applyBorder="1" applyAlignment="1" applyProtection="1">
      <alignment horizontal="center" vertical="top" wrapText="1"/>
    </xf>
    <xf numFmtId="0" fontId="21" fillId="0" borderId="0" xfId="0" applyFont="1" applyAlignment="1" applyProtection="1">
      <alignment horizontal="center"/>
    </xf>
    <xf numFmtId="0" fontId="8" fillId="0" borderId="3" xfId="0" applyFont="1" applyFill="1" applyBorder="1" applyAlignment="1" applyProtection="1">
      <alignment horizontal="center" vertical="center"/>
    </xf>
    <xf numFmtId="10" fontId="12" fillId="0" borderId="0" xfId="0" applyNumberFormat="1" applyFont="1" applyFill="1" applyBorder="1" applyAlignment="1" applyProtection="1">
      <alignment horizontal="left"/>
    </xf>
    <xf numFmtId="0" fontId="12" fillId="0" borderId="0" xfId="0" applyFont="1" applyAlignment="1" applyProtection="1">
      <alignment vertical="center"/>
    </xf>
    <xf numFmtId="0" fontId="12" fillId="0" borderId="0" xfId="0" applyFont="1" applyBorder="1" applyAlignment="1" applyProtection="1">
      <alignment vertical="center"/>
    </xf>
    <xf numFmtId="0" fontId="0" fillId="0" borderId="0" xfId="0" applyAlignment="1" applyProtection="1">
      <alignment horizontal="center"/>
    </xf>
    <xf numFmtId="0" fontId="12" fillId="0" borderId="0" xfId="0" applyFont="1" applyFill="1" applyAlignment="1" applyProtection="1">
      <alignment horizontal="right"/>
    </xf>
    <xf numFmtId="0" fontId="27" fillId="0" borderId="0" xfId="0" applyFont="1" applyFill="1" applyProtection="1"/>
    <xf numFmtId="0" fontId="8" fillId="0" borderId="4" xfId="0" applyFont="1" applyFill="1" applyBorder="1" applyAlignment="1" applyProtection="1">
      <alignment horizontal="center" vertical="center"/>
    </xf>
    <xf numFmtId="0" fontId="8" fillId="0" borderId="8" xfId="0" applyFont="1" applyFill="1" applyBorder="1" applyAlignment="1" applyProtection="1">
      <alignment vertical="center"/>
    </xf>
    <xf numFmtId="0" fontId="16" fillId="0" borderId="13" xfId="0" applyFont="1" applyFill="1" applyBorder="1" applyAlignment="1" applyProtection="1">
      <alignment vertical="top"/>
    </xf>
    <xf numFmtId="0" fontId="14" fillId="0" borderId="0" xfId="0" applyFont="1" applyFill="1" applyAlignment="1" applyProtection="1">
      <alignment vertical="center"/>
    </xf>
    <xf numFmtId="0" fontId="14" fillId="0" borderId="0" xfId="0" applyFont="1" applyFill="1" applyBorder="1" applyAlignment="1" applyProtection="1"/>
    <xf numFmtId="0" fontId="14" fillId="0" borderId="0" xfId="0" applyFont="1" applyFill="1" applyAlignment="1" applyProtection="1"/>
    <xf numFmtId="0" fontId="13" fillId="0" borderId="0" xfId="0" applyFont="1" applyFill="1" applyProtection="1"/>
    <xf numFmtId="0" fontId="27" fillId="0" borderId="0" xfId="0" applyFont="1" applyFill="1" applyAlignment="1" applyProtection="1">
      <alignment vertical="center"/>
    </xf>
    <xf numFmtId="0" fontId="8" fillId="0" borderId="0" xfId="0" applyFont="1" applyFill="1" applyAlignment="1" applyProtection="1">
      <alignment horizontal="center" wrapText="1"/>
    </xf>
    <xf numFmtId="0" fontId="18" fillId="0" borderId="0" xfId="0" applyFont="1" applyFill="1" applyBorder="1" applyAlignment="1" applyProtection="1">
      <alignment vertical="center"/>
    </xf>
    <xf numFmtId="0" fontId="12" fillId="0" borderId="0" xfId="0" applyFont="1" applyFill="1" applyBorder="1" applyAlignment="1" applyProtection="1">
      <alignment horizontal="center" vertical="center" wrapText="1"/>
    </xf>
    <xf numFmtId="0" fontId="3" fillId="0" borderId="0" xfId="0" applyFont="1" applyFill="1" applyAlignment="1" applyProtection="1">
      <alignment vertical="center"/>
    </xf>
    <xf numFmtId="0" fontId="16" fillId="0" borderId="0" xfId="0" applyFont="1" applyFill="1" applyBorder="1" applyAlignment="1" applyProtection="1">
      <alignment horizontal="left" vertical="center"/>
    </xf>
    <xf numFmtId="0" fontId="12" fillId="0" borderId="0" xfId="0" applyFont="1" applyFill="1" applyAlignment="1" applyProtection="1">
      <alignment horizontal="left"/>
    </xf>
    <xf numFmtId="0" fontId="16" fillId="0" borderId="13" xfId="0" applyFont="1" applyFill="1" applyBorder="1" applyAlignment="1" applyProtection="1">
      <alignment vertical="center"/>
    </xf>
    <xf numFmtId="0" fontId="21" fillId="0" borderId="13" xfId="0" applyFont="1" applyFill="1" applyBorder="1" applyAlignment="1" applyProtection="1">
      <alignment vertical="center"/>
    </xf>
    <xf numFmtId="0" fontId="4" fillId="0" borderId="13" xfId="0" applyFont="1" applyFill="1" applyBorder="1" applyAlignment="1" applyProtection="1">
      <alignment horizontal="left" vertical="top" wrapText="1"/>
    </xf>
    <xf numFmtId="0" fontId="7" fillId="0" borderId="0" xfId="0" applyFont="1" applyProtection="1"/>
    <xf numFmtId="10" fontId="12" fillId="0" borderId="0" xfId="0" applyNumberFormat="1" applyFont="1" applyFill="1" applyAlignment="1" applyProtection="1">
      <alignment horizontal="center"/>
    </xf>
    <xf numFmtId="0" fontId="18" fillId="0" borderId="0" xfId="0" applyFont="1" applyFill="1" applyAlignment="1" applyProtection="1">
      <alignment vertical="center"/>
    </xf>
    <xf numFmtId="0" fontId="13" fillId="0" borderId="0" xfId="0" applyFont="1" applyFill="1" applyBorder="1" applyAlignment="1" applyProtection="1">
      <alignment vertical="center"/>
    </xf>
    <xf numFmtId="0" fontId="0" fillId="0" borderId="0" xfId="0" applyAlignment="1" applyProtection="1">
      <alignment vertical="top" wrapText="1"/>
    </xf>
    <xf numFmtId="0" fontId="20" fillId="0" borderId="0" xfId="0" applyFont="1" applyFill="1" applyAlignment="1" applyProtection="1">
      <alignment vertical="center"/>
    </xf>
    <xf numFmtId="0" fontId="20" fillId="0" borderId="0" xfId="0" applyFont="1" applyFill="1" applyBorder="1" applyAlignment="1" applyProtection="1">
      <alignment vertical="center"/>
    </xf>
    <xf numFmtId="0" fontId="30" fillId="0" borderId="0" xfId="0" applyFont="1" applyFill="1" applyAlignment="1" applyProtection="1">
      <alignment horizontal="center" vertical="center"/>
    </xf>
    <xf numFmtId="0" fontId="13" fillId="0" borderId="0" xfId="0" applyFont="1" applyFill="1" applyAlignment="1" applyProtection="1">
      <alignment horizontal="left" indent="2"/>
    </xf>
    <xf numFmtId="0" fontId="26" fillId="0" borderId="0" xfId="0" applyFont="1" applyFill="1" applyAlignment="1" applyProtection="1">
      <alignment horizontal="center" vertical="center"/>
    </xf>
    <xf numFmtId="0" fontId="13" fillId="0" borderId="0" xfId="0" applyFont="1" applyFill="1" applyAlignment="1" applyProtection="1">
      <alignment vertical="center"/>
    </xf>
    <xf numFmtId="0" fontId="39" fillId="0" borderId="0" xfId="0" applyFont="1" applyFill="1" applyProtection="1"/>
    <xf numFmtId="0" fontId="20" fillId="0" borderId="0" xfId="0" applyFont="1" applyFill="1" applyBorder="1" applyAlignment="1" applyProtection="1"/>
    <xf numFmtId="0" fontId="14" fillId="0" borderId="0" xfId="0" applyFont="1" applyFill="1" applyAlignment="1" applyProtection="1">
      <alignment horizontal="left" vertical="center"/>
    </xf>
    <xf numFmtId="0" fontId="21" fillId="0" borderId="0" xfId="0" applyFont="1" applyAlignment="1" applyProtection="1">
      <alignment horizontal="center" vertical="center"/>
    </xf>
    <xf numFmtId="0" fontId="17" fillId="0" borderId="0" xfId="0" applyFont="1" applyFill="1" applyBorder="1" applyProtection="1"/>
    <xf numFmtId="0" fontId="0" fillId="0" borderId="0" xfId="0" applyBorder="1" applyProtection="1"/>
    <xf numFmtId="0" fontId="7" fillId="0" borderId="0" xfId="0" applyFont="1" applyAlignment="1" applyProtection="1">
      <alignment vertical="center"/>
    </xf>
    <xf numFmtId="164" fontId="12" fillId="0" borderId="0" xfId="1" applyNumberFormat="1" applyFont="1" applyFill="1" applyBorder="1" applyAlignment="1" applyProtection="1">
      <alignment vertical="center"/>
    </xf>
    <xf numFmtId="0" fontId="25" fillId="0" borderId="0" xfId="0" applyFont="1" applyFill="1" applyAlignment="1" applyProtection="1">
      <alignment horizontal="right"/>
    </xf>
    <xf numFmtId="0" fontId="3" fillId="0" borderId="0" xfId="0" applyFont="1" applyAlignment="1" applyProtection="1">
      <alignment horizontal="center"/>
    </xf>
    <xf numFmtId="0" fontId="26" fillId="0" borderId="0" xfId="0" applyFont="1" applyFill="1" applyAlignment="1" applyProtection="1">
      <alignment vertical="center"/>
    </xf>
    <xf numFmtId="0" fontId="20" fillId="0" borderId="0" xfId="0" applyFont="1" applyFill="1" applyBorder="1" applyAlignment="1" applyProtection="1">
      <alignment horizontal="right" vertical="center"/>
    </xf>
    <xf numFmtId="164" fontId="13" fillId="0" borderId="3" xfId="1" applyNumberFormat="1" applyFont="1" applyFill="1" applyBorder="1" applyAlignment="1" applyProtection="1">
      <alignment horizontal="center" vertical="center"/>
    </xf>
    <xf numFmtId="0" fontId="29" fillId="0" borderId="0" xfId="0" applyFont="1" applyFill="1" applyProtection="1"/>
    <xf numFmtId="0" fontId="5" fillId="0" borderId="0" xfId="0" applyFont="1" applyFill="1" applyProtection="1"/>
    <xf numFmtId="0" fontId="28" fillId="0" borderId="0" xfId="0" applyFont="1" applyFill="1" applyBorder="1" applyAlignment="1" applyProtection="1">
      <alignment horizontal="left" vertical="top"/>
    </xf>
    <xf numFmtId="0" fontId="21" fillId="0" borderId="0" xfId="0" applyFont="1" applyFill="1" applyBorder="1" applyProtection="1"/>
    <xf numFmtId="0" fontId="8" fillId="0" borderId="0" xfId="0" applyFont="1" applyFill="1" applyAlignment="1" applyProtection="1">
      <alignment horizontal="left" vertical="top"/>
    </xf>
    <xf numFmtId="0" fontId="8" fillId="0" borderId="0" xfId="0" applyFont="1" applyFill="1" applyAlignment="1" applyProtection="1">
      <alignment vertical="top"/>
    </xf>
    <xf numFmtId="0" fontId="14" fillId="0" borderId="0" xfId="0" applyFont="1" applyFill="1" applyAlignment="1" applyProtection="1">
      <alignment vertical="top"/>
    </xf>
    <xf numFmtId="0" fontId="14" fillId="0" borderId="0" xfId="0" applyFont="1" applyFill="1" applyBorder="1" applyAlignment="1" applyProtection="1">
      <alignment horizontal="right" vertical="top" wrapText="1"/>
    </xf>
    <xf numFmtId="0" fontId="21" fillId="0" borderId="0" xfId="0" applyFont="1" applyFill="1" applyAlignment="1" applyProtection="1">
      <alignment vertical="top"/>
    </xf>
    <xf numFmtId="0" fontId="4" fillId="0" borderId="0" xfId="0" applyFont="1" applyFill="1" applyBorder="1" applyAlignment="1" applyProtection="1">
      <alignment vertical="center" wrapText="1"/>
    </xf>
    <xf numFmtId="0" fontId="4" fillId="0" borderId="0" xfId="0" applyFont="1" applyAlignment="1" applyProtection="1">
      <alignment vertical="center"/>
    </xf>
    <xf numFmtId="0" fontId="35" fillId="0" borderId="0" xfId="0" applyFont="1" applyFill="1" applyAlignment="1" applyProtection="1">
      <alignment vertical="center"/>
    </xf>
    <xf numFmtId="0" fontId="16" fillId="0" borderId="0" xfId="0" applyFont="1" applyFill="1" applyBorder="1" applyAlignment="1" applyProtection="1">
      <alignment vertical="top"/>
    </xf>
    <xf numFmtId="0" fontId="16" fillId="0" borderId="0" xfId="0" applyFont="1" applyFill="1" applyBorder="1" applyAlignment="1" applyProtection="1">
      <alignment vertical="top" wrapText="1"/>
    </xf>
    <xf numFmtId="0" fontId="10" fillId="0" borderId="0" xfId="0" applyFont="1" applyFill="1" applyAlignment="1" applyProtection="1">
      <alignment horizontal="right" vertical="center"/>
    </xf>
    <xf numFmtId="0" fontId="4" fillId="0" borderId="0" xfId="0" applyFont="1" applyFill="1" applyBorder="1" applyAlignment="1" applyProtection="1">
      <alignment vertical="top"/>
    </xf>
    <xf numFmtId="0" fontId="16" fillId="0" borderId="13" xfId="0" applyFont="1" applyFill="1" applyBorder="1" applyAlignment="1" applyProtection="1">
      <alignment horizontal="left" vertical="center"/>
    </xf>
    <xf numFmtId="0" fontId="14" fillId="0" borderId="0" xfId="0" applyFont="1" applyFill="1" applyAlignment="1" applyProtection="1">
      <alignment horizontal="right" vertical="top"/>
    </xf>
    <xf numFmtId="0" fontId="7" fillId="0" borderId="0" xfId="0" applyFont="1" applyFill="1" applyAlignment="1" applyProtection="1">
      <alignment vertical="top" wrapText="1"/>
    </xf>
    <xf numFmtId="0" fontId="10" fillId="0" borderId="0" xfId="0" applyFont="1" applyFill="1" applyAlignment="1" applyProtection="1">
      <alignment horizontal="right" vertical="top"/>
    </xf>
    <xf numFmtId="0" fontId="7" fillId="0" borderId="0" xfId="0" applyFont="1" applyFill="1" applyProtection="1"/>
    <xf numFmtId="0" fontId="7" fillId="0" borderId="0" xfId="0" applyFont="1" applyFill="1" applyAlignment="1" applyProtection="1">
      <alignment horizontal="left" vertical="center"/>
    </xf>
    <xf numFmtId="0" fontId="12" fillId="0" borderId="0" xfId="0" applyFont="1" applyFill="1" applyBorder="1" applyAlignment="1" applyProtection="1">
      <alignment horizontal="left" vertical="top" wrapText="1"/>
    </xf>
    <xf numFmtId="0" fontId="3" fillId="0" borderId="0" xfId="0" applyFont="1" applyFill="1" applyProtection="1"/>
    <xf numFmtId="0" fontId="7" fillId="0" borderId="0" xfId="0" applyFont="1" applyFill="1" applyAlignment="1" applyProtection="1">
      <alignment horizontal="right" vertical="top"/>
    </xf>
    <xf numFmtId="0" fontId="0" fillId="0" borderId="0" xfId="0" applyAlignment="1" applyProtection="1">
      <alignment vertical="center" wrapText="1"/>
    </xf>
    <xf numFmtId="0" fontId="8" fillId="0" borderId="0" xfId="0" applyFont="1" applyAlignment="1" applyProtection="1">
      <alignment horizontal="center" vertical="center"/>
    </xf>
    <xf numFmtId="0" fontId="27" fillId="0" borderId="0" xfId="0" applyFont="1" applyFill="1" applyBorder="1" applyProtection="1"/>
    <xf numFmtId="0" fontId="20" fillId="0" borderId="0" xfId="0" quotePrefix="1" applyFont="1" applyFill="1" applyAlignment="1" applyProtection="1">
      <alignment vertical="center"/>
    </xf>
    <xf numFmtId="0" fontId="20" fillId="0" borderId="0" xfId="0" quotePrefix="1" applyFont="1" applyFill="1" applyBorder="1" applyAlignment="1" applyProtection="1">
      <alignment horizontal="left" vertical="center"/>
    </xf>
    <xf numFmtId="0" fontId="25" fillId="0" borderId="0" xfId="0" applyFont="1" applyFill="1" applyAlignment="1" applyProtection="1">
      <alignment vertical="center"/>
    </xf>
    <xf numFmtId="0" fontId="38" fillId="0" borderId="0" xfId="0" applyFont="1" applyFill="1" applyAlignment="1" applyProtection="1">
      <alignment vertical="center"/>
    </xf>
    <xf numFmtId="38" fontId="38" fillId="0" borderId="0" xfId="0" applyNumberFormat="1" applyFont="1" applyFill="1" applyAlignment="1" applyProtection="1">
      <alignment horizontal="center" vertical="center"/>
    </xf>
    <xf numFmtId="0" fontId="36" fillId="0" borderId="0" xfId="0" applyFont="1" applyFill="1" applyAlignment="1" applyProtection="1">
      <alignment vertical="center" wrapText="1"/>
    </xf>
    <xf numFmtId="0" fontId="3" fillId="0" borderId="0" xfId="0" applyFont="1" applyProtection="1"/>
    <xf numFmtId="0" fontId="0" fillId="0" borderId="0" xfId="0" applyAlignment="1" applyProtection="1">
      <alignment wrapText="1"/>
    </xf>
    <xf numFmtId="0" fontId="4" fillId="0" borderId="0" xfId="0" applyFont="1" applyFill="1" applyAlignment="1" applyProtection="1">
      <alignment horizontal="right" vertical="top"/>
    </xf>
    <xf numFmtId="164" fontId="13" fillId="0" borderId="0" xfId="1" applyNumberFormat="1" applyFont="1" applyFill="1" applyBorder="1" applyAlignment="1" applyProtection="1">
      <alignment horizontal="center" vertical="center"/>
    </xf>
    <xf numFmtId="0" fontId="29" fillId="0" borderId="0" xfId="0" applyFont="1" applyFill="1" applyBorder="1" applyAlignment="1" applyProtection="1">
      <alignment vertical="center"/>
    </xf>
    <xf numFmtId="0" fontId="12" fillId="0" borderId="0" xfId="0" quotePrefix="1" applyFont="1" applyAlignment="1" applyProtection="1">
      <alignment horizontal="left" vertical="center"/>
    </xf>
    <xf numFmtId="0" fontId="12" fillId="0" borderId="0" xfId="0" applyFont="1" applyProtection="1"/>
    <xf numFmtId="0" fontId="10" fillId="0" borderId="0" xfId="0" applyFont="1" applyFill="1" applyAlignment="1" applyProtection="1">
      <alignment vertical="center"/>
    </xf>
    <xf numFmtId="0" fontId="41" fillId="0" borderId="0" xfId="0" applyFont="1" applyAlignment="1" applyProtection="1"/>
    <xf numFmtId="0" fontId="43" fillId="0" borderId="0" xfId="0" applyFont="1" applyFill="1" applyBorder="1" applyAlignment="1" applyProtection="1">
      <alignment horizontal="center"/>
    </xf>
    <xf numFmtId="0" fontId="45" fillId="0" borderId="0" xfId="0" applyFont="1" applyAlignment="1" applyProtection="1">
      <alignment vertical="center"/>
    </xf>
    <xf numFmtId="0" fontId="46" fillId="0" borderId="0" xfId="0" applyFont="1" applyFill="1" applyBorder="1" applyAlignment="1" applyProtection="1">
      <alignment horizontal="center" vertical="center"/>
    </xf>
    <xf numFmtId="0" fontId="42" fillId="0" borderId="0" xfId="0" applyFont="1" applyAlignment="1" applyProtection="1">
      <alignment vertical="center"/>
    </xf>
    <xf numFmtId="0" fontId="47" fillId="0" borderId="0" xfId="0" applyFont="1" applyAlignment="1" applyProtection="1">
      <alignment horizontal="center" vertical="center"/>
    </xf>
    <xf numFmtId="0" fontId="42" fillId="0" borderId="0" xfId="0" applyFont="1" applyFill="1" applyAlignment="1" applyProtection="1">
      <alignment vertical="center"/>
    </xf>
    <xf numFmtId="0" fontId="8" fillId="0" borderId="12" xfId="0" applyFont="1" applyFill="1" applyBorder="1" applyAlignment="1" applyProtection="1">
      <alignment horizontal="center" vertical="center"/>
    </xf>
    <xf numFmtId="0" fontId="4" fillId="0" borderId="0" xfId="0" quotePrefix="1" applyFont="1" applyFill="1" applyAlignment="1" applyProtection="1">
      <alignment horizontal="right" vertical="center"/>
    </xf>
    <xf numFmtId="0" fontId="3" fillId="0" borderId="0" xfId="0" applyFont="1" applyFill="1" applyAlignment="1" applyProtection="1">
      <alignment horizontal="right" vertical="center"/>
    </xf>
    <xf numFmtId="0" fontId="0" fillId="0" borderId="0" xfId="0" applyAlignment="1" applyProtection="1">
      <alignment horizontal="right"/>
    </xf>
    <xf numFmtId="0" fontId="10" fillId="0" borderId="0" xfId="0" applyFont="1" applyAlignment="1" applyProtection="1">
      <alignment vertical="center"/>
    </xf>
    <xf numFmtId="0" fontId="10" fillId="0" borderId="0" xfId="0" applyFont="1" applyFill="1" applyBorder="1" applyAlignment="1" applyProtection="1">
      <alignment horizontal="right" vertical="center"/>
    </xf>
    <xf numFmtId="0" fontId="10" fillId="0" borderId="0" xfId="0" applyFont="1" applyFill="1" applyAlignment="1" applyProtection="1">
      <alignment horizontal="left" vertical="center"/>
    </xf>
    <xf numFmtId="0" fontId="14" fillId="0" borderId="0" xfId="0" applyFont="1" applyFill="1" applyBorder="1" applyAlignment="1" applyProtection="1">
      <alignment horizontal="left" vertical="center"/>
    </xf>
    <xf numFmtId="0" fontId="0" fillId="0" borderId="0" xfId="0" applyFill="1" applyProtection="1"/>
    <xf numFmtId="177" fontId="12" fillId="0" borderId="0" xfId="0" applyNumberFormat="1" applyFont="1" applyAlignment="1" applyProtection="1">
      <alignment horizontal="center"/>
    </xf>
    <xf numFmtId="0" fontId="0" fillId="0" borderId="19" xfId="0" applyBorder="1" applyAlignment="1" applyProtection="1">
      <alignment horizontal="center"/>
    </xf>
    <xf numFmtId="177" fontId="12" fillId="0" borderId="19" xfId="0" applyNumberFormat="1" applyFont="1" applyBorder="1" applyAlignment="1" applyProtection="1">
      <alignment horizontal="center"/>
    </xf>
    <xf numFmtId="0" fontId="0" fillId="0" borderId="0" xfId="0" applyFill="1" applyBorder="1" applyAlignment="1" applyProtection="1">
      <alignment horizontal="center"/>
    </xf>
    <xf numFmtId="177" fontId="12" fillId="0" borderId="0" xfId="0" applyNumberFormat="1" applyFont="1" applyBorder="1" applyAlignment="1" applyProtection="1">
      <alignment horizontal="center"/>
    </xf>
    <xf numFmtId="8" fontId="12" fillId="0" borderId="0" xfId="0" applyNumberFormat="1" applyFont="1" applyBorder="1" applyAlignment="1" applyProtection="1">
      <alignment horizontal="center"/>
    </xf>
    <xf numFmtId="0" fontId="0" fillId="0" borderId="20" xfId="0" applyFill="1" applyBorder="1" applyAlignment="1" applyProtection="1">
      <alignment horizontal="center"/>
    </xf>
    <xf numFmtId="177" fontId="12" fillId="0" borderId="20" xfId="0" applyNumberFormat="1" applyFont="1" applyBorder="1" applyAlignment="1" applyProtection="1">
      <alignment horizontal="center"/>
    </xf>
    <xf numFmtId="0" fontId="0" fillId="0" borderId="0" xfId="0" applyFill="1" applyAlignment="1" applyProtection="1">
      <alignment horizontal="center"/>
    </xf>
    <xf numFmtId="8" fontId="0" fillId="0" borderId="0" xfId="0" applyNumberFormat="1" applyProtection="1"/>
    <xf numFmtId="0" fontId="0" fillId="0" borderId="19" xfId="0" applyFill="1" applyBorder="1" applyAlignment="1" applyProtection="1">
      <alignment horizontal="center"/>
    </xf>
    <xf numFmtId="0" fontId="5" fillId="0" borderId="0" xfId="0" applyFont="1" applyFill="1" applyAlignment="1" applyProtection="1">
      <alignment horizontal="center"/>
    </xf>
    <xf numFmtId="0" fontId="52" fillId="0" borderId="0" xfId="0" applyFont="1" applyAlignment="1" applyProtection="1">
      <alignment horizontal="center"/>
    </xf>
    <xf numFmtId="0" fontId="52" fillId="0" borderId="0" xfId="0" applyFont="1" applyAlignment="1" applyProtection="1">
      <alignment horizontal="right"/>
    </xf>
    <xf numFmtId="0" fontId="0" fillId="0" borderId="0" xfId="0" applyFill="1" applyAlignment="1" applyProtection="1"/>
    <xf numFmtId="0" fontId="0" fillId="0" borderId="0" xfId="0" applyBorder="1" applyAlignment="1" applyProtection="1">
      <alignment horizontal="center"/>
    </xf>
    <xf numFmtId="0" fontId="0" fillId="0" borderId="20" xfId="0" applyBorder="1" applyAlignment="1" applyProtection="1">
      <alignment horizontal="center"/>
    </xf>
    <xf numFmtId="0" fontId="0" fillId="0" borderId="20" xfId="0" applyBorder="1" applyProtection="1"/>
    <xf numFmtId="8" fontId="0" fillId="0" borderId="20" xfId="0" applyNumberFormat="1" applyBorder="1" applyProtection="1"/>
    <xf numFmtId="0" fontId="0" fillId="0" borderId="21" xfId="0" applyBorder="1" applyAlignment="1" applyProtection="1">
      <alignment horizontal="center"/>
    </xf>
    <xf numFmtId="8" fontId="0" fillId="0" borderId="21" xfId="0" applyNumberFormat="1" applyBorder="1" applyProtection="1"/>
    <xf numFmtId="0" fontId="0" fillId="0" borderId="21" xfId="0" applyFill="1" applyBorder="1" applyAlignment="1" applyProtection="1">
      <alignment horizontal="center"/>
    </xf>
    <xf numFmtId="0" fontId="8" fillId="0" borderId="0" xfId="0" applyFont="1" applyBorder="1" applyAlignment="1" applyProtection="1">
      <alignment wrapText="1"/>
    </xf>
    <xf numFmtId="8" fontId="12" fillId="0" borderId="0" xfId="0" applyNumberFormat="1" applyFont="1" applyAlignment="1" applyProtection="1">
      <alignment horizontal="center"/>
    </xf>
    <xf numFmtId="170" fontId="8" fillId="0" borderId="13" xfId="0" applyNumberFormat="1" applyFont="1" applyBorder="1" applyAlignment="1" applyProtection="1">
      <alignment horizontal="center" vertical="center"/>
    </xf>
    <xf numFmtId="0" fontId="8" fillId="0" borderId="13" xfId="0" applyFont="1" applyBorder="1" applyAlignment="1" applyProtection="1">
      <alignment horizontal="center" vertical="center" wrapText="1"/>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8" fontId="0" fillId="0" borderId="0" xfId="0" applyNumberFormat="1" applyFill="1" applyAlignment="1" applyProtection="1">
      <alignment horizontal="center"/>
    </xf>
    <xf numFmtId="8" fontId="0" fillId="0" borderId="0" xfId="0" applyNumberFormat="1" applyAlignment="1" applyProtection="1">
      <alignment horizontal="center"/>
    </xf>
    <xf numFmtId="8" fontId="12" fillId="0" borderId="0" xfId="0" applyNumberFormat="1" applyFont="1" applyFill="1" applyAlignment="1" applyProtection="1">
      <alignment horizontal="center"/>
    </xf>
    <xf numFmtId="0" fontId="14" fillId="0" borderId="0" xfId="0" applyFont="1" applyFill="1" applyBorder="1" applyAlignment="1" applyProtection="1">
      <alignment vertical="center"/>
    </xf>
    <xf numFmtId="0" fontId="19" fillId="0" borderId="0" xfId="0" applyFont="1" applyAlignment="1" applyProtection="1">
      <alignment vertical="center"/>
    </xf>
    <xf numFmtId="0" fontId="4" fillId="0" borderId="0" xfId="0" applyFont="1" applyFill="1" applyBorder="1" applyAlignment="1" applyProtection="1">
      <alignment horizontal="right" vertical="top"/>
    </xf>
    <xf numFmtId="0" fontId="8" fillId="6" borderId="3" xfId="0" applyFont="1" applyFill="1" applyBorder="1" applyAlignment="1" applyProtection="1">
      <alignment horizontal="center" vertical="center"/>
    </xf>
    <xf numFmtId="3" fontId="0" fillId="5" borderId="3" xfId="0" applyNumberFormat="1" applyFill="1" applyBorder="1" applyAlignment="1" applyProtection="1">
      <alignment horizontal="center"/>
      <protection locked="0"/>
    </xf>
    <xf numFmtId="10" fontId="0" fillId="5" borderId="3" xfId="0" applyNumberFormat="1" applyFill="1" applyBorder="1" applyAlignment="1" applyProtection="1">
      <alignment horizontal="center"/>
      <protection locked="0"/>
    </xf>
    <xf numFmtId="177" fontId="0" fillId="5" borderId="3" xfId="0" applyNumberFormat="1" applyFill="1" applyBorder="1" applyProtection="1">
      <protection locked="0"/>
    </xf>
    <xf numFmtId="166" fontId="0" fillId="5" borderId="3" xfId="0" applyNumberFormat="1" applyFill="1" applyBorder="1" applyAlignment="1" applyProtection="1">
      <alignment horizontal="center"/>
      <protection locked="0"/>
    </xf>
    <xf numFmtId="170" fontId="52" fillId="0" borderId="0" xfId="0" applyNumberFormat="1" applyFont="1" applyAlignment="1" applyProtection="1">
      <alignment horizontal="center"/>
    </xf>
    <xf numFmtId="0" fontId="12" fillId="0" borderId="14" xfId="0" applyFont="1" applyFill="1" applyBorder="1" applyProtection="1"/>
    <xf numFmtId="0" fontId="0" fillId="0" borderId="7" xfId="0" applyBorder="1" applyAlignment="1" applyProtection="1">
      <alignment horizontal="center"/>
    </xf>
    <xf numFmtId="0" fontId="25" fillId="0" borderId="0" xfId="0" applyFont="1" applyFill="1" applyAlignment="1" applyProtection="1"/>
    <xf numFmtId="166" fontId="0" fillId="0" borderId="0" xfId="0" applyNumberFormat="1" applyAlignment="1" applyProtection="1">
      <alignment horizontal="center"/>
    </xf>
    <xf numFmtId="0" fontId="26" fillId="0" borderId="0" xfId="0" applyFont="1" applyAlignment="1" applyProtection="1">
      <alignment vertical="center" wrapText="1"/>
    </xf>
    <xf numFmtId="8" fontId="0" fillId="0" borderId="0" xfId="0" applyNumberFormat="1" applyFill="1" applyProtection="1"/>
    <xf numFmtId="8" fontId="12" fillId="0" borderId="0" xfId="0" applyNumberFormat="1" applyFont="1" applyAlignment="1" applyProtection="1"/>
    <xf numFmtId="170" fontId="8" fillId="0" borderId="0" xfId="0" applyNumberFormat="1" applyFont="1" applyAlignment="1" applyProtection="1">
      <alignment horizontal="center"/>
    </xf>
    <xf numFmtId="170" fontId="8" fillId="0" borderId="7" xfId="0" applyNumberFormat="1" applyFont="1" applyBorder="1" applyAlignment="1" applyProtection="1">
      <alignment horizontal="center"/>
    </xf>
    <xf numFmtId="0" fontId="19" fillId="0" borderId="0" xfId="0" applyFont="1" applyAlignment="1" applyProtection="1">
      <alignment horizontal="center"/>
    </xf>
    <xf numFmtId="0" fontId="19" fillId="0" borderId="7" xfId="0" applyFont="1" applyBorder="1" applyAlignment="1" applyProtection="1">
      <alignment horizontal="center"/>
    </xf>
    <xf numFmtId="0" fontId="19" fillId="0" borderId="19" xfId="0" applyFont="1" applyBorder="1" applyAlignment="1" applyProtection="1">
      <alignment horizontal="center"/>
    </xf>
    <xf numFmtId="0" fontId="19" fillId="0" borderId="26" xfId="0" applyFont="1" applyBorder="1" applyAlignment="1" applyProtection="1">
      <alignment horizontal="center"/>
    </xf>
    <xf numFmtId="0" fontId="19" fillId="0" borderId="0" xfId="0" applyFont="1" applyFill="1" applyBorder="1" applyAlignment="1" applyProtection="1">
      <alignment horizontal="center"/>
    </xf>
    <xf numFmtId="0" fontId="19" fillId="0" borderId="20" xfId="0" applyFont="1" applyFill="1" applyBorder="1" applyAlignment="1" applyProtection="1">
      <alignment horizontal="center"/>
    </xf>
    <xf numFmtId="0" fontId="19" fillId="0" borderId="27" xfId="0" applyFont="1" applyBorder="1" applyAlignment="1" applyProtection="1">
      <alignment horizontal="center"/>
    </xf>
    <xf numFmtId="0" fontId="19" fillId="0" borderId="0" xfId="0" applyFont="1" applyFill="1" applyAlignment="1" applyProtection="1">
      <alignment horizontal="center"/>
    </xf>
    <xf numFmtId="0" fontId="19" fillId="0" borderId="19" xfId="0" applyFont="1" applyFill="1" applyBorder="1" applyAlignment="1" applyProtection="1">
      <alignment horizontal="center"/>
    </xf>
    <xf numFmtId="0" fontId="25" fillId="0" borderId="0" xfId="0" applyFont="1" applyAlignment="1" applyProtection="1"/>
    <xf numFmtId="0" fontId="52" fillId="0" borderId="0" xfId="0" applyFont="1" applyFill="1" applyAlignment="1" applyProtection="1">
      <alignment horizontal="center"/>
    </xf>
    <xf numFmtId="0" fontId="0" fillId="0" borderId="21" xfId="0" applyBorder="1" applyProtection="1"/>
    <xf numFmtId="8" fontId="0" fillId="0" borderId="0" xfId="0" applyNumberFormat="1" applyFill="1" applyAlignment="1" applyProtection="1"/>
    <xf numFmtId="0" fontId="0" fillId="0" borderId="21" xfId="0" applyFill="1" applyBorder="1" applyProtection="1"/>
    <xf numFmtId="0" fontId="8" fillId="0" borderId="0" xfId="0" applyFont="1" applyProtection="1"/>
    <xf numFmtId="0" fontId="8" fillId="0" borderId="13" xfId="0" applyFont="1" applyFill="1" applyBorder="1" applyAlignment="1" applyProtection="1">
      <alignment horizontal="center"/>
    </xf>
    <xf numFmtId="0" fontId="8" fillId="0" borderId="13" xfId="0" applyFont="1" applyBorder="1" applyAlignment="1" applyProtection="1">
      <alignment horizontal="center"/>
    </xf>
    <xf numFmtId="0" fontId="12" fillId="0" borderId="22" xfId="0" applyFont="1" applyFill="1" applyBorder="1" applyProtection="1"/>
    <xf numFmtId="0" fontId="12" fillId="0" borderId="32" xfId="0" applyFont="1" applyFill="1" applyBorder="1" applyProtection="1"/>
    <xf numFmtId="0" fontId="0" fillId="0" borderId="33" xfId="0" applyBorder="1" applyProtection="1"/>
    <xf numFmtId="0" fontId="28" fillId="0" borderId="0" xfId="0" applyFont="1" applyProtection="1"/>
    <xf numFmtId="8" fontId="19" fillId="0" borderId="0" xfId="0" applyNumberFormat="1" applyFont="1" applyAlignment="1" applyProtection="1">
      <alignment horizontal="center"/>
    </xf>
    <xf numFmtId="8" fontId="19" fillId="0" borderId="0" xfId="0" applyNumberFormat="1" applyFont="1" applyFill="1" applyAlignment="1" applyProtection="1">
      <alignment horizontal="center"/>
    </xf>
    <xf numFmtId="8" fontId="19" fillId="0" borderId="20" xfId="0" applyNumberFormat="1" applyFont="1" applyBorder="1" applyAlignment="1" applyProtection="1">
      <alignment horizontal="center"/>
    </xf>
    <xf numFmtId="8" fontId="19" fillId="0" borderId="19" xfId="0" applyNumberFormat="1" applyFont="1" applyBorder="1" applyAlignment="1" applyProtection="1">
      <alignment horizontal="center"/>
    </xf>
    <xf numFmtId="8" fontId="19" fillId="0" borderId="0" xfId="0" applyNumberFormat="1" applyFont="1" applyBorder="1" applyAlignment="1" applyProtection="1">
      <alignment horizontal="center"/>
    </xf>
    <xf numFmtId="177" fontId="0" fillId="5" borderId="3" xfId="0" applyNumberFormat="1" applyFill="1" applyBorder="1" applyAlignment="1" applyProtection="1">
      <alignment horizontal="center" vertical="center"/>
      <protection locked="0"/>
    </xf>
    <xf numFmtId="8" fontId="33" fillId="0" borderId="0" xfId="0" applyNumberFormat="1" applyFont="1" applyAlignment="1" applyProtection="1">
      <alignment vertical="center"/>
    </xf>
    <xf numFmtId="8" fontId="33" fillId="0" borderId="0" xfId="0" applyNumberFormat="1" applyFont="1" applyAlignment="1" applyProtection="1">
      <alignment horizontal="right" vertical="center"/>
    </xf>
    <xf numFmtId="10" fontId="0" fillId="0" borderId="0" xfId="0" applyNumberFormat="1" applyFill="1" applyAlignment="1" applyProtection="1">
      <alignment horizontal="center" vertical="center"/>
    </xf>
    <xf numFmtId="10" fontId="0" fillId="5" borderId="3" xfId="0" applyNumberFormat="1" applyFill="1" applyBorder="1" applyAlignment="1" applyProtection="1">
      <alignment horizontal="center" vertical="center"/>
      <protection locked="0"/>
    </xf>
    <xf numFmtId="3" fontId="0" fillId="5" borderId="3" xfId="0" applyNumberFormat="1" applyFill="1" applyBorder="1" applyAlignment="1" applyProtection="1">
      <alignment horizontal="center" vertical="center"/>
      <protection locked="0"/>
    </xf>
    <xf numFmtId="8" fontId="0" fillId="0" borderId="0" xfId="0" applyNumberFormat="1" applyFill="1" applyAlignment="1" applyProtection="1">
      <alignment horizontal="center" vertical="center"/>
    </xf>
    <xf numFmtId="8" fontId="0" fillId="0" borderId="0" xfId="0" applyNumberFormat="1" applyAlignment="1" applyProtection="1">
      <alignment horizontal="center" vertical="center"/>
    </xf>
    <xf numFmtId="39" fontId="12" fillId="0" borderId="0" xfId="1" applyNumberFormat="1" applyFont="1" applyFill="1" applyBorder="1" applyAlignment="1" applyProtection="1">
      <alignment horizontal="right"/>
    </xf>
    <xf numFmtId="39" fontId="12" fillId="0" borderId="14" xfId="1" applyNumberFormat="1" applyFont="1" applyFill="1" applyBorder="1" applyAlignment="1" applyProtection="1">
      <alignment horizontal="right"/>
    </xf>
    <xf numFmtId="38" fontId="8" fillId="0" borderId="0" xfId="0" applyNumberFormat="1" applyFont="1" applyFill="1" applyAlignment="1" applyProtection="1">
      <alignment horizontal="center" vertical="center"/>
    </xf>
    <xf numFmtId="0" fontId="41" fillId="0" borderId="0" xfId="0" applyFont="1" applyFill="1" applyAlignment="1" applyProtection="1">
      <alignment vertical="center"/>
    </xf>
    <xf numFmtId="0" fontId="41" fillId="0" borderId="0" xfId="0" applyFont="1" applyFill="1" applyBorder="1" applyAlignment="1" applyProtection="1">
      <alignment horizontal="left" vertical="center"/>
    </xf>
    <xf numFmtId="0" fontId="45" fillId="0" borderId="0" xfId="0" applyFont="1" applyProtection="1"/>
    <xf numFmtId="0" fontId="47" fillId="0" borderId="0" xfId="0" applyFont="1" applyAlignment="1" applyProtection="1">
      <alignment vertical="center"/>
    </xf>
    <xf numFmtId="0" fontId="47" fillId="0" borderId="0" xfId="0" applyFont="1" applyAlignment="1" applyProtection="1">
      <alignment horizontal="right" vertical="center"/>
    </xf>
    <xf numFmtId="0" fontId="47" fillId="0" borderId="0" xfId="0" applyFont="1" applyAlignment="1" applyProtection="1">
      <alignment horizontal="left" vertical="center"/>
    </xf>
    <xf numFmtId="0" fontId="47" fillId="0" borderId="0" xfId="0" applyFont="1" applyProtection="1"/>
    <xf numFmtId="0" fontId="48" fillId="0" borderId="0" xfId="0" applyFont="1" applyAlignment="1" applyProtection="1">
      <alignment vertical="center"/>
    </xf>
    <xf numFmtId="0" fontId="42" fillId="0" borderId="0" xfId="0" applyFont="1" applyAlignment="1" applyProtection="1">
      <alignment vertical="center" wrapText="1"/>
    </xf>
    <xf numFmtId="0" fontId="42" fillId="0" borderId="0" xfId="0" applyFont="1" applyAlignment="1" applyProtection="1">
      <alignment horizontal="center" vertical="center"/>
    </xf>
    <xf numFmtId="3" fontId="42" fillId="0" borderId="0" xfId="10" applyNumberFormat="1" applyFont="1" applyBorder="1" applyAlignment="1" applyProtection="1">
      <alignment horizontal="center" vertical="center"/>
    </xf>
    <xf numFmtId="38" fontId="49" fillId="0" borderId="0" xfId="0" applyNumberFormat="1" applyFont="1" applyBorder="1" applyAlignment="1" applyProtection="1">
      <alignment horizontal="center" vertical="center"/>
    </xf>
    <xf numFmtId="38" fontId="42" fillId="0" borderId="0" xfId="0" applyNumberFormat="1" applyFont="1" applyBorder="1" applyAlignment="1" applyProtection="1">
      <alignment horizontal="center" vertical="center"/>
    </xf>
    <xf numFmtId="0" fontId="42" fillId="0" borderId="3" xfId="0" applyFont="1" applyBorder="1" applyAlignment="1" applyProtection="1">
      <alignment horizontal="center" vertical="center"/>
    </xf>
    <xf numFmtId="0" fontId="42" fillId="0" borderId="0" xfId="0" applyFont="1" applyProtection="1"/>
    <xf numFmtId="0" fontId="42" fillId="0" borderId="3" xfId="0" applyNumberFormat="1" applyFont="1" applyBorder="1" applyAlignment="1" applyProtection="1">
      <alignment horizontal="center" vertical="center"/>
    </xf>
    <xf numFmtId="0" fontId="50" fillId="0" borderId="0" xfId="0" applyFont="1" applyBorder="1" applyAlignment="1" applyProtection="1">
      <alignment vertical="center"/>
    </xf>
    <xf numFmtId="0" fontId="50" fillId="0" borderId="3" xfId="0" applyFont="1" applyBorder="1" applyAlignment="1" applyProtection="1">
      <alignment horizontal="center" vertical="top" wrapText="1"/>
    </xf>
    <xf numFmtId="9" fontId="50" fillId="0" borderId="3" xfId="0" applyNumberFormat="1" applyFont="1" applyBorder="1" applyAlignment="1" applyProtection="1">
      <alignment horizontal="center" vertical="top" wrapText="1"/>
    </xf>
    <xf numFmtId="0" fontId="50" fillId="0" borderId="0" xfId="0" applyFont="1" applyBorder="1" applyAlignment="1" applyProtection="1">
      <alignment vertical="top" wrapText="1"/>
    </xf>
    <xf numFmtId="0" fontId="41" fillId="0" borderId="0" xfId="0" applyFont="1" applyFill="1" applyAlignment="1" applyProtection="1">
      <alignment horizontal="left" vertical="center"/>
    </xf>
    <xf numFmtId="0" fontId="29" fillId="0" borderId="0" xfId="0" applyFont="1" applyFill="1" applyAlignment="1" applyProtection="1">
      <alignment vertical="center"/>
    </xf>
    <xf numFmtId="3" fontId="29" fillId="0" borderId="0" xfId="0" applyNumberFormat="1" applyFont="1" applyFill="1" applyAlignment="1" applyProtection="1">
      <alignment horizontal="center"/>
    </xf>
    <xf numFmtId="0" fontId="42" fillId="0" borderId="0" xfId="0" applyFont="1" applyAlignment="1" applyProtection="1">
      <alignment horizontal="left" vertical="center"/>
    </xf>
    <xf numFmtId="0" fontId="42" fillId="0" borderId="0" xfId="0" applyFont="1" applyFill="1" applyBorder="1" applyAlignment="1" applyProtection="1">
      <alignment horizontal="center" vertical="center"/>
    </xf>
    <xf numFmtId="0" fontId="45" fillId="0" borderId="0" xfId="0" applyFont="1" applyFill="1" applyAlignment="1" applyProtection="1">
      <alignment vertical="center"/>
    </xf>
    <xf numFmtId="0" fontId="53" fillId="5" borderId="3" xfId="0" applyFont="1" applyFill="1" applyBorder="1" applyAlignment="1" applyProtection="1">
      <alignment horizontal="center" vertical="center"/>
    </xf>
    <xf numFmtId="0" fontId="53" fillId="0" borderId="0" xfId="0" applyFont="1" applyFill="1" applyAlignment="1" applyProtection="1">
      <alignment vertical="center"/>
    </xf>
    <xf numFmtId="0" fontId="53" fillId="6" borderId="3" xfId="0" applyFont="1" applyFill="1" applyBorder="1" applyAlignment="1" applyProtection="1">
      <alignment horizontal="center" vertical="center"/>
    </xf>
    <xf numFmtId="0" fontId="45" fillId="0" borderId="0" xfId="0" applyFont="1" applyFill="1" applyAlignment="1" applyProtection="1">
      <alignment horizontal="centerContinuous" vertical="center"/>
    </xf>
    <xf numFmtId="0" fontId="53" fillId="0" borderId="0" xfId="0" applyFont="1" applyFill="1" applyAlignment="1" applyProtection="1">
      <alignment horizontal="left" vertical="center"/>
    </xf>
    <xf numFmtId="0" fontId="45" fillId="0" borderId="0" xfId="0" applyFont="1" applyFill="1" applyBorder="1" applyAlignment="1" applyProtection="1">
      <alignment horizontal="right" vertical="center"/>
    </xf>
    <xf numFmtId="0" fontId="45" fillId="0" borderId="0" xfId="0" applyFont="1" applyFill="1" applyBorder="1" applyAlignment="1" applyProtection="1">
      <alignment horizontal="centerContinuous" vertical="center"/>
    </xf>
    <xf numFmtId="0" fontId="45" fillId="0" borderId="0" xfId="0" applyFont="1" applyFill="1" applyBorder="1" applyProtection="1"/>
    <xf numFmtId="0" fontId="45" fillId="0" borderId="0" xfId="0" applyNumberFormat="1" applyFont="1" applyFill="1" applyBorder="1" applyAlignment="1" applyProtection="1">
      <alignment horizontal="center" vertical="center"/>
    </xf>
    <xf numFmtId="0" fontId="53" fillId="0" borderId="0" xfId="0" applyFont="1" applyFill="1" applyBorder="1" applyAlignment="1" applyProtection="1">
      <alignment vertical="center"/>
    </xf>
    <xf numFmtId="0" fontId="53" fillId="0" borderId="0" xfId="0" applyFont="1" applyFill="1" applyAlignment="1" applyProtection="1">
      <alignment horizontal="right" vertical="center"/>
    </xf>
    <xf numFmtId="0" fontId="45" fillId="0" borderId="0" xfId="0" applyFont="1" applyFill="1" applyAlignment="1" applyProtection="1">
      <alignment horizontal="right" vertical="center"/>
    </xf>
    <xf numFmtId="0" fontId="45" fillId="0" borderId="0" xfId="0" quotePrefix="1" applyFont="1" applyFill="1" applyBorder="1" applyAlignment="1" applyProtection="1">
      <alignment horizontal="center" vertical="center"/>
    </xf>
    <xf numFmtId="0"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xf>
    <xf numFmtId="0" fontId="45" fillId="0" borderId="0" xfId="0" applyFont="1" applyFill="1" applyBorder="1" applyAlignment="1" applyProtection="1">
      <alignment horizontal="center"/>
    </xf>
    <xf numFmtId="0" fontId="51" fillId="0" borderId="0" xfId="0" applyFont="1" applyFill="1" applyAlignment="1" applyProtection="1">
      <alignment vertical="center"/>
    </xf>
    <xf numFmtId="0" fontId="45" fillId="0" borderId="0" xfId="0" applyFont="1" applyFill="1" applyProtection="1"/>
    <xf numFmtId="1" fontId="45" fillId="0" borderId="3" xfId="1" applyNumberFormat="1" applyFont="1" applyFill="1" applyBorder="1" applyAlignment="1" applyProtection="1">
      <alignment horizontal="center" vertical="center"/>
    </xf>
    <xf numFmtId="0" fontId="45" fillId="0" borderId="0" xfId="1" applyNumberFormat="1" applyFont="1" applyFill="1" applyBorder="1" applyAlignment="1" applyProtection="1">
      <alignment horizontal="left" vertical="center"/>
    </xf>
    <xf numFmtId="0" fontId="53" fillId="0" borderId="0" xfId="0" applyFont="1" applyFill="1" applyBorder="1" applyProtection="1"/>
    <xf numFmtId="3" fontId="45" fillId="0" borderId="3" xfId="1" applyNumberFormat="1" applyFont="1" applyFill="1" applyBorder="1" applyAlignment="1" applyProtection="1">
      <alignment horizontal="center" vertical="center"/>
    </xf>
    <xf numFmtId="0" fontId="45" fillId="0" borderId="0" xfId="0" applyFont="1" applyFill="1" applyBorder="1" applyAlignment="1" applyProtection="1"/>
    <xf numFmtId="0" fontId="53" fillId="0" borderId="0" xfId="0" applyFont="1" applyFill="1" applyBorder="1" applyAlignment="1" applyProtection="1"/>
    <xf numFmtId="0" fontId="45" fillId="0" borderId="0" xfId="0" applyFont="1" applyFill="1" applyBorder="1" applyAlignment="1" applyProtection="1">
      <alignment horizontal="right"/>
    </xf>
    <xf numFmtId="0" fontId="53" fillId="0" borderId="0" xfId="0" applyFont="1" applyFill="1" applyProtection="1"/>
    <xf numFmtId="166" fontId="53" fillId="0" borderId="0" xfId="10" applyNumberFormat="1" applyFont="1" applyFill="1" applyBorder="1" applyAlignment="1" applyProtection="1">
      <alignment horizontal="center" vertical="center"/>
    </xf>
    <xf numFmtId="0" fontId="45" fillId="0" borderId="5" xfId="0" applyFont="1" applyFill="1" applyBorder="1" applyAlignment="1" applyProtection="1">
      <alignment horizontal="center" vertical="center"/>
    </xf>
    <xf numFmtId="0" fontId="45" fillId="0" borderId="0" xfId="0" applyFont="1" applyAlignment="1" applyProtection="1">
      <alignment wrapText="1"/>
    </xf>
    <xf numFmtId="0" fontId="45" fillId="0" borderId="0" xfId="0" applyFont="1" applyAlignment="1" applyProtection="1">
      <alignment horizontal="left" wrapText="1"/>
    </xf>
    <xf numFmtId="0" fontId="45" fillId="0" borderId="0" xfId="0" applyFont="1" applyFill="1" applyBorder="1" applyAlignment="1" applyProtection="1">
      <alignment vertical="top"/>
    </xf>
    <xf numFmtId="0" fontId="45" fillId="0" borderId="11" xfId="0" applyFont="1" applyFill="1" applyBorder="1" applyAlignment="1" applyProtection="1">
      <alignment horizontal="left" vertical="center"/>
    </xf>
    <xf numFmtId="167" fontId="45" fillId="0" borderId="0" xfId="0" applyNumberFormat="1" applyFont="1" applyFill="1" applyBorder="1" applyAlignment="1" applyProtection="1">
      <alignment horizontal="center" vertical="center"/>
    </xf>
    <xf numFmtId="10" fontId="53" fillId="0" borderId="3" xfId="10" applyNumberFormat="1" applyFont="1" applyFill="1" applyBorder="1" applyAlignment="1" applyProtection="1">
      <alignment horizontal="center" vertical="center"/>
    </xf>
    <xf numFmtId="0" fontId="45" fillId="0" borderId="0" xfId="0" quotePrefix="1" applyFont="1" applyFill="1" applyBorder="1" applyAlignment="1" applyProtection="1">
      <alignment horizontal="left" vertical="center"/>
    </xf>
    <xf numFmtId="0" fontId="44" fillId="0" borderId="0" xfId="0" applyFont="1" applyFill="1" applyBorder="1" applyAlignment="1" applyProtection="1">
      <alignment vertical="center"/>
    </xf>
    <xf numFmtId="0" fontId="53" fillId="0" borderId="0" xfId="0" applyFont="1" applyFill="1" applyAlignment="1" applyProtection="1"/>
    <xf numFmtId="0" fontId="53" fillId="0" borderId="0" xfId="0" quotePrefix="1" applyFont="1" applyFill="1" applyAlignment="1" applyProtection="1">
      <alignment horizontal="center" vertical="center"/>
    </xf>
    <xf numFmtId="0" fontId="53" fillId="0" borderId="0" xfId="0" applyFont="1" applyFill="1" applyAlignment="1" applyProtection="1">
      <alignment horizontal="right"/>
    </xf>
    <xf numFmtId="0" fontId="53" fillId="0" borderId="0" xfId="0" quotePrefix="1" applyFont="1" applyFill="1" applyAlignment="1" applyProtection="1"/>
    <xf numFmtId="0" fontId="53" fillId="0" borderId="0" xfId="0" quotePrefix="1" applyFont="1" applyFill="1" applyAlignment="1" applyProtection="1">
      <alignment horizontal="right"/>
    </xf>
    <xf numFmtId="0" fontId="53" fillId="0" borderId="0" xfId="0" quotePrefix="1" applyFont="1" applyFill="1" applyBorder="1" applyAlignment="1" applyProtection="1">
      <alignment horizontal="center" vertical="center"/>
    </xf>
    <xf numFmtId="0" fontId="45" fillId="0" borderId="14" xfId="0" applyFont="1" applyFill="1" applyBorder="1" applyAlignment="1" applyProtection="1">
      <alignment vertical="center"/>
    </xf>
    <xf numFmtId="0" fontId="41" fillId="0" borderId="0" xfId="0" applyFont="1" applyFill="1" applyProtection="1"/>
    <xf numFmtId="0" fontId="44" fillId="0" borderId="0" xfId="0" applyFont="1" applyFill="1" applyAlignment="1" applyProtection="1">
      <alignment vertical="center"/>
    </xf>
    <xf numFmtId="0" fontId="44" fillId="0" borderId="0" xfId="0" applyFont="1" applyFill="1" applyAlignment="1" applyProtection="1">
      <alignment horizontal="center" vertical="center"/>
    </xf>
    <xf numFmtId="0" fontId="44" fillId="0" borderId="0" xfId="0" applyFont="1" applyFill="1" applyAlignment="1" applyProtection="1"/>
    <xf numFmtId="0" fontId="44" fillId="0" borderId="0" xfId="0" applyFont="1" applyFill="1" applyAlignment="1" applyProtection="1">
      <alignment horizontal="left" vertical="center"/>
    </xf>
    <xf numFmtId="0" fontId="44" fillId="0" borderId="0" xfId="0" quotePrefix="1" applyFont="1" applyFill="1" applyAlignment="1" applyProtection="1">
      <alignment horizontal="center" vertical="center"/>
    </xf>
    <xf numFmtId="164" fontId="45" fillId="0" borderId="0" xfId="1" applyNumberFormat="1" applyFont="1" applyFill="1" applyAlignment="1" applyProtection="1">
      <alignment vertical="center"/>
    </xf>
    <xf numFmtId="0" fontId="61" fillId="0" borderId="0" xfId="0" applyFont="1" applyFill="1" applyAlignment="1" applyProtection="1">
      <alignment horizontal="right" vertical="center"/>
    </xf>
    <xf numFmtId="164" fontId="53" fillId="0" borderId="0" xfId="1" applyNumberFormat="1" applyFont="1" applyFill="1" applyAlignment="1" applyProtection="1">
      <alignment horizontal="center" vertical="center"/>
    </xf>
    <xf numFmtId="164" fontId="45" fillId="0" borderId="0" xfId="1" applyNumberFormat="1" applyFont="1" applyFill="1" applyAlignment="1" applyProtection="1">
      <alignment horizontal="center" vertical="center"/>
    </xf>
    <xf numFmtId="164" fontId="61" fillId="0" borderId="0" xfId="1" applyNumberFormat="1" applyFont="1" applyFill="1" applyBorder="1" applyAlignment="1" applyProtection="1">
      <alignment horizontal="right" vertical="center"/>
    </xf>
    <xf numFmtId="10" fontId="45" fillId="0" borderId="0" xfId="0" applyNumberFormat="1" applyFont="1" applyFill="1" applyAlignment="1" applyProtection="1">
      <alignment horizontal="center"/>
    </xf>
    <xf numFmtId="164" fontId="45" fillId="0" borderId="0" xfId="1" applyNumberFormat="1" applyFont="1" applyFill="1" applyAlignment="1" applyProtection="1">
      <alignment horizontal="center"/>
    </xf>
    <xf numFmtId="0" fontId="45" fillId="0" borderId="0" xfId="0" applyFont="1" applyFill="1" applyAlignment="1" applyProtection="1">
      <alignment horizontal="left" vertical="top"/>
    </xf>
    <xf numFmtId="6" fontId="45" fillId="0" borderId="0" xfId="0" applyNumberFormat="1" applyFont="1" applyFill="1" applyBorder="1" applyAlignment="1" applyProtection="1">
      <alignment horizontal="center" vertical="center"/>
    </xf>
    <xf numFmtId="0" fontId="62" fillId="0" borderId="0" xfId="0" applyFont="1" applyFill="1" applyAlignment="1" applyProtection="1">
      <alignment horizontal="right" vertical="center"/>
    </xf>
    <xf numFmtId="164" fontId="45" fillId="0" borderId="0" xfId="1" applyNumberFormat="1" applyFont="1" applyFill="1" applyBorder="1" applyProtection="1"/>
    <xf numFmtId="164" fontId="45" fillId="0" borderId="0" xfId="1" applyNumberFormat="1" applyFont="1" applyFill="1" applyProtection="1"/>
    <xf numFmtId="0" fontId="61" fillId="0" borderId="0" xfId="0" applyFont="1" applyFill="1" applyAlignment="1" applyProtection="1">
      <alignment horizontal="center" vertical="center"/>
    </xf>
    <xf numFmtId="38" fontId="53" fillId="0" borderId="0" xfId="0"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left" vertical="center"/>
    </xf>
    <xf numFmtId="0" fontId="63" fillId="0" borderId="0" xfId="0" applyFont="1" applyFill="1" applyBorder="1" applyAlignment="1" applyProtection="1">
      <alignment horizontal="right" vertical="center"/>
    </xf>
    <xf numFmtId="0" fontId="45" fillId="0" borderId="0" xfId="0" quotePrefix="1" applyFont="1" applyFill="1" applyAlignment="1" applyProtection="1">
      <alignment horizontal="right" vertical="center"/>
    </xf>
    <xf numFmtId="38" fontId="53"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center" vertical="center"/>
    </xf>
    <xf numFmtId="0" fontId="55" fillId="0" borderId="7" xfId="0" applyFont="1" applyFill="1" applyBorder="1" applyAlignment="1" applyProtection="1">
      <alignment horizontal="left" vertical="center"/>
    </xf>
    <xf numFmtId="0" fontId="55" fillId="0" borderId="0" xfId="0" applyFont="1" applyFill="1" applyAlignment="1" applyProtection="1">
      <alignment vertical="center"/>
    </xf>
    <xf numFmtId="0" fontId="45" fillId="0" borderId="0" xfId="0" applyFont="1" applyFill="1" applyAlignment="1" applyProtection="1">
      <alignment horizontal="center"/>
    </xf>
    <xf numFmtId="10" fontId="45" fillId="0" borderId="3" xfId="0" applyNumberFormat="1" applyFont="1" applyFill="1" applyBorder="1" applyAlignment="1" applyProtection="1">
      <alignment horizontal="center" vertical="center"/>
    </xf>
    <xf numFmtId="0" fontId="45" fillId="0" borderId="0" xfId="0" applyFont="1" applyBorder="1" applyAlignment="1" applyProtection="1">
      <alignment vertical="center"/>
    </xf>
    <xf numFmtId="0" fontId="45" fillId="0" borderId="0" xfId="0" applyFont="1" applyFill="1" applyBorder="1" applyAlignment="1" applyProtection="1">
      <alignment vertical="center" wrapText="1"/>
    </xf>
    <xf numFmtId="0" fontId="45" fillId="0" borderId="0" xfId="0" applyFont="1" applyAlignment="1" applyProtection="1">
      <alignment horizontal="center" vertical="center"/>
    </xf>
    <xf numFmtId="0" fontId="55" fillId="0" borderId="0" xfId="0" applyFont="1" applyFill="1" applyAlignment="1" applyProtection="1">
      <alignment horizontal="left" vertical="center"/>
    </xf>
    <xf numFmtId="0" fontId="66" fillId="0" borderId="0" xfId="0" applyFont="1" applyFill="1" applyAlignment="1" applyProtection="1">
      <alignment horizontal="center" vertical="center"/>
    </xf>
    <xf numFmtId="0" fontId="26" fillId="0" borderId="0" xfId="0" applyFont="1" applyAlignment="1" applyProtection="1">
      <alignment horizontal="center"/>
    </xf>
    <xf numFmtId="0" fontId="14" fillId="0" borderId="0" xfId="0" quotePrefix="1" applyFont="1" applyFill="1" applyAlignment="1" applyProtection="1">
      <alignment horizontal="center" vertical="center"/>
    </xf>
    <xf numFmtId="0" fontId="7" fillId="0" borderId="0" xfId="0" applyFont="1" applyAlignment="1" applyProtection="1">
      <alignment horizontal="right" vertical="center"/>
    </xf>
    <xf numFmtId="0" fontId="71" fillId="0" borderId="0" xfId="0" applyFont="1" applyFill="1" applyBorder="1" applyAlignment="1" applyProtection="1">
      <alignment horizontal="center" vertical="center"/>
    </xf>
    <xf numFmtId="0" fontId="39" fillId="0" borderId="0" xfId="0" applyFont="1" applyBorder="1" applyAlignment="1" applyProtection="1">
      <alignment vertical="center"/>
    </xf>
    <xf numFmtId="0" fontId="42" fillId="0" borderId="0" xfId="9" applyFont="1" applyProtection="1"/>
    <xf numFmtId="0" fontId="42" fillId="0" borderId="0" xfId="9" applyFont="1" applyAlignment="1" applyProtection="1">
      <alignment horizontal="left"/>
    </xf>
    <xf numFmtId="0" fontId="72" fillId="0" borderId="0" xfId="9" applyFont="1" applyAlignment="1" applyProtection="1">
      <alignment horizontal="center"/>
    </xf>
    <xf numFmtId="0" fontId="41" fillId="0" borderId="0" xfId="0" applyFont="1"/>
    <xf numFmtId="0" fontId="73" fillId="0" borderId="0" xfId="0" applyFont="1" applyAlignment="1">
      <alignment horizontal="center"/>
    </xf>
    <xf numFmtId="0" fontId="73" fillId="0" borderId="0" xfId="0" applyFont="1" applyAlignment="1" applyProtection="1">
      <alignment horizontal="center" vertical="center"/>
    </xf>
    <xf numFmtId="9" fontId="42" fillId="0" borderId="0" xfId="10" applyFont="1" applyBorder="1" applyAlignment="1" applyProtection="1">
      <alignment horizontal="center" vertical="center"/>
    </xf>
    <xf numFmtId="1" fontId="42" fillId="0" borderId="3" xfId="10" applyNumberFormat="1" applyFont="1" applyBorder="1" applyAlignment="1" applyProtection="1">
      <alignment horizontal="center" vertical="center"/>
    </xf>
    <xf numFmtId="9" fontId="42" fillId="0" borderId="0" xfId="10" applyFont="1" applyBorder="1" applyAlignment="1" applyProtection="1">
      <alignment horizontal="left" vertical="center"/>
    </xf>
    <xf numFmtId="0" fontId="4" fillId="0" borderId="0" xfId="0" applyFont="1" applyAlignment="1" applyProtection="1">
      <alignment horizontal="right" vertical="center"/>
    </xf>
    <xf numFmtId="0" fontId="7" fillId="0" borderId="0" xfId="0" applyFont="1" applyAlignment="1" applyProtection="1">
      <alignment horizontal="right" vertical="top"/>
    </xf>
    <xf numFmtId="0" fontId="42" fillId="0" borderId="0" xfId="0" applyFont="1" applyFill="1" applyProtection="1"/>
    <xf numFmtId="0" fontId="4" fillId="0" borderId="0" xfId="0" quotePrefix="1" applyFont="1" applyFill="1" applyAlignment="1" applyProtection="1">
      <alignment horizontal="right" vertical="top"/>
    </xf>
    <xf numFmtId="0" fontId="4" fillId="0" borderId="0" xfId="0" applyFont="1" applyFill="1" applyAlignment="1" applyProtection="1">
      <alignment vertical="top"/>
    </xf>
    <xf numFmtId="0" fontId="0" fillId="0" borderId="0" xfId="0" applyAlignment="1" applyProtection="1">
      <alignment vertical="top"/>
    </xf>
    <xf numFmtId="4" fontId="13" fillId="0" borderId="0" xfId="1" applyNumberFormat="1" applyFont="1" applyFill="1" applyAlignment="1" applyProtection="1">
      <alignment horizontal="center" vertical="center"/>
    </xf>
    <xf numFmtId="0" fontId="57" fillId="0" borderId="0" xfId="0" applyFont="1" applyFill="1" applyProtection="1"/>
    <xf numFmtId="0" fontId="70" fillId="0" borderId="0" xfId="0" applyFont="1" applyFill="1" applyBorder="1" applyAlignment="1" applyProtection="1">
      <alignment horizontal="center" vertical="center"/>
    </xf>
    <xf numFmtId="0" fontId="76" fillId="0" borderId="0" xfId="0" applyFont="1" applyFill="1" applyAlignment="1" applyProtection="1">
      <alignment vertical="center"/>
    </xf>
    <xf numFmtId="0" fontId="42" fillId="0" borderId="0" xfId="0" applyFont="1" applyAlignment="1">
      <alignment horizontal="center"/>
    </xf>
    <xf numFmtId="166" fontId="45" fillId="0" borderId="0" xfId="0" applyNumberFormat="1" applyFont="1" applyFill="1" applyAlignment="1" applyProtection="1">
      <alignment horizontal="center" vertical="center"/>
    </xf>
    <xf numFmtId="0" fontId="45" fillId="0" borderId="0" xfId="0" applyFont="1" applyBorder="1" applyAlignment="1" applyProtection="1">
      <alignment horizontal="center" vertical="center"/>
    </xf>
    <xf numFmtId="0" fontId="73" fillId="0" borderId="0" xfId="0" applyFont="1" applyBorder="1" applyAlignment="1" applyProtection="1">
      <alignment horizontal="center" vertical="center"/>
    </xf>
    <xf numFmtId="9" fontId="41" fillId="0" borderId="0" xfId="0" applyNumberFormat="1" applyFont="1" applyFill="1" applyBorder="1" applyAlignment="1" applyProtection="1">
      <alignment horizontal="center" vertical="center"/>
    </xf>
    <xf numFmtId="9" fontId="41" fillId="0" borderId="2" xfId="0" applyNumberFormat="1" applyFont="1" applyFill="1" applyBorder="1" applyAlignment="1" applyProtection="1">
      <alignment horizontal="center" vertical="center"/>
    </xf>
    <xf numFmtId="3" fontId="12" fillId="0" borderId="15" xfId="0" applyNumberFormat="1" applyFont="1" applyFill="1" applyBorder="1" applyAlignment="1" applyProtection="1">
      <alignment vertical="center"/>
    </xf>
    <xf numFmtId="3" fontId="12" fillId="0" borderId="15" xfId="1" applyNumberFormat="1" applyFont="1" applyFill="1" applyBorder="1" applyAlignment="1" applyProtection="1">
      <alignment vertical="center"/>
    </xf>
    <xf numFmtId="0" fontId="29" fillId="0" borderId="0" xfId="0" applyFont="1" applyFill="1" applyBorder="1" applyProtection="1"/>
    <xf numFmtId="0" fontId="34" fillId="0" borderId="0" xfId="0" applyFont="1" applyAlignment="1" applyProtection="1">
      <alignment horizontal="center"/>
    </xf>
    <xf numFmtId="0" fontId="27" fillId="0" borderId="0" xfId="0" applyFont="1" applyAlignment="1" applyProtection="1">
      <alignment vertical="center"/>
    </xf>
    <xf numFmtId="0" fontId="41" fillId="0" borderId="45" xfId="0" applyFont="1" applyFill="1" applyBorder="1" applyAlignment="1" applyProtection="1">
      <alignment vertical="top"/>
    </xf>
    <xf numFmtId="0" fontId="14" fillId="0" borderId="0" xfId="0" applyFont="1" applyFill="1" applyProtection="1"/>
    <xf numFmtId="0" fontId="26" fillId="0" borderId="0" xfId="0" applyFont="1" applyAlignment="1" applyProtection="1">
      <alignment horizontal="center" vertical="top"/>
    </xf>
    <xf numFmtId="0" fontId="18" fillId="0" borderId="0" xfId="0" applyFont="1" applyFill="1" applyAlignment="1" applyProtection="1">
      <alignment vertical="top"/>
    </xf>
    <xf numFmtId="0" fontId="12" fillId="0" borderId="0" xfId="0" applyFont="1" applyFill="1" applyAlignment="1" applyProtection="1">
      <alignment horizontal="center" vertical="top"/>
    </xf>
    <xf numFmtId="0" fontId="3" fillId="0" borderId="0" xfId="0" applyFont="1" applyFill="1" applyAlignment="1" applyProtection="1">
      <alignment vertical="top"/>
    </xf>
    <xf numFmtId="0" fontId="4" fillId="0" borderId="0" xfId="0" applyFont="1" applyFill="1" applyBorder="1" applyProtection="1"/>
    <xf numFmtId="0" fontId="81" fillId="0" borderId="0" xfId="0" applyFont="1" applyFill="1" applyBorder="1" applyAlignment="1" applyProtection="1">
      <alignment vertical="center" wrapText="1"/>
    </xf>
    <xf numFmtId="0" fontId="81" fillId="0" borderId="0" xfId="0" applyFont="1" applyFill="1" applyAlignment="1" applyProtection="1">
      <alignment vertical="center"/>
    </xf>
    <xf numFmtId="0" fontId="82" fillId="0" borderId="0" xfId="0" applyFont="1" applyFill="1" applyAlignment="1" applyProtection="1">
      <alignment horizontal="center" vertical="center"/>
    </xf>
    <xf numFmtId="0" fontId="80" fillId="0" borderId="0" xfId="0" applyFont="1" applyFill="1" applyProtection="1"/>
    <xf numFmtId="0" fontId="3" fillId="0" borderId="7" xfId="0" applyFont="1" applyFill="1" applyBorder="1" applyProtection="1"/>
    <xf numFmtId="0" fontId="88" fillId="0" borderId="0" xfId="0" applyFont="1" applyFill="1" applyAlignment="1" applyProtection="1">
      <alignment vertical="top"/>
    </xf>
    <xf numFmtId="0" fontId="88" fillId="0" borderId="0" xfId="0" applyFont="1" applyFill="1" applyAlignment="1" applyProtection="1">
      <alignment vertical="center"/>
    </xf>
    <xf numFmtId="0" fontId="88" fillId="0" borderId="0" xfId="0" applyFont="1" applyFill="1" applyBorder="1" applyAlignment="1" applyProtection="1">
      <alignment horizontal="left" vertical="top"/>
    </xf>
    <xf numFmtId="0" fontId="10" fillId="0" borderId="0" xfId="0" applyFont="1" applyFill="1" applyAlignment="1" applyProtection="1">
      <alignment horizontal="right"/>
    </xf>
    <xf numFmtId="0" fontId="18" fillId="0" borderId="0" xfId="0" applyFont="1" applyFill="1" applyAlignment="1" applyProtection="1"/>
    <xf numFmtId="0" fontId="7" fillId="0" borderId="0" xfId="0" applyFont="1" applyFill="1" applyBorder="1" applyAlignment="1" applyProtection="1"/>
    <xf numFmtId="0" fontId="4" fillId="0" borderId="0" xfId="0" applyFont="1" applyFill="1" applyAlignment="1" applyProtection="1">
      <alignment horizontal="left"/>
    </xf>
    <xf numFmtId="0" fontId="26" fillId="0" borderId="0" xfId="0" applyFont="1" applyAlignment="1" applyProtection="1">
      <alignment horizontal="center" vertical="center"/>
    </xf>
    <xf numFmtId="0" fontId="3" fillId="0" borderId="0" xfId="0" applyFont="1" applyFill="1" applyBorder="1" applyAlignment="1" applyProtection="1">
      <alignment horizontal="center" vertical="center"/>
    </xf>
    <xf numFmtId="0" fontId="4" fillId="0" borderId="0" xfId="0" applyFont="1" applyProtection="1"/>
    <xf numFmtId="0" fontId="4" fillId="0" borderId="0" xfId="0" applyFont="1" applyAlignment="1" applyProtection="1">
      <alignment horizontal="left" vertical="center"/>
    </xf>
    <xf numFmtId="0" fontId="4" fillId="0" borderId="0" xfId="0" applyFont="1" applyFill="1" applyAlignment="1" applyProtection="1">
      <alignment horizontal="center" vertical="top"/>
    </xf>
    <xf numFmtId="0" fontId="4" fillId="0" borderId="0" xfId="0" quotePrefix="1" applyFont="1" applyFill="1" applyAlignment="1" applyProtection="1">
      <alignment horizontal="center" vertical="center"/>
    </xf>
    <xf numFmtId="0" fontId="7" fillId="0" borderId="0" xfId="0" applyFont="1" applyAlignment="1" applyProtection="1">
      <alignment vertical="top"/>
    </xf>
    <xf numFmtId="0" fontId="90" fillId="0" borderId="0" xfId="0" applyFont="1" applyAlignment="1" applyProtection="1">
      <alignment horizontal="left"/>
    </xf>
    <xf numFmtId="0" fontId="4" fillId="0" borderId="0" xfId="0" applyFont="1" applyBorder="1" applyProtection="1"/>
    <xf numFmtId="0" fontId="14" fillId="0" borderId="0" xfId="0" applyFont="1" applyProtection="1"/>
    <xf numFmtId="0" fontId="14" fillId="0" borderId="0" xfId="0" quotePrefix="1" applyFont="1" applyFill="1" applyAlignment="1" applyProtection="1">
      <alignment horizontal="center" vertical="top"/>
    </xf>
    <xf numFmtId="0" fontId="20" fillId="0" borderId="0" xfId="0" quotePrefix="1" applyFont="1" applyFill="1" applyAlignment="1" applyProtection="1"/>
    <xf numFmtId="38" fontId="25" fillId="0" borderId="0" xfId="0" applyNumberFormat="1" applyFont="1" applyFill="1" applyBorder="1" applyAlignment="1" applyProtection="1">
      <alignment horizontal="center" vertical="center"/>
    </xf>
    <xf numFmtId="0" fontId="4" fillId="0" borderId="0" xfId="0" applyFont="1" applyFill="1" applyAlignment="1" applyProtection="1">
      <alignment horizontal="right"/>
    </xf>
    <xf numFmtId="37" fontId="42" fillId="0" borderId="0" xfId="1" applyNumberFormat="1" applyFont="1" applyAlignment="1" applyProtection="1">
      <alignment horizontal="center"/>
    </xf>
    <xf numFmtId="0" fontId="40" fillId="0" borderId="7" xfId="0" applyFont="1" applyFill="1" applyBorder="1" applyAlignment="1" applyProtection="1">
      <alignment vertical="center"/>
    </xf>
    <xf numFmtId="0" fontId="40" fillId="0" borderId="0" xfId="0" applyFont="1" applyFill="1" applyAlignment="1" applyProtection="1">
      <alignment vertical="center"/>
    </xf>
    <xf numFmtId="0" fontId="36" fillId="0" borderId="0" xfId="0" applyFont="1" applyFill="1" applyAlignment="1" applyProtection="1">
      <alignment vertical="center"/>
    </xf>
    <xf numFmtId="0" fontId="92" fillId="0" borderId="0" xfId="0" applyFont="1" applyFill="1" applyProtection="1"/>
    <xf numFmtId="0" fontId="94" fillId="0" borderId="0" xfId="0" applyFont="1" applyFill="1" applyAlignment="1" applyProtection="1">
      <alignment horizontal="center" vertical="center"/>
    </xf>
    <xf numFmtId="0" fontId="92" fillId="0" borderId="0" xfId="0" applyFont="1" applyFill="1" applyAlignment="1" applyProtection="1">
      <alignment vertical="center"/>
    </xf>
    <xf numFmtId="0" fontId="96" fillId="0" borderId="0" xfId="0" applyFont="1" applyFill="1" applyProtection="1"/>
    <xf numFmtId="0" fontId="96" fillId="0" borderId="0" xfId="0" applyFont="1" applyFill="1" applyAlignment="1" applyProtection="1">
      <alignment horizontal="center"/>
    </xf>
    <xf numFmtId="0" fontId="83" fillId="0" borderId="0" xfId="0" applyFont="1" applyFill="1" applyProtection="1"/>
    <xf numFmtId="0" fontId="93" fillId="0" borderId="0" xfId="0" applyFont="1" applyFill="1" applyBorder="1" applyAlignment="1" applyProtection="1">
      <alignment vertical="center"/>
    </xf>
    <xf numFmtId="164" fontId="92" fillId="0" borderId="0" xfId="1" applyNumberFormat="1" applyFont="1" applyFill="1" applyBorder="1" applyAlignment="1" applyProtection="1">
      <alignment vertical="center"/>
    </xf>
    <xf numFmtId="166" fontId="45" fillId="0" borderId="78" xfId="0" applyNumberFormat="1" applyFont="1" applyFill="1" applyBorder="1" applyAlignment="1" applyProtection="1">
      <alignment horizontal="center" vertical="center"/>
    </xf>
    <xf numFmtId="3" fontId="45" fillId="0" borderId="0" xfId="0" applyNumberFormat="1" applyFont="1" applyFill="1" applyAlignment="1" applyProtection="1">
      <alignment horizontal="center" vertical="center"/>
    </xf>
    <xf numFmtId="38" fontId="10" fillId="0" borderId="0" xfId="0" applyNumberFormat="1" applyFont="1" applyFill="1" applyAlignment="1" applyProtection="1">
      <alignment horizontal="center" vertical="center"/>
    </xf>
    <xf numFmtId="0" fontId="13" fillId="0" borderId="38" xfId="0" applyFont="1" applyFill="1" applyBorder="1" applyAlignment="1" applyProtection="1">
      <alignment horizontal="center" vertical="center"/>
    </xf>
    <xf numFmtId="0" fontId="4" fillId="0" borderId="0" xfId="0" applyFont="1" applyFill="1" applyAlignment="1" applyProtection="1">
      <alignment horizontal="right" vertical="center"/>
    </xf>
    <xf numFmtId="0" fontId="97" fillId="0" borderId="7" xfId="0" applyFont="1" applyFill="1" applyBorder="1" applyAlignment="1" applyProtection="1">
      <alignment vertical="center"/>
    </xf>
    <xf numFmtId="0" fontId="35" fillId="0" borderId="0" xfId="0" applyFont="1" applyFill="1" applyBorder="1" applyAlignment="1" applyProtection="1">
      <alignment vertical="center"/>
    </xf>
    <xf numFmtId="0" fontId="21" fillId="0" borderId="0" xfId="0" applyFont="1" applyFill="1" applyBorder="1" applyAlignment="1" applyProtection="1">
      <alignment vertical="top"/>
    </xf>
    <xf numFmtId="0" fontId="3" fillId="0" borderId="0" xfId="0" applyFont="1" applyFill="1" applyBorder="1" applyProtection="1"/>
    <xf numFmtId="0" fontId="3" fillId="0" borderId="0" xfId="0" applyFont="1" applyFill="1" applyBorder="1" applyAlignment="1" applyProtection="1">
      <alignment vertical="top"/>
    </xf>
    <xf numFmtId="0" fontId="3" fillId="0" borderId="0" xfId="0" applyFont="1" applyFill="1" applyBorder="1" applyAlignment="1" applyProtection="1">
      <alignment vertical="center"/>
    </xf>
    <xf numFmtId="0" fontId="40" fillId="0" borderId="0" xfId="0" applyFont="1" applyFill="1" applyAlignment="1" applyProtection="1">
      <alignment vertical="center" wrapText="1"/>
    </xf>
    <xf numFmtId="0" fontId="29" fillId="0" borderId="0" xfId="0" applyNumberFormat="1" applyFont="1" applyAlignment="1" applyProtection="1">
      <alignment horizontal="center" vertical="center" wrapText="1"/>
    </xf>
    <xf numFmtId="38" fontId="41" fillId="0" borderId="0" xfId="0" applyNumberFormat="1" applyFont="1" applyFill="1" applyBorder="1" applyAlignment="1" applyProtection="1">
      <alignment vertical="center"/>
    </xf>
    <xf numFmtId="0" fontId="4" fillId="0" borderId="0" xfId="0" applyFont="1" applyAlignment="1" applyProtection="1">
      <alignment horizontal="left"/>
    </xf>
    <xf numFmtId="0" fontId="42" fillId="0" borderId="0" xfId="0" applyFont="1" applyFill="1" applyBorder="1" applyAlignment="1" applyProtection="1">
      <alignment horizontal="left" vertical="center"/>
    </xf>
    <xf numFmtId="0" fontId="49" fillId="0" borderId="0" xfId="0" applyFont="1" applyFill="1" applyAlignment="1" applyProtection="1">
      <alignment horizontal="left" vertical="center"/>
    </xf>
    <xf numFmtId="0" fontId="4" fillId="0" borderId="0" xfId="0" applyFont="1" applyFill="1" applyAlignment="1" applyProtection="1">
      <alignment horizontal="left" vertical="top"/>
    </xf>
    <xf numFmtId="0" fontId="4" fillId="0" borderId="0" xfId="0" quotePrefix="1" applyFont="1" applyFill="1" applyAlignment="1" applyProtection="1">
      <alignment horizontal="center" vertical="top"/>
    </xf>
    <xf numFmtId="0" fontId="3" fillId="0" borderId="0" xfId="0" applyFont="1" applyFill="1" applyAlignment="1" applyProtection="1"/>
    <xf numFmtId="0" fontId="53" fillId="0" borderId="0" xfId="0" applyFont="1" applyFill="1" applyAlignment="1" applyProtection="1">
      <alignment horizontal="center" vertical="center"/>
    </xf>
    <xf numFmtId="0" fontId="45" fillId="0" borderId="0" xfId="0" quotePrefix="1" applyFont="1" applyFill="1" applyAlignment="1" applyProtection="1">
      <alignment vertical="center"/>
    </xf>
    <xf numFmtId="0" fontId="101" fillId="0" borderId="0" xfId="0" applyFont="1" applyFill="1" applyBorder="1" applyAlignment="1" applyProtection="1">
      <alignment vertical="top"/>
    </xf>
    <xf numFmtId="0" fontId="86" fillId="0" borderId="0" xfId="0" applyFont="1" applyFill="1" applyAlignment="1" applyProtection="1"/>
    <xf numFmtId="0" fontId="102" fillId="0" borderId="0" xfId="0" applyFont="1" applyFill="1" applyProtection="1"/>
    <xf numFmtId="0" fontId="95" fillId="0" borderId="0" xfId="0" applyFont="1" applyFill="1" applyBorder="1" applyAlignment="1" applyProtection="1">
      <alignment horizontal="left"/>
    </xf>
    <xf numFmtId="0" fontId="13" fillId="0" borderId="0" xfId="0" applyFont="1" applyFill="1" applyAlignment="1" applyProtection="1">
      <alignment horizontal="left"/>
    </xf>
    <xf numFmtId="0" fontId="47" fillId="0" borderId="0" xfId="9" applyFont="1" applyAlignment="1" applyProtection="1">
      <alignment horizontal="left"/>
    </xf>
    <xf numFmtId="0" fontId="8" fillId="0" borderId="85" xfId="0" applyFont="1" applyFill="1" applyBorder="1" applyAlignment="1" applyProtection="1"/>
    <xf numFmtId="0" fontId="106" fillId="0" borderId="0" xfId="0" applyFont="1" applyFill="1" applyAlignment="1" applyProtection="1">
      <alignment vertical="center"/>
    </xf>
    <xf numFmtId="0" fontId="4" fillId="0" borderId="0" xfId="0" applyFont="1" applyBorder="1" applyAlignment="1" applyProtection="1">
      <alignment vertical="center"/>
    </xf>
    <xf numFmtId="0" fontId="42" fillId="0" borderId="40" xfId="0" applyFont="1" applyFill="1" applyBorder="1" applyAlignment="1" applyProtection="1">
      <alignment vertical="center"/>
    </xf>
    <xf numFmtId="0" fontId="42" fillId="0" borderId="0" xfId="0" applyFont="1" applyFill="1" applyBorder="1" applyAlignment="1" applyProtection="1">
      <alignment vertical="center"/>
    </xf>
    <xf numFmtId="164" fontId="42" fillId="0" borderId="0" xfId="1" applyNumberFormat="1" applyFont="1" applyFill="1" applyBorder="1" applyAlignment="1" applyProtection="1">
      <alignment horizontal="center" vertical="center"/>
    </xf>
    <xf numFmtId="0" fontId="107" fillId="0" borderId="0" xfId="6" applyFont="1" applyFill="1" applyBorder="1" applyAlignment="1" applyProtection="1">
      <alignment vertical="center"/>
    </xf>
    <xf numFmtId="0" fontId="67" fillId="0" borderId="0" xfId="0" applyFont="1" applyFill="1" applyBorder="1" applyAlignment="1" applyProtection="1">
      <alignment vertical="top"/>
    </xf>
    <xf numFmtId="0" fontId="45" fillId="0" borderId="0" xfId="0" applyFont="1" applyFill="1" applyAlignment="1" applyProtection="1">
      <alignment vertical="top"/>
    </xf>
    <xf numFmtId="0" fontId="62" fillId="0" borderId="82" xfId="0" applyFont="1" applyFill="1" applyBorder="1" applyAlignment="1" applyProtection="1">
      <alignment vertical="center"/>
    </xf>
    <xf numFmtId="0" fontId="62" fillId="0" borderId="82" xfId="0" applyFont="1" applyFill="1" applyBorder="1" applyAlignment="1" applyProtection="1">
      <alignment horizontal="center" vertical="center"/>
    </xf>
    <xf numFmtId="0" fontId="61" fillId="0" borderId="78" xfId="0" applyFont="1" applyFill="1" applyBorder="1" applyAlignment="1" applyProtection="1">
      <alignment horizontal="left" vertical="center"/>
    </xf>
    <xf numFmtId="0" fontId="42" fillId="0" borderId="0" xfId="0" applyFont="1" applyFill="1" applyBorder="1" applyAlignment="1" applyProtection="1">
      <alignment horizontal="left"/>
    </xf>
    <xf numFmtId="0" fontId="85" fillId="0" borderId="0" xfId="0" applyFont="1" applyFill="1" applyBorder="1" applyAlignment="1" applyProtection="1">
      <alignment vertical="center"/>
    </xf>
    <xf numFmtId="0" fontId="109" fillId="0" borderId="0" xfId="0" applyFont="1" applyFill="1" applyBorder="1" applyAlignment="1" applyProtection="1">
      <alignment horizontal="left" vertical="center"/>
    </xf>
    <xf numFmtId="0" fontId="51" fillId="0" borderId="13" xfId="0" applyFont="1" applyFill="1" applyBorder="1" applyAlignment="1" applyProtection="1">
      <alignment vertical="center"/>
    </xf>
    <xf numFmtId="0" fontId="62" fillId="0" borderId="80" xfId="0" applyFont="1" applyFill="1" applyBorder="1" applyAlignment="1" applyProtection="1">
      <alignment vertical="top"/>
    </xf>
    <xf numFmtId="0" fontId="62" fillId="0" borderId="81" xfId="0" applyFont="1" applyFill="1" applyBorder="1" applyAlignment="1" applyProtection="1">
      <alignment vertical="center"/>
    </xf>
    <xf numFmtId="0" fontId="109" fillId="0" borderId="0" xfId="0" applyFont="1" applyFill="1" applyAlignment="1" applyProtection="1">
      <alignment vertical="center"/>
    </xf>
    <xf numFmtId="0" fontId="91" fillId="0" borderId="0" xfId="0" applyFont="1" applyBorder="1" applyAlignment="1" applyProtection="1">
      <alignment horizontal="right" vertical="center"/>
    </xf>
    <xf numFmtId="0" fontId="109" fillId="0" borderId="86" xfId="0" applyFont="1" applyFill="1" applyBorder="1" applyAlignment="1" applyProtection="1">
      <alignment horizontal="center" vertical="center"/>
    </xf>
    <xf numFmtId="0" fontId="3" fillId="0" borderId="0" xfId="0" applyFont="1" applyFill="1" applyAlignment="1" applyProtection="1">
      <alignment horizontal="center" vertical="top"/>
    </xf>
    <xf numFmtId="0" fontId="71" fillId="0" borderId="0" xfId="0" applyFont="1" applyFill="1" applyBorder="1" applyAlignment="1" applyProtection="1">
      <alignment horizontal="center" vertical="top"/>
    </xf>
    <xf numFmtId="0" fontId="13" fillId="0" borderId="0" xfId="0" applyFont="1" applyProtection="1"/>
    <xf numFmtId="0" fontId="105" fillId="0" borderId="0" xfId="0" applyFont="1" applyFill="1" applyAlignment="1" applyProtection="1">
      <alignment vertical="center"/>
    </xf>
    <xf numFmtId="0" fontId="52" fillId="0" borderId="0" xfId="0" applyFont="1" applyFill="1" applyAlignment="1" applyProtection="1">
      <alignment vertical="center"/>
    </xf>
    <xf numFmtId="0" fontId="10" fillId="0" borderId="0" xfId="0" applyFont="1" applyProtection="1"/>
    <xf numFmtId="0" fontId="7" fillId="0" borderId="0" xfId="0" applyFont="1" applyAlignment="1" applyProtection="1">
      <alignment horizontal="center" vertical="center"/>
    </xf>
    <xf numFmtId="0" fontId="112" fillId="0" borderId="0" xfId="0" applyFont="1" applyFill="1" applyBorder="1" applyAlignment="1" applyProtection="1">
      <alignment horizontal="left"/>
    </xf>
    <xf numFmtId="0" fontId="112" fillId="0" borderId="0" xfId="0" applyFont="1" applyFill="1" applyBorder="1" applyAlignment="1" applyProtection="1">
      <alignment horizontal="left" wrapText="1"/>
    </xf>
    <xf numFmtId="0" fontId="42" fillId="0" borderId="0" xfId="0" applyFont="1" applyFill="1" applyAlignment="1" applyProtection="1">
      <alignment horizontal="right"/>
    </xf>
    <xf numFmtId="0" fontId="42" fillId="0" borderId="0" xfId="0" applyFont="1" applyAlignment="1" applyProtection="1">
      <alignment horizontal="left"/>
    </xf>
    <xf numFmtId="0" fontId="53" fillId="16" borderId="86" xfId="0" applyFont="1" applyFill="1" applyBorder="1" applyAlignment="1" applyProtection="1">
      <alignment vertical="center"/>
    </xf>
    <xf numFmtId="3" fontId="10" fillId="0" borderId="86" xfId="0" applyNumberFormat="1" applyFont="1" applyFill="1" applyBorder="1" applyAlignment="1" applyProtection="1">
      <alignment horizontal="center" vertical="center"/>
    </xf>
    <xf numFmtId="0" fontId="91" fillId="0" borderId="0" xfId="0" applyFont="1" applyAlignment="1" applyProtection="1"/>
    <xf numFmtId="0" fontId="10" fillId="0" borderId="0" xfId="0" quotePrefix="1" applyFont="1" applyFill="1" applyAlignment="1" applyProtection="1">
      <alignment horizontal="right" vertical="top"/>
    </xf>
    <xf numFmtId="0" fontId="4" fillId="0" borderId="0" xfId="0" applyFont="1" applyFill="1" applyAlignment="1" applyProtection="1">
      <alignment wrapText="1"/>
    </xf>
    <xf numFmtId="0" fontId="14" fillId="13" borderId="3" xfId="0" applyFont="1" applyFill="1" applyBorder="1" applyAlignment="1" applyProtection="1">
      <alignment horizontal="center" vertical="center"/>
    </xf>
    <xf numFmtId="0" fontId="14" fillId="13" borderId="86" xfId="0" applyFont="1" applyFill="1" applyBorder="1" applyAlignment="1" applyProtection="1">
      <alignment horizontal="center" vertical="center"/>
    </xf>
    <xf numFmtId="0" fontId="14" fillId="13" borderId="16" xfId="0" applyFont="1" applyFill="1" applyBorder="1" applyAlignment="1" applyProtection="1">
      <alignment horizontal="center" vertical="center"/>
    </xf>
    <xf numFmtId="0" fontId="14" fillId="13" borderId="17" xfId="0" applyFont="1" applyFill="1" applyBorder="1" applyAlignment="1" applyProtection="1">
      <alignment horizontal="center" vertical="center"/>
    </xf>
    <xf numFmtId="0" fontId="14" fillId="13" borderId="18" xfId="0" applyFont="1" applyFill="1" applyBorder="1" applyAlignment="1" applyProtection="1">
      <alignment horizontal="center" vertical="center"/>
    </xf>
    <xf numFmtId="38" fontId="10" fillId="0" borderId="86" xfId="0" applyNumberFormat="1" applyFont="1" applyFill="1" applyBorder="1" applyAlignment="1" applyProtection="1">
      <alignment horizontal="center" vertical="center"/>
    </xf>
    <xf numFmtId="0" fontId="100" fillId="0" borderId="0" xfId="0" applyFont="1" applyFill="1" applyAlignment="1" applyProtection="1">
      <alignment vertical="top"/>
    </xf>
    <xf numFmtId="174" fontId="45" fillId="0" borderId="12" xfId="10" applyNumberFormat="1" applyFont="1" applyFill="1" applyBorder="1" applyAlignment="1" applyProtection="1">
      <alignment vertical="center"/>
    </xf>
    <xf numFmtId="0" fontId="113" fillId="0" borderId="0" xfId="0" applyFont="1" applyFill="1" applyBorder="1" applyAlignment="1" applyProtection="1">
      <alignment vertical="center"/>
    </xf>
    <xf numFmtId="0" fontId="3" fillId="0" borderId="0" xfId="13" applyFont="1"/>
    <xf numFmtId="0" fontId="47" fillId="0" borderId="0" xfId="0" applyFont="1" applyAlignment="1" applyProtection="1">
      <alignment horizontal="left" wrapText="1"/>
    </xf>
    <xf numFmtId="0" fontId="47" fillId="0" borderId="0" xfId="0" applyFont="1" applyFill="1" applyAlignment="1" applyProtection="1">
      <alignment horizontal="left" wrapText="1"/>
    </xf>
    <xf numFmtId="0" fontId="47" fillId="0" borderId="0" xfId="0" applyFont="1" applyAlignment="1" applyProtection="1">
      <alignment horizontal="center" wrapText="1"/>
    </xf>
    <xf numFmtId="0" fontId="47" fillId="0" borderId="0" xfId="0" applyFont="1" applyFill="1" applyBorder="1" applyAlignment="1" applyProtection="1">
      <alignment horizontal="left"/>
    </xf>
    <xf numFmtId="0" fontId="42" fillId="0" borderId="0" xfId="0" applyFont="1" applyBorder="1" applyAlignment="1" applyProtection="1">
      <alignment horizontal="left" vertical="center"/>
    </xf>
    <xf numFmtId="0" fontId="42" fillId="0" borderId="0" xfId="0" applyFont="1"/>
    <xf numFmtId="0" fontId="84" fillId="0" borderId="0" xfId="0" applyFont="1" applyFill="1" applyAlignment="1" applyProtection="1"/>
    <xf numFmtId="0" fontId="42" fillId="0" borderId="0" xfId="0" applyFont="1" applyFill="1" applyBorder="1" applyAlignment="1" applyProtection="1">
      <alignment wrapText="1"/>
    </xf>
    <xf numFmtId="0" fontId="49" fillId="0" borderId="0" xfId="0" applyFont="1" applyFill="1" applyBorder="1" applyAlignment="1" applyProtection="1">
      <alignment horizontal="left"/>
    </xf>
    <xf numFmtId="0" fontId="49" fillId="0" borderId="0" xfId="0" applyFont="1" applyAlignment="1" applyProtection="1">
      <alignment horizontal="left" vertical="center"/>
    </xf>
    <xf numFmtId="0" fontId="3" fillId="0" borderId="0" xfId="13" applyFont="1" applyFill="1" applyBorder="1" applyAlignment="1" applyProtection="1">
      <alignment horizontal="left" vertical="center"/>
    </xf>
    <xf numFmtId="0" fontId="3" fillId="0" borderId="0" xfId="13" applyFont="1" applyFill="1" applyAlignment="1" applyProtection="1">
      <alignment vertical="center"/>
    </xf>
    <xf numFmtId="0" fontId="3" fillId="0" borderId="0" xfId="13" applyFont="1" applyAlignment="1" applyProtection="1">
      <alignment vertical="center"/>
    </xf>
    <xf numFmtId="164" fontId="12" fillId="0" borderId="0" xfId="1" applyNumberFormat="1" applyFont="1" applyFill="1" applyBorder="1" applyAlignment="1" applyProtection="1">
      <alignment horizontal="right" vertical="center"/>
    </xf>
    <xf numFmtId="0" fontId="27" fillId="0" borderId="0" xfId="0" applyFont="1" applyFill="1" applyAlignment="1" applyProtection="1">
      <alignment horizontal="center" vertical="center" wrapText="1"/>
    </xf>
    <xf numFmtId="38" fontId="42" fillId="0" borderId="0" xfId="0" applyNumberFormat="1" applyFont="1" applyBorder="1" applyAlignment="1" applyProtection="1">
      <alignment horizontal="left" vertical="center"/>
    </xf>
    <xf numFmtId="38" fontId="113" fillId="0" borderId="0" xfId="0" applyNumberFormat="1" applyFont="1" applyBorder="1" applyAlignment="1" applyProtection="1">
      <alignment horizontal="left" vertical="center"/>
    </xf>
    <xf numFmtId="0" fontId="42" fillId="0" borderId="13" xfId="0" applyFont="1" applyBorder="1" applyAlignment="1" applyProtection="1">
      <alignment vertical="center"/>
    </xf>
    <xf numFmtId="0" fontId="45" fillId="0" borderId="94" xfId="0" applyFont="1" applyBorder="1" applyAlignment="1" applyProtection="1">
      <alignment horizontal="center" vertical="center"/>
    </xf>
    <xf numFmtId="0" fontId="45" fillId="0" borderId="13" xfId="0" applyFont="1" applyBorder="1" applyAlignment="1" applyProtection="1">
      <alignment horizontal="center" vertical="center"/>
    </xf>
    <xf numFmtId="0" fontId="42" fillId="0" borderId="95" xfId="0" applyFont="1" applyBorder="1" applyAlignment="1" applyProtection="1">
      <alignment horizontal="center" vertical="center"/>
    </xf>
    <xf numFmtId="164" fontId="3" fillId="0" borderId="0" xfId="1" applyNumberFormat="1" applyFont="1" applyFill="1" applyBorder="1" applyAlignment="1" applyProtection="1">
      <alignment vertical="center"/>
    </xf>
    <xf numFmtId="0" fontId="3" fillId="0" borderId="0" xfId="0" applyFont="1" applyAlignment="1" applyProtection="1">
      <alignment vertical="center"/>
    </xf>
    <xf numFmtId="3" fontId="8" fillId="0" borderId="0" xfId="0" applyNumberFormat="1" applyFont="1" applyFill="1" applyBorder="1" applyAlignment="1" applyProtection="1">
      <alignment horizontal="center"/>
    </xf>
    <xf numFmtId="3" fontId="8" fillId="0" borderId="0" xfId="0" applyNumberFormat="1" applyFont="1" applyFill="1" applyAlignment="1" applyProtection="1">
      <alignment horizontal="center"/>
    </xf>
    <xf numFmtId="0" fontId="147" fillId="0" borderId="0" xfId="0" applyFont="1" applyFill="1" applyProtection="1"/>
    <xf numFmtId="0" fontId="152" fillId="0" borderId="0" xfId="0" applyFont="1" applyFill="1" applyAlignment="1" applyProtection="1">
      <alignment vertical="center"/>
    </xf>
    <xf numFmtId="0" fontId="150" fillId="0" borderId="19" xfId="0" applyFont="1" applyFill="1" applyBorder="1" applyAlignment="1" applyProtection="1">
      <alignment horizontal="right" vertical="top"/>
    </xf>
    <xf numFmtId="0" fontId="14" fillId="0" borderId="0" xfId="0" quotePrefix="1" applyFont="1" applyFill="1" applyAlignment="1" applyProtection="1">
      <alignment horizontal="right" vertical="center"/>
    </xf>
    <xf numFmtId="9" fontId="14" fillId="0" borderId="0" xfId="10" applyFont="1" applyFill="1" applyBorder="1" applyAlignment="1" applyProtection="1">
      <alignment horizontal="center" vertical="top" wrapText="1"/>
    </xf>
    <xf numFmtId="0" fontId="76" fillId="0" borderId="0" xfId="0" applyFont="1" applyAlignment="1" applyProtection="1">
      <alignment horizontal="center" vertical="center"/>
    </xf>
    <xf numFmtId="0" fontId="0" fillId="0" borderId="0" xfId="0" applyAlignment="1" applyProtection="1">
      <alignment horizontal="center" vertical="center"/>
    </xf>
    <xf numFmtId="0" fontId="47" fillId="0" borderId="0" xfId="0" applyFont="1" applyAlignment="1" applyProtection="1">
      <alignment wrapText="1"/>
    </xf>
    <xf numFmtId="0" fontId="14" fillId="0" borderId="0" xfId="0" applyFont="1" applyAlignment="1" applyProtection="1">
      <alignment vertical="center"/>
    </xf>
    <xf numFmtId="0" fontId="91" fillId="0" borderId="0" xfId="0" applyFont="1" applyAlignment="1" applyProtection="1">
      <alignment horizontal="center" vertical="center"/>
    </xf>
    <xf numFmtId="0" fontId="0" fillId="0" borderId="0" xfId="0" applyBorder="1" applyAlignment="1" applyProtection="1">
      <alignment vertical="center"/>
    </xf>
    <xf numFmtId="0" fontId="14" fillId="0" borderId="0" xfId="0" quotePrefix="1" applyFont="1" applyFill="1" applyAlignment="1" applyProtection="1">
      <alignment horizontal="left" vertical="top"/>
    </xf>
    <xf numFmtId="0" fontId="4" fillId="0" borderId="0" xfId="0" applyFont="1" applyFill="1" applyAlignment="1" applyProtection="1">
      <alignment vertical="top" wrapText="1"/>
    </xf>
    <xf numFmtId="0" fontId="84" fillId="0" borderId="0" xfId="0" applyFont="1" applyFill="1" applyBorder="1" applyAlignment="1" applyProtection="1"/>
    <xf numFmtId="0" fontId="13" fillId="0" borderId="0" xfId="0" applyFont="1" applyFill="1" applyAlignment="1" applyProtection="1">
      <alignment horizontal="center" vertical="center"/>
    </xf>
    <xf numFmtId="38" fontId="13" fillId="0" borderId="16" xfId="1" applyNumberFormat="1" applyFont="1" applyFill="1" applyBorder="1" applyAlignment="1" applyProtection="1">
      <alignment horizontal="center" vertical="center"/>
    </xf>
    <xf numFmtId="38" fontId="13" fillId="0" borderId="17" xfId="1" applyNumberFormat="1" applyFont="1" applyFill="1" applyBorder="1" applyAlignment="1" applyProtection="1">
      <alignment horizontal="center" vertical="center"/>
    </xf>
    <xf numFmtId="38" fontId="13" fillId="0" borderId="18" xfId="1" applyNumberFormat="1" applyFont="1" applyFill="1" applyBorder="1" applyAlignment="1" applyProtection="1">
      <alignment horizontal="center" vertical="center"/>
    </xf>
    <xf numFmtId="38" fontId="12" fillId="0" borderId="16" xfId="1" applyNumberFormat="1" applyFont="1" applyFill="1" applyBorder="1" applyAlignment="1" applyProtection="1">
      <alignment horizontal="right" vertical="center"/>
    </xf>
    <xf numFmtId="38" fontId="12" fillId="0" borderId="18" xfId="1" applyNumberFormat="1" applyFont="1" applyFill="1" applyBorder="1" applyAlignment="1" applyProtection="1">
      <alignment horizontal="right" vertical="center"/>
    </xf>
    <xf numFmtId="38" fontId="12" fillId="0" borderId="0" xfId="0" applyNumberFormat="1" applyFont="1" applyFill="1" applyAlignment="1" applyProtection="1">
      <alignment horizontal="right" vertical="center"/>
    </xf>
    <xf numFmtId="38" fontId="12" fillId="0" borderId="22" xfId="1" applyNumberFormat="1" applyFont="1" applyFill="1" applyBorder="1" applyAlignment="1" applyProtection="1">
      <alignment horizontal="right" vertical="center"/>
    </xf>
    <xf numFmtId="38" fontId="12" fillId="0" borderId="100" xfId="1" applyNumberFormat="1" applyFont="1" applyFill="1" applyBorder="1" applyAlignment="1" applyProtection="1">
      <alignment horizontal="right" vertical="center"/>
    </xf>
    <xf numFmtId="38" fontId="12" fillId="0" borderId="0" xfId="0" applyNumberFormat="1" applyFont="1" applyFill="1" applyProtection="1"/>
    <xf numFmtId="38" fontId="3" fillId="0" borderId="22" xfId="1" applyNumberFormat="1" applyFont="1" applyFill="1" applyBorder="1" applyAlignment="1" applyProtection="1">
      <alignment horizontal="right" vertical="center"/>
    </xf>
    <xf numFmtId="38" fontId="12" fillId="0" borderId="0" xfId="0" applyNumberFormat="1" applyFont="1" applyFill="1" applyAlignment="1" applyProtection="1">
      <alignment vertical="center"/>
    </xf>
    <xf numFmtId="0" fontId="12" fillId="0" borderId="0" xfId="0" applyFont="1" applyFill="1" applyAlignment="1" applyProtection="1">
      <alignment vertical="center" wrapText="1"/>
    </xf>
    <xf numFmtId="38" fontId="12" fillId="0" borderId="86" xfId="1" applyNumberFormat="1" applyFont="1" applyFill="1" applyBorder="1" applyAlignment="1" applyProtection="1">
      <alignment horizontal="right" vertical="center"/>
    </xf>
    <xf numFmtId="0" fontId="154" fillId="0" borderId="0" xfId="0" applyFont="1" applyAlignment="1" applyProtection="1">
      <alignment horizontal="center"/>
    </xf>
    <xf numFmtId="0" fontId="53" fillId="0" borderId="0" xfId="0" quotePrefix="1" applyFont="1" applyFill="1" applyAlignment="1" applyProtection="1">
      <alignment vertical="top"/>
    </xf>
    <xf numFmtId="0" fontId="53" fillId="0" borderId="102" xfId="0" applyFont="1" applyFill="1" applyBorder="1" applyAlignment="1" applyProtection="1">
      <alignment vertical="top" wrapText="1"/>
    </xf>
    <xf numFmtId="0" fontId="41" fillId="0" borderId="0" xfId="0" applyFont="1" applyFill="1" applyAlignment="1" applyProtection="1">
      <alignment horizontal="right" vertical="center"/>
    </xf>
    <xf numFmtId="3" fontId="44" fillId="0" borderId="101" xfId="0" applyNumberFormat="1" applyFont="1" applyFill="1" applyBorder="1" applyAlignment="1" applyProtection="1">
      <alignment horizontal="center" vertical="center"/>
    </xf>
    <xf numFmtId="164" fontId="44" fillId="0" borderId="0" xfId="1" applyNumberFormat="1" applyFont="1" applyFill="1" applyBorder="1" applyAlignment="1" applyProtection="1">
      <alignment horizontal="right" vertical="center"/>
    </xf>
    <xf numFmtId="0" fontId="149" fillId="0" borderId="0" xfId="0" applyFont="1" applyFill="1" applyBorder="1" applyAlignment="1" applyProtection="1">
      <alignment vertical="center"/>
    </xf>
    <xf numFmtId="0" fontId="149" fillId="0" borderId="20" xfId="0" applyNumberFormat="1" applyFont="1" applyFill="1" applyBorder="1" applyAlignment="1" applyProtection="1">
      <alignment vertical="center" wrapText="1"/>
    </xf>
    <xf numFmtId="0" fontId="91" fillId="0" borderId="0" xfId="0" applyFont="1" applyFill="1" applyAlignment="1" applyProtection="1">
      <alignment vertical="center"/>
    </xf>
    <xf numFmtId="0" fontId="4" fillId="0" borderId="0" xfId="0" applyFont="1" applyAlignment="1" applyProtection="1">
      <alignment horizontal="left" vertical="top"/>
    </xf>
    <xf numFmtId="0" fontId="14" fillId="0" borderId="0" xfId="0" applyFont="1" applyBorder="1" applyAlignment="1" applyProtection="1">
      <alignment vertical="center"/>
    </xf>
    <xf numFmtId="0" fontId="42" fillId="0" borderId="13" xfId="0" applyFont="1" applyBorder="1" applyAlignment="1" applyProtection="1">
      <alignment horizontal="justify"/>
    </xf>
    <xf numFmtId="0" fontId="4" fillId="0" borderId="13" xfId="0" applyFont="1" applyBorder="1" applyAlignment="1" applyProtection="1">
      <alignment wrapText="1"/>
    </xf>
    <xf numFmtId="0" fontId="155" fillId="0" borderId="0" xfId="0" applyFont="1" applyAlignment="1" applyProtection="1">
      <alignment horizontal="justify" vertical="top" wrapText="1"/>
    </xf>
    <xf numFmtId="0" fontId="4" fillId="0" borderId="0" xfId="0" applyFont="1" applyBorder="1" applyAlignment="1" applyProtection="1">
      <alignment horizontal="center" wrapText="1"/>
    </xf>
    <xf numFmtId="0" fontId="4" fillId="7" borderId="0" xfId="0" applyFont="1" applyFill="1" applyProtection="1"/>
    <xf numFmtId="0" fontId="25" fillId="0" borderId="0" xfId="1" applyNumberFormat="1" applyFont="1" applyFill="1" applyAlignment="1" applyProtection="1">
      <alignment horizontal="center"/>
    </xf>
    <xf numFmtId="164" fontId="12" fillId="0" borderId="81" xfId="1" applyNumberFormat="1" applyFont="1" applyFill="1" applyBorder="1" applyProtection="1"/>
    <xf numFmtId="39" fontId="12" fillId="0" borderId="8" xfId="1" applyNumberFormat="1" applyFont="1" applyFill="1" applyBorder="1" applyAlignment="1" applyProtection="1">
      <alignment horizontal="right"/>
    </xf>
    <xf numFmtId="0" fontId="84" fillId="0" borderId="40" xfId="0" applyFont="1" applyFill="1" applyBorder="1" applyAlignment="1" applyProtection="1"/>
    <xf numFmtId="0" fontId="27" fillId="0" borderId="0" xfId="0" applyFont="1" applyFill="1" applyBorder="1" applyAlignment="1" applyProtection="1">
      <alignment vertical="center"/>
    </xf>
    <xf numFmtId="0" fontId="27" fillId="0" borderId="41" xfId="0" applyFont="1" applyFill="1" applyBorder="1" applyAlignment="1" applyProtection="1">
      <alignment vertical="center"/>
    </xf>
    <xf numFmtId="3" fontId="4" fillId="0" borderId="41" xfId="0" applyNumberFormat="1" applyFont="1" applyFill="1" applyBorder="1" applyAlignment="1" applyProtection="1">
      <alignment horizontal="center" vertical="center"/>
    </xf>
    <xf numFmtId="0" fontId="84" fillId="0" borderId="40" xfId="0" applyFont="1" applyFill="1" applyBorder="1" applyAlignment="1" applyProtection="1">
      <alignment vertical="center"/>
    </xf>
    <xf numFmtId="0" fontId="13" fillId="0" borderId="0" xfId="0" applyFont="1" applyFill="1" applyAlignment="1" applyProtection="1">
      <alignment vertical="top"/>
    </xf>
    <xf numFmtId="0" fontId="8" fillId="0" borderId="0" xfId="13" applyFont="1" applyFill="1" applyBorder="1" applyAlignment="1" applyProtection="1">
      <alignment horizontal="left" vertical="center"/>
    </xf>
    <xf numFmtId="3" fontId="45" fillId="0" borderId="86" xfId="1" applyNumberFormat="1" applyFont="1" applyFill="1" applyBorder="1" applyAlignment="1" applyProtection="1">
      <alignment horizontal="center" vertical="center"/>
    </xf>
    <xf numFmtId="3" fontId="3" fillId="0" borderId="38" xfId="13" applyNumberFormat="1" applyFont="1" applyBorder="1" applyAlignment="1" applyProtection="1">
      <alignment vertical="center"/>
    </xf>
    <xf numFmtId="3" fontId="42" fillId="0" borderId="86" xfId="10" applyNumberFormat="1" applyFont="1" applyBorder="1" applyAlignment="1" applyProtection="1">
      <alignment horizontal="center" vertical="center"/>
    </xf>
    <xf numFmtId="0" fontId="92" fillId="0" borderId="0" xfId="0" applyFont="1" applyFill="1" applyBorder="1" applyProtection="1"/>
    <xf numFmtId="3" fontId="116" fillId="0" borderId="0" xfId="13" quotePrefix="1" applyNumberFormat="1" applyFont="1" applyFill="1" applyAlignment="1" applyProtection="1">
      <alignment horizontal="left"/>
    </xf>
    <xf numFmtId="0" fontId="116" fillId="0" borderId="0" xfId="13" applyFont="1" applyProtection="1"/>
    <xf numFmtId="0" fontId="116" fillId="7" borderId="0" xfId="13" applyFont="1" applyFill="1" applyProtection="1"/>
    <xf numFmtId="0" fontId="117" fillId="0" borderId="0" xfId="13" applyFont="1" applyProtection="1"/>
    <xf numFmtId="0" fontId="5" fillId="0" borderId="0" xfId="13" applyFont="1" applyProtection="1"/>
    <xf numFmtId="0" fontId="116" fillId="0" borderId="0" xfId="13" quotePrefix="1" applyFont="1" applyProtection="1"/>
    <xf numFmtId="0" fontId="116" fillId="0" borderId="83" xfId="13" applyFont="1" applyBorder="1" applyProtection="1"/>
    <xf numFmtId="0" fontId="25" fillId="0" borderId="0" xfId="13" applyFont="1" applyAlignment="1" applyProtection="1">
      <alignment horizontal="centerContinuous"/>
    </xf>
    <xf numFmtId="0" fontId="9" fillId="0" borderId="0" xfId="13" applyFont="1" applyAlignment="1" applyProtection="1">
      <alignment horizontal="centerContinuous"/>
    </xf>
    <xf numFmtId="0" fontId="139" fillId="0" borderId="0" xfId="13" applyFont="1" applyAlignment="1" applyProtection="1">
      <alignment horizontal="centerContinuous"/>
    </xf>
    <xf numFmtId="0" fontId="9" fillId="0" borderId="0" xfId="13" applyFont="1" applyProtection="1"/>
    <xf numFmtId="0" fontId="25" fillId="0" borderId="0" xfId="13" applyFont="1" applyProtection="1"/>
    <xf numFmtId="175" fontId="9" fillId="0" borderId="0" xfId="13" applyNumberFormat="1" applyFont="1" applyAlignment="1" applyProtection="1">
      <alignment horizontal="left"/>
    </xf>
    <xf numFmtId="6" fontId="9" fillId="0" borderId="0" xfId="13" applyNumberFormat="1" applyFont="1" applyAlignment="1" applyProtection="1">
      <alignment horizontal="left"/>
    </xf>
    <xf numFmtId="3" fontId="9" fillId="0" borderId="0" xfId="13" applyNumberFormat="1" applyFont="1" applyAlignment="1" applyProtection="1">
      <alignment horizontal="left"/>
    </xf>
    <xf numFmtId="0" fontId="9" fillId="0" borderId="0" xfId="13" applyFont="1" applyAlignment="1" applyProtection="1">
      <alignment horizontal="center"/>
    </xf>
    <xf numFmtId="0" fontId="137" fillId="0" borderId="0" xfId="13" applyFont="1" applyProtection="1"/>
    <xf numFmtId="0" fontId="4" fillId="0" borderId="0" xfId="13" applyFont="1" applyProtection="1"/>
    <xf numFmtId="3" fontId="9" fillId="0" borderId="0" xfId="13" applyNumberFormat="1" applyFont="1" applyAlignment="1" applyProtection="1">
      <alignment vertical="top"/>
    </xf>
    <xf numFmtId="0" fontId="9" fillId="0" borderId="0" xfId="13" applyFont="1" applyAlignment="1" applyProtection="1">
      <alignment vertical="top"/>
    </xf>
    <xf numFmtId="0" fontId="157" fillId="0" borderId="77" xfId="13" applyFont="1" applyBorder="1" applyAlignment="1" applyProtection="1">
      <alignment horizontal="center" vertical="center"/>
    </xf>
    <xf numFmtId="0" fontId="157" fillId="0" borderId="21" xfId="13" applyFont="1" applyBorder="1" applyAlignment="1" applyProtection="1">
      <alignment horizontal="center" vertical="center"/>
    </xf>
    <xf numFmtId="0" fontId="157" fillId="0" borderId="74" xfId="13" applyFont="1" applyBorder="1" applyAlignment="1" applyProtection="1">
      <alignment horizontal="center" vertical="center"/>
    </xf>
    <xf numFmtId="0" fontId="9" fillId="0" borderId="0" xfId="13" applyFont="1" applyFill="1" applyAlignment="1" applyProtection="1">
      <alignment horizontal="left" wrapText="1"/>
    </xf>
    <xf numFmtId="38" fontId="3" fillId="0" borderId="42" xfId="13" applyNumberFormat="1" applyFont="1" applyBorder="1" applyAlignment="1" applyProtection="1">
      <alignment horizontal="center" vertical="top"/>
    </xf>
    <xf numFmtId="38" fontId="3" fillId="0" borderId="20" xfId="13" applyNumberFormat="1" applyFont="1" applyBorder="1" applyAlignment="1" applyProtection="1">
      <alignment horizontal="center" vertical="top"/>
    </xf>
    <xf numFmtId="0" fontId="3" fillId="0" borderId="59" xfId="13" applyFont="1" applyBorder="1" applyAlignment="1" applyProtection="1">
      <alignment horizontal="center" vertical="top"/>
    </xf>
    <xf numFmtId="0" fontId="137" fillId="0" borderId="0" xfId="13" applyFont="1" applyAlignment="1" applyProtection="1">
      <alignment vertical="center"/>
    </xf>
    <xf numFmtId="0" fontId="9" fillId="0" borderId="38" xfId="13" applyFont="1" applyBorder="1" applyAlignment="1" applyProtection="1">
      <alignment horizontal="center" vertical="top"/>
    </xf>
    <xf numFmtId="0" fontId="137" fillId="0" borderId="0" xfId="13" applyFont="1" applyAlignment="1" applyProtection="1">
      <alignment horizontal="left" vertical="top"/>
    </xf>
    <xf numFmtId="0" fontId="139" fillId="0" borderId="0" xfId="13" applyFont="1" applyAlignment="1" applyProtection="1">
      <alignment horizontal="left"/>
    </xf>
    <xf numFmtId="0" fontId="9" fillId="0" borderId="38" xfId="13" applyFont="1" applyBorder="1" applyAlignment="1" applyProtection="1">
      <alignment vertical="top"/>
    </xf>
    <xf numFmtId="0" fontId="9" fillId="10" borderId="0" xfId="13" applyFont="1" applyFill="1" applyAlignment="1" applyProtection="1">
      <alignment horizontal="center" vertical="top"/>
    </xf>
    <xf numFmtId="0" fontId="9" fillId="0" borderId="83" xfId="13" applyFont="1" applyBorder="1" applyProtection="1"/>
    <xf numFmtId="0" fontId="116" fillId="0" borderId="0" xfId="13" applyFont="1" applyAlignment="1" applyProtection="1">
      <alignment horizontal="centerContinuous"/>
    </xf>
    <xf numFmtId="0" fontId="5" fillId="18" borderId="0" xfId="13" applyFont="1" applyFill="1" applyProtection="1"/>
    <xf numFmtId="0" fontId="116" fillId="18" borderId="0" xfId="13" applyFont="1" applyFill="1" applyProtection="1"/>
    <xf numFmtId="177" fontId="116" fillId="18" borderId="0" xfId="13" applyNumberFormat="1" applyFont="1" applyFill="1" applyAlignment="1" applyProtection="1">
      <alignment horizontal="left"/>
    </xf>
    <xf numFmtId="14" fontId="116" fillId="10" borderId="0" xfId="13" applyNumberFormat="1" applyFont="1" applyFill="1" applyBorder="1" applyAlignment="1" applyProtection="1">
      <alignment horizontal="left"/>
    </xf>
    <xf numFmtId="0" fontId="116" fillId="0" borderId="0" xfId="13" applyFont="1" applyFill="1" applyProtection="1"/>
    <xf numFmtId="0" fontId="5" fillId="0" borderId="0" xfId="13" applyFont="1" applyFill="1" applyProtection="1"/>
    <xf numFmtId="0" fontId="130" fillId="0" borderId="0" xfId="13" applyFont="1" applyProtection="1"/>
    <xf numFmtId="0" fontId="116" fillId="5" borderId="0" xfId="13" applyFont="1" applyFill="1" applyProtection="1"/>
    <xf numFmtId="0" fontId="141" fillId="0" borderId="0" xfId="13" applyFont="1" applyFill="1" applyAlignment="1" applyProtection="1">
      <alignment horizontal="center"/>
    </xf>
    <xf numFmtId="181" fontId="116" fillId="0" borderId="0" xfId="13" applyNumberFormat="1" applyFont="1" applyFill="1" applyProtection="1"/>
    <xf numFmtId="181" fontId="116" fillId="0" borderId="0" xfId="13" applyNumberFormat="1" applyFont="1" applyProtection="1"/>
    <xf numFmtId="177" fontId="116" fillId="0" borderId="0" xfId="13" applyNumberFormat="1" applyFont="1" applyAlignment="1" applyProtection="1">
      <alignment horizontal="left"/>
    </xf>
    <xf numFmtId="0" fontId="5" fillId="0" borderId="0" xfId="13" applyFont="1" applyFill="1" applyAlignment="1" applyProtection="1">
      <alignment horizontal="centerContinuous"/>
    </xf>
    <xf numFmtId="0" fontId="116" fillId="0" borderId="0" xfId="13" applyFont="1" applyFill="1" applyAlignment="1" applyProtection="1">
      <alignment horizontal="centerContinuous"/>
    </xf>
    <xf numFmtId="0" fontId="127" fillId="0" borderId="0" xfId="13" applyFont="1" applyAlignment="1" applyProtection="1">
      <alignment horizontal="center" wrapText="1"/>
    </xf>
    <xf numFmtId="0" fontId="116" fillId="5" borderId="0" xfId="13" applyFont="1" applyFill="1" applyAlignment="1" applyProtection="1">
      <alignment horizontal="left"/>
    </xf>
    <xf numFmtId="5" fontId="116" fillId="5" borderId="0" xfId="13" applyNumberFormat="1" applyFont="1" applyFill="1" applyProtection="1"/>
    <xf numFmtId="0" fontId="116" fillId="5" borderId="0" xfId="13" applyFont="1" applyFill="1" applyAlignment="1" applyProtection="1">
      <alignment horizontal="center"/>
    </xf>
    <xf numFmtId="10" fontId="116" fillId="0" borderId="0" xfId="13" applyNumberFormat="1" applyFont="1" applyFill="1" applyAlignment="1" applyProtection="1">
      <alignment horizontal="right"/>
    </xf>
    <xf numFmtId="0" fontId="5" fillId="0" borderId="0" xfId="13" applyFont="1" applyAlignment="1" applyProtection="1">
      <alignment horizontal="right"/>
    </xf>
    <xf numFmtId="5" fontId="116" fillId="0" borderId="65" xfId="13" applyNumberFormat="1" applyFont="1" applyFill="1" applyBorder="1" applyProtection="1"/>
    <xf numFmtId="5" fontId="116" fillId="0" borderId="0" xfId="13" applyNumberFormat="1" applyFont="1" applyFill="1" applyBorder="1" applyProtection="1"/>
    <xf numFmtId="9" fontId="116" fillId="0" borderId="0" xfId="13" applyNumberFormat="1" applyFont="1" applyFill="1" applyProtection="1"/>
    <xf numFmtId="0" fontId="8" fillId="0" borderId="0" xfId="13" applyFont="1" applyProtection="1"/>
    <xf numFmtId="5" fontId="116" fillId="0" borderId="0" xfId="13" applyNumberFormat="1" applyFont="1" applyFill="1" applyProtection="1"/>
    <xf numFmtId="0" fontId="127" fillId="0" borderId="0" xfId="13" applyFont="1" applyFill="1" applyProtection="1"/>
    <xf numFmtId="0" fontId="116" fillId="0" borderId="0" xfId="13" applyNumberFormat="1" applyFont="1" applyFill="1" applyAlignment="1" applyProtection="1">
      <alignment horizontal="right"/>
    </xf>
    <xf numFmtId="9" fontId="116" fillId="0" borderId="0" xfId="13" applyNumberFormat="1" applyFont="1" applyProtection="1"/>
    <xf numFmtId="9" fontId="116" fillId="0" borderId="0" xfId="13" applyNumberFormat="1" applyFont="1" applyFill="1" applyAlignment="1" applyProtection="1">
      <alignment horizontal="right"/>
    </xf>
    <xf numFmtId="0" fontId="5" fillId="0" borderId="0" xfId="13" applyFont="1" applyAlignment="1" applyProtection="1">
      <alignment horizontal="centerContinuous"/>
    </xf>
    <xf numFmtId="0" fontId="127" fillId="0" borderId="0" xfId="13" applyFont="1" applyProtection="1"/>
    <xf numFmtId="0" fontId="127" fillId="0" borderId="77" xfId="13" applyFont="1" applyBorder="1" applyProtection="1"/>
    <xf numFmtId="165" fontId="116" fillId="5" borderId="74" xfId="13" applyNumberFormat="1" applyFont="1" applyFill="1" applyBorder="1" applyAlignment="1" applyProtection="1">
      <alignment horizontal="left"/>
    </xf>
    <xf numFmtId="165" fontId="116" fillId="0" borderId="0" xfId="13" applyNumberFormat="1" applyFont="1" applyAlignment="1" applyProtection="1">
      <alignment horizontal="left"/>
    </xf>
    <xf numFmtId="0" fontId="116" fillId="0" borderId="0" xfId="13" applyFont="1" applyFill="1" applyAlignment="1" applyProtection="1">
      <alignment vertical="center"/>
    </xf>
    <xf numFmtId="6" fontId="116" fillId="0" borderId="0" xfId="13" applyNumberFormat="1" applyFont="1" applyFill="1" applyAlignment="1" applyProtection="1">
      <alignment vertical="center"/>
    </xf>
    <xf numFmtId="165" fontId="116" fillId="0" borderId="0" xfId="13" applyNumberFormat="1" applyFont="1" applyAlignment="1" applyProtection="1">
      <alignment vertical="center"/>
    </xf>
    <xf numFmtId="6" fontId="116" fillId="0" borderId="0" xfId="13" quotePrefix="1" applyNumberFormat="1" applyFont="1" applyFill="1" applyAlignment="1" applyProtection="1">
      <alignment vertical="center"/>
    </xf>
    <xf numFmtId="165" fontId="116" fillId="5" borderId="0" xfId="13" quotePrefix="1" applyNumberFormat="1" applyFont="1" applyFill="1" applyAlignment="1" applyProtection="1">
      <alignment vertical="center"/>
    </xf>
    <xf numFmtId="165" fontId="116" fillId="0" borderId="0" xfId="13" quotePrefix="1" applyNumberFormat="1" applyFont="1" applyFill="1" applyAlignment="1" applyProtection="1">
      <alignment vertical="center"/>
    </xf>
    <xf numFmtId="0" fontId="116" fillId="0" borderId="85" xfId="13" applyFont="1" applyFill="1" applyBorder="1" applyAlignment="1" applyProtection="1">
      <alignment vertical="center"/>
    </xf>
    <xf numFmtId="6" fontId="116" fillId="0" borderId="85" xfId="13" applyNumberFormat="1" applyFont="1" applyFill="1" applyBorder="1" applyAlignment="1" applyProtection="1">
      <alignment vertical="center"/>
    </xf>
    <xf numFmtId="6" fontId="116" fillId="0" borderId="0" xfId="13" applyNumberFormat="1" applyFont="1" applyFill="1" applyBorder="1" applyAlignment="1" applyProtection="1">
      <alignment vertical="center"/>
    </xf>
    <xf numFmtId="165" fontId="116" fillId="5" borderId="0" xfId="13" applyNumberFormat="1" applyFont="1" applyFill="1" applyAlignment="1" applyProtection="1">
      <alignment vertical="center"/>
    </xf>
    <xf numFmtId="0" fontId="116" fillId="0" borderId="0" xfId="13" applyFont="1" applyAlignment="1" applyProtection="1">
      <alignment vertical="center"/>
    </xf>
    <xf numFmtId="0" fontId="116" fillId="0" borderId="0" xfId="13" applyFont="1" applyFill="1" applyBorder="1" applyAlignment="1" applyProtection="1">
      <alignment vertical="center"/>
    </xf>
    <xf numFmtId="0" fontId="5" fillId="0" borderId="0" xfId="13" applyFont="1" applyFill="1" applyBorder="1" applyAlignment="1" applyProtection="1">
      <alignment vertical="center"/>
    </xf>
    <xf numFmtId="6" fontId="5" fillId="0" borderId="0" xfId="13" applyNumberFormat="1" applyFont="1" applyFill="1" applyBorder="1" applyAlignment="1" applyProtection="1">
      <alignment vertical="center"/>
    </xf>
    <xf numFmtId="0" fontId="116" fillId="0" borderId="13" xfId="13" applyFont="1" applyFill="1" applyBorder="1" applyAlignment="1" applyProtection="1">
      <alignment vertical="center"/>
    </xf>
    <xf numFmtId="0" fontId="5" fillId="0" borderId="85" xfId="13" applyFont="1" applyFill="1" applyBorder="1" applyAlignment="1" applyProtection="1">
      <alignment vertical="center"/>
    </xf>
    <xf numFmtId="6" fontId="5" fillId="0" borderId="85" xfId="13" applyNumberFormat="1" applyFont="1" applyFill="1" applyBorder="1" applyAlignment="1" applyProtection="1">
      <alignment vertical="center"/>
    </xf>
    <xf numFmtId="6" fontId="5" fillId="0" borderId="0" xfId="13" applyNumberFormat="1" applyFont="1" applyFill="1" applyAlignment="1" applyProtection="1">
      <alignment vertical="center"/>
    </xf>
    <xf numFmtId="0" fontId="5" fillId="0" borderId="0" xfId="13" applyFont="1" applyFill="1" applyAlignment="1" applyProtection="1">
      <alignment vertical="center"/>
    </xf>
    <xf numFmtId="6" fontId="5" fillId="0" borderId="0" xfId="13" applyNumberFormat="1" applyFont="1" applyFill="1" applyAlignment="1" applyProtection="1">
      <alignment horizontal="right" vertical="center"/>
    </xf>
    <xf numFmtId="0" fontId="8" fillId="0" borderId="0" xfId="0" applyFont="1" applyAlignment="1" applyProtection="1">
      <alignment vertical="center"/>
    </xf>
    <xf numFmtId="6" fontId="116" fillId="0" borderId="0" xfId="13" applyNumberFormat="1" applyFont="1" applyFill="1" applyAlignment="1" applyProtection="1">
      <alignment horizontal="right" vertical="center"/>
    </xf>
    <xf numFmtId="5" fontId="116" fillId="0" borderId="0" xfId="13" applyNumberFormat="1" applyFont="1" applyFill="1" applyAlignment="1" applyProtection="1">
      <alignment vertical="center"/>
    </xf>
    <xf numFmtId="0" fontId="127" fillId="0" borderId="0" xfId="13" applyFont="1" applyFill="1" applyAlignment="1" applyProtection="1">
      <alignment vertical="center"/>
    </xf>
    <xf numFmtId="5" fontId="116" fillId="0" borderId="0" xfId="13" applyNumberFormat="1" applyFont="1" applyAlignment="1" applyProtection="1">
      <alignment vertical="center"/>
    </xf>
    <xf numFmtId="9" fontId="116" fillId="0" borderId="15" xfId="13" applyNumberFormat="1" applyFont="1" applyBorder="1" applyAlignment="1" applyProtection="1">
      <alignment horizontal="center" vertical="center"/>
    </xf>
    <xf numFmtId="0" fontId="25" fillId="0" borderId="0" xfId="13" applyNumberFormat="1" applyFont="1" applyProtection="1"/>
    <xf numFmtId="6" fontId="25" fillId="10" borderId="0" xfId="1" applyNumberFormat="1" applyFont="1" applyFill="1" applyAlignment="1" applyProtection="1">
      <alignment horizontal="right"/>
    </xf>
    <xf numFmtId="3" fontId="9" fillId="0" borderId="0" xfId="13" applyNumberFormat="1" applyFont="1" applyProtection="1"/>
    <xf numFmtId="0" fontId="9" fillId="0" borderId="13" xfId="13" applyFont="1" applyBorder="1" applyAlignment="1" applyProtection="1">
      <alignment horizontal="center"/>
    </xf>
    <xf numFmtId="6" fontId="25" fillId="0" borderId="0" xfId="1" applyNumberFormat="1" applyFont="1" applyProtection="1"/>
    <xf numFmtId="165" fontId="25" fillId="10" borderId="0" xfId="13" applyNumberFormat="1" applyFont="1" applyFill="1" applyProtection="1"/>
    <xf numFmtId="38" fontId="9" fillId="5" borderId="0" xfId="13" applyNumberFormat="1" applyFont="1" applyFill="1" applyProtection="1"/>
    <xf numFmtId="38" fontId="9" fillId="0" borderId="0" xfId="13" applyNumberFormat="1" applyFont="1" applyProtection="1"/>
    <xf numFmtId="0" fontId="25" fillId="0" borderId="0" xfId="13" applyFont="1" applyAlignment="1" applyProtection="1">
      <alignment horizontal="right"/>
    </xf>
    <xf numFmtId="6" fontId="9" fillId="0" borderId="0" xfId="13" applyNumberFormat="1" applyFont="1" applyProtection="1"/>
    <xf numFmtId="0" fontId="131" fillId="0" borderId="0" xfId="13" applyFont="1" applyAlignment="1" applyProtection="1">
      <alignment horizontal="right"/>
    </xf>
    <xf numFmtId="6" fontId="9" fillId="0" borderId="0" xfId="13" applyNumberFormat="1" applyFont="1" applyAlignment="1" applyProtection="1">
      <alignment horizontal="right"/>
    </xf>
    <xf numFmtId="10" fontId="9" fillId="10" borderId="0" xfId="13" applyNumberFormat="1" applyFont="1" applyFill="1" applyProtection="1"/>
    <xf numFmtId="0" fontId="9" fillId="0" borderId="0" xfId="0" applyFont="1" applyFill="1" applyProtection="1"/>
    <xf numFmtId="0" fontId="9" fillId="0" borderId="0" xfId="0" applyFont="1" applyProtection="1"/>
    <xf numFmtId="0" fontId="9" fillId="0" borderId="0" xfId="13" applyFont="1" applyFill="1" applyProtection="1"/>
    <xf numFmtId="6" fontId="9" fillId="0" borderId="0" xfId="1" applyNumberFormat="1" applyFont="1" applyProtection="1"/>
    <xf numFmtId="6" fontId="9" fillId="0" borderId="0" xfId="1" applyNumberFormat="1" applyFont="1" applyAlignment="1" applyProtection="1">
      <alignment horizontal="right"/>
    </xf>
    <xf numFmtId="8" fontId="9" fillId="0" borderId="0" xfId="13" applyNumberFormat="1" applyFont="1" applyProtection="1"/>
    <xf numFmtId="0" fontId="9" fillId="18" borderId="0" xfId="13" applyFont="1" applyFill="1" applyProtection="1"/>
    <xf numFmtId="10" fontId="9" fillId="0" borderId="0" xfId="13" applyNumberFormat="1" applyFont="1" applyProtection="1"/>
    <xf numFmtId="6" fontId="9" fillId="19" borderId="0" xfId="13" applyNumberFormat="1" applyFont="1" applyFill="1" applyProtection="1"/>
    <xf numFmtId="0" fontId="9" fillId="0" borderId="0" xfId="13" applyFont="1" applyAlignment="1" applyProtection="1">
      <alignment vertical="center"/>
    </xf>
    <xf numFmtId="0" fontId="9" fillId="0" borderId="78" xfId="13" applyFont="1" applyBorder="1" applyAlignment="1" applyProtection="1">
      <alignment vertical="center"/>
    </xf>
    <xf numFmtId="0" fontId="9" fillId="0" borderId="82" xfId="13" applyFont="1" applyBorder="1" applyAlignment="1" applyProtection="1">
      <alignment vertical="center"/>
    </xf>
    <xf numFmtId="0" fontId="25" fillId="0" borderId="82" xfId="13" applyFont="1" applyBorder="1" applyAlignment="1" applyProtection="1">
      <alignment horizontal="right" vertical="center"/>
    </xf>
    <xf numFmtId="0" fontId="3" fillId="0" borderId="0" xfId="13" applyFont="1" applyProtection="1"/>
    <xf numFmtId="0" fontId="20" fillId="0" borderId="0" xfId="13" applyFont="1" applyProtection="1"/>
    <xf numFmtId="0" fontId="151" fillId="0" borderId="0" xfId="13" applyFont="1" applyProtection="1"/>
    <xf numFmtId="0" fontId="52" fillId="0" borderId="0" xfId="13" applyFont="1" applyAlignment="1" applyProtection="1">
      <alignment horizontal="center" vertical="top"/>
    </xf>
    <xf numFmtId="0" fontId="10" fillId="0" borderId="13" xfId="13" applyFont="1" applyBorder="1" applyAlignment="1" applyProtection="1">
      <alignment horizontal="left" wrapText="1"/>
    </xf>
    <xf numFmtId="0" fontId="13" fillId="0" borderId="0" xfId="13" applyFont="1" applyAlignment="1" applyProtection="1">
      <alignment horizontal="center" wrapText="1"/>
    </xf>
    <xf numFmtId="0" fontId="10" fillId="0" borderId="58" xfId="13" applyFont="1" applyBorder="1" applyAlignment="1" applyProtection="1">
      <alignment horizontal="center" wrapText="1"/>
    </xf>
    <xf numFmtId="0" fontId="3" fillId="0" borderId="0" xfId="13" applyFont="1" applyAlignment="1" applyProtection="1">
      <alignment horizontal="center" vertical="center"/>
    </xf>
    <xf numFmtId="3" fontId="3" fillId="10" borderId="38" xfId="13" applyNumberFormat="1" applyFont="1" applyFill="1" applyBorder="1" applyAlignment="1" applyProtection="1">
      <alignment horizontal="center" vertical="center"/>
    </xf>
    <xf numFmtId="0" fontId="136" fillId="0" borderId="0" xfId="13" applyFont="1" applyAlignment="1" applyProtection="1">
      <alignment horizontal="center" vertical="center"/>
    </xf>
    <xf numFmtId="3" fontId="3" fillId="0" borderId="0" xfId="13" applyNumberFormat="1" applyFont="1" applyAlignment="1" applyProtection="1">
      <alignment horizontal="center" vertical="center"/>
    </xf>
    <xf numFmtId="3" fontId="136" fillId="0" borderId="38" xfId="13" applyNumberFormat="1" applyFont="1" applyBorder="1" applyAlignment="1" applyProtection="1">
      <alignment vertical="center"/>
    </xf>
    <xf numFmtId="0" fontId="3" fillId="0" borderId="13" xfId="13" applyFont="1" applyBorder="1" applyAlignment="1" applyProtection="1">
      <alignment vertical="center"/>
    </xf>
    <xf numFmtId="3" fontId="3" fillId="10" borderId="49" xfId="13" applyNumberFormat="1" applyFont="1" applyFill="1" applyBorder="1" applyAlignment="1" applyProtection="1">
      <alignment horizontal="center" vertical="center"/>
    </xf>
    <xf numFmtId="0" fontId="136" fillId="0" borderId="13" xfId="13" applyFont="1" applyBorder="1" applyAlignment="1" applyProtection="1">
      <alignment horizontal="center" vertical="center"/>
    </xf>
    <xf numFmtId="3" fontId="3" fillId="0" borderId="13" xfId="13" applyNumberFormat="1" applyFont="1" applyBorder="1" applyAlignment="1" applyProtection="1">
      <alignment horizontal="center" vertical="center"/>
    </xf>
    <xf numFmtId="0" fontId="23" fillId="0" borderId="0" xfId="13" applyFont="1" applyAlignment="1" applyProtection="1">
      <alignment vertical="center"/>
    </xf>
    <xf numFmtId="0" fontId="3" fillId="0" borderId="0" xfId="13" applyFont="1" applyAlignment="1" applyProtection="1">
      <alignment horizontal="center"/>
    </xf>
    <xf numFmtId="0" fontId="8" fillId="0" borderId="0" xfId="13" applyFont="1" applyAlignment="1" applyProtection="1">
      <alignment vertical="center"/>
    </xf>
    <xf numFmtId="3" fontId="3" fillId="0" borderId="15" xfId="13" applyNumberFormat="1" applyFont="1" applyFill="1" applyBorder="1" applyAlignment="1" applyProtection="1">
      <alignment horizontal="center" vertical="center"/>
    </xf>
    <xf numFmtId="3" fontId="3" fillId="0" borderId="38" xfId="13" applyNumberFormat="1" applyFont="1" applyBorder="1" applyAlignment="1" applyProtection="1">
      <alignment horizontal="center" vertical="center"/>
    </xf>
    <xf numFmtId="0" fontId="16" fillId="0" borderId="0" xfId="13" applyFont="1" applyAlignment="1" applyProtection="1">
      <alignment horizontal="left"/>
    </xf>
    <xf numFmtId="0" fontId="22" fillId="0" borderId="0" xfId="13" applyFont="1" applyProtection="1"/>
    <xf numFmtId="166" fontId="3" fillId="0" borderId="86" xfId="13" applyNumberFormat="1" applyFont="1" applyBorder="1" applyAlignment="1" applyProtection="1">
      <alignment vertical="center"/>
    </xf>
    <xf numFmtId="0" fontId="3" fillId="0" borderId="0" xfId="13" applyFont="1" applyBorder="1" applyAlignment="1" applyProtection="1">
      <alignment vertical="center"/>
    </xf>
    <xf numFmtId="0" fontId="135" fillId="0" borderId="0" xfId="13" applyFont="1" applyAlignment="1" applyProtection="1">
      <alignment vertical="center"/>
    </xf>
    <xf numFmtId="3" fontId="136" fillId="10" borderId="38" xfId="13" applyNumberFormat="1" applyFont="1" applyFill="1" applyBorder="1" applyAlignment="1" applyProtection="1">
      <alignment vertical="center"/>
    </xf>
    <xf numFmtId="0" fontId="135" fillId="0" borderId="0" xfId="13" applyFont="1" applyProtection="1"/>
    <xf numFmtId="3" fontId="136" fillId="0" borderId="0" xfId="13" applyNumberFormat="1" applyFont="1" applyProtection="1"/>
    <xf numFmtId="3" fontId="8" fillId="0" borderId="86" xfId="13" applyNumberFormat="1" applyFont="1" applyBorder="1" applyAlignment="1" applyProtection="1">
      <alignment vertical="center"/>
    </xf>
    <xf numFmtId="3" fontId="3" fillId="0" borderId="0" xfId="13" applyNumberFormat="1" applyFont="1" applyProtection="1"/>
    <xf numFmtId="0" fontId="16" fillId="0" borderId="0" xfId="13" applyFont="1" applyAlignment="1" applyProtection="1">
      <alignment vertical="center" wrapText="1"/>
    </xf>
    <xf numFmtId="3" fontId="3" fillId="0" borderId="86" xfId="13" applyNumberFormat="1" applyFont="1" applyFill="1" applyBorder="1" applyAlignment="1" applyProtection="1">
      <alignment vertical="center"/>
    </xf>
    <xf numFmtId="0" fontId="151" fillId="0" borderId="0" xfId="13" applyFont="1" applyAlignment="1" applyProtection="1">
      <alignment vertical="center"/>
    </xf>
    <xf numFmtId="0" fontId="5" fillId="0" borderId="0" xfId="13" applyFont="1" applyAlignment="1" applyProtection="1">
      <alignment vertical="center"/>
    </xf>
    <xf numFmtId="3" fontId="5" fillId="20" borderId="15" xfId="13" applyNumberFormat="1" applyFont="1" applyFill="1" applyBorder="1" applyAlignment="1" applyProtection="1">
      <alignment vertical="center"/>
    </xf>
    <xf numFmtId="3" fontId="158" fillId="0" borderId="86" xfId="13" applyNumberFormat="1" applyFont="1" applyFill="1" applyBorder="1" applyAlignment="1" applyProtection="1">
      <alignment vertical="center"/>
    </xf>
    <xf numFmtId="0" fontId="16" fillId="0" borderId="0" xfId="13" applyFont="1" applyAlignment="1" applyProtection="1">
      <alignment horizontal="left" vertical="center" wrapText="1"/>
    </xf>
    <xf numFmtId="3" fontId="3" fillId="0" borderId="0" xfId="13" applyNumberFormat="1" applyFont="1" applyAlignment="1" applyProtection="1">
      <alignment vertical="center"/>
    </xf>
    <xf numFmtId="0" fontId="13" fillId="0" borderId="52" xfId="13" applyFont="1" applyBorder="1" applyAlignment="1" applyProtection="1">
      <alignment horizontal="center" vertical="center"/>
    </xf>
    <xf numFmtId="0" fontId="16" fillId="0" borderId="0" xfId="13" applyFont="1" applyAlignment="1" applyProtection="1"/>
    <xf numFmtId="0" fontId="52" fillId="0" borderId="0" xfId="13" applyFont="1" applyProtection="1"/>
    <xf numFmtId="0" fontId="8" fillId="0" borderId="0" xfId="13" applyFont="1" applyFill="1" applyProtection="1"/>
    <xf numFmtId="0" fontId="8" fillId="0" borderId="0" xfId="13" applyFont="1" applyAlignment="1" applyProtection="1">
      <alignment horizontal="left"/>
    </xf>
    <xf numFmtId="0" fontId="8" fillId="0" borderId="0" xfId="13" applyFont="1" applyFill="1" applyAlignment="1" applyProtection="1">
      <alignment horizontal="left"/>
    </xf>
    <xf numFmtId="0" fontId="3" fillId="0" borderId="0" xfId="13" applyFont="1" applyAlignment="1" applyProtection="1">
      <alignment horizontal="right"/>
    </xf>
    <xf numFmtId="0" fontId="8" fillId="0" borderId="58" xfId="13" applyFont="1" applyBorder="1" applyAlignment="1" applyProtection="1">
      <alignment horizontal="center"/>
    </xf>
    <xf numFmtId="0" fontId="8" fillId="0" borderId="85" xfId="13" applyFont="1" applyBorder="1" applyAlignment="1" applyProtection="1">
      <alignment horizontal="center"/>
    </xf>
    <xf numFmtId="0" fontId="8" fillId="0" borderId="0" xfId="13" applyFont="1" applyBorder="1" applyAlignment="1" applyProtection="1">
      <alignment horizontal="center"/>
    </xf>
    <xf numFmtId="0" fontId="3" fillId="0" borderId="0" xfId="13" applyFont="1" applyAlignment="1" applyProtection="1">
      <alignment vertical="top"/>
    </xf>
    <xf numFmtId="0" fontId="8" fillId="0" borderId="0" xfId="13" applyFont="1" applyAlignment="1" applyProtection="1">
      <alignment horizontal="center"/>
    </xf>
    <xf numFmtId="0" fontId="8" fillId="10" borderId="13" xfId="13" applyFont="1" applyFill="1" applyBorder="1" applyAlignment="1" applyProtection="1">
      <alignment horizontal="center" vertical="top" wrapText="1"/>
    </xf>
    <xf numFmtId="0" fontId="8" fillId="0" borderId="0" xfId="13" applyFont="1" applyFill="1" applyAlignment="1" applyProtection="1">
      <alignment vertical="top" wrapText="1"/>
    </xf>
    <xf numFmtId="0" fontId="8" fillId="0" borderId="0" xfId="13" applyFont="1" applyFill="1" applyBorder="1" applyAlignment="1" applyProtection="1">
      <alignment vertical="top" wrapText="1"/>
    </xf>
    <xf numFmtId="0" fontId="8" fillId="0" borderId="0" xfId="13" applyFont="1" applyAlignment="1" applyProtection="1">
      <alignment vertical="top"/>
    </xf>
    <xf numFmtId="0" fontId="3" fillId="0" borderId="0" xfId="13" applyFont="1" applyAlignment="1" applyProtection="1">
      <alignment horizontal="left"/>
    </xf>
    <xf numFmtId="38" fontId="8" fillId="0" borderId="0" xfId="13" applyNumberFormat="1" applyFont="1" applyProtection="1"/>
    <xf numFmtId="0" fontId="8" fillId="0" borderId="0" xfId="13" applyFont="1" applyBorder="1" applyProtection="1"/>
    <xf numFmtId="9" fontId="3" fillId="0" borderId="0" xfId="13" applyNumberFormat="1" applyFont="1" applyAlignment="1" applyProtection="1">
      <alignment horizontal="left"/>
    </xf>
    <xf numFmtId="10" fontId="8" fillId="10" borderId="13" xfId="13" applyNumberFormat="1" applyFont="1" applyFill="1" applyBorder="1" applyAlignment="1" applyProtection="1">
      <alignment horizontal="left"/>
    </xf>
    <xf numFmtId="0" fontId="8" fillId="0" borderId="13" xfId="13" applyFont="1" applyFill="1" applyBorder="1" applyAlignment="1" applyProtection="1">
      <alignment horizontal="left"/>
    </xf>
    <xf numFmtId="0" fontId="8" fillId="0" borderId="13" xfId="13" applyFont="1" applyBorder="1" applyAlignment="1" applyProtection="1">
      <alignment horizontal="left"/>
    </xf>
    <xf numFmtId="181" fontId="8" fillId="0" borderId="0" xfId="13" applyNumberFormat="1" applyFont="1" applyProtection="1"/>
    <xf numFmtId="0" fontId="8" fillId="10" borderId="0" xfId="13" applyFont="1" applyFill="1" applyAlignment="1" applyProtection="1">
      <alignment horizontal="left"/>
    </xf>
    <xf numFmtId="181" fontId="3" fillId="0" borderId="0" xfId="13" applyNumberFormat="1" applyFont="1" applyAlignment="1" applyProtection="1">
      <alignment horizontal="left"/>
    </xf>
    <xf numFmtId="181" fontId="10" fillId="0" borderId="0" xfId="0" applyNumberFormat="1" applyFont="1" applyAlignment="1" applyProtection="1">
      <alignment wrapText="1"/>
    </xf>
    <xf numFmtId="0" fontId="3" fillId="0" borderId="0" xfId="13" quotePrefix="1" applyFont="1" applyProtection="1"/>
    <xf numFmtId="38" fontId="8" fillId="0" borderId="13" xfId="13" applyNumberFormat="1" applyFont="1" applyBorder="1" applyAlignment="1" applyProtection="1">
      <alignment horizontal="left"/>
    </xf>
    <xf numFmtId="181" fontId="8" fillId="0" borderId="0" xfId="13" quotePrefix="1" applyNumberFormat="1" applyFont="1" applyFill="1" applyProtection="1"/>
    <xf numFmtId="0" fontId="3" fillId="0" borderId="0" xfId="13" applyFont="1" applyBorder="1" applyAlignment="1" applyProtection="1">
      <alignment horizontal="left"/>
    </xf>
    <xf numFmtId="181" fontId="8" fillId="0" borderId="0" xfId="13" applyNumberFormat="1" applyFont="1" applyFill="1" applyProtection="1"/>
    <xf numFmtId="181" fontId="8" fillId="0" borderId="0" xfId="13" applyNumberFormat="1" applyFont="1" applyFill="1" applyAlignment="1" applyProtection="1">
      <alignment horizontal="left"/>
    </xf>
    <xf numFmtId="0" fontId="8" fillId="0" borderId="0" xfId="13" applyFont="1" applyFill="1" applyAlignment="1" applyProtection="1">
      <alignment horizontal="right"/>
    </xf>
    <xf numFmtId="0" fontId="3" fillId="0" borderId="0" xfId="13" applyFont="1" applyFill="1" applyProtection="1"/>
    <xf numFmtId="0" fontId="8" fillId="0" borderId="0" xfId="13" applyFont="1" applyFill="1" applyAlignment="1" applyProtection="1"/>
    <xf numFmtId="0" fontId="8" fillId="0" borderId="0" xfId="13" applyFont="1" applyAlignment="1" applyProtection="1"/>
    <xf numFmtId="181" fontId="8" fillId="0" borderId="0" xfId="13" applyNumberFormat="1" applyFont="1" applyAlignment="1" applyProtection="1">
      <alignment horizontal="left"/>
    </xf>
    <xf numFmtId="0" fontId="3" fillId="0" borderId="0" xfId="13" applyFont="1" applyBorder="1" applyProtection="1"/>
    <xf numFmtId="0" fontId="144" fillId="0" borderId="0" xfId="13" applyFont="1" applyProtection="1"/>
    <xf numFmtId="0" fontId="3" fillId="0" borderId="0" xfId="13" applyFont="1" applyAlignment="1" applyProtection="1"/>
    <xf numFmtId="0" fontId="3" fillId="0" borderId="0" xfId="13" applyFont="1" applyAlignment="1" applyProtection="1">
      <alignment horizontal="center" vertical="top"/>
    </xf>
    <xf numFmtId="0" fontId="3" fillId="0" borderId="0" xfId="13" applyFont="1" applyAlignment="1" applyProtection="1">
      <alignment vertical="top" wrapText="1"/>
    </xf>
    <xf numFmtId="3" fontId="98" fillId="10" borderId="13" xfId="13" applyNumberFormat="1" applyFont="1" applyFill="1" applyBorder="1" applyAlignment="1" applyProtection="1">
      <alignment horizontal="center"/>
    </xf>
    <xf numFmtId="0" fontId="28" fillId="0" borderId="0" xfId="13" applyFont="1" applyProtection="1"/>
    <xf numFmtId="0" fontId="3" fillId="0" borderId="0" xfId="13" quotePrefix="1" applyFont="1" applyAlignment="1" applyProtection="1">
      <alignment horizontal="center" vertical="top"/>
    </xf>
    <xf numFmtId="181" fontId="8" fillId="10" borderId="13" xfId="13" applyNumberFormat="1" applyFont="1" applyFill="1" applyBorder="1" applyAlignment="1" applyProtection="1">
      <alignment horizontal="center" vertical="top"/>
    </xf>
    <xf numFmtId="0" fontId="20" fillId="0" borderId="0" xfId="13" applyFont="1" applyAlignment="1" applyProtection="1">
      <alignment horizontal="right" vertical="top"/>
    </xf>
    <xf numFmtId="0" fontId="20" fillId="0" borderId="0" xfId="13" applyFont="1" applyAlignment="1" applyProtection="1">
      <alignment horizontal="center"/>
    </xf>
    <xf numFmtId="3" fontId="45" fillId="0" borderId="16" xfId="1" applyNumberFormat="1" applyFont="1" applyFill="1" applyBorder="1" applyAlignment="1" applyProtection="1">
      <alignment horizontal="center" vertical="center"/>
    </xf>
    <xf numFmtId="3" fontId="45" fillId="0" borderId="18" xfId="1" applyNumberFormat="1" applyFont="1" applyFill="1" applyBorder="1" applyAlignment="1" applyProtection="1">
      <alignment horizontal="center" vertical="center"/>
    </xf>
    <xf numFmtId="0" fontId="45" fillId="0" borderId="7" xfId="0" applyFont="1" applyFill="1" applyBorder="1" applyAlignment="1" applyProtection="1">
      <alignment wrapText="1"/>
    </xf>
    <xf numFmtId="0" fontId="42" fillId="0" borderId="0" xfId="0" applyFont="1" applyFill="1" applyAlignment="1" applyProtection="1">
      <alignment horizontal="right" vertical="center"/>
    </xf>
    <xf numFmtId="0" fontId="42" fillId="0" borderId="0" xfId="0" applyFont="1" applyAlignment="1" applyProtection="1">
      <alignment horizontal="justify" vertical="center"/>
    </xf>
    <xf numFmtId="0" fontId="148" fillId="0" borderId="0" xfId="0" applyFont="1" applyFill="1" applyAlignment="1" applyProtection="1">
      <alignment horizontal="center" vertical="center"/>
    </xf>
    <xf numFmtId="38" fontId="4" fillId="0" borderId="0" xfId="0" applyNumberFormat="1" applyFont="1" applyAlignment="1" applyProtection="1">
      <alignment horizontal="right" vertical="center" wrapText="1"/>
    </xf>
    <xf numFmtId="3" fontId="42" fillId="0" borderId="0" xfId="0" applyNumberFormat="1" applyFont="1" applyFill="1" applyAlignment="1" applyProtection="1">
      <alignment horizontal="center" vertical="center"/>
    </xf>
    <xf numFmtId="0" fontId="42" fillId="0" borderId="0" xfId="0" applyFont="1" applyBorder="1" applyAlignment="1" applyProtection="1">
      <alignment horizontal="justify" vertical="center"/>
    </xf>
    <xf numFmtId="37" fontId="148" fillId="0" borderId="0" xfId="0" applyNumberFormat="1" applyFont="1" applyFill="1" applyAlignment="1" applyProtection="1">
      <alignment horizontal="center" vertical="center"/>
    </xf>
    <xf numFmtId="166" fontId="14" fillId="13" borderId="17" xfId="0" applyNumberFormat="1" applyFont="1" applyFill="1" applyBorder="1" applyAlignment="1" applyProtection="1">
      <alignment horizontal="center" vertical="center"/>
    </xf>
    <xf numFmtId="0" fontId="75" fillId="0" borderId="0" xfId="0" applyFont="1" applyAlignment="1" applyProtection="1">
      <alignment horizontal="center"/>
    </xf>
    <xf numFmtId="0" fontId="74" fillId="0" borderId="0" xfId="0" applyFont="1" applyAlignment="1" applyProtection="1">
      <alignment horizontal="center"/>
    </xf>
    <xf numFmtId="0" fontId="3" fillId="0" borderId="0" xfId="0" applyFont="1" applyFill="1" applyBorder="1" applyAlignment="1" applyProtection="1">
      <alignment vertical="center" wrapText="1"/>
    </xf>
    <xf numFmtId="0" fontId="8" fillId="0" borderId="0" xfId="0" applyFont="1" applyFill="1" applyBorder="1" applyAlignment="1" applyProtection="1">
      <alignment vertical="center" wrapText="1"/>
    </xf>
    <xf numFmtId="0" fontId="10" fillId="0" borderId="0" xfId="0" applyFont="1" applyFill="1" applyBorder="1" applyAlignment="1" applyProtection="1">
      <alignment vertical="center"/>
    </xf>
    <xf numFmtId="0" fontId="153" fillId="0" borderId="0" xfId="0" applyFont="1" applyFill="1" applyBorder="1" applyAlignment="1" applyProtection="1">
      <alignment horizontal="center"/>
    </xf>
    <xf numFmtId="0" fontId="18" fillId="0" borderId="0" xfId="0" applyFont="1" applyFill="1" applyBorder="1" applyAlignment="1" applyProtection="1">
      <alignment vertical="top"/>
    </xf>
    <xf numFmtId="0" fontId="8" fillId="0" borderId="0" xfId="0" applyFont="1" applyFill="1" applyBorder="1" applyAlignment="1" applyProtection="1">
      <alignment horizontal="center" vertical="center" wrapText="1"/>
    </xf>
    <xf numFmtId="3" fontId="12" fillId="0" borderId="0" xfId="0" applyNumberFormat="1" applyFont="1" applyFill="1" applyBorder="1" applyAlignment="1" applyProtection="1">
      <alignment vertical="center"/>
    </xf>
    <xf numFmtId="3" fontId="12" fillId="0" borderId="0" xfId="1" applyNumberFormat="1" applyFont="1" applyFill="1" applyBorder="1" applyAlignment="1" applyProtection="1">
      <alignment vertical="center"/>
    </xf>
    <xf numFmtId="3" fontId="4" fillId="0" borderId="0" xfId="0" applyNumberFormat="1" applyFont="1" applyFill="1" applyBorder="1" applyAlignment="1" applyProtection="1">
      <alignment horizontal="center" vertical="center"/>
    </xf>
    <xf numFmtId="38" fontId="45" fillId="0" borderId="0" xfId="0" applyNumberFormat="1" applyFont="1" applyFill="1" applyBorder="1" applyAlignment="1" applyProtection="1">
      <alignment horizontal="left" vertical="center"/>
    </xf>
    <xf numFmtId="0" fontId="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top"/>
    </xf>
    <xf numFmtId="0" fontId="4" fillId="0" borderId="0" xfId="0" applyFont="1" applyFill="1" applyBorder="1" applyAlignment="1" applyProtection="1">
      <alignment horizontal="left"/>
    </xf>
    <xf numFmtId="0" fontId="14" fillId="0" borderId="23" xfId="0" applyFont="1" applyFill="1" applyBorder="1" applyAlignment="1" applyProtection="1">
      <alignment horizontal="center" vertical="top" wrapText="1"/>
    </xf>
    <xf numFmtId="38" fontId="14" fillId="0" borderId="0" xfId="0" applyNumberFormat="1" applyFont="1" applyFill="1" applyBorder="1" applyAlignment="1" applyProtection="1">
      <alignment horizontal="center"/>
    </xf>
    <xf numFmtId="0" fontId="8" fillId="0" borderId="0" xfId="0" applyFont="1" applyFill="1" applyBorder="1" applyAlignment="1" applyProtection="1">
      <alignment horizontal="center" vertical="center"/>
    </xf>
    <xf numFmtId="0" fontId="14" fillId="0" borderId="0" xfId="0" quotePrefix="1" applyFont="1" applyFill="1" applyAlignment="1" applyProtection="1">
      <alignment horizontal="left" vertical="center"/>
    </xf>
    <xf numFmtId="0" fontId="91" fillId="0" borderId="0" xfId="0" applyFont="1" applyAlignment="1" applyProtection="1">
      <alignment vertical="center"/>
    </xf>
    <xf numFmtId="3" fontId="8" fillId="0" borderId="3" xfId="0" applyNumberFormat="1" applyFont="1" applyFill="1" applyBorder="1" applyAlignment="1" applyProtection="1">
      <alignment horizontal="center" vertical="center"/>
    </xf>
    <xf numFmtId="0" fontId="13" fillId="0" borderId="0" xfId="0" applyFont="1" applyAlignment="1" applyProtection="1">
      <alignment vertical="center"/>
    </xf>
    <xf numFmtId="0" fontId="4" fillId="0" borderId="0" xfId="0" quotePrefix="1" applyFont="1" applyAlignment="1" applyProtection="1">
      <alignment horizontal="center" vertical="center"/>
    </xf>
    <xf numFmtId="0" fontId="16" fillId="0" borderId="0" xfId="0" applyFont="1" applyFill="1" applyAlignment="1" applyProtection="1">
      <alignment horizontal="left" vertical="center"/>
    </xf>
    <xf numFmtId="38" fontId="8" fillId="0" borderId="86" xfId="0" applyNumberFormat="1" applyFont="1" applyBorder="1" applyAlignment="1" applyProtection="1">
      <alignment horizontal="center" vertical="center"/>
    </xf>
    <xf numFmtId="0" fontId="4" fillId="0" borderId="0" xfId="0" quotePrefix="1" applyFont="1" applyFill="1" applyAlignment="1" applyProtection="1">
      <alignment horizontal="left" vertical="center"/>
    </xf>
    <xf numFmtId="0" fontId="10"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xf>
    <xf numFmtId="0" fontId="4" fillId="0" borderId="0" xfId="0" applyFont="1" applyFill="1" applyBorder="1" applyAlignment="1" applyProtection="1">
      <alignment vertical="top" wrapText="1"/>
    </xf>
    <xf numFmtId="3" fontId="4" fillId="0" borderId="0" xfId="0" applyNumberFormat="1" applyFont="1" applyBorder="1" applyAlignment="1" applyProtection="1">
      <alignment horizontal="center" vertical="center" wrapText="1"/>
    </xf>
    <xf numFmtId="3" fontId="4" fillId="0" borderId="0" xfId="0" applyNumberFormat="1" applyFont="1" applyBorder="1" applyAlignment="1" applyProtection="1">
      <alignment horizontal="left" vertical="center"/>
    </xf>
    <xf numFmtId="0" fontId="91" fillId="0" borderId="0" xfId="0" applyFont="1" applyFill="1" applyAlignment="1" applyProtection="1">
      <alignment horizontal="right"/>
    </xf>
    <xf numFmtId="0" fontId="42" fillId="0" borderId="0" xfId="0" applyFont="1" applyFill="1" applyAlignment="1" applyProtection="1"/>
    <xf numFmtId="0" fontId="14" fillId="13" borderId="100" xfId="0" applyFont="1" applyFill="1" applyBorder="1" applyAlignment="1" applyProtection="1">
      <alignment horizontal="center" vertical="center"/>
    </xf>
    <xf numFmtId="10" fontId="14" fillId="0" borderId="0" xfId="0" applyNumberFormat="1" applyFont="1" applyFill="1" applyBorder="1" applyAlignment="1" applyProtection="1">
      <alignment horizontal="center" vertical="center"/>
    </xf>
    <xf numFmtId="0" fontId="10" fillId="0" borderId="0" xfId="0" applyFont="1" applyFill="1" applyBorder="1" applyAlignment="1" applyProtection="1">
      <alignment horizontal="left" vertical="center"/>
    </xf>
    <xf numFmtId="38" fontId="13" fillId="0" borderId="16" xfId="0" applyNumberFormat="1" applyFont="1" applyFill="1" applyBorder="1" applyAlignment="1" applyProtection="1">
      <alignment horizontal="center" vertical="center"/>
    </xf>
    <xf numFmtId="0" fontId="51" fillId="0" borderId="0" xfId="0" applyFont="1" applyFill="1" applyAlignment="1" applyProtection="1">
      <alignment horizontal="center" vertical="center"/>
    </xf>
    <xf numFmtId="1" fontId="4" fillId="0" borderId="0" xfId="0" applyNumberFormat="1" applyFont="1" applyFill="1" applyBorder="1" applyAlignment="1" applyProtection="1">
      <alignment horizontal="left" vertical="center"/>
    </xf>
    <xf numFmtId="38" fontId="13" fillId="0" borderId="0" xfId="0" applyNumberFormat="1" applyFont="1" applyFill="1" applyBorder="1" applyAlignment="1" applyProtection="1">
      <alignment horizontal="center" vertical="center"/>
    </xf>
    <xf numFmtId="38" fontId="13" fillId="0" borderId="86" xfId="0" applyNumberFormat="1" applyFont="1" applyFill="1" applyBorder="1" applyAlignment="1" applyProtection="1">
      <alignment horizontal="center" vertical="center"/>
    </xf>
    <xf numFmtId="0" fontId="13" fillId="0" borderId="0" xfId="0" applyFont="1" applyFill="1" applyAlignment="1" applyProtection="1">
      <alignment vertical="top" wrapText="1"/>
    </xf>
    <xf numFmtId="0" fontId="3" fillId="0" borderId="0" xfId="0" applyFont="1" applyFill="1" applyAlignment="1" applyProtection="1">
      <alignment horizontal="left"/>
    </xf>
    <xf numFmtId="0" fontId="13" fillId="0" borderId="0" xfId="0" applyFont="1" applyFill="1" applyAlignment="1" applyProtection="1">
      <alignment horizontal="right" vertical="center"/>
    </xf>
    <xf numFmtId="0" fontId="10" fillId="0" borderId="0" xfId="0" applyFont="1" applyFill="1" applyProtection="1"/>
    <xf numFmtId="0" fontId="13" fillId="0" borderId="0" xfId="0" applyFont="1" applyBorder="1" applyAlignment="1" applyProtection="1"/>
    <xf numFmtId="9" fontId="13" fillId="0" borderId="0" xfId="10" applyFont="1" applyFill="1" applyBorder="1" applyProtection="1"/>
    <xf numFmtId="0" fontId="167" fillId="0" borderId="0" xfId="0" applyFont="1" applyFill="1" applyProtection="1"/>
    <xf numFmtId="0" fontId="10" fillId="0" borderId="0" xfId="1" applyNumberFormat="1" applyFont="1" applyFill="1" applyAlignment="1" applyProtection="1">
      <alignment horizontal="center"/>
    </xf>
    <xf numFmtId="0" fontId="10" fillId="0" borderId="0" xfId="1" applyNumberFormat="1" applyFont="1" applyFill="1" applyBorder="1" applyAlignment="1" applyProtection="1">
      <alignment horizontal="center"/>
    </xf>
    <xf numFmtId="164" fontId="13" fillId="0" borderId="3" xfId="1" applyNumberFormat="1" applyFont="1" applyFill="1" applyBorder="1" applyAlignment="1" applyProtection="1">
      <alignment vertical="center"/>
    </xf>
    <xf numFmtId="0" fontId="71" fillId="0" borderId="0" xfId="0" applyFont="1" applyFill="1" applyProtection="1"/>
    <xf numFmtId="44" fontId="13" fillId="0" borderId="0" xfId="0" applyNumberFormat="1" applyFont="1" applyFill="1" applyProtection="1"/>
    <xf numFmtId="0" fontId="65" fillId="0" borderId="0" xfId="0" applyFont="1" applyFill="1" applyAlignment="1" applyProtection="1">
      <alignment vertical="center"/>
    </xf>
    <xf numFmtId="0" fontId="51" fillId="0" borderId="0" xfId="0" applyFont="1" applyFill="1" applyProtection="1"/>
    <xf numFmtId="0" fontId="51" fillId="0" borderId="0" xfId="0" applyFont="1" applyFill="1" applyAlignment="1" applyProtection="1">
      <alignment horizontal="right"/>
    </xf>
    <xf numFmtId="10" fontId="14" fillId="0" borderId="86" xfId="0" applyNumberFormat="1" applyFont="1" applyFill="1" applyBorder="1" applyAlignment="1" applyProtection="1">
      <alignment horizontal="center" vertical="center"/>
    </xf>
    <xf numFmtId="0" fontId="14" fillId="0" borderId="0" xfId="0" applyFont="1" applyFill="1" applyBorder="1" applyAlignment="1" applyProtection="1">
      <alignment vertical="top"/>
    </xf>
    <xf numFmtId="0" fontId="91" fillId="0" borderId="0" xfId="0" applyFont="1" applyAlignment="1" applyProtection="1">
      <alignment horizontal="left"/>
    </xf>
    <xf numFmtId="0" fontId="13" fillId="0" borderId="0" xfId="0" applyFont="1" applyAlignment="1" applyProtection="1"/>
    <xf numFmtId="0" fontId="13" fillId="0" borderId="0" xfId="0" applyFont="1" applyFill="1" applyBorder="1" applyAlignment="1" applyProtection="1">
      <alignment horizontal="left"/>
    </xf>
    <xf numFmtId="0" fontId="13" fillId="0" borderId="0" xfId="0" applyFont="1"/>
    <xf numFmtId="0" fontId="13" fillId="0" borderId="0" xfId="0" applyFont="1" applyFill="1" applyBorder="1" applyAlignment="1" applyProtection="1">
      <alignment wrapText="1"/>
    </xf>
    <xf numFmtId="0" fontId="13" fillId="20" borderId="0" xfId="0" applyFont="1" applyFill="1" applyProtection="1"/>
    <xf numFmtId="0" fontId="13" fillId="20" borderId="0" xfId="0" applyFont="1" applyFill="1" applyBorder="1" applyAlignment="1" applyProtection="1">
      <alignment horizontal="left"/>
    </xf>
    <xf numFmtId="0" fontId="47" fillId="0" borderId="0" xfId="0" applyFont="1" applyAlignment="1" applyProtection="1">
      <alignment horizontal="center"/>
    </xf>
    <xf numFmtId="9" fontId="45" fillId="0" borderId="0" xfId="0" applyNumberFormat="1" applyFont="1" applyFill="1" applyAlignment="1" applyProtection="1">
      <alignment horizontal="center" vertical="center"/>
    </xf>
    <xf numFmtId="0" fontId="7" fillId="0" borderId="0" xfId="0" applyFont="1" applyFill="1" applyAlignment="1" applyProtection="1">
      <alignment vertical="top"/>
    </xf>
    <xf numFmtId="0" fontId="37" fillId="0" borderId="0" xfId="0" applyFont="1" applyFill="1" applyAlignment="1" applyProtection="1">
      <alignment vertical="top"/>
    </xf>
    <xf numFmtId="0" fontId="14" fillId="13" borderId="22" xfId="0" applyFont="1" applyFill="1" applyBorder="1" applyAlignment="1" applyProtection="1">
      <alignment horizontal="center" vertical="center"/>
    </xf>
    <xf numFmtId="0" fontId="138" fillId="0" borderId="0" xfId="0" applyFont="1" applyFill="1" applyBorder="1" applyAlignment="1" applyProtection="1">
      <alignment horizontal="center"/>
    </xf>
    <xf numFmtId="0" fontId="29" fillId="0" borderId="0" xfId="13" applyFont="1" applyFill="1" applyBorder="1" applyAlignment="1" applyProtection="1">
      <alignment vertical="center"/>
    </xf>
    <xf numFmtId="0" fontId="151" fillId="0" borderId="86" xfId="13" applyFont="1" applyFill="1" applyBorder="1" applyAlignment="1" applyProtection="1">
      <alignment horizontal="center" vertical="center" wrapText="1"/>
    </xf>
    <xf numFmtId="0" fontId="84" fillId="0" borderId="0" xfId="13" applyFont="1" applyFill="1" applyAlignment="1" applyProtection="1">
      <alignment horizontal="center" vertical="center"/>
    </xf>
    <xf numFmtId="0" fontId="42" fillId="0" borderId="0" xfId="13" applyFont="1" applyFill="1" applyAlignment="1" applyProtection="1">
      <alignment vertical="center"/>
    </xf>
    <xf numFmtId="0" fontId="42" fillId="0" borderId="0" xfId="13" applyFont="1" applyFill="1" applyBorder="1" applyAlignment="1" applyProtection="1">
      <alignment horizontal="left" vertical="center"/>
    </xf>
    <xf numFmtId="6" fontId="42" fillId="0" borderId="0" xfId="13" applyNumberFormat="1" applyFont="1" applyFill="1" applyBorder="1" applyAlignment="1" applyProtection="1">
      <alignment horizontal="center" vertical="center"/>
    </xf>
    <xf numFmtId="0" fontId="42" fillId="0" borderId="0" xfId="13" applyFont="1" applyFill="1" applyBorder="1" applyAlignment="1" applyProtection="1">
      <alignment horizontal="right" vertical="center" wrapText="1"/>
    </xf>
    <xf numFmtId="164" fontId="42" fillId="0" borderId="0" xfId="1" applyNumberFormat="1" applyFont="1" applyFill="1" applyAlignment="1" applyProtection="1">
      <alignment vertical="center"/>
    </xf>
    <xf numFmtId="0" fontId="42" fillId="0" borderId="8" xfId="13" applyFont="1" applyFill="1" applyBorder="1" applyAlignment="1" applyProtection="1">
      <alignment vertical="center"/>
    </xf>
    <xf numFmtId="164" fontId="42" fillId="0" borderId="38" xfId="1" applyNumberFormat="1" applyFont="1" applyFill="1" applyBorder="1" applyAlignment="1" applyProtection="1">
      <alignment horizontal="right" vertical="center"/>
    </xf>
    <xf numFmtId="0" fontId="51" fillId="0" borderId="0" xfId="13" applyFont="1" applyFill="1" applyBorder="1" applyAlignment="1" applyProtection="1">
      <alignment horizontal="right" vertical="center" wrapText="1"/>
    </xf>
    <xf numFmtId="0" fontId="8" fillId="0" borderId="0" xfId="13" applyFont="1" applyFill="1" applyAlignment="1" applyProtection="1">
      <alignment vertical="center"/>
    </xf>
    <xf numFmtId="0" fontId="85" fillId="20" borderId="0" xfId="0" applyFont="1" applyFill="1" applyAlignment="1" applyProtection="1">
      <alignment horizontal="left" vertical="center"/>
    </xf>
    <xf numFmtId="0" fontId="45" fillId="20" borderId="0" xfId="0" applyFont="1" applyFill="1" applyProtection="1"/>
    <xf numFmtId="38" fontId="12" fillId="0" borderId="11" xfId="1" applyNumberFormat="1" applyFont="1" applyFill="1" applyBorder="1" applyAlignment="1" applyProtection="1">
      <alignment horizontal="right" vertical="center"/>
    </xf>
    <xf numFmtId="38" fontId="12" fillId="0" borderId="12" xfId="1" applyNumberFormat="1" applyFont="1" applyFill="1" applyBorder="1" applyAlignment="1" applyProtection="1">
      <alignment horizontal="right" vertical="center"/>
    </xf>
    <xf numFmtId="38" fontId="3" fillId="0" borderId="84" xfId="1" applyNumberFormat="1" applyFont="1" applyFill="1" applyBorder="1" applyAlignment="1" applyProtection="1">
      <alignment horizontal="right" vertical="center"/>
    </xf>
    <xf numFmtId="38" fontId="3" fillId="0" borderId="100" xfId="1" applyNumberFormat="1" applyFont="1" applyFill="1" applyBorder="1" applyAlignment="1" applyProtection="1">
      <alignment horizontal="right" vertical="center"/>
    </xf>
    <xf numFmtId="38" fontId="3" fillId="0" borderId="12" xfId="1" applyNumberFormat="1" applyFont="1" applyFill="1" applyBorder="1" applyAlignment="1" applyProtection="1">
      <alignment horizontal="right" vertical="center"/>
    </xf>
    <xf numFmtId="38" fontId="12" fillId="0" borderId="84"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vertical="center"/>
    </xf>
    <xf numFmtId="0" fontId="61" fillId="0" borderId="0" xfId="0" applyFont="1" applyFill="1" applyBorder="1" applyAlignment="1" applyProtection="1">
      <alignment horizontal="right" vertical="center"/>
    </xf>
    <xf numFmtId="0" fontId="42" fillId="0" borderId="0" xfId="0" applyFont="1" applyFill="1" applyBorder="1" applyAlignment="1" applyProtection="1"/>
    <xf numFmtId="0" fontId="42" fillId="0" borderId="0" xfId="0" applyFont="1" applyFill="1" applyBorder="1" applyAlignment="1" applyProtection="1">
      <alignment vertical="top"/>
    </xf>
    <xf numFmtId="0" fontId="45" fillId="0" borderId="0" xfId="0" applyFont="1" applyFill="1" applyAlignment="1" applyProtection="1">
      <alignment vertical="top" wrapText="1"/>
    </xf>
    <xf numFmtId="0" fontId="42" fillId="5" borderId="36" xfId="0" applyFont="1" applyFill="1" applyBorder="1" applyAlignment="1" applyProtection="1">
      <alignment horizontal="left"/>
    </xf>
    <xf numFmtId="0" fontId="42" fillId="5" borderId="2" xfId="0" applyFont="1" applyFill="1" applyBorder="1" applyAlignment="1" applyProtection="1">
      <alignment horizontal="left"/>
    </xf>
    <xf numFmtId="0" fontId="42" fillId="5" borderId="37" xfId="0" applyFont="1" applyFill="1" applyBorder="1" applyAlignment="1" applyProtection="1">
      <alignment horizontal="left"/>
    </xf>
    <xf numFmtId="0" fontId="45" fillId="0" borderId="11" xfId="0" applyFont="1" applyFill="1" applyBorder="1" applyAlignment="1" applyProtection="1">
      <alignment horizontal="center" vertical="center"/>
    </xf>
    <xf numFmtId="0" fontId="3" fillId="0" borderId="0" xfId="0" applyFont="1" applyFill="1" applyAlignment="1" applyProtection="1">
      <alignment horizontal="center"/>
    </xf>
    <xf numFmtId="0" fontId="4" fillId="0" borderId="0" xfId="0" applyFont="1" applyAlignment="1" applyProtection="1">
      <alignment vertical="center" wrapText="1"/>
    </xf>
    <xf numFmtId="0" fontId="175" fillId="0" borderId="0" xfId="0" applyFont="1" applyFill="1" applyAlignment="1" applyProtection="1">
      <alignment vertical="center"/>
    </xf>
    <xf numFmtId="3" fontId="143" fillId="0" borderId="0" xfId="0" applyNumberFormat="1" applyFont="1" applyFill="1" applyAlignment="1" applyProtection="1">
      <alignment vertical="center"/>
    </xf>
    <xf numFmtId="166" fontId="44" fillId="0" borderId="13" xfId="0" applyNumberFormat="1" applyFont="1" applyFill="1" applyBorder="1" applyAlignment="1" applyProtection="1">
      <alignment horizontal="center" vertical="center"/>
    </xf>
    <xf numFmtId="166" fontId="41" fillId="0" borderId="0" xfId="0" applyNumberFormat="1" applyFont="1" applyFill="1" applyAlignment="1" applyProtection="1">
      <alignment horizontal="center"/>
    </xf>
    <xf numFmtId="166" fontId="169" fillId="0" borderId="0" xfId="0" applyNumberFormat="1" applyFont="1" applyFill="1" applyAlignment="1" applyProtection="1">
      <alignment horizontal="center"/>
    </xf>
    <xf numFmtId="166" fontId="169" fillId="0" borderId="0" xfId="0" applyNumberFormat="1" applyFont="1" applyFill="1" applyBorder="1" applyAlignment="1" applyProtection="1">
      <alignment horizontal="center"/>
    </xf>
    <xf numFmtId="37" fontId="169" fillId="0" borderId="0" xfId="1" applyNumberFormat="1" applyFont="1" applyFill="1" applyBorder="1" applyAlignment="1" applyProtection="1">
      <alignment horizontal="center"/>
    </xf>
    <xf numFmtId="166" fontId="104" fillId="0" borderId="0" xfId="0" applyNumberFormat="1" applyFont="1" applyFill="1" applyBorder="1" applyAlignment="1" applyProtection="1">
      <alignment horizontal="center" vertical="center"/>
    </xf>
    <xf numFmtId="37" fontId="104" fillId="0" borderId="0" xfId="0" applyNumberFormat="1" applyFont="1" applyFill="1" applyBorder="1" applyAlignment="1" applyProtection="1">
      <alignment horizontal="center" vertical="center"/>
    </xf>
    <xf numFmtId="166" fontId="169" fillId="0" borderId="107" xfId="0" applyNumberFormat="1" applyFont="1" applyFill="1" applyBorder="1" applyAlignment="1" applyProtection="1">
      <alignment horizontal="center"/>
    </xf>
    <xf numFmtId="37" fontId="169" fillId="0" borderId="107" xfId="1" applyNumberFormat="1" applyFont="1" applyFill="1" applyBorder="1" applyAlignment="1" applyProtection="1">
      <alignment horizontal="center"/>
    </xf>
    <xf numFmtId="0" fontId="113" fillId="0" borderId="0" xfId="0" applyFont="1" applyFill="1" applyAlignment="1" applyProtection="1">
      <alignment vertical="center"/>
    </xf>
    <xf numFmtId="37" fontId="62" fillId="0" borderId="0" xfId="0" applyNumberFormat="1" applyFont="1" applyFill="1" applyAlignment="1" applyProtection="1">
      <alignment horizontal="center" vertical="center"/>
    </xf>
    <xf numFmtId="164" fontId="113" fillId="0" borderId="0" xfId="1" applyNumberFormat="1" applyFont="1" applyFill="1" applyAlignment="1" applyProtection="1">
      <alignment horizontal="left" vertical="center"/>
    </xf>
    <xf numFmtId="0" fontId="42" fillId="0" borderId="0" xfId="0" applyFont="1" applyAlignment="1" applyProtection="1">
      <alignment horizontal="center"/>
    </xf>
    <xf numFmtId="164" fontId="113" fillId="0" borderId="0" xfId="1" applyNumberFormat="1" applyFont="1" applyFill="1" applyBorder="1" applyAlignment="1" applyProtection="1">
      <alignment vertical="center"/>
    </xf>
    <xf numFmtId="0" fontId="153" fillId="0" borderId="40" xfId="0" applyFont="1" applyFill="1" applyBorder="1" applyAlignment="1" applyProtection="1"/>
    <xf numFmtId="0" fontId="12" fillId="0" borderId="19" xfId="0" applyFont="1" applyFill="1" applyBorder="1" applyAlignment="1" applyProtection="1">
      <alignment vertical="center"/>
    </xf>
    <xf numFmtId="0" fontId="153" fillId="0" borderId="41" xfId="0" applyFont="1" applyFill="1" applyBorder="1" applyAlignment="1" applyProtection="1">
      <alignment horizontal="center"/>
    </xf>
    <xf numFmtId="0" fontId="13" fillId="0" borderId="77" xfId="0" applyFont="1" applyFill="1" applyBorder="1" applyAlignment="1" applyProtection="1">
      <alignment horizontal="right" vertical="center"/>
    </xf>
    <xf numFmtId="3" fontId="13" fillId="0" borderId="21" xfId="0" applyNumberFormat="1" applyFont="1" applyFill="1" applyBorder="1" applyAlignment="1" applyProtection="1">
      <alignment horizontal="center" vertical="center"/>
    </xf>
    <xf numFmtId="3" fontId="105" fillId="20" borderId="74" xfId="0" applyNumberFormat="1" applyFont="1" applyFill="1" applyBorder="1" applyAlignment="1" applyProtection="1">
      <alignment horizontal="center" vertical="center"/>
    </xf>
    <xf numFmtId="0" fontId="4" fillId="0" borderId="43" xfId="0" applyFont="1" applyFill="1" applyBorder="1" applyAlignment="1" applyProtection="1">
      <alignment vertical="center"/>
    </xf>
    <xf numFmtId="3" fontId="13" fillId="0" borderId="15" xfId="1" applyNumberFormat="1" applyFont="1" applyFill="1" applyBorder="1" applyAlignment="1" applyProtection="1">
      <alignment horizontal="right" vertical="center"/>
    </xf>
    <xf numFmtId="0" fontId="42" fillId="23" borderId="0" xfId="0" applyFont="1" applyFill="1" applyAlignment="1" applyProtection="1">
      <alignment horizontal="left" vertical="center"/>
    </xf>
    <xf numFmtId="3" fontId="42" fillId="23" borderId="0" xfId="0" applyNumberFormat="1" applyFont="1" applyFill="1" applyAlignment="1" applyProtection="1">
      <alignment horizontal="center" vertical="center"/>
    </xf>
    <xf numFmtId="0" fontId="42" fillId="22" borderId="0" xfId="0" applyFont="1" applyFill="1" applyAlignment="1" applyProtection="1">
      <alignment horizontal="left" vertical="center"/>
    </xf>
    <xf numFmtId="3" fontId="42" fillId="22" borderId="0" xfId="0" applyNumberFormat="1" applyFont="1" applyFill="1" applyAlignment="1" applyProtection="1">
      <alignment horizontal="center" vertical="center"/>
    </xf>
    <xf numFmtId="0" fontId="42" fillId="11" borderId="0" xfId="0" applyFont="1" applyFill="1" applyAlignment="1" applyProtection="1">
      <alignment horizontal="left" vertical="center"/>
    </xf>
    <xf numFmtId="3" fontId="42" fillId="11" borderId="0" xfId="0" applyNumberFormat="1" applyFont="1" applyFill="1" applyAlignment="1" applyProtection="1">
      <alignment horizontal="center" vertical="center"/>
    </xf>
    <xf numFmtId="0" fontId="42" fillId="13" borderId="0" xfId="0" applyFont="1" applyFill="1" applyAlignment="1" applyProtection="1">
      <alignment horizontal="left" vertical="center"/>
    </xf>
    <xf numFmtId="3" fontId="42" fillId="13" borderId="0" xfId="0" applyNumberFormat="1" applyFont="1" applyFill="1" applyAlignment="1" applyProtection="1">
      <alignment horizontal="center" vertical="center"/>
    </xf>
    <xf numFmtId="0" fontId="42" fillId="24" borderId="0" xfId="0" applyFont="1" applyFill="1" applyAlignment="1" applyProtection="1">
      <alignment horizontal="left" vertical="center"/>
    </xf>
    <xf numFmtId="3" fontId="42" fillId="24" borderId="0" xfId="0" applyNumberFormat="1" applyFont="1" applyFill="1" applyAlignment="1" applyProtection="1">
      <alignment horizontal="center" vertical="center"/>
    </xf>
    <xf numFmtId="0" fontId="42" fillId="25" borderId="0" xfId="0" applyFont="1" applyFill="1" applyAlignment="1" applyProtection="1">
      <alignment horizontal="left" vertical="center"/>
    </xf>
    <xf numFmtId="3" fontId="42" fillId="25" borderId="0" xfId="0" applyNumberFormat="1" applyFont="1" applyFill="1" applyAlignment="1" applyProtection="1">
      <alignment horizontal="center" vertical="center"/>
    </xf>
    <xf numFmtId="0" fontId="42" fillId="26" borderId="0" xfId="0" applyFont="1" applyFill="1" applyProtection="1"/>
    <xf numFmtId="0" fontId="42" fillId="26" borderId="0" xfId="9" applyFont="1" applyFill="1" applyAlignment="1" applyProtection="1">
      <alignment horizontal="left"/>
    </xf>
    <xf numFmtId="0" fontId="42" fillId="26" borderId="0" xfId="0" quotePrefix="1" applyNumberFormat="1" applyFont="1" applyFill="1" applyProtection="1"/>
    <xf numFmtId="0" fontId="42" fillId="26" borderId="0" xfId="0" applyNumberFormat="1" applyFont="1" applyFill="1" applyAlignment="1" applyProtection="1">
      <alignment horizontal="center"/>
    </xf>
    <xf numFmtId="0" fontId="42" fillId="26" borderId="0" xfId="9" applyFont="1" applyFill="1" applyProtection="1"/>
    <xf numFmtId="0" fontId="42" fillId="26" borderId="0" xfId="0" applyFont="1" applyFill="1" applyAlignment="1" applyProtection="1">
      <alignment horizontal="left"/>
    </xf>
    <xf numFmtId="0" fontId="111" fillId="0" borderId="0" xfId="0" applyFont="1" applyAlignment="1" applyProtection="1">
      <alignment horizontal="center" vertical="center" wrapText="1"/>
    </xf>
    <xf numFmtId="0" fontId="85" fillId="0" borderId="0" xfId="0" applyFont="1" applyFill="1" applyAlignment="1" applyProtection="1">
      <alignment horizontal="left" vertical="center"/>
    </xf>
    <xf numFmtId="1" fontId="91" fillId="0" borderId="86" xfId="0" applyNumberFormat="1" applyFont="1" applyFill="1" applyBorder="1" applyAlignment="1" applyProtection="1">
      <alignment horizontal="center" vertical="center"/>
    </xf>
    <xf numFmtId="38" fontId="3" fillId="0" borderId="3" xfId="0" applyNumberFormat="1" applyFont="1" applyFill="1" applyBorder="1" applyAlignment="1" applyProtection="1">
      <alignment horizontal="center" vertical="center"/>
    </xf>
    <xf numFmtId="0" fontId="16" fillId="0" borderId="0" xfId="0" applyFont="1" applyFill="1" applyAlignment="1" applyProtection="1">
      <alignment horizontal="center" vertical="center"/>
    </xf>
    <xf numFmtId="0" fontId="89" fillId="0" borderId="0" xfId="0" applyFont="1" applyFill="1" applyBorder="1" applyAlignment="1" applyProtection="1">
      <alignment horizontal="left" vertical="top"/>
    </xf>
    <xf numFmtId="3" fontId="4" fillId="0" borderId="0" xfId="0" applyNumberFormat="1" applyFont="1" applyFill="1" applyAlignment="1" applyProtection="1">
      <alignment horizontal="center"/>
    </xf>
    <xf numFmtId="0" fontId="42" fillId="0" borderId="0" xfId="0" applyFont="1" applyFill="1" applyAlignment="1" applyProtection="1">
      <alignment vertical="center" wrapText="1"/>
    </xf>
    <xf numFmtId="0" fontId="4" fillId="0" borderId="0" xfId="0" applyFont="1" applyAlignment="1" applyProtection="1">
      <alignment vertical="top"/>
    </xf>
    <xf numFmtId="0" fontId="4" fillId="0" borderId="0" xfId="0" applyFont="1" applyAlignment="1" applyProtection="1">
      <alignment vertical="top" wrapText="1"/>
    </xf>
    <xf numFmtId="0" fontId="42" fillId="0" borderId="0" xfId="0" applyFont="1" applyFill="1" applyAlignment="1" applyProtection="1">
      <alignment horizontal="left" vertical="center"/>
    </xf>
    <xf numFmtId="0" fontId="0" fillId="0" borderId="0" xfId="0" applyAlignment="1" applyProtection="1">
      <alignment horizontal="left" vertical="center"/>
    </xf>
    <xf numFmtId="0" fontId="14" fillId="0" borderId="0" xfId="0" applyFont="1" applyAlignment="1" applyProtection="1">
      <alignment vertical="top"/>
    </xf>
    <xf numFmtId="0" fontId="4" fillId="0" borderId="0" xfId="0" applyFont="1" applyAlignment="1" applyProtection="1">
      <alignment horizontal="right" vertical="top"/>
    </xf>
    <xf numFmtId="0" fontId="16" fillId="0" borderId="0" xfId="0" applyFont="1" applyAlignment="1" applyProtection="1">
      <alignment horizontal="right" vertical="top"/>
    </xf>
    <xf numFmtId="0" fontId="16" fillId="0" borderId="0" xfId="0" applyFont="1" applyAlignment="1" applyProtection="1">
      <alignment horizontal="right" vertical="center"/>
    </xf>
    <xf numFmtId="0" fontId="4" fillId="0" borderId="0" xfId="0" applyFont="1" applyBorder="1" applyAlignment="1" applyProtection="1">
      <alignment horizontal="left" vertical="top"/>
    </xf>
    <xf numFmtId="0" fontId="12" fillId="0" borderId="8" xfId="0" applyFont="1" applyFill="1" applyBorder="1" applyProtection="1"/>
    <xf numFmtId="0" fontId="12" fillId="0" borderId="100" xfId="0" applyFont="1" applyFill="1" applyBorder="1" applyProtection="1"/>
    <xf numFmtId="0" fontId="12" fillId="0" borderId="11" xfId="0" applyFont="1" applyFill="1" applyBorder="1" applyProtection="1"/>
    <xf numFmtId="0" fontId="12" fillId="0" borderId="84" xfId="0" applyFont="1" applyFill="1" applyBorder="1" applyProtection="1"/>
    <xf numFmtId="0" fontId="12" fillId="0" borderId="12" xfId="0" applyFont="1" applyFill="1" applyBorder="1" applyProtection="1"/>
    <xf numFmtId="0" fontId="13" fillId="0" borderId="0" xfId="0" applyFont="1" applyFill="1" applyBorder="1" applyAlignment="1" applyProtection="1">
      <alignment horizontal="center" vertical="center"/>
    </xf>
    <xf numFmtId="0" fontId="10" fillId="0" borderId="0" xfId="0" quotePrefix="1" applyFont="1" applyFill="1" applyAlignment="1" applyProtection="1">
      <alignment horizontal="center" vertical="center"/>
    </xf>
    <xf numFmtId="0" fontId="93" fillId="0" borderId="0" xfId="0" applyFont="1" applyFill="1" applyProtection="1"/>
    <xf numFmtId="0" fontId="93" fillId="0" borderId="0" xfId="0" applyFont="1" applyProtection="1"/>
    <xf numFmtId="0" fontId="93" fillId="0" borderId="0" xfId="0" applyFont="1" applyAlignment="1" applyProtection="1">
      <alignment horizontal="center"/>
    </xf>
    <xf numFmtId="0" fontId="179" fillId="0" borderId="0" xfId="0" applyFont="1" applyAlignment="1" applyProtection="1">
      <alignment horizontal="center"/>
    </xf>
    <xf numFmtId="0" fontId="93" fillId="0" borderId="0" xfId="0" applyFont="1" applyFill="1" applyAlignment="1" applyProtection="1">
      <alignment horizontal="left" vertical="center"/>
    </xf>
    <xf numFmtId="0" fontId="180" fillId="0" borderId="0" xfId="0" applyFont="1" applyProtection="1"/>
    <xf numFmtId="0" fontId="180" fillId="0" borderId="0" xfId="0" applyFont="1" applyFill="1" applyProtection="1"/>
    <xf numFmtId="0" fontId="179" fillId="0" borderId="0" xfId="0" applyFont="1" applyFill="1" applyProtection="1"/>
    <xf numFmtId="0" fontId="93" fillId="0" borderId="0" xfId="0" applyNumberFormat="1" applyFont="1" applyFill="1" applyProtection="1"/>
    <xf numFmtId="0" fontId="93" fillId="0" borderId="0" xfId="0" applyFont="1" applyFill="1" applyBorder="1" applyProtection="1"/>
    <xf numFmtId="0" fontId="45" fillId="0" borderId="8" xfId="0" applyFont="1" applyFill="1" applyBorder="1" applyAlignment="1" applyProtection="1">
      <alignment horizontal="center" vertical="center"/>
    </xf>
    <xf numFmtId="0" fontId="10" fillId="0" borderId="0" xfId="0" applyFont="1" applyFill="1" applyAlignment="1" applyProtection="1">
      <alignment horizontal="center" vertical="center" wrapText="1"/>
    </xf>
    <xf numFmtId="0" fontId="105" fillId="0" borderId="0" xfId="0" applyFont="1" applyFill="1" applyAlignment="1" applyProtection="1">
      <alignment horizontal="left"/>
    </xf>
    <xf numFmtId="0" fontId="42" fillId="0" borderId="13" xfId="0" applyFont="1" applyBorder="1" applyAlignment="1" applyProtection="1">
      <alignment horizontal="center" vertical="center"/>
    </xf>
    <xf numFmtId="9" fontId="42" fillId="0" borderId="3" xfId="10"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 fillId="0" borderId="0" xfId="0" applyFont="1" applyFill="1" applyAlignment="1" applyProtection="1"/>
    <xf numFmtId="0" fontId="91" fillId="0" borderId="0" xfId="0" applyFont="1" applyFill="1" applyProtection="1"/>
    <xf numFmtId="0" fontId="24" fillId="0" borderId="0" xfId="0" applyFont="1" applyFill="1" applyAlignment="1" applyProtection="1">
      <alignment horizontal="right" vertical="center"/>
    </xf>
    <xf numFmtId="0" fontId="85" fillId="0" borderId="0" xfId="0" applyFont="1" applyFill="1" applyAlignment="1" applyProtection="1">
      <alignment vertical="center" wrapText="1"/>
    </xf>
    <xf numFmtId="0" fontId="85" fillId="0" borderId="0" xfId="0" applyFont="1" applyFill="1" applyBorder="1" applyAlignment="1" applyProtection="1">
      <alignment vertical="center" wrapText="1"/>
    </xf>
    <xf numFmtId="3" fontId="42" fillId="0" borderId="3" xfId="10" applyNumberFormat="1" applyFont="1" applyBorder="1" applyAlignment="1" applyProtection="1">
      <alignment horizontal="center" vertical="center"/>
    </xf>
    <xf numFmtId="3" fontId="42" fillId="0" borderId="3" xfId="10" applyNumberFormat="1" applyFont="1" applyBorder="1" applyAlignment="1" applyProtection="1">
      <alignment horizontal="center" vertical="center"/>
    </xf>
    <xf numFmtId="0" fontId="41" fillId="0" borderId="0" xfId="0" applyFont="1" applyFill="1" applyBorder="1" applyAlignment="1" applyProtection="1">
      <alignment vertical="center"/>
    </xf>
    <xf numFmtId="3" fontId="45" fillId="0" borderId="0" xfId="0" applyNumberFormat="1" applyFont="1" applyFill="1" applyAlignment="1" applyProtection="1">
      <alignment horizontal="left" vertical="center"/>
    </xf>
    <xf numFmtId="0" fontId="85" fillId="0" borderId="0" xfId="0" applyFont="1" applyFill="1" applyAlignment="1" applyProtection="1">
      <alignment vertical="center"/>
    </xf>
    <xf numFmtId="0" fontId="184" fillId="0" borderId="0" xfId="0" applyFont="1" applyFill="1" applyBorder="1" applyAlignment="1" applyProtection="1">
      <alignment vertical="center" wrapText="1"/>
    </xf>
    <xf numFmtId="1" fontId="45" fillId="0" borderId="16" xfId="1" applyNumberFormat="1" applyFont="1" applyFill="1" applyBorder="1" applyAlignment="1" applyProtection="1">
      <alignment horizontal="center" vertical="center"/>
    </xf>
    <xf numFmtId="1" fontId="45" fillId="0" borderId="17" xfId="1" applyNumberFormat="1" applyFont="1" applyFill="1" applyBorder="1" applyAlignment="1" applyProtection="1">
      <alignment horizontal="center" vertical="center"/>
    </xf>
    <xf numFmtId="1" fontId="45" fillId="0" borderId="18" xfId="1" applyNumberFormat="1" applyFont="1" applyFill="1" applyBorder="1" applyAlignment="1" applyProtection="1">
      <alignment horizontal="center" vertical="center"/>
    </xf>
    <xf numFmtId="0" fontId="40" fillId="0" borderId="0" xfId="0" applyFont="1" applyFill="1" applyBorder="1" applyAlignment="1" applyProtection="1">
      <alignment vertical="center"/>
    </xf>
    <xf numFmtId="3" fontId="186" fillId="21" borderId="0" xfId="0" applyNumberFormat="1" applyFont="1" applyFill="1" applyBorder="1" applyAlignment="1">
      <alignment horizontal="center" vertical="top"/>
    </xf>
    <xf numFmtId="4" fontId="45" fillId="0" borderId="0" xfId="0" applyNumberFormat="1" applyFont="1" applyFill="1" applyAlignment="1" applyProtection="1">
      <alignment horizontal="right" vertical="center"/>
    </xf>
    <xf numFmtId="0" fontId="53" fillId="0" borderId="83" xfId="0" applyFont="1" applyFill="1" applyBorder="1" applyAlignment="1" applyProtection="1">
      <alignment horizontal="right" vertical="center"/>
    </xf>
    <xf numFmtId="0" fontId="109" fillId="0" borderId="0" xfId="0" applyFont="1" applyFill="1" applyProtection="1"/>
    <xf numFmtId="0" fontId="79" fillId="0" borderId="0" xfId="0" applyFont="1" applyFill="1" applyProtection="1"/>
    <xf numFmtId="0" fontId="79" fillId="0" borderId="0" xfId="0" applyFont="1" applyProtection="1"/>
    <xf numFmtId="0" fontId="79" fillId="0" borderId="0" xfId="0" applyFont="1" applyAlignment="1" applyProtection="1">
      <alignment horizontal="left"/>
    </xf>
    <xf numFmtId="0" fontId="98" fillId="0" borderId="0" xfId="0" applyFont="1" applyFill="1" applyAlignment="1" applyProtection="1">
      <alignment horizontal="left" vertical="center"/>
    </xf>
    <xf numFmtId="0" fontId="42" fillId="0" borderId="0" xfId="0" applyFont="1" applyFill="1" applyBorder="1" applyAlignment="1" applyProtection="1">
      <alignment vertical="top" wrapText="1"/>
    </xf>
    <xf numFmtId="0" fontId="4" fillId="0" borderId="0" xfId="0" quotePrefix="1" applyFont="1" applyFill="1" applyBorder="1" applyAlignment="1" applyProtection="1">
      <alignment horizontal="right" vertical="center"/>
    </xf>
    <xf numFmtId="0" fontId="17" fillId="0" borderId="0" xfId="0" applyFont="1" applyFill="1" applyBorder="1" applyAlignment="1" applyProtection="1">
      <alignment vertical="center"/>
    </xf>
    <xf numFmtId="0" fontId="113" fillId="0" borderId="0" xfId="0" applyFont="1" applyFill="1" applyAlignment="1" applyProtection="1">
      <alignment horizontal="left" vertical="center"/>
    </xf>
    <xf numFmtId="38" fontId="8" fillId="0" borderId="112" xfId="0" applyNumberFormat="1" applyFont="1" applyFill="1" applyBorder="1" applyAlignment="1" applyProtection="1">
      <alignment horizontal="center" vertical="center"/>
    </xf>
    <xf numFmtId="38" fontId="8" fillId="0" borderId="15" xfId="0" applyNumberFormat="1" applyFont="1" applyFill="1" applyBorder="1" applyAlignment="1" applyProtection="1">
      <alignment horizontal="center" vertical="center"/>
    </xf>
    <xf numFmtId="0" fontId="53" fillId="0" borderId="85" xfId="0" quotePrefix="1" applyFont="1" applyFill="1" applyBorder="1" applyAlignment="1" applyProtection="1">
      <alignment vertical="top"/>
    </xf>
    <xf numFmtId="3" fontId="12" fillId="0" borderId="0" xfId="0" applyNumberFormat="1" applyFont="1" applyFill="1" applyAlignment="1" applyProtection="1">
      <alignment horizontal="center"/>
    </xf>
    <xf numFmtId="3" fontId="16" fillId="0" borderId="19" xfId="0" applyNumberFormat="1" applyFont="1" applyFill="1" applyBorder="1" applyAlignment="1" applyProtection="1">
      <alignment horizontal="center" vertical="top"/>
    </xf>
    <xf numFmtId="0" fontId="16" fillId="0" borderId="0" xfId="0" applyFont="1" applyFill="1" applyAlignment="1" applyProtection="1">
      <alignment horizontal="center" vertical="top"/>
    </xf>
    <xf numFmtId="3" fontId="51" fillId="0" borderId="19" xfId="0" applyNumberFormat="1" applyFont="1" applyFill="1" applyBorder="1" applyAlignment="1" applyProtection="1">
      <alignment horizontal="center" vertical="top"/>
    </xf>
    <xf numFmtId="0" fontId="22" fillId="0" borderId="0" xfId="0" applyFont="1" applyFill="1" applyAlignment="1" applyProtection="1">
      <alignment vertical="top"/>
    </xf>
    <xf numFmtId="3" fontId="51" fillId="0" borderId="115" xfId="0" applyNumberFormat="1" applyFont="1" applyFill="1" applyBorder="1" applyAlignment="1" applyProtection="1">
      <alignment horizontal="center" vertical="top"/>
    </xf>
    <xf numFmtId="0" fontId="42" fillId="26" borderId="0" xfId="0" applyFont="1" applyFill="1" applyBorder="1" applyAlignment="1">
      <alignment horizontal="center"/>
    </xf>
    <xf numFmtId="0" fontId="42" fillId="26" borderId="0" xfId="0" applyFont="1" applyFill="1" applyAlignment="1">
      <alignment horizontal="center"/>
    </xf>
    <xf numFmtId="3" fontId="147" fillId="0" borderId="38" xfId="0" applyNumberFormat="1" applyFont="1" applyFill="1" applyBorder="1" applyAlignment="1" applyProtection="1">
      <alignment horizontal="center" vertical="center"/>
    </xf>
    <xf numFmtId="0" fontId="49" fillId="0" borderId="0" xfId="0" applyFont="1" applyFill="1" applyAlignment="1" applyProtection="1">
      <alignment horizontal="center" vertical="center"/>
    </xf>
    <xf numFmtId="10" fontId="14" fillId="0" borderId="80" xfId="0" applyNumberFormat="1" applyFont="1" applyFill="1" applyBorder="1" applyAlignment="1" applyProtection="1">
      <alignment vertical="center"/>
    </xf>
    <xf numFmtId="10" fontId="4" fillId="0" borderId="81" xfId="0" applyNumberFormat="1" applyFont="1" applyFill="1" applyBorder="1" applyAlignment="1" applyProtection="1">
      <alignment horizontal="right" vertical="center"/>
    </xf>
    <xf numFmtId="0" fontId="91" fillId="0" borderId="0" xfId="0" applyFont="1" applyFill="1" applyBorder="1" applyAlignment="1" applyProtection="1">
      <alignment vertical="center"/>
    </xf>
    <xf numFmtId="10" fontId="4" fillId="0" borderId="116" xfId="0" applyNumberFormat="1" applyFont="1" applyFill="1" applyBorder="1" applyAlignment="1" applyProtection="1">
      <alignment horizontal="center" vertical="center" wrapText="1"/>
    </xf>
    <xf numFmtId="10" fontId="4" fillId="0" borderId="118" xfId="0" applyNumberFormat="1" applyFont="1" applyFill="1" applyBorder="1" applyAlignment="1" applyProtection="1">
      <alignment horizontal="center" vertical="center" wrapText="1"/>
    </xf>
    <xf numFmtId="37" fontId="42" fillId="0" borderId="3" xfId="1" applyNumberFormat="1" applyFont="1" applyFill="1" applyBorder="1" applyAlignment="1" applyProtection="1">
      <alignment horizontal="center" vertical="center"/>
    </xf>
    <xf numFmtId="37" fontId="42" fillId="0" borderId="3" xfId="1" applyNumberFormat="1" applyFont="1" applyBorder="1" applyAlignment="1" applyProtection="1">
      <alignment horizontal="center" vertical="center"/>
    </xf>
    <xf numFmtId="0" fontId="24" fillId="0" borderId="0" xfId="0" applyFont="1" applyFill="1" applyAlignment="1" applyProtection="1">
      <alignment vertical="top"/>
    </xf>
    <xf numFmtId="0" fontId="91" fillId="0" borderId="0" xfId="0" applyFont="1" applyAlignment="1" applyProtection="1">
      <alignment horizontal="center" vertical="top"/>
    </xf>
    <xf numFmtId="0" fontId="187" fillId="0" borderId="0" xfId="0" applyFont="1" applyFill="1" applyAlignment="1" applyProtection="1">
      <alignment vertical="center" wrapText="1"/>
    </xf>
    <xf numFmtId="0" fontId="17" fillId="0" borderId="0" xfId="0" applyFont="1" applyFill="1" applyAlignment="1" applyProtection="1">
      <alignment vertical="center"/>
    </xf>
    <xf numFmtId="0" fontId="30" fillId="0" borderId="0" xfId="0" applyFont="1" applyFill="1" applyProtection="1"/>
    <xf numFmtId="0" fontId="4" fillId="0" borderId="0" xfId="0" applyFont="1" applyFill="1" applyAlignment="1" applyProtection="1">
      <alignment vertical="center" wrapText="1"/>
    </xf>
    <xf numFmtId="0" fontId="14" fillId="0" borderId="0" xfId="0" applyFont="1" applyBorder="1" applyAlignment="1" applyProtection="1">
      <alignment vertical="top" wrapText="1"/>
    </xf>
    <xf numFmtId="0" fontId="91" fillId="0" borderId="0" xfId="0" applyFont="1" applyFill="1" applyAlignment="1" applyProtection="1">
      <alignment horizontal="left"/>
    </xf>
    <xf numFmtId="0" fontId="91" fillId="0" borderId="7" xfId="0" applyFont="1" applyFill="1" applyBorder="1" applyAlignment="1" applyProtection="1"/>
    <xf numFmtId="0" fontId="13" fillId="0" borderId="0" xfId="0" applyFont="1" applyAlignment="1" applyProtection="1">
      <alignment horizontal="center"/>
    </xf>
    <xf numFmtId="0" fontId="13" fillId="0" borderId="0" xfId="0" applyFont="1" applyFill="1" applyAlignment="1" applyProtection="1">
      <alignment horizontal="right" vertical="top"/>
    </xf>
    <xf numFmtId="38" fontId="183" fillId="0" borderId="78" xfId="0" applyNumberFormat="1" applyFont="1" applyBorder="1" applyAlignment="1" applyProtection="1">
      <alignment horizontal="center" vertical="center" wrapText="1"/>
    </xf>
    <xf numFmtId="38" fontId="189" fillId="0" borderId="79" xfId="0" applyNumberFormat="1" applyFont="1" applyBorder="1" applyAlignment="1" applyProtection="1">
      <alignment horizontal="left" vertical="center" wrapText="1"/>
    </xf>
    <xf numFmtId="0" fontId="3" fillId="0" borderId="0" xfId="0" applyFont="1" applyAlignment="1" applyProtection="1">
      <alignment horizontal="center" vertical="center"/>
    </xf>
    <xf numFmtId="0" fontId="13" fillId="0" borderId="0" xfId="0" applyFont="1" applyAlignment="1" applyProtection="1">
      <alignment horizontal="center" vertical="center"/>
    </xf>
    <xf numFmtId="0" fontId="13" fillId="0" borderId="0" xfId="0" applyFont="1" applyAlignment="1" applyProtection="1">
      <alignment horizontal="right" vertical="center"/>
    </xf>
    <xf numFmtId="0" fontId="14" fillId="0" borderId="0" xfId="0" applyFont="1" applyAlignment="1" applyProtection="1">
      <alignment horizontal="left" vertical="top"/>
    </xf>
    <xf numFmtId="0" fontId="4" fillId="0" borderId="0" xfId="0" applyFont="1" applyAlignment="1" applyProtection="1">
      <alignment horizontal="center" vertical="top"/>
    </xf>
    <xf numFmtId="0" fontId="10" fillId="0" borderId="0" xfId="0" applyFont="1" applyAlignment="1" applyProtection="1">
      <alignment vertical="top"/>
    </xf>
    <xf numFmtId="0" fontId="113" fillId="0" borderId="0" xfId="0" applyFont="1" applyFill="1" applyProtection="1"/>
    <xf numFmtId="38" fontId="25" fillId="0" borderId="120" xfId="0" applyNumberFormat="1" applyFont="1" applyFill="1" applyBorder="1" applyAlignment="1" applyProtection="1">
      <alignment horizontal="center" vertical="center"/>
    </xf>
    <xf numFmtId="0" fontId="8" fillId="0" borderId="15" xfId="0" applyFont="1" applyFill="1" applyBorder="1" applyAlignment="1" applyProtection="1">
      <alignment horizontal="center" vertical="center"/>
    </xf>
    <xf numFmtId="38" fontId="8" fillId="17" borderId="15" xfId="0" applyNumberFormat="1" applyFont="1" applyFill="1" applyBorder="1" applyAlignment="1" applyProtection="1">
      <alignment horizontal="center" vertical="center"/>
    </xf>
    <xf numFmtId="3" fontId="8" fillId="0" borderId="15" xfId="0" applyNumberFormat="1" applyFont="1" applyFill="1" applyBorder="1" applyAlignment="1" applyProtection="1">
      <alignment horizontal="center" vertical="center"/>
    </xf>
    <xf numFmtId="38" fontId="8" fillId="0" borderId="120" xfId="0" applyNumberFormat="1" applyFont="1" applyFill="1" applyBorder="1" applyAlignment="1" applyProtection="1">
      <alignment horizontal="center" vertical="center"/>
    </xf>
    <xf numFmtId="3" fontId="8" fillId="0" borderId="16" xfId="0" applyNumberFormat="1" applyFont="1" applyFill="1" applyBorder="1" applyAlignment="1" applyProtection="1">
      <alignment horizontal="center" vertical="center"/>
    </xf>
    <xf numFmtId="0" fontId="0" fillId="0" borderId="0" xfId="0" applyBorder="1" applyAlignment="1" applyProtection="1">
      <alignment vertical="top"/>
    </xf>
    <xf numFmtId="38" fontId="8" fillId="0" borderId="86" xfId="0" applyNumberFormat="1" applyFont="1" applyFill="1" applyBorder="1" applyAlignment="1" applyProtection="1">
      <alignment horizontal="center" vertical="center"/>
    </xf>
    <xf numFmtId="0" fontId="14" fillId="13" borderId="16" xfId="0" applyFont="1" applyFill="1" applyBorder="1" applyAlignment="1" applyProtection="1">
      <alignment horizontal="center" vertical="top"/>
    </xf>
    <xf numFmtId="0" fontId="14" fillId="13" borderId="86" xfId="0" applyFont="1" applyFill="1" applyBorder="1" applyAlignment="1" applyProtection="1">
      <alignment horizontal="center" vertical="top"/>
    </xf>
    <xf numFmtId="0" fontId="13" fillId="0" borderId="19" xfId="0" applyFont="1" applyFill="1" applyBorder="1" applyAlignment="1" applyProtection="1">
      <alignment vertical="center"/>
    </xf>
    <xf numFmtId="0" fontId="42" fillId="0" borderId="19" xfId="0" applyFont="1" applyFill="1" applyBorder="1" applyAlignment="1" applyProtection="1">
      <alignment vertical="center"/>
    </xf>
    <xf numFmtId="0" fontId="27" fillId="0" borderId="19" xfId="0" applyFont="1" applyFill="1" applyBorder="1" applyProtection="1"/>
    <xf numFmtId="0" fontId="27" fillId="0" borderId="32" xfId="0" applyFont="1" applyFill="1" applyBorder="1" applyProtection="1"/>
    <xf numFmtId="0" fontId="27" fillId="0" borderId="8" xfId="0" applyFont="1" applyFill="1" applyBorder="1" applyProtection="1"/>
    <xf numFmtId="0" fontId="4" fillId="0" borderId="19" xfId="0" applyFont="1" applyFill="1" applyBorder="1" applyAlignment="1" applyProtection="1">
      <alignment horizontal="left" vertical="center"/>
    </xf>
    <xf numFmtId="0" fontId="8" fillId="0" borderId="0" xfId="0" applyFont="1" applyFill="1" applyAlignment="1" applyProtection="1">
      <alignment horizontal="center" vertical="center" wrapText="1"/>
    </xf>
    <xf numFmtId="0" fontId="8" fillId="0" borderId="10" xfId="0" applyFont="1" applyFill="1" applyBorder="1" applyAlignment="1" applyProtection="1">
      <alignment horizontal="center" vertical="center"/>
    </xf>
    <xf numFmtId="0" fontId="8" fillId="0" borderId="13" xfId="0" applyFont="1" applyFill="1" applyBorder="1" applyAlignment="1" applyProtection="1">
      <alignment horizontal="center" vertical="center" wrapText="1"/>
    </xf>
    <xf numFmtId="0" fontId="90" fillId="0" borderId="0" xfId="0" applyFont="1" applyFill="1" applyAlignment="1" applyProtection="1">
      <alignment vertical="center"/>
    </xf>
    <xf numFmtId="10" fontId="91" fillId="0" borderId="16" xfId="0" applyNumberFormat="1" applyFont="1" applyFill="1" applyBorder="1" applyAlignment="1" applyProtection="1">
      <alignment horizontal="center" vertical="center"/>
    </xf>
    <xf numFmtId="0" fontId="91" fillId="0" borderId="17" xfId="0" applyFont="1" applyFill="1" applyBorder="1" applyAlignment="1" applyProtection="1">
      <alignment horizontal="center"/>
    </xf>
    <xf numFmtId="166" fontId="91" fillId="0" borderId="18" xfId="0" applyNumberFormat="1" applyFont="1" applyFill="1" applyBorder="1" applyAlignment="1" applyProtection="1">
      <alignment horizontal="center" vertical="center"/>
    </xf>
    <xf numFmtId="0" fontId="13" fillId="0" borderId="0" xfId="0" quotePrefix="1" applyFont="1" applyFill="1" applyAlignment="1" applyProtection="1">
      <alignment horizontal="right"/>
    </xf>
    <xf numFmtId="0" fontId="190" fillId="0" borderId="0" xfId="0" applyFont="1" applyAlignment="1" applyProtection="1">
      <alignment horizontal="right" vertical="center"/>
    </xf>
    <xf numFmtId="0" fontId="194" fillId="0" borderId="0" xfId="0" applyFont="1" applyFill="1" applyAlignment="1" applyProtection="1">
      <alignment horizontal="left" vertical="center"/>
    </xf>
    <xf numFmtId="0" fontId="21" fillId="0" borderId="0" xfId="0" applyFont="1" applyFill="1" applyAlignment="1" applyProtection="1">
      <alignment horizontal="left"/>
    </xf>
    <xf numFmtId="0" fontId="21" fillId="0" borderId="81" xfId="0" applyFont="1" applyFill="1" applyBorder="1" applyProtection="1"/>
    <xf numFmtId="38" fontId="183" fillId="0" borderId="0" xfId="0" applyNumberFormat="1" applyFont="1" applyFill="1" applyAlignment="1" applyProtection="1">
      <alignment horizontal="center" vertical="center"/>
    </xf>
    <xf numFmtId="38" fontId="189" fillId="0" borderId="0" xfId="0" applyNumberFormat="1" applyFont="1" applyFill="1" applyAlignment="1" applyProtection="1">
      <alignment horizontal="center" vertical="center"/>
    </xf>
    <xf numFmtId="0" fontId="49" fillId="0" borderId="0" xfId="0" applyFont="1" applyAlignment="1" applyProtection="1">
      <alignment vertical="center"/>
    </xf>
    <xf numFmtId="0" fontId="7" fillId="0" borderId="0" xfId="0" applyFont="1" applyBorder="1" applyAlignment="1" applyProtection="1">
      <alignment horizontal="center"/>
    </xf>
    <xf numFmtId="0" fontId="7" fillId="0" borderId="0" xfId="0" applyFont="1" applyAlignment="1" applyProtection="1">
      <alignment horizontal="center"/>
    </xf>
    <xf numFmtId="0" fontId="42" fillId="0" borderId="80" xfId="0" applyFont="1" applyFill="1" applyBorder="1" applyAlignment="1" applyProtection="1">
      <alignment horizontal="left" vertical="top" wrapText="1"/>
    </xf>
    <xf numFmtId="0" fontId="42" fillId="0" borderId="85" xfId="0" applyFont="1" applyFill="1" applyBorder="1" applyAlignment="1" applyProtection="1">
      <alignment vertical="top"/>
    </xf>
    <xf numFmtId="0" fontId="42" fillId="0" borderId="85" xfId="0" applyFont="1" applyFill="1" applyBorder="1" applyAlignment="1" applyProtection="1">
      <alignment vertical="top" wrapText="1"/>
    </xf>
    <xf numFmtId="0" fontId="42" fillId="0" borderId="122" xfId="0" applyFont="1" applyFill="1" applyBorder="1" applyAlignment="1" applyProtection="1">
      <alignment vertical="top" wrapText="1"/>
    </xf>
    <xf numFmtId="0" fontId="42" fillId="0" borderId="7" xfId="0" applyFont="1" applyFill="1" applyBorder="1" applyAlignment="1" applyProtection="1">
      <alignment horizontal="left" vertical="top" wrapText="1"/>
    </xf>
    <xf numFmtId="0" fontId="42" fillId="0" borderId="41" xfId="0" applyFont="1" applyFill="1" applyBorder="1" applyAlignment="1" applyProtection="1">
      <alignment vertical="top" wrapText="1"/>
    </xf>
    <xf numFmtId="0" fontId="42" fillId="0" borderId="9" xfId="0" applyFont="1" applyFill="1" applyBorder="1" applyAlignment="1" applyProtection="1">
      <alignment horizontal="left" vertical="top" wrapText="1"/>
    </xf>
    <xf numFmtId="0" fontId="42" fillId="0" borderId="13" xfId="0" applyFont="1" applyFill="1" applyBorder="1" applyAlignment="1" applyProtection="1">
      <alignment vertical="top"/>
    </xf>
    <xf numFmtId="0" fontId="42" fillId="0" borderId="13" xfId="0" applyFont="1" applyFill="1" applyBorder="1" applyAlignment="1" applyProtection="1">
      <alignment vertical="top" wrapText="1"/>
    </xf>
    <xf numFmtId="0" fontId="42" fillId="0" borderId="95" xfId="0" applyFont="1" applyFill="1" applyBorder="1" applyAlignment="1" applyProtection="1">
      <alignment vertical="top" wrapText="1"/>
    </xf>
    <xf numFmtId="0" fontId="42" fillId="0" borderId="26" xfId="0" applyFont="1" applyFill="1" applyBorder="1" applyAlignment="1" applyProtection="1">
      <alignment horizontal="left" vertical="top" wrapText="1"/>
    </xf>
    <xf numFmtId="0" fontId="42" fillId="0" borderId="19" xfId="0" applyFont="1" applyFill="1" applyBorder="1" applyAlignment="1" applyProtection="1">
      <alignment vertical="top"/>
    </xf>
    <xf numFmtId="0" fontId="42" fillId="0" borderId="19" xfId="0" applyFont="1" applyFill="1" applyBorder="1" applyAlignment="1" applyProtection="1">
      <alignment vertical="top" wrapText="1"/>
    </xf>
    <xf numFmtId="0" fontId="42" fillId="0" borderId="39" xfId="0" applyFont="1" applyFill="1" applyBorder="1" applyAlignment="1" applyProtection="1">
      <alignment vertical="top" wrapText="1"/>
    </xf>
    <xf numFmtId="0" fontId="84" fillId="0" borderId="25" xfId="0" applyFont="1" applyFill="1" applyBorder="1" applyAlignment="1" applyProtection="1">
      <alignment horizontal="center" vertical="top" wrapText="1"/>
    </xf>
    <xf numFmtId="0" fontId="18" fillId="0" borderId="0" xfId="0" applyFont="1" applyFill="1" applyAlignment="1" applyProtection="1">
      <alignment horizontal="center" vertical="center"/>
    </xf>
    <xf numFmtId="0" fontId="18" fillId="0" borderId="85" xfId="0" applyFont="1" applyFill="1" applyBorder="1" applyProtection="1"/>
    <xf numFmtId="0" fontId="4" fillId="0" borderId="13" xfId="0" applyFont="1" applyFill="1" applyBorder="1" applyAlignment="1" applyProtection="1">
      <alignment vertical="center"/>
    </xf>
    <xf numFmtId="0" fontId="14" fillId="0" borderId="0" xfId="0" applyFont="1" applyAlignment="1" applyProtection="1">
      <alignment horizontal="left" vertical="center"/>
    </xf>
    <xf numFmtId="0" fontId="185" fillId="0" borderId="0" xfId="0" applyFont="1" applyFill="1" applyAlignment="1" applyProtection="1">
      <alignment vertical="center"/>
    </xf>
    <xf numFmtId="0" fontId="7" fillId="0" borderId="0" xfId="0" applyFont="1" applyBorder="1" applyAlignment="1" applyProtection="1"/>
    <xf numFmtId="0" fontId="7" fillId="0" borderId="0" xfId="0" applyFont="1" applyAlignment="1" applyProtection="1"/>
    <xf numFmtId="0" fontId="4" fillId="0" borderId="0" xfId="0" applyFont="1" applyFill="1" applyBorder="1" applyAlignment="1" applyProtection="1">
      <alignment horizontal="justify" vertical="center" wrapText="1"/>
    </xf>
    <xf numFmtId="0" fontId="184" fillId="0" borderId="0" xfId="0" applyFont="1" applyFill="1" applyBorder="1" applyAlignment="1" applyProtection="1">
      <alignment horizontal="center" vertical="center" wrapText="1"/>
    </xf>
    <xf numFmtId="0" fontId="4" fillId="0" borderId="0" xfId="0" applyFont="1" applyFill="1" applyAlignment="1" applyProtection="1">
      <alignment horizontal="left" wrapText="1"/>
    </xf>
    <xf numFmtId="0" fontId="154" fillId="0" borderId="0" xfId="0" applyFont="1" applyAlignment="1" applyProtection="1">
      <alignment horizontal="center" vertical="center"/>
    </xf>
    <xf numFmtId="0" fontId="98" fillId="0" borderId="0" xfId="0" applyFont="1" applyFill="1" applyProtection="1"/>
    <xf numFmtId="0" fontId="169" fillId="0" borderId="0" xfId="0" applyFont="1" applyFill="1" applyBorder="1" applyAlignment="1" applyProtection="1">
      <alignment horizontal="left" vertical="center"/>
    </xf>
    <xf numFmtId="3" fontId="98" fillId="0" borderId="0" xfId="0" applyNumberFormat="1" applyFont="1" applyFill="1" applyBorder="1" applyAlignment="1" applyProtection="1">
      <alignment horizontal="right"/>
    </xf>
    <xf numFmtId="4" fontId="85" fillId="0" borderId="0" xfId="0" applyNumberFormat="1" applyFont="1" applyFill="1" applyAlignment="1" applyProtection="1">
      <alignment horizontal="left"/>
    </xf>
    <xf numFmtId="0" fontId="42" fillId="0" borderId="0" xfId="0" applyFont="1" applyFill="1" applyAlignment="1" applyProtection="1">
      <alignment horizontal="center" vertical="top"/>
    </xf>
    <xf numFmtId="166" fontId="41" fillId="0" borderId="14" xfId="0" applyNumberFormat="1" applyFont="1" applyFill="1" applyBorder="1" applyAlignment="1" applyProtection="1">
      <alignment horizontal="center"/>
    </xf>
    <xf numFmtId="0" fontId="10" fillId="0" borderId="0" xfId="0" quotePrefix="1" applyFont="1" applyFill="1" applyAlignment="1" applyProtection="1">
      <alignment horizontal="right" vertical="center"/>
    </xf>
    <xf numFmtId="0" fontId="42" fillId="0" borderId="0" xfId="0" applyFont="1" applyFill="1" applyAlignment="1" applyProtection="1">
      <alignment horizontal="left" vertical="top"/>
    </xf>
    <xf numFmtId="9" fontId="3" fillId="0" borderId="0" xfId="29" applyFont="1" applyAlignment="1">
      <alignment horizontal="right"/>
    </xf>
    <xf numFmtId="6" fontId="3" fillId="0" borderId="0" xfId="12" applyNumberFormat="1" applyFont="1" applyAlignment="1">
      <alignment horizontal="center"/>
    </xf>
    <xf numFmtId="0" fontId="52" fillId="0" borderId="0" xfId="12" applyFont="1"/>
    <xf numFmtId="0" fontId="3" fillId="0" borderId="0" xfId="12" applyFont="1"/>
    <xf numFmtId="164" fontId="3" fillId="0" borderId="0" xfId="28" applyNumberFormat="1" applyFont="1"/>
    <xf numFmtId="164" fontId="3" fillId="0" borderId="0" xfId="12" applyNumberFormat="1" applyFont="1"/>
    <xf numFmtId="165" fontId="3" fillId="0" borderId="0" xfId="29" applyNumberFormat="1" applyFont="1"/>
    <xf numFmtId="181" fontId="3" fillId="0" borderId="0" xfId="12" applyNumberFormat="1" applyFont="1"/>
    <xf numFmtId="38" fontId="3" fillId="0" borderId="0" xfId="12" applyNumberFormat="1" applyFont="1"/>
    <xf numFmtId="181" fontId="3" fillId="0" borderId="0" xfId="28" applyNumberFormat="1" applyFont="1"/>
    <xf numFmtId="181" fontId="3" fillId="0" borderId="0" xfId="12" applyNumberFormat="1" applyFont="1" applyAlignment="1">
      <alignment horizontal="center"/>
    </xf>
    <xf numFmtId="164" fontId="3" fillId="0" borderId="0" xfId="12" applyNumberFormat="1" applyFont="1" applyAlignment="1">
      <alignment horizontal="center"/>
    </xf>
    <xf numFmtId="6" fontId="3" fillId="0" borderId="0" xfId="12" applyNumberFormat="1" applyFont="1" applyAlignment="1">
      <alignment horizontal="right"/>
    </xf>
    <xf numFmtId="8" fontId="3" fillId="0" borderId="0" xfId="28" applyNumberFormat="1" applyFont="1"/>
    <xf numFmtId="165" fontId="3" fillId="0" borderId="0" xfId="29" applyNumberFormat="1" applyFont="1" applyAlignment="1">
      <alignment horizontal="right"/>
    </xf>
    <xf numFmtId="181" fontId="3" fillId="0" borderId="0" xfId="28" applyNumberFormat="1" applyFont="1" applyAlignment="1">
      <alignment horizontal="center"/>
    </xf>
    <xf numFmtId="0" fontId="151" fillId="0" borderId="0" xfId="13" applyFont="1" applyAlignment="1" applyProtection="1">
      <alignment horizontal="centerContinuous"/>
    </xf>
    <xf numFmtId="3" fontId="45" fillId="0" borderId="0" xfId="0" applyNumberFormat="1" applyFont="1" applyFill="1" applyAlignment="1" applyProtection="1">
      <alignment horizontal="right" vertical="center"/>
    </xf>
    <xf numFmtId="0" fontId="116" fillId="0" borderId="0" xfId="13" applyFont="1" applyFill="1" applyAlignment="1" applyProtection="1">
      <alignment horizontal="right"/>
    </xf>
    <xf numFmtId="38" fontId="116" fillId="0" borderId="0" xfId="13" quotePrefix="1" applyNumberFormat="1" applyFont="1" applyFill="1" applyAlignment="1" applyProtection="1">
      <alignment horizontal="left"/>
    </xf>
    <xf numFmtId="3" fontId="116" fillId="0" borderId="0" xfId="13" applyNumberFormat="1" applyFont="1" applyFill="1" applyAlignment="1" applyProtection="1"/>
    <xf numFmtId="38" fontId="9" fillId="0" borderId="0" xfId="13" applyNumberFormat="1" applyFont="1" applyAlignment="1" applyProtection="1">
      <alignment horizontal="left"/>
    </xf>
    <xf numFmtId="38" fontId="3" fillId="10" borderId="38" xfId="13" applyNumberFormat="1" applyFont="1" applyFill="1" applyBorder="1" applyAlignment="1" applyProtection="1">
      <alignment vertical="center"/>
    </xf>
    <xf numFmtId="0" fontId="116" fillId="20" borderId="0" xfId="13" applyFont="1" applyFill="1" applyProtection="1"/>
    <xf numFmtId="5" fontId="116" fillId="0" borderId="0" xfId="13" applyNumberFormat="1" applyFont="1" applyFill="1" applyAlignment="1" applyProtection="1">
      <alignment horizontal="right"/>
    </xf>
    <xf numFmtId="43" fontId="9" fillId="0" borderId="38" xfId="13" applyNumberFormat="1" applyFont="1" applyBorder="1" applyAlignment="1" applyProtection="1">
      <alignment vertical="top"/>
    </xf>
    <xf numFmtId="43" fontId="9" fillId="0" borderId="0" xfId="13" applyNumberFormat="1" applyFont="1" applyAlignment="1" applyProtection="1">
      <alignment horizontal="right"/>
    </xf>
    <xf numFmtId="43" fontId="9" fillId="0" borderId="0" xfId="13" applyNumberFormat="1" applyFont="1" applyProtection="1"/>
    <xf numFmtId="38" fontId="9" fillId="0" borderId="0" xfId="13" applyNumberFormat="1" applyFont="1" applyAlignment="1" applyProtection="1">
      <alignment horizontal="right"/>
    </xf>
    <xf numFmtId="6" fontId="9" fillId="13" borderId="0" xfId="0" applyNumberFormat="1" applyFont="1" applyFill="1" applyProtection="1"/>
    <xf numFmtId="6" fontId="9" fillId="13" borderId="0" xfId="13" applyNumberFormat="1" applyFont="1" applyFill="1" applyProtection="1"/>
    <xf numFmtId="38" fontId="9" fillId="13" borderId="0" xfId="13" applyNumberFormat="1" applyFont="1" applyFill="1" applyProtection="1"/>
    <xf numFmtId="0" fontId="5" fillId="0" borderId="0" xfId="13" applyFont="1" applyAlignment="1">
      <alignment horizontal="center"/>
    </xf>
    <xf numFmtId="0" fontId="116" fillId="0" borderId="0" xfId="13" applyFont="1"/>
    <xf numFmtId="0" fontId="116" fillId="0" borderId="0" xfId="13" applyFont="1" applyAlignment="1">
      <alignment horizontal="center"/>
    </xf>
    <xf numFmtId="177" fontId="116" fillId="0" borderId="0" xfId="13" applyNumberFormat="1" applyFont="1" applyAlignment="1">
      <alignment horizontal="center"/>
    </xf>
    <xf numFmtId="0" fontId="116" fillId="0" borderId="0" xfId="13" applyFont="1" applyFill="1" applyAlignment="1">
      <alignment horizontal="center"/>
    </xf>
    <xf numFmtId="38" fontId="136" fillId="0" borderId="0" xfId="13" applyNumberFormat="1" applyFont="1" applyAlignment="1" applyProtection="1">
      <alignment horizontal="center" vertical="center"/>
    </xf>
    <xf numFmtId="38" fontId="136" fillId="0" borderId="13" xfId="13" applyNumberFormat="1" applyFont="1" applyBorder="1" applyAlignment="1" applyProtection="1">
      <alignment horizontal="center" vertical="center"/>
    </xf>
    <xf numFmtId="0" fontId="28" fillId="0" borderId="0" xfId="13" applyFont="1" applyAlignment="1" applyProtection="1">
      <alignment vertical="center"/>
    </xf>
    <xf numFmtId="0" fontId="13" fillId="0" borderId="0" xfId="13" applyFont="1" applyAlignment="1" applyProtection="1">
      <alignment vertical="center"/>
    </xf>
    <xf numFmtId="0" fontId="13" fillId="0" borderId="0" xfId="13" applyFont="1" applyProtection="1"/>
    <xf numFmtId="0" fontId="10" fillId="0" borderId="0" xfId="13" applyFont="1" applyAlignment="1" applyProtection="1">
      <alignment vertical="center"/>
    </xf>
    <xf numFmtId="0" fontId="3" fillId="0" borderId="85" xfId="13" applyFont="1" applyBorder="1" applyAlignment="1" applyProtection="1">
      <alignment horizontal="center"/>
    </xf>
    <xf numFmtId="3" fontId="136" fillId="0" borderId="38" xfId="13" applyNumberFormat="1" applyFont="1" applyBorder="1" applyAlignment="1" applyProtection="1">
      <alignment horizontal="center" vertical="center"/>
    </xf>
    <xf numFmtId="0" fontId="28" fillId="13" borderId="0" xfId="13" applyFont="1" applyFill="1" applyAlignment="1" applyProtection="1">
      <alignment vertical="center"/>
    </xf>
    <xf numFmtId="0" fontId="3" fillId="13" borderId="0" xfId="13" applyFont="1" applyFill="1" applyAlignment="1" applyProtection="1">
      <alignment vertical="center"/>
    </xf>
    <xf numFmtId="0" fontId="169" fillId="0" borderId="0" xfId="0" applyFont="1" applyFill="1" applyAlignment="1" applyProtection="1">
      <alignment horizontal="left" vertical="center"/>
    </xf>
    <xf numFmtId="38" fontId="8" fillId="0" borderId="0" xfId="13" applyNumberFormat="1" applyFont="1" applyBorder="1" applyAlignment="1" applyProtection="1">
      <alignment horizontal="center"/>
    </xf>
    <xf numFmtId="0" fontId="8" fillId="10" borderId="0" xfId="13" applyFont="1" applyFill="1" applyProtection="1"/>
    <xf numFmtId="38" fontId="8" fillId="0" borderId="20" xfId="13" applyNumberFormat="1" applyFont="1" applyBorder="1" applyAlignment="1" applyProtection="1">
      <alignment horizontal="center"/>
    </xf>
    <xf numFmtId="0" fontId="8" fillId="0" borderId="0" xfId="6" applyNumberFormat="1" applyFont="1" applyFill="1" applyAlignment="1" applyProtection="1">
      <alignment horizontal="left"/>
    </xf>
    <xf numFmtId="181" fontId="8" fillId="10" borderId="13" xfId="13" applyNumberFormat="1" applyFont="1" applyFill="1" applyBorder="1" applyAlignment="1" applyProtection="1">
      <alignment horizontal="left"/>
    </xf>
    <xf numFmtId="0" fontId="8" fillId="10" borderId="13" xfId="13" applyFont="1" applyFill="1" applyBorder="1" applyProtection="1"/>
    <xf numFmtId="4" fontId="8" fillId="10" borderId="13" xfId="13" applyNumberFormat="1" applyFont="1" applyFill="1" applyBorder="1" applyAlignment="1" applyProtection="1">
      <alignment horizontal="left"/>
    </xf>
    <xf numFmtId="10" fontId="8" fillId="0" borderId="20" xfId="13" applyNumberFormat="1" applyFont="1" applyBorder="1" applyAlignment="1" applyProtection="1">
      <alignment horizontal="left"/>
    </xf>
    <xf numFmtId="10" fontId="8" fillId="10" borderId="58" xfId="13" applyNumberFormat="1" applyFont="1" applyFill="1" applyBorder="1" applyAlignment="1" applyProtection="1">
      <alignment horizontal="left"/>
    </xf>
    <xf numFmtId="0" fontId="8" fillId="10" borderId="95" xfId="13" applyFont="1" applyFill="1" applyBorder="1" applyAlignment="1" applyProtection="1">
      <alignment horizontal="left"/>
    </xf>
    <xf numFmtId="181" fontId="8" fillId="10" borderId="94" xfId="13" applyNumberFormat="1" applyFont="1" applyFill="1" applyBorder="1" applyAlignment="1" applyProtection="1">
      <alignment horizontal="left"/>
    </xf>
    <xf numFmtId="10" fontId="8" fillId="10" borderId="82" xfId="13" applyNumberFormat="1" applyFont="1" applyFill="1" applyBorder="1" applyAlignment="1" applyProtection="1">
      <alignment horizontal="left"/>
    </xf>
    <xf numFmtId="0" fontId="42" fillId="26" borderId="0" xfId="0" quotePrefix="1" applyFont="1" applyFill="1" applyBorder="1" applyAlignment="1">
      <alignment horizontal="center"/>
    </xf>
    <xf numFmtId="0" fontId="3" fillId="0" borderId="8" xfId="0" applyFont="1" applyFill="1" applyBorder="1" applyAlignment="1" applyProtection="1">
      <alignment vertical="center" wrapText="1"/>
    </xf>
    <xf numFmtId="0" fontId="3" fillId="0" borderId="85" xfId="0" applyFont="1" applyFill="1" applyBorder="1" applyAlignment="1" applyProtection="1">
      <alignment vertical="center"/>
    </xf>
    <xf numFmtId="0" fontId="3" fillId="0" borderId="13" xfId="0" applyFont="1" applyFill="1" applyBorder="1" applyAlignment="1" applyProtection="1">
      <alignment vertical="center"/>
    </xf>
    <xf numFmtId="10" fontId="3" fillId="0" borderId="38" xfId="0" applyNumberFormat="1" applyFont="1" applyBorder="1" applyAlignment="1" applyProtection="1">
      <alignment horizontal="center"/>
    </xf>
    <xf numFmtId="10" fontId="3" fillId="0" borderId="38" xfId="13" applyNumberFormat="1" applyFont="1" applyFill="1" applyBorder="1" applyAlignment="1" applyProtection="1">
      <alignment horizontal="center"/>
    </xf>
    <xf numFmtId="8" fontId="5" fillId="0" borderId="0" xfId="13" applyNumberFormat="1" applyFont="1" applyFill="1" applyAlignment="1" applyProtection="1">
      <alignment horizontal="right" vertical="center"/>
    </xf>
    <xf numFmtId="8" fontId="116" fillId="0" borderId="0" xfId="13" applyNumberFormat="1" applyFont="1" applyFill="1" applyAlignment="1" applyProtection="1">
      <alignment horizontal="right" vertical="center"/>
    </xf>
    <xf numFmtId="0" fontId="25" fillId="10" borderId="0" xfId="13" applyFont="1" applyFill="1" applyProtection="1"/>
    <xf numFmtId="0" fontId="5" fillId="0" borderId="13" xfId="13" applyFont="1" applyBorder="1" applyAlignment="1">
      <alignment horizontal="center"/>
    </xf>
    <xf numFmtId="0" fontId="165" fillId="0" borderId="0" xfId="13" applyFont="1" applyProtection="1"/>
    <xf numFmtId="3" fontId="165" fillId="0" borderId="0" xfId="13" applyNumberFormat="1" applyFont="1" applyAlignment="1" applyProtection="1">
      <alignment horizontal="left"/>
    </xf>
    <xf numFmtId="0" fontId="200" fillId="0" borderId="0" xfId="0" applyFont="1"/>
    <xf numFmtId="0" fontId="199" fillId="0" borderId="0" xfId="0" applyFont="1"/>
    <xf numFmtId="38" fontId="199" fillId="0" borderId="0" xfId="0" applyNumberFormat="1" applyFont="1"/>
    <xf numFmtId="164" fontId="199" fillId="0" borderId="0" xfId="1" applyNumberFormat="1" applyFont="1"/>
    <xf numFmtId="43" fontId="199" fillId="0" borderId="0" xfId="0" applyNumberFormat="1" applyFont="1"/>
    <xf numFmtId="0" fontId="3" fillId="10" borderId="0" xfId="12" applyFont="1" applyFill="1"/>
    <xf numFmtId="10" fontId="201" fillId="10" borderId="0" xfId="0" applyNumberFormat="1" applyFont="1" applyFill="1"/>
    <xf numFmtId="0" fontId="199" fillId="10" borderId="0" xfId="0" applyFont="1" applyFill="1"/>
    <xf numFmtId="0" fontId="3" fillId="0" borderId="13" xfId="12" applyFont="1" applyBorder="1"/>
    <xf numFmtId="0" fontId="179" fillId="0" borderId="0" xfId="0" applyFont="1" applyFill="1" applyBorder="1" applyAlignment="1" applyProtection="1">
      <alignment vertical="center"/>
    </xf>
    <xf numFmtId="0" fontId="93" fillId="0" borderId="0" xfId="0" applyFont="1" applyFill="1" applyBorder="1" applyAlignment="1" applyProtection="1">
      <alignment horizontal="center" vertical="center"/>
    </xf>
    <xf numFmtId="0" fontId="202" fillId="0" borderId="0" xfId="0" applyFont="1" applyFill="1" applyBorder="1" applyProtection="1"/>
    <xf numFmtId="0" fontId="116" fillId="0" borderId="0" xfId="13" applyFont="1" applyAlignment="1" applyProtection="1">
      <alignment horizontal="justify" vertical="top" wrapText="1"/>
    </xf>
    <xf numFmtId="0" fontId="116" fillId="0" borderId="0" xfId="13" applyFont="1" applyAlignment="1" applyProtection="1"/>
    <xf numFmtId="0" fontId="116" fillId="0" borderId="0" xfId="13" applyFont="1" applyFill="1" applyAlignment="1" applyProtection="1">
      <alignment horizontal="left"/>
    </xf>
    <xf numFmtId="3" fontId="116" fillId="0" borderId="0" xfId="13" applyNumberFormat="1" applyFont="1" applyFill="1" applyAlignment="1" applyProtection="1">
      <alignment horizontal="left"/>
    </xf>
    <xf numFmtId="4" fontId="116" fillId="0" borderId="0" xfId="13" applyNumberFormat="1" applyFont="1" applyFill="1" applyAlignment="1" applyProtection="1">
      <alignment horizontal="left"/>
    </xf>
    <xf numFmtId="181"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9" fillId="0" borderId="0" xfId="13" applyFont="1" applyAlignment="1" applyProtection="1">
      <alignment horizontal="left"/>
    </xf>
    <xf numFmtId="0" fontId="23" fillId="0" borderId="86" xfId="13" applyFont="1" applyBorder="1" applyAlignment="1" applyProtection="1">
      <alignment horizontal="center" vertical="center" wrapText="1"/>
    </xf>
    <xf numFmtId="0" fontId="3" fillId="0" borderId="0" xfId="13" applyFont="1" applyAlignment="1" applyProtection="1">
      <alignment horizontal="justify" vertical="top" wrapText="1"/>
    </xf>
    <xf numFmtId="0" fontId="8" fillId="10" borderId="13" xfId="13" applyFont="1" applyFill="1" applyBorder="1" applyAlignment="1" applyProtection="1">
      <alignment horizontal="left"/>
    </xf>
    <xf numFmtId="0" fontId="3" fillId="10" borderId="0" xfId="13" applyFont="1" applyFill="1" applyAlignment="1" applyProtection="1">
      <alignment horizontal="left"/>
    </xf>
    <xf numFmtId="0" fontId="8" fillId="0" borderId="0" xfId="13" applyFont="1" applyAlignment="1" applyProtection="1">
      <alignment horizontal="centerContinuous"/>
    </xf>
    <xf numFmtId="167" fontId="3" fillId="0" borderId="0" xfId="13" applyNumberFormat="1" applyFont="1" applyAlignment="1" applyProtection="1">
      <alignment horizontal="left"/>
    </xf>
    <xf numFmtId="5" fontId="3" fillId="0" borderId="0" xfId="13" applyNumberFormat="1" applyFont="1" applyAlignment="1" applyProtection="1">
      <alignment horizontal="right"/>
    </xf>
    <xf numFmtId="9" fontId="3" fillId="0" borderId="0" xfId="13" applyNumberFormat="1" applyFont="1" applyAlignment="1" applyProtection="1">
      <alignment horizontal="right"/>
    </xf>
    <xf numFmtId="9" fontId="3" fillId="10" borderId="0" xfId="13" applyNumberFormat="1" applyFont="1" applyFill="1" applyAlignment="1" applyProtection="1">
      <alignment horizontal="right"/>
    </xf>
    <xf numFmtId="1" fontId="3" fillId="0" borderId="0" xfId="13" applyNumberFormat="1" applyFont="1" applyAlignment="1" applyProtection="1">
      <alignment horizontal="right"/>
    </xf>
    <xf numFmtId="3" fontId="3" fillId="0" borderId="0" xfId="13" applyNumberFormat="1" applyFont="1" applyAlignment="1" applyProtection="1">
      <alignment horizontal="right"/>
    </xf>
    <xf numFmtId="176" fontId="3" fillId="0" borderId="0" xfId="13" applyNumberFormat="1" applyFont="1" applyAlignment="1" applyProtection="1">
      <alignment horizontal="right"/>
    </xf>
    <xf numFmtId="38" fontId="3" fillId="0" borderId="0" xfId="13" applyNumberFormat="1" applyFont="1" applyFill="1" applyAlignment="1" applyProtection="1">
      <alignment horizontal="right"/>
    </xf>
    <xf numFmtId="0" fontId="3" fillId="10" borderId="0" xfId="13" applyFont="1" applyFill="1" applyAlignment="1" applyProtection="1">
      <alignment horizontal="right"/>
    </xf>
    <xf numFmtId="181" fontId="3" fillId="10" borderId="0" xfId="13" applyNumberFormat="1" applyFont="1" applyFill="1" applyAlignment="1" applyProtection="1">
      <alignment horizontal="right"/>
    </xf>
    <xf numFmtId="0" fontId="3" fillId="10" borderId="0" xfId="13" applyFont="1" applyFill="1" applyProtection="1"/>
    <xf numFmtId="3" fontId="3" fillId="10" borderId="0" xfId="13" applyNumberFormat="1" applyFont="1" applyFill="1" applyAlignment="1" applyProtection="1">
      <alignment horizontal="right"/>
    </xf>
    <xf numFmtId="181" fontId="3" fillId="0" borderId="0" xfId="13" applyNumberFormat="1" applyFont="1" applyProtection="1"/>
    <xf numFmtId="181" fontId="3" fillId="0" borderId="0" xfId="13" applyNumberFormat="1" applyFont="1" applyBorder="1" applyProtection="1"/>
    <xf numFmtId="181" fontId="3" fillId="10" borderId="0" xfId="13" applyNumberFormat="1" applyFont="1" applyFill="1" applyProtection="1"/>
    <xf numFmtId="0" fontId="3" fillId="0" borderId="0" xfId="13" applyProtection="1"/>
    <xf numFmtId="0" fontId="25" fillId="0" borderId="0" xfId="13" applyFont="1" applyBorder="1" applyAlignment="1" applyProtection="1">
      <alignment horizontal="left"/>
    </xf>
    <xf numFmtId="0" fontId="9" fillId="0" borderId="0" xfId="13" applyFont="1" applyBorder="1" applyAlignment="1" applyProtection="1">
      <alignment horizontal="left" vertical="center"/>
    </xf>
    <xf numFmtId="0" fontId="3" fillId="10" borderId="0" xfId="13" applyFill="1" applyProtection="1"/>
    <xf numFmtId="0" fontId="3" fillId="0" borderId="19" xfId="13" applyBorder="1" applyProtection="1"/>
    <xf numFmtId="0" fontId="3" fillId="0" borderId="0" xfId="13" applyBorder="1" applyProtection="1"/>
    <xf numFmtId="0" fontId="3" fillId="0" borderId="0" xfId="13" applyFont="1" applyBorder="1" applyAlignment="1" applyProtection="1"/>
    <xf numFmtId="0" fontId="3" fillId="0" borderId="38" xfId="13" applyFont="1" applyBorder="1" applyAlignment="1" applyProtection="1">
      <alignment horizontal="center"/>
    </xf>
    <xf numFmtId="0" fontId="9" fillId="0" borderId="0" xfId="13" applyFont="1" applyBorder="1" applyAlignment="1" applyProtection="1">
      <alignment vertical="center"/>
    </xf>
    <xf numFmtId="0" fontId="3" fillId="0" borderId="0" xfId="13" applyBorder="1" applyAlignment="1" applyProtection="1">
      <alignment horizontal="center"/>
    </xf>
    <xf numFmtId="0" fontId="3" fillId="0" borderId="80" xfId="13" applyFont="1" applyBorder="1" applyProtection="1"/>
    <xf numFmtId="0" fontId="3" fillId="0" borderId="85" xfId="13" applyBorder="1" applyProtection="1"/>
    <xf numFmtId="0" fontId="3" fillId="0" borderId="23" xfId="13" applyFont="1" applyBorder="1" applyAlignment="1" applyProtection="1">
      <alignment horizontal="center"/>
    </xf>
    <xf numFmtId="0" fontId="3" fillId="0" borderId="7" xfId="13" applyBorder="1" applyProtection="1"/>
    <xf numFmtId="0" fontId="3" fillId="0" borderId="0" xfId="13" applyFont="1" applyBorder="1" applyAlignment="1" applyProtection="1">
      <alignment horizontal="left" vertical="top"/>
    </xf>
    <xf numFmtId="0" fontId="3" fillId="0" borderId="8" xfId="13" applyBorder="1" applyProtection="1"/>
    <xf numFmtId="0" fontId="3" fillId="0" borderId="7" xfId="13" applyFont="1" applyBorder="1" applyProtection="1"/>
    <xf numFmtId="0" fontId="3" fillId="10" borderId="25" xfId="13" applyFont="1" applyFill="1" applyBorder="1" applyAlignment="1" applyProtection="1">
      <alignment horizontal="center"/>
    </xf>
    <xf numFmtId="0" fontId="4" fillId="0" borderId="7" xfId="13" applyFont="1" applyFill="1" applyBorder="1" applyProtection="1"/>
    <xf numFmtId="0" fontId="4" fillId="0" borderId="0" xfId="13" applyFont="1" applyFill="1" applyBorder="1" applyProtection="1"/>
    <xf numFmtId="0" fontId="3" fillId="0" borderId="25" xfId="13" applyFont="1" applyBorder="1" applyAlignment="1" applyProtection="1">
      <alignment horizontal="center"/>
    </xf>
    <xf numFmtId="0" fontId="4" fillId="0" borderId="7" xfId="13" applyFont="1" applyBorder="1" applyProtection="1"/>
    <xf numFmtId="0" fontId="3" fillId="0" borderId="8" xfId="13" applyFont="1" applyBorder="1" applyAlignment="1" applyProtection="1">
      <alignment horizontal="center"/>
    </xf>
    <xf numFmtId="0" fontId="3" fillId="0" borderId="9" xfId="13" applyBorder="1" applyProtection="1"/>
    <xf numFmtId="0" fontId="3" fillId="0" borderId="13" xfId="13" applyBorder="1" applyProtection="1"/>
    <xf numFmtId="0" fontId="3" fillId="0" borderId="14" xfId="13" applyBorder="1" applyProtection="1"/>
    <xf numFmtId="0" fontId="3" fillId="0" borderId="80" xfId="13" applyBorder="1" applyProtection="1"/>
    <xf numFmtId="0" fontId="3" fillId="0" borderId="81" xfId="13" applyBorder="1" applyProtection="1"/>
    <xf numFmtId="1" fontId="3" fillId="0" borderId="38" xfId="13" applyNumberFormat="1" applyFill="1" applyBorder="1" applyAlignment="1" applyProtection="1">
      <alignment horizontal="center"/>
    </xf>
    <xf numFmtId="0" fontId="3" fillId="0" borderId="25" xfId="13" applyFill="1" applyBorder="1" applyAlignment="1" applyProtection="1">
      <alignment horizontal="center"/>
    </xf>
    <xf numFmtId="0" fontId="4" fillId="0" borderId="0" xfId="13" applyFont="1" applyBorder="1" applyProtection="1"/>
    <xf numFmtId="0" fontId="8" fillId="0" borderId="0" xfId="13" applyFont="1" applyBorder="1" applyAlignment="1" applyProtection="1">
      <alignment vertical="center"/>
    </xf>
    <xf numFmtId="0" fontId="13" fillId="0" borderId="7" xfId="13" applyFont="1" applyBorder="1" applyProtection="1"/>
    <xf numFmtId="0" fontId="3" fillId="0" borderId="0" xfId="13" applyBorder="1" applyAlignment="1" applyProtection="1">
      <alignment vertical="top"/>
    </xf>
    <xf numFmtId="0" fontId="3" fillId="0" borderId="8" xfId="13" applyBorder="1" applyAlignment="1" applyProtection="1">
      <alignment vertical="top"/>
    </xf>
    <xf numFmtId="0" fontId="13" fillId="0" borderId="7" xfId="13" applyFont="1" applyFill="1" applyBorder="1" applyAlignment="1" applyProtection="1">
      <alignment horizontal="left"/>
    </xf>
    <xf numFmtId="0" fontId="3" fillId="0" borderId="0" xfId="13" applyFont="1" applyFill="1" applyBorder="1" applyAlignment="1" applyProtection="1"/>
    <xf numFmtId="0" fontId="3" fillId="0" borderId="0" xfId="13" applyFill="1" applyBorder="1" applyAlignment="1" applyProtection="1"/>
    <xf numFmtId="0" fontId="3" fillId="0" borderId="0" xfId="13" applyFont="1" applyBorder="1" applyAlignment="1" applyProtection="1">
      <alignment horizontal="right"/>
    </xf>
    <xf numFmtId="0" fontId="13" fillId="0" borderId="7" xfId="13" applyFont="1" applyBorder="1" applyAlignment="1" applyProtection="1">
      <alignment horizontal="left"/>
    </xf>
    <xf numFmtId="1" fontId="3" fillId="0" borderId="0" xfId="13" applyNumberFormat="1" applyFill="1" applyBorder="1" applyAlignment="1" applyProtection="1"/>
    <xf numFmtId="0" fontId="3" fillId="10" borderId="38" xfId="13" applyFill="1" applyBorder="1" applyAlignment="1" applyProtection="1">
      <alignment horizontal="center"/>
    </xf>
    <xf numFmtId="0" fontId="11" fillId="0" borderId="0" xfId="13" applyFont="1" applyAlignment="1" applyProtection="1">
      <alignment horizontal="center" vertical="center" wrapText="1"/>
    </xf>
    <xf numFmtId="0" fontId="3" fillId="0" borderId="19" xfId="13" applyFont="1" applyBorder="1" applyAlignment="1" applyProtection="1"/>
    <xf numFmtId="0" fontId="3" fillId="0" borderId="19" xfId="13" applyBorder="1" applyAlignment="1" applyProtection="1"/>
    <xf numFmtId="0" fontId="3" fillId="0" borderId="32" xfId="13" applyBorder="1" applyAlignment="1" applyProtection="1"/>
    <xf numFmtId="0" fontId="3" fillId="0" borderId="7" xfId="13" applyFont="1" applyFill="1" applyBorder="1" applyAlignment="1" applyProtection="1">
      <alignment horizontal="left"/>
    </xf>
    <xf numFmtId="0" fontId="3" fillId="0" borderId="0" xfId="13" applyFont="1" applyBorder="1" applyAlignment="1" applyProtection="1">
      <alignment horizontal="center"/>
    </xf>
    <xf numFmtId="169" fontId="3" fillId="0" borderId="38" xfId="13" applyNumberFormat="1" applyFont="1" applyBorder="1" applyAlignment="1" applyProtection="1">
      <alignment horizontal="center"/>
    </xf>
    <xf numFmtId="0" fontId="3" fillId="0" borderId="38" xfId="13" applyFont="1" applyBorder="1" applyAlignment="1" applyProtection="1"/>
    <xf numFmtId="1" fontId="3" fillId="0" borderId="38" xfId="13" applyNumberFormat="1" applyBorder="1" applyAlignment="1" applyProtection="1">
      <alignment horizontal="center"/>
    </xf>
    <xf numFmtId="1" fontId="3" fillId="0" borderId="0" xfId="13" applyNumberFormat="1" applyBorder="1" applyAlignment="1" applyProtection="1"/>
    <xf numFmtId="3" fontId="3" fillId="0" borderId="38" xfId="13" applyNumberFormat="1" applyBorder="1" applyAlignment="1" applyProtection="1">
      <alignment horizontal="center"/>
    </xf>
    <xf numFmtId="3" fontId="3" fillId="0" borderId="0" xfId="13" applyNumberFormat="1" applyBorder="1" applyAlignment="1" applyProtection="1"/>
    <xf numFmtId="3" fontId="3" fillId="10" borderId="38" xfId="13" applyNumberFormat="1" applyFont="1" applyFill="1" applyBorder="1" applyAlignment="1" applyProtection="1">
      <alignment horizontal="center"/>
    </xf>
    <xf numFmtId="0" fontId="140" fillId="0" borderId="0" xfId="13" applyFont="1" applyBorder="1" applyAlignment="1" applyProtection="1"/>
    <xf numFmtId="0" fontId="3" fillId="0" borderId="7" xfId="13" applyFont="1" applyBorder="1" applyAlignment="1" applyProtection="1">
      <alignment horizontal="left"/>
    </xf>
    <xf numFmtId="3" fontId="3" fillId="0" borderId="25" xfId="13" applyNumberFormat="1" applyBorder="1" applyAlignment="1" applyProtection="1">
      <alignment horizontal="center"/>
    </xf>
    <xf numFmtId="0" fontId="13" fillId="0" borderId="0" xfId="13" applyFont="1" applyBorder="1" applyAlignment="1" applyProtection="1"/>
    <xf numFmtId="3" fontId="3" fillId="0" borderId="8" xfId="13" applyNumberFormat="1" applyBorder="1" applyAlignment="1" applyProtection="1">
      <alignment horizontal="center"/>
    </xf>
    <xf numFmtId="0" fontId="3" fillId="10" borderId="38" xfId="13" applyFont="1" applyFill="1" applyBorder="1" applyAlignment="1" applyProtection="1">
      <alignment horizontal="center"/>
    </xf>
    <xf numFmtId="0" fontId="16" fillId="0" borderId="8" xfId="13" applyFont="1" applyBorder="1" applyAlignment="1" applyProtection="1">
      <alignment horizontal="right"/>
    </xf>
    <xf numFmtId="0" fontId="92" fillId="0" borderId="0" xfId="13" applyFont="1" applyProtection="1"/>
    <xf numFmtId="38" fontId="3" fillId="0" borderId="84" xfId="1" applyNumberFormat="1" applyFont="1" applyFill="1" applyBorder="1" applyAlignment="1" applyProtection="1">
      <alignment vertical="center"/>
    </xf>
    <xf numFmtId="38" fontId="3" fillId="0" borderId="11" xfId="1" applyNumberFormat="1" applyFont="1" applyFill="1" applyBorder="1" applyAlignment="1" applyProtection="1">
      <alignment vertical="center"/>
    </xf>
    <xf numFmtId="38" fontId="3" fillId="0" borderId="12" xfId="1" applyNumberFormat="1" applyFont="1" applyFill="1" applyBorder="1" applyAlignment="1" applyProtection="1">
      <alignment vertical="center"/>
    </xf>
    <xf numFmtId="38" fontId="3" fillId="0" borderId="11"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horizontal="right" vertical="center"/>
    </xf>
    <xf numFmtId="38" fontId="12" fillId="0" borderId="82" xfId="1" applyNumberFormat="1" applyFont="1" applyFill="1" applyBorder="1" applyAlignment="1" applyProtection="1">
      <alignment horizontal="right" vertical="center"/>
    </xf>
    <xf numFmtId="38" fontId="8" fillId="0" borderId="82" xfId="1" applyNumberFormat="1" applyFont="1" applyFill="1" applyBorder="1" applyAlignment="1" applyProtection="1">
      <alignment horizontal="right" vertical="center"/>
    </xf>
    <xf numFmtId="38" fontId="8" fillId="0" borderId="85" xfId="1" applyNumberFormat="1" applyFont="1" applyFill="1" applyBorder="1" applyAlignment="1" applyProtection="1">
      <alignment vertical="center"/>
    </xf>
    <xf numFmtId="38" fontId="12" fillId="0" borderId="12" xfId="1" applyNumberFormat="1" applyFont="1" applyFill="1" applyBorder="1" applyAlignment="1" applyProtection="1">
      <alignment vertical="center"/>
    </xf>
    <xf numFmtId="38" fontId="12" fillId="0" borderId="82" xfId="1" applyNumberFormat="1" applyFont="1" applyFill="1" applyBorder="1" applyAlignment="1" applyProtection="1">
      <alignment vertical="center"/>
    </xf>
    <xf numFmtId="38" fontId="3" fillId="0" borderId="82" xfId="1" applyNumberFormat="1" applyFont="1" applyFill="1" applyBorder="1" applyAlignment="1" applyProtection="1">
      <alignment vertical="center"/>
    </xf>
    <xf numFmtId="38" fontId="8" fillId="0" borderId="86" xfId="1" applyNumberFormat="1" applyFont="1" applyFill="1" applyBorder="1" applyAlignment="1" applyProtection="1">
      <alignment horizontal="right" vertical="center"/>
    </xf>
    <xf numFmtId="0" fontId="22" fillId="0" borderId="0" xfId="0" applyFont="1" applyFill="1" applyAlignment="1" applyProtection="1">
      <alignment vertical="center"/>
    </xf>
    <xf numFmtId="0" fontId="203" fillId="0" borderId="0" xfId="0" applyFont="1" applyFill="1" applyProtection="1"/>
    <xf numFmtId="38" fontId="22" fillId="0" borderId="82" xfId="1" applyNumberFormat="1" applyFont="1" applyFill="1" applyBorder="1" applyAlignment="1" applyProtection="1">
      <alignment horizontal="right" vertical="center"/>
    </xf>
    <xf numFmtId="38" fontId="13" fillId="0" borderId="22" xfId="1" applyNumberFormat="1" applyFont="1" applyFill="1" applyBorder="1" applyAlignment="1" applyProtection="1">
      <alignment horizontal="center" vertical="center"/>
    </xf>
    <xf numFmtId="38" fontId="13" fillId="0" borderId="128" xfId="1" applyNumberFormat="1" applyFont="1" applyFill="1" applyBorder="1" applyAlignment="1" applyProtection="1">
      <alignment horizontal="center" vertical="center"/>
    </xf>
    <xf numFmtId="0" fontId="105" fillId="0" borderId="0" xfId="0" applyFont="1" applyFill="1" applyAlignment="1" applyProtection="1">
      <alignment horizontal="center" vertical="center"/>
    </xf>
    <xf numFmtId="37" fontId="13" fillId="0" borderId="0" xfId="1" applyNumberFormat="1" applyFont="1" applyFill="1" applyBorder="1" applyAlignment="1" applyProtection="1">
      <alignment horizontal="center" vertical="center"/>
    </xf>
    <xf numFmtId="37" fontId="4" fillId="0" borderId="14" xfId="1" applyNumberFormat="1" applyFont="1" applyFill="1" applyBorder="1" applyAlignment="1" applyProtection="1">
      <alignment horizontal="center" vertical="center"/>
    </xf>
    <xf numFmtId="37" fontId="4" fillId="0" borderId="0" xfId="1" applyNumberFormat="1" applyFont="1" applyFill="1" applyBorder="1" applyAlignment="1" applyProtection="1">
      <alignment horizontal="center" vertical="center"/>
    </xf>
    <xf numFmtId="37" fontId="13" fillId="0" borderId="12" xfId="1" applyNumberFormat="1" applyFont="1" applyFill="1" applyBorder="1" applyAlignment="1" applyProtection="1">
      <alignment horizontal="center" vertical="center"/>
    </xf>
    <xf numFmtId="164" fontId="205" fillId="0" borderId="29" xfId="1" applyNumberFormat="1" applyFont="1" applyFill="1" applyBorder="1" applyAlignment="1" applyProtection="1">
      <alignment horizontal="center" vertical="center"/>
    </xf>
    <xf numFmtId="164" fontId="205" fillId="0" borderId="34" xfId="1" applyNumberFormat="1" applyFont="1" applyFill="1" applyBorder="1" applyAlignment="1" applyProtection="1">
      <alignment horizontal="center" vertical="center"/>
    </xf>
    <xf numFmtId="3" fontId="45" fillId="0" borderId="84" xfId="1" applyNumberFormat="1" applyFont="1" applyFill="1" applyBorder="1" applyAlignment="1" applyProtection="1">
      <alignment horizontal="center" vertical="center"/>
    </xf>
    <xf numFmtId="3" fontId="45" fillId="0" borderId="12" xfId="1" applyNumberFormat="1" applyFont="1" applyFill="1" applyBorder="1" applyAlignment="1" applyProtection="1">
      <alignment horizontal="center" vertical="center"/>
    </xf>
    <xf numFmtId="3" fontId="45" fillId="0" borderId="17" xfId="1" applyNumberFormat="1" applyFont="1" applyFill="1" applyBorder="1" applyAlignment="1" applyProtection="1">
      <alignment horizontal="center" vertical="center"/>
    </xf>
    <xf numFmtId="3" fontId="45" fillId="0" borderId="11" xfId="1" applyNumberFormat="1" applyFont="1" applyFill="1" applyBorder="1" applyAlignment="1" applyProtection="1">
      <alignment horizontal="center" vertical="center"/>
    </xf>
    <xf numFmtId="0" fontId="0" fillId="0" borderId="13" xfId="0" applyBorder="1" applyProtection="1"/>
    <xf numFmtId="0" fontId="35" fillId="0" borderId="0" xfId="0" applyFont="1" applyFill="1" applyAlignment="1" applyProtection="1">
      <alignment vertical="center" wrapText="1"/>
    </xf>
    <xf numFmtId="0" fontId="35" fillId="0" borderId="0" xfId="0" applyFont="1" applyFill="1" applyAlignment="1" applyProtection="1">
      <alignment vertical="top" wrapText="1"/>
    </xf>
    <xf numFmtId="38" fontId="12" fillId="0" borderId="109" xfId="1" applyNumberFormat="1" applyFont="1" applyFill="1" applyBorder="1" applyAlignment="1" applyProtection="1">
      <alignment horizontal="right" vertical="center"/>
    </xf>
    <xf numFmtId="38" fontId="12" fillId="0" borderId="108" xfId="1" applyNumberFormat="1" applyFont="1" applyFill="1" applyBorder="1" applyAlignment="1" applyProtection="1">
      <alignment horizontal="right" vertical="center"/>
    </xf>
    <xf numFmtId="38" fontId="12" fillId="0" borderId="110" xfId="1" applyNumberFormat="1" applyFont="1" applyFill="1" applyBorder="1" applyAlignment="1" applyProtection="1">
      <alignment horizontal="right" vertical="center"/>
    </xf>
    <xf numFmtId="38" fontId="12" fillId="0" borderId="129" xfId="1" applyNumberFormat="1" applyFont="1" applyFill="1" applyBorder="1" applyAlignment="1" applyProtection="1">
      <alignment horizontal="right" vertical="center"/>
    </xf>
    <xf numFmtId="38" fontId="12" fillId="0" borderId="123" xfId="1" applyNumberFormat="1" applyFont="1" applyFill="1" applyBorder="1" applyAlignment="1" applyProtection="1">
      <alignment horizontal="right" vertical="center"/>
    </xf>
    <xf numFmtId="38" fontId="12" fillId="0" borderId="102" xfId="1" applyNumberFormat="1" applyFont="1" applyFill="1" applyBorder="1" applyAlignment="1" applyProtection="1">
      <alignment horizontal="right" vertical="center"/>
    </xf>
    <xf numFmtId="38" fontId="12" fillId="0" borderId="130" xfId="1" applyNumberFormat="1" applyFont="1" applyFill="1" applyBorder="1" applyAlignment="1" applyProtection="1">
      <alignment horizontal="right" vertical="center"/>
    </xf>
    <xf numFmtId="38" fontId="12" fillId="0" borderId="119" xfId="1" applyNumberFormat="1" applyFont="1" applyFill="1" applyBorder="1" applyAlignment="1" applyProtection="1">
      <alignment horizontal="right" vertical="center"/>
    </xf>
    <xf numFmtId="38" fontId="12" fillId="0" borderId="103" xfId="1" applyNumberFormat="1" applyFont="1" applyFill="1" applyBorder="1" applyAlignment="1" applyProtection="1">
      <alignment horizontal="right" vertical="center"/>
    </xf>
    <xf numFmtId="38" fontId="3" fillId="0" borderId="109" xfId="0" applyNumberFormat="1" applyFont="1" applyFill="1" applyBorder="1" applyProtection="1"/>
    <xf numFmtId="38" fontId="3" fillId="0" borderId="108" xfId="0" applyNumberFormat="1" applyFont="1" applyFill="1" applyBorder="1" applyProtection="1"/>
    <xf numFmtId="38" fontId="3" fillId="0" borderId="110" xfId="0" applyNumberFormat="1" applyFont="1" applyFill="1" applyBorder="1" applyProtection="1"/>
    <xf numFmtId="38" fontId="3" fillId="0" borderId="129" xfId="1" applyNumberFormat="1" applyFont="1" applyFill="1" applyBorder="1" applyAlignment="1" applyProtection="1">
      <alignment horizontal="right" vertical="center"/>
    </xf>
    <xf numFmtId="38" fontId="3" fillId="0" borderId="123" xfId="1" applyNumberFormat="1" applyFont="1" applyFill="1" applyBorder="1" applyAlignment="1" applyProtection="1">
      <alignment horizontal="right" vertical="center"/>
    </xf>
    <xf numFmtId="38" fontId="3" fillId="0" borderId="102" xfId="1" applyNumberFormat="1" applyFont="1" applyFill="1" applyBorder="1" applyAlignment="1" applyProtection="1">
      <alignment horizontal="right" vertical="center"/>
    </xf>
    <xf numFmtId="38" fontId="3" fillId="0" borderId="130" xfId="0" applyNumberFormat="1" applyFont="1" applyFill="1" applyBorder="1" applyProtection="1"/>
    <xf numFmtId="38" fontId="3" fillId="0" borderId="119" xfId="0" applyNumberFormat="1" applyFont="1" applyFill="1" applyBorder="1" applyProtection="1"/>
    <xf numFmtId="38" fontId="3" fillId="0" borderId="103" xfId="0" applyNumberFormat="1" applyFont="1" applyFill="1" applyBorder="1" applyProtection="1"/>
    <xf numFmtId="38" fontId="12" fillId="0" borderId="116" xfId="1" applyNumberFormat="1" applyFont="1" applyFill="1" applyBorder="1" applyAlignment="1" applyProtection="1">
      <alignment horizontal="right" vertical="center"/>
    </xf>
    <xf numFmtId="38" fontId="12" fillId="0" borderId="117" xfId="1" applyNumberFormat="1" applyFont="1" applyFill="1" applyBorder="1" applyAlignment="1" applyProtection="1">
      <alignment horizontal="right" vertical="center"/>
    </xf>
    <xf numFmtId="38" fontId="12" fillId="0" borderId="118" xfId="1" applyNumberFormat="1" applyFont="1" applyFill="1" applyBorder="1" applyAlignment="1" applyProtection="1">
      <alignment horizontal="right" vertical="center"/>
    </xf>
    <xf numFmtId="38" fontId="8" fillId="0" borderId="116" xfId="1" applyNumberFormat="1" applyFont="1" applyFill="1" applyBorder="1" applyAlignment="1" applyProtection="1">
      <alignment horizontal="right" vertical="center"/>
    </xf>
    <xf numFmtId="38" fontId="8" fillId="0" borderId="117" xfId="1" applyNumberFormat="1" applyFont="1" applyFill="1" applyBorder="1" applyAlignment="1" applyProtection="1">
      <alignment horizontal="right" vertical="center"/>
    </xf>
    <xf numFmtId="38" fontId="8" fillId="0" borderId="118" xfId="1" applyNumberFormat="1" applyFont="1" applyFill="1" applyBorder="1" applyAlignment="1" applyProtection="1">
      <alignment horizontal="right" vertical="center"/>
    </xf>
    <xf numFmtId="38" fontId="12" fillId="0" borderId="99" xfId="1" applyNumberFormat="1" applyFont="1" applyFill="1" applyBorder="1" applyAlignment="1" applyProtection="1">
      <alignment horizontal="right" vertical="center"/>
    </xf>
    <xf numFmtId="38" fontId="12" fillId="0" borderId="91" xfId="1" applyNumberFormat="1" applyFont="1" applyFill="1" applyBorder="1" applyAlignment="1" applyProtection="1">
      <alignment horizontal="right" vertical="center"/>
    </xf>
    <xf numFmtId="38" fontId="12" fillId="0" borderId="98" xfId="1" applyNumberFormat="1" applyFont="1" applyFill="1" applyBorder="1" applyAlignment="1" applyProtection="1">
      <alignment horizontal="right" vertical="center"/>
    </xf>
    <xf numFmtId="38" fontId="12" fillId="0" borderId="111" xfId="1" applyNumberFormat="1" applyFont="1" applyFill="1" applyBorder="1" applyAlignment="1" applyProtection="1">
      <alignment horizontal="right" vertical="center"/>
    </xf>
    <xf numFmtId="38" fontId="12" fillId="0" borderId="90" xfId="1" applyNumberFormat="1" applyFont="1" applyFill="1" applyBorder="1" applyAlignment="1" applyProtection="1">
      <alignment horizontal="right" vertical="center"/>
    </xf>
    <xf numFmtId="38" fontId="12" fillId="0" borderId="131" xfId="1" applyNumberFormat="1" applyFont="1" applyFill="1" applyBorder="1" applyAlignment="1" applyProtection="1">
      <alignment horizontal="right" vertical="center"/>
    </xf>
    <xf numFmtId="38" fontId="3" fillId="0" borderId="109" xfId="1" applyNumberFormat="1" applyFont="1" applyFill="1" applyBorder="1" applyAlignment="1" applyProtection="1">
      <alignment horizontal="right" vertical="center"/>
    </xf>
    <xf numFmtId="38" fontId="3" fillId="0" borderId="108" xfId="1" applyNumberFormat="1" applyFont="1" applyFill="1" applyBorder="1" applyAlignment="1" applyProtection="1">
      <alignment horizontal="right" vertical="center"/>
    </xf>
    <xf numFmtId="38" fontId="3" fillId="0" borderId="110" xfId="1" applyNumberFormat="1" applyFont="1" applyFill="1" applyBorder="1" applyAlignment="1" applyProtection="1">
      <alignment horizontal="right" vertical="center"/>
    </xf>
    <xf numFmtId="38" fontId="3" fillId="0" borderId="99" xfId="1" applyNumberFormat="1" applyFont="1" applyFill="1" applyBorder="1" applyAlignment="1" applyProtection="1">
      <alignment horizontal="right" vertical="center"/>
    </xf>
    <xf numFmtId="38" fontId="3" fillId="0" borderId="91" xfId="1" applyNumberFormat="1" applyFont="1" applyFill="1" applyBorder="1" applyAlignment="1" applyProtection="1">
      <alignment horizontal="right" vertical="center"/>
    </xf>
    <xf numFmtId="38" fontId="3" fillId="0" borderId="98" xfId="1" applyNumberFormat="1" applyFont="1" applyFill="1" applyBorder="1" applyAlignment="1" applyProtection="1">
      <alignment horizontal="right" vertical="center"/>
    </xf>
    <xf numFmtId="38" fontId="3" fillId="0" borderId="111" xfId="1" applyNumberFormat="1" applyFont="1" applyFill="1" applyBorder="1" applyAlignment="1" applyProtection="1">
      <alignment horizontal="right" vertical="center"/>
    </xf>
    <xf numFmtId="38" fontId="3" fillId="0" borderId="90" xfId="1" applyNumberFormat="1" applyFont="1" applyFill="1" applyBorder="1" applyAlignment="1" applyProtection="1">
      <alignment horizontal="right" vertical="center"/>
    </xf>
    <xf numFmtId="38" fontId="3" fillId="0" borderId="131" xfId="1" applyNumberFormat="1" applyFont="1" applyFill="1" applyBorder="1" applyAlignment="1" applyProtection="1">
      <alignment horizontal="right" vertical="center"/>
    </xf>
    <xf numFmtId="38" fontId="3" fillId="0" borderId="130" xfId="1" applyNumberFormat="1" applyFont="1" applyFill="1" applyBorder="1" applyAlignment="1" applyProtection="1">
      <alignment horizontal="right" vertical="center"/>
    </xf>
    <xf numFmtId="38" fontId="3" fillId="0" borderId="119" xfId="1" applyNumberFormat="1" applyFont="1" applyFill="1" applyBorder="1" applyAlignment="1" applyProtection="1">
      <alignment horizontal="right" vertical="center"/>
    </xf>
    <xf numFmtId="38" fontId="3" fillId="0" borderId="103" xfId="1" applyNumberFormat="1" applyFont="1" applyFill="1" applyBorder="1" applyAlignment="1" applyProtection="1">
      <alignment horizontal="right" vertical="center"/>
    </xf>
    <xf numFmtId="38" fontId="3" fillId="0" borderId="129" xfId="1" applyNumberFormat="1" applyFont="1" applyFill="1" applyBorder="1" applyAlignment="1" applyProtection="1">
      <alignment vertical="center"/>
    </xf>
    <xf numFmtId="38" fontId="3" fillId="0" borderId="123" xfId="1" applyNumberFormat="1" applyFont="1" applyFill="1" applyBorder="1" applyAlignment="1" applyProtection="1">
      <alignment vertical="center"/>
    </xf>
    <xf numFmtId="38" fontId="3" fillId="0" borderId="102" xfId="1" applyNumberFormat="1" applyFont="1" applyFill="1" applyBorder="1" applyAlignment="1" applyProtection="1">
      <alignment vertical="center"/>
    </xf>
    <xf numFmtId="38" fontId="12" fillId="0" borderId="116" xfId="1" applyNumberFormat="1" applyFont="1" applyFill="1" applyBorder="1" applyAlignment="1" applyProtection="1">
      <alignment vertical="center"/>
    </xf>
    <xf numFmtId="38" fontId="12" fillId="0" borderId="117" xfId="1" applyNumberFormat="1" applyFont="1" applyFill="1" applyBorder="1" applyAlignment="1" applyProtection="1">
      <alignment vertical="center"/>
    </xf>
    <xf numFmtId="38" fontId="12" fillId="0" borderId="118" xfId="1" applyNumberFormat="1" applyFont="1" applyFill="1" applyBorder="1" applyAlignment="1" applyProtection="1">
      <alignment vertical="center"/>
    </xf>
    <xf numFmtId="0" fontId="45" fillId="0" borderId="86" xfId="0" applyFont="1" applyFill="1" applyBorder="1" applyAlignment="1" applyProtection="1">
      <alignment vertical="center"/>
    </xf>
    <xf numFmtId="0" fontId="45" fillId="0" borderId="12" xfId="0" applyFont="1" applyFill="1" applyBorder="1" applyAlignment="1" applyProtection="1">
      <alignment vertical="center"/>
    </xf>
    <xf numFmtId="0" fontId="45" fillId="0" borderId="11" xfId="0" applyFont="1" applyFill="1" applyBorder="1" applyAlignment="1" applyProtection="1">
      <alignment vertical="center"/>
    </xf>
    <xf numFmtId="0" fontId="85" fillId="0" borderId="0" xfId="0" applyFont="1" applyAlignment="1" applyProtection="1">
      <alignment horizontal="left" vertical="center"/>
    </xf>
    <xf numFmtId="0" fontId="42" fillId="0" borderId="41" xfId="0" applyFont="1" applyFill="1" applyBorder="1" applyAlignment="1" applyProtection="1">
      <alignment vertical="center" wrapText="1"/>
    </xf>
    <xf numFmtId="0" fontId="45" fillId="0" borderId="41" xfId="0" applyFont="1" applyFill="1" applyBorder="1" applyAlignment="1" applyProtection="1">
      <alignment vertical="center" wrapText="1"/>
    </xf>
    <xf numFmtId="0" fontId="47" fillId="20" borderId="0" xfId="0" applyFont="1" applyFill="1" applyProtection="1"/>
    <xf numFmtId="0" fontId="21" fillId="0" borderId="8" xfId="0" applyFont="1" applyFill="1" applyBorder="1" applyProtection="1"/>
    <xf numFmtId="0" fontId="14" fillId="0" borderId="85" xfId="0" applyFont="1" applyFill="1" applyBorder="1" applyAlignment="1" applyProtection="1">
      <alignment vertical="center"/>
    </xf>
    <xf numFmtId="0" fontId="90" fillId="0" borderId="0" xfId="0" applyFont="1" applyFill="1" applyAlignment="1" applyProtection="1">
      <alignment horizontal="right" vertical="center"/>
    </xf>
    <xf numFmtId="0" fontId="91" fillId="0" borderId="0" xfId="0" applyFont="1" applyFill="1" applyAlignment="1" applyProtection="1">
      <alignment horizontal="right" vertical="top"/>
    </xf>
    <xf numFmtId="0" fontId="91" fillId="0" borderId="0" xfId="0" applyFont="1" applyFill="1" applyAlignment="1" applyProtection="1">
      <alignment horizontal="right" vertical="center"/>
    </xf>
    <xf numFmtId="0" fontId="90" fillId="0" borderId="0" xfId="0" applyFont="1" applyFill="1" applyAlignment="1" applyProtection="1">
      <alignment vertical="top" wrapText="1"/>
    </xf>
    <xf numFmtId="0" fontId="90" fillId="0" borderId="0" xfId="0" applyFont="1" applyFill="1" applyAlignment="1" applyProtection="1">
      <alignment vertical="top"/>
    </xf>
    <xf numFmtId="9" fontId="45" fillId="0" borderId="8" xfId="1" applyNumberFormat="1" applyFont="1" applyFill="1" applyBorder="1" applyAlignment="1" applyProtection="1">
      <alignment horizontal="center" vertical="center"/>
    </xf>
    <xf numFmtId="9" fontId="45" fillId="0" borderId="16" xfId="1" applyNumberFormat="1" applyFont="1" applyFill="1" applyBorder="1" applyAlignment="1" applyProtection="1">
      <alignment horizontal="center" vertical="center"/>
    </xf>
    <xf numFmtId="9" fontId="45" fillId="0" borderId="17" xfId="1" applyNumberFormat="1" applyFont="1" applyFill="1" applyBorder="1" applyAlignment="1" applyProtection="1">
      <alignment horizontal="center" vertical="center"/>
    </xf>
    <xf numFmtId="9" fontId="45" fillId="0" borderId="18" xfId="1" applyNumberFormat="1" applyFont="1" applyFill="1" applyBorder="1" applyAlignment="1" applyProtection="1">
      <alignment horizontal="center" vertical="center"/>
    </xf>
    <xf numFmtId="0" fontId="90" fillId="0" borderId="0" xfId="0" applyFont="1" applyFill="1" applyBorder="1" applyAlignment="1" applyProtection="1">
      <alignment horizontal="left" vertical="center"/>
    </xf>
    <xf numFmtId="0" fontId="42" fillId="0" borderId="86" xfId="0"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top"/>
    </xf>
    <xf numFmtId="3" fontId="8" fillId="0" borderId="17" xfId="0" applyNumberFormat="1" applyFont="1" applyFill="1" applyBorder="1" applyAlignment="1" applyProtection="1">
      <alignment horizontal="center" vertical="center"/>
    </xf>
    <xf numFmtId="0" fontId="76" fillId="0" borderId="0" xfId="0" applyFont="1" applyFill="1" applyAlignment="1" applyProtection="1">
      <alignment vertical="center" wrapText="1"/>
    </xf>
    <xf numFmtId="0" fontId="8" fillId="0" borderId="35" xfId="0" applyFont="1" applyFill="1" applyBorder="1" applyAlignment="1" applyProtection="1">
      <alignment horizontal="center" vertical="center"/>
    </xf>
    <xf numFmtId="3" fontId="8" fillId="0" borderId="86" xfId="0" applyNumberFormat="1" applyFont="1" applyFill="1" applyBorder="1" applyAlignment="1" applyProtection="1">
      <alignment horizontal="center" vertical="center"/>
    </xf>
    <xf numFmtId="0" fontId="42" fillId="0" borderId="0" xfId="0" quotePrefix="1" applyFont="1" applyFill="1" applyBorder="1" applyAlignment="1" applyProtection="1">
      <alignment horizontal="center" vertical="center"/>
    </xf>
    <xf numFmtId="0" fontId="79" fillId="0" borderId="0" xfId="0" applyFont="1" applyFill="1" applyBorder="1" applyAlignment="1" applyProtection="1">
      <alignment vertical="center"/>
    </xf>
    <xf numFmtId="0" fontId="91" fillId="0" borderId="0" xfId="0" applyFont="1" applyAlignment="1" applyProtection="1">
      <alignment horizontal="right" vertical="center"/>
    </xf>
    <xf numFmtId="0" fontId="10" fillId="0" borderId="0" xfId="0" quotePrefix="1" applyFont="1" applyFill="1" applyAlignment="1" applyProtection="1">
      <alignment horizontal="center" vertical="top"/>
    </xf>
    <xf numFmtId="9" fontId="13" fillId="0" borderId="0" xfId="10" applyFont="1" applyFill="1" applyBorder="1" applyAlignment="1" applyProtection="1">
      <alignment horizontal="left" vertical="center"/>
    </xf>
    <xf numFmtId="9" fontId="10" fillId="0" borderId="0" xfId="10" applyFont="1" applyFill="1" applyBorder="1" applyAlignment="1" applyProtection="1">
      <alignment horizontal="center" vertical="top" wrapText="1"/>
    </xf>
    <xf numFmtId="38" fontId="105" fillId="0" borderId="11" xfId="0" applyNumberFormat="1" applyFont="1" applyFill="1" applyBorder="1" applyAlignment="1" applyProtection="1">
      <alignment horizontal="center"/>
    </xf>
    <xf numFmtId="0" fontId="79" fillId="0" borderId="0" xfId="0" applyFont="1" applyFill="1" applyAlignment="1" applyProtection="1">
      <alignment horizontal="center"/>
    </xf>
    <xf numFmtId="0" fontId="210" fillId="0" borderId="0" xfId="0" applyFont="1" applyFill="1" applyAlignment="1" applyProtection="1">
      <alignment horizontal="left" vertical="center"/>
    </xf>
    <xf numFmtId="0" fontId="211" fillId="0" borderId="0" xfId="0" applyFont="1" applyFill="1" applyAlignment="1" applyProtection="1">
      <alignment vertical="center"/>
    </xf>
    <xf numFmtId="0" fontId="42" fillId="0" borderId="0" xfId="0" applyFont="1" applyFill="1" applyAlignment="1" applyProtection="1">
      <alignment wrapText="1"/>
    </xf>
    <xf numFmtId="0" fontId="18" fillId="0" borderId="0" xfId="0" applyFont="1" applyFill="1" applyAlignment="1" applyProtection="1">
      <alignment horizontal="left"/>
    </xf>
    <xf numFmtId="0" fontId="4" fillId="0" borderId="0" xfId="0" applyFont="1" applyAlignment="1" applyProtection="1">
      <alignment horizontal="right"/>
    </xf>
    <xf numFmtId="0" fontId="18" fillId="0" borderId="20" xfId="0" applyFont="1" applyFill="1" applyBorder="1" applyAlignment="1" applyProtection="1">
      <alignment vertical="center"/>
    </xf>
    <xf numFmtId="176" fontId="4" fillId="0" borderId="0" xfId="0" applyNumberFormat="1" applyFont="1" applyFill="1" applyBorder="1" applyAlignment="1" applyProtection="1">
      <alignment vertical="center"/>
    </xf>
    <xf numFmtId="0" fontId="4" fillId="0" borderId="7" xfId="0" applyFont="1" applyFill="1" applyBorder="1" applyAlignment="1" applyProtection="1">
      <alignment horizontal="right" vertical="center"/>
    </xf>
    <xf numFmtId="0" fontId="4" fillId="0" borderId="8" xfId="0" applyFont="1" applyFill="1" applyBorder="1" applyAlignment="1" applyProtection="1">
      <alignment horizontal="right" vertical="center"/>
    </xf>
    <xf numFmtId="0" fontId="140" fillId="0" borderId="0" xfId="0" applyFont="1" applyProtection="1"/>
    <xf numFmtId="0" fontId="212" fillId="0" borderId="0" xfId="0" applyFont="1" applyFill="1" applyBorder="1" applyAlignment="1" applyProtection="1">
      <alignment horizontal="right" vertical="center"/>
    </xf>
    <xf numFmtId="0" fontId="13" fillId="0" borderId="0" xfId="0" applyFont="1" applyAlignment="1" applyProtection="1">
      <alignment vertical="center" wrapText="1"/>
    </xf>
    <xf numFmtId="10" fontId="14" fillId="0" borderId="86" xfId="0" applyNumberFormat="1" applyFont="1" applyBorder="1" applyAlignment="1" applyProtection="1">
      <alignment horizontal="center" vertical="center"/>
    </xf>
    <xf numFmtId="38" fontId="8" fillId="0" borderId="132" xfId="0" applyNumberFormat="1" applyFont="1" applyFill="1" applyBorder="1" applyAlignment="1" applyProtection="1">
      <alignment horizontal="center" vertical="center"/>
    </xf>
    <xf numFmtId="0" fontId="14" fillId="0" borderId="0" xfId="0" applyFont="1" applyAlignment="1" applyProtection="1">
      <alignment horizontal="left" vertical="top" wrapText="1"/>
    </xf>
    <xf numFmtId="49" fontId="90" fillId="0" borderId="0" xfId="0" applyNumberFormat="1" applyFont="1" applyAlignment="1" applyProtection="1">
      <alignment horizontal="left" vertical="center"/>
    </xf>
    <xf numFmtId="0" fontId="10" fillId="0" borderId="0" xfId="0" quotePrefix="1" applyFont="1" applyFill="1" applyAlignment="1" applyProtection="1">
      <alignment horizontal="left" vertical="center"/>
    </xf>
    <xf numFmtId="0" fontId="79" fillId="0" borderId="0" xfId="0" applyFont="1" applyFill="1" applyAlignment="1" applyProtection="1">
      <alignment horizontal="left" vertical="center"/>
    </xf>
    <xf numFmtId="38" fontId="14" fillId="0" borderId="121" xfId="0" applyNumberFormat="1" applyFont="1" applyFill="1" applyBorder="1" applyAlignment="1" applyProtection="1">
      <alignment horizontal="center" vertical="top" wrapText="1"/>
    </xf>
    <xf numFmtId="38" fontId="14" fillId="0" borderId="40" xfId="0" applyNumberFormat="1" applyFont="1" applyFill="1" applyBorder="1" applyAlignment="1" applyProtection="1">
      <alignment horizontal="center" vertical="top" wrapText="1"/>
    </xf>
    <xf numFmtId="38" fontId="14" fillId="0" borderId="42" xfId="0" applyNumberFormat="1" applyFont="1" applyFill="1" applyBorder="1" applyAlignment="1" applyProtection="1">
      <alignment horizontal="center" vertical="top" wrapText="1"/>
    </xf>
    <xf numFmtId="0" fontId="14" fillId="0" borderId="40" xfId="0" applyFont="1" applyFill="1" applyBorder="1" applyAlignment="1" applyProtection="1">
      <alignment horizontal="center" vertical="top" wrapText="1"/>
    </xf>
    <xf numFmtId="38" fontId="14" fillId="0" borderId="43" xfId="0" applyNumberFormat="1" applyFont="1" applyFill="1" applyBorder="1" applyAlignment="1" applyProtection="1">
      <alignment horizontal="center" vertical="top" wrapText="1"/>
    </xf>
    <xf numFmtId="0" fontId="14" fillId="0" borderId="94" xfId="0" applyFont="1" applyFill="1" applyBorder="1" applyAlignment="1" applyProtection="1">
      <alignment horizontal="center" vertical="top" wrapText="1"/>
    </xf>
    <xf numFmtId="0" fontId="215" fillId="0" borderId="0" xfId="0" applyFont="1" applyFill="1" applyBorder="1" applyAlignment="1" applyProtection="1">
      <alignment horizontal="center" vertical="center"/>
    </xf>
    <xf numFmtId="0" fontId="215" fillId="0" borderId="0" xfId="0" applyFont="1" applyFill="1" applyBorder="1" applyAlignment="1" applyProtection="1">
      <alignment horizontal="left" vertical="top"/>
    </xf>
    <xf numFmtId="0" fontId="42" fillId="0" borderId="13" xfId="0" applyFont="1" applyFill="1" applyBorder="1" applyAlignment="1" applyProtection="1"/>
    <xf numFmtId="0" fontId="42" fillId="0" borderId="95" xfId="0" quotePrefix="1" applyFont="1" applyFill="1" applyBorder="1" applyAlignment="1" applyProtection="1">
      <alignment horizontal="center" vertical="center" wrapText="1"/>
    </xf>
    <xf numFmtId="0" fontId="4" fillId="0" borderId="49" xfId="0" applyFont="1" applyFill="1" applyBorder="1" applyAlignment="1" applyProtection="1">
      <alignment horizontal="center" vertical="center"/>
    </xf>
    <xf numFmtId="0" fontId="14" fillId="0" borderId="0" xfId="0" applyFont="1" applyFill="1" applyAlignment="1" applyProtection="1">
      <alignment horizontal="center"/>
    </xf>
    <xf numFmtId="0" fontId="14" fillId="0" borderId="0" xfId="0" applyFont="1" applyFill="1" applyAlignment="1" applyProtection="1">
      <alignment horizontal="center" vertical="top"/>
    </xf>
    <xf numFmtId="9" fontId="14" fillId="0" borderId="0" xfId="0" applyNumberFormat="1" applyFont="1" applyFill="1" applyAlignment="1" applyProtection="1">
      <alignment horizontal="center" vertical="center"/>
    </xf>
    <xf numFmtId="0" fontId="91" fillId="0" borderId="0" xfId="0" applyFont="1" applyFill="1" applyBorder="1" applyAlignment="1" applyProtection="1">
      <alignment horizontal="left" vertical="center"/>
    </xf>
    <xf numFmtId="38" fontId="105" fillId="0" borderId="0" xfId="0" applyNumberFormat="1" applyFont="1" applyFill="1" applyAlignment="1" applyProtection="1">
      <alignment horizontal="center" vertical="center" wrapText="1"/>
    </xf>
    <xf numFmtId="9" fontId="105" fillId="0" borderId="0" xfId="0" applyNumberFormat="1" applyFont="1" applyFill="1" applyAlignment="1" applyProtection="1">
      <alignment horizontal="center" vertical="center" wrapText="1"/>
    </xf>
    <xf numFmtId="0" fontId="93" fillId="0" borderId="0" xfId="0" applyFont="1" applyAlignment="1" applyProtection="1">
      <alignment horizontal="left"/>
    </xf>
    <xf numFmtId="0" fontId="93" fillId="0" borderId="0" xfId="0" applyNumberFormat="1" applyFont="1" applyAlignment="1" applyProtection="1">
      <alignment horizontal="left" vertical="center"/>
    </xf>
    <xf numFmtId="0" fontId="93" fillId="0" borderId="0" xfId="0" applyFont="1" applyFill="1" applyAlignment="1" applyProtection="1"/>
    <xf numFmtId="0" fontId="90" fillId="0" borderId="0" xfId="0" applyFont="1" applyBorder="1" applyAlignment="1" applyProtection="1">
      <alignment vertical="center"/>
    </xf>
    <xf numFmtId="0" fontId="90" fillId="0" borderId="0" xfId="0" applyFont="1" applyBorder="1" applyAlignment="1" applyProtection="1">
      <alignment horizontal="left" vertical="center"/>
    </xf>
    <xf numFmtId="49" fontId="90" fillId="0" borderId="0" xfId="0" applyNumberFormat="1" applyFont="1" applyBorder="1" applyAlignment="1" applyProtection="1">
      <alignment horizontal="left" vertical="center"/>
    </xf>
    <xf numFmtId="0" fontId="14" fillId="0" borderId="0" xfId="0" applyFont="1" applyAlignment="1" applyProtection="1">
      <alignment vertical="center" wrapText="1"/>
    </xf>
    <xf numFmtId="0" fontId="3" fillId="0" borderId="0" xfId="0" applyFont="1" applyFill="1" applyAlignment="1" applyProtection="1">
      <alignment vertical="center" wrapText="1"/>
    </xf>
    <xf numFmtId="0" fontId="89" fillId="0" borderId="0" xfId="0" applyFont="1" applyFill="1" applyBorder="1" applyAlignment="1" applyProtection="1">
      <alignment horizontal="left" vertical="center"/>
    </xf>
    <xf numFmtId="0" fontId="4" fillId="0" borderId="0" xfId="0" applyFont="1" applyBorder="1" applyAlignment="1" applyProtection="1">
      <alignment vertical="center" wrapText="1"/>
    </xf>
    <xf numFmtId="0" fontId="45" fillId="0" borderId="0" xfId="0" applyFont="1" applyFill="1" applyBorder="1" applyAlignment="1" applyProtection="1">
      <alignment vertical="top" wrapText="1"/>
    </xf>
    <xf numFmtId="0" fontId="85" fillId="0" borderId="0" xfId="0" applyFont="1" applyFill="1" applyBorder="1" applyAlignment="1" applyProtection="1">
      <alignment horizontal="center" vertical="center"/>
    </xf>
    <xf numFmtId="0" fontId="53" fillId="0" borderId="0" xfId="0" applyFont="1" applyFill="1" applyBorder="1" applyAlignment="1" applyProtection="1">
      <alignment horizontal="left"/>
    </xf>
    <xf numFmtId="164" fontId="12" fillId="0" borderId="14" xfId="1" applyNumberFormat="1" applyFont="1" applyFill="1" applyBorder="1" applyProtection="1"/>
    <xf numFmtId="0" fontId="85" fillId="0" borderId="103" xfId="0" applyFont="1" applyFill="1" applyBorder="1" applyAlignment="1" applyProtection="1">
      <alignment horizontal="center" vertical="top" wrapText="1"/>
    </xf>
    <xf numFmtId="0" fontId="85" fillId="0" borderId="0" xfId="0" applyFont="1" applyFill="1" applyAlignment="1" applyProtection="1">
      <alignment horizontal="center"/>
    </xf>
    <xf numFmtId="0" fontId="116" fillId="0" borderId="0" xfId="0" applyNumberFormat="1" applyFont="1" applyFill="1" applyAlignment="1" applyProtection="1">
      <alignment vertical="center" wrapText="1"/>
    </xf>
    <xf numFmtId="0" fontId="49" fillId="0" borderId="0" xfId="0" applyFont="1" applyFill="1" applyBorder="1" applyAlignment="1" applyProtection="1">
      <alignment horizontal="center" vertical="center"/>
    </xf>
    <xf numFmtId="0" fontId="49" fillId="0" borderId="13" xfId="0" applyFont="1" applyFill="1" applyBorder="1" applyAlignment="1" applyProtection="1">
      <alignment horizontal="center" vertical="center"/>
    </xf>
    <xf numFmtId="0" fontId="7" fillId="0" borderId="0" xfId="0" applyFont="1" applyFill="1" applyAlignment="1" applyProtection="1">
      <alignment horizontal="left" vertical="top"/>
    </xf>
    <xf numFmtId="38" fontId="3" fillId="0" borderId="0" xfId="1" applyNumberFormat="1" applyFont="1" applyFill="1" applyBorder="1" applyAlignment="1" applyProtection="1">
      <alignment horizontal="left" vertical="center"/>
    </xf>
    <xf numFmtId="38" fontId="3" fillId="0" borderId="99" xfId="1" applyNumberFormat="1" applyFont="1" applyFill="1" applyBorder="1" applyAlignment="1" applyProtection="1">
      <alignment vertical="center"/>
    </xf>
    <xf numFmtId="38" fontId="3" fillId="0" borderId="91" xfId="1" applyNumberFormat="1" applyFont="1" applyFill="1" applyBorder="1" applyAlignment="1" applyProtection="1">
      <alignment vertical="center"/>
    </xf>
    <xf numFmtId="38" fontId="3" fillId="0" borderId="98" xfId="1" applyNumberFormat="1" applyFont="1" applyFill="1" applyBorder="1" applyAlignment="1" applyProtection="1">
      <alignment vertical="center"/>
    </xf>
    <xf numFmtId="38" fontId="3" fillId="0" borderId="22" xfId="1" applyNumberFormat="1" applyFont="1" applyFill="1" applyBorder="1" applyAlignment="1" applyProtection="1">
      <alignment vertical="center"/>
    </xf>
    <xf numFmtId="49" fontId="138" fillId="0" borderId="0" xfId="0" applyNumberFormat="1" applyFont="1" applyFill="1" applyAlignment="1" applyProtection="1">
      <alignment vertical="center"/>
    </xf>
    <xf numFmtId="38" fontId="91" fillId="0" borderId="0" xfId="0" applyNumberFormat="1" applyFont="1" applyFill="1" applyAlignment="1" applyProtection="1">
      <alignment horizontal="left" vertical="center"/>
    </xf>
    <xf numFmtId="3" fontId="12" fillId="0" borderId="0" xfId="0" applyNumberFormat="1" applyFont="1" applyFill="1" applyAlignment="1" applyProtection="1">
      <alignment vertical="center"/>
    </xf>
    <xf numFmtId="3" fontId="3" fillId="0" borderId="0" xfId="0" applyNumberFormat="1" applyFont="1" applyFill="1" applyAlignment="1" applyProtection="1">
      <alignment horizontal="center" vertical="center"/>
    </xf>
    <xf numFmtId="0" fontId="90" fillId="0" borderId="0" xfId="0" applyFont="1" applyFill="1" applyAlignment="1" applyProtection="1">
      <alignment horizontal="left"/>
    </xf>
    <xf numFmtId="3" fontId="90" fillId="0" borderId="0" xfId="0" applyNumberFormat="1" applyFont="1" applyFill="1" applyBorder="1" applyAlignment="1" applyProtection="1">
      <alignment horizontal="center" vertical="center"/>
    </xf>
    <xf numFmtId="38" fontId="91" fillId="0" borderId="0" xfId="0" applyNumberFormat="1" applyFont="1" applyFill="1" applyBorder="1" applyAlignment="1" applyProtection="1">
      <alignment vertical="center"/>
    </xf>
    <xf numFmtId="0" fontId="74" fillId="0" borderId="0" xfId="0" applyFont="1" applyFill="1" applyAlignment="1" applyProtection="1">
      <alignment vertical="center"/>
    </xf>
    <xf numFmtId="40" fontId="105" fillId="0" borderId="86" xfId="0" applyNumberFormat="1" applyFont="1" applyFill="1" applyBorder="1" applyAlignment="1" applyProtection="1">
      <alignment horizontal="center" vertical="center"/>
    </xf>
    <xf numFmtId="49" fontId="14" fillId="0" borderId="0" xfId="0" quotePrefix="1" applyNumberFormat="1" applyFont="1" applyFill="1" applyAlignment="1" applyProtection="1">
      <alignment horizontal="center" vertical="center"/>
    </xf>
    <xf numFmtId="0" fontId="217" fillId="0" borderId="0" xfId="0" applyFont="1" applyFill="1" applyAlignment="1" applyProtection="1"/>
    <xf numFmtId="0" fontId="90" fillId="0" borderId="0" xfId="0" applyFont="1" applyFill="1" applyBorder="1" applyAlignment="1" applyProtection="1">
      <alignment vertical="center"/>
    </xf>
    <xf numFmtId="0" fontId="90" fillId="0" borderId="0" xfId="0" applyFont="1" applyFill="1" applyBorder="1" applyAlignment="1" applyProtection="1">
      <alignment horizontal="center" vertical="center"/>
    </xf>
    <xf numFmtId="0" fontId="29" fillId="0" borderId="0" xfId="0" applyNumberFormat="1" applyFont="1" applyBorder="1" applyAlignment="1" applyProtection="1">
      <alignment horizontal="center" vertical="center" wrapText="1"/>
    </xf>
    <xf numFmtId="0" fontId="10" fillId="13" borderId="3" xfId="0" applyFont="1" applyFill="1" applyBorder="1" applyAlignment="1" applyProtection="1">
      <alignment horizontal="center" vertical="center" wrapText="1"/>
    </xf>
    <xf numFmtId="37" fontId="219" fillId="0" borderId="0" xfId="0" applyNumberFormat="1" applyFont="1" applyFill="1" applyAlignment="1" applyProtection="1">
      <alignment horizontal="center" vertical="center"/>
    </xf>
    <xf numFmtId="3" fontId="217" fillId="0" borderId="0" xfId="0" applyNumberFormat="1" applyFont="1" applyFill="1" applyAlignment="1" applyProtection="1">
      <alignment horizontal="center" vertical="center"/>
    </xf>
    <xf numFmtId="0" fontId="94" fillId="0" borderId="0" xfId="0" applyFont="1" applyFill="1" applyAlignment="1" applyProtection="1">
      <alignment vertical="top" wrapText="1"/>
    </xf>
    <xf numFmtId="0" fontId="113" fillId="0" borderId="0" xfId="0" applyFont="1" applyFill="1" applyBorder="1" applyAlignment="1" applyProtection="1">
      <alignment vertical="center" wrapText="1"/>
    </xf>
    <xf numFmtId="3" fontId="105" fillId="17" borderId="138" xfId="0" applyNumberFormat="1" applyFont="1" applyFill="1" applyBorder="1" applyAlignment="1" applyProtection="1">
      <alignment horizontal="center" vertical="center"/>
    </xf>
    <xf numFmtId="10" fontId="105" fillId="17" borderId="138" xfId="0" applyNumberFormat="1" applyFont="1" applyFill="1" applyBorder="1" applyAlignment="1" applyProtection="1">
      <alignment horizontal="center" vertical="center"/>
    </xf>
    <xf numFmtId="0" fontId="4" fillId="0" borderId="56" xfId="0" applyFont="1" applyBorder="1" applyAlignment="1" applyProtection="1">
      <alignment horizontal="left" vertical="center"/>
    </xf>
    <xf numFmtId="0" fontId="7" fillId="0" borderId="137" xfId="0" applyFont="1" applyBorder="1" applyAlignment="1" applyProtection="1">
      <alignment vertical="center"/>
    </xf>
    <xf numFmtId="0" fontId="18" fillId="0" borderId="137" xfId="0" applyFont="1" applyFill="1" applyBorder="1" applyAlignment="1" applyProtection="1">
      <alignment vertical="center"/>
    </xf>
    <xf numFmtId="0" fontId="98" fillId="0" borderId="0" xfId="0" applyFont="1" applyFill="1" applyBorder="1" applyAlignment="1" applyProtection="1">
      <alignment vertical="top" wrapText="1"/>
    </xf>
    <xf numFmtId="0" fontId="45" fillId="0" borderId="0" xfId="0" applyFont="1" applyFill="1" applyAlignment="1" applyProtection="1"/>
    <xf numFmtId="0" fontId="53" fillId="0" borderId="0" xfId="0" applyFont="1" applyFill="1" applyBorder="1" applyAlignment="1" applyProtection="1">
      <alignment horizontal="left" vertical="top"/>
    </xf>
    <xf numFmtId="0" fontId="9" fillId="0" borderId="0" xfId="13" applyFont="1" applyAlignment="1" applyProtection="1">
      <alignment horizontal="justify"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0" fontId="9" fillId="0" borderId="0" xfId="13" applyFont="1" applyFill="1" applyAlignment="1" applyProtection="1">
      <alignment horizontal="justify" vertical="top" wrapText="1"/>
    </xf>
    <xf numFmtId="0" fontId="137" fillId="0" borderId="0" xfId="13" applyFont="1" applyAlignment="1" applyProtection="1">
      <alignment horizontal="left"/>
    </xf>
    <xf numFmtId="0" fontId="131" fillId="10" borderId="0" xfId="13" applyFont="1" applyFill="1" applyAlignment="1" applyProtection="1">
      <alignment horizontal="left" vertical="top" wrapText="1"/>
    </xf>
    <xf numFmtId="0" fontId="9" fillId="0" borderId="0" xfId="13" applyFont="1" applyAlignment="1" applyProtection="1">
      <alignment horizontal="left"/>
    </xf>
    <xf numFmtId="6" fontId="116" fillId="0" borderId="0" xfId="13" applyNumberFormat="1" applyFont="1" applyAlignment="1" applyProtection="1">
      <alignment horizontal="left"/>
    </xf>
    <xf numFmtId="38" fontId="116" fillId="0" borderId="0" xfId="13" applyNumberFormat="1" applyFont="1" applyAlignment="1" applyProtection="1">
      <alignment horizontal="left"/>
    </xf>
    <xf numFmtId="0" fontId="116" fillId="0" borderId="0" xfId="13" applyFont="1" applyAlignment="1" applyProtection="1">
      <alignment horizontal="left"/>
    </xf>
    <xf numFmtId="0" fontId="131" fillId="0" borderId="0" xfId="13" applyFont="1" applyFill="1" applyAlignment="1" applyProtection="1">
      <alignment vertical="top" wrapText="1"/>
    </xf>
    <xf numFmtId="0" fontId="3" fillId="10" borderId="86" xfId="13" applyFont="1" applyFill="1" applyBorder="1" applyAlignment="1" applyProtection="1">
      <alignment horizontal="center"/>
    </xf>
    <xf numFmtId="0" fontId="3" fillId="10" borderId="136" xfId="13" applyFont="1" applyFill="1" applyBorder="1" applyAlignment="1" applyProtection="1">
      <alignment horizontal="center" vertical="center"/>
    </xf>
    <xf numFmtId="0" fontId="3" fillId="10" borderId="17" xfId="13" applyFont="1" applyFill="1" applyBorder="1" applyAlignment="1" applyProtection="1">
      <alignment horizontal="center" vertical="center"/>
    </xf>
    <xf numFmtId="0" fontId="3" fillId="10" borderId="18" xfId="13" applyFont="1" applyFill="1" applyBorder="1" applyAlignment="1" applyProtection="1">
      <alignment horizontal="center" vertical="center"/>
    </xf>
    <xf numFmtId="0" fontId="153" fillId="0" borderId="0" xfId="0" applyFont="1" applyFill="1" applyAlignment="1" applyProtection="1">
      <alignment horizontal="center"/>
    </xf>
    <xf numFmtId="0" fontId="153" fillId="0" borderId="0" xfId="0" applyFont="1" applyFill="1" applyAlignment="1" applyProtection="1">
      <alignment horizontal="left"/>
    </xf>
    <xf numFmtId="0" fontId="220" fillId="20" borderId="0" xfId="0" applyFont="1" applyFill="1" applyAlignment="1" applyProtection="1">
      <alignment horizontal="center" vertical="center" wrapText="1"/>
    </xf>
    <xf numFmtId="0" fontId="0" fillId="0" borderId="80" xfId="0" applyBorder="1" applyAlignment="1" applyProtection="1">
      <alignment vertical="center"/>
    </xf>
    <xf numFmtId="0" fontId="12" fillId="0" borderId="81" xfId="0" applyFont="1" applyFill="1" applyBorder="1" applyAlignment="1" applyProtection="1">
      <alignment vertical="center"/>
    </xf>
    <xf numFmtId="0" fontId="0" fillId="0" borderId="7" xfId="0" applyBorder="1" applyAlignment="1" applyProtection="1">
      <alignment vertical="center"/>
    </xf>
    <xf numFmtId="0" fontId="12" fillId="0" borderId="8" xfId="0" applyFont="1" applyFill="1" applyBorder="1" applyAlignment="1" applyProtection="1">
      <alignment vertical="center"/>
    </xf>
    <xf numFmtId="0" fontId="0" fillId="0" borderId="27" xfId="0" applyBorder="1" applyAlignment="1" applyProtection="1">
      <alignment vertical="center"/>
    </xf>
    <xf numFmtId="0" fontId="12" fillId="0" borderId="92" xfId="0" applyFont="1" applyFill="1" applyBorder="1" applyAlignment="1" applyProtection="1">
      <alignment vertical="center"/>
    </xf>
    <xf numFmtId="0" fontId="0" fillId="0" borderId="26" xfId="0" applyBorder="1" applyAlignment="1" applyProtection="1">
      <alignment vertical="center"/>
    </xf>
    <xf numFmtId="0" fontId="12" fillId="0" borderId="32" xfId="0" applyFont="1" applyFill="1" applyBorder="1" applyAlignment="1" applyProtection="1">
      <alignment vertical="center"/>
    </xf>
    <xf numFmtId="0" fontId="3" fillId="0" borderId="7" xfId="0" applyFont="1" applyBorder="1" applyAlignment="1" applyProtection="1">
      <alignment vertical="center"/>
    </xf>
    <xf numFmtId="0" fontId="3" fillId="0" borderId="27" xfId="0" applyFont="1" applyBorder="1" applyAlignment="1" applyProtection="1">
      <alignment vertical="center"/>
    </xf>
    <xf numFmtId="0" fontId="3" fillId="0" borderId="9" xfId="0" applyFont="1" applyBorder="1" applyAlignment="1" applyProtection="1">
      <alignment vertical="center"/>
    </xf>
    <xf numFmtId="0" fontId="12" fillId="0" borderId="14" xfId="0" applyFont="1" applyFill="1" applyBorder="1" applyAlignment="1" applyProtection="1">
      <alignment vertical="center"/>
    </xf>
    <xf numFmtId="0" fontId="3" fillId="0" borderId="30" xfId="0" applyFont="1" applyBorder="1" applyAlignment="1" applyProtection="1">
      <alignment vertical="center"/>
    </xf>
    <xf numFmtId="0" fontId="3" fillId="0" borderId="0" xfId="0" applyFont="1" applyFill="1" applyAlignment="1" applyProtection="1">
      <alignment horizontal="left" vertical="center"/>
    </xf>
    <xf numFmtId="0" fontId="14" fillId="13" borderId="136" xfId="0" applyFont="1" applyFill="1" applyBorder="1" applyAlignment="1" applyProtection="1">
      <alignment horizontal="center" vertical="center"/>
    </xf>
    <xf numFmtId="3" fontId="12" fillId="0" borderId="38" xfId="0" applyNumberFormat="1" applyFont="1" applyFill="1" applyBorder="1" applyAlignment="1" applyProtection="1">
      <alignment vertical="center"/>
    </xf>
    <xf numFmtId="3" fontId="3" fillId="0" borderId="50" xfId="0" applyNumberFormat="1" applyFont="1" applyFill="1" applyBorder="1" applyAlignment="1" applyProtection="1">
      <alignment horizontal="center" vertical="center"/>
    </xf>
    <xf numFmtId="0" fontId="41" fillId="0" borderId="0" xfId="0" applyFont="1" applyFill="1" applyAlignment="1" applyProtection="1">
      <alignment vertical="top" wrapText="1"/>
    </xf>
    <xf numFmtId="0" fontId="45" fillId="0" borderId="52" xfId="0" applyFont="1" applyFill="1" applyBorder="1" applyAlignment="1" applyProtection="1">
      <alignment horizontal="center" vertical="center"/>
    </xf>
    <xf numFmtId="0" fontId="85" fillId="0" borderId="23" xfId="0" applyFont="1" applyFill="1" applyBorder="1" applyAlignment="1" applyProtection="1">
      <alignment horizontal="center" vertical="center"/>
    </xf>
    <xf numFmtId="165" fontId="45" fillId="0" borderId="86" xfId="1" applyNumberFormat="1" applyFont="1" applyFill="1" applyBorder="1" applyAlignment="1" applyProtection="1">
      <alignment horizontal="center" vertical="center"/>
    </xf>
    <xf numFmtId="0" fontId="45" fillId="0" borderId="0" xfId="0" applyFont="1" applyBorder="1" applyProtection="1"/>
    <xf numFmtId="0" fontId="0" fillId="0" borderId="0" xfId="0" applyBorder="1"/>
    <xf numFmtId="9" fontId="0" fillId="0" borderId="0" xfId="0" applyNumberFormat="1" applyBorder="1"/>
    <xf numFmtId="0" fontId="222" fillId="0" borderId="80" xfId="0" applyFont="1" applyBorder="1"/>
    <xf numFmtId="0" fontId="42" fillId="0" borderId="85" xfId="0" applyFont="1" applyBorder="1" applyProtection="1"/>
    <xf numFmtId="0" fontId="42" fillId="0" borderId="7" xfId="0" applyFont="1" applyBorder="1"/>
    <xf numFmtId="0" fontId="42" fillId="0" borderId="0" xfId="0" applyFont="1" applyBorder="1" applyProtection="1"/>
    <xf numFmtId="0" fontId="42" fillId="0" borderId="9" xfId="0" applyFont="1" applyBorder="1"/>
    <xf numFmtId="0" fontId="42" fillId="0" borderId="13" xfId="0" applyFont="1" applyBorder="1" applyProtection="1"/>
    <xf numFmtId="9" fontId="42" fillId="0" borderId="8" xfId="0" applyNumberFormat="1" applyFont="1" applyBorder="1" applyAlignment="1">
      <alignment horizontal="center"/>
    </xf>
    <xf numFmtId="9" fontId="42" fillId="0" borderId="14" xfId="0" applyNumberFormat="1" applyFont="1" applyBorder="1" applyAlignment="1">
      <alignment horizontal="center"/>
    </xf>
    <xf numFmtId="0" fontId="42" fillId="0" borderId="0" xfId="0" applyFont="1" applyBorder="1"/>
    <xf numFmtId="0" fontId="222" fillId="0" borderId="81" xfId="0" applyFont="1" applyBorder="1" applyAlignment="1">
      <alignment horizontal="center"/>
    </xf>
    <xf numFmtId="0" fontId="4" fillId="0" borderId="0" xfId="0" applyFont="1" applyBorder="1"/>
    <xf numFmtId="0" fontId="223" fillId="0" borderId="0" xfId="0" applyFont="1" applyBorder="1"/>
    <xf numFmtId="9" fontId="223" fillId="0" borderId="0" xfId="0" applyNumberFormat="1" applyFont="1" applyBorder="1" applyAlignment="1">
      <alignment horizontal="left"/>
    </xf>
    <xf numFmtId="0" fontId="3" fillId="0" borderId="0" xfId="0" applyFont="1" applyAlignment="1" applyProtection="1">
      <alignment horizontal="left"/>
    </xf>
    <xf numFmtId="0" fontId="0" fillId="0" borderId="0" xfId="0" applyAlignment="1" applyProtection="1">
      <alignment horizontal="left"/>
    </xf>
    <xf numFmtId="0" fontId="4" fillId="0" borderId="0" xfId="0" applyFont="1" applyBorder="1" applyAlignment="1" applyProtection="1">
      <alignment horizontal="left"/>
    </xf>
    <xf numFmtId="9" fontId="42" fillId="0" borderId="0" xfId="0" applyNumberFormat="1" applyFont="1" applyBorder="1" applyAlignment="1">
      <alignment horizontal="left"/>
    </xf>
    <xf numFmtId="0" fontId="223" fillId="0" borderId="0" xfId="0" applyFont="1" applyBorder="1" applyAlignment="1">
      <alignment horizontal="right"/>
    </xf>
    <xf numFmtId="0" fontId="4" fillId="0" borderId="0" xfId="0" applyFont="1"/>
    <xf numFmtId="0" fontId="42" fillId="0" borderId="0" xfId="0" applyFont="1" applyBorder="1" applyAlignment="1">
      <alignment horizontal="left"/>
    </xf>
    <xf numFmtId="0" fontId="0" fillId="0" borderId="0" xfId="0" applyAlignment="1">
      <alignment horizontal="left"/>
    </xf>
    <xf numFmtId="0" fontId="42" fillId="0" borderId="0" xfId="0" applyFont="1" applyAlignment="1">
      <alignment horizontal="left"/>
    </xf>
    <xf numFmtId="0" fontId="4" fillId="0" borderId="0" xfId="0" applyFont="1" applyBorder="1" applyAlignment="1" applyProtection="1">
      <alignment horizontal="center"/>
    </xf>
    <xf numFmtId="4" fontId="94" fillId="0" borderId="0" xfId="0" applyNumberFormat="1" applyFont="1" applyFill="1" applyAlignment="1" applyProtection="1">
      <alignment vertical="center"/>
    </xf>
    <xf numFmtId="0" fontId="67" fillId="0" borderId="0" xfId="0" applyFont="1" applyFill="1" applyAlignment="1" applyProtection="1">
      <alignment horizontal="left" vertical="center"/>
    </xf>
    <xf numFmtId="3" fontId="104" fillId="0" borderId="0" xfId="0" applyNumberFormat="1" applyFont="1" applyFill="1" applyAlignment="1" applyProtection="1">
      <alignment horizontal="left" vertical="center"/>
    </xf>
    <xf numFmtId="3" fontId="42" fillId="0" borderId="0" xfId="0" applyNumberFormat="1" applyFont="1" applyFill="1" applyAlignment="1" applyProtection="1">
      <alignment horizontal="left" vertical="center"/>
    </xf>
    <xf numFmtId="0" fontId="8" fillId="0" borderId="20" xfId="0" applyFont="1" applyFill="1" applyBorder="1" applyAlignment="1" applyProtection="1">
      <alignment vertical="center"/>
    </xf>
    <xf numFmtId="0" fontId="98" fillId="0" borderId="40" xfId="0" applyFont="1" applyFill="1" applyBorder="1" applyAlignment="1" applyProtection="1">
      <alignment vertical="center"/>
    </xf>
    <xf numFmtId="0" fontId="98" fillId="0" borderId="0" xfId="0" applyFont="1" applyFill="1" applyBorder="1" applyAlignment="1" applyProtection="1">
      <alignment vertical="center"/>
    </xf>
    <xf numFmtId="0" fontId="4" fillId="0" borderId="0" xfId="0" quotePrefix="1" applyFont="1" applyFill="1" applyProtection="1"/>
    <xf numFmtId="0" fontId="153" fillId="0" borderId="0" xfId="0" applyFont="1" applyFill="1" applyBorder="1" applyAlignment="1" applyProtection="1">
      <alignment horizontal="right" vertical="center"/>
    </xf>
    <xf numFmtId="0" fontId="153" fillId="0" borderId="0" xfId="0" applyFont="1" applyFill="1" applyBorder="1" applyAlignment="1" applyProtection="1">
      <alignment horizontal="center" vertical="center" wrapText="1"/>
    </xf>
    <xf numFmtId="0" fontId="4" fillId="7" borderId="0" xfId="0" applyFont="1" applyFill="1" applyAlignment="1" applyProtection="1">
      <alignment vertical="center"/>
    </xf>
    <xf numFmtId="0" fontId="4" fillId="0" borderId="70" xfId="0" applyFont="1" applyFill="1" applyBorder="1" applyAlignment="1" applyProtection="1">
      <alignment horizontal="left" vertical="center"/>
    </xf>
    <xf numFmtId="0" fontId="4" fillId="0" borderId="83" xfId="0" applyFont="1" applyFill="1" applyBorder="1" applyAlignment="1" applyProtection="1">
      <alignment horizontal="left" vertical="center"/>
    </xf>
    <xf numFmtId="0" fontId="42" fillId="0" borderId="56" xfId="0" applyFont="1" applyFill="1" applyBorder="1" applyAlignment="1" applyProtection="1">
      <alignment horizontal="left" vertical="center"/>
    </xf>
    <xf numFmtId="3" fontId="105" fillId="0" borderId="70" xfId="0" applyNumberFormat="1" applyFont="1" applyFill="1" applyBorder="1" applyAlignment="1" applyProtection="1">
      <alignment horizontal="center" vertical="center"/>
    </xf>
    <xf numFmtId="3" fontId="105" fillId="0" borderId="83" xfId="0" applyNumberFormat="1" applyFont="1" applyFill="1" applyBorder="1" applyAlignment="1" applyProtection="1">
      <alignment horizontal="center" vertical="center"/>
    </xf>
    <xf numFmtId="3" fontId="105" fillId="0" borderId="0" xfId="0" applyNumberFormat="1" applyFont="1" applyFill="1" applyBorder="1" applyAlignment="1" applyProtection="1">
      <alignment horizontal="center" vertical="center"/>
    </xf>
    <xf numFmtId="0" fontId="4" fillId="7" borderId="0" xfId="0" applyFont="1" applyFill="1" applyAlignment="1" applyProtection="1">
      <alignment horizontal="right" vertical="center"/>
    </xf>
    <xf numFmtId="0" fontId="42" fillId="0" borderId="0" xfId="0" applyFont="1" applyFill="1" applyBorder="1" applyAlignment="1" applyProtection="1">
      <alignment vertical="center" wrapText="1"/>
    </xf>
    <xf numFmtId="0" fontId="51" fillId="0" borderId="0" xfId="0" applyFont="1" applyFill="1" applyBorder="1" applyAlignment="1" applyProtection="1">
      <alignment vertical="center"/>
    </xf>
    <xf numFmtId="0" fontId="14" fillId="0" borderId="16" xfId="0" applyFont="1" applyFill="1" applyBorder="1" applyAlignment="1" applyProtection="1">
      <alignment horizontal="center" vertical="center"/>
    </xf>
    <xf numFmtId="0" fontId="14" fillId="0" borderId="17" xfId="0" applyFont="1" applyFill="1" applyBorder="1" applyAlignment="1" applyProtection="1">
      <alignment horizontal="center" vertical="center"/>
    </xf>
    <xf numFmtId="0" fontId="14" fillId="0" borderId="18" xfId="0" applyFont="1" applyFill="1" applyBorder="1" applyAlignment="1" applyProtection="1">
      <alignment horizontal="center" vertical="center"/>
    </xf>
    <xf numFmtId="4" fontId="4" fillId="0" borderId="23" xfId="0" applyNumberFormat="1" applyFont="1" applyFill="1" applyBorder="1" applyAlignment="1" applyProtection="1">
      <alignment horizontal="center" vertical="center" wrapText="1"/>
    </xf>
    <xf numFmtId="4" fontId="4" fillId="0" borderId="25" xfId="0" applyNumberFormat="1" applyFont="1" applyFill="1" applyBorder="1" applyAlignment="1" applyProtection="1">
      <alignment horizontal="center" vertical="center" wrapText="1"/>
    </xf>
    <xf numFmtId="4" fontId="4" fillId="0" borderId="24" xfId="0" applyNumberFormat="1" applyFont="1" applyFill="1" applyBorder="1" applyAlignment="1" applyProtection="1">
      <alignment horizontal="center" vertical="center" wrapText="1"/>
    </xf>
    <xf numFmtId="0" fontId="95" fillId="0" borderId="0" xfId="0" applyFont="1" applyFill="1" applyAlignment="1" applyProtection="1">
      <alignment horizontal="center" vertical="center"/>
    </xf>
    <xf numFmtId="0" fontId="20" fillId="0" borderId="0" xfId="0" quotePrefix="1" applyFont="1" applyFill="1" applyAlignment="1" applyProtection="1">
      <alignment horizontal="left" vertical="center"/>
    </xf>
    <xf numFmtId="0" fontId="10" fillId="0" borderId="0" xfId="0" applyFont="1" applyAlignment="1" applyProtection="1">
      <alignment horizontal="center"/>
    </xf>
    <xf numFmtId="0" fontId="14" fillId="0" borderId="0" xfId="0" applyFont="1" applyFill="1" applyBorder="1" applyProtection="1"/>
    <xf numFmtId="0" fontId="16" fillId="0" borderId="0" xfId="0" applyFont="1" applyAlignment="1" applyProtection="1">
      <alignment horizontal="right"/>
    </xf>
    <xf numFmtId="1" fontId="90" fillId="0" borderId="0" xfId="0" applyNumberFormat="1" applyFont="1" applyAlignment="1" applyProtection="1">
      <alignment vertical="center"/>
    </xf>
    <xf numFmtId="0" fontId="28" fillId="0" borderId="0" xfId="0" applyFont="1" applyAlignment="1" applyProtection="1">
      <alignment vertical="center"/>
    </xf>
    <xf numFmtId="0" fontId="90" fillId="0" borderId="0" xfId="0" applyFont="1" applyAlignment="1" applyProtection="1">
      <alignment vertical="center"/>
    </xf>
    <xf numFmtId="0" fontId="227" fillId="0" borderId="0" xfId="0" applyFont="1" applyFill="1" applyAlignment="1" applyProtection="1">
      <alignment horizontal="left" vertical="center"/>
    </xf>
    <xf numFmtId="0" fontId="0" fillId="0" borderId="0" xfId="0" applyAlignment="1" applyProtection="1">
      <alignment horizontal="center" vertical="top"/>
    </xf>
    <xf numFmtId="38" fontId="8" fillId="0" borderId="86" xfId="0" applyNumberFormat="1" applyFont="1" applyBorder="1" applyAlignment="1" applyProtection="1">
      <alignment horizontal="center" vertical="top" wrapText="1"/>
    </xf>
    <xf numFmtId="0" fontId="51" fillId="0" borderId="0" xfId="0" applyFont="1" applyProtection="1"/>
    <xf numFmtId="0" fontId="98" fillId="0" borderId="0" xfId="0" applyFont="1" applyAlignment="1" applyProtection="1">
      <alignment vertical="center" wrapText="1"/>
    </xf>
    <xf numFmtId="38" fontId="10" fillId="0" borderId="136" xfId="0" applyNumberFormat="1" applyFont="1" applyFill="1" applyBorder="1" applyAlignment="1" applyProtection="1">
      <alignment horizontal="center" vertical="top"/>
    </xf>
    <xf numFmtId="0" fontId="3" fillId="0" borderId="0" xfId="0" applyFont="1" applyAlignment="1" applyProtection="1">
      <alignment vertical="top"/>
    </xf>
    <xf numFmtId="0" fontId="91" fillId="0" borderId="0" xfId="0" applyFont="1" applyFill="1" applyBorder="1" applyAlignment="1" applyProtection="1">
      <alignment horizontal="center" vertical="center" wrapText="1"/>
    </xf>
    <xf numFmtId="0" fontId="230" fillId="0" borderId="0" xfId="33" applyFont="1"/>
    <xf numFmtId="0" fontId="74" fillId="0" borderId="80" xfId="33" applyFont="1" applyBorder="1" applyAlignment="1">
      <alignment horizontal="left" vertical="center"/>
    </xf>
    <xf numFmtId="0" fontId="74" fillId="0" borderId="85" xfId="33" applyFont="1" applyBorder="1" applyAlignment="1">
      <alignment vertical="center"/>
    </xf>
    <xf numFmtId="0" fontId="230" fillId="0" borderId="81" xfId="33" applyFont="1" applyBorder="1" applyAlignment="1">
      <alignment vertical="center"/>
    </xf>
    <xf numFmtId="164" fontId="230" fillId="0" borderId="0" xfId="34" applyNumberFormat="1" applyFont="1"/>
    <xf numFmtId="0" fontId="74" fillId="0" borderId="7" xfId="33" applyFont="1" applyBorder="1" applyAlignment="1">
      <alignment horizontal="left" vertical="center"/>
    </xf>
    <xf numFmtId="0" fontId="230" fillId="0" borderId="0" xfId="33" applyFont="1" applyAlignment="1">
      <alignment vertical="center"/>
    </xf>
    <xf numFmtId="0" fontId="230" fillId="0" borderId="8" xfId="33" applyFont="1" applyBorder="1" applyAlignment="1">
      <alignment vertical="center"/>
    </xf>
    <xf numFmtId="0" fontId="230" fillId="0" borderId="9" xfId="33" applyFont="1" applyBorder="1" applyAlignment="1">
      <alignment horizontal="left" vertical="center"/>
    </xf>
    <xf numFmtId="0" fontId="230" fillId="0" borderId="13" xfId="33" applyFont="1" applyBorder="1" applyAlignment="1">
      <alignment vertical="center"/>
    </xf>
    <xf numFmtId="0" fontId="230" fillId="0" borderId="14" xfId="33" applyFont="1" applyBorder="1" applyAlignment="1">
      <alignment vertical="center"/>
    </xf>
    <xf numFmtId="0" fontId="230" fillId="0" borderId="85" xfId="33" applyFont="1" applyBorder="1"/>
    <xf numFmtId="0" fontId="230" fillId="0" borderId="81" xfId="33" applyFont="1" applyBorder="1"/>
    <xf numFmtId="0" fontId="230" fillId="0" borderId="13" xfId="33" applyFont="1" applyBorder="1"/>
    <xf numFmtId="0" fontId="230" fillId="0" borderId="153" xfId="33" applyFont="1" applyBorder="1"/>
    <xf numFmtId="0" fontId="230" fillId="0" borderId="0" xfId="33" applyFont="1" applyAlignment="1">
      <alignment horizontal="center"/>
    </xf>
    <xf numFmtId="0" fontId="230" fillId="0" borderId="0" xfId="33" applyFont="1" applyAlignment="1">
      <alignment horizontal="left"/>
    </xf>
    <xf numFmtId="166" fontId="230" fillId="0" borderId="0" xfId="35" applyNumberFormat="1" applyFont="1"/>
    <xf numFmtId="0" fontId="233" fillId="0" borderId="0" xfId="33" applyFont="1" applyAlignment="1">
      <alignment horizontal="left"/>
    </xf>
    <xf numFmtId="164" fontId="230" fillId="0" borderId="0" xfId="33" applyNumberFormat="1" applyFont="1"/>
    <xf numFmtId="164" fontId="230" fillId="28" borderId="146" xfId="34" applyNumberFormat="1" applyFont="1" applyFill="1" applyBorder="1"/>
    <xf numFmtId="0" fontId="230" fillId="0" borderId="80" xfId="33" applyFont="1" applyBorder="1"/>
    <xf numFmtId="0" fontId="230" fillId="0" borderId="152" xfId="33" applyFont="1" applyBorder="1" applyAlignment="1">
      <alignment horizontal="center"/>
    </xf>
    <xf numFmtId="0" fontId="88" fillId="0" borderId="86" xfId="33" applyFont="1" applyFill="1" applyBorder="1" applyAlignment="1">
      <alignment horizontal="center" wrapText="1"/>
    </xf>
    <xf numFmtId="0" fontId="230" fillId="0" borderId="0" xfId="33" applyFont="1" applyBorder="1"/>
    <xf numFmtId="0" fontId="230" fillId="0" borderId="47" xfId="33" applyFont="1" applyBorder="1"/>
    <xf numFmtId="0" fontId="230" fillId="0" borderId="0" xfId="33" applyFont="1" applyBorder="1" applyAlignment="1">
      <alignment vertical="center"/>
    </xf>
    <xf numFmtId="0" fontId="230" fillId="0" borderId="82" xfId="33" applyFont="1" applyBorder="1" applyAlignment="1">
      <alignment vertical="center"/>
    </xf>
    <xf numFmtId="164" fontId="230" fillId="13" borderId="146" xfId="34" applyNumberFormat="1" applyFont="1" applyFill="1" applyBorder="1" applyAlignment="1" applyProtection="1">
      <alignment horizontal="center" vertical="center"/>
      <protection locked="0"/>
    </xf>
    <xf numFmtId="164" fontId="230" fillId="0" borderId="82" xfId="34" applyNumberFormat="1" applyFont="1" applyBorder="1" applyAlignment="1">
      <alignment horizontal="center" vertical="center"/>
    </xf>
    <xf numFmtId="0" fontId="232" fillId="0" borderId="82" xfId="33" applyFont="1" applyBorder="1" applyAlignment="1">
      <alignment vertical="center"/>
    </xf>
    <xf numFmtId="164" fontId="232" fillId="13" borderId="146" xfId="34" applyNumberFormat="1" applyFont="1" applyFill="1" applyBorder="1" applyAlignment="1" applyProtection="1">
      <alignment horizontal="center" vertical="center"/>
      <protection locked="0"/>
    </xf>
    <xf numFmtId="0" fontId="230" fillId="0" borderId="82" xfId="33" applyFont="1" applyBorder="1" applyAlignment="1">
      <alignment horizontal="center" vertical="center"/>
    </xf>
    <xf numFmtId="0" fontId="230" fillId="0" borderId="85" xfId="33" applyFont="1" applyBorder="1" applyAlignment="1">
      <alignment vertical="center"/>
    </xf>
    <xf numFmtId="164" fontId="230" fillId="13" borderId="147" xfId="34" applyNumberFormat="1" applyFont="1" applyFill="1" applyBorder="1" applyAlignment="1" applyProtection="1">
      <alignment horizontal="center" vertical="center"/>
      <protection locked="0"/>
    </xf>
    <xf numFmtId="164" fontId="230" fillId="13" borderId="148" xfId="34" applyNumberFormat="1" applyFont="1" applyFill="1" applyBorder="1" applyAlignment="1" applyProtection="1">
      <alignment horizontal="center" vertical="center"/>
      <protection locked="0"/>
    </xf>
    <xf numFmtId="0" fontId="230" fillId="13" borderId="149" xfId="33" applyFont="1" applyFill="1" applyBorder="1" applyAlignment="1" applyProtection="1">
      <alignment horizontal="center" vertical="center"/>
      <protection locked="0"/>
    </xf>
    <xf numFmtId="164" fontId="230" fillId="28" borderId="147" xfId="34" applyNumberFormat="1" applyFont="1" applyFill="1" applyBorder="1" applyAlignment="1">
      <alignment horizontal="center" vertical="center"/>
    </xf>
    <xf numFmtId="43" fontId="230" fillId="28" borderId="149" xfId="34" applyFont="1" applyFill="1" applyBorder="1" applyAlignment="1">
      <alignment horizontal="center" vertical="center"/>
    </xf>
    <xf numFmtId="0" fontId="230" fillId="0" borderId="153" xfId="33" applyFont="1" applyBorder="1" applyAlignment="1">
      <alignment vertical="center"/>
    </xf>
    <xf numFmtId="166" fontId="230" fillId="28" borderId="154" xfId="35" applyNumberFormat="1" applyFont="1" applyFill="1" applyBorder="1" applyAlignment="1">
      <alignment horizontal="center" vertical="center"/>
    </xf>
    <xf numFmtId="164" fontId="230" fillId="28" borderId="155" xfId="34" applyNumberFormat="1" applyFont="1" applyFill="1" applyBorder="1" applyAlignment="1">
      <alignment horizontal="center" vertical="center"/>
    </xf>
    <xf numFmtId="184" fontId="230" fillId="28" borderId="136" xfId="33" applyNumberFormat="1" applyFont="1" applyFill="1" applyBorder="1" applyAlignment="1">
      <alignment horizontal="center" vertical="center"/>
    </xf>
    <xf numFmtId="184" fontId="230" fillId="28" borderId="17" xfId="33" applyNumberFormat="1" applyFont="1" applyFill="1" applyBorder="1" applyAlignment="1">
      <alignment horizontal="center" vertical="center"/>
    </xf>
    <xf numFmtId="184" fontId="230" fillId="28" borderId="18" xfId="33" applyNumberFormat="1" applyFont="1" applyFill="1" applyBorder="1" applyAlignment="1">
      <alignment horizontal="center" vertical="center"/>
    </xf>
    <xf numFmtId="0" fontId="230" fillId="0" borderId="85" xfId="33" applyFont="1" applyBorder="1" applyAlignment="1">
      <alignment horizontal="right" vertical="center"/>
    </xf>
    <xf numFmtId="0" fontId="230" fillId="0" borderId="0" xfId="33" applyFont="1" applyBorder="1" applyAlignment="1">
      <alignment horizontal="right" vertical="center"/>
    </xf>
    <xf numFmtId="164" fontId="230" fillId="28" borderId="146" xfId="34" applyNumberFormat="1" applyFont="1" applyFill="1" applyBorder="1" applyAlignment="1">
      <alignment horizontal="center" vertical="center"/>
    </xf>
    <xf numFmtId="0" fontId="230" fillId="11" borderId="86" xfId="33" applyFont="1" applyFill="1" applyBorder="1" applyAlignment="1">
      <alignment horizontal="center" vertical="center"/>
    </xf>
    <xf numFmtId="0" fontId="230" fillId="11" borderId="84" xfId="33" applyFont="1" applyFill="1" applyBorder="1" applyAlignment="1">
      <alignment horizontal="center" vertical="center"/>
    </xf>
    <xf numFmtId="0" fontId="230" fillId="11" borderId="11" xfId="33" applyFont="1" applyFill="1" applyBorder="1" applyAlignment="1">
      <alignment horizontal="center" vertical="center"/>
    </xf>
    <xf numFmtId="0" fontId="230" fillId="11" borderId="12" xfId="33" applyFont="1" applyFill="1" applyBorder="1" applyAlignment="1">
      <alignment horizontal="center" vertical="center"/>
    </xf>
    <xf numFmtId="0" fontId="88" fillId="0" borderId="156" xfId="33" applyFont="1" applyFill="1" applyBorder="1" applyAlignment="1">
      <alignment horizontal="center" wrapText="1"/>
    </xf>
    <xf numFmtId="0" fontId="74" fillId="0" borderId="12" xfId="33" applyFont="1" applyFill="1" applyBorder="1" applyAlignment="1">
      <alignment horizontal="center" wrapText="1"/>
    </xf>
    <xf numFmtId="164" fontId="88" fillId="0" borderId="12" xfId="34" applyNumberFormat="1" applyFont="1" applyFill="1" applyBorder="1" applyAlignment="1">
      <alignment horizontal="center" wrapText="1"/>
    </xf>
    <xf numFmtId="0" fontId="88" fillId="0" borderId="12" xfId="33" applyFont="1" applyFill="1" applyBorder="1" applyAlignment="1">
      <alignment horizontal="center" wrapText="1"/>
    </xf>
    <xf numFmtId="0" fontId="230" fillId="0" borderId="0" xfId="33" applyFont="1" applyBorder="1" applyAlignment="1"/>
    <xf numFmtId="184" fontId="230" fillId="29" borderId="35" xfId="33" applyNumberFormat="1" applyFont="1" applyFill="1" applyBorder="1" applyAlignment="1">
      <alignment horizontal="center"/>
    </xf>
    <xf numFmtId="0" fontId="232" fillId="0" borderId="155" xfId="33" applyFont="1" applyFill="1" applyBorder="1" applyAlignment="1">
      <alignment horizontal="right"/>
    </xf>
    <xf numFmtId="0" fontId="229" fillId="0" borderId="0" xfId="33" applyFont="1" applyAlignment="1"/>
    <xf numFmtId="164" fontId="232" fillId="29" borderId="154" xfId="34" applyNumberFormat="1" applyFont="1" applyFill="1" applyBorder="1" applyAlignment="1">
      <alignment horizontal="center" vertical="center"/>
    </xf>
    <xf numFmtId="164" fontId="232" fillId="29" borderId="154" xfId="34" applyNumberFormat="1" applyFont="1" applyFill="1" applyBorder="1" applyAlignment="1">
      <alignment horizontal="center"/>
    </xf>
    <xf numFmtId="184" fontId="230" fillId="0" borderId="153" xfId="33" applyNumberFormat="1" applyFont="1" applyFill="1" applyBorder="1" applyAlignment="1">
      <alignment horizontal="center"/>
    </xf>
    <xf numFmtId="0" fontId="230" fillId="0" borderId="150" xfId="33" applyFont="1" applyBorder="1" applyAlignment="1">
      <alignment horizontal="center"/>
    </xf>
    <xf numFmtId="0" fontId="230" fillId="0" borderId="44" xfId="33" applyFont="1" applyBorder="1" applyAlignment="1">
      <alignment horizontal="center"/>
    </xf>
    <xf numFmtId="0" fontId="230" fillId="0" borderId="151" xfId="33" applyFont="1" applyBorder="1" applyAlignment="1">
      <alignment horizontal="center"/>
    </xf>
    <xf numFmtId="0" fontId="230" fillId="0" borderId="85" xfId="33" applyFont="1" applyBorder="1" applyAlignment="1"/>
    <xf numFmtId="0" fontId="230" fillId="0" borderId="81" xfId="33" applyFont="1" applyBorder="1" applyAlignment="1"/>
    <xf numFmtId="0" fontId="230" fillId="0" borderId="8" xfId="33" applyFont="1" applyBorder="1" applyAlignment="1"/>
    <xf numFmtId="0" fontId="230" fillId="0" borderId="13" xfId="33" applyFont="1" applyBorder="1" applyAlignment="1"/>
    <xf numFmtId="0" fontId="230" fillId="0" borderId="14" xfId="33" applyFont="1" applyBorder="1" applyAlignment="1"/>
    <xf numFmtId="164" fontId="235" fillId="29" borderId="15" xfId="34" applyNumberFormat="1" applyFont="1" applyFill="1" applyBorder="1" applyAlignment="1">
      <alignment horizontal="center" vertical="center"/>
    </xf>
    <xf numFmtId="0" fontId="230" fillId="0" borderId="163" xfId="33" applyFont="1" applyBorder="1"/>
    <xf numFmtId="164" fontId="230" fillId="28" borderId="155" xfId="34" applyNumberFormat="1" applyFont="1" applyFill="1" applyBorder="1"/>
    <xf numFmtId="0" fontId="230" fillId="0" borderId="144" xfId="33" applyFont="1" applyBorder="1"/>
    <xf numFmtId="186" fontId="236" fillId="28" borderId="136" xfId="33" applyNumberFormat="1" applyFont="1" applyFill="1" applyBorder="1" applyAlignment="1">
      <alignment horizontal="center" vertical="center"/>
    </xf>
    <xf numFmtId="184" fontId="236" fillId="28" borderId="136" xfId="33" applyNumberFormat="1" applyFont="1" applyFill="1" applyBorder="1" applyAlignment="1">
      <alignment horizontal="center" vertical="center"/>
    </xf>
    <xf numFmtId="0" fontId="236" fillId="0" borderId="0" xfId="33" applyFont="1"/>
    <xf numFmtId="164" fontId="236" fillId="28" borderId="136" xfId="34" applyNumberFormat="1" applyFont="1" applyFill="1" applyBorder="1" applyAlignment="1">
      <alignment horizontal="center" vertical="center"/>
    </xf>
    <xf numFmtId="186" fontId="236" fillId="28" borderId="17" xfId="33" applyNumberFormat="1" applyFont="1" applyFill="1" applyBorder="1" applyAlignment="1">
      <alignment horizontal="center" vertical="center"/>
    </xf>
    <xf numFmtId="184" fontId="236" fillId="28" borderId="17" xfId="33" applyNumberFormat="1" applyFont="1" applyFill="1" applyBorder="1" applyAlignment="1">
      <alignment horizontal="center" vertical="center"/>
    </xf>
    <xf numFmtId="164" fontId="236" fillId="28" borderId="17" xfId="34" applyNumberFormat="1" applyFont="1" applyFill="1" applyBorder="1" applyAlignment="1">
      <alignment horizontal="center" vertical="center"/>
    </xf>
    <xf numFmtId="186" fontId="236" fillId="28" borderId="18" xfId="33" applyNumberFormat="1" applyFont="1" applyFill="1" applyBorder="1" applyAlignment="1">
      <alignment horizontal="center" vertical="center"/>
    </xf>
    <xf numFmtId="184" fontId="236" fillId="28" borderId="18" xfId="33" applyNumberFormat="1" applyFont="1" applyFill="1" applyBorder="1" applyAlignment="1">
      <alignment horizontal="center" vertical="center"/>
    </xf>
    <xf numFmtId="164" fontId="236" fillId="28" borderId="18" xfId="34" applyNumberFormat="1" applyFont="1" applyFill="1" applyBorder="1" applyAlignment="1">
      <alignment horizontal="center" vertical="center"/>
    </xf>
    <xf numFmtId="0" fontId="236" fillId="0" borderId="0" xfId="33" applyFont="1" applyAlignment="1">
      <alignment horizontal="left"/>
    </xf>
    <xf numFmtId="0" fontId="21" fillId="0" borderId="0" xfId="0" applyFont="1" applyFill="1" applyAlignment="1" applyProtection="1">
      <alignment horizontal="right"/>
    </xf>
    <xf numFmtId="0" fontId="16" fillId="0" borderId="0" xfId="0" applyFont="1" applyProtection="1"/>
    <xf numFmtId="0" fontId="4" fillId="0" borderId="84" xfId="0" applyFont="1" applyBorder="1" applyAlignment="1" applyProtection="1">
      <alignment vertical="center"/>
    </xf>
    <xf numFmtId="0" fontId="11" fillId="0" borderId="0" xfId="0" applyFont="1" applyAlignment="1" applyProtection="1">
      <alignment horizontal="right" vertical="center"/>
    </xf>
    <xf numFmtId="0" fontId="90" fillId="0" borderId="0" xfId="0" applyFont="1" applyAlignment="1" applyProtection="1">
      <alignment horizontal="center" vertical="center"/>
    </xf>
    <xf numFmtId="49" fontId="90" fillId="0" borderId="0" xfId="0" applyNumberFormat="1" applyFont="1" applyAlignment="1" applyProtection="1">
      <alignment horizontal="center" vertical="center"/>
    </xf>
    <xf numFmtId="2" fontId="90" fillId="0" borderId="0" xfId="0" applyNumberFormat="1" applyFont="1" applyAlignment="1" applyProtection="1">
      <alignment horizontal="center" vertical="center"/>
    </xf>
    <xf numFmtId="0" fontId="93" fillId="0" borderId="0" xfId="0" applyFont="1" applyBorder="1" applyProtection="1"/>
    <xf numFmtId="0" fontId="23" fillId="0" borderId="0" xfId="0" quotePrefix="1" applyFont="1" applyFill="1" applyBorder="1" applyAlignment="1" applyProtection="1">
      <alignment horizontal="left" vertical="center"/>
    </xf>
    <xf numFmtId="0" fontId="84" fillId="0" borderId="0" xfId="0" applyFont="1" applyFill="1" applyAlignment="1" applyProtection="1">
      <alignment horizontal="left" vertical="center"/>
    </xf>
    <xf numFmtId="176" fontId="14" fillId="13" borderId="17" xfId="0" applyNumberFormat="1" applyFont="1" applyFill="1" applyBorder="1" applyAlignment="1" applyProtection="1">
      <alignment horizontal="center" vertical="center"/>
    </xf>
    <xf numFmtId="0" fontId="4" fillId="0" borderId="0" xfId="0" applyFont="1" applyFill="1" applyBorder="1" applyAlignment="1" applyProtection="1">
      <alignment horizontal="right" vertical="top" wrapText="1"/>
    </xf>
    <xf numFmtId="0" fontId="4" fillId="0" borderId="0" xfId="0" applyFont="1" applyFill="1" applyAlignment="1" applyProtection="1">
      <alignment horizontal="center" wrapText="1"/>
    </xf>
    <xf numFmtId="0" fontId="91" fillId="0" borderId="0" xfId="0" applyFont="1" applyBorder="1" applyAlignment="1" applyProtection="1">
      <alignment horizontal="right" vertical="top"/>
    </xf>
    <xf numFmtId="0" fontId="0" fillId="0" borderId="0" xfId="0" applyAlignment="1" applyProtection="1">
      <alignment horizontal="left" vertical="top"/>
    </xf>
    <xf numFmtId="0" fontId="184" fillId="0" borderId="0" xfId="0" applyFont="1" applyFill="1" applyBorder="1" applyAlignment="1" applyProtection="1">
      <alignment vertical="top" wrapText="1"/>
    </xf>
    <xf numFmtId="0" fontId="4" fillId="0" borderId="0" xfId="0" applyFont="1" applyFill="1" applyBorder="1" applyAlignment="1" applyProtection="1">
      <alignment wrapText="1"/>
    </xf>
    <xf numFmtId="0" fontId="98" fillId="0" borderId="0" xfId="0" applyFont="1" applyFill="1" applyBorder="1" applyAlignment="1" applyProtection="1">
      <alignment vertical="center" wrapText="1"/>
    </xf>
    <xf numFmtId="0" fontId="96" fillId="0" borderId="0" xfId="0" applyFont="1" applyFill="1" applyBorder="1" applyAlignment="1" applyProtection="1">
      <alignment horizontal="center" vertical="center"/>
    </xf>
    <xf numFmtId="0" fontId="103" fillId="0" borderId="0" xfId="0" applyFont="1" applyFill="1" applyAlignment="1" applyProtection="1">
      <alignment horizontal="center" vertical="center"/>
    </xf>
    <xf numFmtId="0" fontId="202" fillId="0" borderId="0" xfId="0" applyFont="1" applyFill="1" applyProtection="1"/>
    <xf numFmtId="0" fontId="4" fillId="0" borderId="0" xfId="0" applyFont="1" applyBorder="1" applyAlignment="1" applyProtection="1">
      <alignment vertical="top"/>
    </xf>
    <xf numFmtId="0" fontId="42" fillId="0" borderId="0" xfId="9" applyFont="1" applyFill="1" applyProtection="1"/>
    <xf numFmtId="0" fontId="42" fillId="0" borderId="0" xfId="0" quotePrefix="1" applyNumberFormat="1" applyFont="1" applyFill="1" applyProtection="1"/>
    <xf numFmtId="0" fontId="42" fillId="0" borderId="0" xfId="0" applyNumberFormat="1" applyFont="1" applyFill="1" applyAlignment="1" applyProtection="1">
      <alignment horizontal="center"/>
    </xf>
    <xf numFmtId="0" fontId="113" fillId="0" borderId="0" xfId="0" applyFont="1" applyFill="1" applyAlignment="1" applyProtection="1"/>
    <xf numFmtId="0" fontId="13" fillId="0" borderId="0" xfId="0" applyFont="1" applyFill="1" applyAlignment="1" applyProtection="1">
      <alignment horizontal="left" vertical="center"/>
    </xf>
    <xf numFmtId="0" fontId="157" fillId="0" borderId="0" xfId="0" applyFont="1" applyFill="1" applyAlignment="1" applyProtection="1">
      <alignment vertical="center"/>
    </xf>
    <xf numFmtId="0" fontId="18" fillId="0" borderId="86" xfId="0" applyFont="1" applyFill="1" applyBorder="1" applyAlignment="1" applyProtection="1">
      <alignment horizontal="center" vertical="center"/>
    </xf>
    <xf numFmtId="0" fontId="18" fillId="0" borderId="86" xfId="0" quotePrefix="1" applyFont="1" applyFill="1" applyBorder="1" applyAlignment="1" applyProtection="1">
      <alignment horizontal="center" vertical="center"/>
    </xf>
    <xf numFmtId="0" fontId="111" fillId="0" borderId="0" xfId="0" applyFont="1" applyBorder="1" applyAlignment="1" applyProtection="1">
      <alignment horizontal="center" vertical="center" wrapText="1"/>
    </xf>
    <xf numFmtId="0" fontId="85" fillId="0" borderId="0" xfId="0" applyFont="1" applyFill="1" applyAlignment="1" applyProtection="1">
      <alignment vertical="top" wrapText="1"/>
    </xf>
    <xf numFmtId="0" fontId="83" fillId="15" borderId="0" xfId="0" applyFont="1" applyFill="1" applyAlignment="1" applyProtection="1">
      <alignment vertical="center"/>
    </xf>
    <xf numFmtId="0" fontId="29" fillId="8" borderId="36" xfId="0" applyFont="1" applyFill="1" applyBorder="1" applyAlignment="1" applyProtection="1">
      <alignment vertical="center"/>
    </xf>
    <xf numFmtId="0" fontId="29" fillId="8" borderId="2" xfId="0" applyFont="1" applyFill="1" applyBorder="1" applyAlignment="1" applyProtection="1">
      <alignment vertical="center"/>
    </xf>
    <xf numFmtId="0" fontId="29" fillId="8" borderId="37" xfId="0" applyFont="1" applyFill="1" applyBorder="1" applyAlignment="1" applyProtection="1">
      <alignment vertical="center"/>
    </xf>
    <xf numFmtId="0" fontId="29" fillId="8" borderId="82" xfId="0" applyFont="1" applyFill="1" applyBorder="1" applyAlignment="1" applyProtection="1">
      <alignment vertical="center"/>
    </xf>
    <xf numFmtId="0" fontId="98" fillId="0" borderId="0" xfId="0" applyFont="1" applyFill="1" applyBorder="1" applyAlignment="1" applyProtection="1">
      <alignment horizontal="center" vertical="center"/>
    </xf>
    <xf numFmtId="0" fontId="13" fillId="0" borderId="0" xfId="0" applyFont="1" applyFill="1" applyBorder="1" applyAlignment="1" applyProtection="1">
      <alignment horizontal="left" vertical="center"/>
    </xf>
    <xf numFmtId="0" fontId="28" fillId="0" borderId="0" xfId="0" applyFont="1" applyFill="1" applyAlignment="1" applyProtection="1">
      <alignment vertical="center"/>
    </xf>
    <xf numFmtId="0" fontId="105" fillId="0" borderId="0" xfId="0" applyFont="1" applyFill="1" applyBorder="1" applyAlignment="1" applyProtection="1">
      <alignment vertical="top" wrapText="1"/>
    </xf>
    <xf numFmtId="0" fontId="39" fillId="0" borderId="19" xfId="0" applyFont="1" applyFill="1" applyBorder="1" applyProtection="1"/>
    <xf numFmtId="0" fontId="28" fillId="0" borderId="0" xfId="0" applyFont="1" applyFill="1" applyBorder="1" applyAlignment="1" applyProtection="1">
      <alignment horizontal="left" vertical="center"/>
    </xf>
    <xf numFmtId="0" fontId="28" fillId="0" borderId="0" xfId="0" applyFont="1" applyFill="1" applyAlignment="1" applyProtection="1">
      <alignment horizontal="left" vertical="center"/>
    </xf>
    <xf numFmtId="0" fontId="13" fillId="0" borderId="19" xfId="0" applyFont="1" applyFill="1" applyBorder="1" applyAlignment="1" applyProtection="1">
      <alignment horizontal="left" vertical="center"/>
    </xf>
    <xf numFmtId="0" fontId="98" fillId="0" borderId="13" xfId="0" applyFont="1" applyFill="1" applyBorder="1" applyAlignment="1" applyProtection="1">
      <alignment vertical="top" wrapText="1"/>
    </xf>
    <xf numFmtId="0" fontId="245" fillId="0" borderId="0" xfId="0" applyFont="1" applyFill="1" applyAlignment="1" applyProtection="1">
      <alignment horizontal="center"/>
    </xf>
    <xf numFmtId="0" fontId="96" fillId="0" borderId="0" xfId="0" applyFont="1" applyProtection="1"/>
    <xf numFmtId="0" fontId="92" fillId="0" borderId="0" xfId="0" applyFont="1" applyProtection="1"/>
    <xf numFmtId="0" fontId="96" fillId="0" borderId="0" xfId="0" applyFont="1" applyFill="1" applyAlignment="1" applyProtection="1">
      <alignment horizontal="left"/>
    </xf>
    <xf numFmtId="0" fontId="96" fillId="0" borderId="0" xfId="0" applyNumberFormat="1" applyFont="1" applyFill="1" applyProtection="1"/>
    <xf numFmtId="0" fontId="96" fillId="0" borderId="0" xfId="0" applyFont="1" applyFill="1" applyAlignment="1" applyProtection="1">
      <alignment horizontal="left" vertical="center"/>
    </xf>
    <xf numFmtId="0" fontId="96" fillId="0" borderId="0" xfId="0" applyNumberFormat="1" applyFont="1" applyFill="1" applyAlignment="1" applyProtection="1">
      <alignment horizontal="left" vertical="center"/>
    </xf>
    <xf numFmtId="0" fontId="246" fillId="0" borderId="0" xfId="0" applyFont="1" applyFill="1" applyAlignment="1" applyProtection="1">
      <alignment horizontal="left"/>
    </xf>
    <xf numFmtId="0" fontId="96" fillId="0" borderId="0" xfId="0" applyFont="1" applyFill="1" applyBorder="1" applyAlignment="1" applyProtection="1">
      <alignment horizontal="center" vertical="top"/>
    </xf>
    <xf numFmtId="0" fontId="96" fillId="0" borderId="0" xfId="0" applyFont="1" applyFill="1" applyAlignment="1" applyProtection="1"/>
    <xf numFmtId="0" fontId="96" fillId="0" borderId="0" xfId="0" applyFont="1" applyFill="1" applyAlignment="1" applyProtection="1">
      <alignment vertical="top"/>
    </xf>
    <xf numFmtId="0" fontId="96" fillId="0" borderId="0" xfId="0" applyFont="1" applyFill="1" applyBorder="1" applyAlignment="1" applyProtection="1">
      <alignment horizontal="left" vertical="top"/>
    </xf>
    <xf numFmtId="0" fontId="96" fillId="0" borderId="0" xfId="0" applyFont="1" applyFill="1" applyBorder="1" applyAlignment="1" applyProtection="1">
      <alignment vertical="top"/>
    </xf>
    <xf numFmtId="0" fontId="245" fillId="0" borderId="0" xfId="0" applyFont="1" applyFill="1" applyAlignment="1" applyProtection="1"/>
    <xf numFmtId="0" fontId="96" fillId="0" borderId="0" xfId="0" applyFont="1" applyFill="1" applyBorder="1" applyAlignment="1" applyProtection="1">
      <alignment vertical="top" wrapText="1"/>
    </xf>
    <xf numFmtId="0" fontId="96" fillId="0" borderId="0" xfId="0" applyFont="1" applyFill="1" applyBorder="1" applyProtection="1"/>
    <xf numFmtId="0" fontId="92" fillId="0" borderId="0" xfId="0" applyFont="1" applyAlignment="1" applyProtection="1">
      <alignment horizontal="center"/>
    </xf>
    <xf numFmtId="0" fontId="83" fillId="0" borderId="0" xfId="0" applyFont="1" applyAlignment="1" applyProtection="1">
      <alignment horizontal="center"/>
    </xf>
    <xf numFmtId="0" fontId="93" fillId="0" borderId="0" xfId="0" applyFont="1" applyAlignment="1" applyProtection="1">
      <alignment vertical="top"/>
    </xf>
    <xf numFmtId="0" fontId="105" fillId="0" borderId="0" xfId="0" applyFont="1" applyFill="1" applyProtection="1"/>
    <xf numFmtId="0" fontId="10" fillId="0" borderId="0" xfId="0" applyFont="1" applyFill="1" applyBorder="1" applyAlignment="1" applyProtection="1">
      <alignment horizontal="right" vertical="top"/>
    </xf>
    <xf numFmtId="0" fontId="90" fillId="0" borderId="0" xfId="0" applyFont="1" applyFill="1" applyAlignment="1" applyProtection="1">
      <alignment horizontal="center" vertical="center"/>
    </xf>
    <xf numFmtId="0" fontId="106" fillId="0" borderId="0" xfId="0" applyFont="1" applyFill="1" applyAlignment="1" applyProtection="1">
      <alignment horizontal="left"/>
    </xf>
    <xf numFmtId="10" fontId="13" fillId="0" borderId="3" xfId="0" applyNumberFormat="1" applyFont="1" applyFill="1" applyBorder="1" applyAlignment="1" applyProtection="1">
      <alignment vertical="center"/>
    </xf>
    <xf numFmtId="0" fontId="3" fillId="0" borderId="0" xfId="13" applyFont="1" applyAlignment="1" applyProtection="1">
      <alignment horizontal="justify" vertical="top" wrapText="1"/>
    </xf>
    <xf numFmtId="0" fontId="20" fillId="0" borderId="0" xfId="13" applyFont="1" applyBorder="1" applyAlignment="1" applyProtection="1">
      <alignment horizontal="center"/>
    </xf>
    <xf numFmtId="0" fontId="20" fillId="0" borderId="20" xfId="13" applyFont="1" applyBorder="1" applyAlignment="1" applyProtection="1">
      <alignment horizontal="center"/>
    </xf>
    <xf numFmtId="0" fontId="4" fillId="0" borderId="0" xfId="13" applyFont="1" applyAlignment="1" applyProtection="1">
      <alignment horizontal="center"/>
    </xf>
    <xf numFmtId="3" fontId="90" fillId="10" borderId="20" xfId="13" applyNumberFormat="1" applyFont="1" applyFill="1" applyBorder="1" applyAlignment="1" applyProtection="1">
      <alignment horizontal="center"/>
    </xf>
    <xf numFmtId="0" fontId="151" fillId="0" borderId="35" xfId="13" applyFont="1" applyBorder="1" applyAlignment="1" applyProtection="1">
      <alignment vertical="center"/>
    </xf>
    <xf numFmtId="49" fontId="42" fillId="0" borderId="91" xfId="0" quotePrefix="1" applyNumberFormat="1" applyFont="1" applyBorder="1" applyAlignment="1">
      <alignment horizontal="center" vertical="top"/>
    </xf>
    <xf numFmtId="49" fontId="42" fillId="0" borderId="91" xfId="0" applyNumberFormat="1" applyFont="1" applyBorder="1" applyAlignment="1">
      <alignment horizontal="center" vertical="center"/>
    </xf>
    <xf numFmtId="49" fontId="42" fillId="0" borderId="38" xfId="0" quotePrefix="1" applyNumberFormat="1" applyFont="1" applyBorder="1" applyAlignment="1">
      <alignment horizontal="center" vertical="top"/>
    </xf>
    <xf numFmtId="49" fontId="42" fillId="0" borderId="38" xfId="0" applyNumberFormat="1" applyFont="1" applyBorder="1" applyAlignment="1">
      <alignment horizontal="center" vertical="center"/>
    </xf>
    <xf numFmtId="49" fontId="42" fillId="0" borderId="38" xfId="0" applyNumberFormat="1" applyFont="1" applyBorder="1" applyAlignment="1">
      <alignment horizontal="center"/>
    </xf>
    <xf numFmtId="49" fontId="223" fillId="0" borderId="50" xfId="0" applyNumberFormat="1" applyFont="1" applyBorder="1" applyAlignment="1">
      <alignment horizontal="left"/>
    </xf>
    <xf numFmtId="49" fontId="223" fillId="0" borderId="38" xfId="0" applyNumberFormat="1" applyFont="1" applyBorder="1" applyAlignment="1">
      <alignment horizontal="center"/>
    </xf>
    <xf numFmtId="49" fontId="223" fillId="0" borderId="25" xfId="0" applyNumberFormat="1" applyFont="1" applyBorder="1" applyAlignment="1">
      <alignment horizontal="center"/>
    </xf>
    <xf numFmtId="49" fontId="42" fillId="0" borderId="0" xfId="0" applyNumberFormat="1" applyFont="1"/>
    <xf numFmtId="49" fontId="223" fillId="0" borderId="50" xfId="0" applyNumberFormat="1" applyFont="1" applyBorder="1"/>
    <xf numFmtId="49" fontId="223" fillId="0" borderId="48" xfId="0" applyNumberFormat="1" applyFont="1" applyBorder="1"/>
    <xf numFmtId="49" fontId="223" fillId="0" borderId="49" xfId="0" applyNumberFormat="1" applyFont="1" applyBorder="1" applyAlignment="1">
      <alignment horizontal="center"/>
    </xf>
    <xf numFmtId="49" fontId="223" fillId="0" borderId="24" xfId="0" applyNumberFormat="1" applyFont="1" applyBorder="1" applyAlignment="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230" fillId="0" borderId="7" xfId="33" applyFont="1" applyBorder="1" applyAlignment="1">
      <alignment horizontal="center"/>
    </xf>
    <xf numFmtId="0" fontId="232" fillId="0" borderId="153" xfId="33" applyFont="1" applyBorder="1" applyAlignment="1">
      <alignment horizontal="right"/>
    </xf>
    <xf numFmtId="0" fontId="101" fillId="0" borderId="0" xfId="0" applyFont="1" applyFill="1" applyBorder="1" applyAlignment="1" applyProtection="1">
      <alignment vertical="center" wrapText="1"/>
    </xf>
    <xf numFmtId="0" fontId="101" fillId="20" borderId="7" xfId="0" applyFont="1" applyFill="1" applyBorder="1" applyAlignment="1" applyProtection="1">
      <alignment vertical="center" wrapText="1"/>
    </xf>
    <xf numFmtId="0" fontId="101" fillId="20" borderId="0" xfId="0" applyFont="1" applyFill="1" applyBorder="1" applyAlignment="1" applyProtection="1">
      <alignment vertical="center" wrapText="1"/>
    </xf>
    <xf numFmtId="0" fontId="101" fillId="20" borderId="8" xfId="0" applyFont="1" applyFill="1" applyBorder="1" applyAlignment="1" applyProtection="1">
      <alignment vertical="center" wrapText="1"/>
    </xf>
    <xf numFmtId="0" fontId="101" fillId="0" borderId="7" xfId="0" applyFont="1" applyFill="1" applyBorder="1" applyAlignment="1" applyProtection="1">
      <alignment vertical="center" wrapText="1"/>
    </xf>
    <xf numFmtId="0" fontId="101" fillId="0" borderId="8" xfId="0" applyFont="1" applyFill="1" applyBorder="1" applyAlignment="1" applyProtection="1">
      <alignment vertical="center" wrapText="1"/>
    </xf>
    <xf numFmtId="0" fontId="16" fillId="0" borderId="0" xfId="0" applyFont="1" applyFill="1" applyProtection="1"/>
    <xf numFmtId="0" fontId="215" fillId="0" borderId="0" xfId="0" applyFont="1" applyFill="1" applyBorder="1" applyAlignment="1" applyProtection="1">
      <alignment horizontal="left" vertical="center"/>
    </xf>
    <xf numFmtId="0" fontId="92" fillId="0" borderId="0" xfId="0" applyFont="1" applyFill="1" applyBorder="1" applyAlignment="1" applyProtection="1">
      <alignment vertical="center"/>
    </xf>
    <xf numFmtId="0" fontId="95" fillId="0" borderId="0" xfId="0" applyFont="1" applyFill="1" applyBorder="1" applyAlignment="1" applyProtection="1">
      <alignment horizontal="center" vertical="center"/>
    </xf>
    <xf numFmtId="0" fontId="93" fillId="0" borderId="0" xfId="0" applyFont="1" applyFill="1" applyBorder="1" applyAlignment="1" applyProtection="1">
      <alignment horizontal="center"/>
    </xf>
    <xf numFmtId="0" fontId="249" fillId="0" borderId="0" xfId="0" applyFont="1" applyFill="1" applyBorder="1" applyAlignment="1" applyProtection="1">
      <alignment horizontal="center"/>
    </xf>
    <xf numFmtId="0" fontId="102" fillId="0" borderId="0" xfId="0" applyFont="1" applyFill="1" applyBorder="1" applyAlignment="1" applyProtection="1">
      <alignment vertical="center"/>
    </xf>
    <xf numFmtId="0" fontId="250" fillId="0" borderId="0" xfId="0" applyFont="1" applyFill="1" applyBorder="1" applyAlignment="1" applyProtection="1">
      <alignment horizontal="left" vertical="center"/>
    </xf>
    <xf numFmtId="0" fontId="102" fillId="0" borderId="0" xfId="0" applyFont="1" applyFill="1" applyBorder="1" applyAlignment="1" applyProtection="1">
      <alignment horizontal="center" vertical="center"/>
    </xf>
    <xf numFmtId="0" fontId="95" fillId="0" borderId="0" xfId="0" applyFont="1" applyFill="1" applyBorder="1" applyAlignment="1" applyProtection="1">
      <alignment vertical="center"/>
    </xf>
    <xf numFmtId="0" fontId="102" fillId="0" borderId="0" xfId="0" applyFont="1" applyFill="1" applyBorder="1" applyAlignment="1" applyProtection="1">
      <alignment horizontal="left" vertical="center"/>
    </xf>
    <xf numFmtId="42" fontId="102" fillId="0" borderId="0" xfId="2" applyNumberFormat="1" applyFont="1" applyFill="1" applyBorder="1" applyAlignment="1" applyProtection="1">
      <alignment vertical="center"/>
    </xf>
    <xf numFmtId="42" fontId="92" fillId="0" borderId="0" xfId="2" applyNumberFormat="1" applyFont="1" applyFill="1" applyBorder="1" applyAlignment="1" applyProtection="1">
      <alignment vertical="center"/>
    </xf>
    <xf numFmtId="0" fontId="102" fillId="0" borderId="0" xfId="0" applyFont="1" applyFill="1" applyBorder="1" applyAlignment="1" applyProtection="1">
      <alignment horizontal="right" vertical="center"/>
    </xf>
    <xf numFmtId="0" fontId="102" fillId="0" borderId="0" xfId="0" applyFont="1" applyFill="1" applyBorder="1" applyAlignment="1" applyProtection="1"/>
    <xf numFmtId="0" fontId="102" fillId="0" borderId="0" xfId="0" applyNumberFormat="1" applyFont="1" applyFill="1" applyBorder="1" applyAlignment="1" applyProtection="1">
      <alignment horizontal="center" vertical="center"/>
    </xf>
    <xf numFmtId="0" fontId="102" fillId="0" borderId="0" xfId="0" applyFont="1" applyFill="1" applyBorder="1" applyAlignment="1" applyProtection="1">
      <alignment horizontal="center"/>
    </xf>
    <xf numFmtId="0" fontId="102" fillId="0" borderId="0" xfId="0" applyNumberFormat="1" applyFont="1" applyFill="1" applyBorder="1" applyAlignment="1" applyProtection="1">
      <alignment horizontal="left" vertical="center"/>
    </xf>
    <xf numFmtId="0" fontId="102" fillId="0" borderId="0" xfId="0" quotePrefix="1" applyFont="1" applyFill="1" applyBorder="1" applyAlignment="1" applyProtection="1">
      <alignment horizontal="center" vertical="center"/>
    </xf>
    <xf numFmtId="164" fontId="102" fillId="0" borderId="0" xfId="1" applyNumberFormat="1" applyFont="1" applyFill="1" applyBorder="1" applyAlignment="1" applyProtection="1">
      <alignment horizontal="center" vertical="center"/>
    </xf>
    <xf numFmtId="38" fontId="102" fillId="0" borderId="0" xfId="0" applyNumberFormat="1" applyFont="1" applyFill="1" applyBorder="1" applyAlignment="1" applyProtection="1">
      <alignment horizontal="left" vertical="center"/>
    </xf>
    <xf numFmtId="1" fontId="102" fillId="0" borderId="0" xfId="1" applyNumberFormat="1" applyFont="1" applyFill="1" applyBorder="1" applyAlignment="1" applyProtection="1">
      <alignment horizontal="center" vertical="center"/>
    </xf>
    <xf numFmtId="0" fontId="102" fillId="0" borderId="0" xfId="1" applyNumberFormat="1" applyFont="1" applyFill="1" applyBorder="1" applyAlignment="1" applyProtection="1">
      <alignment horizontal="left" vertical="center"/>
    </xf>
    <xf numFmtId="0" fontId="102" fillId="0" borderId="0" xfId="0" quotePrefix="1" applyFont="1" applyFill="1" applyBorder="1" applyAlignment="1" applyProtection="1">
      <alignment vertical="center"/>
    </xf>
    <xf numFmtId="164" fontId="95"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left"/>
    </xf>
    <xf numFmtId="3" fontId="102" fillId="0" borderId="0" xfId="1" applyNumberFormat="1" applyFont="1" applyFill="1" applyBorder="1" applyAlignment="1" applyProtection="1">
      <alignment horizontal="center" vertical="center"/>
    </xf>
    <xf numFmtId="0" fontId="102" fillId="0" borderId="0" xfId="0" applyFont="1" applyFill="1" applyBorder="1" applyAlignment="1" applyProtection="1">
      <alignment horizontal="right"/>
    </xf>
    <xf numFmtId="165" fontId="102" fillId="0" borderId="0" xfId="1" applyNumberFormat="1" applyFont="1" applyFill="1" applyBorder="1" applyAlignment="1" applyProtection="1">
      <alignment horizontal="center" vertical="center"/>
    </xf>
    <xf numFmtId="9" fontId="102" fillId="0" borderId="0" xfId="0" applyNumberFormat="1" applyFont="1" applyFill="1" applyBorder="1" applyAlignment="1" applyProtection="1">
      <alignment horizontal="center" vertical="center"/>
    </xf>
    <xf numFmtId="0" fontId="95" fillId="0" borderId="0" xfId="0" applyFont="1" applyFill="1" applyBorder="1" applyAlignment="1" applyProtection="1">
      <alignment horizontal="left" vertical="center"/>
    </xf>
    <xf numFmtId="0" fontId="102" fillId="0" borderId="0" xfId="0" applyFont="1" applyFill="1" applyBorder="1" applyAlignment="1" applyProtection="1">
      <alignment vertical="top"/>
    </xf>
    <xf numFmtId="9" fontId="102" fillId="0" borderId="0" xfId="1" applyNumberFormat="1" applyFont="1" applyFill="1" applyBorder="1" applyAlignment="1" applyProtection="1">
      <alignment horizontal="center" vertical="center"/>
    </xf>
    <xf numFmtId="167" fontId="102" fillId="0" borderId="0" xfId="0" applyNumberFormat="1" applyFont="1" applyFill="1" applyBorder="1" applyAlignment="1" applyProtection="1">
      <alignment horizontal="center" vertical="center"/>
    </xf>
    <xf numFmtId="0" fontId="102" fillId="0" borderId="0" xfId="0" quotePrefix="1" applyFont="1" applyFill="1" applyBorder="1" applyAlignment="1" applyProtection="1">
      <alignment horizontal="left" vertical="center"/>
    </xf>
    <xf numFmtId="174" fontId="102" fillId="0" borderId="0" xfId="10" applyNumberFormat="1" applyFont="1" applyFill="1" applyBorder="1" applyAlignment="1" applyProtection="1">
      <alignment vertical="center"/>
    </xf>
    <xf numFmtId="0" fontId="250" fillId="0" borderId="0" xfId="0" applyFont="1" applyFill="1" applyBorder="1" applyAlignment="1" applyProtection="1">
      <alignment vertical="center"/>
    </xf>
    <xf numFmtId="166" fontId="102" fillId="0" borderId="0" xfId="10" applyNumberFormat="1" applyFont="1" applyFill="1" applyBorder="1" applyAlignment="1" applyProtection="1">
      <alignment vertical="center"/>
    </xf>
    <xf numFmtId="166" fontId="102" fillId="0" borderId="0" xfId="0" applyNumberFormat="1" applyFont="1" applyFill="1" applyBorder="1" applyAlignment="1" applyProtection="1">
      <alignment horizontal="center" vertical="center"/>
    </xf>
    <xf numFmtId="38" fontId="102" fillId="0" borderId="0" xfId="2" applyNumberFormat="1" applyFont="1" applyFill="1" applyBorder="1" applyAlignment="1" applyProtection="1">
      <alignment vertical="center"/>
    </xf>
    <xf numFmtId="10" fontId="102"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vertical="center"/>
    </xf>
    <xf numFmtId="0" fontId="250" fillId="0" borderId="0" xfId="0" applyFont="1" applyFill="1" applyBorder="1" applyAlignment="1" applyProtection="1">
      <alignment horizontal="right" vertical="center"/>
    </xf>
    <xf numFmtId="166" fontId="102" fillId="0" borderId="0" xfId="0" applyNumberFormat="1" applyFont="1" applyFill="1" applyBorder="1" applyAlignment="1" applyProtection="1">
      <alignment vertical="center"/>
    </xf>
    <xf numFmtId="3" fontId="102"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vertical="center"/>
    </xf>
    <xf numFmtId="4" fontId="250" fillId="0" borderId="0" xfId="0" applyNumberFormat="1" applyFont="1" applyFill="1" applyBorder="1" applyAlignment="1" applyProtection="1">
      <alignment vertical="center"/>
    </xf>
    <xf numFmtId="9" fontId="250"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alignment vertical="center"/>
    </xf>
    <xf numFmtId="4" fontId="102" fillId="0" borderId="0" xfId="0" applyNumberFormat="1" applyFont="1" applyFill="1" applyBorder="1" applyAlignment="1" applyProtection="1">
      <alignment horizontal="right" vertical="center"/>
    </xf>
    <xf numFmtId="0" fontId="95" fillId="0" borderId="0" xfId="0" applyFont="1" applyFill="1" applyBorder="1" applyAlignment="1" applyProtection="1">
      <alignment horizontal="right" vertical="center"/>
    </xf>
    <xf numFmtId="3"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xf>
    <xf numFmtId="37" fontId="250" fillId="0" borderId="0" xfId="1" applyNumberFormat="1" applyFont="1" applyFill="1" applyBorder="1" applyAlignment="1" applyProtection="1">
      <alignment horizontal="center"/>
    </xf>
    <xf numFmtId="0" fontId="95" fillId="0" borderId="0" xfId="0" applyFont="1" applyFill="1" applyBorder="1" applyAlignment="1" applyProtection="1">
      <alignment horizontal="center" vertical="top"/>
    </xf>
    <xf numFmtId="0" fontId="95" fillId="0" borderId="0" xfId="0" applyFont="1" applyFill="1" applyBorder="1" applyAlignment="1" applyProtection="1">
      <alignment horizontal="right"/>
    </xf>
    <xf numFmtId="10" fontId="102" fillId="0" borderId="0" xfId="0" applyNumberFormat="1" applyFont="1" applyFill="1" applyBorder="1" applyAlignment="1" applyProtection="1">
      <alignment horizontal="center"/>
    </xf>
    <xf numFmtId="0" fontId="102" fillId="0" borderId="0" xfId="0" applyFont="1" applyFill="1" applyBorder="1" applyAlignment="1" applyProtection="1">
      <alignment horizontal="left" vertical="top"/>
    </xf>
    <xf numFmtId="164" fontId="102" fillId="0" borderId="0" xfId="1" applyNumberFormat="1" applyFont="1" applyFill="1" applyBorder="1" applyAlignment="1" applyProtection="1">
      <alignment horizontal="center"/>
    </xf>
    <xf numFmtId="3" fontId="102" fillId="0" borderId="0" xfId="0" applyNumberFormat="1" applyFont="1" applyFill="1" applyBorder="1" applyAlignment="1" applyProtection="1">
      <alignment horizontal="left" vertical="center"/>
    </xf>
    <xf numFmtId="3" fontId="10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horizontal="center"/>
    </xf>
    <xf numFmtId="3" fontId="95" fillId="0" borderId="0" xfId="0" applyNumberFormat="1" applyFont="1" applyFill="1" applyBorder="1" applyAlignment="1" applyProtection="1">
      <alignment horizontal="center" vertical="center"/>
    </xf>
    <xf numFmtId="4" fontId="251" fillId="0" borderId="0" xfId="0" applyNumberFormat="1" applyFont="1" applyFill="1" applyBorder="1" applyAlignment="1" applyProtection="1">
      <alignment vertical="center"/>
    </xf>
    <xf numFmtId="37" fontId="102" fillId="0" borderId="0" xfId="1" applyNumberFormat="1" applyFont="1" applyFill="1" applyBorder="1" applyAlignment="1" applyProtection="1">
      <alignment vertical="center"/>
    </xf>
    <xf numFmtId="6" fontId="102" fillId="0" borderId="0" xfId="0" applyNumberFormat="1" applyFont="1" applyFill="1" applyBorder="1" applyAlignment="1" applyProtection="1">
      <alignment horizontal="center" vertical="center"/>
    </xf>
    <xf numFmtId="3" fontId="95" fillId="0" borderId="0" xfId="0" applyNumberFormat="1" applyFont="1" applyFill="1" applyBorder="1" applyAlignment="1" applyProtection="1">
      <alignment horizontal="left" vertical="center"/>
    </xf>
    <xf numFmtId="4" fontId="102" fillId="0" borderId="0" xfId="1" applyNumberFormat="1" applyFont="1" applyFill="1" applyBorder="1" applyAlignment="1" applyProtection="1">
      <alignment vertical="center"/>
    </xf>
    <xf numFmtId="164" fontId="102" fillId="0" borderId="0" xfId="1" applyNumberFormat="1" applyFont="1" applyFill="1" applyBorder="1" applyAlignment="1" applyProtection="1">
      <alignment horizontal="left" vertical="center"/>
    </xf>
    <xf numFmtId="38" fontId="102" fillId="0" borderId="0" xfId="0" applyNumberFormat="1" applyFont="1" applyFill="1" applyBorder="1" applyAlignment="1" applyProtection="1">
      <alignment vertical="center"/>
    </xf>
    <xf numFmtId="10" fontId="102" fillId="0" borderId="0" xfId="0" applyNumberFormat="1" applyFont="1" applyFill="1" applyBorder="1" applyAlignment="1" applyProtection="1">
      <alignment vertical="center"/>
    </xf>
    <xf numFmtId="0" fontId="102" fillId="0" borderId="0" xfId="0" quotePrefix="1" applyFont="1" applyFill="1" applyBorder="1" applyAlignment="1" applyProtection="1">
      <alignment horizontal="right" vertical="center"/>
    </xf>
    <xf numFmtId="0" fontId="251" fillId="0" borderId="0" xfId="0" applyFont="1" applyFill="1" applyBorder="1" applyAlignment="1" applyProtection="1">
      <alignment horizontal="left" vertical="center"/>
    </xf>
    <xf numFmtId="38" fontId="250" fillId="0" borderId="0" xfId="0" applyNumberFormat="1" applyFont="1" applyFill="1" applyBorder="1" applyAlignment="1" applyProtection="1">
      <alignment vertical="center"/>
    </xf>
    <xf numFmtId="0" fontId="250" fillId="0" borderId="0" xfId="0" applyFont="1" applyFill="1" applyBorder="1" applyAlignment="1" applyProtection="1">
      <alignment vertical="top"/>
    </xf>
    <xf numFmtId="168" fontId="102" fillId="0" borderId="0" xfId="0" applyNumberFormat="1" applyFont="1" applyFill="1" applyBorder="1" applyAlignment="1" applyProtection="1">
      <alignment vertical="center"/>
    </xf>
    <xf numFmtId="38" fontId="102" fillId="0" borderId="0" xfId="0" applyNumberFormat="1" applyFont="1" applyFill="1" applyBorder="1" applyAlignment="1" applyProtection="1">
      <alignment horizontal="center" vertical="center"/>
    </xf>
    <xf numFmtId="0" fontId="92" fillId="0" borderId="0" xfId="13" applyFont="1" applyFill="1" applyBorder="1" applyAlignment="1" applyProtection="1">
      <alignment vertical="center"/>
    </xf>
    <xf numFmtId="0" fontId="95" fillId="0" borderId="0" xfId="13" applyFont="1" applyFill="1" applyBorder="1" applyAlignment="1" applyProtection="1">
      <alignment vertical="center"/>
    </xf>
    <xf numFmtId="164" fontId="95" fillId="0" borderId="0" xfId="1" applyNumberFormat="1" applyFont="1" applyFill="1" applyBorder="1" applyAlignment="1" applyProtection="1">
      <alignment horizontal="right" vertical="center"/>
    </xf>
    <xf numFmtId="0" fontId="95" fillId="0" borderId="0" xfId="13" applyFont="1" applyFill="1" applyBorder="1" applyAlignment="1" applyProtection="1">
      <alignment horizontal="left" vertical="center"/>
    </xf>
    <xf numFmtId="6" fontId="95" fillId="0" borderId="0" xfId="13" applyNumberFormat="1" applyFont="1" applyFill="1" applyBorder="1" applyAlignment="1" applyProtection="1">
      <alignment horizontal="center" vertical="center"/>
    </xf>
    <xf numFmtId="164" fontId="95" fillId="0" borderId="0" xfId="1" applyNumberFormat="1" applyFont="1" applyFill="1" applyBorder="1" applyAlignment="1" applyProtection="1">
      <alignment vertical="center"/>
    </xf>
    <xf numFmtId="0" fontId="92" fillId="0" borderId="0" xfId="0" applyFont="1" applyFill="1" applyBorder="1" applyAlignment="1" applyProtection="1">
      <alignment horizontal="center" vertical="center"/>
    </xf>
    <xf numFmtId="0" fontId="96" fillId="0" borderId="0" xfId="0" applyFont="1" applyFill="1" applyBorder="1" applyAlignment="1" applyProtection="1">
      <alignment vertical="center"/>
    </xf>
    <xf numFmtId="0" fontId="251" fillId="0" borderId="0" xfId="0" applyFont="1" applyFill="1" applyBorder="1" applyAlignment="1" applyProtection="1">
      <alignment horizontal="center" vertical="center"/>
    </xf>
    <xf numFmtId="38" fontId="96" fillId="0" borderId="0" xfId="1" applyNumberFormat="1" applyFont="1" applyFill="1" applyBorder="1" applyAlignment="1" applyProtection="1">
      <alignment horizontal="center" vertical="center"/>
    </xf>
    <xf numFmtId="3" fontId="92" fillId="0" borderId="0" xfId="0" applyNumberFormat="1" applyFont="1" applyFill="1" applyBorder="1" applyAlignment="1" applyProtection="1">
      <alignment horizontal="center"/>
    </xf>
    <xf numFmtId="37" fontId="96" fillId="0" borderId="0" xfId="1" applyNumberFormat="1" applyFont="1" applyFill="1" applyBorder="1" applyAlignment="1" applyProtection="1">
      <alignment horizontal="center" vertical="center"/>
    </xf>
    <xf numFmtId="37" fontId="93" fillId="0" borderId="0" xfId="1" applyNumberFormat="1" applyFont="1" applyFill="1" applyBorder="1" applyAlignment="1" applyProtection="1">
      <alignment horizontal="center" vertical="center"/>
    </xf>
    <xf numFmtId="164" fontId="93" fillId="0" borderId="0" xfId="1" applyNumberFormat="1" applyFont="1" applyFill="1" applyBorder="1" applyAlignment="1" applyProtection="1">
      <alignment horizontal="center" vertical="center"/>
    </xf>
    <xf numFmtId="0" fontId="96" fillId="0" borderId="0" xfId="0" applyFont="1" applyFill="1" applyBorder="1" applyAlignment="1" applyProtection="1">
      <alignment horizontal="right" vertical="center"/>
    </xf>
    <xf numFmtId="164" fontId="96" fillId="0" borderId="0" xfId="1"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right" vertical="center"/>
    </xf>
    <xf numFmtId="0" fontId="255" fillId="0" borderId="0" xfId="0" applyFont="1" applyFill="1" applyBorder="1" applyAlignment="1" applyProtection="1">
      <alignment vertical="center"/>
    </xf>
    <xf numFmtId="0" fontId="93"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right" vertical="center"/>
    </xf>
    <xf numFmtId="0" fontId="92" fillId="0" borderId="0" xfId="0" applyFont="1" applyFill="1" applyBorder="1" applyAlignment="1" applyProtection="1">
      <alignment vertical="top"/>
    </xf>
    <xf numFmtId="0" fontId="96" fillId="0" borderId="0" xfId="0" applyFont="1" applyFill="1" applyBorder="1" applyAlignment="1" applyProtection="1">
      <alignment horizontal="left" vertical="center"/>
    </xf>
    <xf numFmtId="0" fontId="96" fillId="0" borderId="0" xfId="0" applyFont="1" applyFill="1" applyBorder="1" applyAlignment="1" applyProtection="1">
      <alignment horizontal="left"/>
    </xf>
    <xf numFmtId="0" fontId="92" fillId="0" borderId="0" xfId="0" applyFont="1" applyFill="1" applyBorder="1" applyAlignment="1" applyProtection="1">
      <alignment horizontal="left"/>
    </xf>
    <xf numFmtId="38" fontId="92" fillId="0" borderId="0" xfId="0" applyNumberFormat="1" applyFont="1" applyFill="1" applyBorder="1" applyAlignment="1" applyProtection="1">
      <alignment vertical="center"/>
    </xf>
    <xf numFmtId="38" fontId="92" fillId="0" borderId="0" xfId="1" applyNumberFormat="1" applyFont="1" applyFill="1" applyBorder="1" applyAlignment="1" applyProtection="1">
      <alignment vertical="center"/>
    </xf>
    <xf numFmtId="3" fontId="92" fillId="0" borderId="0" xfId="0" applyNumberFormat="1" applyFont="1" applyFill="1" applyBorder="1" applyAlignment="1" applyProtection="1">
      <alignment horizontal="center" vertical="center"/>
    </xf>
    <xf numFmtId="3" fontId="92" fillId="0" borderId="0" xfId="0" applyNumberFormat="1" applyFont="1" applyFill="1" applyBorder="1" applyAlignment="1" applyProtection="1">
      <alignment vertical="center"/>
    </xf>
    <xf numFmtId="0" fontId="96" fillId="0" borderId="0" xfId="0" applyFont="1" applyFill="1" applyBorder="1" applyAlignment="1" applyProtection="1"/>
    <xf numFmtId="164" fontId="96" fillId="0" borderId="0" xfId="1" applyNumberFormat="1" applyFont="1" applyFill="1" applyBorder="1" applyAlignment="1" applyProtection="1">
      <alignment vertical="center"/>
    </xf>
    <xf numFmtId="3" fontId="92" fillId="0" borderId="0" xfId="1" applyNumberFormat="1" applyFont="1" applyFill="1" applyBorder="1" applyAlignment="1" applyProtection="1">
      <alignment vertical="center"/>
    </xf>
    <xf numFmtId="4" fontId="96" fillId="0" borderId="0" xfId="1" applyNumberFormat="1" applyFont="1" applyFill="1" applyBorder="1" applyAlignment="1" applyProtection="1">
      <alignment horizontal="center" vertical="center"/>
    </xf>
    <xf numFmtId="0" fontId="92" fillId="0" borderId="0" xfId="0" applyFont="1" applyFill="1" applyBorder="1" applyAlignment="1" applyProtection="1">
      <alignment horizontal="left" vertical="center"/>
    </xf>
    <xf numFmtId="38" fontId="92" fillId="0" borderId="0" xfId="0"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right" vertical="center"/>
    </xf>
    <xf numFmtId="3" fontId="93" fillId="0" borderId="0" xfId="0" applyNumberFormat="1" applyFont="1" applyFill="1" applyBorder="1" applyAlignment="1" applyProtection="1">
      <alignment horizontal="center" vertical="center"/>
    </xf>
    <xf numFmtId="3" fontId="96" fillId="0" borderId="0" xfId="0" applyNumberFormat="1" applyFont="1" applyFill="1" applyBorder="1" applyAlignment="1" applyProtection="1">
      <alignment horizontal="center" vertical="center"/>
    </xf>
    <xf numFmtId="38" fontId="92" fillId="0" borderId="0" xfId="1" applyNumberFormat="1" applyFont="1" applyFill="1" applyBorder="1" applyAlignment="1" applyProtection="1">
      <alignment horizontal="left" vertical="center"/>
    </xf>
    <xf numFmtId="10" fontId="92" fillId="0" borderId="0" xfId="0" applyNumberFormat="1" applyFont="1" applyFill="1" applyBorder="1" applyAlignment="1" applyProtection="1">
      <alignment horizontal="left"/>
    </xf>
    <xf numFmtId="10" fontId="92" fillId="0" borderId="0" xfId="0" applyNumberFormat="1" applyFont="1" applyFill="1" applyBorder="1" applyAlignment="1" applyProtection="1">
      <alignment horizontal="center"/>
    </xf>
    <xf numFmtId="0" fontId="92" fillId="0" borderId="0" xfId="0" applyFont="1" applyFill="1" applyBorder="1" applyAlignment="1" applyProtection="1">
      <alignment horizontal="right"/>
    </xf>
    <xf numFmtId="0" fontId="92"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justify"/>
    </xf>
    <xf numFmtId="0" fontId="95" fillId="0" borderId="0" xfId="0" applyFont="1" applyFill="1" applyBorder="1" applyAlignment="1" applyProtection="1">
      <alignment horizontal="justify" vertical="center"/>
    </xf>
    <xf numFmtId="37" fontId="93" fillId="0" borderId="0" xfId="0" applyNumberFormat="1" applyFont="1" applyFill="1" applyBorder="1" applyAlignment="1" applyProtection="1">
      <alignment horizontal="center" vertical="center"/>
    </xf>
    <xf numFmtId="0" fontId="95" fillId="0" borderId="0" xfId="0" quotePrefix="1" applyFont="1" applyFill="1" applyBorder="1" applyAlignment="1" applyProtection="1">
      <alignment vertical="center"/>
    </xf>
    <xf numFmtId="0" fontId="93" fillId="0" borderId="0" xfId="0" applyFont="1" applyFill="1" applyBorder="1" applyAlignment="1" applyProtection="1">
      <alignment vertical="top"/>
    </xf>
    <xf numFmtId="164" fontId="92" fillId="0" borderId="0" xfId="1" applyNumberFormat="1" applyFont="1" applyFill="1" applyBorder="1" applyAlignment="1" applyProtection="1">
      <alignment horizontal="right" vertical="center"/>
    </xf>
    <xf numFmtId="0" fontId="93" fillId="0" borderId="0" xfId="0" applyFont="1" applyFill="1" applyBorder="1" applyAlignment="1" applyProtection="1">
      <alignment horizontal="center" vertical="top"/>
    </xf>
    <xf numFmtId="0" fontId="93" fillId="0" borderId="0" xfId="0" applyFont="1" applyFill="1" applyBorder="1" applyAlignment="1" applyProtection="1">
      <alignment horizontal="left" vertical="top"/>
    </xf>
    <xf numFmtId="0" fontId="93" fillId="0" borderId="0" xfId="0" applyFont="1" applyFill="1" applyBorder="1" applyAlignment="1" applyProtection="1">
      <alignment horizontal="right" vertical="center"/>
    </xf>
    <xf numFmtId="10" fontId="93" fillId="0" borderId="0" xfId="0" applyNumberFormat="1" applyFont="1" applyFill="1" applyBorder="1" applyAlignment="1" applyProtection="1">
      <alignment horizontal="right" vertical="center"/>
    </xf>
    <xf numFmtId="0" fontId="93" fillId="0" borderId="0" xfId="0" applyFont="1" applyFill="1" applyBorder="1" applyAlignment="1" applyProtection="1">
      <alignment horizontal="right" vertical="top"/>
    </xf>
    <xf numFmtId="0" fontId="93" fillId="0" borderId="0" xfId="0" applyFont="1" applyFill="1" applyBorder="1" applyAlignment="1" applyProtection="1">
      <alignment horizontal="right"/>
    </xf>
    <xf numFmtId="0" fontId="93" fillId="0" borderId="0" xfId="0" applyFont="1" applyFill="1" applyBorder="1" applyAlignment="1" applyProtection="1">
      <alignment horizontal="left"/>
    </xf>
    <xf numFmtId="0" fontId="93" fillId="0" borderId="0" xfId="0" applyFont="1" applyFill="1" applyBorder="1" applyAlignment="1" applyProtection="1"/>
    <xf numFmtId="3" fontId="93" fillId="0" borderId="0" xfId="0" applyNumberFormat="1" applyFont="1" applyFill="1" applyBorder="1" applyAlignment="1" applyProtection="1">
      <alignment horizontal="center"/>
    </xf>
    <xf numFmtId="0" fontId="202" fillId="0" borderId="0" xfId="0" applyFont="1" applyFill="1" applyBorder="1" applyAlignment="1" applyProtection="1">
      <alignment vertical="center"/>
    </xf>
    <xf numFmtId="0" fontId="92" fillId="0" borderId="0" xfId="0" applyFont="1" applyFill="1" applyBorder="1" applyAlignment="1" applyProtection="1">
      <alignment horizontal="right" vertical="center"/>
    </xf>
    <xf numFmtId="0" fontId="93" fillId="0" borderId="0" xfId="0" quotePrefix="1" applyFont="1" applyFill="1" applyBorder="1" applyAlignment="1" applyProtection="1">
      <alignment horizontal="right" vertical="top"/>
    </xf>
    <xf numFmtId="0" fontId="202" fillId="0" borderId="0" xfId="0" applyFont="1" applyFill="1" applyBorder="1" applyAlignment="1" applyProtection="1">
      <alignment vertical="top"/>
    </xf>
    <xf numFmtId="0" fontId="202" fillId="0" borderId="0" xfId="0" applyFont="1" applyFill="1" applyBorder="1" applyAlignment="1" applyProtection="1"/>
    <xf numFmtId="0" fontId="252" fillId="0" borderId="0" xfId="0" applyFont="1" applyFill="1" applyBorder="1" applyAlignment="1" applyProtection="1">
      <alignment vertical="center"/>
    </xf>
    <xf numFmtId="1" fontId="93" fillId="0" borderId="0" xfId="0" applyNumberFormat="1" applyFont="1" applyFill="1" applyBorder="1" applyAlignment="1" applyProtection="1">
      <alignment horizontal="left" vertical="center"/>
    </xf>
    <xf numFmtId="0" fontId="95" fillId="0" borderId="0" xfId="0" quotePrefix="1" applyFont="1" applyFill="1" applyBorder="1" applyAlignment="1" applyProtection="1">
      <alignment horizontal="center" vertical="center"/>
    </xf>
    <xf numFmtId="0" fontId="95" fillId="0" borderId="0" xfId="0" applyFont="1" applyFill="1" applyBorder="1" applyAlignment="1" applyProtection="1"/>
    <xf numFmtId="0" fontId="95" fillId="0" borderId="0" xfId="0" applyFont="1" applyFill="1" applyBorder="1" applyAlignment="1" applyProtection="1">
      <alignment vertical="top"/>
    </xf>
    <xf numFmtId="0" fontId="257" fillId="0" borderId="0" xfId="0" applyFont="1" applyFill="1" applyBorder="1" applyAlignment="1" applyProtection="1">
      <alignment horizontal="center" vertical="center"/>
    </xf>
    <xf numFmtId="38" fontId="96" fillId="0" borderId="0" xfId="0" applyNumberFormat="1" applyFont="1" applyFill="1" applyBorder="1" applyAlignment="1" applyProtection="1">
      <alignment horizontal="center" vertical="center"/>
    </xf>
    <xf numFmtId="9" fontId="96" fillId="0" borderId="0" xfId="10" applyFont="1" applyFill="1" applyBorder="1" applyAlignment="1" applyProtection="1">
      <alignment horizontal="left" vertical="center"/>
    </xf>
    <xf numFmtId="0" fontId="93" fillId="0" borderId="0" xfId="0" quotePrefix="1" applyFont="1" applyFill="1" applyBorder="1" applyAlignment="1" applyProtection="1">
      <alignment horizontal="right" vertical="center"/>
    </xf>
    <xf numFmtId="0" fontId="95" fillId="0" borderId="0" xfId="0" applyFont="1" applyFill="1" applyBorder="1" applyAlignment="1" applyProtection="1">
      <alignment horizontal="center"/>
    </xf>
    <xf numFmtId="0" fontId="258" fillId="0" borderId="0" xfId="0" applyFont="1" applyFill="1" applyBorder="1" applyAlignment="1" applyProtection="1">
      <alignment vertical="center"/>
    </xf>
    <xf numFmtId="0" fontId="249" fillId="0" borderId="0" xfId="0" applyFont="1" applyFill="1" applyBorder="1" applyAlignment="1" applyProtection="1">
      <alignment vertical="center"/>
    </xf>
    <xf numFmtId="38" fontId="95" fillId="0" borderId="0" xfId="0" applyNumberFormat="1" applyFont="1" applyFill="1" applyBorder="1" applyAlignment="1" applyProtection="1">
      <alignment vertical="center"/>
    </xf>
    <xf numFmtId="0" fontId="102" fillId="0" borderId="0" xfId="0" applyNumberFormat="1" applyFont="1" applyFill="1" applyBorder="1" applyAlignment="1" applyProtection="1">
      <alignment vertical="center"/>
    </xf>
    <xf numFmtId="168" fontId="250" fillId="0" borderId="0" xfId="0" applyNumberFormat="1" applyFont="1" applyFill="1" applyBorder="1" applyAlignment="1" applyProtection="1">
      <alignment vertical="center"/>
    </xf>
    <xf numFmtId="0" fontId="92" fillId="0" borderId="0" xfId="0" applyFont="1" applyFill="1" applyBorder="1" applyAlignment="1" applyProtection="1">
      <alignment horizontal="center" vertical="top"/>
    </xf>
    <xf numFmtId="0" fontId="93" fillId="0" borderId="0" xfId="0" quotePrefix="1" applyFont="1" applyFill="1" applyBorder="1" applyAlignment="1" applyProtection="1">
      <alignment horizontal="center" vertical="top"/>
    </xf>
    <xf numFmtId="0" fontId="93"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vertical="center"/>
    </xf>
    <xf numFmtId="0" fontId="202" fillId="0" borderId="0" xfId="0" quotePrefix="1" applyFont="1" applyFill="1" applyBorder="1" applyAlignment="1" applyProtection="1">
      <alignment horizontal="center" vertical="center"/>
    </xf>
    <xf numFmtId="0" fontId="202" fillId="0" borderId="0" xfId="0" applyFont="1" applyFill="1" applyBorder="1" applyAlignment="1" applyProtection="1">
      <alignment horizontal="center"/>
    </xf>
    <xf numFmtId="0" fontId="130" fillId="0" borderId="0" xfId="0" applyFont="1" applyFill="1" applyBorder="1" applyAlignment="1" applyProtection="1">
      <alignment vertical="center"/>
    </xf>
    <xf numFmtId="3" fontId="93" fillId="0" borderId="0" xfId="0" applyNumberFormat="1" applyFont="1" applyFill="1" applyBorder="1" applyAlignment="1" applyProtection="1">
      <alignment horizontal="left" vertical="center"/>
    </xf>
    <xf numFmtId="0" fontId="96" fillId="0" borderId="0" xfId="0" quotePrefix="1" applyFont="1" applyFill="1" applyBorder="1" applyAlignment="1" applyProtection="1">
      <alignment horizontal="right"/>
    </xf>
    <xf numFmtId="0" fontId="202" fillId="0" borderId="0" xfId="0" applyFont="1" applyFill="1" applyBorder="1" applyAlignment="1" applyProtection="1">
      <alignment horizontal="left"/>
    </xf>
    <xf numFmtId="49" fontId="93" fillId="0" borderId="0" xfId="0" applyNumberFormat="1" applyFont="1" applyFill="1" applyBorder="1" applyAlignment="1" applyProtection="1">
      <alignment horizontal="left" vertical="center"/>
    </xf>
    <xf numFmtId="176" fontId="93" fillId="0" borderId="0" xfId="0" applyNumberFormat="1" applyFont="1" applyFill="1" applyBorder="1" applyAlignment="1" applyProtection="1">
      <alignment vertical="center"/>
    </xf>
    <xf numFmtId="3" fontId="93" fillId="0" borderId="0" xfId="0" applyNumberFormat="1" applyFont="1" applyFill="1" applyBorder="1" applyAlignment="1" applyProtection="1">
      <alignment vertical="center"/>
    </xf>
    <xf numFmtId="174" fontId="93" fillId="0" borderId="0" xfId="0" applyNumberFormat="1" applyFont="1" applyFill="1" applyBorder="1" applyAlignment="1" applyProtection="1">
      <alignment vertical="center"/>
    </xf>
    <xf numFmtId="0" fontId="92" fillId="0" borderId="0" xfId="0" applyFont="1" applyFill="1" applyBorder="1" applyAlignment="1" applyProtection="1">
      <alignment horizontal="left" vertical="top"/>
    </xf>
    <xf numFmtId="0" fontId="96" fillId="0" borderId="0" xfId="0" applyFont="1" applyFill="1" applyBorder="1" applyAlignment="1" applyProtection="1">
      <alignment horizontal="right" vertical="top"/>
    </xf>
    <xf numFmtId="49" fontId="93" fillId="0" borderId="0" xfId="0" applyNumberFormat="1" applyFont="1" applyFill="1" applyBorder="1" applyAlignment="1" applyProtection="1">
      <alignment horizontal="center" vertical="center"/>
    </xf>
    <xf numFmtId="1" fontId="93"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center" vertical="center"/>
    </xf>
    <xf numFmtId="0" fontId="251" fillId="0" borderId="0" xfId="0" applyFont="1" applyFill="1" applyBorder="1" applyAlignment="1" applyProtection="1">
      <alignment vertical="top"/>
    </xf>
    <xf numFmtId="0" fontId="256" fillId="0" borderId="0" xfId="0" applyFont="1" applyFill="1" applyBorder="1" applyAlignment="1" applyProtection="1">
      <alignment horizontal="right" vertical="center"/>
    </xf>
    <xf numFmtId="2" fontId="93" fillId="0" borderId="0" xfId="0" applyNumberFormat="1" applyFont="1" applyFill="1" applyBorder="1" applyAlignment="1" applyProtection="1">
      <alignment horizontal="center" vertical="center"/>
    </xf>
    <xf numFmtId="0" fontId="256" fillId="0" borderId="0" xfId="0" applyFont="1" applyFill="1" applyBorder="1" applyAlignment="1" applyProtection="1">
      <alignment horizontal="right"/>
    </xf>
    <xf numFmtId="0" fontId="251" fillId="0" borderId="0" xfId="0" applyFont="1" applyFill="1" applyBorder="1" applyAlignment="1" applyProtection="1">
      <alignment vertical="center"/>
    </xf>
    <xf numFmtId="174" fontId="92" fillId="0" borderId="0" xfId="0" applyNumberFormat="1" applyFont="1" applyFill="1" applyBorder="1" applyAlignment="1" applyProtection="1">
      <alignment vertical="center"/>
    </xf>
    <xf numFmtId="0" fontId="93" fillId="0" borderId="0" xfId="0" quotePrefix="1" applyFont="1" applyFill="1" applyBorder="1" applyAlignment="1" applyProtection="1">
      <alignment horizontal="left" vertical="center"/>
    </xf>
    <xf numFmtId="0" fontId="95" fillId="0" borderId="0" xfId="0" applyFont="1" applyFill="1" applyBorder="1" applyAlignment="1" applyProtection="1">
      <alignment horizontal="left" vertical="top"/>
    </xf>
    <xf numFmtId="38" fontId="252" fillId="0" borderId="0" xfId="0" applyNumberFormat="1" applyFont="1" applyFill="1" applyBorder="1" applyAlignment="1" applyProtection="1">
      <alignment horizontal="center" vertical="center"/>
    </xf>
    <xf numFmtId="0" fontId="92" fillId="0" borderId="0" xfId="0" applyFont="1" applyFill="1" applyBorder="1" applyAlignment="1" applyProtection="1"/>
    <xf numFmtId="49" fontId="42" fillId="0" borderId="142" xfId="0" applyNumberFormat="1" applyFont="1" applyBorder="1" applyAlignment="1">
      <alignment horizontal="center"/>
    </xf>
    <xf numFmtId="49" fontId="42" fillId="0" borderId="52" xfId="0" applyNumberFormat="1" applyFont="1" applyBorder="1" applyAlignment="1">
      <alignment horizontal="center"/>
    </xf>
    <xf numFmtId="49" fontId="42" fillId="0" borderId="23" xfId="0" applyNumberFormat="1" applyFont="1" applyBorder="1" applyAlignment="1">
      <alignment horizontal="center"/>
    </xf>
    <xf numFmtId="49" fontId="42" fillId="0" borderId="50" xfId="0" applyNumberFormat="1" applyFont="1" applyBorder="1" applyAlignment="1">
      <alignment horizontal="center"/>
    </xf>
    <xf numFmtId="49" fontId="42" fillId="0" borderId="25" xfId="0" applyNumberFormat="1" applyFont="1" applyBorder="1" applyAlignment="1">
      <alignment horizontal="center"/>
    </xf>
    <xf numFmtId="49" fontId="42" fillId="0" borderId="48" xfId="0" applyNumberFormat="1" applyFont="1" applyBorder="1" applyAlignment="1">
      <alignment horizontal="center"/>
    </xf>
    <xf numFmtId="49" fontId="42" fillId="0" borderId="49" xfId="0" applyNumberFormat="1" applyFont="1" applyBorder="1" applyAlignment="1">
      <alignment horizontal="center"/>
    </xf>
    <xf numFmtId="49" fontId="42" fillId="0" borderId="24" xfId="0" applyNumberFormat="1" applyFont="1" applyBorder="1" applyAlignment="1">
      <alignment horizontal="center"/>
    </xf>
    <xf numFmtId="0" fontId="197" fillId="0" borderId="0" xfId="13" applyFont="1" applyAlignment="1"/>
    <xf numFmtId="0" fontId="3" fillId="0" borderId="0" xfId="13" applyFont="1" applyAlignment="1">
      <alignment vertical="center"/>
    </xf>
    <xf numFmtId="0" fontId="14" fillId="0" borderId="0" xfId="13" applyFont="1" applyAlignment="1"/>
    <xf numFmtId="0" fontId="4" fillId="0" borderId="0" xfId="13" applyFont="1"/>
    <xf numFmtId="0" fontId="13" fillId="0" borderId="0" xfId="13" applyFont="1" applyAlignment="1">
      <alignment vertical="center"/>
    </xf>
    <xf numFmtId="0" fontId="116" fillId="0" borderId="20" xfId="13" applyFont="1" applyBorder="1" applyAlignment="1">
      <alignment horizontal="center"/>
    </xf>
    <xf numFmtId="177" fontId="116" fillId="0" borderId="20" xfId="13" applyNumberFormat="1" applyFont="1" applyBorder="1" applyAlignment="1">
      <alignment horizontal="center"/>
    </xf>
    <xf numFmtId="0" fontId="116" fillId="0" borderId="20" xfId="13" applyFont="1" applyFill="1" applyBorder="1" applyAlignment="1">
      <alignment horizontal="center"/>
    </xf>
    <xf numFmtId="0" fontId="232" fillId="0" borderId="153" xfId="33" applyFont="1" applyBorder="1" applyAlignment="1"/>
    <xf numFmtId="0" fontId="232" fillId="0" borderId="152" xfId="33" applyFont="1" applyBorder="1" applyAlignment="1">
      <alignment horizontal="center"/>
    </xf>
    <xf numFmtId="0" fontId="230" fillId="0" borderId="8" xfId="33" applyFont="1" applyBorder="1"/>
    <xf numFmtId="0" fontId="230" fillId="0" borderId="9" xfId="33" applyFont="1" applyBorder="1" applyAlignment="1">
      <alignment horizontal="center"/>
    </xf>
    <xf numFmtId="0" fontId="230" fillId="0" borderId="14" xfId="33" applyFont="1" applyBorder="1"/>
    <xf numFmtId="0" fontId="232" fillId="0" borderId="0" xfId="33" applyFont="1" applyAlignment="1">
      <alignment horizontal="center" wrapText="1"/>
    </xf>
    <xf numFmtId="0" fontId="230" fillId="28" borderId="136" xfId="33" applyFont="1" applyFill="1" applyBorder="1" applyAlignment="1">
      <alignment horizontal="center"/>
    </xf>
    <xf numFmtId="0" fontId="230" fillId="28" borderId="17" xfId="33" applyFont="1" applyFill="1" applyBorder="1" applyAlignment="1">
      <alignment horizontal="center"/>
    </xf>
    <xf numFmtId="0" fontId="230" fillId="28" borderId="18" xfId="33" applyFont="1" applyFill="1" applyBorder="1" applyAlignment="1">
      <alignment horizontal="center"/>
    </xf>
    <xf numFmtId="0" fontId="232" fillId="0" borderId="153" xfId="33" applyFont="1" applyBorder="1" applyAlignment="1">
      <alignment horizontal="center"/>
    </xf>
    <xf numFmtId="0" fontId="9" fillId="0" borderId="70" xfId="13" applyFont="1" applyBorder="1" applyAlignment="1" applyProtection="1"/>
    <xf numFmtId="0" fontId="9" fillId="0" borderId="83" xfId="13" applyFont="1" applyBorder="1" applyAlignment="1" applyProtection="1">
      <alignment horizontal="center"/>
    </xf>
    <xf numFmtId="0" fontId="9" fillId="0" borderId="0" xfId="13" applyFont="1" applyBorder="1" applyProtection="1"/>
    <xf numFmtId="0" fontId="9" fillId="0" borderId="70" xfId="13" applyFont="1" applyBorder="1" applyProtection="1"/>
    <xf numFmtId="0" fontId="9" fillId="0" borderId="0" xfId="13" applyFont="1" applyAlignment="1" applyProtection="1"/>
    <xf numFmtId="0" fontId="151" fillId="0" borderId="83" xfId="13" applyFont="1" applyBorder="1" applyAlignment="1" applyProtection="1">
      <alignment horizontal="center"/>
    </xf>
    <xf numFmtId="0" fontId="3" fillId="0" borderId="13" xfId="13" applyFont="1" applyBorder="1" applyProtection="1"/>
    <xf numFmtId="0" fontId="3" fillId="0" borderId="85" xfId="13" applyFont="1" applyBorder="1" applyProtection="1"/>
    <xf numFmtId="3" fontId="98" fillId="10" borderId="13" xfId="13" applyNumberFormat="1" applyFont="1" applyFill="1" applyBorder="1" applyAlignment="1" applyProtection="1">
      <alignment horizontal="center" vertical="center"/>
    </xf>
    <xf numFmtId="0" fontId="8" fillId="0" borderId="0" xfId="13" applyFont="1" applyAlignment="1" applyProtection="1">
      <alignment horizontal="center" vertical="center"/>
    </xf>
    <xf numFmtId="3" fontId="90" fillId="10" borderId="59" xfId="13" applyNumberFormat="1" applyFont="1" applyFill="1" applyBorder="1" applyAlignment="1" applyProtection="1">
      <alignment horizontal="center" vertical="center"/>
    </xf>
    <xf numFmtId="3" fontId="90" fillId="10" borderId="91" xfId="13" applyNumberFormat="1" applyFont="1" applyFill="1" applyBorder="1" applyAlignment="1" applyProtection="1">
      <alignment horizontal="center" vertical="center"/>
    </xf>
    <xf numFmtId="0" fontId="3" fillId="0" borderId="0" xfId="13" applyFont="1" applyAlignment="1" applyProtection="1">
      <alignment horizontal="right" vertical="center"/>
    </xf>
    <xf numFmtId="0" fontId="3" fillId="0" borderId="0" xfId="13" applyFont="1" applyAlignment="1" applyProtection="1">
      <alignment horizontal="center" vertical="center" wrapText="1"/>
    </xf>
    <xf numFmtId="0" fontId="5" fillId="0" borderId="0" xfId="13" applyFont="1" applyAlignment="1" applyProtection="1">
      <alignment horizontal="center" wrapText="1"/>
    </xf>
    <xf numFmtId="0" fontId="110" fillId="0" borderId="0" xfId="13" applyFont="1" applyAlignment="1" applyProtection="1">
      <alignment horizontal="center" wrapText="1"/>
    </xf>
    <xf numFmtId="0" fontId="5" fillId="0" borderId="13" xfId="13" applyFont="1" applyBorder="1" applyAlignment="1" applyProtection="1">
      <alignment horizontal="center" wrapText="1"/>
    </xf>
    <xf numFmtId="0" fontId="5" fillId="0" borderId="0" xfId="13" applyFont="1" applyAlignment="1" applyProtection="1">
      <alignment horizontal="center" vertical="center" wrapText="1"/>
    </xf>
    <xf numFmtId="0" fontId="5" fillId="0" borderId="85" xfId="13" applyFont="1" applyBorder="1" applyAlignment="1" applyProtection="1">
      <alignment horizontal="center" wrapText="1"/>
    </xf>
    <xf numFmtId="0" fontId="110" fillId="0" borderId="0" xfId="13" applyFont="1" applyAlignment="1" applyProtection="1">
      <alignment horizontal="center" vertical="center" wrapText="1"/>
    </xf>
    <xf numFmtId="184" fontId="236" fillId="13" borderId="157" xfId="33" applyNumberFormat="1" applyFont="1" applyFill="1" applyBorder="1" applyAlignment="1" applyProtection="1">
      <alignment horizontal="center" vertical="center"/>
      <protection locked="0"/>
    </xf>
    <xf numFmtId="184" fontId="236" fillId="13" borderId="136" xfId="33" applyNumberFormat="1" applyFont="1" applyFill="1" applyBorder="1" applyAlignment="1" applyProtection="1">
      <alignment horizontal="center" vertical="center"/>
      <protection locked="0"/>
    </xf>
    <xf numFmtId="185" fontId="236" fillId="13" borderId="136" xfId="33" applyNumberFormat="1" applyFont="1" applyFill="1" applyBorder="1" applyAlignment="1" applyProtection="1">
      <alignment horizontal="center" vertical="center"/>
      <protection locked="0"/>
    </xf>
    <xf numFmtId="9" fontId="236" fillId="13" borderId="136" xfId="35" applyFont="1" applyFill="1" applyBorder="1" applyAlignment="1" applyProtection="1">
      <alignment horizontal="center" vertical="center"/>
      <protection locked="0"/>
    </xf>
    <xf numFmtId="164" fontId="236" fillId="13" borderId="136" xfId="34" applyNumberFormat="1" applyFont="1" applyFill="1" applyBorder="1" applyAlignment="1" applyProtection="1">
      <alignment horizontal="center" vertical="center"/>
      <protection locked="0"/>
    </xf>
    <xf numFmtId="184" fontId="236" fillId="13" borderId="158" xfId="33" applyNumberFormat="1" applyFont="1" applyFill="1" applyBorder="1" applyAlignment="1" applyProtection="1">
      <alignment horizontal="center" vertical="center"/>
      <protection locked="0"/>
    </xf>
    <xf numFmtId="184" fontId="236" fillId="13" borderId="17" xfId="33" applyNumberFormat="1" applyFont="1" applyFill="1" applyBorder="1" applyAlignment="1" applyProtection="1">
      <alignment horizontal="center" vertical="center"/>
      <protection locked="0"/>
    </xf>
    <xf numFmtId="185" fontId="236" fillId="13" borderId="17" xfId="33" applyNumberFormat="1" applyFont="1" applyFill="1" applyBorder="1" applyAlignment="1" applyProtection="1">
      <alignment horizontal="center" vertical="center"/>
      <protection locked="0"/>
    </xf>
    <xf numFmtId="9" fontId="236" fillId="13" borderId="17" xfId="35" applyFont="1" applyFill="1" applyBorder="1" applyAlignment="1" applyProtection="1">
      <alignment horizontal="center" vertical="center"/>
      <protection locked="0"/>
    </xf>
    <xf numFmtId="164" fontId="236" fillId="13" borderId="17" xfId="34" applyNumberFormat="1" applyFont="1" applyFill="1" applyBorder="1" applyAlignment="1" applyProtection="1">
      <alignment horizontal="center" vertical="center"/>
      <protection locked="0"/>
    </xf>
    <xf numFmtId="184" fontId="236" fillId="13" borderId="159" xfId="33" applyNumberFormat="1" applyFont="1" applyFill="1" applyBorder="1" applyAlignment="1" applyProtection="1">
      <alignment horizontal="center" vertical="center"/>
      <protection locked="0"/>
    </xf>
    <xf numFmtId="184" fontId="236" fillId="13" borderId="18" xfId="33" applyNumberFormat="1" applyFont="1" applyFill="1" applyBorder="1" applyAlignment="1" applyProtection="1">
      <alignment horizontal="center" vertical="center"/>
      <protection locked="0"/>
    </xf>
    <xf numFmtId="185" fontId="236" fillId="13" borderId="18" xfId="33" applyNumberFormat="1" applyFont="1" applyFill="1" applyBorder="1" applyAlignment="1" applyProtection="1">
      <alignment horizontal="center" vertical="center"/>
      <protection locked="0"/>
    </xf>
    <xf numFmtId="9" fontId="236" fillId="13" borderId="18" xfId="35" applyFont="1" applyFill="1" applyBorder="1" applyAlignment="1" applyProtection="1">
      <alignment horizontal="center" vertical="center"/>
      <protection locked="0"/>
    </xf>
    <xf numFmtId="164" fontId="236" fillId="13" borderId="18" xfId="34" applyNumberFormat="1" applyFont="1" applyFill="1" applyBorder="1" applyAlignment="1" applyProtection="1">
      <alignment horizontal="center" vertical="center"/>
      <protection locked="0"/>
    </xf>
    <xf numFmtId="0" fontId="8" fillId="0" borderId="13" xfId="13" applyFont="1" applyBorder="1" applyAlignment="1" applyProtection="1">
      <alignment horizontal="center"/>
    </xf>
    <xf numFmtId="0" fontId="8" fillId="0" borderId="13" xfId="13" applyFont="1" applyBorder="1" applyAlignment="1" applyProtection="1">
      <alignment horizontal="center" vertical="center"/>
    </xf>
    <xf numFmtId="0" fontId="8" fillId="0" borderId="85" xfId="13" applyFont="1" applyBorder="1" applyAlignment="1" applyProtection="1">
      <alignment horizontal="center" vertical="center"/>
    </xf>
    <xf numFmtId="0" fontId="261" fillId="0" borderId="0" xfId="0" applyFont="1" applyFill="1" applyBorder="1" applyAlignment="1" applyProtection="1">
      <alignment horizontal="center"/>
    </xf>
    <xf numFmtId="49" fontId="130" fillId="0" borderId="0" xfId="0" applyNumberFormat="1" applyFont="1" applyFill="1" applyBorder="1" applyAlignment="1" applyProtection="1">
      <alignment vertical="center"/>
    </xf>
    <xf numFmtId="0" fontId="130" fillId="0" borderId="0" xfId="0" applyNumberFormat="1" applyFont="1" applyFill="1" applyBorder="1" applyAlignment="1" applyProtection="1">
      <alignment vertical="center"/>
    </xf>
    <xf numFmtId="0" fontId="93" fillId="0" borderId="0" xfId="6" applyFont="1" applyFill="1" applyBorder="1" applyAlignment="1" applyProtection="1">
      <alignment vertical="center"/>
    </xf>
    <xf numFmtId="0" fontId="95" fillId="0" borderId="0" xfId="6" applyFont="1" applyFill="1" applyBorder="1" applyAlignment="1" applyProtection="1">
      <alignment vertical="center"/>
    </xf>
    <xf numFmtId="166" fontId="102" fillId="0" borderId="0" xfId="10" applyNumberFormat="1" applyFont="1" applyFill="1" applyBorder="1" applyAlignment="1" applyProtection="1">
      <alignment horizontal="center" vertical="center"/>
    </xf>
    <xf numFmtId="10" fontId="102" fillId="0" borderId="0" xfId="10" applyNumberFormat="1" applyFont="1" applyFill="1" applyBorder="1" applyAlignment="1" applyProtection="1">
      <alignment horizontal="center" vertical="center"/>
    </xf>
    <xf numFmtId="49" fontId="102" fillId="0" borderId="0" xfId="0" applyNumberFormat="1" applyFont="1" applyFill="1" applyBorder="1" applyAlignment="1" applyProtection="1">
      <alignment vertical="center"/>
    </xf>
    <xf numFmtId="0" fontId="102" fillId="0" borderId="0" xfId="0" quotePrefix="1" applyFont="1" applyFill="1" applyBorder="1" applyAlignment="1" applyProtection="1"/>
    <xf numFmtId="0" fontId="102" fillId="0" borderId="0" xfId="0" quotePrefix="1" applyFont="1" applyFill="1" applyBorder="1" applyAlignment="1" applyProtection="1">
      <alignment horizontal="right"/>
    </xf>
    <xf numFmtId="0" fontId="102" fillId="0" borderId="0" xfId="0" quotePrefix="1" applyFont="1" applyFill="1" applyBorder="1" applyAlignment="1" applyProtection="1">
      <alignment vertical="top"/>
    </xf>
    <xf numFmtId="0" fontId="102" fillId="0" borderId="0" xfId="0" applyFont="1" applyFill="1" applyBorder="1" applyAlignment="1" applyProtection="1">
      <alignment horizontal="center" vertical="top"/>
    </xf>
    <xf numFmtId="0" fontId="250" fillId="0" borderId="0" xfId="0" applyFont="1" applyFill="1" applyBorder="1" applyAlignment="1" applyProtection="1"/>
    <xf numFmtId="49" fontId="249" fillId="0" borderId="0" xfId="0" applyNumberFormat="1" applyFont="1" applyFill="1" applyBorder="1" applyAlignment="1" applyProtection="1">
      <alignment vertical="center"/>
    </xf>
    <xf numFmtId="0" fontId="250" fillId="0" borderId="0" xfId="0" applyFont="1" applyFill="1" applyBorder="1" applyAlignment="1" applyProtection="1">
      <alignment horizontal="center" vertical="center"/>
    </xf>
    <xf numFmtId="0" fontId="249" fillId="0" borderId="0" xfId="0" applyFont="1" applyFill="1" applyBorder="1" applyAlignment="1" applyProtection="1">
      <alignment vertical="top"/>
    </xf>
    <xf numFmtId="49" fontId="252" fillId="0" borderId="0" xfId="0" applyNumberFormat="1" applyFont="1" applyFill="1" applyBorder="1" applyAlignment="1" applyProtection="1">
      <alignment vertical="center"/>
    </xf>
    <xf numFmtId="0" fontId="261" fillId="0" borderId="0" xfId="0" applyFont="1" applyFill="1" applyBorder="1" applyAlignment="1" applyProtection="1">
      <alignment horizontal="center" vertical="center"/>
    </xf>
    <xf numFmtId="164" fontId="102" fillId="0" borderId="0" xfId="1" applyNumberFormat="1" applyFont="1" applyFill="1" applyBorder="1" applyAlignment="1" applyProtection="1">
      <alignment horizontal="right" vertical="center"/>
    </xf>
    <xf numFmtId="171" fontId="102" fillId="0" borderId="0" xfId="0" applyNumberFormat="1" applyFont="1" applyFill="1" applyBorder="1" applyAlignment="1" applyProtection="1">
      <alignment vertical="center"/>
    </xf>
    <xf numFmtId="171" fontId="102" fillId="0" borderId="0" xfId="0" applyNumberFormat="1" applyFont="1" applyFill="1" applyBorder="1" applyAlignment="1" applyProtection="1">
      <alignment horizontal="center" vertical="center"/>
    </xf>
    <xf numFmtId="166" fontId="250" fillId="0" borderId="0" xfId="0" applyNumberFormat="1" applyFont="1" applyFill="1" applyBorder="1" applyAlignment="1" applyProtection="1">
      <alignment horizontal="center" vertical="center"/>
    </xf>
    <xf numFmtId="37" fontId="250" fillId="0" borderId="0" xfId="0" applyNumberFormat="1" applyFont="1" applyFill="1" applyBorder="1" applyAlignment="1" applyProtection="1">
      <alignment horizontal="center" vertical="center"/>
    </xf>
    <xf numFmtId="4" fontId="102" fillId="0" borderId="0" xfId="1" applyNumberFormat="1" applyFont="1" applyFill="1" applyBorder="1" applyAlignment="1" applyProtection="1">
      <alignment horizontal="right" vertical="center"/>
    </xf>
    <xf numFmtId="171" fontId="95" fillId="0" borderId="0" xfId="0" applyNumberFormat="1" applyFont="1" applyFill="1" applyBorder="1" applyAlignment="1" applyProtection="1">
      <alignment horizontal="left" vertical="center"/>
    </xf>
    <xf numFmtId="171" fontId="95"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vertical="center"/>
    </xf>
    <xf numFmtId="4" fontId="102" fillId="0" borderId="0" xfId="0" applyNumberFormat="1" applyFont="1" applyFill="1" applyBorder="1" applyAlignment="1" applyProtection="1">
      <alignment horizontal="left"/>
    </xf>
    <xf numFmtId="37" fontId="102" fillId="0" borderId="0" xfId="0" applyNumberFormat="1" applyFont="1" applyFill="1" applyBorder="1" applyAlignment="1" applyProtection="1">
      <alignment horizontal="center" vertical="center"/>
    </xf>
    <xf numFmtId="164" fontId="102" fillId="0" borderId="0" xfId="1" applyNumberFormat="1" applyFont="1" applyFill="1" applyBorder="1" applyAlignment="1" applyProtection="1"/>
    <xf numFmtId="164" fontId="95" fillId="0" borderId="0" xfId="1" applyNumberFormat="1" applyFont="1" applyFill="1" applyBorder="1" applyAlignment="1" applyProtection="1">
      <alignment horizontal="left" vertical="center"/>
    </xf>
    <xf numFmtId="3" fontId="250" fillId="0" borderId="0" xfId="0" applyNumberFormat="1" applyFont="1" applyFill="1" applyBorder="1" applyAlignment="1" applyProtection="1">
      <alignment horizontal="left" vertical="center"/>
    </xf>
    <xf numFmtId="38" fontId="102" fillId="0" borderId="0" xfId="0" applyNumberFormat="1" applyFont="1" applyFill="1" applyBorder="1" applyAlignment="1" applyProtection="1">
      <alignment horizontal="right" vertical="center"/>
    </xf>
    <xf numFmtId="0" fontId="249" fillId="0" borderId="0" xfId="0" applyFont="1" applyFill="1" applyBorder="1" applyAlignment="1" applyProtection="1">
      <alignment horizontal="left" vertical="top"/>
    </xf>
    <xf numFmtId="0" fontId="130" fillId="0" borderId="0" xfId="13" applyFont="1" applyFill="1" applyBorder="1" applyAlignment="1" applyProtection="1">
      <alignment vertical="center"/>
    </xf>
    <xf numFmtId="0" fontId="92" fillId="0" borderId="0" xfId="13" applyFont="1" applyFill="1" applyBorder="1" applyAlignment="1" applyProtection="1">
      <alignment vertical="top"/>
    </xf>
    <xf numFmtId="0" fontId="259" fillId="0" borderId="0" xfId="13" applyFont="1" applyFill="1" applyBorder="1" applyAlignment="1" applyProtection="1">
      <alignment horizontal="center" vertical="center"/>
    </xf>
    <xf numFmtId="0" fontId="95" fillId="0" borderId="0" xfId="13" applyFont="1" applyFill="1" applyBorder="1" applyAlignment="1" applyProtection="1">
      <alignment horizontal="center" vertical="center"/>
    </xf>
    <xf numFmtId="0" fontId="250" fillId="0" borderId="0" xfId="1" applyNumberFormat="1" applyFont="1" applyFill="1" applyBorder="1" applyAlignment="1" applyProtection="1">
      <alignment vertical="top"/>
    </xf>
    <xf numFmtId="0" fontId="95" fillId="0" borderId="0" xfId="13" applyFont="1" applyFill="1" applyBorder="1" applyAlignment="1" applyProtection="1">
      <alignment horizontal="right" vertical="center"/>
    </xf>
    <xf numFmtId="49" fontId="92" fillId="0" borderId="0" xfId="0" applyNumberFormat="1" applyFont="1" applyFill="1" applyBorder="1" applyAlignment="1" applyProtection="1"/>
    <xf numFmtId="0" fontId="96" fillId="0" borderId="0" xfId="0" applyFont="1" applyFill="1" applyBorder="1" applyAlignment="1" applyProtection="1">
      <alignment textRotation="90"/>
    </xf>
    <xf numFmtId="49" fontId="92" fillId="0" borderId="0" xfId="0" quotePrefix="1" applyNumberFormat="1" applyFont="1" applyFill="1" applyBorder="1" applyAlignment="1" applyProtection="1">
      <alignment vertical="center"/>
    </xf>
    <xf numFmtId="0" fontId="92"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vertical="top"/>
    </xf>
    <xf numFmtId="0" fontId="253" fillId="0" borderId="0" xfId="0" applyFont="1" applyFill="1" applyBorder="1" applyAlignment="1" applyProtection="1">
      <alignment vertical="center"/>
    </xf>
    <xf numFmtId="0" fontId="254" fillId="0" borderId="0" xfId="0" applyFont="1" applyFill="1" applyBorder="1" applyAlignment="1" applyProtection="1">
      <alignment horizontal="center" vertical="center"/>
    </xf>
    <xf numFmtId="164" fontId="93" fillId="0" borderId="0" xfId="1" applyNumberFormat="1" applyFont="1" applyFill="1" applyBorder="1" applyAlignment="1" applyProtection="1">
      <alignment vertical="center"/>
    </xf>
    <xf numFmtId="2" fontId="96" fillId="0" borderId="0" xfId="0" applyNumberFormat="1" applyFont="1" applyFill="1" applyBorder="1" applyAlignment="1" applyProtection="1">
      <alignment vertical="top"/>
    </xf>
    <xf numFmtId="0" fontId="92" fillId="0" borderId="0" xfId="0" applyNumberFormat="1" applyFont="1" applyFill="1" applyBorder="1" applyAlignment="1" applyProtection="1">
      <alignment horizontal="center" vertical="center"/>
    </xf>
    <xf numFmtId="0" fontId="252" fillId="0" borderId="0" xfId="0" applyFont="1" applyFill="1" applyBorder="1" applyAlignment="1" applyProtection="1">
      <alignment horizontal="right"/>
    </xf>
    <xf numFmtId="38" fontId="92" fillId="0" borderId="0" xfId="0" applyNumberFormat="1" applyFont="1" applyFill="1" applyBorder="1" applyAlignment="1" applyProtection="1"/>
    <xf numFmtId="0" fontId="92" fillId="0" borderId="0" xfId="0" quotePrefix="1" applyFont="1" applyFill="1" applyBorder="1" applyAlignment="1" applyProtection="1">
      <alignment horizontal="center" vertical="center"/>
    </xf>
    <xf numFmtId="10" fontId="96" fillId="0" borderId="0" xfId="0" applyNumberFormat="1" applyFont="1" applyFill="1" applyBorder="1" applyAlignment="1" applyProtection="1"/>
    <xf numFmtId="9" fontId="96" fillId="0" borderId="0" xfId="10" applyFont="1" applyFill="1" applyBorder="1" applyAlignment="1" applyProtection="1"/>
    <xf numFmtId="0" fontId="96" fillId="0" borderId="0" xfId="1" applyNumberFormat="1" applyFont="1" applyFill="1" applyBorder="1" applyAlignment="1" applyProtection="1">
      <alignment horizontal="center"/>
    </xf>
    <xf numFmtId="0" fontId="252" fillId="0" borderId="0" xfId="1" applyNumberFormat="1" applyFont="1" applyFill="1" applyBorder="1" applyAlignment="1" applyProtection="1">
      <alignment horizontal="center"/>
    </xf>
    <xf numFmtId="44" fontId="96" fillId="0" borderId="0" xfId="0" applyNumberFormat="1" applyFont="1" applyFill="1" applyBorder="1" applyAlignment="1" applyProtection="1"/>
    <xf numFmtId="44" fontId="92" fillId="0" borderId="0" xfId="0" applyNumberFormat="1" applyFont="1" applyFill="1" applyBorder="1" applyAlignment="1" applyProtection="1"/>
    <xf numFmtId="1" fontId="92" fillId="0" borderId="0" xfId="0" applyNumberFormat="1" applyFont="1" applyFill="1" applyBorder="1" applyAlignment="1" applyProtection="1"/>
    <xf numFmtId="0" fontId="96" fillId="0" borderId="0" xfId="0" applyNumberFormat="1" applyFont="1" applyFill="1" applyBorder="1" applyAlignment="1" applyProtection="1">
      <alignment vertical="center"/>
    </xf>
    <xf numFmtId="3" fontId="92" fillId="0" borderId="0" xfId="0" applyNumberFormat="1" applyFont="1" applyFill="1" applyBorder="1" applyAlignment="1" applyProtection="1">
      <alignment horizontal="right"/>
    </xf>
    <xf numFmtId="164" fontId="92" fillId="0" borderId="0" xfId="1" applyNumberFormat="1" applyFont="1" applyFill="1" applyBorder="1" applyAlignment="1" applyProtection="1"/>
    <xf numFmtId="0" fontId="262" fillId="0" borderId="0" xfId="0" applyFont="1" applyFill="1" applyBorder="1" applyAlignment="1" applyProtection="1">
      <alignment vertical="center"/>
    </xf>
    <xf numFmtId="0" fontId="130" fillId="0" borderId="0" xfId="0" applyFont="1" applyFill="1" applyBorder="1" applyAlignment="1" applyProtection="1"/>
    <xf numFmtId="0" fontId="259" fillId="0" borderId="0" xfId="0" applyFont="1" applyFill="1" applyBorder="1" applyAlignment="1" applyProtection="1">
      <alignment vertical="center"/>
    </xf>
    <xf numFmtId="38" fontId="93" fillId="0" borderId="0" xfId="0" applyNumberFormat="1" applyFont="1" applyFill="1" applyBorder="1" applyAlignment="1" applyProtection="1">
      <alignment horizontal="right" vertical="center"/>
    </xf>
    <xf numFmtId="3" fontId="96" fillId="0" borderId="0" xfId="0" applyNumberFormat="1" applyFont="1" applyFill="1" applyBorder="1" applyAlignment="1" applyProtection="1">
      <alignment vertical="center"/>
    </xf>
    <xf numFmtId="0" fontId="251" fillId="0" borderId="0" xfId="0" applyFont="1" applyFill="1" applyBorder="1" applyAlignment="1" applyProtection="1">
      <alignment horizontal="right" vertical="top"/>
    </xf>
    <xf numFmtId="3" fontId="93" fillId="0" borderId="0" xfId="0" applyNumberFormat="1" applyFont="1" applyFill="1" applyBorder="1" applyAlignment="1" applyProtection="1">
      <alignment horizontal="center" vertical="top"/>
    </xf>
    <xf numFmtId="0" fontId="93" fillId="0" borderId="0" xfId="0" applyFont="1" applyFill="1" applyBorder="1" applyAlignment="1" applyProtection="1">
      <alignment horizontal="justify" vertical="top"/>
    </xf>
    <xf numFmtId="3" fontId="95" fillId="0" borderId="0" xfId="0" applyNumberFormat="1" applyFont="1" applyFill="1" applyBorder="1" applyAlignment="1" applyProtection="1">
      <alignment horizontal="center" vertical="top"/>
    </xf>
    <xf numFmtId="6" fontId="130" fillId="0" borderId="0" xfId="0" applyNumberFormat="1" applyFont="1" applyFill="1" applyBorder="1" applyAlignment="1" applyProtection="1">
      <alignment vertical="center"/>
    </xf>
    <xf numFmtId="3" fontId="259" fillId="0" borderId="0" xfId="0" applyNumberFormat="1" applyFont="1" applyFill="1" applyBorder="1" applyAlignment="1" applyProtection="1">
      <alignment vertical="center"/>
    </xf>
    <xf numFmtId="3" fontId="250" fillId="0" borderId="0" xfId="0"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right" vertical="center"/>
    </xf>
    <xf numFmtId="10" fontId="93" fillId="0" borderId="0" xfId="0" applyNumberFormat="1" applyFont="1" applyFill="1" applyBorder="1" applyAlignment="1" applyProtection="1">
      <alignment vertical="center"/>
    </xf>
    <xf numFmtId="176" fontId="93" fillId="0" borderId="0" xfId="0" applyNumberFormat="1" applyFont="1" applyFill="1" applyBorder="1" applyAlignment="1" applyProtection="1">
      <alignment horizontal="center" vertical="center"/>
    </xf>
    <xf numFmtId="166" fontId="93"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left" vertical="center"/>
    </xf>
    <xf numFmtId="175" fontId="93" fillId="0" borderId="0" xfId="0" applyNumberFormat="1" applyFont="1" applyFill="1" applyBorder="1" applyAlignment="1" applyProtection="1">
      <alignment vertical="center"/>
    </xf>
    <xf numFmtId="0" fontId="93" fillId="0" borderId="0" xfId="0" applyFont="1" applyFill="1" applyBorder="1" applyAlignment="1" applyProtection="1">
      <alignment horizontal="justify" vertical="center"/>
    </xf>
    <xf numFmtId="1" fontId="93" fillId="0" borderId="0" xfId="0" applyNumberFormat="1" applyFont="1" applyFill="1" applyBorder="1" applyAlignment="1" applyProtection="1">
      <alignment horizontal="center" vertical="center"/>
    </xf>
    <xf numFmtId="9" fontId="93" fillId="0" borderId="0" xfId="0" applyNumberFormat="1" applyFont="1" applyFill="1" applyBorder="1" applyAlignment="1" applyProtection="1">
      <alignment horizontal="center" vertical="center"/>
    </xf>
    <xf numFmtId="37" fontId="92" fillId="0" borderId="0" xfId="0" applyNumberFormat="1" applyFont="1" applyFill="1" applyBorder="1" applyAlignment="1" applyProtection="1">
      <alignment vertical="center"/>
    </xf>
    <xf numFmtId="0" fontId="93" fillId="0" borderId="0" xfId="0" quotePrefix="1" applyFont="1" applyFill="1" applyBorder="1" applyAlignment="1" applyProtection="1"/>
    <xf numFmtId="38" fontId="96" fillId="0" borderId="0" xfId="0" applyNumberFormat="1" applyFont="1" applyFill="1" applyBorder="1" applyAlignment="1" applyProtection="1">
      <alignment vertical="center"/>
    </xf>
    <xf numFmtId="9" fontId="96" fillId="0" borderId="0" xfId="0" applyNumberFormat="1" applyFont="1" applyFill="1" applyBorder="1" applyAlignment="1" applyProtection="1">
      <alignment horizontal="center" vertical="center"/>
    </xf>
    <xf numFmtId="10" fontId="96" fillId="0" borderId="0" xfId="0" applyNumberFormat="1" applyFont="1" applyFill="1" applyBorder="1" applyAlignment="1" applyProtection="1">
      <alignment horizontal="center" vertical="center"/>
    </xf>
    <xf numFmtId="38" fontId="93" fillId="0" borderId="0" xfId="0" applyNumberFormat="1" applyFont="1" applyFill="1" applyBorder="1" applyAlignment="1" applyProtection="1">
      <alignment horizontal="center" vertical="top"/>
    </xf>
    <xf numFmtId="0" fontId="92" fillId="0" borderId="0" xfId="0" quotePrefix="1" applyFont="1" applyFill="1" applyBorder="1" applyAlignment="1" applyProtection="1">
      <alignment vertical="center"/>
    </xf>
    <xf numFmtId="0" fontId="96" fillId="0" borderId="0" xfId="0" quotePrefix="1" applyFont="1" applyFill="1" applyBorder="1" applyAlignment="1" applyProtection="1">
      <alignment horizontal="center" vertical="top"/>
    </xf>
    <xf numFmtId="9" fontId="93" fillId="0" borderId="0" xfId="10" applyFont="1" applyFill="1" applyBorder="1" applyAlignment="1" applyProtection="1">
      <alignment horizontal="center" vertical="top"/>
    </xf>
    <xf numFmtId="0" fontId="92" fillId="0" borderId="0" xfId="0" quotePrefix="1" applyFont="1" applyFill="1" applyBorder="1" applyAlignment="1" applyProtection="1"/>
    <xf numFmtId="38" fontId="93" fillId="0" borderId="0" xfId="0" applyNumberFormat="1" applyFont="1" applyFill="1" applyBorder="1" applyAlignment="1" applyProtection="1">
      <alignment horizontal="center"/>
    </xf>
    <xf numFmtId="38" fontId="93"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center"/>
    </xf>
    <xf numFmtId="40"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right"/>
    </xf>
    <xf numFmtId="9" fontId="96" fillId="0" borderId="0" xfId="10" applyFont="1" applyFill="1" applyBorder="1" applyAlignment="1" applyProtection="1">
      <alignment horizontal="center" vertical="top"/>
    </xf>
    <xf numFmtId="1" fontId="96" fillId="0" borderId="0" xfId="0" applyNumberFormat="1" applyFont="1" applyFill="1" applyBorder="1" applyAlignment="1" applyProtection="1">
      <alignment horizontal="center" vertical="center"/>
    </xf>
    <xf numFmtId="38" fontId="96" fillId="0" borderId="0" xfId="0" applyNumberFormat="1" applyFont="1" applyFill="1" applyBorder="1" applyAlignment="1" applyProtection="1">
      <alignment horizontal="center"/>
    </xf>
    <xf numFmtId="0" fontId="252" fillId="0" borderId="0" xfId="0" applyFont="1" applyFill="1" applyBorder="1" applyAlignment="1" applyProtection="1">
      <alignment horizontal="center"/>
    </xf>
    <xf numFmtId="0" fontId="258" fillId="0" borderId="0" xfId="0" applyFont="1" applyFill="1" applyBorder="1" applyAlignment="1" applyProtection="1"/>
    <xf numFmtId="0" fontId="253" fillId="0" borderId="0" xfId="0" applyFont="1" applyFill="1" applyBorder="1" applyAlignment="1" applyProtection="1">
      <alignment horizontal="center" vertical="center"/>
    </xf>
    <xf numFmtId="0" fontId="253" fillId="0" borderId="0" xfId="0" applyFont="1" applyFill="1" applyBorder="1" applyAlignment="1" applyProtection="1"/>
    <xf numFmtId="38" fontId="92" fillId="0" borderId="0" xfId="0" applyNumberFormat="1" applyFont="1" applyFill="1" applyBorder="1" applyAlignment="1" applyProtection="1">
      <alignment horizontal="center" vertical="top"/>
    </xf>
    <xf numFmtId="49" fontId="93" fillId="0" borderId="0" xfId="0" quotePrefix="1" applyNumberFormat="1" applyFont="1" applyFill="1" applyBorder="1" applyAlignment="1" applyProtection="1">
      <alignment horizontal="center" vertical="center"/>
    </xf>
    <xf numFmtId="49" fontId="93" fillId="0" borderId="0" xfId="0" quotePrefix="1" applyNumberFormat="1" applyFont="1" applyFill="1" applyBorder="1" applyAlignment="1" applyProtection="1">
      <alignment horizontal="center" vertical="top"/>
    </xf>
    <xf numFmtId="0" fontId="259" fillId="0" borderId="0" xfId="0" applyFont="1" applyFill="1" applyBorder="1" applyAlignment="1" applyProtection="1">
      <alignment vertical="top"/>
    </xf>
    <xf numFmtId="4" fontId="93" fillId="0" borderId="0" xfId="0" applyNumberFormat="1" applyFont="1" applyFill="1" applyBorder="1" applyAlignment="1" applyProtection="1">
      <alignment horizontal="center" vertical="center"/>
    </xf>
    <xf numFmtId="176" fontId="95" fillId="0" borderId="0" xfId="0" applyNumberFormat="1" applyFont="1" applyFill="1" applyBorder="1" applyAlignment="1" applyProtection="1">
      <alignment horizontal="center" vertical="center"/>
    </xf>
    <xf numFmtId="0" fontId="93" fillId="0" borderId="0" xfId="0" quotePrefix="1" applyFont="1" applyFill="1" applyBorder="1" applyAlignment="1" applyProtection="1">
      <alignment horizontal="left" vertical="top"/>
    </xf>
    <xf numFmtId="38" fontId="96" fillId="0" borderId="0" xfId="0" applyNumberFormat="1" applyFont="1" applyFill="1" applyBorder="1" applyAlignment="1" applyProtection="1">
      <alignment horizontal="center" vertical="top"/>
    </xf>
    <xf numFmtId="0" fontId="96" fillId="0" borderId="0" xfId="0" applyFont="1" applyFill="1" applyBorder="1" applyAlignment="1" applyProtection="1">
      <alignment vertical="center" textRotation="90"/>
    </xf>
    <xf numFmtId="0" fontId="259" fillId="0" borderId="0" xfId="0" applyFont="1" applyFill="1" applyBorder="1" applyAlignment="1" applyProtection="1">
      <alignment horizontal="center" vertical="center"/>
    </xf>
    <xf numFmtId="0" fontId="96" fillId="0" borderId="0" xfId="0" quotePrefix="1" applyFont="1" applyFill="1" applyBorder="1" applyAlignment="1" applyProtection="1">
      <alignment vertical="top"/>
    </xf>
    <xf numFmtId="0" fontId="251" fillId="0" borderId="0" xfId="0" applyFont="1" applyFill="1" applyBorder="1" applyAlignment="1" applyProtection="1"/>
    <xf numFmtId="38" fontId="96" fillId="0" borderId="0" xfId="0" applyNumberFormat="1" applyFont="1" applyFill="1" applyBorder="1" applyAlignment="1" applyProtection="1">
      <alignment horizontal="left" vertical="center"/>
    </xf>
    <xf numFmtId="0" fontId="263" fillId="0" borderId="0" xfId="0" applyFont="1" applyFill="1" applyBorder="1" applyAlignment="1" applyProtection="1">
      <alignment vertical="center"/>
    </xf>
    <xf numFmtId="0" fontId="96" fillId="0" borderId="0" xfId="0" quotePrefix="1" applyFont="1" applyFill="1" applyBorder="1" applyAlignment="1" applyProtection="1">
      <alignment horizontal="center" vertical="center"/>
    </xf>
    <xf numFmtId="0" fontId="257" fillId="0" borderId="0" xfId="0" applyFont="1" applyFill="1" applyBorder="1" applyAlignment="1" applyProtection="1"/>
    <xf numFmtId="0" fontId="96" fillId="0" borderId="0" xfId="0" quotePrefix="1" applyFont="1" applyFill="1" applyBorder="1" applyAlignment="1" applyProtection="1">
      <alignment horizontal="left" vertical="center"/>
    </xf>
    <xf numFmtId="10" fontId="96" fillId="0" borderId="0" xfId="0" applyNumberFormat="1" applyFont="1" applyFill="1" applyBorder="1" applyAlignment="1" applyProtection="1">
      <alignment vertical="center"/>
    </xf>
    <xf numFmtId="0" fontId="96" fillId="0" borderId="0" xfId="0" quotePrefix="1" applyFont="1" applyFill="1" applyBorder="1" applyAlignment="1" applyProtection="1">
      <alignment horizontal="right" vertical="top"/>
    </xf>
    <xf numFmtId="0" fontId="256" fillId="0" borderId="0" xfId="0" applyFont="1" applyFill="1" applyBorder="1" applyAlignment="1" applyProtection="1"/>
    <xf numFmtId="0" fontId="102" fillId="0" borderId="0" xfId="0" quotePrefix="1" applyFont="1" applyFill="1" applyBorder="1" applyAlignment="1" applyProtection="1">
      <alignment horizontal="center"/>
    </xf>
    <xf numFmtId="169" fontId="102" fillId="0" borderId="0" xfId="0" applyNumberFormat="1" applyFont="1" applyFill="1" applyBorder="1" applyAlignment="1" applyProtection="1">
      <alignment vertical="center"/>
    </xf>
    <xf numFmtId="167" fontId="102" fillId="0" borderId="0" xfId="0" applyNumberFormat="1" applyFont="1" applyFill="1" applyBorder="1" applyAlignment="1" applyProtection="1">
      <alignment vertical="center"/>
    </xf>
    <xf numFmtId="182" fontId="102" fillId="0" borderId="0" xfId="0" applyNumberFormat="1" applyFont="1" applyFill="1" applyBorder="1" applyAlignment="1" applyProtection="1">
      <alignment vertical="center"/>
    </xf>
    <xf numFmtId="178" fontId="102" fillId="0" borderId="0" xfId="0" applyNumberFormat="1" applyFont="1" applyFill="1" applyBorder="1" applyAlignment="1" applyProtection="1">
      <alignment vertical="center"/>
    </xf>
    <xf numFmtId="1" fontId="102" fillId="0" borderId="0" xfId="1" applyNumberFormat="1" applyFont="1" applyFill="1" applyBorder="1" applyAlignment="1" applyProtection="1">
      <alignment vertical="center"/>
    </xf>
    <xf numFmtId="176" fontId="102" fillId="0" borderId="0" xfId="0" applyNumberFormat="1" applyFont="1" applyFill="1" applyBorder="1" applyAlignment="1" applyProtection="1">
      <alignment horizontal="center" vertical="center"/>
    </xf>
    <xf numFmtId="175" fontId="102" fillId="0" borderId="0" xfId="0" applyNumberFormat="1" applyFont="1" applyFill="1" applyBorder="1" applyAlignment="1" applyProtection="1">
      <alignment vertical="center"/>
    </xf>
    <xf numFmtId="1" fontId="102" fillId="0" borderId="0" xfId="0" applyNumberFormat="1" applyFont="1" applyFill="1" applyBorder="1" applyAlignment="1" applyProtection="1">
      <alignment horizontal="center" vertical="center"/>
    </xf>
    <xf numFmtId="6" fontId="102" fillId="0" borderId="0" xfId="0" applyNumberFormat="1" applyFont="1" applyFill="1" applyBorder="1" applyAlignment="1" applyProtection="1">
      <alignment vertical="center"/>
    </xf>
    <xf numFmtId="0" fontId="250" fillId="0" borderId="0" xfId="6" applyFont="1" applyFill="1" applyBorder="1" applyAlignment="1" applyProtection="1">
      <alignment vertical="center"/>
    </xf>
    <xf numFmtId="0" fontId="102" fillId="0" borderId="0" xfId="0" applyNumberFormat="1" applyFont="1" applyFill="1" applyBorder="1" applyAlignment="1" applyProtection="1">
      <alignment horizontal="center" vertical="top"/>
    </xf>
    <xf numFmtId="174" fontId="102" fillId="0" borderId="0" xfId="10" applyNumberFormat="1" applyFont="1" applyFill="1" applyBorder="1" applyAlignment="1" applyProtection="1">
      <alignment horizontal="center" vertical="top"/>
    </xf>
    <xf numFmtId="37" fontId="102" fillId="0" borderId="0" xfId="0" applyNumberFormat="1" applyFont="1" applyFill="1" applyBorder="1" applyAlignment="1" applyProtection="1">
      <alignment vertical="center"/>
    </xf>
    <xf numFmtId="3" fontId="102" fillId="0" borderId="0" xfId="1" applyNumberFormat="1" applyFont="1" applyFill="1" applyBorder="1" applyAlignment="1" applyProtection="1">
      <alignment vertical="center"/>
    </xf>
    <xf numFmtId="38" fontId="102" fillId="0" borderId="0" xfId="2" applyNumberFormat="1" applyFont="1" applyFill="1" applyBorder="1" applyAlignment="1" applyProtection="1">
      <alignment horizontal="center" vertical="center"/>
    </xf>
    <xf numFmtId="9" fontId="95" fillId="0" borderId="0" xfId="0" applyNumberFormat="1" applyFont="1" applyFill="1" applyBorder="1" applyAlignment="1" applyProtection="1">
      <alignment horizontal="center"/>
    </xf>
    <xf numFmtId="38" fontId="95" fillId="0" borderId="0" xfId="0" applyNumberFormat="1" applyFont="1" applyFill="1" applyBorder="1" applyAlignment="1" applyProtection="1">
      <alignment horizontal="center" vertical="center"/>
    </xf>
    <xf numFmtId="37" fontId="102" fillId="0" borderId="0" xfId="1" applyNumberFormat="1" applyFont="1" applyFill="1" applyBorder="1" applyAlignment="1" applyProtection="1">
      <alignment horizontal="center" vertical="center"/>
    </xf>
    <xf numFmtId="164" fontId="250" fillId="0" borderId="0" xfId="1" applyNumberFormat="1" applyFont="1" applyFill="1" applyBorder="1" applyAlignment="1" applyProtection="1">
      <alignment horizontal="center" vertical="center"/>
    </xf>
    <xf numFmtId="170" fontId="102" fillId="0" borderId="0" xfId="0" applyNumberFormat="1" applyFont="1" applyFill="1" applyBorder="1" applyAlignment="1" applyProtection="1">
      <alignment vertical="center"/>
    </xf>
    <xf numFmtId="0" fontId="92" fillId="0" borderId="0" xfId="13" applyFont="1" applyFill="1" applyBorder="1" applyAlignment="1" applyProtection="1"/>
    <xf numFmtId="0" fontId="252" fillId="0" borderId="0" xfId="13" applyFont="1" applyFill="1" applyBorder="1" applyAlignment="1" applyProtection="1">
      <alignment vertical="top"/>
    </xf>
    <xf numFmtId="0" fontId="95" fillId="0" borderId="0" xfId="13" applyFont="1" applyFill="1" applyBorder="1" applyAlignment="1" applyProtection="1"/>
    <xf numFmtId="0" fontId="95" fillId="0" borderId="0" xfId="1" applyNumberFormat="1" applyFont="1" applyFill="1" applyBorder="1" applyAlignment="1" applyProtection="1">
      <alignment vertical="top"/>
    </xf>
    <xf numFmtId="175" fontId="92" fillId="0" borderId="0" xfId="0" applyNumberFormat="1" applyFont="1" applyFill="1" applyBorder="1" applyAlignment="1" applyProtection="1">
      <alignment vertical="center"/>
    </xf>
    <xf numFmtId="3" fontId="96" fillId="0" borderId="0" xfId="10" applyNumberFormat="1" applyFont="1" applyFill="1" applyBorder="1" applyAlignment="1" applyProtection="1">
      <alignment horizontal="center" vertical="center"/>
    </xf>
    <xf numFmtId="1" fontId="96" fillId="0" borderId="0" xfId="1" applyNumberFormat="1" applyFont="1" applyFill="1" applyBorder="1" applyAlignment="1" applyProtection="1">
      <alignment horizontal="center" vertical="center"/>
    </xf>
    <xf numFmtId="173" fontId="96" fillId="0" borderId="0" xfId="1" applyNumberFormat="1" applyFont="1" applyFill="1" applyBorder="1" applyAlignment="1" applyProtection="1">
      <alignment horizontal="center" vertical="center"/>
    </xf>
    <xf numFmtId="3" fontId="96" fillId="0" borderId="0" xfId="1" applyNumberFormat="1" applyFont="1" applyFill="1" applyBorder="1" applyAlignment="1" applyProtection="1">
      <alignment horizontal="center" vertical="center"/>
    </xf>
    <xf numFmtId="3" fontId="250" fillId="0" borderId="0" xfId="1" applyNumberFormat="1" applyFont="1" applyFill="1" applyBorder="1" applyAlignment="1" applyProtection="1">
      <alignment horizontal="center" vertical="center"/>
    </xf>
    <xf numFmtId="10" fontId="92" fillId="0" borderId="0" xfId="0" applyNumberFormat="1" applyFont="1" applyFill="1" applyBorder="1" applyAlignment="1" applyProtection="1">
      <alignment horizontal="center" vertical="center"/>
    </xf>
    <xf numFmtId="2" fontId="92" fillId="0" borderId="0" xfId="0" applyNumberFormat="1" applyFont="1" applyFill="1" applyBorder="1" applyAlignment="1" applyProtection="1">
      <alignment horizontal="center" vertical="center"/>
    </xf>
    <xf numFmtId="164" fontId="96" fillId="0" borderId="0" xfId="0" applyNumberFormat="1" applyFont="1" applyFill="1" applyBorder="1" applyAlignment="1" applyProtection="1"/>
    <xf numFmtId="3" fontId="92" fillId="0" borderId="0" xfId="1" applyNumberFormat="1" applyFont="1" applyFill="1" applyBorder="1" applyAlignment="1" applyProtection="1">
      <alignment horizontal="right" vertical="center"/>
    </xf>
    <xf numFmtId="164" fontId="92" fillId="0" borderId="0" xfId="1" applyNumberFormat="1" applyFont="1" applyFill="1" applyBorder="1" applyAlignment="1" applyProtection="1">
      <alignment horizontal="right"/>
    </xf>
    <xf numFmtId="0" fontId="92" fillId="0" borderId="0" xfId="0" applyNumberFormat="1" applyFont="1" applyFill="1" applyBorder="1" applyAlignment="1" applyProtection="1">
      <alignment horizontal="right" vertical="center"/>
    </xf>
    <xf numFmtId="3" fontId="92" fillId="0" borderId="0" xfId="10" applyNumberFormat="1" applyFont="1" applyFill="1" applyBorder="1" applyAlignment="1" applyProtection="1">
      <alignment horizontal="right" vertical="center"/>
    </xf>
    <xf numFmtId="166" fontId="92" fillId="0" borderId="0" xfId="10" applyNumberFormat="1" applyFont="1" applyFill="1" applyBorder="1" applyAlignment="1" applyProtection="1">
      <alignment horizontal="right" vertical="center"/>
    </xf>
    <xf numFmtId="10" fontId="92" fillId="0" borderId="0" xfId="0" applyNumberFormat="1" applyFont="1" applyFill="1" applyBorder="1" applyAlignment="1" applyProtection="1">
      <alignment vertical="center"/>
    </xf>
    <xf numFmtId="10" fontId="93" fillId="0" borderId="0" xfId="0" applyNumberFormat="1" applyFont="1" applyFill="1" applyBorder="1" applyAlignment="1" applyProtection="1">
      <alignment horizontal="left" vertical="center"/>
    </xf>
    <xf numFmtId="176" fontId="92" fillId="0" borderId="0" xfId="0" applyNumberFormat="1" applyFont="1" applyFill="1" applyBorder="1" applyAlignment="1" applyProtection="1"/>
    <xf numFmtId="3" fontId="93" fillId="0" borderId="0" xfId="1" applyNumberFormat="1" applyFont="1" applyFill="1" applyBorder="1" applyAlignment="1" applyProtection="1">
      <alignment horizontal="center" vertical="center"/>
    </xf>
    <xf numFmtId="168" fontId="95" fillId="0" borderId="0" xfId="0" applyNumberFormat="1" applyFont="1" applyFill="1" applyBorder="1" applyAlignment="1" applyProtection="1">
      <alignment vertical="center"/>
    </xf>
    <xf numFmtId="167" fontId="95" fillId="0" borderId="0" xfId="0" applyNumberFormat="1" applyFont="1" applyFill="1" applyBorder="1" applyAlignment="1" applyProtection="1">
      <alignment vertical="top"/>
    </xf>
    <xf numFmtId="4" fontId="93" fillId="0" borderId="0" xfId="0" applyNumberFormat="1" applyFont="1" applyFill="1" applyBorder="1" applyAlignment="1" applyProtection="1">
      <alignment vertical="top"/>
    </xf>
    <xf numFmtId="0" fontId="95" fillId="0" borderId="0" xfId="0" applyNumberFormat="1" applyFont="1" applyFill="1" applyBorder="1" applyAlignment="1" applyProtection="1">
      <alignment vertical="center"/>
    </xf>
    <xf numFmtId="183" fontId="93" fillId="0" borderId="0" xfId="0" applyNumberFormat="1" applyFont="1" applyFill="1" applyBorder="1" applyAlignment="1" applyProtection="1">
      <alignment horizontal="center" vertical="center"/>
    </xf>
    <xf numFmtId="176" fontId="96" fillId="0" borderId="0" xfId="0" applyNumberFormat="1" applyFont="1" applyFill="1" applyBorder="1" applyAlignment="1" applyProtection="1">
      <alignment vertical="center"/>
    </xf>
    <xf numFmtId="167" fontId="93" fillId="0" borderId="0" xfId="0" applyNumberFormat="1" applyFont="1" applyFill="1" applyBorder="1" applyAlignment="1" applyProtection="1">
      <alignment horizontal="center" vertical="center"/>
    </xf>
    <xf numFmtId="10" fontId="95" fillId="0" borderId="0" xfId="0" applyNumberFormat="1" applyFont="1" applyFill="1" applyBorder="1" applyAlignment="1" applyProtection="1">
      <alignment horizontal="center" vertical="center"/>
    </xf>
    <xf numFmtId="49" fontId="95" fillId="0" borderId="0" xfId="0" applyNumberFormat="1" applyFont="1" applyFill="1" applyBorder="1" applyAlignment="1" applyProtection="1">
      <alignment horizontal="center" vertical="center"/>
    </xf>
    <xf numFmtId="178" fontId="96" fillId="0" borderId="0" xfId="0" applyNumberFormat="1" applyFont="1" applyFill="1" applyBorder="1" applyAlignment="1" applyProtection="1">
      <alignment horizontal="center" vertical="center"/>
    </xf>
    <xf numFmtId="174" fontId="96" fillId="0" borderId="0" xfId="0" applyNumberFormat="1" applyFont="1" applyFill="1" applyBorder="1" applyAlignment="1" applyProtection="1">
      <alignment horizontal="center" vertical="center"/>
    </xf>
    <xf numFmtId="0" fontId="96" fillId="0" borderId="0" xfId="0" applyFont="1" applyFill="1" applyBorder="1" applyAlignment="1" applyProtection="1">
      <alignment horizontal="center"/>
    </xf>
    <xf numFmtId="0" fontId="130" fillId="0" borderId="0" xfId="0" applyFont="1" applyFill="1" applyBorder="1" applyAlignment="1" applyProtection="1">
      <alignment horizontal="center" vertical="center"/>
    </xf>
    <xf numFmtId="0" fontId="92" fillId="0" borderId="0" xfId="0" applyFont="1" applyFill="1" applyAlignment="1" applyProtection="1">
      <alignment horizontal="center" vertical="center"/>
    </xf>
    <xf numFmtId="0" fontId="83" fillId="0" borderId="0" xfId="0" applyFont="1" applyFill="1" applyAlignment="1" applyProtection="1">
      <alignment vertical="center"/>
    </xf>
    <xf numFmtId="0" fontId="96" fillId="0" borderId="0" xfId="0" applyFont="1" applyFill="1" applyAlignment="1" applyProtection="1">
      <alignment vertical="center"/>
    </xf>
    <xf numFmtId="0" fontId="96" fillId="0" borderId="0" xfId="0" applyFont="1" applyFill="1" applyAlignment="1" applyProtection="1">
      <alignment horizontal="center" vertical="center"/>
    </xf>
    <xf numFmtId="0" fontId="92" fillId="0" borderId="0" xfId="0" applyFont="1" applyFill="1" applyAlignment="1" applyProtection="1">
      <alignment horizontal="center"/>
    </xf>
    <xf numFmtId="3" fontId="92" fillId="0" borderId="0" xfId="0" applyNumberFormat="1" applyFont="1" applyFill="1" applyAlignment="1" applyProtection="1">
      <alignment horizontal="center"/>
    </xf>
    <xf numFmtId="0" fontId="83" fillId="0" borderId="0" xfId="0" applyFont="1" applyFill="1" applyAlignment="1" applyProtection="1">
      <alignment horizontal="center"/>
    </xf>
    <xf numFmtId="3" fontId="83" fillId="0" borderId="0" xfId="0" applyNumberFormat="1" applyFont="1" applyFill="1" applyAlignment="1" applyProtection="1">
      <alignment horizontal="center"/>
    </xf>
    <xf numFmtId="0" fontId="264" fillId="0" borderId="0" xfId="0" applyFont="1" applyFill="1" applyBorder="1" applyAlignment="1" applyProtection="1">
      <alignment horizontal="right"/>
    </xf>
    <xf numFmtId="0" fontId="83" fillId="0" borderId="0" xfId="0" applyFont="1" applyFill="1" applyBorder="1" applyAlignment="1" applyProtection="1">
      <alignment vertical="center"/>
    </xf>
    <xf numFmtId="0" fontId="93" fillId="0" borderId="0" xfId="0" applyFont="1" applyFill="1" applyAlignment="1" applyProtection="1">
      <alignment vertical="center"/>
    </xf>
    <xf numFmtId="0" fontId="14" fillId="13" borderId="18" xfId="0" applyFont="1" applyFill="1" applyBorder="1" applyAlignment="1" applyProtection="1">
      <alignment horizontal="center" vertical="top"/>
    </xf>
    <xf numFmtId="0" fontId="14" fillId="5" borderId="3" xfId="0" applyFont="1" applyFill="1" applyBorder="1" applyAlignment="1" applyProtection="1">
      <alignment horizontal="center" vertical="center"/>
    </xf>
    <xf numFmtId="3" fontId="45" fillId="0" borderId="0" xfId="1" applyNumberFormat="1" applyFont="1" applyBorder="1" applyAlignment="1" applyProtection="1">
      <alignment vertical="center"/>
    </xf>
    <xf numFmtId="0" fontId="14" fillId="5" borderId="16" xfId="0" applyFont="1" applyFill="1" applyBorder="1" applyAlignment="1" applyProtection="1">
      <alignment horizontal="center" vertical="center"/>
    </xf>
    <xf numFmtId="0" fontId="14" fillId="5" borderId="17" xfId="0" applyFont="1" applyFill="1" applyBorder="1" applyAlignment="1" applyProtection="1">
      <alignment horizontal="center" vertical="center"/>
    </xf>
    <xf numFmtId="0" fontId="14" fillId="5" borderId="18" xfId="0" applyFont="1" applyFill="1" applyBorder="1" applyAlignment="1" applyProtection="1">
      <alignment horizontal="center" vertical="center"/>
    </xf>
    <xf numFmtId="0" fontId="14" fillId="5" borderId="86" xfId="0" applyFont="1" applyFill="1" applyBorder="1" applyAlignment="1" applyProtection="1">
      <alignment horizontal="center" vertical="center"/>
    </xf>
    <xf numFmtId="10" fontId="14" fillId="5" borderId="18" xfId="0" applyNumberFormat="1" applyFont="1" applyFill="1" applyBorder="1" applyAlignment="1" applyProtection="1">
      <alignment horizontal="left" vertical="center"/>
    </xf>
    <xf numFmtId="10" fontId="14" fillId="5" borderId="18" xfId="0" applyNumberFormat="1" applyFont="1" applyFill="1" applyBorder="1" applyAlignment="1" applyProtection="1">
      <alignment horizontal="center" vertical="center"/>
    </xf>
    <xf numFmtId="0" fontId="14" fillId="5" borderId="28" xfId="0" applyFont="1" applyFill="1" applyBorder="1" applyAlignment="1" applyProtection="1">
      <alignment horizontal="center" vertical="center"/>
    </xf>
    <xf numFmtId="0" fontId="14" fillId="5" borderId="33" xfId="0" applyFont="1" applyFill="1" applyBorder="1" applyAlignment="1" applyProtection="1">
      <alignment horizontal="center" vertical="center"/>
    </xf>
    <xf numFmtId="0" fontId="14" fillId="5" borderId="136" xfId="0" applyFont="1" applyFill="1" applyBorder="1" applyAlignment="1" applyProtection="1">
      <alignment horizontal="center" vertical="center"/>
    </xf>
    <xf numFmtId="176" fontId="14" fillId="5" borderId="22" xfId="0" applyNumberFormat="1" applyFont="1" applyFill="1" applyBorder="1" applyAlignment="1" applyProtection="1">
      <alignment horizontal="center" vertical="center"/>
    </xf>
    <xf numFmtId="0" fontId="14" fillId="5" borderId="22" xfId="0" applyFont="1" applyFill="1" applyBorder="1" applyAlignment="1" applyProtection="1">
      <alignment horizontal="center" vertical="center"/>
    </xf>
    <xf numFmtId="166" fontId="14" fillId="5" borderId="17" xfId="0" applyNumberFormat="1" applyFont="1" applyFill="1" applyBorder="1" applyAlignment="1" applyProtection="1">
      <alignment horizontal="center" vertical="center"/>
    </xf>
    <xf numFmtId="0" fontId="14" fillId="5" borderId="16" xfId="0" applyFont="1" applyFill="1" applyBorder="1" applyAlignment="1" applyProtection="1">
      <alignment horizontal="center" vertical="top"/>
    </xf>
    <xf numFmtId="10" fontId="4" fillId="10" borderId="84" xfId="0" applyNumberFormat="1" applyFont="1" applyFill="1" applyBorder="1" applyAlignment="1" applyProtection="1">
      <alignment horizontal="center" vertical="center"/>
    </xf>
    <xf numFmtId="4" fontId="4" fillId="10" borderId="18" xfId="0" applyNumberFormat="1" applyFont="1" applyFill="1" applyBorder="1" applyAlignment="1" applyProtection="1">
      <alignment horizontal="center" vertical="center"/>
    </xf>
    <xf numFmtId="0" fontId="14" fillId="5" borderId="86" xfId="0" applyFont="1" applyFill="1" applyBorder="1" applyAlignment="1" applyProtection="1">
      <alignment horizontal="center" vertical="top"/>
    </xf>
    <xf numFmtId="3" fontId="4" fillId="5" borderId="3" xfId="1" applyNumberFormat="1" applyFont="1" applyFill="1" applyBorder="1" applyAlignment="1" applyProtection="1">
      <alignment horizontal="center" vertical="center"/>
    </xf>
    <xf numFmtId="0" fontId="14" fillId="5" borderId="3" xfId="0" applyFont="1" applyFill="1" applyBorder="1" applyAlignment="1" applyProtection="1">
      <alignment horizontal="center" vertical="top"/>
    </xf>
    <xf numFmtId="0" fontId="14" fillId="5" borderId="22" xfId="0" applyFont="1" applyFill="1" applyBorder="1" applyAlignment="1" applyProtection="1">
      <alignment horizontal="center" vertical="top"/>
    </xf>
    <xf numFmtId="0" fontId="14" fillId="5" borderId="100" xfId="0" applyFont="1" applyFill="1" applyBorder="1" applyAlignment="1" applyProtection="1">
      <alignment horizontal="center" vertical="top"/>
    </xf>
    <xf numFmtId="3" fontId="14" fillId="5" borderId="17" xfId="0" applyNumberFormat="1" applyFont="1" applyFill="1" applyBorder="1" applyAlignment="1" applyProtection="1">
      <alignment horizontal="center" vertical="center"/>
    </xf>
    <xf numFmtId="0" fontId="10" fillId="5" borderId="16" xfId="0" applyFont="1" applyFill="1" applyBorder="1" applyAlignment="1" applyProtection="1">
      <alignment horizontal="center" vertical="center"/>
    </xf>
    <xf numFmtId="0" fontId="10" fillId="5" borderId="17" xfId="0" applyFont="1" applyFill="1" applyBorder="1" applyAlignment="1" applyProtection="1">
      <alignment horizontal="center" vertical="center"/>
    </xf>
    <xf numFmtId="0" fontId="10" fillId="5" borderId="18" xfId="0" applyFont="1" applyFill="1" applyBorder="1" applyAlignment="1" applyProtection="1">
      <alignment horizontal="center" vertical="center"/>
    </xf>
    <xf numFmtId="0" fontId="14" fillId="5" borderId="86" xfId="0" applyFont="1" applyFill="1" applyBorder="1" applyAlignment="1" applyProtection="1">
      <alignment vertical="top"/>
    </xf>
    <xf numFmtId="3" fontId="8" fillId="5" borderId="112" xfId="0" applyNumberFormat="1" applyFont="1" applyFill="1" applyBorder="1" applyAlignment="1" applyProtection="1">
      <alignment horizontal="center" vertical="center"/>
    </xf>
    <xf numFmtId="3" fontId="8" fillId="5" borderId="16" xfId="0" applyNumberFormat="1" applyFont="1" applyFill="1" applyBorder="1" applyAlignment="1" applyProtection="1">
      <alignment horizontal="center" vertical="center"/>
    </xf>
    <xf numFmtId="3" fontId="8" fillId="5" borderId="17" xfId="0" applyNumberFormat="1" applyFont="1" applyFill="1" applyBorder="1" applyAlignment="1" applyProtection="1">
      <alignment horizontal="center" vertical="center"/>
    </xf>
    <xf numFmtId="3" fontId="8" fillId="5" borderId="18" xfId="0" applyNumberFormat="1" applyFont="1" applyFill="1" applyBorder="1" applyAlignment="1" applyProtection="1">
      <alignment horizontal="center" vertical="center"/>
    </xf>
    <xf numFmtId="3" fontId="8" fillId="5" borderId="86" xfId="0" applyNumberFormat="1" applyFont="1" applyFill="1" applyBorder="1" applyAlignment="1" applyProtection="1">
      <alignment horizontal="center" vertical="center"/>
    </xf>
    <xf numFmtId="38" fontId="8" fillId="5" borderId="17" xfId="0" applyNumberFormat="1" applyFont="1" applyFill="1" applyBorder="1" applyAlignment="1" applyProtection="1">
      <alignment horizontal="center" vertical="center"/>
    </xf>
    <xf numFmtId="38" fontId="8" fillId="5" borderId="18" xfId="0" applyNumberFormat="1" applyFont="1" applyFill="1" applyBorder="1" applyAlignment="1" applyProtection="1">
      <alignment horizontal="center" vertical="center"/>
    </xf>
    <xf numFmtId="1" fontId="10" fillId="5" borderId="86" xfId="0" applyNumberFormat="1" applyFont="1" applyFill="1" applyBorder="1" applyAlignment="1" applyProtection="1">
      <alignment horizontal="center" vertical="center"/>
    </xf>
    <xf numFmtId="168" fontId="42" fillId="10" borderId="86" xfId="0" applyNumberFormat="1" applyFont="1" applyFill="1" applyBorder="1" applyAlignment="1" applyProtection="1">
      <alignment vertical="center"/>
    </xf>
    <xf numFmtId="38" fontId="8" fillId="5" borderId="17" xfId="0" applyNumberFormat="1" applyFont="1" applyFill="1" applyBorder="1" applyAlignment="1" applyProtection="1">
      <alignment horizontal="center" vertical="top"/>
    </xf>
    <xf numFmtId="38" fontId="8" fillId="5" borderId="86" xfId="0" applyNumberFormat="1" applyFont="1" applyFill="1" applyBorder="1" applyAlignment="1" applyProtection="1">
      <alignment horizontal="center" vertical="center"/>
    </xf>
    <xf numFmtId="38" fontId="8" fillId="5" borderId="15" xfId="0" applyNumberFormat="1" applyFont="1" applyFill="1" applyBorder="1" applyAlignment="1" applyProtection="1">
      <alignment horizontal="center" vertical="center"/>
    </xf>
    <xf numFmtId="0" fontId="14" fillId="5" borderId="11" xfId="0" applyFont="1" applyFill="1" applyBorder="1" applyAlignment="1" applyProtection="1">
      <alignment horizontal="center" vertical="center"/>
    </xf>
    <xf numFmtId="0" fontId="3" fillId="10" borderId="3" xfId="0" applyFont="1" applyFill="1" applyBorder="1" applyAlignment="1" applyProtection="1">
      <alignment horizontal="center" vertical="center"/>
    </xf>
    <xf numFmtId="49" fontId="4" fillId="10" borderId="84" xfId="0" applyNumberFormat="1" applyFont="1" applyFill="1" applyBorder="1" applyAlignment="1" applyProtection="1">
      <alignment horizontal="center" vertical="center" wrapText="1"/>
    </xf>
    <xf numFmtId="0" fontId="4" fillId="10" borderId="29" xfId="0" applyFont="1" applyFill="1" applyBorder="1" applyAlignment="1" applyProtection="1">
      <alignment horizontal="center" vertical="center" wrapText="1"/>
    </xf>
    <xf numFmtId="49" fontId="4" fillId="10" borderId="29" xfId="0" applyNumberFormat="1" applyFont="1" applyFill="1" applyBorder="1" applyAlignment="1" applyProtection="1">
      <alignment horizontal="center" vertical="center" wrapText="1"/>
    </xf>
    <xf numFmtId="4" fontId="4" fillId="10" borderId="51" xfId="0" applyNumberFormat="1" applyFont="1" applyFill="1" applyBorder="1" applyAlignment="1" applyProtection="1">
      <alignment horizontal="center" vertical="center" wrapText="1"/>
    </xf>
    <xf numFmtId="4" fontId="4" fillId="10" borderId="52" xfId="0" applyNumberFormat="1" applyFont="1" applyFill="1" applyBorder="1" applyAlignment="1" applyProtection="1">
      <alignment horizontal="center" vertical="center" wrapText="1"/>
    </xf>
    <xf numFmtId="4" fontId="4" fillId="10" borderId="139" xfId="0" applyNumberFormat="1" applyFont="1" applyFill="1" applyBorder="1" applyAlignment="1" applyProtection="1">
      <alignment horizontal="center" vertical="center" wrapText="1"/>
    </xf>
    <xf numFmtId="49" fontId="4" fillId="10" borderId="17" xfId="0" applyNumberFormat="1" applyFont="1" applyFill="1" applyBorder="1" applyAlignment="1" applyProtection="1">
      <alignment horizontal="center" vertical="center" wrapText="1"/>
    </xf>
    <xf numFmtId="0" fontId="4" fillId="10" borderId="31" xfId="0" applyFont="1" applyFill="1" applyBorder="1" applyAlignment="1" applyProtection="1">
      <alignment horizontal="center" vertical="center" wrapText="1"/>
    </xf>
    <xf numFmtId="49" fontId="4" fillId="10" borderId="31" xfId="0" applyNumberFormat="1" applyFont="1" applyFill="1" applyBorder="1" applyAlignment="1" applyProtection="1">
      <alignment horizontal="center" vertical="center" wrapText="1"/>
    </xf>
    <xf numFmtId="4" fontId="4" fillId="10" borderId="50" xfId="0" applyNumberFormat="1" applyFont="1" applyFill="1" applyBorder="1" applyAlignment="1" applyProtection="1">
      <alignment horizontal="center" vertical="center" wrapText="1"/>
    </xf>
    <xf numFmtId="4" fontId="4" fillId="10" borderId="38" xfId="0" applyNumberFormat="1" applyFont="1" applyFill="1" applyBorder="1" applyAlignment="1" applyProtection="1">
      <alignment horizontal="center" vertical="center" wrapText="1"/>
    </xf>
    <xf numFmtId="4" fontId="4" fillId="10" borderId="74" xfId="0" applyNumberFormat="1" applyFont="1" applyFill="1" applyBorder="1" applyAlignment="1" applyProtection="1">
      <alignment horizontal="center" vertical="center" wrapText="1"/>
    </xf>
    <xf numFmtId="49" fontId="4" fillId="10" borderId="18" xfId="0" applyNumberFormat="1" applyFont="1" applyFill="1" applyBorder="1" applyAlignment="1" applyProtection="1">
      <alignment horizontal="center" vertical="center" wrapText="1"/>
    </xf>
    <xf numFmtId="0" fontId="4" fillId="10" borderId="34" xfId="0" applyFont="1" applyFill="1" applyBorder="1" applyAlignment="1" applyProtection="1">
      <alignment horizontal="center" vertical="center" wrapText="1"/>
    </xf>
    <xf numFmtId="49" fontId="4" fillId="10" borderId="34" xfId="0" applyNumberFormat="1" applyFont="1" applyFill="1" applyBorder="1" applyAlignment="1" applyProtection="1">
      <alignment horizontal="center" vertical="center" wrapText="1"/>
    </xf>
    <xf numFmtId="4" fontId="4" fillId="10" borderId="48" xfId="0" applyNumberFormat="1" applyFont="1" applyFill="1" applyBorder="1" applyAlignment="1" applyProtection="1">
      <alignment horizontal="center" vertical="center" wrapText="1"/>
    </xf>
    <xf numFmtId="4" fontId="4" fillId="10" borderId="49" xfId="0" applyNumberFormat="1" applyFont="1" applyFill="1" applyBorder="1" applyAlignment="1" applyProtection="1">
      <alignment horizontal="center" vertical="center" wrapText="1"/>
    </xf>
    <xf numFmtId="4" fontId="4" fillId="10" borderId="76" xfId="0" applyNumberFormat="1" applyFont="1" applyFill="1" applyBorder="1" applyAlignment="1" applyProtection="1">
      <alignment horizontal="center" vertical="center" wrapText="1"/>
    </xf>
    <xf numFmtId="3" fontId="4" fillId="10" borderId="16" xfId="0" applyNumberFormat="1" applyFont="1" applyFill="1" applyBorder="1" applyAlignment="1" applyProtection="1">
      <alignment horizontal="center" vertical="center" wrapText="1"/>
    </xf>
    <xf numFmtId="3" fontId="4" fillId="10" borderId="18" xfId="0" applyNumberFormat="1" applyFont="1" applyFill="1" applyBorder="1" applyAlignment="1" applyProtection="1">
      <alignment horizontal="center" vertical="center" wrapText="1"/>
    </xf>
    <xf numFmtId="0" fontId="14" fillId="5" borderId="116" xfId="0" applyFont="1" applyFill="1" applyBorder="1" applyAlignment="1" applyProtection="1">
      <alignment horizontal="center" vertical="center"/>
    </xf>
    <xf numFmtId="0" fontId="14" fillId="5" borderId="142" xfId="0" applyFont="1" applyFill="1" applyBorder="1" applyAlignment="1" applyProtection="1">
      <alignment horizontal="center" vertical="center"/>
    </xf>
    <xf numFmtId="0" fontId="14" fillId="5" borderId="111" xfId="0" applyFont="1" applyFill="1" applyBorder="1" applyAlignment="1" applyProtection="1">
      <alignment horizontal="center" vertical="center"/>
    </xf>
    <xf numFmtId="176" fontId="84" fillId="10" borderId="116" xfId="0" applyNumberFormat="1" applyFont="1" applyFill="1" applyBorder="1" applyAlignment="1" applyProtection="1">
      <alignment horizontal="center" vertical="center"/>
    </xf>
    <xf numFmtId="0" fontId="14" fillId="5" borderId="51" xfId="0" applyFont="1" applyFill="1" applyBorder="1" applyAlignment="1" applyProtection="1">
      <alignment horizontal="center" vertical="center"/>
    </xf>
    <xf numFmtId="0" fontId="14" fillId="5" borderId="50" xfId="0" applyFont="1" applyFill="1" applyBorder="1" applyAlignment="1" applyProtection="1">
      <alignment horizontal="center" vertical="center"/>
    </xf>
    <xf numFmtId="0" fontId="14" fillId="5" borderId="48" xfId="0" applyFont="1" applyFill="1" applyBorder="1" applyAlignment="1" applyProtection="1">
      <alignment horizontal="center" vertical="center"/>
    </xf>
    <xf numFmtId="38" fontId="10" fillId="5" borderId="12" xfId="0" applyNumberFormat="1" applyFont="1" applyFill="1" applyBorder="1" applyAlignment="1" applyProtection="1">
      <alignment horizontal="center" vertical="center"/>
    </xf>
    <xf numFmtId="183" fontId="14" fillId="5" borderId="84" xfId="0" applyNumberFormat="1" applyFont="1" applyFill="1" applyBorder="1" applyAlignment="1" applyProtection="1">
      <alignment horizontal="center" vertical="center"/>
    </xf>
    <xf numFmtId="167" fontId="4" fillId="10" borderId="18" xfId="0" applyNumberFormat="1" applyFont="1" applyFill="1" applyBorder="1" applyAlignment="1" applyProtection="1">
      <alignment horizontal="center" vertical="center"/>
    </xf>
    <xf numFmtId="9" fontId="13" fillId="10" borderId="86" xfId="0" applyNumberFormat="1" applyFont="1" applyFill="1" applyBorder="1" applyAlignment="1" applyProtection="1">
      <alignment horizontal="center" vertical="center"/>
    </xf>
    <xf numFmtId="10" fontId="42" fillId="10" borderId="17" xfId="0" applyNumberFormat="1" applyFont="1" applyFill="1" applyBorder="1" applyAlignment="1" applyProtection="1">
      <alignment horizontal="center" vertical="center"/>
    </xf>
    <xf numFmtId="0" fontId="4" fillId="10" borderId="17" xfId="0" applyFont="1" applyFill="1" applyBorder="1" applyAlignment="1" applyProtection="1">
      <alignment horizontal="center" vertical="center"/>
    </xf>
    <xf numFmtId="49" fontId="42" fillId="5" borderId="86" xfId="0" applyNumberFormat="1" applyFont="1" applyFill="1" applyBorder="1" applyAlignment="1" applyProtection="1">
      <alignment horizontal="center" vertical="center" wrapText="1"/>
    </xf>
    <xf numFmtId="178" fontId="13" fillId="5" borderId="86" xfId="0" applyNumberFormat="1" applyFont="1" applyFill="1" applyBorder="1" applyAlignment="1" applyProtection="1">
      <alignment horizontal="center" vertical="center"/>
    </xf>
    <xf numFmtId="1" fontId="13" fillId="10" borderId="86" xfId="0" applyNumberFormat="1" applyFont="1" applyFill="1" applyBorder="1" applyAlignment="1" applyProtection="1">
      <alignment horizontal="center" vertical="center"/>
    </xf>
    <xf numFmtId="1" fontId="4" fillId="10" borderId="86" xfId="0" applyNumberFormat="1" applyFont="1" applyFill="1" applyBorder="1" applyAlignment="1" applyProtection="1">
      <alignment horizontal="center" vertical="center"/>
    </xf>
    <xf numFmtId="38" fontId="8" fillId="5" borderId="22" xfId="0" applyNumberFormat="1" applyFont="1" applyFill="1" applyBorder="1" applyAlignment="1" applyProtection="1">
      <alignment horizontal="center" vertical="center"/>
    </xf>
    <xf numFmtId="0" fontId="4" fillId="5" borderId="16" xfId="0" applyFont="1" applyFill="1" applyBorder="1" applyAlignment="1" applyProtection="1">
      <alignment horizontal="left" vertical="center"/>
    </xf>
    <xf numFmtId="0" fontId="4" fillId="5" borderId="18" xfId="0" applyFont="1" applyFill="1" applyBorder="1" applyAlignment="1" applyProtection="1">
      <alignment horizontal="left" vertical="center"/>
    </xf>
    <xf numFmtId="38" fontId="8" fillId="5" borderId="16" xfId="0" applyNumberFormat="1" applyFont="1" applyFill="1" applyBorder="1" applyAlignment="1" applyProtection="1">
      <alignment horizontal="center" vertical="center"/>
    </xf>
    <xf numFmtId="38" fontId="8" fillId="5" borderId="136" xfId="0" applyNumberFormat="1" applyFont="1" applyFill="1" applyBorder="1" applyAlignment="1" applyProtection="1">
      <alignment horizontal="center" vertical="center"/>
    </xf>
    <xf numFmtId="0" fontId="14" fillId="5" borderId="12" xfId="0" applyFont="1" applyFill="1" applyBorder="1" applyAlignment="1" applyProtection="1">
      <alignment horizontal="center" vertical="top"/>
    </xf>
    <xf numFmtId="0" fontId="4" fillId="10" borderId="86" xfId="0" applyFont="1" applyFill="1" applyBorder="1" applyAlignment="1" applyProtection="1">
      <alignment horizontal="center" vertical="center"/>
    </xf>
    <xf numFmtId="3" fontId="13" fillId="10" borderId="16" xfId="0" applyNumberFormat="1" applyFont="1" applyFill="1" applyBorder="1" applyAlignment="1" applyProtection="1">
      <alignment horizontal="center" vertical="center"/>
    </xf>
    <xf numFmtId="174" fontId="13" fillId="10" borderId="17" xfId="0" applyNumberFormat="1" applyFont="1" applyFill="1" applyBorder="1" applyAlignment="1" applyProtection="1">
      <alignment horizontal="center" vertical="center"/>
    </xf>
    <xf numFmtId="3" fontId="13" fillId="10" borderId="18" xfId="0" applyNumberFormat="1" applyFont="1" applyFill="1" applyBorder="1" applyAlignment="1" applyProtection="1">
      <alignment horizontal="center" vertical="center"/>
    </xf>
    <xf numFmtId="38" fontId="8" fillId="10" borderId="22" xfId="0" applyNumberFormat="1" applyFont="1" applyFill="1" applyBorder="1" applyAlignment="1" applyProtection="1">
      <alignment horizontal="center" vertical="center"/>
    </xf>
    <xf numFmtId="38" fontId="8" fillId="10" borderId="18" xfId="0" applyNumberFormat="1" applyFont="1" applyFill="1" applyBorder="1" applyAlignment="1" applyProtection="1">
      <alignment horizontal="center" vertical="center"/>
    </xf>
    <xf numFmtId="0" fontId="40" fillId="0" borderId="0" xfId="0" applyFont="1" applyFill="1" applyAlignment="1" applyProtection="1">
      <alignment horizontal="center" vertical="center" wrapText="1"/>
    </xf>
    <xf numFmtId="0" fontId="45" fillId="0" borderId="13" xfId="0" applyFont="1" applyFill="1" applyBorder="1" applyAlignment="1" applyProtection="1">
      <alignment horizontal="center" vertical="center"/>
    </xf>
    <xf numFmtId="0" fontId="45" fillId="0" borderId="0" xfId="0" applyFont="1" applyFill="1" applyBorder="1" applyAlignment="1" applyProtection="1">
      <alignment horizontal="left" vertical="center"/>
    </xf>
    <xf numFmtId="0" fontId="45" fillId="0" borderId="0" xfId="0" applyFont="1" applyFill="1" applyBorder="1" applyAlignment="1" applyProtection="1">
      <alignment horizontal="left"/>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8" fillId="0" borderId="0" xfId="0" applyFont="1" applyFill="1" applyAlignment="1" applyProtection="1">
      <alignment horizontal="left"/>
    </xf>
    <xf numFmtId="0" fontId="45" fillId="0" borderId="5"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0" xfId="0" applyFont="1" applyFill="1" applyBorder="1" applyAlignment="1" applyProtection="1">
      <alignment horizontal="center"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45" fillId="0" borderId="0" xfId="0" applyFont="1" applyFill="1" applyBorder="1" applyAlignment="1" applyProtection="1">
      <alignment horizontal="center" wrapText="1"/>
    </xf>
    <xf numFmtId="0" fontId="45" fillId="0" borderId="82" xfId="0" applyFont="1" applyFill="1" applyBorder="1" applyAlignment="1" applyProtection="1">
      <alignment horizontal="center" vertical="center"/>
    </xf>
    <xf numFmtId="0" fontId="45" fillId="0" borderId="8" xfId="0" applyFont="1" applyFill="1" applyBorder="1" applyAlignment="1" applyProtection="1">
      <alignment vertical="center"/>
    </xf>
    <xf numFmtId="0" fontId="45" fillId="0" borderId="85" xfId="0" applyFont="1" applyFill="1" applyBorder="1" applyAlignment="1" applyProtection="1">
      <alignment vertical="center"/>
    </xf>
    <xf numFmtId="171" fontId="53" fillId="0" borderId="0" xfId="0" applyNumberFormat="1" applyFont="1" applyFill="1" applyBorder="1" applyAlignment="1" applyProtection="1">
      <alignment horizontal="center" vertical="center"/>
    </xf>
    <xf numFmtId="4" fontId="62" fillId="0" borderId="13" xfId="1" applyNumberFormat="1" applyFont="1" applyFill="1" applyBorder="1" applyAlignment="1" applyProtection="1">
      <alignment horizontal="right" vertical="center"/>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164" fontId="45" fillId="0" borderId="0" xfId="1"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0" fontId="8" fillId="0" borderId="0" xfId="0" applyFont="1" applyAlignment="1" applyProtection="1">
      <alignment horizontal="center"/>
    </xf>
    <xf numFmtId="0" fontId="10" fillId="0" borderId="0" xfId="0" applyFont="1" applyFill="1" applyAlignment="1" applyProtection="1">
      <alignment horizontal="center" wrapText="1"/>
    </xf>
    <xf numFmtId="0" fontId="8" fillId="0" borderId="0" xfId="0" applyFont="1" applyFill="1" applyAlignment="1" applyProtection="1">
      <alignment horizontal="left" vertical="center"/>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8" fillId="0" borderId="0" xfId="0" applyFont="1" applyFill="1" applyAlignment="1" applyProtection="1">
      <alignment horizontal="center"/>
    </xf>
    <xf numFmtId="0" fontId="4" fillId="0" borderId="0" xfId="0" applyFont="1" applyFill="1" applyBorder="1" applyAlignment="1" applyProtection="1">
      <alignment horizontal="center" vertical="center" wrapText="1"/>
    </xf>
    <xf numFmtId="0" fontId="14" fillId="13" borderId="12" xfId="0" applyFont="1" applyFill="1" applyBorder="1" applyAlignment="1" applyProtection="1">
      <alignment horizontal="center" vertical="center"/>
    </xf>
    <xf numFmtId="0" fontId="4" fillId="0" borderId="0" xfId="0" applyFont="1" applyFill="1" applyBorder="1" applyAlignment="1" applyProtection="1">
      <alignment horizontal="left" vertical="top" wrapText="1"/>
    </xf>
    <xf numFmtId="0" fontId="4" fillId="0" borderId="0" xfId="0" applyFont="1" applyFill="1" applyAlignment="1" applyProtection="1">
      <alignment horizontal="left" vertical="top" wrapText="1"/>
    </xf>
    <xf numFmtId="0" fontId="4" fillId="0" borderId="0" xfId="0" applyFont="1" applyFill="1" applyAlignment="1" applyProtection="1">
      <alignment horizontal="left" vertical="center" wrapText="1"/>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14" fillId="5" borderId="17" xfId="0" applyFont="1" applyFill="1" applyBorder="1" applyAlignment="1" applyProtection="1">
      <alignment horizontal="center" vertical="top"/>
    </xf>
    <xf numFmtId="0" fontId="14" fillId="5" borderId="18" xfId="0" applyFont="1" applyFill="1" applyBorder="1" applyAlignment="1" applyProtection="1">
      <alignment horizontal="center" vertical="top"/>
    </xf>
    <xf numFmtId="0" fontId="14" fillId="0" borderId="0" xfId="0" applyFont="1" applyFill="1" applyBorder="1" applyAlignment="1" applyProtection="1">
      <alignment horizontal="left" vertical="top" wrapText="1"/>
    </xf>
    <xf numFmtId="0" fontId="4" fillId="0" borderId="0" xfId="0" applyFont="1" applyAlignment="1" applyProtection="1">
      <alignment horizontal="center" vertical="center"/>
    </xf>
    <xf numFmtId="0" fontId="14" fillId="5" borderId="12" xfId="0" applyFont="1" applyFill="1" applyBorder="1" applyAlignment="1" applyProtection="1">
      <alignment horizontal="center" vertical="center"/>
    </xf>
    <xf numFmtId="0" fontId="4" fillId="0" borderId="0" xfId="0" applyFont="1" applyFill="1" applyAlignment="1" applyProtection="1">
      <alignment horizontal="center"/>
    </xf>
    <xf numFmtId="0" fontId="4" fillId="0" borderId="0" xfId="0" applyFont="1" applyFill="1" applyBorder="1" applyAlignment="1" applyProtection="1">
      <alignment horizontal="left" vertical="center" wrapText="1"/>
    </xf>
    <xf numFmtId="0" fontId="14" fillId="13" borderId="17" xfId="0" applyFont="1" applyFill="1" applyBorder="1" applyAlignment="1" applyProtection="1">
      <alignment horizontal="center" vertical="top"/>
    </xf>
    <xf numFmtId="3" fontId="13" fillId="0" borderId="18" xfId="0" applyNumberFormat="1" applyFont="1" applyBorder="1" applyAlignment="1" applyProtection="1">
      <alignment horizontal="center" vertical="center" wrapText="1"/>
    </xf>
    <xf numFmtId="0" fontId="4" fillId="0" borderId="0" xfId="0" applyFont="1" applyAlignment="1" applyProtection="1">
      <alignment horizontal="left" vertical="top" wrapText="1"/>
    </xf>
    <xf numFmtId="0" fontId="4" fillId="0" borderId="13" xfId="0" applyFont="1" applyFill="1" applyBorder="1" applyAlignment="1" applyProtection="1">
      <alignment horizontal="left" vertical="center" wrapText="1"/>
    </xf>
    <xf numFmtId="0" fontId="4" fillId="0" borderId="0" xfId="0" applyFont="1" applyFill="1" applyAlignment="1" applyProtection="1">
      <alignment horizontal="center" vertical="center"/>
    </xf>
    <xf numFmtId="3" fontId="13" fillId="0" borderId="16" xfId="0" applyNumberFormat="1" applyFont="1" applyBorder="1" applyAlignment="1" applyProtection="1">
      <alignment horizontal="center" vertical="center" wrapText="1"/>
    </xf>
    <xf numFmtId="0" fontId="18" fillId="0" borderId="0" xfId="0" applyFont="1" applyFill="1" applyAlignment="1" applyProtection="1">
      <alignment horizontal="center"/>
    </xf>
    <xf numFmtId="0" fontId="45" fillId="0" borderId="0" xfId="0" applyFont="1" applyBorder="1" applyAlignment="1" applyProtection="1">
      <alignment horizontal="justify" vertical="top" wrapText="1"/>
    </xf>
    <xf numFmtId="0" fontId="40" fillId="0" borderId="0" xfId="0" applyFont="1" applyFill="1" applyAlignment="1" applyProtection="1">
      <alignment horizontal="center" vertical="center" wrapText="1"/>
    </xf>
    <xf numFmtId="0" fontId="45" fillId="0" borderId="0" xfId="0" applyFont="1" applyFill="1" applyBorder="1" applyAlignment="1" applyProtection="1">
      <alignment horizontal="left" vertical="top" wrapText="1"/>
    </xf>
    <xf numFmtId="0" fontId="45" fillId="0" borderId="7" xfId="0" applyFont="1" applyBorder="1" applyAlignment="1" applyProtection="1">
      <alignment horizontal="center" vertical="center"/>
    </xf>
    <xf numFmtId="0" fontId="45" fillId="0" borderId="8" xfId="0" applyFont="1" applyBorder="1" applyAlignment="1" applyProtection="1">
      <alignment horizontal="center" vertical="center"/>
    </xf>
    <xf numFmtId="0" fontId="45" fillId="0" borderId="7" xfId="0" applyFont="1" applyFill="1" applyBorder="1" applyAlignment="1" applyProtection="1">
      <alignment horizontal="left" vertical="center"/>
    </xf>
    <xf numFmtId="0" fontId="45" fillId="0" borderId="0" xfId="0" applyFont="1" applyFill="1" applyAlignment="1" applyProtection="1">
      <alignment horizontal="left" vertical="center"/>
    </xf>
    <xf numFmtId="0" fontId="45" fillId="0" borderId="8" xfId="0" applyFont="1" applyFill="1" applyBorder="1" applyAlignment="1" applyProtection="1">
      <alignment horizontal="left" vertical="center"/>
    </xf>
    <xf numFmtId="0" fontId="53" fillId="0" borderId="0" xfId="0" applyFont="1" applyFill="1" applyBorder="1" applyAlignment="1" applyProtection="1">
      <alignment horizontal="left" vertical="center"/>
    </xf>
    <xf numFmtId="0" fontId="45" fillId="0" borderId="0" xfId="0" applyFont="1" applyBorder="1" applyAlignment="1" applyProtection="1">
      <alignment horizontal="left" vertical="center"/>
    </xf>
    <xf numFmtId="0" fontId="45" fillId="0" borderId="0" xfId="0" applyFont="1" applyFill="1" applyAlignment="1" applyProtection="1">
      <alignment horizontal="left" vertical="top" wrapText="1"/>
    </xf>
    <xf numFmtId="0" fontId="45" fillId="0" borderId="7" xfId="0" applyFont="1" applyBorder="1" applyAlignment="1" applyProtection="1">
      <alignment horizontal="center"/>
    </xf>
    <xf numFmtId="0" fontId="45" fillId="0" borderId="8" xfId="0" applyFont="1" applyBorder="1" applyAlignment="1" applyProtection="1">
      <alignment horizontal="center"/>
    </xf>
    <xf numFmtId="0" fontId="45" fillId="0" borderId="0" xfId="0" applyFont="1" applyFill="1" applyBorder="1" applyAlignment="1" applyProtection="1">
      <alignment horizontal="left" vertical="center"/>
    </xf>
    <xf numFmtId="0" fontId="53" fillId="0" borderId="0" xfId="0" applyFont="1" applyFill="1" applyBorder="1" applyAlignment="1" applyProtection="1">
      <alignment horizontal="left" wrapText="1"/>
    </xf>
    <xf numFmtId="0" fontId="45" fillId="0" borderId="0" xfId="0" applyFont="1" applyFill="1" applyBorder="1" applyAlignment="1" applyProtection="1">
      <alignment horizontal="left"/>
    </xf>
    <xf numFmtId="0" fontId="54" fillId="8" borderId="53" xfId="0" applyFont="1" applyFill="1" applyBorder="1" applyAlignment="1" applyProtection="1">
      <alignment horizontal="center" vertical="center"/>
    </xf>
    <xf numFmtId="0" fontId="54" fillId="8" borderId="54" xfId="0" applyFont="1" applyFill="1" applyBorder="1" applyAlignment="1" applyProtection="1">
      <alignment horizontal="center" vertical="center"/>
    </xf>
    <xf numFmtId="0" fontId="54" fillId="8" borderId="55" xfId="0" applyFont="1" applyFill="1" applyBorder="1" applyAlignment="1" applyProtection="1">
      <alignment horizontal="center" vertical="center"/>
    </xf>
    <xf numFmtId="42" fontId="45" fillId="0" borderId="36" xfId="2" applyNumberFormat="1" applyFont="1" applyFill="1" applyBorder="1" applyAlignment="1" applyProtection="1">
      <alignment horizontal="center" vertical="center"/>
    </xf>
    <xf numFmtId="42" fontId="45" fillId="0" borderId="37" xfId="2" applyNumberFormat="1" applyFont="1" applyFill="1" applyBorder="1" applyAlignment="1" applyProtection="1">
      <alignment horizontal="center" vertical="center"/>
    </xf>
    <xf numFmtId="42" fontId="12" fillId="0" borderId="36" xfId="2" applyNumberFormat="1" applyFont="1" applyFill="1" applyBorder="1" applyAlignment="1" applyProtection="1">
      <alignment horizontal="center" vertical="center"/>
    </xf>
    <xf numFmtId="42" fontId="12" fillId="0" borderId="37"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wrapText="1"/>
    </xf>
    <xf numFmtId="0" fontId="41" fillId="0" borderId="85" xfId="0" applyFont="1" applyFill="1" applyBorder="1" applyAlignment="1" applyProtection="1">
      <alignment horizontal="center" vertical="center" wrapText="1"/>
    </xf>
    <xf numFmtId="0" fontId="85" fillId="0" borderId="0" xfId="0" applyFont="1" applyFill="1" applyBorder="1" applyAlignment="1" applyProtection="1">
      <alignment horizontal="justify" vertical="center" wrapText="1"/>
    </xf>
    <xf numFmtId="49" fontId="110" fillId="20" borderId="0" xfId="0" applyNumberFormat="1" applyFont="1" applyFill="1" applyBorder="1" applyAlignment="1" applyProtection="1">
      <alignment horizontal="center" vertical="center" wrapText="1"/>
    </xf>
    <xf numFmtId="0" fontId="107" fillId="0" borderId="0" xfId="6" applyFont="1" applyFill="1" applyBorder="1" applyAlignment="1" applyProtection="1">
      <alignment horizontal="left" vertical="center"/>
    </xf>
    <xf numFmtId="0" fontId="108" fillId="0" borderId="0" xfId="6" applyFont="1" applyFill="1" applyBorder="1" applyAlignment="1" applyProtection="1">
      <alignment horizontal="left" vertical="center"/>
    </xf>
    <xf numFmtId="0" fontId="45" fillId="0" borderId="80" xfId="0" applyFont="1" applyFill="1" applyBorder="1" applyAlignment="1" applyProtection="1">
      <alignment horizontal="center" vertical="center"/>
    </xf>
    <xf numFmtId="0" fontId="45" fillId="0" borderId="81" xfId="0" applyFont="1" applyFill="1" applyBorder="1" applyAlignment="1" applyProtection="1">
      <alignment horizontal="center" vertical="center"/>
    </xf>
    <xf numFmtId="0" fontId="45" fillId="0" borderId="13" xfId="0" applyFont="1" applyFill="1" applyBorder="1" applyAlignment="1" applyProtection="1">
      <alignment horizontal="center"/>
    </xf>
    <xf numFmtId="0" fontId="45" fillId="0" borderId="13" xfId="0" applyFont="1" applyFill="1" applyBorder="1" applyAlignment="1" applyProtection="1">
      <alignment horizontal="center" vertical="center"/>
    </xf>
    <xf numFmtId="0" fontId="41" fillId="0" borderId="30" xfId="0" applyFont="1" applyFill="1" applyBorder="1" applyAlignment="1" applyProtection="1">
      <alignment horizontal="left" vertical="top" wrapText="1"/>
    </xf>
    <xf numFmtId="0" fontId="41" fillId="0" borderId="21" xfId="0" applyFont="1" applyFill="1" applyBorder="1" applyAlignment="1" applyProtection="1">
      <alignment horizontal="left" vertical="top" wrapText="1"/>
    </xf>
    <xf numFmtId="0" fontId="41" fillId="0" borderId="31" xfId="0" applyFont="1" applyFill="1" applyBorder="1" applyAlignment="1" applyProtection="1">
      <alignment horizontal="left" vertical="top" wrapText="1"/>
    </xf>
    <xf numFmtId="0" fontId="41" fillId="0" borderId="33" xfId="0" applyFont="1" applyFill="1" applyBorder="1" applyAlignment="1" applyProtection="1">
      <alignment horizontal="left" vertical="top" wrapText="1"/>
    </xf>
    <xf numFmtId="0" fontId="41" fillId="0" borderId="58" xfId="0" applyFont="1" applyFill="1" applyBorder="1" applyAlignment="1" applyProtection="1">
      <alignment horizontal="left" vertical="top" wrapText="1"/>
    </xf>
    <xf numFmtId="0" fontId="41" fillId="0" borderId="34" xfId="0" applyFont="1" applyFill="1" applyBorder="1" applyAlignment="1" applyProtection="1">
      <alignment horizontal="left" vertical="top" wrapText="1"/>
    </xf>
    <xf numFmtId="0" fontId="41" fillId="0" borderId="28" xfId="0" applyFont="1" applyFill="1" applyBorder="1" applyAlignment="1" applyProtection="1">
      <alignment horizontal="left" vertical="top" wrapText="1"/>
    </xf>
    <xf numFmtId="0" fontId="41" fillId="0" borderId="57" xfId="0" applyFont="1" applyFill="1" applyBorder="1" applyAlignment="1" applyProtection="1">
      <alignment horizontal="left" vertical="top" wrapText="1"/>
    </xf>
    <xf numFmtId="0" fontId="41" fillId="0" borderId="29" xfId="0" applyFont="1" applyFill="1" applyBorder="1" applyAlignment="1" applyProtection="1">
      <alignment horizontal="left" vertical="top" wrapText="1"/>
    </xf>
    <xf numFmtId="0" fontId="45" fillId="0" borderId="80" xfId="0" applyFont="1" applyFill="1" applyBorder="1" applyAlignment="1" applyProtection="1">
      <alignment horizontal="left" vertical="top" wrapText="1"/>
    </xf>
    <xf numFmtId="0" fontId="45" fillId="0" borderId="85" xfId="0" applyFont="1" applyFill="1" applyBorder="1" applyAlignment="1" applyProtection="1">
      <alignment horizontal="left" vertical="top" wrapText="1"/>
    </xf>
    <xf numFmtId="0" fontId="45" fillId="0" borderId="7" xfId="0" applyFont="1" applyFill="1" applyBorder="1" applyAlignment="1" applyProtection="1">
      <alignment horizontal="left" vertical="top" wrapText="1"/>
    </xf>
    <xf numFmtId="0" fontId="45" fillId="0" borderId="9" xfId="0" applyFont="1" applyFill="1" applyBorder="1" applyAlignment="1" applyProtection="1">
      <alignment horizontal="left" vertical="top" wrapText="1"/>
    </xf>
    <xf numFmtId="0" fontId="45" fillId="0" borderId="13" xfId="0" applyFont="1" applyFill="1" applyBorder="1" applyAlignment="1" applyProtection="1">
      <alignment horizontal="left" vertical="top" wrapText="1"/>
    </xf>
    <xf numFmtId="0" fontId="45" fillId="0" borderId="80" xfId="0" applyFont="1" applyFill="1" applyBorder="1" applyAlignment="1" applyProtection="1">
      <alignment horizontal="center" vertical="top" wrapText="1"/>
    </xf>
    <xf numFmtId="0" fontId="45" fillId="0" borderId="85" xfId="0" applyFont="1" applyFill="1" applyBorder="1" applyAlignment="1" applyProtection="1">
      <alignment horizontal="center" vertical="top" wrapText="1"/>
    </xf>
    <xf numFmtId="0" fontId="45" fillId="0" borderId="81" xfId="0" applyFont="1" applyFill="1" applyBorder="1" applyAlignment="1" applyProtection="1">
      <alignment horizontal="center" vertical="top" wrapText="1"/>
    </xf>
    <xf numFmtId="0" fontId="45" fillId="0" borderId="7" xfId="0" applyFont="1" applyFill="1" applyBorder="1" applyAlignment="1" applyProtection="1">
      <alignment horizontal="center" vertical="top" wrapText="1"/>
    </xf>
    <xf numFmtId="0" fontId="45" fillId="0" borderId="0" xfId="0" applyFont="1" applyFill="1" applyBorder="1" applyAlignment="1" applyProtection="1">
      <alignment horizontal="center" vertical="top" wrapText="1"/>
    </xf>
    <xf numFmtId="0" fontId="45" fillId="0" borderId="8" xfId="0" applyFont="1" applyFill="1" applyBorder="1" applyAlignment="1" applyProtection="1">
      <alignment horizontal="center" vertical="top" wrapText="1"/>
    </xf>
    <xf numFmtId="0" fontId="45" fillId="0" borderId="84" xfId="0" applyFont="1" applyFill="1" applyBorder="1" applyAlignment="1" applyProtection="1">
      <alignment horizontal="center" vertical="top" wrapText="1"/>
    </xf>
    <xf numFmtId="0" fontId="45" fillId="0" borderId="11" xfId="0" applyFont="1" applyFill="1" applyBorder="1" applyAlignment="1" applyProtection="1">
      <alignment horizontal="center" vertical="top" wrapText="1"/>
    </xf>
    <xf numFmtId="0" fontId="45" fillId="0" borderId="12" xfId="0" applyFont="1" applyFill="1" applyBorder="1" applyAlignment="1" applyProtection="1">
      <alignment horizontal="center" vertical="top" wrapText="1"/>
    </xf>
    <xf numFmtId="0" fontId="53" fillId="0" borderId="84" xfId="0" applyFont="1" applyFill="1" applyBorder="1" applyAlignment="1" applyProtection="1">
      <alignment horizontal="center" vertical="top" wrapText="1"/>
    </xf>
    <xf numFmtId="0" fontId="53" fillId="0" borderId="11" xfId="0" applyFont="1" applyFill="1" applyBorder="1" applyAlignment="1" applyProtection="1">
      <alignment horizontal="center" vertical="top" wrapText="1"/>
    </xf>
    <xf numFmtId="0" fontId="53" fillId="0" borderId="12" xfId="0" applyFont="1" applyFill="1" applyBorder="1" applyAlignment="1" applyProtection="1">
      <alignment horizontal="center" vertical="top" wrapText="1"/>
    </xf>
    <xf numFmtId="0" fontId="53" fillId="0" borderId="80" xfId="0" applyFont="1" applyFill="1" applyBorder="1" applyAlignment="1" applyProtection="1">
      <alignment horizontal="center" vertical="top" wrapText="1"/>
    </xf>
    <xf numFmtId="0" fontId="53" fillId="0" borderId="85" xfId="0" applyFont="1" applyFill="1" applyBorder="1" applyAlignment="1" applyProtection="1">
      <alignment horizontal="center" vertical="top" wrapText="1"/>
    </xf>
    <xf numFmtId="0" fontId="53" fillId="0" borderId="81" xfId="0" applyFont="1" applyFill="1" applyBorder="1" applyAlignment="1" applyProtection="1">
      <alignment horizontal="center" vertical="top" wrapText="1"/>
    </xf>
    <xf numFmtId="0" fontId="53" fillId="0" borderId="7" xfId="0" applyFont="1" applyFill="1" applyBorder="1" applyAlignment="1" applyProtection="1">
      <alignment horizontal="center" vertical="top" wrapText="1"/>
    </xf>
    <xf numFmtId="0" fontId="53" fillId="0" borderId="0" xfId="0" applyFont="1" applyFill="1" applyBorder="1" applyAlignment="1" applyProtection="1">
      <alignment horizontal="center" vertical="top" wrapText="1"/>
    </xf>
    <xf numFmtId="0" fontId="53" fillId="0" borderId="8" xfId="0" applyFont="1" applyFill="1" applyBorder="1" applyAlignment="1" applyProtection="1">
      <alignment horizontal="center" vertical="top" wrapText="1"/>
    </xf>
    <xf numFmtId="0" fontId="42" fillId="0" borderId="26" xfId="0" applyFont="1" applyFill="1" applyBorder="1" applyAlignment="1" applyProtection="1">
      <alignment horizontal="center" wrapText="1"/>
    </xf>
    <xf numFmtId="0" fontId="42" fillId="0" borderId="19" xfId="0" applyFont="1" applyFill="1" applyBorder="1" applyAlignment="1" applyProtection="1">
      <alignment horizontal="center" wrapText="1"/>
    </xf>
    <xf numFmtId="0" fontId="42" fillId="0" borderId="39" xfId="0" applyFont="1" applyFill="1" applyBorder="1" applyAlignment="1" applyProtection="1">
      <alignment horizontal="center" wrapText="1"/>
    </xf>
    <xf numFmtId="0" fontId="42" fillId="0" borderId="9" xfId="0" applyFont="1" applyFill="1" applyBorder="1" applyAlignment="1" applyProtection="1">
      <alignment horizontal="center" wrapText="1"/>
    </xf>
    <xf numFmtId="0" fontId="42" fillId="0" borderId="13" xfId="0" applyFont="1" applyFill="1" applyBorder="1" applyAlignment="1" applyProtection="1">
      <alignment horizontal="center" wrapText="1"/>
    </xf>
    <xf numFmtId="0" fontId="42" fillId="0" borderId="95" xfId="0" applyFont="1" applyFill="1" applyBorder="1" applyAlignment="1" applyProtection="1">
      <alignment horizontal="center" wrapText="1"/>
    </xf>
    <xf numFmtId="0" fontId="45" fillId="0" borderId="14" xfId="0" applyFont="1" applyFill="1" applyBorder="1" applyAlignment="1" applyProtection="1">
      <alignment horizontal="center"/>
    </xf>
    <xf numFmtId="0" fontId="45" fillId="0" borderId="0" xfId="0" applyFont="1" applyFill="1" applyAlignment="1" applyProtection="1">
      <alignment horizontal="right" vertical="center" wrapText="1"/>
    </xf>
    <xf numFmtId="0" fontId="45" fillId="0" borderId="8" xfId="0" applyFont="1" applyFill="1" applyBorder="1" applyAlignment="1" applyProtection="1">
      <alignment horizontal="right" vertical="center" wrapText="1"/>
    </xf>
    <xf numFmtId="0" fontId="40" fillId="0" borderId="0" xfId="0" applyFont="1" applyFill="1" applyBorder="1" applyAlignment="1" applyProtection="1">
      <alignment horizontal="center" vertical="center" wrapText="1"/>
    </xf>
    <xf numFmtId="0" fontId="54" fillId="8" borderId="36" xfId="0" applyFont="1" applyFill="1" applyBorder="1" applyAlignment="1" applyProtection="1">
      <alignment horizontal="center" vertical="center"/>
    </xf>
    <xf numFmtId="0" fontId="54" fillId="8" borderId="2" xfId="0" applyFont="1" applyFill="1" applyBorder="1" applyAlignment="1" applyProtection="1">
      <alignment horizontal="center" vertical="center"/>
    </xf>
    <xf numFmtId="0" fontId="54" fillId="8" borderId="37" xfId="0" applyFont="1" applyFill="1" applyBorder="1" applyAlignment="1" applyProtection="1">
      <alignment horizontal="center" vertical="center"/>
    </xf>
    <xf numFmtId="49" fontId="85" fillId="20" borderId="56" xfId="0" applyNumberFormat="1" applyFont="1" applyFill="1" applyBorder="1" applyAlignment="1" applyProtection="1">
      <alignment horizontal="center" vertical="center"/>
    </xf>
    <xf numFmtId="49" fontId="85" fillId="20" borderId="1" xfId="0" applyNumberFormat="1" applyFont="1" applyFill="1" applyBorder="1" applyAlignment="1" applyProtection="1">
      <alignment horizontal="center" vertical="center"/>
    </xf>
    <xf numFmtId="49" fontId="85" fillId="20" borderId="35" xfId="0" applyNumberFormat="1" applyFont="1" applyFill="1" applyBorder="1" applyAlignment="1" applyProtection="1">
      <alignment horizontal="center" vertical="center"/>
    </xf>
    <xf numFmtId="38" fontId="53" fillId="0" borderId="9" xfId="2" applyNumberFormat="1" applyFont="1" applyFill="1" applyBorder="1" applyAlignment="1" applyProtection="1">
      <alignment horizontal="center" vertical="center"/>
    </xf>
    <xf numFmtId="38" fontId="53" fillId="0" borderId="14" xfId="2" applyNumberFormat="1" applyFont="1" applyFill="1" applyBorder="1" applyAlignment="1" applyProtection="1">
      <alignment horizontal="center" vertical="center"/>
    </xf>
    <xf numFmtId="38" fontId="53" fillId="0" borderId="36" xfId="2" applyNumberFormat="1" applyFont="1" applyFill="1" applyBorder="1" applyAlignment="1" applyProtection="1">
      <alignment horizontal="center" vertical="center"/>
    </xf>
    <xf numFmtId="38" fontId="53" fillId="0" borderId="37" xfId="2" applyNumberFormat="1" applyFont="1" applyFill="1" applyBorder="1" applyAlignment="1" applyProtection="1">
      <alignment horizontal="center" vertical="center"/>
    </xf>
    <xf numFmtId="38" fontId="53" fillId="0" borderId="56" xfId="0" applyNumberFormat="1" applyFont="1" applyFill="1" applyBorder="1" applyAlignment="1" applyProtection="1">
      <alignment horizontal="center" vertical="center"/>
    </xf>
    <xf numFmtId="38" fontId="53" fillId="0" borderId="35" xfId="0" applyNumberFormat="1" applyFont="1" applyFill="1" applyBorder="1" applyAlignment="1" applyProtection="1">
      <alignment horizontal="center" vertical="center"/>
    </xf>
    <xf numFmtId="37" fontId="41" fillId="0" borderId="77" xfId="0" applyNumberFormat="1" applyFont="1" applyFill="1" applyBorder="1" applyAlignment="1" applyProtection="1">
      <alignment horizontal="center" vertical="center"/>
    </xf>
    <xf numFmtId="0" fontId="41" fillId="0" borderId="74" xfId="0" applyFont="1" applyFill="1" applyBorder="1" applyAlignment="1" applyProtection="1">
      <alignment horizontal="center" vertical="center"/>
    </xf>
    <xf numFmtId="0" fontId="41" fillId="0" borderId="0" xfId="0" applyFont="1" applyFill="1" applyAlignment="1" applyProtection="1">
      <alignment horizontal="left" vertical="top" wrapText="1"/>
    </xf>
    <xf numFmtId="0" fontId="40" fillId="0" borderId="0" xfId="0" applyFont="1" applyFill="1" applyAlignment="1" applyProtection="1">
      <alignment horizontal="left" vertical="center" wrapText="1"/>
    </xf>
    <xf numFmtId="0" fontId="45" fillId="0" borderId="80" xfId="0" applyFont="1" applyFill="1" applyBorder="1" applyAlignment="1" applyProtection="1">
      <alignment vertical="center"/>
    </xf>
    <xf numFmtId="0" fontId="45" fillId="0" borderId="85" xfId="0" applyFont="1" applyFill="1" applyBorder="1" applyAlignment="1" applyProtection="1">
      <alignment vertical="center"/>
    </xf>
    <xf numFmtId="0" fontId="45" fillId="0" borderId="81" xfId="0" applyFont="1" applyFill="1" applyBorder="1" applyAlignment="1" applyProtection="1">
      <alignment vertical="center"/>
    </xf>
    <xf numFmtId="0" fontId="45" fillId="0" borderId="7" xfId="0" applyFont="1" applyFill="1" applyBorder="1" applyAlignment="1" applyProtection="1">
      <alignment vertical="center"/>
    </xf>
    <xf numFmtId="0" fontId="45" fillId="0" borderId="0" xfId="0" applyFont="1" applyFill="1" applyBorder="1" applyAlignment="1" applyProtection="1">
      <alignment vertical="center"/>
    </xf>
    <xf numFmtId="0" fontId="45" fillId="0" borderId="8" xfId="0" applyFont="1" applyFill="1" applyBorder="1" applyAlignment="1" applyProtection="1">
      <alignment vertical="center"/>
    </xf>
    <xf numFmtId="0" fontId="73" fillId="0" borderId="0" xfId="0" applyFont="1" applyFill="1" applyBorder="1" applyAlignment="1" applyProtection="1">
      <alignment horizontal="center" vertical="center"/>
    </xf>
    <xf numFmtId="0" fontId="64" fillId="0" borderId="0" xfId="0" quotePrefix="1" applyFont="1" applyFill="1" applyBorder="1" applyAlignment="1" applyProtection="1">
      <alignment horizontal="center" vertical="center"/>
    </xf>
    <xf numFmtId="3" fontId="41" fillId="0" borderId="0" xfId="0" applyNumberFormat="1" applyFont="1" applyFill="1" applyBorder="1" applyAlignment="1" applyProtection="1">
      <alignment horizontal="center" vertical="center"/>
    </xf>
    <xf numFmtId="4" fontId="41" fillId="0" borderId="0" xfId="0" applyNumberFormat="1" applyFont="1" applyFill="1" applyBorder="1" applyAlignment="1" applyProtection="1">
      <alignment horizontal="center" vertical="center"/>
    </xf>
    <xf numFmtId="166" fontId="45" fillId="0" borderId="77" xfId="0" applyNumberFormat="1" applyFont="1" applyFill="1" applyBorder="1" applyAlignment="1" applyProtection="1">
      <alignment horizontal="center" vertical="center"/>
    </xf>
    <xf numFmtId="166" fontId="45" fillId="0" borderId="74" xfId="0" applyNumberFormat="1" applyFont="1" applyFill="1" applyBorder="1" applyAlignment="1" applyProtection="1">
      <alignment horizontal="center" vertical="center"/>
    </xf>
    <xf numFmtId="3" fontId="45" fillId="0" borderId="25" xfId="0" applyNumberFormat="1" applyFont="1" applyFill="1" applyBorder="1" applyAlignment="1" applyProtection="1">
      <alignment horizontal="center" vertical="center"/>
    </xf>
    <xf numFmtId="3" fontId="45" fillId="0" borderId="50" xfId="0" applyNumberFormat="1" applyFont="1" applyFill="1" applyBorder="1" applyAlignment="1" applyProtection="1">
      <alignment horizontal="center" vertical="center"/>
    </xf>
    <xf numFmtId="38" fontId="45" fillId="0" borderId="82" xfId="2" applyNumberFormat="1" applyFont="1" applyFill="1" applyBorder="1" applyAlignment="1" applyProtection="1">
      <alignment horizontal="center" vertical="center"/>
    </xf>
    <xf numFmtId="0" fontId="45" fillId="0" borderId="82" xfId="0" applyFont="1" applyFill="1" applyBorder="1" applyAlignment="1" applyProtection="1">
      <alignment horizontal="center" vertical="center"/>
    </xf>
    <xf numFmtId="0" fontId="45" fillId="0" borderId="0" xfId="0" applyFont="1" applyFill="1" applyBorder="1" applyAlignment="1" applyProtection="1">
      <alignment horizontal="center" vertical="center"/>
    </xf>
    <xf numFmtId="0" fontId="45" fillId="0" borderId="0" xfId="0" applyFont="1" applyFill="1" applyBorder="1" applyAlignment="1" applyProtection="1">
      <alignment horizontal="center" wrapText="1"/>
    </xf>
    <xf numFmtId="0" fontId="8" fillId="0" borderId="0" xfId="0" applyFont="1" applyFill="1" applyAlignment="1" applyProtection="1">
      <alignment horizontal="left"/>
    </xf>
    <xf numFmtId="0" fontId="45" fillId="0" borderId="4" xfId="0" applyFont="1" applyFill="1" applyBorder="1" applyAlignment="1" applyProtection="1">
      <alignment vertical="center"/>
    </xf>
    <xf numFmtId="0" fontId="45" fillId="0" borderId="5" xfId="0" applyFont="1" applyFill="1" applyBorder="1" applyAlignment="1" applyProtection="1">
      <alignment vertical="center"/>
    </xf>
    <xf numFmtId="166" fontId="45" fillId="0" borderId="7" xfId="10" applyNumberFormat="1" applyFont="1" applyFill="1" applyBorder="1" applyAlignment="1" applyProtection="1">
      <alignment vertical="center"/>
    </xf>
    <xf numFmtId="166" fontId="45" fillId="0" borderId="0" xfId="10" applyNumberFormat="1" applyFont="1" applyFill="1" applyBorder="1" applyAlignment="1" applyProtection="1">
      <alignment vertical="center"/>
    </xf>
    <xf numFmtId="38" fontId="53" fillId="0" borderId="36" xfId="2" applyNumberFormat="1" applyFont="1" applyFill="1" applyBorder="1" applyAlignment="1" applyProtection="1">
      <alignment horizontal="right" vertical="center"/>
    </xf>
    <xf numFmtId="38" fontId="53" fillId="0" borderId="37" xfId="2" applyNumberFormat="1" applyFont="1" applyFill="1" applyBorder="1" applyAlignment="1" applyProtection="1">
      <alignment horizontal="right" vertical="center"/>
    </xf>
    <xf numFmtId="38" fontId="53" fillId="0" borderId="36" xfId="0" applyNumberFormat="1" applyFont="1" applyFill="1" applyBorder="1" applyAlignment="1" applyProtection="1">
      <alignment horizontal="right" vertical="center"/>
    </xf>
    <xf numFmtId="38" fontId="53" fillId="0" borderId="37" xfId="0" applyNumberFormat="1" applyFont="1" applyFill="1" applyBorder="1" applyAlignment="1" applyProtection="1">
      <alignment horizontal="right" vertical="center"/>
    </xf>
    <xf numFmtId="0" fontId="45" fillId="0" borderId="9" xfId="0" applyFont="1" applyFill="1" applyBorder="1" applyAlignment="1" applyProtection="1">
      <alignment vertical="center"/>
    </xf>
    <xf numFmtId="0" fontId="45" fillId="0" borderId="13" xfId="0" applyFont="1" applyFill="1" applyBorder="1" applyAlignment="1" applyProtection="1">
      <alignment vertical="center"/>
    </xf>
    <xf numFmtId="0" fontId="87" fillId="12" borderId="0" xfId="0" applyFont="1" applyFill="1" applyAlignment="1" applyProtection="1">
      <alignment horizontal="center" vertical="center"/>
    </xf>
    <xf numFmtId="49" fontId="101" fillId="20" borderId="78" xfId="0" applyNumberFormat="1" applyFont="1" applyFill="1" applyBorder="1" applyAlignment="1" applyProtection="1">
      <alignment horizontal="center" vertical="center"/>
    </xf>
    <xf numFmtId="49" fontId="101" fillId="20" borderId="82" xfId="0" applyNumberFormat="1" applyFont="1" applyFill="1" applyBorder="1" applyAlignment="1" applyProtection="1">
      <alignment horizontal="center" vertical="center"/>
    </xf>
    <xf numFmtId="49" fontId="101" fillId="20" borderId="79" xfId="0" applyNumberFormat="1" applyFont="1" applyFill="1" applyBorder="1" applyAlignment="1" applyProtection="1">
      <alignment horizontal="center" vertical="center"/>
    </xf>
    <xf numFmtId="0" fontId="45" fillId="0" borderId="0" xfId="0" applyFont="1" applyFill="1" applyAlignment="1" applyProtection="1">
      <alignment horizontal="center" vertical="center"/>
    </xf>
    <xf numFmtId="0" fontId="45" fillId="0" borderId="13" xfId="0" applyFont="1" applyFill="1" applyBorder="1" applyAlignment="1" applyProtection="1">
      <alignment horizontal="left" vertical="center"/>
    </xf>
    <xf numFmtId="0" fontId="29" fillId="8" borderId="36" xfId="0" applyFont="1" applyFill="1" applyBorder="1" applyAlignment="1" applyProtection="1">
      <alignment horizontal="center" vertical="center"/>
    </xf>
    <xf numFmtId="0" fontId="29" fillId="8" borderId="2" xfId="0" applyFont="1" applyFill="1" applyBorder="1" applyAlignment="1" applyProtection="1">
      <alignment horizontal="center" vertical="center"/>
    </xf>
    <xf numFmtId="0" fontId="29" fillId="8" borderId="37" xfId="0" applyFont="1" applyFill="1" applyBorder="1" applyAlignment="1" applyProtection="1">
      <alignment horizontal="center" vertical="center"/>
    </xf>
    <xf numFmtId="8" fontId="12" fillId="0" borderId="0" xfId="0" applyNumberFormat="1" applyFont="1" applyBorder="1" applyAlignment="1" applyProtection="1">
      <alignment horizontal="center"/>
    </xf>
    <xf numFmtId="8" fontId="12" fillId="0" borderId="20" xfId="0" applyNumberFormat="1" applyFont="1" applyBorder="1" applyAlignment="1" applyProtection="1">
      <alignment horizontal="center"/>
    </xf>
    <xf numFmtId="8" fontId="12" fillId="0" borderId="19" xfId="0" applyNumberFormat="1" applyFont="1" applyBorder="1" applyAlignment="1" applyProtection="1">
      <alignment horizontal="center"/>
    </xf>
    <xf numFmtId="0" fontId="8" fillId="0" borderId="13" xfId="0" applyFont="1" applyBorder="1" applyAlignment="1" applyProtection="1">
      <alignment horizontal="center" vertical="center" wrapText="1"/>
    </xf>
    <xf numFmtId="0" fontId="19" fillId="0" borderId="0" xfId="0" applyFont="1" applyAlignment="1" applyProtection="1">
      <alignment horizontal="center" vertical="center"/>
    </xf>
    <xf numFmtId="0" fontId="25" fillId="0" borderId="0" xfId="0" applyFont="1" applyAlignment="1" applyProtection="1">
      <alignment horizontal="center"/>
    </xf>
    <xf numFmtId="0" fontId="25" fillId="0" borderId="0" xfId="0" applyFont="1" applyFill="1" applyAlignment="1" applyProtection="1">
      <alignment horizontal="center"/>
    </xf>
    <xf numFmtId="0" fontId="25" fillId="0" borderId="0" xfId="0" applyFont="1" applyFill="1" applyAlignment="1" applyProtection="1">
      <alignment horizontal="center" vertical="top" wrapText="1"/>
    </xf>
    <xf numFmtId="8" fontId="12" fillId="0" borderId="5" xfId="0" applyNumberFormat="1" applyFont="1" applyBorder="1" applyAlignment="1" applyProtection="1">
      <alignment horizontal="center"/>
    </xf>
    <xf numFmtId="0" fontId="26" fillId="0" borderId="0" xfId="0" applyFont="1" applyAlignment="1" applyProtection="1">
      <alignment horizontal="justify" vertical="top" wrapText="1"/>
    </xf>
    <xf numFmtId="0" fontId="0" fillId="0" borderId="0" xfId="0" applyAlignment="1" applyProtection="1">
      <alignment horizontal="justify" vertical="top" wrapText="1"/>
    </xf>
    <xf numFmtId="0" fontId="8" fillId="0" borderId="0" xfId="0" applyFont="1" applyAlignment="1" applyProtection="1">
      <alignment horizontal="center" wrapText="1"/>
    </xf>
    <xf numFmtId="0" fontId="0" fillId="0" borderId="0" xfId="0" applyAlignment="1" applyProtection="1">
      <alignment horizontal="center" wrapText="1"/>
    </xf>
    <xf numFmtId="0" fontId="109" fillId="0" borderId="0" xfId="0" applyFont="1" applyFill="1" applyAlignment="1" applyProtection="1">
      <alignment horizontal="center" vertical="center"/>
    </xf>
    <xf numFmtId="49" fontId="138" fillId="20" borderId="0" xfId="0" applyNumberFormat="1" applyFont="1" applyFill="1" applyAlignment="1" applyProtection="1">
      <alignment horizontal="center" vertical="center"/>
    </xf>
    <xf numFmtId="0" fontId="42" fillId="0" borderId="7" xfId="0" applyFont="1" applyFill="1" applyBorder="1" applyAlignment="1" applyProtection="1">
      <alignment horizontal="center" vertical="center" wrapText="1"/>
    </xf>
    <xf numFmtId="0" fontId="42" fillId="0" borderId="0" xfId="0" applyFont="1" applyFill="1" applyBorder="1" applyAlignment="1" applyProtection="1">
      <alignment horizontal="center" vertical="center" wrapText="1"/>
    </xf>
    <xf numFmtId="38" fontId="85" fillId="0" borderId="36" xfId="0" applyNumberFormat="1" applyFont="1" applyFill="1" applyBorder="1" applyAlignment="1" applyProtection="1">
      <alignment horizontal="center" vertical="center"/>
    </xf>
    <xf numFmtId="38" fontId="85" fillId="0" borderId="2" xfId="0" applyNumberFormat="1" applyFont="1" applyFill="1" applyBorder="1" applyAlignment="1" applyProtection="1">
      <alignment horizontal="center" vertical="center"/>
    </xf>
    <xf numFmtId="38" fontId="85" fillId="0" borderId="37" xfId="0" applyNumberFormat="1" applyFont="1" applyFill="1" applyBorder="1" applyAlignment="1" applyProtection="1">
      <alignment horizontal="center" vertical="center"/>
    </xf>
    <xf numFmtId="0" fontId="65" fillId="0" borderId="62" xfId="0" applyFont="1" applyFill="1" applyBorder="1" applyAlignment="1" applyProtection="1">
      <alignment horizontal="center" vertical="center" wrapText="1"/>
    </xf>
    <xf numFmtId="0" fontId="65" fillId="0" borderId="70" xfId="0" applyFont="1" applyFill="1" applyBorder="1" applyAlignment="1" applyProtection="1">
      <alignment horizontal="center" vertical="center" wrapText="1"/>
    </xf>
    <xf numFmtId="0" fontId="65" fillId="0" borderId="63" xfId="0" applyFont="1" applyFill="1" applyBorder="1" applyAlignment="1" applyProtection="1">
      <alignment horizontal="center" vertical="center" wrapText="1"/>
    </xf>
    <xf numFmtId="0" fontId="65" fillId="0" borderId="44" xfId="0" applyFont="1" applyFill="1" applyBorder="1" applyAlignment="1" applyProtection="1">
      <alignment horizontal="center" vertical="center" wrapText="1"/>
    </xf>
    <xf numFmtId="0" fontId="65" fillId="0" borderId="0" xfId="0" applyFont="1" applyFill="1" applyBorder="1" applyAlignment="1" applyProtection="1">
      <alignment horizontal="center" vertical="center" wrapText="1"/>
    </xf>
    <xf numFmtId="0" fontId="65" fillId="0" borderId="47" xfId="0" applyFont="1" applyFill="1" applyBorder="1" applyAlignment="1" applyProtection="1">
      <alignment horizontal="center" vertical="center" wrapText="1"/>
    </xf>
    <xf numFmtId="38" fontId="45" fillId="0" borderId="36" xfId="0" applyNumberFormat="1" applyFont="1" applyFill="1" applyBorder="1" applyAlignment="1" applyProtection="1">
      <alignment horizontal="center" vertical="center"/>
    </xf>
    <xf numFmtId="38" fontId="45" fillId="0" borderId="37" xfId="0" applyNumberFormat="1" applyFont="1" applyFill="1" applyBorder="1" applyAlignment="1" applyProtection="1">
      <alignment horizontal="center" vertical="center"/>
    </xf>
    <xf numFmtId="0" fontId="53" fillId="0" borderId="0" xfId="0" applyFont="1" applyFill="1" applyAlignment="1" applyProtection="1">
      <alignment horizontal="left"/>
    </xf>
    <xf numFmtId="38" fontId="45" fillId="0" borderId="4" xfId="0" applyNumberFormat="1" applyFont="1" applyFill="1" applyBorder="1" applyAlignment="1" applyProtection="1">
      <alignment horizontal="center" vertical="center"/>
    </xf>
    <xf numFmtId="38" fontId="45" fillId="0" borderId="6" xfId="0" applyNumberFormat="1" applyFont="1" applyFill="1" applyBorder="1" applyAlignment="1" applyProtection="1">
      <alignment horizontal="center" vertical="center"/>
    </xf>
    <xf numFmtId="168" fontId="45" fillId="0" borderId="71" xfId="0" applyNumberFormat="1" applyFont="1" applyFill="1" applyBorder="1" applyAlignment="1" applyProtection="1">
      <alignment horizontal="center" vertical="center"/>
    </xf>
    <xf numFmtId="168" fontId="45" fillId="0" borderId="72" xfId="0" applyNumberFormat="1" applyFont="1" applyFill="1" applyBorder="1" applyAlignment="1" applyProtection="1">
      <alignment horizontal="center" vertical="center"/>
    </xf>
    <xf numFmtId="168" fontId="45" fillId="0" borderId="73" xfId="0" applyNumberFormat="1" applyFont="1" applyFill="1" applyBorder="1" applyAlignment="1" applyProtection="1">
      <alignment horizontal="center" vertical="center"/>
    </xf>
    <xf numFmtId="38" fontId="53" fillId="0" borderId="1" xfId="0" applyNumberFormat="1" applyFont="1" applyFill="1" applyBorder="1" applyAlignment="1" applyProtection="1">
      <alignment horizontal="center" vertical="center"/>
    </xf>
    <xf numFmtId="38" fontId="53" fillId="0" borderId="36" xfId="0" applyNumberFormat="1" applyFont="1" applyFill="1" applyBorder="1" applyAlignment="1" applyProtection="1">
      <alignment horizontal="center" vertical="center"/>
    </xf>
    <xf numFmtId="38" fontId="53" fillId="0" borderId="2" xfId="0" applyNumberFormat="1" applyFont="1" applyFill="1" applyBorder="1" applyAlignment="1" applyProtection="1">
      <alignment horizontal="center" vertical="center"/>
    </xf>
    <xf numFmtId="38" fontId="53" fillId="0" borderId="37" xfId="0" applyNumberFormat="1" applyFont="1" applyFill="1" applyBorder="1" applyAlignment="1" applyProtection="1">
      <alignment horizontal="center" vertical="center"/>
    </xf>
    <xf numFmtId="38" fontId="45" fillId="0" borderId="2" xfId="0" applyNumberFormat="1" applyFont="1" applyFill="1" applyBorder="1" applyAlignment="1" applyProtection="1">
      <alignment horizontal="center" vertical="center"/>
    </xf>
    <xf numFmtId="38" fontId="45" fillId="0" borderId="82" xfId="0" applyNumberFormat="1" applyFont="1" applyFill="1" applyBorder="1" applyAlignment="1" applyProtection="1">
      <alignment horizontal="center" vertical="center"/>
    </xf>
    <xf numFmtId="0" fontId="41" fillId="0" borderId="88" xfId="0" applyFont="1" applyFill="1" applyBorder="1" applyAlignment="1" applyProtection="1">
      <alignment horizontal="center" vertical="center"/>
    </xf>
    <xf numFmtId="0" fontId="41" fillId="0" borderId="89" xfId="0" applyFont="1" applyFill="1" applyBorder="1" applyAlignment="1" applyProtection="1">
      <alignment horizontal="center" vertical="center"/>
    </xf>
    <xf numFmtId="38" fontId="41" fillId="0" borderId="87" xfId="0" applyNumberFormat="1" applyFont="1" applyFill="1" applyBorder="1" applyAlignment="1" applyProtection="1">
      <alignment horizontal="center" vertical="center"/>
    </xf>
    <xf numFmtId="38" fontId="41" fillId="0" borderId="46" xfId="0" applyNumberFormat="1" applyFont="1" applyFill="1" applyBorder="1" applyAlignment="1" applyProtection="1">
      <alignment horizontal="center" vertical="center"/>
    </xf>
    <xf numFmtId="0" fontId="45" fillId="0" borderId="2" xfId="0" applyFont="1" applyFill="1" applyBorder="1" applyAlignment="1" applyProtection="1">
      <alignment horizontal="center" vertical="center"/>
    </xf>
    <xf numFmtId="10" fontId="45" fillId="0" borderId="2" xfId="0" applyNumberFormat="1" applyFont="1" applyFill="1" applyBorder="1" applyAlignment="1" applyProtection="1">
      <alignment horizontal="center" vertical="center"/>
    </xf>
    <xf numFmtId="10" fontId="53" fillId="0" borderId="36" xfId="0" applyNumberFormat="1" applyFont="1" applyFill="1" applyBorder="1" applyAlignment="1" applyProtection="1">
      <alignment horizontal="center" vertical="center"/>
    </xf>
    <xf numFmtId="10" fontId="53" fillId="0" borderId="37" xfId="0" applyNumberFormat="1" applyFont="1" applyFill="1" applyBorder="1" applyAlignment="1" applyProtection="1">
      <alignment horizontal="center" vertical="center"/>
    </xf>
    <xf numFmtId="4" fontId="45" fillId="0" borderId="82" xfId="1" applyNumberFormat="1" applyFont="1" applyFill="1" applyBorder="1" applyAlignment="1" applyProtection="1">
      <alignment horizontal="center" vertical="center"/>
    </xf>
    <xf numFmtId="4" fontId="45" fillId="0" borderId="82" xfId="1" applyNumberFormat="1" applyFont="1" applyFill="1" applyBorder="1" applyAlignment="1" applyProtection="1">
      <alignment vertical="center"/>
    </xf>
    <xf numFmtId="4" fontId="45" fillId="0" borderId="79" xfId="1" applyNumberFormat="1" applyFont="1" applyFill="1" applyBorder="1" applyAlignment="1" applyProtection="1">
      <alignment vertical="center"/>
    </xf>
    <xf numFmtId="0" fontId="53" fillId="0" borderId="62" xfId="0" applyFont="1" applyFill="1" applyBorder="1" applyAlignment="1" applyProtection="1">
      <alignment horizontal="center" vertical="center" wrapText="1"/>
    </xf>
    <xf numFmtId="0" fontId="53" fillId="0" borderId="63" xfId="0" applyFont="1" applyFill="1" applyBorder="1" applyAlignment="1" applyProtection="1">
      <alignment horizontal="center" vertical="center" wrapText="1"/>
    </xf>
    <xf numFmtId="0" fontId="53" fillId="0" borderId="45" xfId="0" applyFont="1" applyFill="1" applyBorder="1" applyAlignment="1" applyProtection="1">
      <alignment horizontal="center" vertical="center" wrapText="1"/>
    </xf>
    <xf numFmtId="0" fontId="53" fillId="0" borderId="64" xfId="0" applyFont="1" applyFill="1" applyBorder="1" applyAlignment="1" applyProtection="1">
      <alignment horizontal="center" vertical="center" wrapText="1"/>
    </xf>
    <xf numFmtId="164" fontId="53" fillId="0" borderId="56" xfId="1" applyNumberFormat="1" applyFont="1" applyFill="1" applyBorder="1" applyAlignment="1" applyProtection="1">
      <alignment horizontal="center" vertical="center"/>
    </xf>
    <xf numFmtId="164" fontId="53" fillId="0" borderId="35" xfId="1" applyNumberFormat="1" applyFont="1" applyFill="1" applyBorder="1" applyAlignment="1" applyProtection="1">
      <alignment horizontal="center" vertical="center"/>
    </xf>
    <xf numFmtId="164" fontId="45" fillId="0" borderId="60" xfId="1" applyNumberFormat="1" applyFont="1" applyFill="1" applyBorder="1" applyAlignment="1" applyProtection="1">
      <alignment horizontal="right" vertical="center"/>
    </xf>
    <xf numFmtId="164" fontId="45" fillId="0" borderId="61" xfId="1" applyNumberFormat="1" applyFont="1" applyFill="1" applyBorder="1" applyAlignment="1" applyProtection="1">
      <alignment horizontal="right" vertical="center"/>
    </xf>
    <xf numFmtId="37" fontId="45" fillId="0" borderId="60" xfId="1" applyNumberFormat="1" applyFont="1" applyFill="1" applyBorder="1" applyAlignment="1" applyProtection="1">
      <alignment horizontal="right" vertical="center"/>
    </xf>
    <xf numFmtId="37" fontId="45" fillId="0" borderId="61" xfId="1" applyNumberFormat="1" applyFont="1" applyFill="1" applyBorder="1" applyAlignment="1" applyProtection="1">
      <alignment horizontal="right" vertical="center"/>
    </xf>
    <xf numFmtId="164" fontId="45" fillId="0" borderId="0" xfId="1" applyNumberFormat="1" applyFont="1" applyFill="1" applyBorder="1" applyAlignment="1" applyProtection="1">
      <alignment horizontal="center" vertical="center"/>
    </xf>
    <xf numFmtId="164" fontId="53" fillId="0" borderId="62" xfId="1" applyNumberFormat="1" applyFont="1" applyFill="1" applyBorder="1" applyAlignment="1" applyProtection="1">
      <alignment horizontal="center" vertical="center" wrapText="1"/>
    </xf>
    <xf numFmtId="164" fontId="53" fillId="0" borderId="63" xfId="1" applyNumberFormat="1" applyFont="1" applyFill="1" applyBorder="1" applyAlignment="1" applyProtection="1">
      <alignment horizontal="center" vertical="center" wrapText="1"/>
    </xf>
    <xf numFmtId="164" fontId="53" fillId="0" borderId="45" xfId="1" applyNumberFormat="1" applyFont="1" applyFill="1" applyBorder="1" applyAlignment="1" applyProtection="1">
      <alignment horizontal="center" vertical="center" wrapText="1"/>
    </xf>
    <xf numFmtId="164" fontId="53" fillId="0" borderId="64" xfId="1" applyNumberFormat="1" applyFont="1" applyFill="1" applyBorder="1" applyAlignment="1" applyProtection="1">
      <alignment horizontal="center" vertical="center" wrapText="1"/>
    </xf>
    <xf numFmtId="0" fontId="53" fillId="0" borderId="56" xfId="0" applyFont="1" applyFill="1" applyBorder="1" applyAlignment="1" applyProtection="1">
      <alignment horizontal="center" vertical="center"/>
    </xf>
    <xf numFmtId="0" fontId="53" fillId="0" borderId="35" xfId="0" applyFont="1" applyFill="1" applyBorder="1" applyAlignment="1" applyProtection="1">
      <alignment horizontal="center" vertical="center"/>
    </xf>
    <xf numFmtId="164" fontId="62" fillId="0" borderId="0" xfId="1" applyNumberFormat="1" applyFont="1" applyFill="1" applyAlignment="1" applyProtection="1">
      <alignment horizontal="center" vertical="center"/>
    </xf>
    <xf numFmtId="164" fontId="62" fillId="0" borderId="8" xfId="1" applyNumberFormat="1" applyFont="1" applyFill="1" applyBorder="1" applyAlignment="1" applyProtection="1">
      <alignment horizontal="center" vertical="center"/>
    </xf>
    <xf numFmtId="4" fontId="62" fillId="0" borderId="9" xfId="0" applyNumberFormat="1" applyFont="1" applyFill="1" applyBorder="1" applyAlignment="1" applyProtection="1">
      <alignment horizontal="left" vertical="center"/>
    </xf>
    <xf numFmtId="4" fontId="62" fillId="0" borderId="14" xfId="0" applyNumberFormat="1" applyFont="1" applyFill="1" applyBorder="1" applyAlignment="1" applyProtection="1">
      <alignment horizontal="left" vertical="center"/>
    </xf>
    <xf numFmtId="4" fontId="62" fillId="0" borderId="13" xfId="1" applyNumberFormat="1" applyFont="1" applyFill="1" applyBorder="1" applyAlignment="1" applyProtection="1">
      <alignment horizontal="right" vertical="center"/>
    </xf>
    <xf numFmtId="0" fontId="51" fillId="0" borderId="13" xfId="0" applyFont="1" applyFill="1" applyBorder="1" applyAlignment="1" applyProtection="1">
      <alignment horizontal="left" vertical="center"/>
    </xf>
    <xf numFmtId="0" fontId="53" fillId="0" borderId="80" xfId="0" applyFont="1" applyFill="1" applyBorder="1" applyAlignment="1" applyProtection="1">
      <alignment horizontal="center" vertical="center" wrapText="1"/>
    </xf>
    <xf numFmtId="0" fontId="53" fillId="0" borderId="9" xfId="0" applyFont="1" applyFill="1" applyBorder="1" applyAlignment="1" applyProtection="1">
      <alignment horizontal="center" vertical="center" wrapText="1"/>
    </xf>
    <xf numFmtId="4" fontId="62" fillId="0" borderId="85" xfId="1" applyNumberFormat="1" applyFont="1" applyFill="1" applyBorder="1" applyAlignment="1" applyProtection="1">
      <alignment horizontal="right" vertical="center"/>
    </xf>
    <xf numFmtId="171" fontId="51" fillId="0" borderId="85" xfId="0" applyNumberFormat="1" applyFont="1" applyFill="1" applyBorder="1" applyAlignment="1" applyProtection="1">
      <alignment horizontal="left" vertical="center"/>
    </xf>
    <xf numFmtId="0" fontId="51" fillId="0" borderId="85" xfId="0" applyFont="1" applyFill="1" applyBorder="1" applyAlignment="1" applyProtection="1">
      <alignment horizontal="left" vertical="center"/>
    </xf>
    <xf numFmtId="0" fontId="51" fillId="0" borderId="81" xfId="0" applyFont="1" applyFill="1" applyBorder="1" applyAlignment="1" applyProtection="1">
      <alignment horizontal="left" vertical="center"/>
    </xf>
    <xf numFmtId="0" fontId="104" fillId="0" borderId="106" xfId="0" applyFont="1" applyFill="1" applyBorder="1" applyAlignment="1" applyProtection="1">
      <alignment horizontal="center" vertical="center"/>
    </xf>
    <xf numFmtId="171" fontId="53" fillId="0" borderId="0" xfId="0" applyNumberFormat="1" applyFont="1" applyFill="1" applyBorder="1" applyAlignment="1" applyProtection="1">
      <alignment horizontal="center" vertical="center"/>
    </xf>
    <xf numFmtId="164" fontId="45" fillId="0" borderId="65" xfId="1" applyNumberFormat="1" applyFont="1" applyFill="1" applyBorder="1" applyAlignment="1" applyProtection="1">
      <alignment horizontal="right" vertical="center"/>
    </xf>
    <xf numFmtId="0" fontId="45" fillId="0" borderId="61" xfId="0" applyFont="1" applyBorder="1" applyProtection="1"/>
    <xf numFmtId="0" fontId="42" fillId="0" borderId="0" xfId="0" applyFont="1" applyFill="1" applyAlignment="1" applyProtection="1">
      <alignment horizontal="center" vertical="center" wrapText="1"/>
    </xf>
    <xf numFmtId="0" fontId="42" fillId="0" borderId="13" xfId="0" applyFont="1" applyFill="1" applyBorder="1" applyAlignment="1" applyProtection="1">
      <alignment horizontal="center" vertical="center" wrapText="1"/>
    </xf>
    <xf numFmtId="0" fontId="54" fillId="8" borderId="7" xfId="0" applyFont="1" applyFill="1" applyBorder="1" applyAlignment="1" applyProtection="1">
      <alignment horizontal="center" vertical="center"/>
    </xf>
    <xf numFmtId="0" fontId="54" fillId="8" borderId="0" xfId="0" applyFont="1" applyFill="1" applyBorder="1" applyAlignment="1" applyProtection="1">
      <alignment horizontal="center" vertical="center"/>
    </xf>
    <xf numFmtId="0" fontId="86" fillId="14" borderId="0" xfId="0" applyFont="1" applyFill="1" applyAlignment="1" applyProtection="1">
      <alignment horizontal="center" vertical="center"/>
    </xf>
    <xf numFmtId="38" fontId="45" fillId="0" borderId="68" xfId="0" applyNumberFormat="1" applyFont="1" applyFill="1" applyBorder="1" applyAlignment="1" applyProtection="1">
      <alignment horizontal="center" vertical="center"/>
    </xf>
    <xf numFmtId="38" fontId="45" fillId="0" borderId="69" xfId="0" applyNumberFormat="1" applyFont="1" applyFill="1" applyBorder="1" applyAlignment="1" applyProtection="1">
      <alignment horizontal="center" vertical="center"/>
    </xf>
    <xf numFmtId="38" fontId="45" fillId="0" borderId="66" xfId="0" applyNumberFormat="1" applyFont="1" applyFill="1" applyBorder="1" applyAlignment="1" applyProtection="1">
      <alignment horizontal="center" vertical="center"/>
    </xf>
    <xf numFmtId="38" fontId="45" fillId="0" borderId="67" xfId="0" applyNumberFormat="1" applyFont="1" applyFill="1" applyBorder="1" applyAlignment="1" applyProtection="1">
      <alignment horizontal="center" vertical="center"/>
    </xf>
    <xf numFmtId="0" fontId="41" fillId="0" borderId="43" xfId="1" applyNumberFormat="1" applyFont="1" applyFill="1" applyBorder="1" applyAlignment="1" applyProtection="1">
      <alignment horizontal="left" vertical="top" wrapText="1"/>
    </xf>
    <xf numFmtId="0" fontId="41" fillId="0" borderId="19" xfId="1" applyNumberFormat="1" applyFont="1" applyFill="1" applyBorder="1" applyAlignment="1" applyProtection="1">
      <alignment horizontal="left" vertical="top" wrapText="1"/>
    </xf>
    <xf numFmtId="0" fontId="41" fillId="0" borderId="39" xfId="1" applyNumberFormat="1" applyFont="1" applyFill="1" applyBorder="1" applyAlignment="1" applyProtection="1">
      <alignment horizontal="left" vertical="top" wrapText="1"/>
    </xf>
    <xf numFmtId="0" fontId="41" fillId="0" borderId="42" xfId="1" applyNumberFormat="1" applyFont="1" applyFill="1" applyBorder="1" applyAlignment="1" applyProtection="1">
      <alignment horizontal="left" vertical="top" wrapText="1"/>
    </xf>
    <xf numFmtId="0" fontId="41" fillId="0" borderId="20" xfId="1" applyNumberFormat="1" applyFont="1" applyFill="1" applyBorder="1" applyAlignment="1" applyProtection="1">
      <alignment horizontal="left" vertical="top" wrapText="1"/>
    </xf>
    <xf numFmtId="0" fontId="41" fillId="0" borderId="59" xfId="1" applyNumberFormat="1" applyFont="1" applyFill="1" applyBorder="1" applyAlignment="1" applyProtection="1">
      <alignment horizontal="left" vertical="top" wrapText="1"/>
    </xf>
    <xf numFmtId="0" fontId="41" fillId="0" borderId="93" xfId="1" applyNumberFormat="1" applyFont="1" applyFill="1" applyBorder="1" applyAlignment="1" applyProtection="1">
      <alignment horizontal="left" vertical="top" wrapText="1"/>
    </xf>
    <xf numFmtId="0" fontId="41" fillId="0" borderId="58" xfId="1" applyNumberFormat="1" applyFont="1" applyFill="1" applyBorder="1" applyAlignment="1" applyProtection="1">
      <alignment horizontal="left" vertical="top" wrapText="1"/>
    </xf>
    <xf numFmtId="0" fontId="41" fillId="0" borderId="76" xfId="1" applyNumberFormat="1" applyFont="1" applyFill="1" applyBorder="1" applyAlignment="1" applyProtection="1">
      <alignment horizontal="left" vertical="top" wrapText="1"/>
    </xf>
    <xf numFmtId="0" fontId="172" fillId="8" borderId="7" xfId="13" applyFont="1" applyFill="1" applyBorder="1" applyAlignment="1" applyProtection="1">
      <alignment horizontal="center" vertical="center"/>
    </xf>
    <xf numFmtId="0" fontId="172" fillId="8" borderId="0" xfId="13" applyFont="1" applyFill="1" applyBorder="1" applyAlignment="1" applyProtection="1">
      <alignment horizontal="center" vertical="center"/>
    </xf>
    <xf numFmtId="0" fontId="8" fillId="0" borderId="0" xfId="13" applyFont="1" applyFill="1" applyAlignment="1" applyProtection="1">
      <alignment horizontal="left" vertical="top" wrapText="1"/>
    </xf>
    <xf numFmtId="0" fontId="143" fillId="0" borderId="0" xfId="0" applyFont="1" applyFill="1" applyAlignment="1" applyProtection="1">
      <alignment horizontal="center" vertical="center" wrapText="1"/>
    </xf>
    <xf numFmtId="0" fontId="8" fillId="0" borderId="0" xfId="0" applyFont="1" applyAlignment="1" applyProtection="1">
      <alignment horizontal="center"/>
    </xf>
    <xf numFmtId="0" fontId="8" fillId="0" borderId="0" xfId="0" applyFont="1" applyBorder="1" applyAlignment="1" applyProtection="1">
      <alignment horizontal="center"/>
    </xf>
    <xf numFmtId="0" fontId="29" fillId="8" borderId="7" xfId="0" applyFont="1" applyFill="1" applyBorder="1" applyAlignment="1" applyProtection="1">
      <alignment horizontal="center" vertical="center"/>
    </xf>
    <xf numFmtId="0" fontId="29" fillId="8" borderId="0" xfId="0" applyFont="1" applyFill="1" applyBorder="1" applyAlignment="1" applyProtection="1">
      <alignment horizontal="center" vertical="center"/>
    </xf>
    <xf numFmtId="49" fontId="98" fillId="20" borderId="0" xfId="0" applyNumberFormat="1" applyFont="1" applyFill="1" applyBorder="1" applyAlignment="1" applyProtection="1">
      <alignment horizontal="center"/>
    </xf>
    <xf numFmtId="0" fontId="183" fillId="0" borderId="0" xfId="0" applyFont="1" applyFill="1" applyAlignment="1" applyProtection="1">
      <alignment horizontal="right"/>
    </xf>
    <xf numFmtId="0" fontId="8" fillId="0" borderId="0" xfId="0" applyFont="1" applyFill="1" applyAlignment="1" applyProtection="1">
      <alignment horizontal="left" vertical="center"/>
    </xf>
    <xf numFmtId="0" fontId="40" fillId="0" borderId="7" xfId="0" applyFont="1" applyFill="1" applyBorder="1" applyAlignment="1" applyProtection="1">
      <alignment horizontal="center" vertical="center" wrapText="1"/>
    </xf>
    <xf numFmtId="0" fontId="105" fillId="0" borderId="0" xfId="0" applyFont="1" applyFill="1" applyBorder="1" applyAlignment="1" applyProtection="1">
      <alignment horizontal="center" vertical="center" wrapText="1"/>
    </xf>
    <xf numFmtId="0" fontId="105" fillId="0" borderId="41" xfId="0" applyFont="1" applyFill="1" applyBorder="1" applyAlignment="1" applyProtection="1">
      <alignment horizontal="center" vertical="center" wrapText="1"/>
    </xf>
    <xf numFmtId="1" fontId="177" fillId="0" borderId="40" xfId="0" applyNumberFormat="1" applyFont="1" applyFill="1" applyBorder="1" applyAlignment="1" applyProtection="1">
      <alignment horizontal="center"/>
    </xf>
    <xf numFmtId="1" fontId="177" fillId="0" borderId="0" xfId="0" applyNumberFormat="1" applyFont="1" applyFill="1" applyBorder="1" applyAlignment="1" applyProtection="1">
      <alignment horizontal="center"/>
    </xf>
    <xf numFmtId="1" fontId="177" fillId="0" borderId="41" xfId="0" applyNumberFormat="1" applyFont="1" applyFill="1" applyBorder="1" applyAlignment="1" applyProtection="1">
      <alignment horizontal="center"/>
    </xf>
    <xf numFmtId="38" fontId="12" fillId="0" borderId="60" xfId="1" applyNumberFormat="1" applyFont="1" applyFill="1" applyBorder="1" applyAlignment="1" applyProtection="1">
      <alignment horizontal="right" vertical="center"/>
    </xf>
    <xf numFmtId="38" fontId="12" fillId="0" borderId="61" xfId="1" applyNumberFormat="1" applyFont="1" applyFill="1" applyBorder="1" applyAlignment="1" applyProtection="1">
      <alignment horizontal="right" vertical="center"/>
    </xf>
    <xf numFmtId="3" fontId="12" fillId="0" borderId="60" xfId="0" applyNumberFormat="1" applyFont="1" applyFill="1" applyBorder="1" applyAlignment="1" applyProtection="1">
      <alignment horizontal="right" vertical="center"/>
    </xf>
    <xf numFmtId="3" fontId="12" fillId="0" borderId="141" xfId="0" applyNumberFormat="1" applyFont="1" applyFill="1" applyBorder="1" applyAlignment="1" applyProtection="1">
      <alignment horizontal="right" vertical="center"/>
    </xf>
    <xf numFmtId="3" fontId="12" fillId="0" borderId="61" xfId="0" applyNumberFormat="1" applyFont="1" applyFill="1" applyBorder="1" applyAlignment="1" applyProtection="1">
      <alignment horizontal="right" vertical="center"/>
    </xf>
    <xf numFmtId="38" fontId="12" fillId="0" borderId="9" xfId="1" applyNumberFormat="1" applyFont="1" applyFill="1" applyBorder="1" applyAlignment="1" applyProtection="1">
      <alignment horizontal="right" vertical="center"/>
    </xf>
    <xf numFmtId="38" fontId="12" fillId="0" borderId="14" xfId="1" applyNumberFormat="1" applyFont="1" applyFill="1" applyBorder="1" applyAlignment="1" applyProtection="1">
      <alignment horizontal="right" vertical="center"/>
    </xf>
    <xf numFmtId="0" fontId="92" fillId="0" borderId="0" xfId="0" applyFont="1" applyFill="1" applyAlignment="1" applyProtection="1">
      <alignment horizontal="center" wrapText="1"/>
    </xf>
    <xf numFmtId="0" fontId="96" fillId="0" borderId="0" xfId="0" applyFont="1" applyFill="1" applyAlignment="1" applyProtection="1">
      <alignment horizontal="center" wrapText="1"/>
    </xf>
    <xf numFmtId="0" fontId="3" fillId="0" borderId="19" xfId="0" applyFont="1" applyFill="1" applyBorder="1" applyAlignment="1" applyProtection="1">
      <alignment horizontal="left" vertical="top" wrapText="1"/>
    </xf>
    <xf numFmtId="0" fontId="3" fillId="0" borderId="0" xfId="0" applyFont="1" applyFill="1" applyBorder="1" applyAlignment="1" applyProtection="1">
      <alignment horizontal="left" vertical="top" wrapText="1"/>
    </xf>
    <xf numFmtId="0" fontId="8" fillId="0" borderId="0" xfId="0" applyFont="1" applyFill="1" applyBorder="1" applyAlignment="1" applyProtection="1">
      <alignment horizontal="left" vertical="top" wrapText="1"/>
    </xf>
    <xf numFmtId="0" fontId="3" fillId="0" borderId="0" xfId="0" applyFont="1" applyFill="1" applyAlignment="1" applyProtection="1">
      <alignment horizontal="left" vertical="top" wrapText="1"/>
    </xf>
    <xf numFmtId="0" fontId="13" fillId="0" borderId="0" xfId="0" applyFont="1" applyFill="1" applyBorder="1" applyAlignment="1" applyProtection="1">
      <alignment horizontal="left" vertical="top" wrapText="1"/>
    </xf>
    <xf numFmtId="0" fontId="10" fillId="0" borderId="0" xfId="0" applyFont="1" applyFill="1" applyAlignment="1" applyProtection="1">
      <alignment horizontal="center" wrapText="1"/>
    </xf>
    <xf numFmtId="0" fontId="8" fillId="0" borderId="0" xfId="0" applyFont="1" applyFill="1" applyAlignment="1" applyProtection="1">
      <alignment horizontal="center" vertical="center"/>
    </xf>
    <xf numFmtId="0" fontId="10" fillId="0" borderId="0" xfId="0" applyFont="1" applyFill="1" applyAlignment="1" applyProtection="1">
      <alignment horizontal="center" vertical="center"/>
    </xf>
    <xf numFmtId="0" fontId="92" fillId="0" borderId="0" xfId="0" applyFont="1" applyFill="1" applyAlignment="1" applyProtection="1">
      <alignment horizontal="center" vertical="center" wrapText="1"/>
    </xf>
    <xf numFmtId="3" fontId="98" fillId="0" borderId="0" xfId="0" applyNumberFormat="1" applyFont="1" applyFill="1" applyBorder="1" applyAlignment="1" applyProtection="1">
      <alignment horizontal="left" vertical="top" wrapText="1"/>
    </xf>
    <xf numFmtId="0" fontId="10" fillId="0" borderId="13" xfId="0" applyFont="1" applyFill="1" applyBorder="1" applyAlignment="1" applyProtection="1">
      <alignment horizontal="center" wrapText="1"/>
    </xf>
    <xf numFmtId="0" fontId="35" fillId="0" borderId="0" xfId="0" applyFont="1" applyFill="1" applyAlignment="1" applyProtection="1">
      <alignment horizontal="center" textRotation="90" wrapText="1"/>
    </xf>
    <xf numFmtId="49" fontId="98" fillId="20" borderId="0" xfId="0" quotePrefix="1" applyNumberFormat="1" applyFont="1" applyFill="1" applyBorder="1" applyAlignment="1" applyProtection="1">
      <alignment horizontal="center" vertical="center" wrapText="1"/>
    </xf>
    <xf numFmtId="0" fontId="98" fillId="20" borderId="0" xfId="0" applyNumberFormat="1" applyFont="1" applyFill="1" applyBorder="1" applyAlignment="1" applyProtection="1">
      <alignment horizontal="center" vertical="center" wrapText="1"/>
    </xf>
    <xf numFmtId="0" fontId="111" fillId="0" borderId="0" xfId="0" applyFont="1" applyFill="1" applyAlignment="1" applyProtection="1">
      <alignment horizontal="center" vertical="center" wrapText="1"/>
    </xf>
    <xf numFmtId="0" fontId="111" fillId="0" borderId="13" xfId="0" applyFont="1" applyFill="1" applyBorder="1" applyAlignment="1" applyProtection="1">
      <alignment horizontal="center" vertical="center" wrapText="1"/>
    </xf>
    <xf numFmtId="0" fontId="105" fillId="0" borderId="0" xfId="0" applyFont="1" applyFill="1" applyAlignment="1" applyProtection="1">
      <alignment horizontal="center" vertical="center" wrapText="1"/>
    </xf>
    <xf numFmtId="38" fontId="188" fillId="0" borderId="56" xfId="0" applyNumberFormat="1" applyFont="1" applyFill="1" applyBorder="1" applyAlignment="1" applyProtection="1">
      <alignment horizontal="center" vertical="center"/>
    </xf>
    <xf numFmtId="38" fontId="188" fillId="0" borderId="1" xfId="0" applyNumberFormat="1" applyFont="1" applyFill="1" applyBorder="1" applyAlignment="1" applyProtection="1">
      <alignment horizontal="center" vertical="center"/>
    </xf>
    <xf numFmtId="38" fontId="188" fillId="0" borderId="35" xfId="0" applyNumberFormat="1" applyFont="1" applyFill="1" applyBorder="1" applyAlignment="1" applyProtection="1">
      <alignment horizontal="center" vertical="center"/>
    </xf>
    <xf numFmtId="0" fontId="35" fillId="0" borderId="0" xfId="0" applyFont="1" applyFill="1" applyAlignment="1" applyProtection="1">
      <alignment horizontal="left" vertical="top" wrapText="1"/>
    </xf>
    <xf numFmtId="0" fontId="42" fillId="0" borderId="7" xfId="0" applyFont="1" applyFill="1" applyBorder="1" applyAlignment="1" applyProtection="1">
      <alignment horizontal="left" vertical="center" wrapText="1"/>
    </xf>
    <xf numFmtId="0" fontId="42" fillId="0" borderId="0" xfId="0" applyFont="1" applyFill="1" applyBorder="1" applyAlignment="1" applyProtection="1">
      <alignment horizontal="left" vertical="center" wrapText="1"/>
    </xf>
    <xf numFmtId="0" fontId="3" fillId="0" borderId="0" xfId="0" applyFont="1" applyFill="1" applyAlignment="1" applyProtection="1">
      <alignment horizontal="center" vertical="center" wrapText="1"/>
    </xf>
    <xf numFmtId="0" fontId="78" fillId="0" borderId="0" xfId="0" applyFont="1" applyFill="1" applyAlignment="1" applyProtection="1">
      <alignment horizontal="left" vertical="center" wrapText="1"/>
    </xf>
    <xf numFmtId="0" fontId="204" fillId="0" borderId="80" xfId="0" applyFont="1" applyFill="1" applyBorder="1" applyAlignment="1" applyProtection="1">
      <alignment horizontal="center" vertical="center"/>
    </xf>
    <xf numFmtId="0" fontId="204" fillId="0" borderId="81" xfId="0" applyFont="1" applyFill="1" applyBorder="1" applyAlignment="1" applyProtection="1">
      <alignment horizontal="center" vertical="center"/>
    </xf>
    <xf numFmtId="2" fontId="183" fillId="0" borderId="9" xfId="0" applyNumberFormat="1" applyFont="1" applyFill="1" applyBorder="1" applyAlignment="1" applyProtection="1">
      <alignment horizontal="center" vertical="top"/>
    </xf>
    <xf numFmtId="2" fontId="183" fillId="0" borderId="14" xfId="0" applyNumberFormat="1" applyFont="1" applyFill="1" applyBorder="1" applyAlignment="1" applyProtection="1">
      <alignment horizontal="center" vertical="top"/>
    </xf>
    <xf numFmtId="164" fontId="204" fillId="0" borderId="85" xfId="1" applyNumberFormat="1" applyFont="1" applyFill="1" applyBorder="1" applyAlignment="1" applyProtection="1">
      <alignment horizontal="right" vertical="center" wrapText="1"/>
    </xf>
    <xf numFmtId="164" fontId="204" fillId="0" borderId="0" xfId="1" applyNumberFormat="1" applyFont="1" applyFill="1" applyBorder="1" applyAlignment="1" applyProtection="1">
      <alignment horizontal="right" vertical="center" wrapText="1"/>
    </xf>
    <xf numFmtId="0" fontId="13" fillId="0" borderId="84" xfId="0" applyFont="1" applyFill="1" applyBorder="1" applyAlignment="1" applyProtection="1">
      <alignment horizontal="center" wrapText="1"/>
    </xf>
    <xf numFmtId="0" fontId="13" fillId="0" borderId="11" xfId="0" applyFont="1" applyFill="1" applyBorder="1" applyAlignment="1" applyProtection="1">
      <alignment horizontal="center" wrapText="1"/>
    </xf>
    <xf numFmtId="0" fontId="13" fillId="0" borderId="12" xfId="0" applyFont="1" applyFill="1" applyBorder="1" applyAlignment="1" applyProtection="1">
      <alignment horizontal="center" wrapText="1"/>
    </xf>
    <xf numFmtId="0" fontId="13" fillId="0" borderId="86" xfId="0" applyFont="1" applyFill="1" applyBorder="1" applyAlignment="1" applyProtection="1">
      <alignment horizontal="center" wrapText="1"/>
    </xf>
    <xf numFmtId="0" fontId="29" fillId="9" borderId="78" xfId="0" applyFont="1" applyFill="1" applyBorder="1" applyAlignment="1" applyProtection="1">
      <alignment horizontal="center" vertical="center"/>
    </xf>
    <xf numFmtId="0" fontId="83" fillId="12" borderId="0" xfId="0" applyFont="1" applyFill="1" applyBorder="1" applyAlignment="1" applyProtection="1">
      <alignment horizontal="center" vertical="center"/>
    </xf>
    <xf numFmtId="0" fontId="8" fillId="0" borderId="0" xfId="0" applyFont="1" applyFill="1" applyAlignment="1" applyProtection="1">
      <alignment horizontal="center"/>
    </xf>
    <xf numFmtId="0" fontId="105"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left" vertical="top" wrapText="1"/>
    </xf>
    <xf numFmtId="0" fontId="94" fillId="0" borderId="0" xfId="0" applyFont="1" applyFill="1" applyAlignment="1" applyProtection="1">
      <alignment horizontal="left" vertical="top" wrapText="1"/>
    </xf>
    <xf numFmtId="0" fontId="4" fillId="5" borderId="78" xfId="0" applyFont="1" applyFill="1" applyBorder="1" applyAlignment="1" applyProtection="1">
      <alignment horizontal="left" vertical="center"/>
    </xf>
    <xf numFmtId="0" fontId="4" fillId="5" borderId="82" xfId="0" applyFont="1" applyFill="1" applyBorder="1" applyAlignment="1" applyProtection="1">
      <alignment horizontal="left" vertical="center"/>
    </xf>
    <xf numFmtId="0" fontId="4" fillId="5" borderId="79" xfId="0" applyFont="1" applyFill="1" applyBorder="1" applyAlignment="1" applyProtection="1">
      <alignment horizontal="left" vertical="center"/>
    </xf>
    <xf numFmtId="0" fontId="4" fillId="0" borderId="0" xfId="0" applyFont="1" applyBorder="1" applyAlignment="1" applyProtection="1">
      <alignment horizontal="center" vertical="center"/>
    </xf>
    <xf numFmtId="0" fontId="4" fillId="0" borderId="8" xfId="0" applyFont="1" applyBorder="1" applyAlignment="1" applyProtection="1">
      <alignment horizontal="center" vertical="center"/>
    </xf>
    <xf numFmtId="0" fontId="14" fillId="5" borderId="80" xfId="0" applyFont="1" applyFill="1" applyBorder="1" applyAlignment="1" applyProtection="1">
      <alignment horizontal="center" vertical="center"/>
    </xf>
    <xf numFmtId="0" fontId="14" fillId="5" borderId="81" xfId="0" applyFont="1" applyFill="1" applyBorder="1" applyAlignment="1" applyProtection="1">
      <alignment horizontal="center" vertical="center"/>
    </xf>
    <xf numFmtId="3" fontId="14" fillId="5" borderId="28" xfId="0" applyNumberFormat="1" applyFont="1" applyFill="1" applyBorder="1" applyAlignment="1" applyProtection="1">
      <alignment horizontal="left" vertical="center"/>
    </xf>
    <xf numFmtId="3" fontId="14" fillId="5" borderId="29" xfId="0" applyNumberFormat="1" applyFont="1" applyFill="1" applyBorder="1" applyAlignment="1" applyProtection="1">
      <alignment horizontal="left" vertical="center"/>
    </xf>
    <xf numFmtId="176" fontId="14" fillId="5" borderId="9" xfId="0" applyNumberFormat="1" applyFont="1" applyFill="1" applyBorder="1" applyAlignment="1" applyProtection="1">
      <alignment horizontal="left" vertical="center"/>
    </xf>
    <xf numFmtId="176" fontId="14" fillId="5" borderId="14" xfId="0" applyNumberFormat="1" applyFont="1" applyFill="1" applyBorder="1" applyAlignment="1" applyProtection="1">
      <alignment horizontal="left" vertical="center"/>
    </xf>
    <xf numFmtId="3" fontId="91" fillId="0" borderId="77" xfId="0" applyNumberFormat="1" applyFont="1" applyFill="1" applyBorder="1" applyAlignment="1" applyProtection="1">
      <alignment horizontal="center" vertical="center"/>
    </xf>
    <xf numFmtId="3" fontId="91" fillId="0" borderId="74" xfId="0" applyNumberFormat="1" applyFont="1" applyFill="1" applyBorder="1" applyAlignment="1" applyProtection="1">
      <alignment horizontal="center" vertical="center"/>
    </xf>
    <xf numFmtId="3" fontId="14" fillId="5" borderId="116" xfId="0" applyNumberFormat="1" applyFont="1" applyFill="1" applyBorder="1" applyAlignment="1" applyProtection="1">
      <alignment horizontal="left" vertical="center"/>
    </xf>
    <xf numFmtId="3" fontId="14" fillId="5" borderId="117" xfId="0" applyNumberFormat="1" applyFont="1" applyFill="1" applyBorder="1" applyAlignment="1" applyProtection="1">
      <alignment horizontal="left" vertical="center"/>
    </xf>
    <xf numFmtId="0" fontId="14" fillId="5" borderId="33" xfId="0" applyFont="1" applyFill="1" applyBorder="1" applyAlignment="1" applyProtection="1">
      <alignment horizontal="left" vertical="center"/>
    </xf>
    <xf numFmtId="0" fontId="14" fillId="5" borderId="34" xfId="0" applyFont="1" applyFill="1" applyBorder="1" applyAlignment="1" applyProtection="1">
      <alignment horizontal="left" vertical="center"/>
    </xf>
    <xf numFmtId="0" fontId="14" fillId="5" borderId="80" xfId="0" applyFont="1" applyFill="1" applyBorder="1" applyAlignment="1" applyProtection="1">
      <alignment horizontal="left" vertical="center"/>
    </xf>
    <xf numFmtId="0" fontId="14" fillId="5" borderId="85" xfId="0" applyFont="1" applyFill="1" applyBorder="1" applyAlignment="1" applyProtection="1">
      <alignment horizontal="left" vertical="center"/>
    </xf>
    <xf numFmtId="0" fontId="14" fillId="5" borderId="81" xfId="0" applyFont="1" applyFill="1" applyBorder="1" applyAlignment="1" applyProtection="1">
      <alignment horizontal="left" vertical="center"/>
    </xf>
    <xf numFmtId="0" fontId="14" fillId="5" borderId="78" xfId="0" applyFont="1" applyFill="1" applyBorder="1" applyAlignment="1" applyProtection="1">
      <alignment horizontal="left" vertical="center"/>
    </xf>
    <xf numFmtId="0" fontId="14" fillId="5" borderId="82" xfId="0" applyFont="1" applyFill="1" applyBorder="1" applyAlignment="1" applyProtection="1">
      <alignment horizontal="left" vertical="center"/>
    </xf>
    <xf numFmtId="0" fontId="14" fillId="5" borderId="79" xfId="0" applyFont="1" applyFill="1" applyBorder="1" applyAlignment="1" applyProtection="1">
      <alignment horizontal="left" vertical="center"/>
    </xf>
    <xf numFmtId="0" fontId="91" fillId="0" borderId="77" xfId="0" applyFont="1" applyFill="1" applyBorder="1" applyAlignment="1" applyProtection="1">
      <alignment horizontal="left" vertical="center" wrapText="1"/>
    </xf>
    <xf numFmtId="0" fontId="91" fillId="0" borderId="74" xfId="0" applyFont="1" applyFill="1" applyBorder="1" applyAlignment="1" applyProtection="1">
      <alignment horizontal="left" vertical="center" wrapText="1"/>
    </xf>
    <xf numFmtId="3" fontId="14" fillId="5" borderId="78" xfId="0" applyNumberFormat="1" applyFont="1" applyFill="1" applyBorder="1" applyAlignment="1" applyProtection="1">
      <alignment horizontal="left" vertical="center"/>
    </xf>
    <xf numFmtId="3" fontId="14" fillId="5" borderId="79" xfId="0" applyNumberFormat="1" applyFont="1" applyFill="1" applyBorder="1" applyAlignment="1" applyProtection="1">
      <alignment horizontal="left" vertical="center"/>
    </xf>
    <xf numFmtId="0" fontId="14" fillId="5" borderId="28" xfId="0" applyFont="1" applyFill="1" applyBorder="1" applyAlignment="1" applyProtection="1">
      <alignment horizontal="left" vertical="center"/>
    </xf>
    <xf numFmtId="0" fontId="14" fillId="5" borderId="57" xfId="0" applyFont="1" applyFill="1" applyBorder="1" applyAlignment="1" applyProtection="1">
      <alignment horizontal="left" vertical="center"/>
    </xf>
    <xf numFmtId="0" fontId="14" fillId="5" borderId="29" xfId="0" applyFont="1" applyFill="1" applyBorder="1" applyAlignment="1" applyProtection="1">
      <alignment horizontal="left" vertical="center"/>
    </xf>
    <xf numFmtId="0" fontId="14" fillId="5" borderId="58" xfId="0" applyFont="1" applyFill="1" applyBorder="1" applyAlignment="1" applyProtection="1">
      <alignment horizontal="left" vertical="center"/>
    </xf>
    <xf numFmtId="0" fontId="4" fillId="5" borderId="36" xfId="0" applyFont="1" applyFill="1" applyBorder="1" applyAlignment="1" applyProtection="1">
      <alignment horizontal="left" vertical="top" wrapText="1"/>
    </xf>
    <xf numFmtId="0" fontId="4" fillId="5" borderId="2" xfId="0" applyFont="1" applyFill="1" applyBorder="1" applyAlignment="1" applyProtection="1">
      <alignment horizontal="left" vertical="top" wrapText="1"/>
    </xf>
    <xf numFmtId="0" fontId="4" fillId="5" borderId="37" xfId="0" applyFont="1" applyFill="1" applyBorder="1" applyAlignment="1" applyProtection="1">
      <alignment horizontal="left" vertical="top" wrapText="1"/>
    </xf>
    <xf numFmtId="0" fontId="42" fillId="5" borderId="28" xfId="0" applyFont="1" applyFill="1" applyBorder="1" applyAlignment="1" applyProtection="1">
      <alignment vertical="top" wrapText="1"/>
    </xf>
    <xf numFmtId="0" fontId="45" fillId="0" borderId="57" xfId="0" applyFont="1" applyBorder="1" applyAlignment="1" applyProtection="1">
      <alignment vertical="top" wrapText="1"/>
    </xf>
    <xf numFmtId="0" fontId="45" fillId="0" borderId="29" xfId="0" applyFont="1" applyBorder="1" applyAlignment="1" applyProtection="1">
      <alignment vertical="top" wrapText="1"/>
    </xf>
    <xf numFmtId="175" fontId="14" fillId="5" borderId="78" xfId="0" applyNumberFormat="1" applyFont="1" applyFill="1" applyBorder="1" applyAlignment="1" applyProtection="1">
      <alignment horizontal="left" vertical="center"/>
    </xf>
    <xf numFmtId="175" fontId="14" fillId="5" borderId="82" xfId="0" applyNumberFormat="1" applyFont="1" applyFill="1" applyBorder="1" applyAlignment="1" applyProtection="1">
      <alignment horizontal="left" vertical="center"/>
    </xf>
    <xf numFmtId="175" fontId="14" fillId="5" borderId="79" xfId="0" applyNumberFormat="1" applyFont="1" applyFill="1" applyBorder="1" applyAlignment="1" applyProtection="1">
      <alignment horizontal="left" vertical="center"/>
    </xf>
    <xf numFmtId="175" fontId="14" fillId="5" borderId="28" xfId="0" applyNumberFormat="1" applyFont="1" applyFill="1" applyBorder="1" applyAlignment="1" applyProtection="1">
      <alignment horizontal="left" vertical="center"/>
    </xf>
    <xf numFmtId="175" fontId="14" fillId="5" borderId="57" xfId="0" applyNumberFormat="1" applyFont="1" applyFill="1" applyBorder="1" applyAlignment="1" applyProtection="1">
      <alignment horizontal="left" vertical="center"/>
    </xf>
    <xf numFmtId="175" fontId="14" fillId="5" borderId="29" xfId="0" applyNumberFormat="1" applyFont="1" applyFill="1" applyBorder="1" applyAlignment="1" applyProtection="1">
      <alignment horizontal="left" vertical="center"/>
    </xf>
    <xf numFmtId="0" fontId="4" fillId="0" borderId="0" xfId="0" applyFont="1" applyFill="1" applyBorder="1" applyAlignment="1" applyProtection="1">
      <alignment horizontal="center" wrapText="1"/>
    </xf>
    <xf numFmtId="0" fontId="4" fillId="0" borderId="0" xfId="0" applyFont="1" applyFill="1" applyBorder="1" applyAlignment="1" applyProtection="1">
      <alignment horizontal="center"/>
    </xf>
    <xf numFmtId="0" fontId="14" fillId="13" borderId="17" xfId="0" applyFont="1" applyFill="1" applyBorder="1" applyAlignment="1" applyProtection="1">
      <alignment horizontal="center" vertical="top"/>
    </xf>
    <xf numFmtId="0" fontId="14" fillId="5" borderId="17" xfId="0" applyFont="1" applyFill="1" applyBorder="1" applyAlignment="1" applyProtection="1">
      <alignment horizontal="center" vertical="top"/>
    </xf>
    <xf numFmtId="0" fontId="153" fillId="0" borderId="0" xfId="0" applyFont="1" applyFill="1" applyBorder="1" applyAlignment="1" applyProtection="1">
      <alignment horizontal="center" vertical="center"/>
    </xf>
    <xf numFmtId="0" fontId="4" fillId="0" borderId="0" xfId="0" applyFont="1" applyFill="1" applyBorder="1" applyAlignment="1" applyProtection="1">
      <alignment horizontal="left" vertical="center" wrapText="1"/>
    </xf>
    <xf numFmtId="0" fontId="14" fillId="0" borderId="0" xfId="0" applyFont="1" applyFill="1" applyBorder="1" applyAlignment="1" applyProtection="1">
      <alignment horizontal="left" vertical="top" wrapText="1"/>
    </xf>
    <xf numFmtId="0" fontId="4" fillId="5" borderId="33" xfId="0" applyFont="1" applyFill="1" applyBorder="1" applyAlignment="1" applyProtection="1">
      <alignment horizontal="left" vertical="top" wrapText="1"/>
    </xf>
    <xf numFmtId="0" fontId="4" fillId="5" borderId="58" xfId="0" applyFont="1" applyFill="1" applyBorder="1" applyAlignment="1" applyProtection="1">
      <alignment horizontal="left" vertical="top" wrapText="1"/>
    </xf>
    <xf numFmtId="0" fontId="4" fillId="5" borderId="34" xfId="0" applyFont="1" applyFill="1" applyBorder="1" applyAlignment="1" applyProtection="1">
      <alignment horizontal="left" vertical="top" wrapText="1"/>
    </xf>
    <xf numFmtId="0" fontId="4" fillId="10" borderId="78" xfId="0" applyFont="1" applyFill="1" applyBorder="1" applyAlignment="1" applyProtection="1">
      <alignment horizontal="left" vertical="top"/>
    </xf>
    <xf numFmtId="0" fontId="4" fillId="10" borderId="82" xfId="0" applyFont="1" applyFill="1" applyBorder="1" applyAlignment="1" applyProtection="1">
      <alignment horizontal="left" vertical="top"/>
    </xf>
    <xf numFmtId="0" fontId="4" fillId="10" borderId="79" xfId="0" applyFont="1" applyFill="1" applyBorder="1" applyAlignment="1" applyProtection="1">
      <alignment horizontal="left" vertical="top"/>
    </xf>
    <xf numFmtId="0" fontId="42" fillId="5" borderId="33" xfId="0" applyFont="1" applyFill="1" applyBorder="1" applyAlignment="1" applyProtection="1">
      <alignment horizontal="left" vertical="top" wrapText="1"/>
    </xf>
    <xf numFmtId="0" fontId="45" fillId="0" borderId="58" xfId="0" applyFont="1" applyBorder="1" applyAlignment="1" applyProtection="1">
      <alignment horizontal="left" vertical="top" wrapText="1"/>
    </xf>
    <xf numFmtId="0" fontId="45" fillId="0" borderId="34" xfId="0" applyFont="1" applyBorder="1" applyAlignment="1" applyProtection="1">
      <alignment horizontal="left" vertical="top" wrapText="1"/>
    </xf>
    <xf numFmtId="0" fontId="4" fillId="13" borderId="78" xfId="0" applyFont="1" applyFill="1" applyBorder="1" applyAlignment="1" applyProtection="1">
      <alignment horizontal="left" vertical="top" wrapText="1"/>
    </xf>
    <xf numFmtId="0" fontId="4" fillId="13" borderId="82" xfId="0" applyFont="1" applyFill="1" applyBorder="1" applyAlignment="1" applyProtection="1">
      <alignment horizontal="left" vertical="top" wrapText="1"/>
    </xf>
    <xf numFmtId="0" fontId="4" fillId="13" borderId="79" xfId="0" applyFont="1" applyFill="1" applyBorder="1" applyAlignment="1" applyProtection="1">
      <alignment horizontal="left" vertical="top" wrapText="1"/>
    </xf>
    <xf numFmtId="0" fontId="10" fillId="13" borderId="9" xfId="0" applyFont="1" applyFill="1" applyBorder="1" applyAlignment="1" applyProtection="1">
      <alignment horizontal="center" vertical="center"/>
    </xf>
    <xf numFmtId="0" fontId="10" fillId="13" borderId="14" xfId="0" applyFont="1" applyFill="1" applyBorder="1" applyAlignment="1" applyProtection="1">
      <alignment horizontal="center" vertical="center"/>
    </xf>
    <xf numFmtId="0" fontId="4" fillId="0" borderId="8" xfId="0" applyFont="1" applyFill="1" applyBorder="1" applyAlignment="1" applyProtection="1">
      <alignment horizontal="left" vertical="top" wrapText="1"/>
    </xf>
    <xf numFmtId="0" fontId="4" fillId="5" borderId="28" xfId="0" applyFont="1" applyFill="1" applyBorder="1" applyAlignment="1" applyProtection="1">
      <alignment horizontal="left" vertical="top" wrapText="1"/>
    </xf>
    <xf numFmtId="0" fontId="4" fillId="5" borderId="57" xfId="0" applyFont="1" applyFill="1" applyBorder="1" applyAlignment="1" applyProtection="1">
      <alignment horizontal="left" vertical="top" wrapText="1"/>
    </xf>
    <xf numFmtId="0" fontId="4" fillId="5" borderId="29" xfId="0" applyFont="1" applyFill="1" applyBorder="1" applyAlignment="1" applyProtection="1">
      <alignment horizontal="left" vertical="top" wrapText="1"/>
    </xf>
    <xf numFmtId="0" fontId="19" fillId="5" borderId="78" xfId="0" applyFont="1" applyFill="1" applyBorder="1" applyAlignment="1" applyProtection="1">
      <alignment horizontal="left"/>
    </xf>
    <xf numFmtId="0" fontId="19" fillId="5" borderId="82" xfId="0" applyFont="1" applyFill="1" applyBorder="1" applyAlignment="1" applyProtection="1">
      <alignment horizontal="left"/>
    </xf>
    <xf numFmtId="0" fontId="19" fillId="5" borderId="79" xfId="0" applyFont="1" applyFill="1" applyBorder="1" applyAlignment="1" applyProtection="1">
      <alignment horizontal="left"/>
    </xf>
    <xf numFmtId="0" fontId="4" fillId="0" borderId="0" xfId="0" applyFont="1" applyFill="1" applyAlignment="1" applyProtection="1">
      <alignment horizontal="left" vertical="top" wrapText="1"/>
    </xf>
    <xf numFmtId="0" fontId="14" fillId="5" borderId="133" xfId="0" applyFont="1" applyFill="1" applyBorder="1" applyAlignment="1" applyProtection="1">
      <alignment horizontal="left" vertical="center"/>
    </xf>
    <xf numFmtId="0" fontId="14" fillId="5" borderId="134" xfId="0" applyFont="1" applyFill="1" applyBorder="1" applyAlignment="1" applyProtection="1">
      <alignment horizontal="left" vertical="center"/>
    </xf>
    <xf numFmtId="0" fontId="14" fillId="5" borderId="135" xfId="0" applyFont="1" applyFill="1" applyBorder="1" applyAlignment="1" applyProtection="1">
      <alignment horizontal="left" vertical="center"/>
    </xf>
    <xf numFmtId="0" fontId="4" fillId="0" borderId="0" xfId="0" applyFont="1" applyFill="1" applyAlignment="1" applyProtection="1">
      <alignment horizontal="center"/>
    </xf>
    <xf numFmtId="0" fontId="7" fillId="0" borderId="0" xfId="0" applyFont="1" applyFill="1" applyAlignment="1" applyProtection="1">
      <alignment horizontal="center"/>
    </xf>
    <xf numFmtId="0" fontId="4" fillId="5" borderId="133" xfId="0" applyFont="1" applyFill="1" applyBorder="1" applyAlignment="1" applyProtection="1">
      <alignment horizontal="left" vertical="top" wrapText="1"/>
    </xf>
    <xf numFmtId="0" fontId="4" fillId="5" borderId="134" xfId="0" applyFont="1" applyFill="1" applyBorder="1" applyAlignment="1" applyProtection="1">
      <alignment horizontal="left" vertical="top" wrapText="1"/>
    </xf>
    <xf numFmtId="0" fontId="4" fillId="5" borderId="135" xfId="0" applyFont="1" applyFill="1" applyBorder="1" applyAlignment="1" applyProtection="1">
      <alignment horizontal="left" vertical="top" wrapText="1"/>
    </xf>
    <xf numFmtId="0" fontId="42" fillId="5" borderId="30" xfId="0" applyFont="1" applyFill="1" applyBorder="1" applyAlignment="1" applyProtection="1">
      <alignment horizontal="left" vertical="top" wrapText="1"/>
    </xf>
    <xf numFmtId="0" fontId="42" fillId="5" borderId="21" xfId="0" applyFont="1" applyFill="1" applyBorder="1" applyAlignment="1" applyProtection="1">
      <alignment horizontal="left" vertical="top" wrapText="1"/>
    </xf>
    <xf numFmtId="0" fontId="42" fillId="5" borderId="31" xfId="0" applyFont="1" applyFill="1" applyBorder="1" applyAlignment="1" applyProtection="1">
      <alignment horizontal="left" vertical="top" wrapText="1"/>
    </xf>
    <xf numFmtId="0" fontId="42" fillId="5" borderId="133" xfId="0" applyFont="1" applyFill="1" applyBorder="1" applyAlignment="1" applyProtection="1">
      <alignment horizontal="left" vertical="top" wrapText="1"/>
    </xf>
    <xf numFmtId="0" fontId="42" fillId="5" borderId="134" xfId="0" applyFont="1" applyFill="1" applyBorder="1" applyAlignment="1" applyProtection="1">
      <alignment horizontal="left" vertical="top" wrapText="1"/>
    </xf>
    <xf numFmtId="0" fontId="42" fillId="5" borderId="135" xfId="0" applyFont="1" applyFill="1" applyBorder="1" applyAlignment="1" applyProtection="1">
      <alignment horizontal="left" vertical="top" wrapText="1"/>
    </xf>
    <xf numFmtId="0" fontId="4" fillId="5" borderId="30" xfId="0" applyFont="1" applyFill="1" applyBorder="1" applyAlignment="1" applyProtection="1">
      <alignment horizontal="left" vertical="top" wrapText="1"/>
    </xf>
    <xf numFmtId="0" fontId="4" fillId="5" borderId="21" xfId="0" applyFont="1" applyFill="1" applyBorder="1" applyAlignment="1" applyProtection="1">
      <alignment horizontal="left" vertical="top" wrapText="1"/>
    </xf>
    <xf numFmtId="0" fontId="4" fillId="5" borderId="31" xfId="0" applyFont="1" applyFill="1" applyBorder="1" applyAlignment="1" applyProtection="1">
      <alignment horizontal="left" vertical="top" wrapText="1"/>
    </xf>
    <xf numFmtId="0" fontId="42" fillId="13" borderId="30" xfId="0" applyFont="1" applyFill="1" applyBorder="1" applyAlignment="1" applyProtection="1">
      <alignment horizontal="justify" vertical="top" wrapText="1"/>
    </xf>
    <xf numFmtId="0" fontId="42" fillId="13" borderId="21" xfId="0" applyFont="1" applyFill="1" applyBorder="1" applyAlignment="1" applyProtection="1">
      <alignment horizontal="justify" vertical="top" wrapText="1"/>
    </xf>
    <xf numFmtId="0" fontId="42" fillId="13" borderId="31" xfId="0" applyFont="1" applyFill="1" applyBorder="1" applyAlignment="1" applyProtection="1">
      <alignment horizontal="justify" vertical="top" wrapText="1"/>
    </xf>
    <xf numFmtId="0" fontId="114" fillId="0" borderId="0" xfId="0" applyFont="1" applyFill="1" applyAlignment="1" applyProtection="1">
      <alignment horizontal="center" vertical="center"/>
    </xf>
    <xf numFmtId="0" fontId="114" fillId="0" borderId="8" xfId="0" applyFont="1" applyFill="1" applyBorder="1" applyAlignment="1" applyProtection="1">
      <alignment horizontal="center" vertical="center"/>
    </xf>
    <xf numFmtId="0" fontId="10" fillId="5" borderId="36" xfId="0" applyFont="1" applyFill="1" applyBorder="1" applyAlignment="1" applyProtection="1">
      <alignment horizontal="center" vertical="center" wrapText="1"/>
    </xf>
    <xf numFmtId="0" fontId="10" fillId="5" borderId="37" xfId="0" applyFont="1" applyFill="1" applyBorder="1" applyAlignment="1" applyProtection="1">
      <alignment horizontal="center" vertical="center" wrapText="1"/>
    </xf>
    <xf numFmtId="0" fontId="23" fillId="0" borderId="0" xfId="0" applyFont="1" applyFill="1" applyAlignment="1" applyProtection="1">
      <alignment horizontal="left" vertical="center"/>
    </xf>
    <xf numFmtId="0" fontId="99" fillId="13" borderId="36" xfId="0" applyFont="1" applyFill="1" applyBorder="1" applyAlignment="1" applyProtection="1">
      <alignment horizontal="center" vertical="center"/>
    </xf>
    <xf numFmtId="0" fontId="99" fillId="13" borderId="37" xfId="0" applyFont="1" applyFill="1" applyBorder="1" applyAlignment="1" applyProtection="1">
      <alignment horizontal="center" vertical="center"/>
    </xf>
    <xf numFmtId="0" fontId="94" fillId="0" borderId="0" xfId="0" applyFont="1" applyFill="1" applyAlignment="1" applyProtection="1">
      <alignment horizontal="center" vertical="center" wrapText="1"/>
    </xf>
    <xf numFmtId="0" fontId="94" fillId="0" borderId="8" xfId="0" applyFont="1" applyFill="1" applyBorder="1" applyAlignment="1" applyProtection="1">
      <alignment horizontal="center" vertical="center" wrapText="1"/>
    </xf>
    <xf numFmtId="0" fontId="42" fillId="13" borderId="28" xfId="0" applyFont="1" applyFill="1" applyBorder="1" applyAlignment="1" applyProtection="1">
      <alignment horizontal="justify" vertical="top" wrapText="1"/>
    </xf>
    <xf numFmtId="0" fontId="42" fillId="13" borderId="57" xfId="0" applyFont="1" applyFill="1" applyBorder="1" applyAlignment="1" applyProtection="1">
      <alignment horizontal="justify" vertical="top" wrapText="1"/>
    </xf>
    <xf numFmtId="0" fontId="42" fillId="13" borderId="29" xfId="0" applyFont="1" applyFill="1" applyBorder="1" applyAlignment="1" applyProtection="1">
      <alignment horizontal="justify" vertical="top" wrapText="1"/>
    </xf>
    <xf numFmtId="0" fontId="98" fillId="20" borderId="0" xfId="0" applyNumberFormat="1" applyFont="1" applyFill="1" applyAlignment="1" applyProtection="1">
      <alignment horizontal="center" vertical="center" wrapText="1"/>
    </xf>
    <xf numFmtId="0" fontId="4" fillId="0" borderId="0" xfId="0" applyFont="1" applyFill="1" applyBorder="1" applyAlignment="1" applyProtection="1">
      <alignment horizontal="center" vertical="center" wrapText="1"/>
    </xf>
    <xf numFmtId="0" fontId="152" fillId="0" borderId="0" xfId="0" applyFont="1" applyFill="1" applyAlignment="1" applyProtection="1">
      <alignment horizontal="left" vertical="top" wrapText="1"/>
    </xf>
    <xf numFmtId="0" fontId="42" fillId="13" borderId="33" xfId="0" applyFont="1" applyFill="1" applyBorder="1" applyAlignment="1" applyProtection="1">
      <alignment horizontal="justify" vertical="top" wrapText="1"/>
    </xf>
    <xf numFmtId="0" fontId="42" fillId="13" borderId="58" xfId="0" applyFont="1" applyFill="1" applyBorder="1" applyAlignment="1" applyProtection="1">
      <alignment horizontal="justify" vertical="top" wrapText="1"/>
    </xf>
    <xf numFmtId="0" fontId="42" fillId="13" borderId="34" xfId="0" applyFont="1" applyFill="1" applyBorder="1" applyAlignment="1" applyProtection="1">
      <alignment horizontal="justify" vertical="top" wrapText="1"/>
    </xf>
    <xf numFmtId="0" fontId="10" fillId="13" borderId="36" xfId="0" applyFont="1" applyFill="1" applyBorder="1" applyAlignment="1" applyProtection="1">
      <alignment horizontal="center" vertical="center"/>
    </xf>
    <xf numFmtId="0" fontId="10" fillId="13" borderId="37" xfId="0" applyFont="1" applyFill="1" applyBorder="1" applyAlignment="1" applyProtection="1">
      <alignment horizontal="center" vertical="center"/>
    </xf>
    <xf numFmtId="0" fontId="4" fillId="13" borderId="86" xfId="0" applyFont="1" applyFill="1" applyBorder="1" applyAlignment="1" applyProtection="1">
      <alignment horizontal="left" vertical="top" wrapText="1"/>
    </xf>
    <xf numFmtId="0" fontId="84" fillId="0" borderId="43" xfId="0" applyFont="1" applyBorder="1" applyAlignment="1" applyProtection="1">
      <alignment horizontal="center" vertical="center"/>
    </xf>
    <xf numFmtId="0" fontId="84" fillId="0" borderId="39" xfId="0" applyFont="1" applyBorder="1" applyAlignment="1" applyProtection="1">
      <alignment horizontal="center" vertical="center"/>
    </xf>
    <xf numFmtId="0" fontId="14" fillId="0" borderId="43" xfId="0" applyFont="1" applyBorder="1" applyAlignment="1" applyProtection="1">
      <alignment horizontal="center" vertical="center"/>
    </xf>
    <xf numFmtId="0" fontId="14" fillId="0" borderId="19" xfId="0" applyFont="1" applyBorder="1" applyAlignment="1" applyProtection="1">
      <alignment horizontal="center" vertical="center"/>
    </xf>
    <xf numFmtId="0" fontId="14" fillId="0" borderId="39" xfId="0" applyFont="1" applyBorder="1" applyAlignment="1" applyProtection="1">
      <alignment horizontal="center" vertical="center"/>
    </xf>
    <xf numFmtId="0" fontId="84" fillId="0" borderId="42" xfId="0" applyFont="1" applyBorder="1" applyAlignment="1" applyProtection="1">
      <alignment horizontal="center" vertical="center"/>
    </xf>
    <xf numFmtId="0" fontId="84" fillId="0" borderId="59" xfId="0" applyFont="1" applyBorder="1" applyAlignment="1" applyProtection="1">
      <alignment horizontal="center" vertical="center"/>
    </xf>
    <xf numFmtId="0" fontId="4" fillId="0" borderId="42" xfId="0" applyFont="1" applyBorder="1" applyAlignment="1" applyProtection="1">
      <alignment horizontal="center" vertical="center"/>
    </xf>
    <xf numFmtId="0" fontId="4" fillId="0" borderId="20" xfId="0" applyFont="1" applyBorder="1" applyAlignment="1" applyProtection="1">
      <alignment horizontal="center" vertical="center"/>
    </xf>
    <xf numFmtId="0" fontId="4" fillId="0" borderId="59" xfId="0" applyFont="1" applyBorder="1" applyAlignment="1" applyProtection="1">
      <alignment horizontal="center" vertical="center"/>
    </xf>
    <xf numFmtId="0" fontId="4" fillId="0" borderId="13" xfId="0" applyFont="1" applyBorder="1" applyAlignment="1" applyProtection="1">
      <alignment horizontal="left" wrapText="1"/>
    </xf>
    <xf numFmtId="0" fontId="188" fillId="0" borderId="43" xfId="0" applyNumberFormat="1" applyFont="1" applyFill="1" applyBorder="1" applyAlignment="1" applyProtection="1">
      <alignment horizontal="center" vertical="center" wrapText="1"/>
    </xf>
    <xf numFmtId="0" fontId="188" fillId="0" borderId="39" xfId="0" applyNumberFormat="1" applyFont="1" applyFill="1" applyBorder="1" applyAlignment="1" applyProtection="1">
      <alignment horizontal="center" vertical="center" wrapText="1"/>
    </xf>
    <xf numFmtId="0" fontId="188" fillId="0" borderId="42" xfId="0" applyNumberFormat="1" applyFont="1" applyFill="1" applyBorder="1" applyAlignment="1" applyProtection="1">
      <alignment horizontal="center" vertical="center" wrapText="1"/>
    </xf>
    <xf numFmtId="0" fontId="188" fillId="0" borderId="59" xfId="0" applyNumberFormat="1" applyFont="1" applyFill="1" applyBorder="1" applyAlignment="1" applyProtection="1">
      <alignment horizontal="center" vertical="center" wrapText="1"/>
    </xf>
    <xf numFmtId="6" fontId="5" fillId="13" borderId="80" xfId="0" applyNumberFormat="1" applyFont="1" applyFill="1" applyBorder="1" applyAlignment="1" applyProtection="1">
      <alignment horizontal="center" vertical="center"/>
    </xf>
    <xf numFmtId="6" fontId="5" fillId="13" borderId="81" xfId="0" applyNumberFormat="1" applyFont="1" applyFill="1" applyBorder="1" applyAlignment="1" applyProtection="1">
      <alignment horizontal="center" vertical="center"/>
    </xf>
    <xf numFmtId="6" fontId="5" fillId="13" borderId="9" xfId="0" applyNumberFormat="1" applyFont="1" applyFill="1" applyBorder="1" applyAlignment="1" applyProtection="1">
      <alignment horizontal="center" vertical="center"/>
    </xf>
    <xf numFmtId="6" fontId="5" fillId="13" borderId="14" xfId="0" applyNumberFormat="1" applyFont="1" applyFill="1" applyBorder="1" applyAlignment="1" applyProtection="1">
      <alignment horizontal="center" vertical="center"/>
    </xf>
    <xf numFmtId="0" fontId="206" fillId="20" borderId="62" xfId="0" applyFont="1" applyFill="1" applyBorder="1" applyAlignment="1" applyProtection="1">
      <alignment horizontal="center" vertical="center" wrapText="1"/>
    </xf>
    <xf numFmtId="0" fontId="206" fillId="20" borderId="70" xfId="0" applyFont="1" applyFill="1" applyBorder="1" applyAlignment="1" applyProtection="1">
      <alignment horizontal="center" vertical="center" wrapText="1"/>
    </xf>
    <xf numFmtId="0" fontId="206" fillId="20" borderId="63" xfId="0" applyFont="1" applyFill="1" applyBorder="1" applyAlignment="1" applyProtection="1">
      <alignment horizontal="center" vertical="center" wrapText="1"/>
    </xf>
    <xf numFmtId="0" fontId="206" fillId="20" borderId="44" xfId="0" applyFont="1" applyFill="1" applyBorder="1" applyAlignment="1" applyProtection="1">
      <alignment horizontal="center" vertical="center" wrapText="1"/>
    </xf>
    <xf numFmtId="0" fontId="206" fillId="20" borderId="0" xfId="0" applyFont="1" applyFill="1" applyBorder="1" applyAlignment="1" applyProtection="1">
      <alignment horizontal="center" vertical="center" wrapText="1"/>
    </xf>
    <xf numFmtId="0" fontId="206" fillId="20" borderId="47" xfId="0" applyFont="1" applyFill="1" applyBorder="1" applyAlignment="1" applyProtection="1">
      <alignment horizontal="center" vertical="center" wrapText="1"/>
    </xf>
    <xf numFmtId="0" fontId="206" fillId="20" borderId="45" xfId="0" applyFont="1" applyFill="1" applyBorder="1" applyAlignment="1" applyProtection="1">
      <alignment horizontal="center" vertical="center" wrapText="1"/>
    </xf>
    <xf numFmtId="0" fontId="206" fillId="20" borderId="83" xfId="0" applyFont="1" applyFill="1" applyBorder="1" applyAlignment="1" applyProtection="1">
      <alignment horizontal="center" vertical="center" wrapText="1"/>
    </xf>
    <xf numFmtId="0" fontId="206" fillId="20" borderId="64" xfId="0" applyFont="1" applyFill="1" applyBorder="1" applyAlignment="1" applyProtection="1">
      <alignment horizontal="center" vertical="center" wrapText="1"/>
    </xf>
    <xf numFmtId="10" fontId="14" fillId="5" borderId="30" xfId="0" applyNumberFormat="1" applyFont="1" applyFill="1" applyBorder="1" applyAlignment="1" applyProtection="1">
      <alignment horizontal="left" vertical="center"/>
    </xf>
    <xf numFmtId="10" fontId="14" fillId="5" borderId="19" xfId="0" applyNumberFormat="1" applyFont="1" applyFill="1" applyBorder="1" applyAlignment="1" applyProtection="1">
      <alignment horizontal="left" vertical="center"/>
    </xf>
    <xf numFmtId="10" fontId="0" fillId="0" borderId="31" xfId="0" applyNumberFormat="1" applyBorder="1" applyAlignment="1" applyProtection="1">
      <alignment horizontal="left" vertical="center"/>
    </xf>
    <xf numFmtId="0" fontId="4" fillId="5" borderId="86" xfId="0" applyFont="1" applyFill="1" applyBorder="1" applyAlignment="1" applyProtection="1">
      <alignment horizontal="left" vertical="center" wrapText="1"/>
    </xf>
    <xf numFmtId="0" fontId="49" fillId="0" borderId="19" xfId="0" applyFont="1" applyFill="1" applyBorder="1" applyAlignment="1" applyProtection="1">
      <alignment horizontal="center" vertical="top" wrapText="1"/>
    </xf>
    <xf numFmtId="0" fontId="49" fillId="0" borderId="0" xfId="0" applyFont="1" applyFill="1" applyBorder="1" applyAlignment="1" applyProtection="1">
      <alignment horizontal="center" vertical="top" wrapText="1"/>
    </xf>
    <xf numFmtId="0" fontId="49" fillId="0" borderId="13" xfId="0" applyFont="1" applyFill="1" applyBorder="1" applyAlignment="1" applyProtection="1">
      <alignment horizontal="center" vertical="top" wrapText="1"/>
    </xf>
    <xf numFmtId="3" fontId="44" fillId="0" borderId="0" xfId="0" applyNumberFormat="1" applyFont="1" applyFill="1" applyBorder="1" applyAlignment="1" applyProtection="1">
      <alignment horizontal="center" vertical="center"/>
    </xf>
    <xf numFmtId="0" fontId="41" fillId="0" borderId="0" xfId="0" applyFont="1" applyFill="1" applyAlignment="1" applyProtection="1">
      <alignment horizontal="center" vertical="center"/>
    </xf>
    <xf numFmtId="0" fontId="4" fillId="13" borderId="36" xfId="0" applyFont="1" applyFill="1" applyBorder="1" applyAlignment="1" applyProtection="1">
      <alignment horizontal="left" vertical="top" wrapText="1"/>
    </xf>
    <xf numFmtId="0" fontId="4" fillId="13" borderId="2" xfId="0" applyFont="1" applyFill="1" applyBorder="1" applyAlignment="1" applyProtection="1">
      <alignment horizontal="left" vertical="top" wrapText="1"/>
    </xf>
    <xf numFmtId="0" fontId="4" fillId="13" borderId="37" xfId="0" applyFont="1" applyFill="1" applyBorder="1" applyAlignment="1" applyProtection="1">
      <alignment horizontal="left" vertical="top" wrapText="1"/>
    </xf>
    <xf numFmtId="0" fontId="91" fillId="0" borderId="0" xfId="0" applyFont="1" applyFill="1" applyBorder="1" applyAlignment="1" applyProtection="1">
      <alignment horizontal="center" vertical="center"/>
    </xf>
    <xf numFmtId="0" fontId="14" fillId="5" borderId="16" xfId="0" applyFont="1" applyFill="1" applyBorder="1" applyAlignment="1" applyProtection="1">
      <alignment horizontal="left" vertical="center"/>
    </xf>
    <xf numFmtId="0" fontId="14" fillId="5" borderId="84" xfId="0" applyFont="1" applyFill="1" applyBorder="1" applyAlignment="1" applyProtection="1">
      <alignment horizontal="center" vertical="center"/>
    </xf>
    <xf numFmtId="0" fontId="14" fillId="5" borderId="12" xfId="0" applyFont="1" applyFill="1" applyBorder="1" applyAlignment="1" applyProtection="1">
      <alignment horizontal="center" vertical="center"/>
    </xf>
    <xf numFmtId="0" fontId="14" fillId="5" borderId="18" xfId="0" applyFont="1" applyFill="1" applyBorder="1" applyAlignment="1" applyProtection="1">
      <alignment horizontal="left" vertical="center"/>
    </xf>
    <xf numFmtId="0" fontId="98" fillId="0" borderId="0" xfId="0" applyFont="1" applyFill="1" applyBorder="1" applyAlignment="1" applyProtection="1">
      <alignment horizontal="center" wrapText="1"/>
    </xf>
    <xf numFmtId="0" fontId="98" fillId="0" borderId="20" xfId="0" applyFont="1" applyFill="1" applyBorder="1" applyAlignment="1" applyProtection="1">
      <alignment horizontal="center" wrapText="1"/>
    </xf>
    <xf numFmtId="3" fontId="165" fillId="0" borderId="43" xfId="0" applyNumberFormat="1" applyFont="1" applyFill="1" applyBorder="1" applyAlignment="1" applyProtection="1">
      <alignment horizontal="center" vertical="center" wrapText="1"/>
    </xf>
    <xf numFmtId="3" fontId="165" fillId="0" borderId="39" xfId="0" applyNumberFormat="1" applyFont="1" applyFill="1" applyBorder="1" applyAlignment="1" applyProtection="1">
      <alignment horizontal="center" vertical="center" wrapText="1"/>
    </xf>
    <xf numFmtId="3" fontId="165" fillId="0" borderId="42" xfId="0" applyNumberFormat="1" applyFont="1" applyFill="1" applyBorder="1" applyAlignment="1" applyProtection="1">
      <alignment horizontal="center" vertical="center" wrapText="1"/>
    </xf>
    <xf numFmtId="3" fontId="165" fillId="0" borderId="59" xfId="0" applyNumberFormat="1" applyFont="1" applyFill="1" applyBorder="1" applyAlignment="1" applyProtection="1">
      <alignment horizontal="center" vertical="center" wrapText="1"/>
    </xf>
    <xf numFmtId="3" fontId="149" fillId="0" borderId="78" xfId="0" applyNumberFormat="1" applyFont="1" applyFill="1" applyBorder="1" applyAlignment="1" applyProtection="1">
      <alignment horizontal="center" vertical="center" wrapText="1"/>
    </xf>
    <xf numFmtId="3" fontId="149" fillId="0" borderId="79" xfId="0" applyNumberFormat="1" applyFont="1" applyFill="1" applyBorder="1" applyAlignment="1" applyProtection="1">
      <alignment horizontal="center" vertical="center" wrapText="1"/>
    </xf>
    <xf numFmtId="0" fontId="44" fillId="0" borderId="0" xfId="0" applyFont="1" applyFill="1" applyBorder="1" applyAlignment="1" applyProtection="1">
      <alignment horizontal="center" vertical="center" wrapText="1"/>
    </xf>
    <xf numFmtId="0" fontId="44" fillId="0" borderId="20" xfId="0" applyFont="1" applyFill="1" applyBorder="1" applyAlignment="1" applyProtection="1">
      <alignment horizontal="center" vertical="center" wrapText="1"/>
    </xf>
    <xf numFmtId="176" fontId="8" fillId="10" borderId="78" xfId="0" applyNumberFormat="1" applyFont="1" applyFill="1" applyBorder="1" applyAlignment="1" applyProtection="1">
      <alignment horizontal="center"/>
    </xf>
    <xf numFmtId="176" fontId="8" fillId="10" borderId="79" xfId="0" applyNumberFormat="1" applyFont="1" applyFill="1" applyBorder="1" applyAlignment="1" applyProtection="1">
      <alignment horizontal="center"/>
    </xf>
    <xf numFmtId="0" fontId="14" fillId="5" borderId="4" xfId="0" applyFont="1" applyFill="1" applyBorder="1" applyAlignment="1" applyProtection="1">
      <alignment horizontal="center"/>
    </xf>
    <xf numFmtId="0" fontId="14" fillId="5" borderId="37" xfId="0" applyFont="1" applyFill="1" applyBorder="1" applyAlignment="1" applyProtection="1">
      <alignment horizontal="center"/>
    </xf>
    <xf numFmtId="0" fontId="14" fillId="13" borderId="36" xfId="0" applyFont="1" applyFill="1" applyBorder="1" applyAlignment="1" applyProtection="1">
      <alignment horizontal="center"/>
    </xf>
    <xf numFmtId="0" fontId="14" fillId="13" borderId="37" xfId="0" applyFont="1" applyFill="1" applyBorder="1" applyAlignment="1" applyProtection="1">
      <alignment horizontal="center"/>
    </xf>
    <xf numFmtId="0" fontId="0" fillId="0" borderId="29" xfId="0" applyBorder="1" applyAlignment="1" applyProtection="1">
      <alignment horizontal="left" vertical="center"/>
    </xf>
    <xf numFmtId="0" fontId="14" fillId="5" borderId="30" xfId="0" applyFont="1" applyFill="1" applyBorder="1" applyAlignment="1" applyProtection="1">
      <alignment horizontal="left" vertical="center"/>
    </xf>
    <xf numFmtId="0" fontId="14" fillId="5" borderId="21" xfId="0" applyFont="1" applyFill="1" applyBorder="1" applyAlignment="1" applyProtection="1">
      <alignment horizontal="left" vertical="center"/>
    </xf>
    <xf numFmtId="0" fontId="0" fillId="0" borderId="31" xfId="0" applyBorder="1" applyAlignment="1" applyProtection="1">
      <alignment horizontal="left" vertical="center"/>
    </xf>
    <xf numFmtId="0" fontId="0" fillId="0" borderId="79" xfId="0" applyBorder="1" applyAlignment="1" applyProtection="1">
      <alignment horizontal="left" vertical="center"/>
    </xf>
    <xf numFmtId="0" fontId="4" fillId="5" borderId="9" xfId="0" applyFont="1" applyFill="1" applyBorder="1" applyAlignment="1" applyProtection="1">
      <alignment horizontal="left" vertical="center"/>
    </xf>
    <xf numFmtId="0" fontId="4" fillId="5" borderId="13" xfId="0" applyFont="1" applyFill="1" applyBorder="1" applyAlignment="1" applyProtection="1">
      <alignment horizontal="left" vertical="center"/>
    </xf>
    <xf numFmtId="0" fontId="4" fillId="5" borderId="14" xfId="0" applyFont="1" applyFill="1" applyBorder="1" applyAlignment="1" applyProtection="1">
      <alignment horizontal="left" vertical="center"/>
    </xf>
    <xf numFmtId="0" fontId="14" fillId="5" borderId="36" xfId="0" applyFont="1" applyFill="1" applyBorder="1" applyAlignment="1" applyProtection="1">
      <alignment horizontal="left" vertical="center"/>
    </xf>
    <xf numFmtId="0" fontId="14" fillId="5" borderId="2" xfId="0" applyFont="1" applyFill="1" applyBorder="1" applyAlignment="1" applyProtection="1">
      <alignment horizontal="left" vertical="center"/>
    </xf>
    <xf numFmtId="0" fontId="14" fillId="5" borderId="37" xfId="0" applyFont="1" applyFill="1" applyBorder="1" applyAlignment="1" applyProtection="1">
      <alignment horizontal="left" vertical="center"/>
    </xf>
    <xf numFmtId="0" fontId="4" fillId="0" borderId="7" xfId="0" applyFont="1" applyBorder="1" applyAlignment="1" applyProtection="1">
      <alignment horizontal="center" vertical="center"/>
    </xf>
    <xf numFmtId="0" fontId="4" fillId="0" borderId="0" xfId="0" applyFont="1" applyAlignment="1" applyProtection="1">
      <alignment horizontal="center" vertical="center"/>
    </xf>
    <xf numFmtId="37" fontId="8" fillId="0" borderId="78" xfId="0" applyNumberFormat="1" applyFont="1" applyFill="1" applyBorder="1" applyAlignment="1" applyProtection="1">
      <alignment horizontal="left" vertical="center" wrapText="1"/>
    </xf>
    <xf numFmtId="37" fontId="8" fillId="0" borderId="79" xfId="0" applyNumberFormat="1" applyFont="1" applyFill="1" applyBorder="1" applyAlignment="1" applyProtection="1">
      <alignment horizontal="left" vertical="center" wrapText="1"/>
    </xf>
    <xf numFmtId="0" fontId="14" fillId="5" borderId="18" xfId="0" applyFont="1" applyFill="1" applyBorder="1" applyAlignment="1" applyProtection="1">
      <alignment horizontal="center" vertical="top"/>
    </xf>
    <xf numFmtId="0" fontId="14" fillId="5" borderId="136" xfId="0" applyFont="1" applyFill="1" applyBorder="1" applyAlignment="1" applyProtection="1">
      <alignment horizontal="center" vertical="top"/>
    </xf>
    <xf numFmtId="0" fontId="42" fillId="5" borderId="80" xfId="0" applyFont="1" applyFill="1" applyBorder="1" applyAlignment="1" applyProtection="1">
      <alignment horizontal="left" vertical="top" wrapText="1"/>
    </xf>
    <xf numFmtId="0" fontId="42" fillId="5" borderId="85" xfId="0" applyFont="1" applyFill="1" applyBorder="1" applyAlignment="1" applyProtection="1">
      <alignment horizontal="left" vertical="top" wrapText="1"/>
    </xf>
    <xf numFmtId="0" fontId="42" fillId="5" borderId="81" xfId="0" applyFont="1" applyFill="1" applyBorder="1" applyAlignment="1" applyProtection="1">
      <alignment horizontal="left" vertical="top" wrapText="1"/>
    </xf>
    <xf numFmtId="0" fontId="42" fillId="5" borderId="9" xfId="0" applyFont="1" applyFill="1" applyBorder="1" applyAlignment="1" applyProtection="1">
      <alignment horizontal="left" vertical="top" wrapText="1"/>
    </xf>
    <xf numFmtId="0" fontId="42" fillId="5" borderId="13" xfId="0" applyFont="1" applyFill="1" applyBorder="1" applyAlignment="1" applyProtection="1">
      <alignment horizontal="left" vertical="top" wrapText="1"/>
    </xf>
    <xf numFmtId="0" fontId="42" fillId="5" borderId="14" xfId="0" applyFont="1" applyFill="1" applyBorder="1" applyAlignment="1" applyProtection="1">
      <alignment horizontal="left" vertical="top" wrapText="1"/>
    </xf>
    <xf numFmtId="0" fontId="4" fillId="10" borderId="78" xfId="0" applyFont="1" applyFill="1" applyBorder="1" applyAlignment="1" applyProtection="1">
      <alignment horizontal="left" vertical="center" wrapText="1"/>
    </xf>
    <xf numFmtId="0" fontId="4" fillId="10" borderId="82" xfId="0" applyFont="1" applyFill="1" applyBorder="1" applyAlignment="1" applyProtection="1">
      <alignment horizontal="left" vertical="center" wrapText="1"/>
    </xf>
    <xf numFmtId="0" fontId="4" fillId="10" borderId="79" xfId="0" applyFont="1" applyFill="1" applyBorder="1" applyAlignment="1" applyProtection="1">
      <alignment horizontal="left" vertical="center" wrapText="1"/>
    </xf>
    <xf numFmtId="0" fontId="4" fillId="0" borderId="0" xfId="0" applyFont="1" applyFill="1" applyAlignment="1" applyProtection="1">
      <alignment horizontal="center" vertical="center" wrapText="1"/>
    </xf>
    <xf numFmtId="0" fontId="4" fillId="0" borderId="47" xfId="0" applyFont="1" applyFill="1" applyBorder="1" applyAlignment="1" applyProtection="1">
      <alignment horizontal="center" wrapText="1"/>
    </xf>
    <xf numFmtId="38" fontId="105" fillId="0" borderId="0" xfId="0" applyNumberFormat="1" applyFont="1" applyFill="1" applyBorder="1" applyAlignment="1" applyProtection="1">
      <alignment horizontal="center" vertical="center" wrapText="1"/>
    </xf>
    <xf numFmtId="0" fontId="4" fillId="0" borderId="0" xfId="0" applyFont="1" applyFill="1" applyBorder="1" applyAlignment="1" applyProtection="1">
      <alignment horizontal="center" vertical="center"/>
    </xf>
    <xf numFmtId="0" fontId="4" fillId="0" borderId="0" xfId="0" applyFont="1" applyBorder="1" applyAlignment="1" applyProtection="1">
      <alignment horizontal="left" vertical="center"/>
    </xf>
    <xf numFmtId="0" fontId="4" fillId="5" borderId="36" xfId="0" applyFont="1" applyFill="1" applyBorder="1" applyAlignment="1" applyProtection="1">
      <alignment horizontal="left" vertical="center" wrapText="1"/>
    </xf>
    <xf numFmtId="0" fontId="4" fillId="5" borderId="2" xfId="0" applyFont="1" applyFill="1" applyBorder="1" applyAlignment="1" applyProtection="1">
      <alignment horizontal="left" vertical="center" wrapText="1"/>
    </xf>
    <xf numFmtId="0" fontId="4" fillId="5" borderId="37" xfId="0" applyFont="1" applyFill="1" applyBorder="1" applyAlignment="1" applyProtection="1">
      <alignment horizontal="left" vertical="center" wrapText="1"/>
    </xf>
    <xf numFmtId="0" fontId="42" fillId="5" borderId="78" xfId="0" applyFont="1" applyFill="1" applyBorder="1" applyAlignment="1" applyProtection="1">
      <alignment horizontal="left" vertical="top" wrapText="1"/>
    </xf>
    <xf numFmtId="0" fontId="42" fillId="5" borderId="82" xfId="0" applyFont="1" applyFill="1" applyBorder="1" applyAlignment="1" applyProtection="1">
      <alignment horizontal="left" vertical="top" wrapText="1"/>
    </xf>
    <xf numFmtId="0" fontId="42" fillId="5" borderId="79" xfId="0" applyFont="1" applyFill="1" applyBorder="1" applyAlignment="1" applyProtection="1">
      <alignment horizontal="left" vertical="top" wrapText="1"/>
    </xf>
    <xf numFmtId="0" fontId="14" fillId="5" borderId="36" xfId="0" applyFont="1" applyFill="1" applyBorder="1" applyAlignment="1" applyProtection="1">
      <alignment horizontal="center" vertical="top"/>
    </xf>
    <xf numFmtId="0" fontId="14" fillId="5" borderId="37" xfId="0" applyFont="1" applyFill="1" applyBorder="1" applyAlignment="1" applyProtection="1">
      <alignment horizontal="center" vertical="top"/>
    </xf>
    <xf numFmtId="0" fontId="14" fillId="13" borderId="36" xfId="0" applyFont="1" applyFill="1" applyBorder="1" applyAlignment="1" applyProtection="1">
      <alignment horizontal="center" vertical="top"/>
    </xf>
    <xf numFmtId="0" fontId="14" fillId="13" borderId="37" xfId="0" applyFont="1" applyFill="1" applyBorder="1" applyAlignment="1" applyProtection="1">
      <alignment horizontal="center" vertical="top"/>
    </xf>
    <xf numFmtId="0" fontId="10" fillId="5" borderId="86" xfId="0" applyFont="1" applyFill="1" applyBorder="1" applyAlignment="1" applyProtection="1">
      <alignment horizontal="left" vertical="center"/>
    </xf>
    <xf numFmtId="0" fontId="4" fillId="0" borderId="0" xfId="0" applyFont="1" applyFill="1" applyAlignment="1" applyProtection="1">
      <alignment horizontal="left" vertical="center" wrapText="1"/>
    </xf>
    <xf numFmtId="0" fontId="42" fillId="10" borderId="121" xfId="0" applyFont="1" applyFill="1" applyBorder="1" applyAlignment="1" applyProtection="1">
      <alignment horizontal="left"/>
    </xf>
    <xf numFmtId="0" fontId="42" fillId="10" borderId="85" xfId="0" applyFont="1" applyFill="1" applyBorder="1" applyAlignment="1" applyProtection="1">
      <alignment horizontal="left"/>
    </xf>
    <xf numFmtId="0" fontId="42" fillId="10" borderId="81" xfId="0" applyFont="1" applyFill="1" applyBorder="1" applyAlignment="1" applyProtection="1">
      <alignment horizontal="left"/>
    </xf>
    <xf numFmtId="0" fontId="14" fillId="5" borderId="111" xfId="0" applyFont="1" applyFill="1" applyBorder="1" applyAlignment="1" applyProtection="1">
      <alignment horizontal="left" vertical="center"/>
    </xf>
    <xf numFmtId="0" fontId="14" fillId="5" borderId="90" xfId="0" applyFont="1" applyFill="1" applyBorder="1" applyAlignment="1" applyProtection="1">
      <alignment horizontal="left" vertical="center"/>
    </xf>
    <xf numFmtId="0" fontId="42" fillId="5" borderId="58" xfId="0" applyFont="1" applyFill="1" applyBorder="1" applyAlignment="1" applyProtection="1">
      <alignment horizontal="left" vertical="top" wrapText="1"/>
    </xf>
    <xf numFmtId="0" fontId="42" fillId="5" borderId="34" xfId="0" applyFont="1" applyFill="1" applyBorder="1" applyAlignment="1" applyProtection="1">
      <alignment horizontal="left" vertical="top" wrapText="1"/>
    </xf>
    <xf numFmtId="0" fontId="42" fillId="0" borderId="0" xfId="0" quotePrefix="1" applyFont="1" applyFill="1" applyAlignment="1" applyProtection="1">
      <alignment horizontal="left" vertical="center"/>
    </xf>
    <xf numFmtId="0" fontId="14" fillId="13" borderId="84" xfId="0" applyFont="1" applyFill="1" applyBorder="1" applyAlignment="1" applyProtection="1">
      <alignment horizontal="center" vertical="center"/>
    </xf>
    <xf numFmtId="0" fontId="14" fillId="13" borderId="12" xfId="0" applyFont="1" applyFill="1" applyBorder="1" applyAlignment="1" applyProtection="1">
      <alignment horizontal="center" vertical="center"/>
    </xf>
    <xf numFmtId="0" fontId="85" fillId="0" borderId="0" xfId="0" applyFont="1" applyFill="1" applyAlignment="1" applyProtection="1">
      <alignment horizontal="left" vertical="center" wrapText="1"/>
    </xf>
    <xf numFmtId="0" fontId="42" fillId="10" borderId="30" xfId="0" applyFont="1" applyFill="1" applyBorder="1" applyAlignment="1" applyProtection="1">
      <alignment horizontal="left" vertical="center" wrapText="1"/>
    </xf>
    <xf numFmtId="0" fontId="42" fillId="10" borderId="21" xfId="0" applyFont="1" applyFill="1" applyBorder="1" applyAlignment="1" applyProtection="1">
      <alignment horizontal="left" vertical="center" wrapText="1"/>
    </xf>
    <xf numFmtId="0" fontId="42" fillId="10" borderId="31" xfId="0" applyFont="1" applyFill="1" applyBorder="1" applyAlignment="1" applyProtection="1">
      <alignment horizontal="left" vertical="center" wrapText="1"/>
    </xf>
    <xf numFmtId="0" fontId="4" fillId="0" borderId="0" xfId="0" applyFont="1" applyAlignment="1" applyProtection="1">
      <alignment horizontal="left" vertical="top" wrapText="1"/>
    </xf>
    <xf numFmtId="0" fontId="162" fillId="0" borderId="0" xfId="0" applyFont="1" applyFill="1" applyBorder="1" applyAlignment="1" applyProtection="1">
      <alignment horizontal="center" vertical="top" wrapText="1"/>
    </xf>
    <xf numFmtId="3" fontId="13" fillId="10" borderId="78" xfId="0" applyNumberFormat="1" applyFont="1" applyFill="1" applyBorder="1" applyAlignment="1" applyProtection="1">
      <alignment horizontal="center" vertical="center" wrapText="1"/>
    </xf>
    <xf numFmtId="3" fontId="13" fillId="10" borderId="79" xfId="0" applyNumberFormat="1" applyFont="1" applyFill="1" applyBorder="1" applyAlignment="1" applyProtection="1">
      <alignment horizontal="center" vertical="center" wrapText="1"/>
    </xf>
    <xf numFmtId="0" fontId="10" fillId="0" borderId="0" xfId="0" quotePrefix="1" applyFont="1" applyFill="1" applyAlignment="1" applyProtection="1">
      <alignment horizontal="right" vertical="top" wrapText="1"/>
    </xf>
    <xf numFmtId="0" fontId="91" fillId="0" borderId="0" xfId="0" applyFont="1" applyFill="1" applyAlignment="1" applyProtection="1">
      <alignment horizontal="left" vertical="center"/>
    </xf>
    <xf numFmtId="0" fontId="4" fillId="5" borderId="28" xfId="0" applyFont="1" applyFill="1" applyBorder="1" applyAlignment="1" applyProtection="1">
      <alignment horizontal="left" vertical="center"/>
    </xf>
    <xf numFmtId="0" fontId="4" fillId="5" borderId="57" xfId="0" applyFont="1" applyFill="1" applyBorder="1" applyAlignment="1" applyProtection="1">
      <alignment horizontal="left" vertical="center"/>
    </xf>
    <xf numFmtId="0" fontId="4" fillId="5" borderId="29" xfId="0" applyFont="1" applyFill="1" applyBorder="1" applyAlignment="1" applyProtection="1">
      <alignment horizontal="left" vertical="center"/>
    </xf>
    <xf numFmtId="0" fontId="4" fillId="0" borderId="7" xfId="0" applyFont="1" applyBorder="1" applyAlignment="1" applyProtection="1">
      <alignment horizontal="left" vertical="top" wrapText="1"/>
    </xf>
    <xf numFmtId="0" fontId="4" fillId="0" borderId="0" xfId="0" applyFont="1" applyBorder="1" applyAlignment="1" applyProtection="1">
      <alignment horizontal="left" vertical="top" wrapText="1"/>
    </xf>
    <xf numFmtId="0" fontId="42" fillId="5" borderId="124" xfId="0" applyFont="1" applyFill="1" applyBorder="1" applyAlignment="1" applyProtection="1">
      <alignment horizontal="left" vertical="top" wrapText="1"/>
    </xf>
    <xf numFmtId="0" fontId="42" fillId="5" borderId="125" xfId="0" applyFont="1" applyFill="1" applyBorder="1" applyAlignment="1" applyProtection="1">
      <alignment horizontal="left" vertical="top" wrapText="1"/>
    </xf>
    <xf numFmtId="0" fontId="42" fillId="5" borderId="126" xfId="0" applyFont="1" applyFill="1" applyBorder="1" applyAlignment="1" applyProtection="1">
      <alignment horizontal="left" vertical="top" wrapText="1"/>
    </xf>
    <xf numFmtId="3" fontId="4" fillId="5" borderId="27" xfId="0" applyNumberFormat="1" applyFont="1" applyFill="1" applyBorder="1" applyAlignment="1" applyProtection="1">
      <alignment horizontal="center" vertical="center" wrapText="1"/>
    </xf>
    <xf numFmtId="3" fontId="4" fillId="5" borderId="92" xfId="0" applyNumberFormat="1" applyFont="1" applyFill="1" applyBorder="1" applyAlignment="1" applyProtection="1">
      <alignment horizontal="center" vertical="center" wrapText="1"/>
    </xf>
    <xf numFmtId="0" fontId="4" fillId="0" borderId="13" xfId="0" applyFont="1" applyBorder="1" applyAlignment="1" applyProtection="1">
      <alignment horizontal="center" vertical="center"/>
    </xf>
    <xf numFmtId="0" fontId="4" fillId="0" borderId="0" xfId="0" applyFont="1" applyAlignment="1" applyProtection="1">
      <alignment horizontal="left" vertical="center" wrapText="1"/>
    </xf>
    <xf numFmtId="0" fontId="49" fillId="0" borderId="90" xfId="0" applyFont="1" applyBorder="1" applyAlignment="1" applyProtection="1">
      <alignment horizontal="center" wrapText="1"/>
    </xf>
    <xf numFmtId="0" fontId="49" fillId="0" borderId="123" xfId="0" applyFont="1" applyBorder="1" applyAlignment="1" applyProtection="1">
      <alignment horizontal="center" wrapText="1"/>
    </xf>
    <xf numFmtId="0" fontId="49" fillId="0" borderId="119" xfId="0" applyFont="1" applyBorder="1" applyAlignment="1" applyProtection="1">
      <alignment horizontal="center" wrapText="1"/>
    </xf>
    <xf numFmtId="0" fontId="174" fillId="0" borderId="0" xfId="0" applyFont="1" applyBorder="1" applyAlignment="1" applyProtection="1">
      <alignment horizontal="center" vertical="center" wrapText="1"/>
    </xf>
    <xf numFmtId="0" fontId="18" fillId="0" borderId="0" xfId="0" applyFont="1" applyFill="1" applyAlignment="1" applyProtection="1">
      <alignment horizontal="center"/>
    </xf>
    <xf numFmtId="0" fontId="98" fillId="20" borderId="0" xfId="0" applyFont="1" applyFill="1" applyBorder="1" applyAlignment="1" applyProtection="1">
      <alignment horizontal="left" vertical="center" wrapText="1"/>
    </xf>
    <xf numFmtId="0" fontId="93" fillId="0" borderId="0" xfId="0" applyFont="1" applyFill="1" applyBorder="1" applyAlignment="1" applyProtection="1">
      <alignment horizontal="center" wrapText="1"/>
    </xf>
    <xf numFmtId="0" fontId="130" fillId="0" borderId="0" xfId="0" applyFont="1" applyFill="1" applyBorder="1" applyAlignment="1" applyProtection="1">
      <alignment horizontal="center" vertical="center"/>
    </xf>
    <xf numFmtId="0" fontId="4" fillId="0" borderId="13" xfId="0" applyFont="1" applyFill="1" applyBorder="1" applyAlignment="1" applyProtection="1">
      <alignment horizontal="center" vertical="center" wrapText="1"/>
    </xf>
    <xf numFmtId="0" fontId="42" fillId="10" borderId="133" xfId="0" applyFont="1" applyFill="1" applyBorder="1" applyAlignment="1" applyProtection="1">
      <alignment horizontal="left" vertical="center" wrapText="1"/>
    </xf>
    <xf numFmtId="0" fontId="42" fillId="10" borderId="134" xfId="0" applyFont="1" applyFill="1" applyBorder="1" applyAlignment="1" applyProtection="1">
      <alignment horizontal="left" vertical="center" wrapText="1"/>
    </xf>
    <xf numFmtId="0" fontId="42" fillId="10" borderId="135" xfId="0" applyFont="1" applyFill="1" applyBorder="1" applyAlignment="1" applyProtection="1">
      <alignment horizontal="left" vertical="center" wrapText="1"/>
    </xf>
    <xf numFmtId="0" fontId="113" fillId="20" borderId="0" xfId="0" applyFont="1" applyFill="1" applyBorder="1" applyAlignment="1" applyProtection="1">
      <alignment horizontal="center" vertical="center"/>
    </xf>
    <xf numFmtId="0" fontId="113" fillId="20" borderId="41" xfId="0" applyFont="1" applyFill="1" applyBorder="1" applyAlignment="1" applyProtection="1">
      <alignment horizontal="center" vertical="center"/>
    </xf>
    <xf numFmtId="0" fontId="42" fillId="10" borderId="33" xfId="0" applyFont="1" applyFill="1" applyBorder="1" applyAlignment="1" applyProtection="1">
      <alignment horizontal="left" vertical="center" wrapText="1"/>
    </xf>
    <xf numFmtId="0" fontId="42" fillId="10" borderId="58" xfId="0" applyFont="1" applyFill="1" applyBorder="1" applyAlignment="1" applyProtection="1">
      <alignment horizontal="left" vertical="center" wrapText="1"/>
    </xf>
    <xf numFmtId="0" fontId="42" fillId="10" borderId="34" xfId="0" applyFont="1" applyFill="1" applyBorder="1" applyAlignment="1" applyProtection="1">
      <alignment horizontal="left" vertical="center" wrapText="1"/>
    </xf>
    <xf numFmtId="0" fontId="42" fillId="10" borderId="33" xfId="0" applyFont="1" applyFill="1" applyBorder="1" applyAlignment="1" applyProtection="1">
      <alignment horizontal="left" vertical="top" wrapText="1"/>
    </xf>
    <xf numFmtId="0" fontId="42" fillId="10" borderId="58" xfId="0" applyFont="1" applyFill="1" applyBorder="1" applyAlignment="1" applyProtection="1">
      <alignment horizontal="left" vertical="top" wrapText="1"/>
    </xf>
    <xf numFmtId="0" fontId="42" fillId="10" borderId="34" xfId="0" applyFont="1" applyFill="1" applyBorder="1" applyAlignment="1" applyProtection="1">
      <alignment horizontal="left" vertical="top" wrapText="1"/>
    </xf>
    <xf numFmtId="0" fontId="42" fillId="10" borderId="30" xfId="0" applyFont="1" applyFill="1" applyBorder="1" applyAlignment="1" applyProtection="1">
      <alignment horizontal="left" vertical="top" wrapText="1"/>
    </xf>
    <xf numFmtId="0" fontId="42" fillId="10" borderId="21" xfId="0" applyFont="1" applyFill="1" applyBorder="1" applyAlignment="1" applyProtection="1">
      <alignment horizontal="left" vertical="top" wrapText="1"/>
    </xf>
    <xf numFmtId="0" fontId="42" fillId="10" borderId="31" xfId="0" applyFont="1" applyFill="1" applyBorder="1" applyAlignment="1" applyProtection="1">
      <alignment horizontal="left" vertical="top" wrapText="1"/>
    </xf>
    <xf numFmtId="0" fontId="14" fillId="0" borderId="77" xfId="0" applyFont="1" applyFill="1" applyBorder="1" applyAlignment="1" applyProtection="1">
      <alignment horizontal="center" vertical="center" wrapText="1"/>
    </xf>
    <xf numFmtId="0" fontId="14" fillId="0" borderId="21" xfId="0" applyFont="1" applyFill="1" applyBorder="1" applyAlignment="1" applyProtection="1">
      <alignment horizontal="center" vertical="center" wrapText="1"/>
    </xf>
    <xf numFmtId="0" fontId="14" fillId="0" borderId="74" xfId="0" applyFont="1" applyFill="1" applyBorder="1" applyAlignment="1" applyProtection="1">
      <alignment horizontal="center" vertical="center" wrapText="1"/>
    </xf>
    <xf numFmtId="0" fontId="42" fillId="0" borderId="0" xfId="0" applyFont="1" applyFill="1" applyAlignment="1" applyProtection="1">
      <alignment horizontal="center" wrapText="1"/>
    </xf>
    <xf numFmtId="0" fontId="4" fillId="5" borderId="78" xfId="0" applyFont="1" applyFill="1" applyBorder="1" applyAlignment="1" applyProtection="1">
      <alignment horizontal="left" vertical="center" wrapText="1"/>
    </xf>
    <xf numFmtId="0" fontId="4" fillId="5" borderId="82" xfId="0" applyFont="1" applyFill="1" applyBorder="1" applyAlignment="1" applyProtection="1">
      <alignment horizontal="left" vertical="center" wrapText="1"/>
    </xf>
    <xf numFmtId="0" fontId="4" fillId="5" borderId="79" xfId="0" applyFont="1" applyFill="1" applyBorder="1" applyAlignment="1" applyProtection="1">
      <alignment horizontal="left" vertical="center" wrapText="1"/>
    </xf>
    <xf numFmtId="0" fontId="42" fillId="10" borderId="78" xfId="0" applyNumberFormat="1" applyFont="1" applyFill="1" applyBorder="1" applyAlignment="1" applyProtection="1">
      <alignment horizontal="left" vertical="center" wrapText="1"/>
    </xf>
    <xf numFmtId="0" fontId="42" fillId="10" borderId="82" xfId="0" applyNumberFormat="1" applyFont="1" applyFill="1" applyBorder="1" applyAlignment="1" applyProtection="1">
      <alignment horizontal="left" vertical="center" wrapText="1"/>
    </xf>
    <xf numFmtId="0" fontId="42" fillId="10" borderId="79" xfId="0" applyNumberFormat="1" applyFont="1" applyFill="1" applyBorder="1" applyAlignment="1" applyProtection="1">
      <alignment horizontal="left" vertical="center" wrapText="1"/>
    </xf>
    <xf numFmtId="0" fontId="42" fillId="10" borderId="30" xfId="0" applyNumberFormat="1" applyFont="1" applyFill="1" applyBorder="1" applyAlignment="1" applyProtection="1">
      <alignment horizontal="left" vertical="center" wrapText="1"/>
    </xf>
    <xf numFmtId="0" fontId="42" fillId="10" borderId="21" xfId="0" applyNumberFormat="1" applyFont="1" applyFill="1" applyBorder="1" applyAlignment="1" applyProtection="1">
      <alignment horizontal="left" vertical="center" wrapText="1"/>
    </xf>
    <xf numFmtId="0" fontId="42" fillId="10" borderId="31" xfId="0" applyNumberFormat="1" applyFont="1" applyFill="1" applyBorder="1" applyAlignment="1" applyProtection="1">
      <alignment horizontal="left" vertical="center" wrapText="1"/>
    </xf>
    <xf numFmtId="3" fontId="13" fillId="0" borderId="16" xfId="0" applyNumberFormat="1" applyFont="1" applyBorder="1" applyAlignment="1" applyProtection="1">
      <alignment horizontal="center" vertical="center" wrapText="1"/>
    </xf>
    <xf numFmtId="0" fontId="14" fillId="0" borderId="0" xfId="0" applyFont="1" applyBorder="1" applyAlignment="1" applyProtection="1">
      <alignment horizontal="center" wrapText="1"/>
    </xf>
    <xf numFmtId="3" fontId="13" fillId="0" borderId="18" xfId="0" applyNumberFormat="1" applyFont="1" applyBorder="1" applyAlignment="1" applyProtection="1">
      <alignment horizontal="center" vertical="center" wrapText="1"/>
    </xf>
    <xf numFmtId="0" fontId="4" fillId="5" borderId="124" xfId="0" applyFont="1" applyFill="1" applyBorder="1" applyAlignment="1" applyProtection="1">
      <alignment horizontal="left" vertical="top" wrapText="1"/>
    </xf>
    <xf numFmtId="0" fontId="4" fillId="5" borderId="125" xfId="0" applyFont="1" applyFill="1" applyBorder="1" applyAlignment="1" applyProtection="1">
      <alignment horizontal="left" vertical="top" wrapText="1"/>
    </xf>
    <xf numFmtId="0" fontId="4" fillId="5" borderId="126" xfId="0" applyFont="1" applyFill="1" applyBorder="1" applyAlignment="1" applyProtection="1">
      <alignment horizontal="left" vertical="top" wrapText="1"/>
    </xf>
    <xf numFmtId="0" fontId="4" fillId="0" borderId="0" xfId="0" applyFont="1" applyBorder="1" applyAlignment="1" applyProtection="1">
      <alignment horizontal="center" vertical="top" wrapText="1"/>
    </xf>
    <xf numFmtId="0" fontId="14" fillId="0" borderId="13" xfId="0" applyFont="1" applyBorder="1" applyAlignment="1" applyProtection="1">
      <alignment horizontal="center" wrapText="1"/>
    </xf>
    <xf numFmtId="0" fontId="69" fillId="20" borderId="7" xfId="0" applyFont="1" applyFill="1" applyBorder="1" applyAlignment="1" applyProtection="1">
      <alignment horizontal="center" vertical="center" wrapText="1"/>
    </xf>
    <xf numFmtId="0" fontId="69" fillId="20" borderId="0" xfId="0" applyFont="1" applyFill="1" applyAlignment="1" applyProtection="1">
      <alignment horizontal="center" vertical="center" wrapText="1"/>
    </xf>
    <xf numFmtId="0" fontId="13" fillId="0" borderId="0" xfId="0" applyFont="1" applyFill="1" applyBorder="1" applyAlignment="1" applyProtection="1">
      <alignment horizontal="left" vertical="center" wrapText="1"/>
    </xf>
    <xf numFmtId="0" fontId="49" fillId="0" borderId="93" xfId="0" applyFont="1" applyBorder="1" applyAlignment="1" applyProtection="1">
      <alignment horizontal="center" vertical="top"/>
    </xf>
    <xf numFmtId="0" fontId="49" fillId="0" borderId="76" xfId="0" applyFont="1" applyBorder="1" applyAlignment="1" applyProtection="1">
      <alignment horizontal="center" vertical="top"/>
    </xf>
    <xf numFmtId="0" fontId="14" fillId="0" borderId="85" xfId="0" applyFont="1" applyFill="1" applyBorder="1" applyAlignment="1" applyProtection="1">
      <alignment horizontal="center" vertical="center" wrapText="1"/>
    </xf>
    <xf numFmtId="0" fontId="14" fillId="0" borderId="0" xfId="0" applyFont="1" applyFill="1" applyAlignment="1" applyProtection="1">
      <alignment horizontal="center" vertical="center" wrapText="1"/>
    </xf>
    <xf numFmtId="0" fontId="14" fillId="0" borderId="13" xfId="0" applyFont="1" applyFill="1" applyBorder="1" applyAlignment="1" applyProtection="1">
      <alignment horizontal="center" vertical="center" wrapText="1"/>
    </xf>
    <xf numFmtId="0" fontId="4" fillId="0" borderId="133" xfId="0" applyFont="1" applyFill="1" applyBorder="1" applyAlignment="1" applyProtection="1">
      <alignment horizontal="left" vertical="center"/>
    </xf>
    <xf numFmtId="0" fontId="4" fillId="0" borderId="134" xfId="0" applyFont="1" applyFill="1" applyBorder="1" applyAlignment="1" applyProtection="1">
      <alignment horizontal="left" vertical="center"/>
    </xf>
    <xf numFmtId="0" fontId="4" fillId="0" borderId="135" xfId="0" applyFont="1" applyFill="1" applyBorder="1" applyAlignment="1" applyProtection="1">
      <alignment horizontal="left" vertical="center"/>
    </xf>
    <xf numFmtId="0" fontId="42" fillId="10" borderId="28" xfId="0" applyNumberFormat="1" applyFont="1" applyFill="1" applyBorder="1" applyAlignment="1" applyProtection="1">
      <alignment horizontal="left" vertical="center" wrapText="1"/>
    </xf>
    <xf numFmtId="0" fontId="42" fillId="10" borderId="57" xfId="0" applyNumberFormat="1" applyFont="1" applyFill="1" applyBorder="1" applyAlignment="1" applyProtection="1">
      <alignment horizontal="left" vertical="center" wrapText="1"/>
    </xf>
    <xf numFmtId="0" fontId="42" fillId="10" borderId="29" xfId="0" applyNumberFormat="1" applyFont="1" applyFill="1" applyBorder="1" applyAlignment="1" applyProtection="1">
      <alignment horizontal="left" vertical="center" wrapText="1"/>
    </xf>
    <xf numFmtId="0" fontId="10" fillId="0" borderId="0" xfId="0" applyFont="1" applyBorder="1" applyAlignment="1" applyProtection="1">
      <alignment horizontal="center" wrapText="1"/>
    </xf>
    <xf numFmtId="0" fontId="4" fillId="0" borderId="0" xfId="0" applyFont="1" applyBorder="1" applyAlignment="1" applyProtection="1">
      <alignment horizontal="left" vertical="center" wrapText="1"/>
    </xf>
    <xf numFmtId="0" fontId="45" fillId="5" borderId="48" xfId="0" applyNumberFormat="1" applyFont="1" applyFill="1" applyBorder="1" applyAlignment="1" applyProtection="1">
      <alignment horizontal="center" vertical="center"/>
    </xf>
    <xf numFmtId="0" fontId="45" fillId="5" borderId="49" xfId="0" applyNumberFormat="1" applyFont="1" applyFill="1" applyBorder="1" applyAlignment="1" applyProtection="1">
      <alignment horizontal="center" vertical="center"/>
    </xf>
    <xf numFmtId="0" fontId="42" fillId="10" borderId="133" xfId="0" applyFont="1" applyFill="1" applyBorder="1" applyAlignment="1" applyProtection="1">
      <alignment horizontal="left" vertical="top" wrapText="1"/>
    </xf>
    <xf numFmtId="0" fontId="42" fillId="10" borderId="134" xfId="0" applyFont="1" applyFill="1" applyBorder="1" applyAlignment="1" applyProtection="1">
      <alignment horizontal="left" vertical="top" wrapText="1"/>
    </xf>
    <xf numFmtId="0" fontId="42" fillId="10" borderId="135" xfId="0" applyFont="1" applyFill="1" applyBorder="1" applyAlignment="1" applyProtection="1">
      <alignment horizontal="left" vertical="top" wrapText="1"/>
    </xf>
    <xf numFmtId="0" fontId="4" fillId="10" borderId="17" xfId="0" applyFont="1" applyFill="1" applyBorder="1" applyAlignment="1" applyProtection="1">
      <alignment horizontal="center" vertical="top"/>
    </xf>
    <xf numFmtId="0" fontId="4" fillId="10" borderId="18" xfId="0" applyFont="1" applyFill="1" applyBorder="1" applyAlignment="1" applyProtection="1">
      <alignment horizontal="center" vertical="top"/>
    </xf>
    <xf numFmtId="0" fontId="42" fillId="10" borderId="86" xfId="0" applyFont="1" applyFill="1" applyBorder="1" applyAlignment="1" applyProtection="1">
      <alignment horizontal="left" vertical="top" wrapText="1"/>
    </xf>
    <xf numFmtId="0" fontId="42" fillId="10" borderId="12" xfId="0" applyFont="1" applyFill="1" applyBorder="1" applyAlignment="1" applyProtection="1">
      <alignment horizontal="left" vertical="top" wrapText="1"/>
    </xf>
    <xf numFmtId="0" fontId="42" fillId="0" borderId="0" xfId="0" applyFont="1" applyFill="1" applyAlignment="1" applyProtection="1">
      <alignment horizontal="left" vertical="top" wrapText="1"/>
    </xf>
    <xf numFmtId="4" fontId="4" fillId="10" borderId="17" xfId="0" applyNumberFormat="1" applyFont="1" applyFill="1" applyBorder="1" applyAlignment="1" applyProtection="1">
      <alignment horizontal="center" vertical="top"/>
    </xf>
    <xf numFmtId="3" fontId="3" fillId="10" borderId="30" xfId="0" applyNumberFormat="1" applyFont="1" applyFill="1" applyBorder="1" applyAlignment="1" applyProtection="1">
      <alignment horizontal="center" vertical="center"/>
    </xf>
    <xf numFmtId="3" fontId="3" fillId="10" borderId="31" xfId="0" applyNumberFormat="1" applyFont="1" applyFill="1" applyBorder="1" applyAlignment="1" applyProtection="1">
      <alignment horizontal="center" vertical="center"/>
    </xf>
    <xf numFmtId="0" fontId="111" fillId="0" borderId="0" xfId="0" applyFont="1" applyFill="1" applyBorder="1" applyAlignment="1" applyProtection="1">
      <alignment horizontal="left" wrapText="1"/>
    </xf>
    <xf numFmtId="0" fontId="4" fillId="0" borderId="0" xfId="0" applyFont="1" applyFill="1" applyAlignment="1" applyProtection="1">
      <alignment horizontal="center" vertical="center"/>
    </xf>
    <xf numFmtId="0" fontId="4" fillId="0" borderId="8" xfId="0" applyFont="1" applyFill="1" applyBorder="1" applyAlignment="1" applyProtection="1">
      <alignment horizontal="center" vertical="center"/>
    </xf>
    <xf numFmtId="0" fontId="191" fillId="0" borderId="80" xfId="0" applyFont="1" applyFill="1" applyBorder="1" applyAlignment="1" applyProtection="1">
      <alignment horizontal="center" vertical="center" wrapText="1"/>
    </xf>
    <xf numFmtId="0" fontId="191" fillId="0" borderId="85" xfId="0" applyFont="1" applyFill="1" applyBorder="1" applyAlignment="1" applyProtection="1">
      <alignment horizontal="center" vertical="center" wrapText="1"/>
    </xf>
    <xf numFmtId="0" fontId="191" fillId="0" borderId="81" xfId="0" applyFont="1" applyFill="1" applyBorder="1" applyAlignment="1" applyProtection="1">
      <alignment horizontal="center" vertical="center" wrapText="1"/>
    </xf>
    <xf numFmtId="0" fontId="191" fillId="0" borderId="7" xfId="0" applyFont="1" applyFill="1" applyBorder="1" applyAlignment="1" applyProtection="1">
      <alignment horizontal="center" vertical="center" wrapText="1"/>
    </xf>
    <xf numFmtId="0" fontId="191" fillId="0" borderId="0" xfId="0" applyFont="1" applyFill="1" applyBorder="1" applyAlignment="1" applyProtection="1">
      <alignment horizontal="center" vertical="center" wrapText="1"/>
    </xf>
    <xf numFmtId="0" fontId="191" fillId="0" borderId="8" xfId="0" applyFont="1" applyFill="1" applyBorder="1" applyAlignment="1" applyProtection="1">
      <alignment horizontal="center" vertical="center" wrapText="1"/>
    </xf>
    <xf numFmtId="0" fontId="191" fillId="0" borderId="9" xfId="0" applyFont="1" applyFill="1" applyBorder="1" applyAlignment="1" applyProtection="1">
      <alignment horizontal="center" vertical="center" wrapText="1"/>
    </xf>
    <xf numFmtId="0" fontId="191" fillId="0" borderId="13" xfId="0" applyFont="1" applyFill="1" applyBorder="1" applyAlignment="1" applyProtection="1">
      <alignment horizontal="center" vertical="center" wrapText="1"/>
    </xf>
    <xf numFmtId="0" fontId="191" fillId="0" borderId="14" xfId="0" applyFont="1" applyFill="1" applyBorder="1" applyAlignment="1" applyProtection="1">
      <alignment horizontal="center" vertical="center" wrapText="1"/>
    </xf>
    <xf numFmtId="0" fontId="42" fillId="10" borderId="109" xfId="0" applyFont="1" applyFill="1" applyBorder="1" applyAlignment="1" applyProtection="1">
      <alignment horizontal="left" vertical="top" wrapText="1"/>
    </xf>
    <xf numFmtId="0" fontId="42" fillId="10" borderId="108" xfId="0" applyFont="1" applyFill="1" applyBorder="1" applyAlignment="1" applyProtection="1">
      <alignment horizontal="left" vertical="top" wrapText="1"/>
    </xf>
    <xf numFmtId="0" fontId="42" fillId="10" borderId="99" xfId="0" applyFont="1" applyFill="1" applyBorder="1" applyAlignment="1" applyProtection="1">
      <alignment horizontal="left" vertical="top" wrapText="1"/>
    </xf>
    <xf numFmtId="0" fontId="42" fillId="10" borderId="91" xfId="0" applyFont="1" applyFill="1" applyBorder="1" applyAlignment="1" applyProtection="1">
      <alignment horizontal="left" vertical="top" wrapText="1"/>
    </xf>
    <xf numFmtId="0" fontId="42" fillId="10" borderId="28" xfId="0" applyFont="1" applyFill="1" applyBorder="1" applyAlignment="1" applyProtection="1">
      <alignment horizontal="left" vertical="top" wrapText="1"/>
    </xf>
    <xf numFmtId="0" fontId="42" fillId="10" borderId="57" xfId="0" applyFont="1" applyFill="1" applyBorder="1" applyAlignment="1" applyProtection="1">
      <alignment horizontal="left" vertical="top" wrapText="1"/>
    </xf>
    <xf numFmtId="0" fontId="42" fillId="10" borderId="29" xfId="0" applyFont="1" applyFill="1" applyBorder="1" applyAlignment="1" applyProtection="1">
      <alignment horizontal="left" vertical="top" wrapText="1"/>
    </xf>
    <xf numFmtId="0" fontId="42" fillId="10" borderId="27" xfId="0" applyFont="1" applyFill="1" applyBorder="1" applyAlignment="1" applyProtection="1">
      <alignment horizontal="left" vertical="top" wrapText="1"/>
    </xf>
    <xf numFmtId="0" fontId="42" fillId="10" borderId="20" xfId="0" applyFont="1" applyFill="1" applyBorder="1" applyAlignment="1" applyProtection="1">
      <alignment horizontal="left" vertical="top" wrapText="1"/>
    </xf>
    <xf numFmtId="0" fontId="42" fillId="10" borderId="92" xfId="0" applyFont="1" applyFill="1" applyBorder="1" applyAlignment="1" applyProtection="1">
      <alignment horizontal="left" vertical="top" wrapText="1"/>
    </xf>
    <xf numFmtId="0" fontId="4" fillId="0" borderId="85" xfId="0" applyFont="1" applyFill="1" applyBorder="1" applyAlignment="1" applyProtection="1">
      <alignment horizontal="center"/>
    </xf>
    <xf numFmtId="0" fontId="13" fillId="0" borderId="0" xfId="0" quotePrefix="1" applyFont="1" applyFill="1" applyAlignment="1" applyProtection="1">
      <alignment horizontal="left" vertical="top" wrapText="1"/>
    </xf>
    <xf numFmtId="0" fontId="4" fillId="10" borderId="78" xfId="0" applyFont="1" applyFill="1" applyBorder="1" applyAlignment="1" applyProtection="1">
      <alignment horizontal="left" vertical="center"/>
    </xf>
    <xf numFmtId="0" fontId="4" fillId="10" borderId="82" xfId="0" applyFont="1" applyFill="1" applyBorder="1" applyAlignment="1" applyProtection="1">
      <alignment horizontal="left" vertical="center"/>
    </xf>
    <xf numFmtId="0" fontId="4" fillId="10" borderId="79" xfId="0" applyFont="1" applyFill="1" applyBorder="1" applyAlignment="1" applyProtection="1">
      <alignment horizontal="left" vertical="center"/>
    </xf>
    <xf numFmtId="0" fontId="13" fillId="0" borderId="0" xfId="0" applyFont="1" applyAlignment="1" applyProtection="1">
      <alignment horizontal="left" vertical="top" wrapText="1"/>
    </xf>
    <xf numFmtId="0" fontId="16" fillId="0" borderId="0" xfId="0" applyFont="1" applyFill="1" applyBorder="1" applyAlignment="1" applyProtection="1">
      <alignment horizontal="left" vertical="center" wrapText="1"/>
    </xf>
    <xf numFmtId="3" fontId="149" fillId="0" borderId="96" xfId="0" applyNumberFormat="1" applyFont="1" applyFill="1" applyBorder="1" applyAlignment="1" applyProtection="1">
      <alignment horizontal="center" vertical="center"/>
    </xf>
    <xf numFmtId="3" fontId="149" fillId="0" borderId="75" xfId="0" applyNumberFormat="1" applyFont="1" applyFill="1" applyBorder="1" applyAlignment="1" applyProtection="1">
      <alignment horizontal="center" vertical="center"/>
    </xf>
    <xf numFmtId="3" fontId="3" fillId="0" borderId="56" xfId="0" applyNumberFormat="1" applyFont="1" applyFill="1" applyBorder="1" applyAlignment="1" applyProtection="1">
      <alignment horizontal="center" vertical="center"/>
    </xf>
    <xf numFmtId="3" fontId="3" fillId="0" borderId="1" xfId="0" applyNumberFormat="1" applyFont="1" applyFill="1" applyBorder="1" applyAlignment="1" applyProtection="1">
      <alignment horizontal="center" vertical="center"/>
    </xf>
    <xf numFmtId="3" fontId="3" fillId="0" borderId="35" xfId="0" applyNumberFormat="1" applyFont="1" applyFill="1" applyBorder="1" applyAlignment="1" applyProtection="1">
      <alignment horizontal="center" vertical="center"/>
    </xf>
    <xf numFmtId="3" fontId="3" fillId="10" borderId="28" xfId="0" applyNumberFormat="1" applyFont="1" applyFill="1" applyBorder="1" applyAlignment="1" applyProtection="1">
      <alignment horizontal="center" vertical="center"/>
    </xf>
    <xf numFmtId="3" fontId="3" fillId="10" borderId="29" xfId="0" applyNumberFormat="1" applyFont="1" applyFill="1" applyBorder="1" applyAlignment="1" applyProtection="1">
      <alignment horizontal="center" vertical="center"/>
    </xf>
    <xf numFmtId="3" fontId="3" fillId="0" borderId="28" xfId="0" applyNumberFormat="1" applyFont="1" applyFill="1" applyBorder="1" applyAlignment="1" applyProtection="1">
      <alignment horizontal="center" vertical="center"/>
    </xf>
    <xf numFmtId="3" fontId="3" fillId="0" borderId="29" xfId="0" applyNumberFormat="1" applyFont="1" applyFill="1" applyBorder="1" applyAlignment="1" applyProtection="1">
      <alignment horizontal="center" vertical="center"/>
    </xf>
    <xf numFmtId="3" fontId="10" fillId="0" borderId="77" xfId="0" applyNumberFormat="1" applyFont="1" applyFill="1" applyBorder="1" applyAlignment="1" applyProtection="1">
      <alignment horizontal="center" vertical="center"/>
    </xf>
    <xf numFmtId="3" fontId="10" fillId="0" borderId="74" xfId="0" applyNumberFormat="1" applyFont="1" applyFill="1" applyBorder="1" applyAlignment="1" applyProtection="1">
      <alignment horizontal="center" vertical="center"/>
    </xf>
    <xf numFmtId="3" fontId="149" fillId="0" borderId="77" xfId="0" applyNumberFormat="1" applyFont="1" applyFill="1" applyBorder="1" applyAlignment="1" applyProtection="1">
      <alignment horizontal="center" vertical="center"/>
    </xf>
    <xf numFmtId="3" fontId="149" fillId="0" borderId="74" xfId="0" applyNumberFormat="1" applyFont="1" applyFill="1" applyBorder="1" applyAlignment="1" applyProtection="1">
      <alignment horizontal="center" vertical="center"/>
    </xf>
    <xf numFmtId="38" fontId="3" fillId="0" borderId="78" xfId="0" applyNumberFormat="1" applyFont="1" applyFill="1" applyBorder="1" applyAlignment="1" applyProtection="1">
      <alignment horizontal="center" vertical="center"/>
    </xf>
    <xf numFmtId="38" fontId="3" fillId="0" borderId="82" xfId="0" applyNumberFormat="1" applyFont="1" applyFill="1" applyBorder="1" applyAlignment="1" applyProtection="1">
      <alignment horizontal="center" vertical="center"/>
    </xf>
    <xf numFmtId="38" fontId="3" fillId="0" borderId="79" xfId="0" applyNumberFormat="1" applyFont="1" applyFill="1" applyBorder="1" applyAlignment="1" applyProtection="1">
      <alignment horizontal="center" vertical="center"/>
    </xf>
    <xf numFmtId="174" fontId="69" fillId="0" borderId="33" xfId="0" applyNumberFormat="1" applyFont="1" applyFill="1" applyBorder="1" applyAlignment="1" applyProtection="1">
      <alignment horizontal="center" vertical="center"/>
    </xf>
    <xf numFmtId="174" fontId="69" fillId="0" borderId="34" xfId="0" applyNumberFormat="1" applyFont="1" applyFill="1" applyBorder="1" applyAlignment="1" applyProtection="1">
      <alignment horizontal="center" vertical="center"/>
    </xf>
    <xf numFmtId="174" fontId="69" fillId="0" borderId="78" xfId="0" applyNumberFormat="1" applyFont="1" applyFill="1" applyBorder="1" applyAlignment="1" applyProtection="1">
      <alignment horizontal="center" vertical="center"/>
    </xf>
    <xf numFmtId="174" fontId="69" fillId="0" borderId="82" xfId="0" applyNumberFormat="1" applyFont="1" applyFill="1" applyBorder="1" applyAlignment="1" applyProtection="1">
      <alignment horizontal="center" vertical="center"/>
    </xf>
    <xf numFmtId="174" fontId="69" fillId="0" borderId="79" xfId="0" applyNumberFormat="1" applyFont="1" applyFill="1" applyBorder="1" applyAlignment="1" applyProtection="1">
      <alignment horizontal="center" vertical="center"/>
    </xf>
    <xf numFmtId="0" fontId="42" fillId="20" borderId="0" xfId="0" applyFont="1" applyFill="1" applyAlignment="1" applyProtection="1">
      <alignment horizontal="left" vertical="center" wrapText="1"/>
    </xf>
    <xf numFmtId="0" fontId="4" fillId="0" borderId="13" xfId="0" applyFont="1" applyFill="1" applyBorder="1" applyAlignment="1" applyProtection="1">
      <alignment horizontal="left" vertical="center" wrapText="1"/>
    </xf>
    <xf numFmtId="49" fontId="101" fillId="20" borderId="0" xfId="0" applyNumberFormat="1" applyFont="1" applyFill="1" applyAlignment="1" applyProtection="1">
      <alignment horizontal="center" vertical="center"/>
    </xf>
    <xf numFmtId="0" fontId="49" fillId="0" borderId="40" xfId="0" applyFont="1" applyFill="1" applyBorder="1" applyAlignment="1" applyProtection="1">
      <alignment horizontal="left" vertical="top" wrapText="1"/>
    </xf>
    <xf numFmtId="0" fontId="49" fillId="0" borderId="0" xfId="0" applyFont="1" applyFill="1" applyBorder="1" applyAlignment="1" applyProtection="1">
      <alignment horizontal="left" vertical="top" wrapText="1"/>
    </xf>
    <xf numFmtId="0" fontId="49" fillId="0" borderId="8" xfId="0" applyFont="1" applyFill="1" applyBorder="1" applyAlignment="1" applyProtection="1">
      <alignment horizontal="left" vertical="top" wrapText="1"/>
    </xf>
    <xf numFmtId="0" fontId="16" fillId="0" borderId="0" xfId="0" applyFont="1" applyAlignment="1" applyProtection="1">
      <alignment horizontal="center"/>
    </xf>
    <xf numFmtId="0" fontId="161" fillId="0" borderId="0" xfId="0" applyFont="1" applyFill="1" applyBorder="1" applyAlignment="1" applyProtection="1">
      <alignment horizontal="center" vertical="top" wrapText="1"/>
    </xf>
    <xf numFmtId="10" fontId="105" fillId="0" borderId="77" xfId="0" applyNumberFormat="1" applyFont="1" applyFill="1" applyBorder="1" applyAlignment="1" applyProtection="1">
      <alignment horizontal="center" vertical="center"/>
    </xf>
    <xf numFmtId="10" fontId="105" fillId="0" borderId="74" xfId="0" applyNumberFormat="1" applyFont="1" applyFill="1" applyBorder="1" applyAlignment="1" applyProtection="1">
      <alignment horizontal="center" vertical="center"/>
    </xf>
    <xf numFmtId="0" fontId="217" fillId="0" borderId="0" xfId="0" applyFont="1" applyFill="1" applyAlignment="1" applyProtection="1">
      <alignment horizontal="left" vertical="top" wrapText="1"/>
    </xf>
    <xf numFmtId="0" fontId="4" fillId="5" borderId="33" xfId="0" applyFont="1" applyFill="1" applyBorder="1" applyAlignment="1" applyProtection="1">
      <alignment horizontal="left" vertical="center"/>
    </xf>
    <xf numFmtId="0" fontId="4" fillId="5" borderId="58" xfId="0" applyFont="1" applyFill="1" applyBorder="1" applyAlignment="1" applyProtection="1">
      <alignment horizontal="left" vertical="center"/>
    </xf>
    <xf numFmtId="0" fontId="4" fillId="5" borderId="34" xfId="0" applyFont="1" applyFill="1" applyBorder="1" applyAlignment="1" applyProtection="1">
      <alignment horizontal="left" vertical="center"/>
    </xf>
    <xf numFmtId="0" fontId="14" fillId="0" borderId="77" xfId="0" applyFont="1" applyFill="1" applyBorder="1" applyAlignment="1" applyProtection="1">
      <alignment horizontal="center" vertical="top" wrapText="1"/>
    </xf>
    <xf numFmtId="0" fontId="14" fillId="0" borderId="31" xfId="0" applyFont="1" applyFill="1" applyBorder="1" applyAlignment="1" applyProtection="1">
      <alignment horizontal="center" vertical="top" wrapText="1"/>
    </xf>
    <xf numFmtId="0" fontId="42" fillId="0" borderId="93" xfId="0" applyFont="1" applyFill="1" applyBorder="1" applyAlignment="1" applyProtection="1">
      <alignment horizontal="center" vertical="center"/>
    </xf>
    <xf numFmtId="0" fontId="42" fillId="0" borderId="76" xfId="0" applyFont="1" applyFill="1" applyBorder="1" applyAlignment="1" applyProtection="1">
      <alignment horizontal="center" vertical="center"/>
    </xf>
    <xf numFmtId="0" fontId="104" fillId="0" borderId="0" xfId="0" applyFont="1" applyFill="1" applyAlignment="1" applyProtection="1">
      <alignment horizontal="center" vertical="center" wrapText="1"/>
    </xf>
    <xf numFmtId="0" fontId="113" fillId="0" borderId="0" xfId="0" applyFont="1" applyFill="1" applyAlignment="1" applyProtection="1">
      <alignment horizontal="center" vertical="center" wrapText="1"/>
    </xf>
    <xf numFmtId="0" fontId="8" fillId="0" borderId="78" xfId="0" applyFont="1" applyFill="1" applyBorder="1" applyAlignment="1" applyProtection="1">
      <alignment horizontal="center" vertical="center"/>
    </xf>
    <xf numFmtId="0" fontId="8" fillId="0" borderId="79" xfId="0" applyFont="1" applyFill="1" applyBorder="1" applyAlignment="1" applyProtection="1">
      <alignment horizontal="center" vertical="center"/>
    </xf>
    <xf numFmtId="0" fontId="14" fillId="0" borderId="121" xfId="0" applyFont="1" applyFill="1" applyBorder="1" applyAlignment="1" applyProtection="1">
      <alignment horizontal="center" vertical="top" wrapText="1"/>
    </xf>
    <xf numFmtId="0" fontId="14" fillId="0" borderId="81" xfId="0" applyFont="1" applyFill="1" applyBorder="1" applyAlignment="1" applyProtection="1">
      <alignment horizontal="center" vertical="top" wrapText="1"/>
    </xf>
    <xf numFmtId="0" fontId="44" fillId="0" borderId="13" xfId="0" applyFont="1" applyFill="1" applyBorder="1" applyAlignment="1" applyProtection="1">
      <alignment horizontal="center" vertical="center" wrapText="1"/>
    </xf>
    <xf numFmtId="0" fontId="42" fillId="0" borderId="78" xfId="0" applyFont="1" applyFill="1" applyBorder="1" applyAlignment="1" applyProtection="1">
      <alignment horizontal="center" vertical="center"/>
    </xf>
    <xf numFmtId="0" fontId="42" fillId="0" borderId="79" xfId="0" applyFont="1" applyFill="1" applyBorder="1" applyAlignment="1" applyProtection="1">
      <alignment horizontal="center" vertical="center"/>
    </xf>
    <xf numFmtId="0" fontId="14" fillId="0" borderId="0" xfId="0" applyFont="1" applyFill="1" applyBorder="1" applyAlignment="1" applyProtection="1">
      <alignment horizontal="center" vertical="center" wrapText="1"/>
    </xf>
    <xf numFmtId="0" fontId="14" fillId="0" borderId="9" xfId="0" applyFont="1" applyFill="1" applyBorder="1" applyAlignment="1" applyProtection="1">
      <alignment horizontal="center" vertical="center" wrapText="1"/>
    </xf>
    <xf numFmtId="0" fontId="14" fillId="0" borderId="14" xfId="0" applyFont="1" applyFill="1" applyBorder="1" applyAlignment="1" applyProtection="1">
      <alignment horizontal="center" vertical="center" wrapText="1"/>
    </xf>
    <xf numFmtId="0" fontId="14" fillId="0" borderId="0" xfId="0" applyFont="1" applyFill="1" applyBorder="1" applyAlignment="1" applyProtection="1">
      <alignment horizontal="center"/>
    </xf>
    <xf numFmtId="0" fontId="14" fillId="0" borderId="9" xfId="0" applyFont="1" applyFill="1" applyBorder="1" applyAlignment="1" applyProtection="1">
      <alignment horizontal="center"/>
    </xf>
    <xf numFmtId="0" fontId="14" fillId="0" borderId="13" xfId="0" applyFont="1" applyFill="1" applyBorder="1" applyAlignment="1" applyProtection="1">
      <alignment horizontal="center"/>
    </xf>
    <xf numFmtId="0" fontId="14" fillId="0" borderId="14" xfId="0" applyFont="1" applyFill="1" applyBorder="1" applyAlignment="1" applyProtection="1">
      <alignment horizontal="center"/>
    </xf>
    <xf numFmtId="0" fontId="49" fillId="0" borderId="94" xfId="0" applyFont="1" applyFill="1" applyBorder="1" applyAlignment="1" applyProtection="1">
      <alignment horizontal="left" vertical="top" wrapText="1"/>
    </xf>
    <xf numFmtId="0" fontId="49" fillId="0" borderId="13" xfId="0" applyFont="1" applyFill="1" applyBorder="1" applyAlignment="1" applyProtection="1">
      <alignment horizontal="left" vertical="top" wrapText="1"/>
    </xf>
    <xf numFmtId="0" fontId="49" fillId="0" borderId="14" xfId="0" applyFont="1" applyFill="1" applyBorder="1" applyAlignment="1" applyProtection="1">
      <alignment horizontal="left" vertical="top" wrapText="1"/>
    </xf>
    <xf numFmtId="0" fontId="42" fillId="0" borderId="13" xfId="0" applyFont="1" applyFill="1" applyBorder="1" applyAlignment="1" applyProtection="1">
      <alignment horizontal="center"/>
    </xf>
    <xf numFmtId="0" fontId="49" fillId="0" borderId="121" xfId="0" applyFont="1" applyFill="1" applyBorder="1" applyAlignment="1" applyProtection="1">
      <alignment horizontal="left" vertical="top" wrapText="1"/>
    </xf>
    <xf numFmtId="0" fontId="49" fillId="0" borderId="85" xfId="0" applyFont="1" applyFill="1" applyBorder="1" applyAlignment="1" applyProtection="1">
      <alignment horizontal="left" vertical="top" wrapText="1"/>
    </xf>
    <xf numFmtId="0" fontId="4" fillId="0" borderId="8" xfId="0" applyFont="1" applyFill="1" applyBorder="1" applyAlignment="1" applyProtection="1">
      <alignment horizontal="left" vertical="center" wrapText="1"/>
    </xf>
    <xf numFmtId="0" fontId="113" fillId="0" borderId="165" xfId="0" applyFont="1" applyFill="1" applyBorder="1" applyAlignment="1" applyProtection="1">
      <alignment horizontal="center" vertical="top" wrapText="1"/>
    </xf>
    <xf numFmtId="0" fontId="113" fillId="0" borderId="166" xfId="0" applyFont="1" applyFill="1" applyBorder="1" applyAlignment="1" applyProtection="1">
      <alignment horizontal="center" vertical="top" wrapText="1"/>
    </xf>
    <xf numFmtId="0" fontId="113" fillId="0" borderId="167" xfId="0" applyFont="1" applyFill="1" applyBorder="1" applyAlignment="1" applyProtection="1">
      <alignment horizontal="center" vertical="top" wrapText="1"/>
    </xf>
    <xf numFmtId="0" fontId="113" fillId="0" borderId="168" xfId="0" applyFont="1" applyFill="1" applyBorder="1" applyAlignment="1" applyProtection="1">
      <alignment horizontal="center" vertical="top" wrapText="1"/>
    </xf>
    <xf numFmtId="0" fontId="113" fillId="0" borderId="0" xfId="0" applyFont="1" applyFill="1" applyBorder="1" applyAlignment="1" applyProtection="1">
      <alignment horizontal="center" vertical="top" wrapText="1"/>
    </xf>
    <xf numFmtId="0" fontId="113" fillId="0" borderId="169" xfId="0" applyFont="1" applyFill="1" applyBorder="1" applyAlignment="1" applyProtection="1">
      <alignment horizontal="center" vertical="top" wrapText="1"/>
    </xf>
    <xf numFmtId="0" fontId="113" fillId="0" borderId="170" xfId="0" applyFont="1" applyFill="1" applyBorder="1" applyAlignment="1" applyProtection="1">
      <alignment horizontal="center" vertical="top" wrapText="1"/>
    </xf>
    <xf numFmtId="0" fontId="113" fillId="0" borderId="171" xfId="0" applyFont="1" applyFill="1" applyBorder="1" applyAlignment="1" applyProtection="1">
      <alignment horizontal="center" vertical="top" wrapText="1"/>
    </xf>
    <xf numFmtId="0" fontId="113" fillId="0" borderId="172" xfId="0" applyFont="1" applyFill="1" applyBorder="1" applyAlignment="1" applyProtection="1">
      <alignment horizontal="center" vertical="top" wrapText="1"/>
    </xf>
    <xf numFmtId="0" fontId="10" fillId="0" borderId="0" xfId="0" applyFont="1" applyFill="1" applyAlignment="1" applyProtection="1">
      <alignment horizontal="left" vertical="center" wrapText="1"/>
    </xf>
    <xf numFmtId="0" fontId="49" fillId="0" borderId="42" xfId="0" applyFont="1" applyFill="1" applyBorder="1" applyAlignment="1" applyProtection="1">
      <alignment horizontal="left" vertical="top" wrapText="1"/>
    </xf>
    <xf numFmtId="0" fontId="49" fillId="0" borderId="20" xfId="0" applyFont="1" applyFill="1" applyBorder="1" applyAlignment="1" applyProtection="1">
      <alignment horizontal="left" vertical="top" wrapText="1"/>
    </xf>
    <xf numFmtId="0" fontId="49" fillId="0" borderId="92" xfId="0" applyFont="1" applyFill="1" applyBorder="1" applyAlignment="1" applyProtection="1">
      <alignment horizontal="left" vertical="top" wrapText="1"/>
    </xf>
    <xf numFmtId="167" fontId="42" fillId="10" borderId="110" xfId="0" applyNumberFormat="1" applyFont="1" applyFill="1" applyBorder="1" applyAlignment="1" applyProtection="1">
      <alignment horizontal="left" vertical="top" wrapText="1"/>
    </xf>
    <xf numFmtId="167" fontId="42" fillId="10" borderId="98" xfId="0" applyNumberFormat="1" applyFont="1" applyFill="1" applyBorder="1" applyAlignment="1" applyProtection="1">
      <alignment horizontal="left" vertical="top" wrapText="1"/>
    </xf>
    <xf numFmtId="0" fontId="49" fillId="0" borderId="43" xfId="0" applyFont="1" applyFill="1" applyBorder="1" applyAlignment="1" applyProtection="1">
      <alignment horizontal="left" vertical="top" wrapText="1"/>
    </xf>
    <xf numFmtId="0" fontId="49" fillId="0" borderId="19" xfId="0" applyFont="1" applyFill="1" applyBorder="1" applyAlignment="1" applyProtection="1">
      <alignment horizontal="left" vertical="top" wrapText="1"/>
    </xf>
    <xf numFmtId="0" fontId="49" fillId="0" borderId="32" xfId="0" applyFont="1" applyFill="1" applyBorder="1" applyAlignment="1" applyProtection="1">
      <alignment horizontal="left" vertical="top" wrapText="1"/>
    </xf>
    <xf numFmtId="0" fontId="13" fillId="0" borderId="13" xfId="0" applyFont="1" applyFill="1" applyBorder="1" applyAlignment="1" applyProtection="1">
      <alignment horizontal="center" vertical="center"/>
    </xf>
    <xf numFmtId="38" fontId="42" fillId="0" borderId="0" xfId="0" applyNumberFormat="1" applyFont="1" applyFill="1" applyBorder="1" applyAlignment="1" applyProtection="1">
      <alignment horizontal="center" vertical="center"/>
    </xf>
    <xf numFmtId="38" fontId="84" fillId="0" borderId="0" xfId="0" applyNumberFormat="1" applyFont="1" applyFill="1" applyBorder="1" applyAlignment="1" applyProtection="1">
      <alignment horizontal="center" vertical="center"/>
    </xf>
    <xf numFmtId="0" fontId="45" fillId="5" borderId="51" xfId="0" applyNumberFormat="1" applyFont="1" applyFill="1" applyBorder="1" applyAlignment="1" applyProtection="1">
      <alignment horizontal="center" vertical="center"/>
    </xf>
    <xf numFmtId="0" fontId="45" fillId="5" borderId="52" xfId="0" applyNumberFormat="1" applyFont="1" applyFill="1" applyBorder="1" applyAlignment="1" applyProtection="1">
      <alignment horizontal="center" vertical="center"/>
    </xf>
    <xf numFmtId="0" fontId="4" fillId="0" borderId="33" xfId="0" applyFont="1" applyFill="1" applyBorder="1" applyAlignment="1" applyProtection="1">
      <alignment horizontal="left" vertical="center" wrapText="1"/>
    </xf>
    <xf numFmtId="0" fontId="4" fillId="0" borderId="58" xfId="0" applyFont="1" applyFill="1" applyBorder="1" applyAlignment="1" applyProtection="1">
      <alignment horizontal="left" vertical="center" wrapText="1"/>
    </xf>
    <xf numFmtId="0" fontId="4" fillId="0" borderId="34" xfId="0" applyFont="1" applyFill="1" applyBorder="1" applyAlignment="1" applyProtection="1">
      <alignment horizontal="left" vertical="center" wrapText="1"/>
    </xf>
    <xf numFmtId="0" fontId="42" fillId="0" borderId="77" xfId="0" applyFont="1" applyFill="1" applyBorder="1" applyAlignment="1" applyProtection="1">
      <alignment horizontal="left" vertical="center" wrapText="1"/>
    </xf>
    <xf numFmtId="0" fontId="42" fillId="0" borderId="31" xfId="0" applyFont="1" applyFill="1" applyBorder="1" applyAlignment="1" applyProtection="1">
      <alignment horizontal="left" vertical="center" wrapText="1"/>
    </xf>
    <xf numFmtId="0" fontId="4" fillId="0" borderId="7" xfId="0" applyFont="1" applyFill="1" applyBorder="1" applyAlignment="1" applyProtection="1">
      <alignment horizontal="right" vertical="center" wrapText="1"/>
    </xf>
    <xf numFmtId="0" fontId="4" fillId="0" borderId="0" xfId="0" applyFont="1" applyFill="1" applyBorder="1" applyAlignment="1" applyProtection="1">
      <alignment horizontal="right" vertical="center" wrapText="1"/>
    </xf>
    <xf numFmtId="176" fontId="10" fillId="10" borderId="78" xfId="0" applyNumberFormat="1" applyFont="1" applyFill="1" applyBorder="1" applyAlignment="1" applyProtection="1">
      <alignment horizontal="center" vertical="center"/>
    </xf>
    <xf numFmtId="176" fontId="10" fillId="10" borderId="79" xfId="0" applyNumberFormat="1" applyFont="1" applyFill="1" applyBorder="1" applyAlignment="1" applyProtection="1">
      <alignment horizontal="center" vertical="center"/>
    </xf>
    <xf numFmtId="0" fontId="7" fillId="5" borderId="13" xfId="0" applyFont="1" applyFill="1" applyBorder="1" applyAlignment="1" applyProtection="1">
      <alignment horizontal="left" vertical="center"/>
    </xf>
    <xf numFmtId="0" fontId="7" fillId="5" borderId="14" xfId="0" applyFont="1" applyFill="1" applyBorder="1" applyAlignment="1" applyProtection="1">
      <alignment horizontal="left" vertical="center"/>
    </xf>
    <xf numFmtId="0" fontId="76" fillId="0" borderId="0" xfId="0" applyFont="1" applyFill="1" applyAlignment="1" applyProtection="1">
      <alignment horizontal="left" vertical="center" wrapText="1"/>
    </xf>
    <xf numFmtId="0" fontId="187" fillId="20" borderId="0" xfId="0" applyFont="1" applyFill="1" applyAlignment="1" applyProtection="1">
      <alignment horizontal="center" vertical="center" wrapText="1"/>
    </xf>
    <xf numFmtId="4" fontId="4" fillId="10" borderId="18" xfId="0" applyNumberFormat="1" applyFont="1" applyFill="1" applyBorder="1" applyAlignment="1" applyProtection="1">
      <alignment horizontal="center" vertical="top"/>
    </xf>
    <xf numFmtId="0" fontId="4" fillId="10" borderId="16" xfId="0" applyFont="1" applyFill="1" applyBorder="1" applyAlignment="1" applyProtection="1">
      <alignment horizontal="center" vertical="top"/>
    </xf>
    <xf numFmtId="4" fontId="4" fillId="10" borderId="16" xfId="0" applyNumberFormat="1" applyFont="1" applyFill="1" applyBorder="1" applyAlignment="1" applyProtection="1">
      <alignment horizontal="center" vertical="top"/>
    </xf>
    <xf numFmtId="0" fontId="45" fillId="5" borderId="28" xfId="0" applyNumberFormat="1" applyFont="1" applyFill="1" applyBorder="1" applyAlignment="1" applyProtection="1">
      <alignment horizontal="center" vertical="center"/>
    </xf>
    <xf numFmtId="0" fontId="45" fillId="5" borderId="75" xfId="0" applyNumberFormat="1" applyFont="1" applyFill="1" applyBorder="1" applyAlignment="1" applyProtection="1">
      <alignment horizontal="center" vertical="center"/>
    </xf>
    <xf numFmtId="0" fontId="110" fillId="20" borderId="7" xfId="0" applyFont="1" applyFill="1" applyBorder="1" applyAlignment="1" applyProtection="1">
      <alignment horizontal="center" vertical="center" wrapText="1"/>
    </xf>
    <xf numFmtId="0" fontId="110" fillId="20" borderId="0" xfId="0" applyFont="1" applyFill="1" applyBorder="1" applyAlignment="1" applyProtection="1">
      <alignment horizontal="center" vertical="center" wrapText="1"/>
    </xf>
    <xf numFmtId="0" fontId="45" fillId="5" borderId="33" xfId="0" applyNumberFormat="1" applyFont="1" applyFill="1" applyBorder="1" applyAlignment="1" applyProtection="1">
      <alignment horizontal="center" vertical="center"/>
    </xf>
    <xf numFmtId="0" fontId="45" fillId="5" borderId="76" xfId="0" applyNumberFormat="1" applyFont="1" applyFill="1" applyBorder="1" applyAlignment="1" applyProtection="1">
      <alignment horizontal="center" vertical="center"/>
    </xf>
    <xf numFmtId="0" fontId="85" fillId="20" borderId="86" xfId="0" applyFont="1" applyFill="1" applyBorder="1" applyAlignment="1" applyProtection="1">
      <alignment horizontal="left" vertical="center" wrapText="1"/>
    </xf>
    <xf numFmtId="0" fontId="101" fillId="20" borderId="80" xfId="0" applyFont="1" applyFill="1" applyBorder="1" applyAlignment="1" applyProtection="1">
      <alignment horizontal="center" vertical="center" wrapText="1"/>
    </xf>
    <xf numFmtId="0" fontId="101" fillId="20" borderId="85" xfId="0" applyFont="1" applyFill="1" applyBorder="1" applyAlignment="1" applyProtection="1">
      <alignment horizontal="center" vertical="center" wrapText="1"/>
    </xf>
    <xf numFmtId="0" fontId="101" fillId="20" borderId="81" xfId="0" applyFont="1" applyFill="1" applyBorder="1" applyAlignment="1" applyProtection="1">
      <alignment horizontal="center" vertical="center" wrapText="1"/>
    </xf>
    <xf numFmtId="0" fontId="101" fillId="20" borderId="7" xfId="0" applyFont="1" applyFill="1" applyBorder="1" applyAlignment="1" applyProtection="1">
      <alignment horizontal="center" vertical="center" wrapText="1"/>
    </xf>
    <xf numFmtId="0" fontId="101" fillId="20" borderId="0" xfId="0" applyFont="1" applyFill="1" applyBorder="1" applyAlignment="1" applyProtection="1">
      <alignment horizontal="center" vertical="center" wrapText="1"/>
    </xf>
    <xf numFmtId="0" fontId="101" fillId="20" borderId="8" xfId="0" applyFont="1" applyFill="1" applyBorder="1" applyAlignment="1" applyProtection="1">
      <alignment horizontal="center" vertical="center" wrapText="1"/>
    </xf>
    <xf numFmtId="0" fontId="101" fillId="20" borderId="9" xfId="0" applyFont="1" applyFill="1" applyBorder="1" applyAlignment="1" applyProtection="1">
      <alignment horizontal="center" vertical="center" wrapText="1"/>
    </xf>
    <xf numFmtId="0" fontId="101" fillId="20" borderId="13" xfId="0" applyFont="1" applyFill="1" applyBorder="1" applyAlignment="1" applyProtection="1">
      <alignment horizontal="center" vertical="center" wrapText="1"/>
    </xf>
    <xf numFmtId="0" fontId="101" fillId="20" borderId="14" xfId="0" applyFont="1" applyFill="1" applyBorder="1" applyAlignment="1" applyProtection="1">
      <alignment horizontal="center" vertical="center" wrapText="1"/>
    </xf>
    <xf numFmtId="0" fontId="42" fillId="0" borderId="96" xfId="0" applyFont="1" applyFill="1" applyBorder="1" applyAlignment="1" applyProtection="1">
      <alignment horizontal="left" vertical="center" wrapText="1"/>
    </xf>
    <xf numFmtId="0" fontId="42" fillId="0" borderId="29" xfId="0" applyFont="1" applyFill="1" applyBorder="1" applyAlignment="1" applyProtection="1">
      <alignment horizontal="left" vertical="center" wrapText="1"/>
    </xf>
    <xf numFmtId="0" fontId="13" fillId="0" borderId="90" xfId="0" applyFont="1" applyBorder="1" applyAlignment="1" applyProtection="1">
      <alignment horizontal="center" vertical="center" textRotation="90" wrapText="1"/>
    </xf>
    <xf numFmtId="0" fontId="13" fillId="0" borderId="123" xfId="0" applyFont="1" applyBorder="1" applyAlignment="1" applyProtection="1">
      <alignment horizontal="center" vertical="center" textRotation="90" wrapText="1"/>
    </xf>
    <xf numFmtId="0" fontId="13" fillId="0" borderId="91" xfId="0" applyFont="1" applyBorder="1" applyAlignment="1" applyProtection="1">
      <alignment horizontal="center" vertical="center" textRotation="90" wrapText="1"/>
    </xf>
    <xf numFmtId="0" fontId="4" fillId="0" borderId="30" xfId="0" applyFont="1" applyFill="1" applyBorder="1" applyAlignment="1" applyProtection="1">
      <alignment horizontal="left" vertical="center"/>
    </xf>
    <xf numFmtId="0" fontId="4" fillId="0" borderId="21" xfId="0" applyFont="1" applyFill="1" applyBorder="1" applyAlignment="1" applyProtection="1">
      <alignment horizontal="left" vertical="center"/>
    </xf>
    <xf numFmtId="0" fontId="4" fillId="0" borderId="31" xfId="0" applyFont="1" applyFill="1" applyBorder="1" applyAlignment="1" applyProtection="1">
      <alignment horizontal="left" vertical="center"/>
    </xf>
    <xf numFmtId="0" fontId="4" fillId="0" borderId="33" xfId="0" applyFont="1" applyFill="1" applyBorder="1" applyAlignment="1" applyProtection="1">
      <alignment horizontal="left" vertical="center"/>
    </xf>
    <xf numFmtId="0" fontId="4" fillId="0" borderId="58" xfId="0" applyFont="1" applyFill="1" applyBorder="1" applyAlignment="1" applyProtection="1">
      <alignment horizontal="left" vertical="center"/>
    </xf>
    <xf numFmtId="0" fontId="4" fillId="0" borderId="34" xfId="0" applyFont="1" applyFill="1" applyBorder="1" applyAlignment="1" applyProtection="1">
      <alignment horizontal="left" vertical="center"/>
    </xf>
    <xf numFmtId="0" fontId="4" fillId="0" borderId="28" xfId="0" applyFont="1" applyFill="1" applyBorder="1" applyAlignment="1" applyProtection="1">
      <alignment horizontal="left" vertical="center"/>
    </xf>
    <xf numFmtId="0" fontId="4" fillId="0" borderId="57" xfId="0" applyFont="1" applyFill="1" applyBorder="1" applyAlignment="1" applyProtection="1">
      <alignment horizontal="left" vertical="center"/>
    </xf>
    <xf numFmtId="0" fontId="4" fillId="0" borderId="29" xfId="0" applyFont="1" applyFill="1" applyBorder="1" applyAlignment="1" applyProtection="1">
      <alignment horizontal="left" vertical="center"/>
    </xf>
    <xf numFmtId="10" fontId="91" fillId="0" borderId="78" xfId="0" applyNumberFormat="1" applyFont="1" applyBorder="1" applyAlignment="1" applyProtection="1">
      <alignment horizontal="center" vertical="center"/>
    </xf>
    <xf numFmtId="10" fontId="91" fillId="0" borderId="79" xfId="0" applyNumberFormat="1" applyFont="1" applyBorder="1" applyAlignment="1" applyProtection="1">
      <alignment horizontal="center" vertical="center"/>
    </xf>
    <xf numFmtId="0" fontId="14" fillId="0" borderId="13" xfId="0" applyFont="1" applyFill="1" applyBorder="1" applyAlignment="1" applyProtection="1">
      <alignment horizontal="left" wrapText="1"/>
    </xf>
    <xf numFmtId="0" fontId="42" fillId="10" borderId="33" xfId="0" applyNumberFormat="1" applyFont="1" applyFill="1" applyBorder="1" applyAlignment="1" applyProtection="1">
      <alignment horizontal="left" vertical="center" wrapText="1"/>
    </xf>
    <xf numFmtId="0" fontId="42" fillId="10" borderId="58" xfId="0" applyNumberFormat="1" applyFont="1" applyFill="1" applyBorder="1" applyAlignment="1" applyProtection="1">
      <alignment horizontal="left" vertical="center" wrapText="1"/>
    </xf>
    <xf numFmtId="0" fontId="42" fillId="10" borderId="34" xfId="0" applyNumberFormat="1" applyFont="1" applyFill="1" applyBorder="1" applyAlignment="1" applyProtection="1">
      <alignment horizontal="left" vertical="center" wrapText="1"/>
    </xf>
    <xf numFmtId="0" fontId="4" fillId="10" borderId="133" xfId="0" applyFont="1" applyFill="1" applyBorder="1" applyAlignment="1" applyProtection="1">
      <alignment horizontal="left" vertical="center"/>
    </xf>
    <xf numFmtId="0" fontId="4" fillId="10" borderId="134" xfId="0" applyFont="1" applyFill="1" applyBorder="1" applyAlignment="1" applyProtection="1">
      <alignment horizontal="left" vertical="center"/>
    </xf>
    <xf numFmtId="0" fontId="4" fillId="10" borderId="135" xfId="0" applyFont="1" applyFill="1" applyBorder="1" applyAlignment="1" applyProtection="1">
      <alignment horizontal="left" vertical="center"/>
    </xf>
    <xf numFmtId="0" fontId="110" fillId="20" borderId="80" xfId="0" applyFont="1" applyFill="1" applyBorder="1" applyAlignment="1" applyProtection="1">
      <alignment horizontal="center" vertical="center" wrapText="1"/>
    </xf>
    <xf numFmtId="0" fontId="110" fillId="20" borderId="85" xfId="0" applyFont="1" applyFill="1" applyBorder="1" applyAlignment="1" applyProtection="1">
      <alignment horizontal="center" vertical="center" wrapText="1"/>
    </xf>
    <xf numFmtId="0" fontId="110" fillId="20" borderId="81" xfId="0" applyFont="1" applyFill="1" applyBorder="1" applyAlignment="1" applyProtection="1">
      <alignment horizontal="center" vertical="center" wrapText="1"/>
    </xf>
    <xf numFmtId="0" fontId="110" fillId="20" borderId="8" xfId="0" applyFont="1" applyFill="1" applyBorder="1" applyAlignment="1" applyProtection="1">
      <alignment horizontal="center" vertical="center" wrapText="1"/>
    </xf>
    <xf numFmtId="0" fontId="110" fillId="20" borderId="9" xfId="0" applyFont="1" applyFill="1" applyBorder="1" applyAlignment="1" applyProtection="1">
      <alignment horizontal="center" vertical="center" wrapText="1"/>
    </xf>
    <xf numFmtId="0" fontId="110" fillId="20" borderId="13" xfId="0" applyFont="1" applyFill="1" applyBorder="1" applyAlignment="1" applyProtection="1">
      <alignment horizontal="center" vertical="center" wrapText="1"/>
    </xf>
    <xf numFmtId="0" fontId="110" fillId="20" borderId="14" xfId="0" applyFont="1" applyFill="1" applyBorder="1" applyAlignment="1" applyProtection="1">
      <alignment horizontal="center" vertical="center" wrapText="1"/>
    </xf>
    <xf numFmtId="0" fontId="42" fillId="0" borderId="93" xfId="0" applyFont="1" applyFill="1" applyBorder="1" applyAlignment="1" applyProtection="1">
      <alignment horizontal="left" vertical="center" wrapText="1"/>
    </xf>
    <xf numFmtId="0" fontId="42" fillId="0" borderId="34" xfId="0" applyFont="1" applyFill="1" applyBorder="1" applyAlignment="1" applyProtection="1">
      <alignment horizontal="left" vertical="center" wrapText="1"/>
    </xf>
    <xf numFmtId="0" fontId="85" fillId="0" borderId="0" xfId="0" applyFont="1" applyFill="1" applyAlignment="1" applyProtection="1">
      <alignment horizontal="left" vertical="top" wrapText="1"/>
    </xf>
    <xf numFmtId="0" fontId="240" fillId="20" borderId="86" xfId="0" applyFont="1" applyFill="1" applyBorder="1" applyAlignment="1" applyProtection="1">
      <alignment horizontal="left" vertical="center" wrapText="1"/>
    </xf>
    <xf numFmtId="0" fontId="96" fillId="0" borderId="0" xfId="0" applyFont="1" applyFill="1" applyBorder="1" applyAlignment="1" applyProtection="1">
      <alignment horizontal="center"/>
    </xf>
    <xf numFmtId="0" fontId="101" fillId="20" borderId="86" xfId="0" applyFont="1" applyFill="1" applyBorder="1" applyAlignment="1" applyProtection="1">
      <alignment horizontal="left" vertical="center" wrapText="1"/>
    </xf>
    <xf numFmtId="0" fontId="138" fillId="20" borderId="86" xfId="0" applyFont="1" applyFill="1" applyBorder="1" applyAlignment="1" applyProtection="1">
      <alignment horizontal="center" vertical="center" wrapText="1"/>
    </xf>
    <xf numFmtId="0" fontId="4" fillId="10" borderId="33" xfId="0" applyFont="1" applyFill="1" applyBorder="1" applyAlignment="1" applyProtection="1">
      <alignment horizontal="left" vertical="center"/>
    </xf>
    <xf numFmtId="0" fontId="4" fillId="10" borderId="58" xfId="0" applyFont="1" applyFill="1" applyBorder="1" applyAlignment="1" applyProtection="1">
      <alignment horizontal="left" vertical="center"/>
    </xf>
    <xf numFmtId="0" fontId="4" fillId="10" borderId="34" xfId="0" applyFont="1" applyFill="1" applyBorder="1" applyAlignment="1" applyProtection="1">
      <alignment horizontal="left" vertical="center"/>
    </xf>
    <xf numFmtId="174" fontId="76" fillId="0" borderId="33" xfId="0" applyNumberFormat="1" applyFont="1" applyFill="1" applyBorder="1" applyAlignment="1" applyProtection="1">
      <alignment horizontal="center" vertical="center"/>
    </xf>
    <xf numFmtId="174" fontId="76" fillId="0" borderId="34" xfId="0" applyNumberFormat="1" applyFont="1" applyFill="1" applyBorder="1" applyAlignment="1" applyProtection="1">
      <alignment horizontal="center" vertical="center"/>
    </xf>
    <xf numFmtId="3" fontId="4" fillId="0" borderId="78" xfId="0" applyNumberFormat="1" applyFont="1" applyFill="1" applyBorder="1" applyAlignment="1" applyProtection="1">
      <alignment horizontal="center" vertical="center"/>
    </xf>
    <xf numFmtId="3" fontId="4" fillId="0" borderId="79" xfId="0" applyNumberFormat="1" applyFont="1" applyFill="1" applyBorder="1" applyAlignment="1" applyProtection="1">
      <alignment horizontal="center" vertical="center"/>
    </xf>
    <xf numFmtId="0" fontId="98" fillId="0" borderId="0" xfId="0" applyFont="1" applyAlignment="1" applyProtection="1">
      <alignment horizontal="center" vertical="center" wrapText="1"/>
    </xf>
    <xf numFmtId="0" fontId="164" fillId="0" borderId="0" xfId="0" applyFont="1" applyAlignment="1" applyProtection="1">
      <alignment horizontal="center" vertical="center" wrapText="1"/>
    </xf>
    <xf numFmtId="0" fontId="4" fillId="10" borderId="80" xfId="0" applyFont="1" applyFill="1" applyBorder="1" applyAlignment="1" applyProtection="1">
      <alignment horizontal="left" vertical="center"/>
    </xf>
    <xf numFmtId="0" fontId="4" fillId="10" borderId="85" xfId="0" applyFont="1" applyFill="1" applyBorder="1" applyAlignment="1" applyProtection="1">
      <alignment horizontal="left" vertical="center"/>
    </xf>
    <xf numFmtId="0" fontId="4" fillId="10" borderId="81" xfId="0" applyFont="1" applyFill="1" applyBorder="1" applyAlignment="1" applyProtection="1">
      <alignment horizontal="left" vertical="center"/>
    </xf>
    <xf numFmtId="0" fontId="116" fillId="0" borderId="0" xfId="13" applyFont="1" applyAlignment="1" applyProtection="1">
      <alignment horizontal="center"/>
    </xf>
    <xf numFmtId="0" fontId="9" fillId="0" borderId="0" xfId="13" applyFont="1" applyAlignment="1" applyProtection="1">
      <alignment horizontal="justify" vertical="top" wrapText="1"/>
    </xf>
    <xf numFmtId="0" fontId="116" fillId="0" borderId="0" xfId="13" applyFont="1" applyAlignment="1" applyProtection="1">
      <alignment horizontal="justify" vertical="top" wrapText="1"/>
    </xf>
    <xf numFmtId="0" fontId="137" fillId="0" borderId="0" xfId="13" applyFont="1" applyAlignment="1" applyProtection="1">
      <alignment horizontal="justify" vertical="top" wrapText="1"/>
    </xf>
    <xf numFmtId="0" fontId="9" fillId="0" borderId="0" xfId="13" applyFont="1" applyAlignment="1" applyProtection="1">
      <alignment horizontal="justify" vertical="top"/>
    </xf>
    <xf numFmtId="0" fontId="9" fillId="0" borderId="0" xfId="13" applyNumberFormat="1" applyFont="1" applyAlignment="1" applyProtection="1">
      <alignment horizontal="justify" vertical="top" wrapText="1"/>
    </xf>
    <xf numFmtId="0" fontId="5" fillId="0" borderId="0" xfId="13" applyFont="1" applyAlignment="1" applyProtection="1">
      <alignment horizontal="center"/>
    </xf>
    <xf numFmtId="6" fontId="5" fillId="0" borderId="0" xfId="13" applyNumberFormat="1" applyFont="1" applyAlignment="1" applyProtection="1">
      <alignment horizontal="center"/>
    </xf>
    <xf numFmtId="0" fontId="117" fillId="0" borderId="0" xfId="13" applyFont="1" applyAlignment="1" applyProtection="1"/>
    <xf numFmtId="0" fontId="116" fillId="0" borderId="0" xfId="13" applyFont="1" applyAlignment="1" applyProtection="1"/>
    <xf numFmtId="181" fontId="9" fillId="0" borderId="0" xfId="13" applyNumberFormat="1" applyFont="1" applyAlignment="1" applyProtection="1">
      <alignment horizontal="left"/>
    </xf>
    <xf numFmtId="0" fontId="9" fillId="0" borderId="70" xfId="13" applyFont="1" applyBorder="1" applyAlignment="1" applyProtection="1">
      <alignment horizontal="left"/>
    </xf>
    <xf numFmtId="0" fontId="9" fillId="0" borderId="0" xfId="13" applyFont="1" applyBorder="1" applyAlignment="1" applyProtection="1">
      <alignment horizontal="left"/>
    </xf>
    <xf numFmtId="9" fontId="9" fillId="0" borderId="0" xfId="10" applyFont="1" applyAlignment="1" applyProtection="1">
      <alignment horizontal="justify" vertical="top" wrapText="1"/>
    </xf>
    <xf numFmtId="9" fontId="137" fillId="0" borderId="0" xfId="10" applyFont="1" applyAlignment="1" applyProtection="1">
      <alignment horizontal="justify" vertical="top" wrapText="1"/>
    </xf>
    <xf numFmtId="0" fontId="9" fillId="0" borderId="0" xfId="13" applyFont="1" applyFill="1" applyAlignment="1" applyProtection="1">
      <alignment horizontal="justify" vertical="top" wrapText="1"/>
    </xf>
    <xf numFmtId="0" fontId="115" fillId="0" borderId="0" xfId="13" applyFont="1" applyFill="1" applyAlignment="1" applyProtection="1">
      <alignment horizontal="justify" vertical="top" wrapText="1"/>
    </xf>
    <xf numFmtId="0" fontId="9" fillId="7" borderId="0" xfId="13" applyFont="1" applyFill="1" applyAlignment="1" applyProtection="1">
      <alignment horizontal="justify" vertical="top" wrapText="1"/>
    </xf>
    <xf numFmtId="0" fontId="131" fillId="10" borderId="40" xfId="13" applyFont="1" applyFill="1" applyBorder="1" applyAlignment="1" applyProtection="1">
      <alignment horizontal="left" vertical="top" wrapText="1"/>
    </xf>
    <xf numFmtId="0" fontId="131" fillId="10" borderId="0" xfId="13" applyFont="1" applyFill="1" applyBorder="1" applyAlignment="1" applyProtection="1">
      <alignment horizontal="left" vertical="top" wrapText="1"/>
    </xf>
    <xf numFmtId="0" fontId="9" fillId="10" borderId="0" xfId="13" applyFont="1" applyFill="1" applyAlignment="1" applyProtection="1">
      <alignment horizontal="left" vertical="top"/>
    </xf>
    <xf numFmtId="0" fontId="137" fillId="0" borderId="0" xfId="13" applyFont="1" applyAlignment="1" applyProtection="1">
      <alignment horizontal="left"/>
    </xf>
    <xf numFmtId="0" fontId="137" fillId="0" borderId="0" xfId="13" applyFont="1" applyAlignment="1" applyProtection="1"/>
    <xf numFmtId="0" fontId="139" fillId="0" borderId="0" xfId="13" applyFont="1" applyFill="1" applyAlignment="1" applyProtection="1">
      <alignment horizontal="justify" vertical="top" wrapText="1"/>
    </xf>
    <xf numFmtId="0" fontId="131" fillId="10" borderId="0" xfId="13" applyFont="1" applyFill="1" applyAlignment="1" applyProtection="1">
      <alignment horizontal="left" vertical="top" wrapText="1"/>
    </xf>
    <xf numFmtId="0" fontId="137" fillId="0" borderId="0" xfId="13" applyFont="1" applyAlignment="1" applyProtection="1">
      <alignment horizontal="left" vertical="top" wrapText="1"/>
    </xf>
    <xf numFmtId="0" fontId="9" fillId="0" borderId="0" xfId="13" applyFont="1" applyAlignment="1" applyProtection="1">
      <alignment horizontal="left" vertical="top" wrapText="1"/>
    </xf>
    <xf numFmtId="0" fontId="9" fillId="0" borderId="0" xfId="13" applyFont="1" applyAlignment="1" applyProtection="1">
      <alignment vertical="top" wrapText="1"/>
    </xf>
    <xf numFmtId="181" fontId="116" fillId="0" borderId="0" xfId="13" applyNumberFormat="1" applyFont="1" applyFill="1" applyAlignment="1" applyProtection="1">
      <alignment horizontal="left"/>
    </xf>
    <xf numFmtId="0" fontId="116" fillId="0" borderId="0" xfId="13" applyFont="1" applyFill="1" applyAlignment="1" applyProtection="1">
      <alignment horizontal="left"/>
    </xf>
    <xf numFmtId="4" fontId="116" fillId="0" borderId="0" xfId="13" applyNumberFormat="1" applyFont="1" applyFill="1" applyAlignment="1" applyProtection="1">
      <alignment horizontal="left"/>
    </xf>
    <xf numFmtId="0" fontId="116" fillId="0" borderId="0" xfId="13" applyNumberFormat="1" applyFont="1" applyFill="1" applyAlignment="1" applyProtection="1">
      <alignment horizontal="left"/>
    </xf>
    <xf numFmtId="0" fontId="127" fillId="0" borderId="40" xfId="13" applyFont="1" applyBorder="1" applyAlignment="1" applyProtection="1">
      <alignment horizontal="right"/>
    </xf>
    <xf numFmtId="0" fontId="127" fillId="0" borderId="0" xfId="13" applyFont="1" applyAlignment="1" applyProtection="1">
      <alignment horizontal="right"/>
    </xf>
    <xf numFmtId="0" fontId="116" fillId="5" borderId="0" xfId="0" applyFont="1" applyFill="1" applyBorder="1" applyAlignment="1" applyProtection="1">
      <alignment horizontal="left" vertical="center"/>
    </xf>
    <xf numFmtId="165" fontId="25" fillId="0" borderId="78" xfId="13" applyNumberFormat="1" applyFont="1" applyBorder="1" applyAlignment="1" applyProtection="1">
      <alignment horizontal="center" vertical="center"/>
    </xf>
    <xf numFmtId="165" fontId="25" fillId="0" borderId="79" xfId="13" applyNumberFormat="1" applyFont="1" applyBorder="1" applyAlignment="1" applyProtection="1">
      <alignment horizontal="center" vertical="center"/>
    </xf>
    <xf numFmtId="0" fontId="151" fillId="0" borderId="0" xfId="13" applyFont="1" applyAlignment="1">
      <alignment horizontal="center" vertical="center"/>
    </xf>
    <xf numFmtId="0" fontId="260" fillId="0" borderId="0" xfId="13" applyFont="1" applyAlignment="1">
      <alignment horizontal="center" vertical="center"/>
    </xf>
    <xf numFmtId="0" fontId="4" fillId="0" borderId="0" xfId="13" applyFont="1" applyAlignment="1">
      <alignment horizontal="center"/>
    </xf>
    <xf numFmtId="0" fontId="10" fillId="0" borderId="77" xfId="13" applyFont="1" applyBorder="1" applyAlignment="1">
      <alignment horizontal="center" vertical="center" wrapText="1"/>
    </xf>
    <xf numFmtId="0" fontId="10" fillId="0" borderId="74" xfId="13" applyFont="1" applyBorder="1" applyAlignment="1">
      <alignment horizontal="center" vertical="center" wrapText="1"/>
    </xf>
    <xf numFmtId="0" fontId="134" fillId="0" borderId="0" xfId="13" applyFont="1" applyAlignment="1" applyProtection="1">
      <alignment horizontal="center"/>
    </xf>
    <xf numFmtId="0" fontId="5" fillId="0" borderId="77" xfId="13" applyFont="1" applyBorder="1" applyAlignment="1" applyProtection="1">
      <alignment horizontal="center" vertical="center" wrapText="1"/>
    </xf>
    <xf numFmtId="0" fontId="5" fillId="0" borderId="21" xfId="13" applyFont="1" applyBorder="1" applyAlignment="1" applyProtection="1">
      <alignment horizontal="center" vertical="center"/>
    </xf>
    <xf numFmtId="0" fontId="5" fillId="0" borderId="74" xfId="13" applyFont="1" applyBorder="1" applyAlignment="1" applyProtection="1">
      <alignment horizontal="center" vertical="center"/>
    </xf>
    <xf numFmtId="0" fontId="4" fillId="0" borderId="0" xfId="13" applyFont="1" applyAlignment="1" applyProtection="1">
      <alignment horizontal="center" vertical="center" wrapText="1"/>
    </xf>
    <xf numFmtId="0" fontId="4" fillId="0" borderId="20" xfId="13" applyFont="1" applyBorder="1" applyAlignment="1" applyProtection="1">
      <alignment horizontal="center" vertical="center" wrapText="1"/>
    </xf>
    <xf numFmtId="0" fontId="5" fillId="0" borderId="0" xfId="13" applyFont="1" applyAlignment="1" applyProtection="1">
      <alignment horizontal="left" vertical="center" wrapText="1"/>
    </xf>
    <xf numFmtId="0" fontId="23" fillId="0" borderId="86" xfId="13" applyFont="1" applyBorder="1" applyAlignment="1" applyProtection="1">
      <alignment horizontal="center" vertical="center" wrapText="1"/>
    </xf>
    <xf numFmtId="0" fontId="5" fillId="20" borderId="104" xfId="13" applyFont="1" applyFill="1" applyBorder="1" applyAlignment="1" applyProtection="1">
      <alignment horizontal="center" vertical="center"/>
    </xf>
    <xf numFmtId="0" fontId="5" fillId="20" borderId="105" xfId="13" applyFont="1" applyFill="1" applyBorder="1" applyAlignment="1" applyProtection="1">
      <alignment horizontal="center" vertical="center"/>
    </xf>
    <xf numFmtId="3" fontId="13" fillId="0" borderId="52" xfId="13" applyNumberFormat="1" applyFont="1" applyBorder="1" applyAlignment="1" applyProtection="1">
      <alignment horizontal="center" vertical="center"/>
    </xf>
    <xf numFmtId="37" fontId="13" fillId="0" borderId="52" xfId="13" applyNumberFormat="1" applyFont="1" applyBorder="1" applyAlignment="1" applyProtection="1">
      <alignment horizontal="center" vertical="center"/>
    </xf>
    <xf numFmtId="0" fontId="3" fillId="0" borderId="0" xfId="13" applyFont="1" applyAlignment="1" applyProtection="1">
      <alignment horizontal="center" wrapText="1"/>
    </xf>
    <xf numFmtId="0" fontId="3" fillId="0" borderId="20" xfId="13" applyFont="1" applyBorder="1" applyAlignment="1" applyProtection="1">
      <alignment horizontal="center" wrapText="1"/>
    </xf>
    <xf numFmtId="0" fontId="159" fillId="0" borderId="0" xfId="13" applyFont="1" applyAlignment="1" applyProtection="1">
      <alignment horizontal="center"/>
    </xf>
    <xf numFmtId="0" fontId="3" fillId="0" borderId="0" xfId="13" applyFont="1" applyAlignment="1" applyProtection="1">
      <alignment horizontal="center"/>
    </xf>
    <xf numFmtId="0" fontId="8" fillId="0" borderId="0" xfId="13" applyFont="1" applyAlignment="1" applyProtection="1">
      <alignment horizontal="center"/>
    </xf>
    <xf numFmtId="0" fontId="3" fillId="10" borderId="0" xfId="13" applyFont="1" applyFill="1" applyAlignment="1" applyProtection="1">
      <alignment horizontal="left"/>
    </xf>
    <xf numFmtId="0" fontId="198" fillId="10" borderId="0" xfId="13" applyFont="1" applyFill="1" applyAlignment="1" applyProtection="1">
      <alignment horizontal="center" vertical="center" wrapText="1"/>
    </xf>
    <xf numFmtId="0" fontId="8" fillId="0" borderId="0" xfId="13" applyFont="1" applyAlignment="1" applyProtection="1">
      <alignment horizontal="justify" vertical="top" wrapText="1"/>
    </xf>
    <xf numFmtId="0" fontId="3" fillId="0" borderId="0" xfId="13" applyFont="1" applyAlignment="1" applyProtection="1">
      <alignment horizontal="justify" vertical="top" wrapText="1"/>
    </xf>
    <xf numFmtId="0" fontId="3" fillId="10" borderId="20" xfId="13" applyFont="1" applyFill="1" applyBorder="1" applyAlignment="1" applyProtection="1">
      <alignment horizontal="left"/>
    </xf>
    <xf numFmtId="167" fontId="3" fillId="10" borderId="21" xfId="13" applyNumberFormat="1" applyFont="1" applyFill="1" applyBorder="1" applyAlignment="1" applyProtection="1">
      <alignment horizontal="left"/>
    </xf>
    <xf numFmtId="0" fontId="3" fillId="10" borderId="21" xfId="13" applyFont="1" applyFill="1" applyBorder="1" applyAlignment="1" applyProtection="1">
      <alignment horizontal="left"/>
    </xf>
    <xf numFmtId="0" fontId="3" fillId="10" borderId="119" xfId="13" applyFont="1" applyFill="1" applyBorder="1" applyAlignment="1" applyProtection="1">
      <alignment horizontal="left" vertical="top" wrapText="1"/>
    </xf>
    <xf numFmtId="0" fontId="3" fillId="10" borderId="94" xfId="13" applyFont="1" applyFill="1" applyBorder="1" applyAlignment="1" applyProtection="1">
      <alignment horizontal="left" vertical="top" wrapText="1"/>
    </xf>
    <xf numFmtId="0" fontId="8" fillId="10" borderId="13" xfId="13" applyFont="1" applyFill="1" applyBorder="1" applyAlignment="1" applyProtection="1">
      <alignment horizontal="left"/>
    </xf>
    <xf numFmtId="0" fontId="3" fillId="10" borderId="13" xfId="13" applyFont="1" applyFill="1" applyBorder="1" applyAlignment="1" applyProtection="1">
      <alignment horizontal="left" vertical="top"/>
    </xf>
    <xf numFmtId="0" fontId="3" fillId="0" borderId="0" xfId="13" applyFont="1" applyAlignment="1" applyProtection="1">
      <alignment horizontal="left" wrapText="1"/>
    </xf>
    <xf numFmtId="0" fontId="8"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justify" wrapText="1"/>
    </xf>
    <xf numFmtId="0" fontId="3" fillId="10" borderId="20" xfId="13" applyFont="1" applyFill="1" applyBorder="1" applyAlignment="1" applyProtection="1">
      <alignment horizontal="left" vertical="top" wrapText="1"/>
    </xf>
    <xf numFmtId="0" fontId="3" fillId="10" borderId="19" xfId="13" applyFont="1" applyFill="1" applyBorder="1" applyAlignment="1" applyProtection="1">
      <alignment horizontal="left" vertical="top" wrapText="1"/>
    </xf>
    <xf numFmtId="0" fontId="25" fillId="0" borderId="0" xfId="13" applyFont="1" applyAlignment="1" applyProtection="1">
      <alignment horizontal="center"/>
    </xf>
    <xf numFmtId="0" fontId="3" fillId="10" borderId="0" xfId="13" applyFont="1" applyFill="1" applyAlignment="1" applyProtection="1">
      <alignment horizontal="left" vertical="top" wrapText="1"/>
    </xf>
    <xf numFmtId="0" fontId="3" fillId="10" borderId="0" xfId="13" applyFont="1" applyFill="1" applyBorder="1" applyAlignment="1" applyProtection="1">
      <alignment horizontal="left" vertical="top" wrapText="1"/>
    </xf>
    <xf numFmtId="0" fontId="232" fillId="0" borderId="143" xfId="33" applyFont="1" applyFill="1" applyBorder="1" applyAlignment="1">
      <alignment horizontal="left" vertical="center"/>
    </xf>
    <xf numFmtId="0" fontId="232" fillId="0" borderId="144" xfId="33" applyFont="1" applyFill="1" applyBorder="1" applyAlignment="1">
      <alignment horizontal="left" vertical="center"/>
    </xf>
    <xf numFmtId="0" fontId="232" fillId="0" borderId="161" xfId="33" applyFont="1" applyFill="1" applyBorder="1" applyAlignment="1">
      <alignment horizontal="left" vertical="center"/>
    </xf>
    <xf numFmtId="164" fontId="230" fillId="0" borderId="133" xfId="34" applyNumberFormat="1" applyFont="1" applyBorder="1" applyAlignment="1">
      <alignment horizontal="left" vertical="center"/>
    </xf>
    <xf numFmtId="164" fontId="230" fillId="0" borderId="134" xfId="34" applyNumberFormat="1" applyFont="1" applyBorder="1" applyAlignment="1">
      <alignment horizontal="left" vertical="center"/>
    </xf>
    <xf numFmtId="164" fontId="230" fillId="0" borderId="30" xfId="34" applyNumberFormat="1" applyFont="1" applyBorder="1" applyAlignment="1">
      <alignment horizontal="left" vertical="center"/>
    </xf>
    <xf numFmtId="164" fontId="230" fillId="0" borderId="21" xfId="34" applyNumberFormat="1" applyFont="1" applyBorder="1" applyAlignment="1">
      <alignment horizontal="left" vertical="center"/>
    </xf>
    <xf numFmtId="14" fontId="230" fillId="0" borderId="33" xfId="34" applyNumberFormat="1" applyFont="1" applyBorder="1" applyAlignment="1">
      <alignment horizontal="left" vertical="center"/>
    </xf>
    <xf numFmtId="14" fontId="230" fillId="0" borderId="58" xfId="34" applyNumberFormat="1" applyFont="1" applyBorder="1" applyAlignment="1">
      <alignment horizontal="left" vertical="center"/>
    </xf>
    <xf numFmtId="0" fontId="231" fillId="13" borderId="112" xfId="33" applyFont="1" applyFill="1" applyBorder="1" applyAlignment="1">
      <alignment horizontal="center"/>
    </xf>
    <xf numFmtId="0" fontId="231" fillId="13" borderId="138" xfId="33" applyFont="1" applyFill="1" applyBorder="1" applyAlignment="1">
      <alignment horizontal="center"/>
    </xf>
    <xf numFmtId="0" fontId="231" fillId="28" borderId="151" xfId="33" applyFont="1" applyFill="1" applyBorder="1" applyAlignment="1">
      <alignment horizontal="center" wrapText="1"/>
    </xf>
    <xf numFmtId="0" fontId="231" fillId="28" borderId="163" xfId="33" applyFont="1" applyFill="1" applyBorder="1" applyAlignment="1">
      <alignment horizontal="center" wrapText="1"/>
    </xf>
    <xf numFmtId="0" fontId="231" fillId="28" borderId="152" xfId="33" applyFont="1" applyFill="1" applyBorder="1" applyAlignment="1">
      <alignment horizontal="center" wrapText="1"/>
    </xf>
    <xf numFmtId="0" fontId="231" fillId="28" borderId="162" xfId="33" applyFont="1" applyFill="1" applyBorder="1" applyAlignment="1">
      <alignment horizontal="center" wrapText="1"/>
    </xf>
    <xf numFmtId="37" fontId="230" fillId="11" borderId="21" xfId="34" applyNumberFormat="1" applyFont="1" applyFill="1" applyBorder="1" applyAlignment="1" applyProtection="1">
      <alignment horizontal="center" vertical="center"/>
      <protection locked="0"/>
    </xf>
    <xf numFmtId="37" fontId="230" fillId="11" borderId="31" xfId="34" applyNumberFormat="1" applyFont="1" applyFill="1" applyBorder="1" applyAlignment="1" applyProtection="1">
      <alignment horizontal="center" vertical="center"/>
      <protection locked="0"/>
    </xf>
    <xf numFmtId="0" fontId="230" fillId="0" borderId="13" xfId="33" applyFont="1" applyBorder="1" applyAlignment="1">
      <alignment horizontal="center" vertical="center"/>
    </xf>
    <xf numFmtId="0" fontId="230" fillId="0" borderId="82" xfId="33" applyFont="1" applyBorder="1" applyAlignment="1">
      <alignment horizontal="center" vertical="center"/>
    </xf>
    <xf numFmtId="0" fontId="231" fillId="28" borderId="78" xfId="33" applyFont="1" applyFill="1" applyBorder="1" applyAlignment="1">
      <alignment horizontal="center"/>
    </xf>
    <xf numFmtId="0" fontId="231" fillId="28" borderId="82" xfId="33" applyFont="1" applyFill="1" applyBorder="1" applyAlignment="1">
      <alignment horizontal="center"/>
    </xf>
    <xf numFmtId="0" fontId="231" fillId="28" borderId="79" xfId="33" applyFont="1" applyFill="1" applyBorder="1" applyAlignment="1">
      <alignment horizontal="center"/>
    </xf>
    <xf numFmtId="0" fontId="232" fillId="0" borderId="145" xfId="33" applyFont="1" applyFill="1" applyBorder="1" applyAlignment="1">
      <alignment horizontal="left" vertical="center"/>
    </xf>
    <xf numFmtId="0" fontId="232" fillId="0" borderId="82" xfId="33" applyFont="1" applyFill="1" applyBorder="1" applyAlignment="1">
      <alignment horizontal="left" vertical="center"/>
    </xf>
    <xf numFmtId="0" fontId="232" fillId="0" borderId="160" xfId="33" applyFont="1" applyFill="1" applyBorder="1" applyAlignment="1">
      <alignment horizontal="left" vertical="center"/>
    </xf>
    <xf numFmtId="0" fontId="230" fillId="0" borderId="0" xfId="33" applyFont="1" applyBorder="1" applyAlignment="1">
      <alignment horizontal="right" vertical="center"/>
    </xf>
    <xf numFmtId="0" fontId="230" fillId="0" borderId="8" xfId="33" applyFont="1" applyBorder="1" applyAlignment="1">
      <alignment horizontal="right" vertical="center"/>
    </xf>
    <xf numFmtId="0" fontId="232" fillId="0" borderId="0" xfId="33" applyFont="1" applyBorder="1" applyAlignment="1">
      <alignment horizontal="right" vertical="center"/>
    </xf>
    <xf numFmtId="0" fontId="232" fillId="0" borderId="8" xfId="33" applyFont="1" applyBorder="1" applyAlignment="1">
      <alignment horizontal="right" vertical="center"/>
    </xf>
    <xf numFmtId="0" fontId="230" fillId="0" borderId="7" xfId="33" applyFont="1" applyBorder="1" applyAlignment="1">
      <alignment horizontal="center"/>
    </xf>
    <xf numFmtId="0" fontId="230" fillId="0" borderId="0" xfId="33" applyFont="1" applyAlignment="1">
      <alignment horizontal="center"/>
    </xf>
    <xf numFmtId="0" fontId="88" fillId="0" borderId="78" xfId="33" applyFont="1" applyFill="1" applyBorder="1" applyAlignment="1">
      <alignment horizontal="center" wrapText="1"/>
    </xf>
    <xf numFmtId="0" fontId="88" fillId="0" borderId="79" xfId="33" applyFont="1" applyFill="1" applyBorder="1" applyAlignment="1">
      <alignment horizontal="center" wrapText="1"/>
    </xf>
    <xf numFmtId="164" fontId="88" fillId="11" borderId="82" xfId="34" applyNumberFormat="1" applyFont="1" applyFill="1" applyBorder="1" applyAlignment="1">
      <alignment horizontal="center" wrapText="1"/>
    </xf>
    <xf numFmtId="164" fontId="88" fillId="11" borderId="79" xfId="34" applyNumberFormat="1" applyFont="1" applyFill="1" applyBorder="1" applyAlignment="1">
      <alignment horizontal="center" wrapText="1"/>
    </xf>
    <xf numFmtId="0" fontId="232" fillId="29" borderId="78" xfId="33" applyFont="1" applyFill="1" applyBorder="1" applyAlignment="1">
      <alignment horizontal="left"/>
    </xf>
    <xf numFmtId="0" fontId="232" fillId="29" borderId="82" xfId="33" applyFont="1" applyFill="1" applyBorder="1" applyAlignment="1">
      <alignment horizontal="left"/>
    </xf>
    <xf numFmtId="0" fontId="232" fillId="29" borderId="79" xfId="33" applyFont="1" applyFill="1" applyBorder="1" applyAlignment="1">
      <alignment horizontal="left"/>
    </xf>
    <xf numFmtId="0" fontId="230" fillId="0" borderId="164" xfId="33" applyFont="1" applyBorder="1"/>
    <xf numFmtId="0" fontId="230" fillId="0" borderId="47" xfId="33" applyFont="1" applyBorder="1"/>
    <xf numFmtId="0" fontId="230" fillId="28" borderId="134" xfId="33" applyFont="1" applyFill="1" applyBorder="1" applyAlignment="1">
      <alignment horizontal="center" vertical="center"/>
    </xf>
    <xf numFmtId="0" fontId="230" fillId="28" borderId="135" xfId="33" applyFont="1" applyFill="1" applyBorder="1" applyAlignment="1">
      <alignment horizontal="center" vertical="center"/>
    </xf>
    <xf numFmtId="37" fontId="230" fillId="11" borderId="134" xfId="34" applyNumberFormat="1" applyFont="1" applyFill="1" applyBorder="1" applyAlignment="1" applyProtection="1">
      <alignment horizontal="center" vertical="center"/>
      <protection locked="0"/>
    </xf>
    <xf numFmtId="37" fontId="230" fillId="11" borderId="135" xfId="34" applyNumberFormat="1" applyFont="1" applyFill="1" applyBorder="1" applyAlignment="1" applyProtection="1">
      <alignment horizontal="center" vertical="center"/>
      <protection locked="0"/>
    </xf>
    <xf numFmtId="37" fontId="230" fillId="28" borderId="136" xfId="33" applyNumberFormat="1" applyFont="1" applyFill="1" applyBorder="1" applyAlignment="1">
      <alignment horizontal="center" vertical="center"/>
    </xf>
    <xf numFmtId="0" fontId="230" fillId="28" borderId="21" xfId="33" applyFont="1" applyFill="1" applyBorder="1" applyAlignment="1">
      <alignment horizontal="center" vertical="center"/>
    </xf>
    <xf numFmtId="0" fontId="230" fillId="28" borderId="31" xfId="33" applyFont="1" applyFill="1" applyBorder="1" applyAlignment="1">
      <alignment horizontal="center" vertical="center"/>
    </xf>
    <xf numFmtId="37" fontId="230" fillId="28" borderId="17" xfId="33" applyNumberFormat="1" applyFont="1" applyFill="1" applyBorder="1" applyAlignment="1">
      <alignment horizontal="center" vertical="center"/>
    </xf>
    <xf numFmtId="0" fontId="234" fillId="0" borderId="0" xfId="33" applyFont="1" applyFill="1" applyBorder="1" applyAlignment="1">
      <alignment horizontal="center" vertical="center" wrapText="1"/>
    </xf>
    <xf numFmtId="0" fontId="232" fillId="0" borderId="153" xfId="33" applyFont="1" applyBorder="1" applyAlignment="1">
      <alignment horizontal="right" vertical="center"/>
    </xf>
    <xf numFmtId="0" fontId="231" fillId="0" borderId="78" xfId="33" applyFont="1" applyFill="1" applyBorder="1" applyAlignment="1">
      <alignment horizontal="left"/>
    </xf>
    <xf numFmtId="0" fontId="231" fillId="0" borderId="82" xfId="33" applyFont="1" applyFill="1" applyBorder="1" applyAlignment="1">
      <alignment horizontal="left"/>
    </xf>
    <xf numFmtId="0" fontId="231" fillId="0" borderId="79" xfId="33" applyFont="1" applyFill="1" applyBorder="1" applyAlignment="1">
      <alignment horizontal="left"/>
    </xf>
    <xf numFmtId="0" fontId="231" fillId="13" borderId="86" xfId="33" applyFont="1" applyFill="1" applyBorder="1" applyAlignment="1">
      <alignment horizontal="center"/>
    </xf>
    <xf numFmtId="0" fontId="230" fillId="28" borderId="58" xfId="33" applyFont="1" applyFill="1" applyBorder="1" applyAlignment="1">
      <alignment horizontal="center" vertical="center"/>
    </xf>
    <xf numFmtId="0" fontId="230" fillId="28" borderId="34" xfId="33" applyFont="1" applyFill="1" applyBorder="1" applyAlignment="1">
      <alignment horizontal="center" vertical="center"/>
    </xf>
    <xf numFmtId="37" fontId="230" fillId="11" borderId="58" xfId="34" applyNumberFormat="1" applyFont="1" applyFill="1" applyBorder="1" applyAlignment="1" applyProtection="1">
      <alignment horizontal="center" vertical="center"/>
      <protection locked="0"/>
    </xf>
    <xf numFmtId="37" fontId="230" fillId="11" borderId="34" xfId="34" applyNumberFormat="1" applyFont="1" applyFill="1" applyBorder="1" applyAlignment="1" applyProtection="1">
      <alignment horizontal="center" vertical="center"/>
      <protection locked="0"/>
    </xf>
    <xf numFmtId="37" fontId="230" fillId="28" borderId="18" xfId="33" applyNumberFormat="1" applyFont="1" applyFill="1" applyBorder="1" applyAlignment="1">
      <alignment horizontal="center" vertical="center"/>
    </xf>
    <xf numFmtId="0" fontId="3" fillId="0" borderId="0" xfId="13" applyFont="1" applyBorder="1" applyAlignment="1" applyProtection="1">
      <alignment horizontal="justify" vertical="top" wrapText="1"/>
    </xf>
    <xf numFmtId="0" fontId="3" fillId="0" borderId="20" xfId="13" applyFont="1" applyBorder="1" applyAlignment="1" applyProtection="1">
      <alignment horizontal="justify" vertical="top" wrapText="1"/>
    </xf>
    <xf numFmtId="0" fontId="3" fillId="0" borderId="0" xfId="13" applyFont="1" applyAlignment="1" applyProtection="1">
      <alignment horizontal="left" vertical="top" wrapText="1"/>
    </xf>
    <xf numFmtId="181" fontId="3" fillId="0" borderId="0" xfId="13" applyNumberFormat="1" applyFont="1" applyFill="1" applyAlignment="1" applyProtection="1">
      <alignment horizontal="left" vertical="top"/>
    </xf>
    <xf numFmtId="0" fontId="3" fillId="10" borderId="0" xfId="13" applyFont="1" applyFill="1" applyAlignment="1" applyProtection="1">
      <alignment horizontal="left" vertical="top"/>
    </xf>
    <xf numFmtId="0" fontId="3" fillId="0" borderId="0" xfId="13" applyFont="1" applyFill="1" applyAlignment="1" applyProtection="1">
      <alignment horizontal="justify" vertical="top" wrapText="1"/>
    </xf>
    <xf numFmtId="0" fontId="196" fillId="0" borderId="0" xfId="13" applyFont="1" applyAlignment="1" applyProtection="1">
      <alignment horizontal="left" vertical="center" wrapText="1"/>
    </xf>
    <xf numFmtId="0" fontId="165" fillId="0" borderId="56" xfId="13" applyFont="1" applyBorder="1" applyAlignment="1" applyProtection="1">
      <alignment horizontal="right" vertical="center"/>
    </xf>
    <xf numFmtId="0" fontId="165" fillId="0" borderId="1" xfId="13" applyFont="1" applyBorder="1" applyAlignment="1" applyProtection="1">
      <alignment horizontal="right" vertical="center"/>
    </xf>
    <xf numFmtId="3" fontId="165" fillId="0" borderId="0" xfId="13" applyNumberFormat="1" applyFont="1" applyAlignment="1" applyProtection="1">
      <alignment horizontal="center" vertical="center"/>
    </xf>
    <xf numFmtId="3" fontId="90" fillId="10" borderId="77" xfId="13" applyNumberFormat="1" applyFont="1" applyFill="1" applyBorder="1" applyAlignment="1" applyProtection="1">
      <alignment horizontal="center" vertical="center"/>
    </xf>
    <xf numFmtId="3" fontId="90" fillId="10" borderId="74" xfId="13" applyNumberFormat="1" applyFont="1" applyFill="1" applyBorder="1" applyAlignment="1" applyProtection="1">
      <alignment horizontal="center" vertical="center"/>
    </xf>
    <xf numFmtId="3" fontId="98" fillId="10" borderId="91" xfId="13" applyNumberFormat="1" applyFont="1" applyFill="1" applyBorder="1" applyAlignment="1" applyProtection="1">
      <alignment horizontal="center" vertical="center"/>
    </xf>
    <xf numFmtId="3" fontId="98" fillId="10" borderId="42" xfId="13" applyNumberFormat="1" applyFont="1" applyFill="1" applyBorder="1" applyAlignment="1" applyProtection="1">
      <alignment horizontal="center" vertical="center"/>
    </xf>
    <xf numFmtId="0" fontId="13" fillId="0" borderId="13" xfId="13" applyFont="1" applyBorder="1" applyAlignment="1" applyProtection="1">
      <alignment horizontal="center" wrapText="1"/>
    </xf>
    <xf numFmtId="0" fontId="13" fillId="0" borderId="0" xfId="13" applyFont="1" applyBorder="1" applyAlignment="1" applyProtection="1">
      <alignment horizontal="center" wrapText="1"/>
    </xf>
    <xf numFmtId="0" fontId="4" fillId="0" borderId="62" xfId="13" applyFont="1" applyBorder="1" applyAlignment="1" applyProtection="1">
      <alignment horizontal="center" wrapText="1"/>
    </xf>
    <xf numFmtId="0" fontId="4" fillId="0" borderId="67" xfId="13" applyFont="1" applyBorder="1" applyAlignment="1" applyProtection="1">
      <alignment horizontal="center" wrapText="1"/>
    </xf>
    <xf numFmtId="0" fontId="4" fillId="0" borderId="44" xfId="13" applyFont="1" applyBorder="1" applyAlignment="1" applyProtection="1">
      <alignment horizontal="center" wrapText="1"/>
    </xf>
    <xf numFmtId="0" fontId="4" fillId="0" borderId="8" xfId="13" applyFont="1" applyBorder="1" applyAlignment="1" applyProtection="1">
      <alignment horizontal="center" wrapText="1"/>
    </xf>
    <xf numFmtId="0" fontId="4" fillId="0" borderId="45" xfId="13" applyFont="1" applyBorder="1" applyAlignment="1" applyProtection="1">
      <alignment horizontal="center" wrapText="1"/>
    </xf>
    <xf numFmtId="0" fontId="4" fillId="0" borderId="188" xfId="13" applyFont="1" applyBorder="1" applyAlignment="1" applyProtection="1">
      <alignment horizontal="center" wrapText="1"/>
    </xf>
    <xf numFmtId="0" fontId="3" fillId="0" borderId="70" xfId="13" applyFont="1" applyBorder="1" applyAlignment="1" applyProtection="1">
      <alignment horizontal="center" vertical="center"/>
    </xf>
    <xf numFmtId="0" fontId="3" fillId="0" borderId="0" xfId="13" applyFont="1" applyBorder="1" applyAlignment="1" applyProtection="1">
      <alignment horizontal="center" vertical="center"/>
    </xf>
    <xf numFmtId="0" fontId="3" fillId="0" borderId="83" xfId="13" applyFont="1" applyBorder="1" applyAlignment="1" applyProtection="1">
      <alignment horizontal="center" vertical="center"/>
    </xf>
    <xf numFmtId="0" fontId="4" fillId="0" borderId="9" xfId="13" applyFont="1" applyBorder="1" applyAlignment="1" applyProtection="1">
      <alignment horizontal="center" wrapText="1"/>
    </xf>
    <xf numFmtId="0" fontId="4" fillId="0" borderId="13" xfId="13" applyFont="1" applyBorder="1" applyAlignment="1" applyProtection="1">
      <alignment horizontal="center" wrapText="1"/>
    </xf>
    <xf numFmtId="0" fontId="4" fillId="0" borderId="189" xfId="13" applyFont="1" applyBorder="1" applyAlignment="1" applyProtection="1">
      <alignment horizontal="center" wrapText="1"/>
    </xf>
    <xf numFmtId="0" fontId="4" fillId="0" borderId="83" xfId="13" applyFont="1" applyBorder="1" applyAlignment="1" applyProtection="1">
      <alignment horizontal="center" wrapText="1"/>
    </xf>
    <xf numFmtId="0" fontId="4" fillId="0" borderId="163" xfId="13" applyFont="1" applyBorder="1" applyAlignment="1" applyProtection="1">
      <alignment horizontal="center" wrapText="1"/>
    </xf>
    <xf numFmtId="0" fontId="4" fillId="0" borderId="64" xfId="13" applyFont="1" applyBorder="1" applyAlignment="1" applyProtection="1">
      <alignment horizontal="center" wrapText="1"/>
    </xf>
    <xf numFmtId="0" fontId="116" fillId="0" borderId="56" xfId="13" applyFont="1" applyBorder="1" applyAlignment="1" applyProtection="1">
      <alignment horizontal="center" vertical="center"/>
    </xf>
    <xf numFmtId="0" fontId="116" fillId="0" borderId="1" xfId="13" applyFont="1" applyBorder="1" applyAlignment="1" applyProtection="1">
      <alignment horizontal="center" vertical="center"/>
    </xf>
    <xf numFmtId="0" fontId="116" fillId="0" borderId="35" xfId="13" applyFont="1" applyBorder="1" applyAlignment="1" applyProtection="1">
      <alignment horizontal="center" vertical="center"/>
    </xf>
    <xf numFmtId="0" fontId="3" fillId="0" borderId="185" xfId="13" applyFont="1" applyBorder="1" applyAlignment="1" applyProtection="1">
      <alignment horizontal="center" vertical="center"/>
    </xf>
    <xf numFmtId="0" fontId="3" fillId="0" borderId="186" xfId="13" applyFont="1" applyBorder="1" applyAlignment="1" applyProtection="1">
      <alignment horizontal="center" vertical="center"/>
    </xf>
    <xf numFmtId="0" fontId="3" fillId="0" borderId="187" xfId="13" applyFont="1" applyBorder="1" applyAlignment="1" applyProtection="1">
      <alignment horizontal="center" vertical="center"/>
    </xf>
    <xf numFmtId="0" fontId="4" fillId="0" borderId="19" xfId="13" applyFont="1" applyBorder="1" applyAlignment="1" applyProtection="1">
      <alignment horizontal="center" vertical="center" wrapText="1"/>
    </xf>
    <xf numFmtId="0" fontId="4" fillId="0" borderId="0" xfId="13" applyFont="1" applyBorder="1" applyAlignment="1" applyProtection="1">
      <alignment horizontal="center" vertical="center" wrapText="1"/>
    </xf>
    <xf numFmtId="0" fontId="4" fillId="0" borderId="83" xfId="13" applyFont="1" applyBorder="1" applyAlignment="1" applyProtection="1">
      <alignment horizontal="center" vertical="center" wrapText="1"/>
    </xf>
    <xf numFmtId="0" fontId="3" fillId="0" borderId="0" xfId="13" applyBorder="1" applyAlignment="1" applyProtection="1">
      <alignment horizontal="left" vertical="top" wrapText="1"/>
    </xf>
    <xf numFmtId="0" fontId="3" fillId="0" borderId="8" xfId="13" applyBorder="1" applyAlignment="1" applyProtection="1">
      <alignment horizontal="left" vertical="top" wrapText="1"/>
    </xf>
    <xf numFmtId="3" fontId="3" fillId="0" borderId="13" xfId="13" applyNumberFormat="1" applyBorder="1" applyAlignment="1" applyProtection="1">
      <alignment horizontal="right"/>
    </xf>
    <xf numFmtId="3" fontId="3" fillId="0" borderId="85" xfId="13" applyNumberFormat="1" applyBorder="1" applyAlignment="1" applyProtection="1">
      <alignment horizontal="right"/>
    </xf>
    <xf numFmtId="3" fontId="3" fillId="0" borderId="0" xfId="13" applyNumberFormat="1" applyBorder="1" applyAlignment="1" applyProtection="1">
      <alignment horizontal="right"/>
    </xf>
    <xf numFmtId="3" fontId="3" fillId="10" borderId="20" xfId="13" applyNumberFormat="1" applyFill="1" applyBorder="1" applyAlignment="1" applyProtection="1">
      <alignment horizontal="right"/>
    </xf>
    <xf numFmtId="3" fontId="3" fillId="10" borderId="21" xfId="13" applyNumberFormat="1" applyFill="1" applyBorder="1" applyAlignment="1" applyProtection="1">
      <alignment horizontal="right"/>
    </xf>
    <xf numFmtId="3" fontId="3" fillId="0" borderId="13" xfId="13" applyNumberFormat="1" applyFont="1" applyBorder="1" applyAlignment="1" applyProtection="1">
      <alignment horizontal="right"/>
    </xf>
    <xf numFmtId="3" fontId="3" fillId="10" borderId="13" xfId="13" applyNumberFormat="1" applyFill="1" applyBorder="1" applyAlignment="1" applyProtection="1">
      <alignment horizontal="right"/>
    </xf>
    <xf numFmtId="0" fontId="3" fillId="0" borderId="43" xfId="13" applyFont="1" applyBorder="1" applyAlignment="1" applyProtection="1">
      <alignment horizontal="left" vertical="top" wrapText="1"/>
    </xf>
    <xf numFmtId="0" fontId="3" fillId="0" borderId="19" xfId="13" applyFont="1" applyBorder="1" applyAlignment="1" applyProtection="1">
      <alignment horizontal="left" vertical="top" wrapText="1"/>
    </xf>
    <xf numFmtId="0" fontId="3" fillId="0" borderId="32" xfId="13" applyFont="1" applyBorder="1" applyAlignment="1" applyProtection="1">
      <alignment horizontal="left" vertical="top" wrapText="1"/>
    </xf>
    <xf numFmtId="0" fontId="3" fillId="0" borderId="42" xfId="13" applyFont="1" applyBorder="1" applyAlignment="1" applyProtection="1">
      <alignment horizontal="left" vertical="top" wrapText="1"/>
    </xf>
    <xf numFmtId="0" fontId="3" fillId="0" borderId="20" xfId="13" applyFont="1" applyBorder="1" applyAlignment="1" applyProtection="1">
      <alignment horizontal="left" vertical="top" wrapText="1"/>
    </xf>
    <xf numFmtId="0" fontId="3" fillId="0" borderId="92" xfId="13" applyFont="1" applyBorder="1" applyAlignment="1" applyProtection="1">
      <alignment horizontal="left" vertical="top" wrapText="1"/>
    </xf>
    <xf numFmtId="0" fontId="5" fillId="0" borderId="0" xfId="13" applyFont="1" applyBorder="1" applyAlignment="1" applyProtection="1">
      <alignment horizontal="center"/>
    </xf>
    <xf numFmtId="0" fontId="3" fillId="0" borderId="86" xfId="13" applyFont="1" applyBorder="1" applyAlignment="1" applyProtection="1">
      <alignment horizontal="center"/>
    </xf>
    <xf numFmtId="3" fontId="10" fillId="0" borderId="42" xfId="13" applyNumberFormat="1" applyFont="1" applyBorder="1" applyAlignment="1" applyProtection="1">
      <alignment horizontal="center"/>
    </xf>
    <xf numFmtId="3" fontId="10" fillId="0" borderId="20" xfId="13" applyNumberFormat="1" applyFont="1" applyBorder="1" applyAlignment="1" applyProtection="1">
      <alignment horizontal="center"/>
    </xf>
    <xf numFmtId="0" fontId="3" fillId="0" borderId="0" xfId="13" applyFont="1" applyBorder="1" applyAlignment="1" applyProtection="1">
      <alignment horizontal="left"/>
    </xf>
    <xf numFmtId="0" fontId="8" fillId="0" borderId="77" xfId="13" applyFont="1" applyBorder="1" applyAlignment="1" applyProtection="1">
      <alignment horizontal="left"/>
    </xf>
    <xf numFmtId="0" fontId="8" fillId="0" borderId="74" xfId="13" applyFont="1" applyBorder="1" applyAlignment="1" applyProtection="1">
      <alignment horizontal="left"/>
    </xf>
    <xf numFmtId="0" fontId="3" fillId="0" borderId="78" xfId="13" applyFont="1" applyBorder="1" applyAlignment="1" applyProtection="1">
      <alignment horizontal="center"/>
    </xf>
    <xf numFmtId="0" fontId="3" fillId="0" borderId="82" xfId="13" applyFont="1" applyBorder="1" applyAlignment="1" applyProtection="1">
      <alignment horizontal="center"/>
    </xf>
    <xf numFmtId="0" fontId="3" fillId="0" borderId="79" xfId="13" applyFont="1" applyBorder="1" applyAlignment="1" applyProtection="1">
      <alignment horizontal="center"/>
    </xf>
    <xf numFmtId="0" fontId="10" fillId="0" borderId="96" xfId="13" applyFont="1" applyBorder="1" applyAlignment="1" applyProtection="1">
      <alignment horizontal="center"/>
    </xf>
    <xf numFmtId="0" fontId="10" fillId="0" borderId="57" xfId="13" applyFont="1" applyBorder="1" applyAlignment="1" applyProtection="1">
      <alignment horizontal="center"/>
    </xf>
    <xf numFmtId="0" fontId="10" fillId="0" borderId="75" xfId="13" applyFont="1" applyBorder="1" applyAlignment="1" applyProtection="1">
      <alignment horizontal="center"/>
    </xf>
    <xf numFmtId="0" fontId="3" fillId="0" borderId="96" xfId="13" applyFont="1" applyBorder="1" applyAlignment="1" applyProtection="1">
      <alignment horizontal="center"/>
    </xf>
    <xf numFmtId="0" fontId="3" fillId="0" borderId="75" xfId="13" applyFont="1" applyBorder="1" applyAlignment="1" applyProtection="1">
      <alignment horizontal="center"/>
    </xf>
    <xf numFmtId="3" fontId="3" fillId="0" borderId="21" xfId="13" applyNumberFormat="1" applyBorder="1" applyAlignment="1" applyProtection="1">
      <alignment horizontal="right" wrapText="1"/>
    </xf>
    <xf numFmtId="3" fontId="3" fillId="0" borderId="21" xfId="13" applyNumberFormat="1" applyBorder="1" applyAlignment="1" applyProtection="1">
      <alignment horizontal="right"/>
    </xf>
    <xf numFmtId="0" fontId="3" fillId="0" borderId="77" xfId="13" applyFont="1" applyBorder="1" applyAlignment="1" applyProtection="1">
      <alignment horizontal="center"/>
    </xf>
    <xf numFmtId="0" fontId="3" fillId="0" borderId="74" xfId="13" applyBorder="1" applyAlignment="1" applyProtection="1">
      <alignment horizontal="center"/>
    </xf>
    <xf numFmtId="0" fontId="3" fillId="0" borderId="7" xfId="13" applyFont="1" applyBorder="1" applyAlignment="1" applyProtection="1">
      <alignment horizontal="center"/>
    </xf>
    <xf numFmtId="0" fontId="3" fillId="0" borderId="0" xfId="13" applyFont="1" applyBorder="1" applyAlignment="1" applyProtection="1">
      <alignment horizontal="center"/>
    </xf>
    <xf numFmtId="0" fontId="3" fillId="0" borderId="8" xfId="13" applyFont="1" applyBorder="1" applyAlignment="1" applyProtection="1">
      <alignment horizontal="left"/>
    </xf>
    <xf numFmtId="0" fontId="8" fillId="0" borderId="7" xfId="13" applyFont="1" applyBorder="1" applyAlignment="1" applyProtection="1">
      <alignment horizontal="center"/>
    </xf>
    <xf numFmtId="0" fontId="8" fillId="0" borderId="0" xfId="13" applyFont="1" applyBorder="1" applyAlignment="1" applyProtection="1">
      <alignment horizontal="center"/>
    </xf>
    <xf numFmtId="0" fontId="8" fillId="0" borderId="8" xfId="13" applyFont="1" applyBorder="1" applyAlignment="1" applyProtection="1">
      <alignment horizontal="center"/>
    </xf>
    <xf numFmtId="0" fontId="248" fillId="20" borderId="20" xfId="0" applyFont="1" applyFill="1" applyBorder="1" applyAlignment="1">
      <alignment horizontal="center" vertical="center"/>
    </xf>
    <xf numFmtId="0" fontId="248" fillId="20" borderId="0" xfId="0" applyFont="1" applyFill="1" applyAlignment="1">
      <alignment horizontal="center" vertical="center"/>
    </xf>
    <xf numFmtId="0" fontId="113" fillId="0" borderId="78" xfId="9" applyFont="1" applyBorder="1" applyAlignment="1">
      <alignment horizontal="center" vertical="center"/>
    </xf>
    <xf numFmtId="0" fontId="113" fillId="0" borderId="82" xfId="9" applyFont="1" applyBorder="1" applyAlignment="1">
      <alignment horizontal="center" vertical="center"/>
    </xf>
    <xf numFmtId="0" fontId="113" fillId="0" borderId="79" xfId="9" applyFont="1" applyBorder="1" applyAlignment="1">
      <alignment horizontal="center" vertical="center"/>
    </xf>
    <xf numFmtId="0" fontId="238" fillId="0" borderId="86" xfId="0" quotePrefix="1" applyFont="1" applyBorder="1" applyAlignment="1">
      <alignment horizontal="center"/>
    </xf>
    <xf numFmtId="1" fontId="238" fillId="0" borderId="86" xfId="0" quotePrefix="1" applyNumberFormat="1" applyFont="1" applyBorder="1" applyAlignment="1">
      <alignment horizontal="center" wrapText="1"/>
    </xf>
    <xf numFmtId="3" fontId="42" fillId="0" borderId="3" xfId="10" applyNumberFormat="1" applyFont="1" applyBorder="1" applyAlignment="1" applyProtection="1">
      <alignment horizontal="center" vertical="center"/>
    </xf>
    <xf numFmtId="3" fontId="42" fillId="0" borderId="36" xfId="1" applyNumberFormat="1" applyFont="1" applyFill="1" applyBorder="1" applyAlignment="1" applyProtection="1">
      <alignment horizontal="center" vertical="center"/>
    </xf>
    <xf numFmtId="3" fontId="42" fillId="0" borderId="37" xfId="1" applyNumberFormat="1" applyFont="1" applyFill="1" applyBorder="1" applyAlignment="1" applyProtection="1">
      <alignment horizontal="center" vertical="center"/>
    </xf>
    <xf numFmtId="38" fontId="42" fillId="0" borderId="17" xfId="0" applyNumberFormat="1" applyFont="1" applyBorder="1" applyAlignment="1">
      <alignment horizontal="center" vertical="center"/>
    </xf>
    <xf numFmtId="38" fontId="42" fillId="0" borderId="136" xfId="0" applyNumberFormat="1" applyFont="1" applyBorder="1" applyAlignment="1">
      <alignment horizontal="center" vertical="center"/>
    </xf>
    <xf numFmtId="38" fontId="42" fillId="0" borderId="18" xfId="0" applyNumberFormat="1" applyFont="1" applyBorder="1" applyAlignment="1">
      <alignment horizontal="center" vertical="center"/>
    </xf>
    <xf numFmtId="38" fontId="42" fillId="0" borderId="86" xfId="0" applyNumberFormat="1" applyFont="1" applyBorder="1" applyAlignment="1">
      <alignment horizontal="center" vertical="center"/>
    </xf>
    <xf numFmtId="9" fontId="42" fillId="0" borderId="3" xfId="10" applyFont="1" applyBorder="1" applyAlignment="1" applyProtection="1">
      <alignment horizontal="center" vertical="center"/>
    </xf>
    <xf numFmtId="9" fontId="42" fillId="0" borderId="78" xfId="10" applyFont="1" applyBorder="1" applyAlignment="1" applyProtection="1">
      <alignment horizontal="center" vertical="center"/>
    </xf>
    <xf numFmtId="9" fontId="42" fillId="0" borderId="79" xfId="10" applyFont="1" applyBorder="1" applyAlignment="1" applyProtection="1">
      <alignment horizontal="center" vertical="center"/>
    </xf>
    <xf numFmtId="3" fontId="42" fillId="0" borderId="78" xfId="1" applyNumberFormat="1" applyFont="1" applyFill="1" applyBorder="1" applyAlignment="1" applyProtection="1">
      <alignment horizontal="center" vertical="center"/>
    </xf>
    <xf numFmtId="3" fontId="42" fillId="0" borderId="79" xfId="1" applyNumberFormat="1" applyFont="1" applyFill="1" applyBorder="1" applyAlignment="1" applyProtection="1">
      <alignment horizontal="center" vertical="center"/>
    </xf>
    <xf numFmtId="9" fontId="42" fillId="0" borderId="78" xfId="0" applyNumberFormat="1" applyFont="1" applyBorder="1" applyAlignment="1">
      <alignment horizontal="center"/>
    </xf>
    <xf numFmtId="9" fontId="42" fillId="0" borderId="79" xfId="0" applyNumberFormat="1" applyFont="1" applyBorder="1" applyAlignment="1">
      <alignment horizontal="center"/>
    </xf>
    <xf numFmtId="0" fontId="42" fillId="0" borderId="0" xfId="0" applyFont="1" applyAlignment="1" applyProtection="1">
      <alignment horizontal="center" vertical="center" wrapText="1"/>
    </xf>
    <xf numFmtId="0" fontId="44" fillId="0" borderId="36" xfId="0" applyFont="1" applyFill="1" applyBorder="1" applyAlignment="1" applyProtection="1">
      <alignment horizontal="center" vertical="center"/>
    </xf>
    <xf numFmtId="0" fontId="44" fillId="0" borderId="2" xfId="0" applyFont="1" applyFill="1" applyBorder="1" applyAlignment="1" applyProtection="1">
      <alignment horizontal="center" vertical="center"/>
    </xf>
    <xf numFmtId="0" fontId="44" fillId="0" borderId="37" xfId="0" applyFont="1" applyFill="1" applyBorder="1" applyAlignment="1" applyProtection="1">
      <alignment horizontal="center" vertical="center"/>
    </xf>
    <xf numFmtId="0" fontId="42" fillId="0" borderId="43" xfId="0" applyFont="1" applyBorder="1" applyAlignment="1" applyProtection="1">
      <alignment horizontal="center" vertical="center"/>
    </xf>
    <xf numFmtId="0" fontId="42" fillId="0" borderId="19" xfId="0" applyFont="1" applyBorder="1" applyAlignment="1" applyProtection="1">
      <alignment horizontal="center" vertical="center"/>
    </xf>
    <xf numFmtId="0" fontId="42" fillId="0" borderId="39" xfId="0" applyFont="1" applyBorder="1" applyAlignment="1" applyProtection="1">
      <alignment horizontal="center" vertical="center"/>
    </xf>
    <xf numFmtId="0" fontId="55" fillId="16" borderId="56" xfId="0" applyFont="1" applyFill="1" applyBorder="1" applyAlignment="1" applyProtection="1">
      <alignment horizontal="center" vertical="center"/>
    </xf>
    <xf numFmtId="0" fontId="55" fillId="16" borderId="35" xfId="0" applyFont="1" applyFill="1" applyBorder="1" applyAlignment="1" applyProtection="1">
      <alignment horizontal="center" vertical="center"/>
    </xf>
    <xf numFmtId="0" fontId="41" fillId="5" borderId="36" xfId="0" applyFont="1" applyFill="1" applyBorder="1" applyAlignment="1" applyProtection="1">
      <alignment horizontal="left" vertical="center"/>
    </xf>
    <xf numFmtId="0" fontId="41" fillId="5" borderId="2" xfId="0" applyFont="1" applyFill="1" applyBorder="1" applyAlignment="1" applyProtection="1">
      <alignment horizontal="left" vertical="center"/>
    </xf>
    <xf numFmtId="0" fontId="41" fillId="5" borderId="37" xfId="0" applyFont="1" applyFill="1" applyBorder="1" applyAlignment="1" applyProtection="1">
      <alignment horizontal="left" vertical="center"/>
    </xf>
    <xf numFmtId="0" fontId="53" fillId="0" borderId="0" xfId="0" quotePrefix="1" applyFont="1" applyAlignment="1" applyProtection="1">
      <alignment horizontal="center"/>
    </xf>
    <xf numFmtId="0" fontId="45" fillId="5" borderId="36" xfId="0" applyFont="1" applyFill="1" applyBorder="1" applyAlignment="1" applyProtection="1">
      <alignment horizontal="center" vertical="center"/>
    </xf>
    <xf numFmtId="0" fontId="45" fillId="5" borderId="37" xfId="0" applyFont="1" applyFill="1" applyBorder="1" applyAlignment="1" applyProtection="1">
      <alignment horizontal="center" vertical="center"/>
    </xf>
    <xf numFmtId="0" fontId="41" fillId="5" borderId="78" xfId="0" applyFont="1" applyFill="1" applyBorder="1" applyAlignment="1" applyProtection="1">
      <alignment horizontal="center" vertical="center"/>
    </xf>
    <xf numFmtId="0" fontId="41" fillId="5" borderId="79" xfId="0" applyFont="1" applyFill="1" applyBorder="1" applyAlignment="1" applyProtection="1">
      <alignment horizontal="center" vertical="center"/>
    </xf>
    <xf numFmtId="164" fontId="45" fillId="5" borderId="3" xfId="1" applyNumberFormat="1" applyFont="1" applyFill="1" applyBorder="1" applyAlignment="1" applyProtection="1">
      <alignment vertical="center"/>
    </xf>
    <xf numFmtId="0" fontId="45" fillId="5" borderId="78" xfId="0" applyNumberFormat="1" applyFont="1" applyFill="1" applyBorder="1" applyAlignment="1" applyProtection="1">
      <alignment horizontal="left" vertical="center"/>
    </xf>
    <xf numFmtId="0" fontId="45" fillId="5" borderId="82" xfId="0" applyNumberFormat="1" applyFont="1" applyFill="1" applyBorder="1" applyAlignment="1" applyProtection="1">
      <alignment horizontal="left" vertical="center"/>
    </xf>
    <xf numFmtId="0" fontId="45" fillId="5" borderId="79" xfId="0" applyNumberFormat="1" applyFont="1" applyFill="1" applyBorder="1" applyAlignment="1" applyProtection="1">
      <alignment horizontal="left" vertical="center"/>
    </xf>
    <xf numFmtId="0" fontId="45" fillId="5" borderId="78" xfId="0" applyFont="1" applyFill="1" applyBorder="1" applyAlignment="1" applyProtection="1">
      <alignment horizontal="left" vertical="center"/>
    </xf>
    <xf numFmtId="0" fontId="45" fillId="5" borderId="79" xfId="0" applyFont="1" applyFill="1" applyBorder="1" applyAlignment="1" applyProtection="1">
      <alignment horizontal="left" vertical="center"/>
    </xf>
    <xf numFmtId="164" fontId="45" fillId="5" borderId="17" xfId="1" applyNumberFormat="1" applyFont="1" applyFill="1" applyBorder="1" applyAlignment="1" applyProtection="1">
      <alignment horizontal="center" vertical="center"/>
    </xf>
    <xf numFmtId="0" fontId="41" fillId="5" borderId="78" xfId="0" applyFont="1" applyFill="1" applyBorder="1" applyAlignment="1" applyProtection="1">
      <alignment horizontal="left" vertical="center"/>
    </xf>
    <xf numFmtId="0" fontId="41" fillId="5" borderId="82" xfId="0" applyFont="1" applyFill="1" applyBorder="1" applyAlignment="1" applyProtection="1">
      <alignment horizontal="left" vertical="center"/>
    </xf>
    <xf numFmtId="0" fontId="41" fillId="5" borderId="79" xfId="0" applyFont="1" applyFill="1" applyBorder="1" applyAlignment="1" applyProtection="1">
      <alignment horizontal="left" vertical="center"/>
    </xf>
    <xf numFmtId="0" fontId="45" fillId="5" borderId="28" xfId="0" applyFont="1" applyFill="1" applyBorder="1" applyAlignment="1" applyProtection="1">
      <alignment horizontal="left" vertical="center"/>
    </xf>
    <xf numFmtId="0" fontId="45" fillId="5" borderId="57" xfId="0" applyFont="1" applyFill="1" applyBorder="1" applyAlignment="1" applyProtection="1">
      <alignment horizontal="left" vertical="center"/>
    </xf>
    <xf numFmtId="0" fontId="45" fillId="5" borderId="29" xfId="0" applyFont="1" applyFill="1" applyBorder="1" applyAlignment="1" applyProtection="1">
      <alignment horizontal="left" vertical="center"/>
    </xf>
    <xf numFmtId="0" fontId="45" fillId="5" borderId="82" xfId="0" applyFont="1" applyFill="1" applyBorder="1" applyAlignment="1" applyProtection="1">
      <alignment horizontal="left" vertical="center"/>
    </xf>
    <xf numFmtId="0" fontId="45" fillId="5" borderId="26" xfId="0" applyFont="1" applyFill="1" applyBorder="1" applyAlignment="1" applyProtection="1">
      <alignment horizontal="left" vertical="center"/>
    </xf>
    <xf numFmtId="0" fontId="45" fillId="5" borderId="19" xfId="0" applyFont="1" applyFill="1" applyBorder="1" applyAlignment="1" applyProtection="1">
      <alignment horizontal="left" vertical="center"/>
    </xf>
    <xf numFmtId="0" fontId="45" fillId="5" borderId="13" xfId="0" applyFont="1" applyFill="1" applyBorder="1" applyAlignment="1" applyProtection="1">
      <alignment horizontal="left" vertical="center"/>
    </xf>
    <xf numFmtId="0" fontId="45" fillId="5" borderId="58" xfId="0" applyFont="1" applyFill="1" applyBorder="1" applyAlignment="1" applyProtection="1">
      <alignment horizontal="left" vertical="center"/>
    </xf>
    <xf numFmtId="0" fontId="45" fillId="5" borderId="34" xfId="0" applyFont="1" applyFill="1" applyBorder="1" applyAlignment="1" applyProtection="1">
      <alignment horizontal="left" vertical="center"/>
    </xf>
    <xf numFmtId="0" fontId="45" fillId="5" borderId="32" xfId="0" applyFont="1" applyFill="1" applyBorder="1" applyAlignment="1" applyProtection="1">
      <alignment horizontal="left" vertical="center"/>
    </xf>
    <xf numFmtId="0" fontId="45" fillId="5" borderId="17" xfId="0" applyFont="1" applyFill="1" applyBorder="1" applyAlignment="1" applyProtection="1">
      <alignment horizontal="left"/>
    </xf>
    <xf numFmtId="169" fontId="45" fillId="5" borderId="30" xfId="0" applyNumberFormat="1" applyFont="1" applyFill="1" applyBorder="1" applyAlignment="1" applyProtection="1">
      <alignment horizontal="left" vertical="center"/>
    </xf>
    <xf numFmtId="169" fontId="45" fillId="5" borderId="21" xfId="0" applyNumberFormat="1" applyFont="1" applyFill="1" applyBorder="1" applyAlignment="1" applyProtection="1">
      <alignment horizontal="left" vertical="center"/>
    </xf>
    <xf numFmtId="169" fontId="45" fillId="5" borderId="31" xfId="0" applyNumberFormat="1" applyFont="1" applyFill="1" applyBorder="1" applyAlignment="1" applyProtection="1">
      <alignment horizontal="left" vertical="center"/>
    </xf>
    <xf numFmtId="167" fontId="45" fillId="5" borderId="27" xfId="0" applyNumberFormat="1" applyFont="1" applyFill="1" applyBorder="1" applyAlignment="1" applyProtection="1">
      <alignment horizontal="left" vertical="center"/>
    </xf>
    <xf numFmtId="167" fontId="45" fillId="5" borderId="29" xfId="0" applyNumberFormat="1" applyFont="1" applyFill="1" applyBorder="1" applyAlignment="1" applyProtection="1">
      <alignment horizontal="left" vertical="center"/>
    </xf>
    <xf numFmtId="0" fontId="45" fillId="5" borderId="86" xfId="0" applyFont="1" applyFill="1" applyBorder="1" applyAlignment="1" applyProtection="1">
      <alignment horizontal="center" vertical="center"/>
    </xf>
    <xf numFmtId="167" fontId="45" fillId="5" borderId="28" xfId="0" applyNumberFormat="1" applyFont="1" applyFill="1" applyBorder="1" applyAlignment="1" applyProtection="1">
      <alignment horizontal="left" vertical="center"/>
    </xf>
    <xf numFmtId="0" fontId="45" fillId="5" borderId="9" xfId="0" applyFont="1" applyFill="1" applyBorder="1" applyAlignment="1" applyProtection="1">
      <alignment horizontal="left" vertical="center"/>
    </xf>
    <xf numFmtId="0" fontId="45" fillId="5" borderId="14" xfId="0" applyFont="1" applyFill="1" applyBorder="1" applyAlignment="1" applyProtection="1">
      <alignment horizontal="left" vertical="center"/>
    </xf>
    <xf numFmtId="167" fontId="45" fillId="5" borderId="33" xfId="0" applyNumberFormat="1" applyFont="1" applyFill="1" applyBorder="1" applyAlignment="1" applyProtection="1">
      <alignment horizontal="left" vertical="center"/>
    </xf>
    <xf numFmtId="167" fontId="45" fillId="5" borderId="34" xfId="0" applyNumberFormat="1" applyFont="1" applyFill="1" applyBorder="1" applyAlignment="1" applyProtection="1">
      <alignment horizontal="left" vertical="center"/>
    </xf>
    <xf numFmtId="0" fontId="45" fillId="5" borderId="28" xfId="0" applyNumberFormat="1" applyFont="1" applyFill="1" applyBorder="1" applyAlignment="1" applyProtection="1">
      <alignment horizontal="left" vertical="center"/>
    </xf>
    <xf numFmtId="0" fontId="45" fillId="5" borderId="57" xfId="0" applyNumberFormat="1" applyFont="1" applyFill="1" applyBorder="1" applyAlignment="1" applyProtection="1">
      <alignment horizontal="left" vertical="center"/>
    </xf>
    <xf numFmtId="0" fontId="45" fillId="5" borderId="29" xfId="0" applyNumberFormat="1" applyFont="1" applyFill="1" applyBorder="1" applyAlignment="1" applyProtection="1">
      <alignment horizontal="left" vertical="center"/>
    </xf>
    <xf numFmtId="0" fontId="45" fillId="5" borderId="30" xfId="0" applyFont="1" applyFill="1" applyBorder="1" applyAlignment="1" applyProtection="1">
      <alignment horizontal="left" vertical="center"/>
    </xf>
    <xf numFmtId="0" fontId="45" fillId="5" borderId="21" xfId="0" applyFont="1" applyFill="1" applyBorder="1" applyAlignment="1" applyProtection="1">
      <alignment horizontal="left" vertical="center"/>
    </xf>
    <xf numFmtId="0" fontId="45" fillId="5" borderId="31" xfId="0" applyFont="1" applyFill="1" applyBorder="1" applyAlignment="1" applyProtection="1">
      <alignment horizontal="left" vertical="center"/>
    </xf>
    <xf numFmtId="0" fontId="45" fillId="5" borderId="33" xfId="0" applyFont="1" applyFill="1" applyBorder="1" applyAlignment="1" applyProtection="1">
      <alignment horizontal="left" vertical="center"/>
    </xf>
    <xf numFmtId="0" fontId="45" fillId="5" borderId="17" xfId="0" applyFont="1" applyFill="1" applyBorder="1" applyAlignment="1" applyProtection="1">
      <alignment horizontal="center" vertical="center"/>
    </xf>
    <xf numFmtId="182" fontId="45" fillId="5" borderId="30" xfId="0" applyNumberFormat="1" applyFont="1" applyFill="1" applyBorder="1" applyAlignment="1" applyProtection="1">
      <alignment horizontal="left" vertical="center"/>
    </xf>
    <xf numFmtId="182" fontId="45" fillId="5" borderId="31" xfId="0" applyNumberFormat="1" applyFont="1" applyFill="1" applyBorder="1" applyAlignment="1" applyProtection="1">
      <alignment horizontal="left" vertical="center"/>
    </xf>
    <xf numFmtId="178" fontId="45" fillId="5" borderId="28" xfId="0" applyNumberFormat="1" applyFont="1" applyFill="1" applyBorder="1" applyAlignment="1" applyProtection="1">
      <alignment horizontal="left" vertical="center"/>
    </xf>
    <xf numFmtId="178" fontId="45" fillId="5" borderId="92" xfId="0" applyNumberFormat="1" applyFont="1" applyFill="1" applyBorder="1" applyAlignment="1" applyProtection="1">
      <alignment horizontal="left" vertical="center"/>
    </xf>
    <xf numFmtId="0" fontId="45" fillId="5" borderId="20" xfId="0" applyFont="1" applyFill="1" applyBorder="1" applyAlignment="1" applyProtection="1">
      <alignment horizontal="left" vertical="center"/>
    </xf>
    <xf numFmtId="0" fontId="45" fillId="5" borderId="92" xfId="0" applyFont="1" applyFill="1" applyBorder="1" applyAlignment="1" applyProtection="1">
      <alignment horizontal="left" vertical="center"/>
    </xf>
    <xf numFmtId="49" fontId="45" fillId="5" borderId="33" xfId="0" applyNumberFormat="1" applyFont="1" applyFill="1" applyBorder="1" applyAlignment="1" applyProtection="1">
      <alignment horizontal="left" vertical="center"/>
    </xf>
    <xf numFmtId="49" fontId="0" fillId="0" borderId="32" xfId="0" applyNumberFormat="1" applyBorder="1" applyProtection="1"/>
    <xf numFmtId="0" fontId="45" fillId="6" borderId="33" xfId="0" applyNumberFormat="1" applyFont="1" applyFill="1" applyBorder="1" applyAlignment="1" applyProtection="1">
      <alignment horizontal="left" vertical="center"/>
    </xf>
    <xf numFmtId="0" fontId="45" fillId="6" borderId="34" xfId="0" applyNumberFormat="1" applyFont="1" applyFill="1" applyBorder="1" applyAlignment="1" applyProtection="1">
      <alignment horizontal="left" vertical="center"/>
    </xf>
    <xf numFmtId="164" fontId="45" fillId="5" borderId="3" xfId="1" applyNumberFormat="1" applyFont="1" applyFill="1" applyBorder="1" applyAlignment="1" applyProtection="1">
      <alignment horizontal="center" vertical="center"/>
    </xf>
    <xf numFmtId="0" fontId="45" fillId="5" borderId="12" xfId="0" applyFont="1" applyFill="1" applyBorder="1" applyAlignment="1" applyProtection="1">
      <alignment horizontal="left" vertical="center"/>
    </xf>
    <xf numFmtId="0" fontId="45" fillId="6" borderId="78" xfId="0" applyFont="1" applyFill="1" applyBorder="1" applyAlignment="1" applyProtection="1">
      <alignment horizontal="left" vertical="center"/>
    </xf>
    <xf numFmtId="0" fontId="45" fillId="6" borderId="14" xfId="0" applyFont="1" applyFill="1" applyBorder="1" applyAlignment="1" applyProtection="1">
      <alignment horizontal="left" vertical="center"/>
    </xf>
    <xf numFmtId="1" fontId="45" fillId="5" borderId="28" xfId="1" applyNumberFormat="1" applyFont="1" applyFill="1" applyBorder="1" applyAlignment="1" applyProtection="1">
      <alignment horizontal="center" vertical="center"/>
    </xf>
    <xf numFmtId="1" fontId="45" fillId="5" borderId="29" xfId="1" applyNumberFormat="1" applyFont="1" applyFill="1" applyBorder="1" applyAlignment="1" applyProtection="1">
      <alignment horizontal="center" vertical="center"/>
    </xf>
    <xf numFmtId="1" fontId="45" fillId="5" borderId="33" xfId="1" applyNumberFormat="1" applyFont="1" applyFill="1" applyBorder="1" applyAlignment="1" applyProtection="1">
      <alignment horizontal="center" vertical="center"/>
    </xf>
    <xf numFmtId="1" fontId="45" fillId="5" borderId="34" xfId="1" applyNumberFormat="1" applyFont="1" applyFill="1" applyBorder="1" applyAlignment="1" applyProtection="1">
      <alignment horizontal="center" vertical="center"/>
    </xf>
    <xf numFmtId="38" fontId="45" fillId="5" borderId="80" xfId="0" applyNumberFormat="1" applyFont="1" applyFill="1" applyBorder="1" applyAlignment="1" applyProtection="1">
      <alignment horizontal="left" vertical="center"/>
    </xf>
    <xf numFmtId="38" fontId="45" fillId="5" borderId="85" xfId="0" applyNumberFormat="1" applyFont="1" applyFill="1" applyBorder="1" applyAlignment="1" applyProtection="1">
      <alignment horizontal="left" vertical="center"/>
    </xf>
    <xf numFmtId="38" fontId="45" fillId="5" borderId="2" xfId="0" applyNumberFormat="1" applyFont="1" applyFill="1" applyBorder="1" applyAlignment="1" applyProtection="1">
      <alignment horizontal="left" vertical="center"/>
    </xf>
    <xf numFmtId="38" fontId="45" fillId="5" borderId="81" xfId="0" applyNumberFormat="1" applyFont="1" applyFill="1" applyBorder="1" applyAlignment="1" applyProtection="1">
      <alignment horizontal="left" vertical="center"/>
    </xf>
    <xf numFmtId="38" fontId="45" fillId="5" borderId="30" xfId="0" applyNumberFormat="1" applyFont="1" applyFill="1" applyBorder="1" applyAlignment="1" applyProtection="1">
      <alignment horizontal="left" vertical="center"/>
    </xf>
    <xf numFmtId="38" fontId="45" fillId="5" borderId="21" xfId="0" applyNumberFormat="1" applyFont="1" applyFill="1" applyBorder="1" applyAlignment="1" applyProtection="1">
      <alignment horizontal="left" vertical="center"/>
    </xf>
    <xf numFmtId="38" fontId="45" fillId="5" borderId="31" xfId="0" applyNumberFormat="1" applyFont="1" applyFill="1" applyBorder="1" applyAlignment="1" applyProtection="1">
      <alignment horizontal="left" vertical="center"/>
    </xf>
    <xf numFmtId="38" fontId="45" fillId="5" borderId="7" xfId="0" applyNumberFormat="1" applyFont="1" applyFill="1" applyBorder="1" applyAlignment="1" applyProtection="1">
      <alignment horizontal="left" vertical="center"/>
    </xf>
    <xf numFmtId="38" fontId="45" fillId="5" borderId="0" xfId="0" applyNumberFormat="1" applyFont="1" applyFill="1" applyBorder="1" applyAlignment="1" applyProtection="1">
      <alignment horizontal="left" vertical="center"/>
    </xf>
    <xf numFmtId="38" fontId="45" fillId="5" borderId="13" xfId="0" applyNumberFormat="1" applyFont="1" applyFill="1" applyBorder="1" applyAlignment="1" applyProtection="1">
      <alignment horizontal="left" vertical="center"/>
    </xf>
    <xf numFmtId="38" fontId="45" fillId="5" borderId="8" xfId="0" applyNumberFormat="1" applyFont="1" applyFill="1" applyBorder="1" applyAlignment="1" applyProtection="1">
      <alignment horizontal="left" vertical="center"/>
    </xf>
    <xf numFmtId="38" fontId="45" fillId="5" borderId="28" xfId="0" applyNumberFormat="1" applyFont="1" applyFill="1" applyBorder="1" applyAlignment="1" applyProtection="1">
      <alignment horizontal="left" vertical="center"/>
    </xf>
    <xf numFmtId="38" fontId="45" fillId="5" borderId="57" xfId="0" applyNumberFormat="1" applyFont="1" applyFill="1" applyBorder="1" applyAlignment="1" applyProtection="1">
      <alignment horizontal="left" vertical="center"/>
    </xf>
    <xf numFmtId="38" fontId="45" fillId="5" borderId="29" xfId="0" applyNumberFormat="1" applyFont="1" applyFill="1" applyBorder="1" applyAlignment="1" applyProtection="1">
      <alignment horizontal="left" vertical="center"/>
    </xf>
    <xf numFmtId="169" fontId="45" fillId="5" borderId="33" xfId="0" applyNumberFormat="1" applyFont="1" applyFill="1" applyBorder="1" applyAlignment="1" applyProtection="1">
      <alignment horizontal="left" vertical="center"/>
    </xf>
    <xf numFmtId="169" fontId="45" fillId="5" borderId="34" xfId="0" applyNumberFormat="1" applyFont="1" applyFill="1" applyBorder="1" applyAlignment="1" applyProtection="1">
      <alignment horizontal="left" vertical="center"/>
    </xf>
    <xf numFmtId="167" fontId="45" fillId="5" borderId="33" xfId="0" applyNumberFormat="1" applyFont="1" applyFill="1" applyBorder="1" applyAlignment="1" applyProtection="1">
      <alignment horizontal="center" vertical="center"/>
    </xf>
    <xf numFmtId="167" fontId="45" fillId="5" borderId="58" xfId="0" applyNumberFormat="1" applyFont="1" applyFill="1" applyBorder="1" applyAlignment="1" applyProtection="1">
      <alignment horizontal="center" vertical="center"/>
    </xf>
    <xf numFmtId="167" fontId="45" fillId="5" borderId="34" xfId="0" applyNumberFormat="1" applyFont="1" applyFill="1" applyBorder="1" applyAlignment="1" applyProtection="1">
      <alignment horizontal="center" vertical="center"/>
    </xf>
    <xf numFmtId="38" fontId="45" fillId="5" borderId="33" xfId="0" applyNumberFormat="1" applyFont="1" applyFill="1" applyBorder="1" applyAlignment="1" applyProtection="1">
      <alignment horizontal="left" vertical="center"/>
    </xf>
    <xf numFmtId="38" fontId="45" fillId="5" borderId="58" xfId="0" applyNumberFormat="1" applyFont="1" applyFill="1" applyBorder="1" applyAlignment="1" applyProtection="1">
      <alignment horizontal="left" vertical="center"/>
    </xf>
    <xf numFmtId="38" fontId="45" fillId="5" borderId="34" xfId="0" applyNumberFormat="1" applyFont="1" applyFill="1" applyBorder="1" applyAlignment="1" applyProtection="1">
      <alignment horizontal="left" vertical="center"/>
    </xf>
    <xf numFmtId="176" fontId="45" fillId="5" borderId="3" xfId="0" applyNumberFormat="1" applyFont="1" applyFill="1" applyBorder="1" applyAlignment="1" applyProtection="1">
      <alignment horizontal="center" vertical="center"/>
    </xf>
    <xf numFmtId="0" fontId="45" fillId="5" borderId="3" xfId="0" applyFont="1" applyFill="1" applyBorder="1" applyAlignment="1" applyProtection="1">
      <alignment horizontal="center" vertical="center"/>
    </xf>
    <xf numFmtId="3" fontId="45" fillId="5" borderId="16" xfId="1" applyNumberFormat="1" applyFont="1" applyFill="1" applyBorder="1" applyAlignment="1" applyProtection="1">
      <alignment horizontal="center" vertical="center"/>
    </xf>
    <xf numFmtId="3" fontId="45" fillId="5" borderId="3" xfId="1" applyNumberFormat="1" applyFont="1" applyFill="1" applyBorder="1" applyAlignment="1" applyProtection="1">
      <alignment horizontal="center" vertical="center"/>
    </xf>
    <xf numFmtId="3" fontId="45" fillId="5" borderId="18" xfId="1" applyNumberFormat="1" applyFont="1" applyFill="1" applyBorder="1" applyAlignment="1" applyProtection="1">
      <alignment horizontal="center" vertical="center"/>
    </xf>
    <xf numFmtId="0" fontId="85" fillId="5" borderId="36" xfId="0" applyFont="1" applyFill="1" applyBorder="1" applyAlignment="1" applyProtection="1">
      <alignment horizontal="left" vertical="center"/>
    </xf>
    <xf numFmtId="0" fontId="85" fillId="5" borderId="37" xfId="0" applyFont="1" applyFill="1" applyBorder="1" applyAlignment="1" applyProtection="1">
      <alignment horizontal="left" vertical="center"/>
    </xf>
    <xf numFmtId="3" fontId="45" fillId="5" borderId="136" xfId="1" applyNumberFormat="1" applyFont="1" applyFill="1" applyBorder="1" applyAlignment="1" applyProtection="1">
      <alignment horizontal="center" vertical="center"/>
    </xf>
    <xf numFmtId="3" fontId="45" fillId="5" borderId="86" xfId="1" applyNumberFormat="1" applyFont="1" applyFill="1" applyBorder="1" applyAlignment="1" applyProtection="1">
      <alignment horizontal="center" vertical="center"/>
    </xf>
    <xf numFmtId="0" fontId="85" fillId="5" borderId="78" xfId="0" applyFont="1" applyFill="1" applyBorder="1" applyAlignment="1" applyProtection="1">
      <alignment horizontal="left" vertical="center"/>
    </xf>
    <xf numFmtId="0" fontId="85" fillId="5" borderId="82" xfId="0" applyFont="1" applyFill="1" applyBorder="1" applyAlignment="1" applyProtection="1">
      <alignment horizontal="left" vertical="center"/>
    </xf>
    <xf numFmtId="0" fontId="85" fillId="5" borderId="79" xfId="0" applyFont="1" applyFill="1" applyBorder="1" applyAlignment="1" applyProtection="1">
      <alignment horizontal="left" vertical="center"/>
    </xf>
    <xf numFmtId="0" fontId="85" fillId="5" borderId="3" xfId="0"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175" fontId="45" fillId="5" borderId="28" xfId="0" applyNumberFormat="1" applyFont="1" applyFill="1" applyBorder="1" applyAlignment="1" applyProtection="1">
      <alignment horizontal="left" vertical="center"/>
    </xf>
    <xf numFmtId="175" fontId="45" fillId="5" borderId="29" xfId="0" applyNumberFormat="1" applyFont="1" applyFill="1" applyBorder="1" applyAlignment="1" applyProtection="1">
      <alignment horizontal="left" vertical="center"/>
    </xf>
    <xf numFmtId="0" fontId="45" fillId="5" borderId="30" xfId="0" applyNumberFormat="1" applyFont="1" applyFill="1" applyBorder="1" applyAlignment="1" applyProtection="1">
      <alignment horizontal="left" vertical="center"/>
    </xf>
    <xf numFmtId="0" fontId="45" fillId="5" borderId="31" xfId="0" applyNumberFormat="1" applyFont="1" applyFill="1" applyBorder="1" applyAlignment="1" applyProtection="1">
      <alignment horizontal="left" vertical="center"/>
    </xf>
    <xf numFmtId="0" fontId="45" fillId="0" borderId="21" xfId="0" applyFont="1" applyBorder="1" applyProtection="1"/>
    <xf numFmtId="0" fontId="45" fillId="0" borderId="31" xfId="0" applyFont="1" applyBorder="1" applyProtection="1"/>
    <xf numFmtId="0" fontId="45" fillId="5" borderId="17" xfId="0" applyFont="1" applyFill="1" applyBorder="1" applyAlignment="1" applyProtection="1">
      <alignment horizontal="left" vertical="center"/>
    </xf>
    <xf numFmtId="169" fontId="45" fillId="5" borderId="33" xfId="0" applyNumberFormat="1" applyFont="1" applyFill="1" applyBorder="1" applyAlignment="1" applyProtection="1">
      <alignment horizontal="center" vertical="center"/>
    </xf>
    <xf numFmtId="0" fontId="45" fillId="0" borderId="34" xfId="0" applyFont="1" applyBorder="1" applyProtection="1"/>
    <xf numFmtId="3" fontId="45" fillId="5" borderId="30" xfId="0" applyNumberFormat="1" applyFont="1" applyFill="1" applyBorder="1" applyAlignment="1" applyProtection="1">
      <alignment horizontal="left" vertical="center"/>
    </xf>
    <xf numFmtId="3" fontId="45" fillId="5" borderId="31" xfId="0" applyNumberFormat="1" applyFont="1" applyFill="1" applyBorder="1" applyAlignment="1" applyProtection="1">
      <alignment horizontal="left" vertical="center"/>
    </xf>
    <xf numFmtId="0" fontId="45" fillId="5" borderId="7" xfId="0" applyFont="1" applyFill="1" applyBorder="1" applyAlignment="1" applyProtection="1">
      <alignment horizontal="left" vertical="center"/>
    </xf>
    <xf numFmtId="0" fontId="45" fillId="0" borderId="85" xfId="0" applyFont="1" applyBorder="1" applyProtection="1"/>
    <xf numFmtId="0" fontId="45" fillId="0" borderId="37" xfId="0" applyFont="1" applyBorder="1" applyProtection="1"/>
    <xf numFmtId="0" fontId="45" fillId="0" borderId="57" xfId="0" applyFont="1" applyBorder="1" applyProtection="1"/>
    <xf numFmtId="0" fontId="45" fillId="0" borderId="20" xfId="0" applyFont="1" applyBorder="1" applyProtection="1"/>
    <xf numFmtId="0" fontId="45" fillId="0" borderId="92" xfId="0" applyFont="1" applyBorder="1" applyProtection="1"/>
    <xf numFmtId="167" fontId="45" fillId="5" borderId="58" xfId="0" applyNumberFormat="1" applyFont="1" applyFill="1" applyBorder="1" applyAlignment="1" applyProtection="1">
      <alignment horizontal="left" vertical="center"/>
    </xf>
    <xf numFmtId="0" fontId="45" fillId="0" borderId="34" xfId="0" applyFont="1" applyBorder="1" applyAlignment="1" applyProtection="1">
      <alignment horizontal="left"/>
    </xf>
    <xf numFmtId="0" fontId="45" fillId="5" borderId="13" xfId="0" applyNumberFormat="1" applyFont="1" applyFill="1" applyBorder="1" applyAlignment="1" applyProtection="1">
      <alignment horizontal="left" vertical="center"/>
    </xf>
    <xf numFmtId="0" fontId="45" fillId="5" borderId="14" xfId="0" applyNumberFormat="1" applyFont="1" applyFill="1" applyBorder="1" applyAlignment="1" applyProtection="1">
      <alignment horizontal="left" vertical="center"/>
    </xf>
    <xf numFmtId="0" fontId="45" fillId="5" borderId="3" xfId="0" applyFont="1" applyFill="1" applyBorder="1" applyAlignment="1" applyProtection="1">
      <alignment horizontal="center"/>
    </xf>
    <xf numFmtId="3" fontId="45" fillId="5" borderId="3" xfId="0" applyNumberFormat="1" applyFont="1" applyFill="1" applyBorder="1" applyAlignment="1" applyProtection="1">
      <alignment horizontal="center"/>
    </xf>
    <xf numFmtId="0" fontId="41" fillId="5" borderId="51" xfId="0" applyFont="1" applyFill="1" applyBorder="1" applyAlignment="1" applyProtection="1">
      <alignment horizontal="left" vertical="center"/>
    </xf>
    <xf numFmtId="0" fontId="41" fillId="5" borderId="52" xfId="0" applyFont="1" applyFill="1" applyBorder="1" applyAlignment="1" applyProtection="1">
      <alignment horizontal="left" vertical="center"/>
    </xf>
    <xf numFmtId="0" fontId="41" fillId="5" borderId="96" xfId="0" applyFont="1" applyFill="1" applyBorder="1" applyAlignment="1" applyProtection="1">
      <alignment horizontal="left" vertical="center"/>
    </xf>
    <xf numFmtId="0" fontId="41" fillId="5" borderId="57" xfId="0" applyFont="1" applyFill="1" applyBorder="1" applyAlignment="1" applyProtection="1">
      <alignment horizontal="left" vertical="center"/>
    </xf>
    <xf numFmtId="0" fontId="41" fillId="5" borderId="75" xfId="0" applyFont="1" applyFill="1" applyBorder="1" applyAlignment="1" applyProtection="1">
      <alignment horizontal="left" vertical="center"/>
    </xf>
    <xf numFmtId="0" fontId="41" fillId="5" borderId="23" xfId="0" applyFont="1" applyFill="1" applyBorder="1" applyAlignment="1" applyProtection="1">
      <alignment horizontal="center" vertical="center"/>
    </xf>
    <xf numFmtId="0" fontId="41" fillId="5" borderId="133" xfId="0" applyFont="1" applyFill="1" applyBorder="1" applyAlignment="1" applyProtection="1">
      <alignment horizontal="left" vertical="center"/>
    </xf>
    <xf numFmtId="0" fontId="41" fillId="5" borderId="134" xfId="0" applyFont="1" applyFill="1" applyBorder="1" applyAlignment="1" applyProtection="1">
      <alignment horizontal="left" vertical="center"/>
    </xf>
    <xf numFmtId="0" fontId="41" fillId="5" borderId="139" xfId="0" applyFont="1" applyFill="1" applyBorder="1" applyAlignment="1" applyProtection="1">
      <alignment horizontal="left" vertical="center"/>
    </xf>
    <xf numFmtId="0" fontId="41" fillId="5" borderId="50" xfId="0" applyFont="1" applyFill="1" applyBorder="1" applyAlignment="1" applyProtection="1">
      <alignment horizontal="left" vertical="center"/>
    </xf>
    <xf numFmtId="0" fontId="41" fillId="5" borderId="38" xfId="0" applyFont="1" applyFill="1" applyBorder="1" applyAlignment="1" applyProtection="1">
      <alignment horizontal="left" vertical="center"/>
    </xf>
    <xf numFmtId="0" fontId="41" fillId="5" borderId="77" xfId="0" applyFont="1" applyFill="1" applyBorder="1" applyAlignment="1" applyProtection="1">
      <alignment horizontal="left" vertical="center"/>
    </xf>
    <xf numFmtId="0" fontId="41" fillId="5" borderId="21" xfId="0" applyFont="1" applyFill="1" applyBorder="1" applyAlignment="1" applyProtection="1">
      <alignment horizontal="left" vertical="center"/>
    </xf>
    <xf numFmtId="0" fontId="41" fillId="5" borderId="74" xfId="0" applyFont="1" applyFill="1" applyBorder="1" applyAlignment="1" applyProtection="1">
      <alignment horizontal="left" vertical="center"/>
    </xf>
    <xf numFmtId="0" fontId="41" fillId="5" borderId="25" xfId="0" applyFont="1" applyFill="1" applyBorder="1" applyAlignment="1" applyProtection="1">
      <alignment horizontal="center" vertical="center"/>
    </xf>
    <xf numFmtId="0" fontId="41" fillId="5" borderId="30" xfId="0" applyFont="1" applyFill="1" applyBorder="1" applyAlignment="1" applyProtection="1">
      <alignment horizontal="left" vertical="center"/>
    </xf>
    <xf numFmtId="0" fontId="41" fillId="5" borderId="33" xfId="0" applyFont="1" applyFill="1" applyBorder="1" applyAlignment="1" applyProtection="1">
      <alignment horizontal="left" vertical="center"/>
    </xf>
    <xf numFmtId="0" fontId="41" fillId="5" borderId="58" xfId="0" applyFont="1" applyFill="1" applyBorder="1" applyAlignment="1" applyProtection="1">
      <alignment horizontal="left" vertical="center"/>
    </xf>
    <xf numFmtId="0" fontId="41" fillId="5" borderId="76" xfId="0" applyFont="1" applyFill="1" applyBorder="1" applyAlignment="1" applyProtection="1">
      <alignment horizontal="left" vertical="center"/>
    </xf>
    <xf numFmtId="0" fontId="41" fillId="5" borderId="93" xfId="0" applyFont="1" applyFill="1" applyBorder="1" applyAlignment="1" applyProtection="1">
      <alignment horizontal="left" vertical="center"/>
    </xf>
    <xf numFmtId="0" fontId="41" fillId="5" borderId="24" xfId="0" applyFont="1" applyFill="1" applyBorder="1" applyAlignment="1" applyProtection="1">
      <alignment horizontal="center" vertical="center"/>
    </xf>
    <xf numFmtId="0" fontId="41" fillId="5" borderId="48" xfId="0" applyFont="1" applyFill="1" applyBorder="1" applyAlignment="1" applyProtection="1">
      <alignment horizontal="left" vertical="center"/>
    </xf>
    <xf numFmtId="0" fontId="41" fillId="5" borderId="49" xfId="0" applyFont="1" applyFill="1" applyBorder="1" applyAlignment="1" applyProtection="1">
      <alignment horizontal="left" vertical="center"/>
    </xf>
    <xf numFmtId="0" fontId="41" fillId="5" borderId="29" xfId="0" applyFont="1" applyFill="1" applyBorder="1" applyAlignment="1" applyProtection="1">
      <alignment horizontal="left" vertical="center"/>
    </xf>
    <xf numFmtId="0" fontId="41" fillId="5" borderId="31" xfId="0" applyFont="1" applyFill="1" applyBorder="1" applyAlignment="1" applyProtection="1">
      <alignment horizontal="left" vertical="center"/>
    </xf>
    <xf numFmtId="0" fontId="41" fillId="5" borderId="34" xfId="0" applyFont="1" applyFill="1" applyBorder="1" applyAlignment="1" applyProtection="1">
      <alignment horizontal="left" vertical="center"/>
    </xf>
    <xf numFmtId="0" fontId="85" fillId="5" borderId="15" xfId="0" applyFont="1" applyFill="1" applyBorder="1" applyAlignment="1" applyProtection="1">
      <alignment horizontal="center" vertical="center"/>
    </xf>
    <xf numFmtId="1"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xf>
    <xf numFmtId="175" fontId="45" fillId="5" borderId="9" xfId="0" applyNumberFormat="1" applyFont="1" applyFill="1" applyBorder="1" applyAlignment="1" applyProtection="1">
      <alignment horizontal="left" vertical="center"/>
    </xf>
    <xf numFmtId="175" fontId="45" fillId="5" borderId="37"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xf>
    <xf numFmtId="0" fontId="45" fillId="5" borderId="86" xfId="0" applyFont="1" applyFill="1" applyBorder="1" applyAlignment="1" applyProtection="1">
      <alignment horizontal="center"/>
    </xf>
    <xf numFmtId="0" fontId="45" fillId="5" borderId="18" xfId="0" applyFont="1" applyFill="1" applyBorder="1" applyAlignment="1" applyProtection="1">
      <alignment horizontal="center"/>
    </xf>
    <xf numFmtId="0" fontId="45" fillId="5" borderId="16" xfId="0" applyFont="1" applyFill="1" applyBorder="1" applyAlignment="1" applyProtection="1">
      <alignment horizontal="center"/>
    </xf>
    <xf numFmtId="3" fontId="45" fillId="5" borderId="17" xfId="1" applyNumberFormat="1" applyFont="1" applyFill="1" applyBorder="1" applyAlignment="1" applyProtection="1">
      <alignment horizontal="center" vertical="center"/>
    </xf>
    <xf numFmtId="167" fontId="45" fillId="5" borderId="57" xfId="0" applyNumberFormat="1" applyFont="1" applyFill="1" applyBorder="1" applyAlignment="1" applyProtection="1">
      <alignment horizontal="left" vertical="center"/>
    </xf>
    <xf numFmtId="169" fontId="45" fillId="5" borderId="27" xfId="0" applyNumberFormat="1" applyFont="1" applyFill="1" applyBorder="1" applyAlignment="1" applyProtection="1">
      <alignment horizontal="left" vertical="center"/>
    </xf>
    <xf numFmtId="169" fontId="45" fillId="5" borderId="92" xfId="0" applyNumberFormat="1" applyFont="1" applyFill="1" applyBorder="1" applyAlignment="1" applyProtection="1">
      <alignment horizontal="left" vertical="center"/>
    </xf>
    <xf numFmtId="167" fontId="45" fillId="5" borderId="30" xfId="0" applyNumberFormat="1" applyFont="1" applyFill="1" applyBorder="1" applyAlignment="1" applyProtection="1">
      <alignment horizontal="left" vertical="center"/>
    </xf>
    <xf numFmtId="167" fontId="45" fillId="5" borderId="21" xfId="0" applyNumberFormat="1" applyFont="1" applyFill="1" applyBorder="1" applyAlignment="1" applyProtection="1">
      <alignment horizontal="left" vertical="center"/>
    </xf>
    <xf numFmtId="167" fontId="45" fillId="5" borderId="31" xfId="0" applyNumberFormat="1" applyFont="1" applyFill="1" applyBorder="1" applyAlignment="1" applyProtection="1">
      <alignment horizontal="left" vertical="center"/>
    </xf>
    <xf numFmtId="0" fontId="45" fillId="5" borderId="9" xfId="0" applyNumberFormat="1" applyFont="1" applyFill="1" applyBorder="1" applyAlignment="1" applyProtection="1">
      <alignment horizontal="left" vertical="center"/>
    </xf>
    <xf numFmtId="0" fontId="45" fillId="5" borderId="136" xfId="0" applyFont="1" applyFill="1" applyBorder="1" applyAlignment="1" applyProtection="1">
      <alignment horizontal="center" vertical="center"/>
    </xf>
    <xf numFmtId="3" fontId="45" fillId="5" borderId="136" xfId="0" applyNumberFormat="1" applyFont="1" applyFill="1" applyBorder="1" applyAlignment="1" applyProtection="1">
      <alignment horizontal="center" vertical="center"/>
    </xf>
    <xf numFmtId="3" fontId="45" fillId="5" borderId="18" xfId="0" applyNumberFormat="1" applyFont="1" applyFill="1" applyBorder="1" applyAlignment="1" applyProtection="1">
      <alignment horizontal="center" vertical="center"/>
    </xf>
    <xf numFmtId="0" fontId="41" fillId="5" borderId="78" xfId="0" applyFont="1" applyFill="1" applyBorder="1" applyAlignment="1" applyProtection="1">
      <alignment horizontal="center"/>
    </xf>
    <xf numFmtId="0" fontId="41" fillId="5" borderId="79" xfId="0" applyFont="1" applyFill="1" applyBorder="1" applyAlignment="1" applyProtection="1">
      <alignment horizontal="center"/>
    </xf>
    <xf numFmtId="6" fontId="45" fillId="5" borderId="133" xfId="0" applyNumberFormat="1" applyFont="1" applyFill="1" applyBorder="1" applyAlignment="1" applyProtection="1">
      <alignment horizontal="center" vertical="center"/>
    </xf>
    <xf numFmtId="6" fontId="45" fillId="5" borderId="92" xfId="0" applyNumberFormat="1" applyFont="1" applyFill="1" applyBorder="1" applyAlignment="1" applyProtection="1">
      <alignment horizontal="center" vertical="center"/>
    </xf>
    <xf numFmtId="6" fontId="45" fillId="5" borderId="30" xfId="0" applyNumberFormat="1" applyFont="1" applyFill="1" applyBorder="1" applyAlignment="1" applyProtection="1">
      <alignment horizontal="center" vertical="center"/>
    </xf>
    <xf numFmtId="6" fontId="45" fillId="5" borderId="31" xfId="0" applyNumberFormat="1" applyFont="1" applyFill="1" applyBorder="1" applyAlignment="1" applyProtection="1">
      <alignment horizontal="center" vertical="center"/>
    </xf>
    <xf numFmtId="6" fontId="45" fillId="5" borderId="33" xfId="0" applyNumberFormat="1" applyFont="1" applyFill="1" applyBorder="1" applyAlignment="1" applyProtection="1">
      <alignment horizontal="center" vertical="center"/>
    </xf>
    <xf numFmtId="6" fontId="45" fillId="5" borderId="34" xfId="0" applyNumberFormat="1" applyFont="1" applyFill="1" applyBorder="1" applyAlignment="1" applyProtection="1">
      <alignment horizontal="center" vertical="center"/>
    </xf>
    <xf numFmtId="175" fontId="45" fillId="5" borderId="30" xfId="0" applyNumberFormat="1" applyFont="1" applyFill="1" applyBorder="1" applyAlignment="1" applyProtection="1">
      <alignment horizontal="left" vertical="center"/>
    </xf>
    <xf numFmtId="175" fontId="45" fillId="5" borderId="31" xfId="0" applyNumberFormat="1" applyFont="1" applyFill="1" applyBorder="1" applyAlignment="1" applyProtection="1">
      <alignment horizontal="left" vertical="center"/>
    </xf>
    <xf numFmtId="175" fontId="45" fillId="5" borderId="33" xfId="0" applyNumberFormat="1" applyFont="1" applyFill="1" applyBorder="1" applyAlignment="1" applyProtection="1">
      <alignment horizontal="left" vertical="center"/>
    </xf>
    <xf numFmtId="175" fontId="45" fillId="5" borderId="34" xfId="0" applyNumberFormat="1" applyFont="1" applyFill="1" applyBorder="1" applyAlignment="1" applyProtection="1">
      <alignment horizontal="left" vertical="center"/>
    </xf>
    <xf numFmtId="0" fontId="41" fillId="5" borderId="78" xfId="0" applyFont="1" applyFill="1" applyBorder="1" applyAlignment="1" applyProtection="1">
      <alignment horizontal="left" vertical="top" wrapText="1"/>
    </xf>
    <xf numFmtId="0" fontId="41" fillId="5" borderId="82" xfId="0" applyFont="1" applyFill="1" applyBorder="1" applyAlignment="1" applyProtection="1">
      <alignment horizontal="left" vertical="top" wrapText="1"/>
    </xf>
    <xf numFmtId="0" fontId="41" fillId="5" borderId="79" xfId="0" applyFont="1" applyFill="1" applyBorder="1" applyAlignment="1" applyProtection="1">
      <alignment horizontal="left" vertical="top" wrapText="1"/>
    </xf>
    <xf numFmtId="0" fontId="41" fillId="4" borderId="78" xfId="0" applyFont="1" applyFill="1" applyBorder="1" applyAlignment="1" applyProtection="1">
      <alignment horizontal="left" vertical="top" wrapText="1"/>
    </xf>
    <xf numFmtId="0" fontId="41" fillId="4" borderId="82" xfId="0" applyFont="1" applyFill="1" applyBorder="1" applyAlignment="1" applyProtection="1">
      <alignment horizontal="left" vertical="top" wrapText="1"/>
    </xf>
    <xf numFmtId="0" fontId="41" fillId="4" borderId="79" xfId="0" applyFont="1" applyFill="1" applyBorder="1" applyAlignment="1" applyProtection="1">
      <alignment horizontal="left" vertical="top" wrapText="1"/>
    </xf>
    <xf numFmtId="0" fontId="79" fillId="0" borderId="0" xfId="0" quotePrefix="1" applyNumberFormat="1" applyFont="1" applyProtection="1"/>
    <xf numFmtId="0" fontId="113" fillId="0" borderId="0" xfId="0" applyNumberFormat="1" applyFont="1" applyProtection="1"/>
    <xf numFmtId="0" fontId="113" fillId="0" borderId="0" xfId="0" applyFont="1" applyProtection="1"/>
    <xf numFmtId="0" fontId="95" fillId="0" borderId="0" xfId="0" applyFont="1" applyProtection="1"/>
    <xf numFmtId="0" fontId="84" fillId="0" borderId="0" xfId="0" applyNumberFormat="1" applyFont="1" applyProtection="1"/>
    <xf numFmtId="0" fontId="84" fillId="0" borderId="0" xfId="0" applyFont="1" applyProtection="1"/>
    <xf numFmtId="0" fontId="103" fillId="0" borderId="0" xfId="0" applyFont="1" applyProtection="1"/>
    <xf numFmtId="0" fontId="95" fillId="0" borderId="0" xfId="0" applyNumberFormat="1" applyFont="1" applyProtection="1"/>
    <xf numFmtId="0" fontId="45" fillId="5" borderId="133" xfId="0" applyFont="1" applyFill="1" applyBorder="1" applyAlignment="1" applyProtection="1">
      <alignment horizontal="left" vertical="center"/>
    </xf>
    <xf numFmtId="0" fontId="45" fillId="0" borderId="134" xfId="0" applyFont="1" applyBorder="1" applyProtection="1"/>
    <xf numFmtId="0" fontId="45" fillId="0" borderId="135" xfId="0" applyFont="1" applyBorder="1" applyProtection="1"/>
    <xf numFmtId="0" fontId="45" fillId="0" borderId="19" xfId="0" applyFont="1" applyBorder="1" applyProtection="1"/>
    <xf numFmtId="0" fontId="45" fillId="0" borderId="58" xfId="0" applyFont="1" applyBorder="1" applyProtection="1"/>
    <xf numFmtId="0" fontId="45" fillId="0" borderId="32" xfId="0" applyFont="1" applyBorder="1" applyProtection="1"/>
    <xf numFmtId="0" fontId="59" fillId="0" borderId="0" xfId="0" applyFont="1" applyFill="1" applyAlignment="1" applyProtection="1">
      <alignment horizontal="center" vertical="center"/>
    </xf>
    <xf numFmtId="169" fontId="45" fillId="5" borderId="78" xfId="0" applyNumberFormat="1" applyFont="1" applyFill="1" applyBorder="1" applyAlignment="1" applyProtection="1">
      <alignment horizontal="center" vertical="center"/>
    </xf>
    <xf numFmtId="0" fontId="45" fillId="0" borderId="79" xfId="0" applyFont="1" applyBorder="1" applyProtection="1"/>
    <xf numFmtId="0" fontId="45" fillId="10" borderId="30" xfId="0" applyFont="1" applyFill="1" applyBorder="1" applyAlignment="1" applyProtection="1">
      <alignment horizontal="center" vertical="center"/>
    </xf>
    <xf numFmtId="0" fontId="45" fillId="10" borderId="31" xfId="0" applyFont="1" applyFill="1" applyBorder="1" applyAlignment="1" applyProtection="1">
      <alignment horizontal="center" vertical="center"/>
    </xf>
    <xf numFmtId="167" fontId="45" fillId="5" borderId="9" xfId="0" applyNumberFormat="1" applyFont="1" applyFill="1" applyBorder="1" applyAlignment="1" applyProtection="1">
      <alignment horizontal="left" vertical="center"/>
    </xf>
    <xf numFmtId="167" fontId="45" fillId="5" borderId="79" xfId="0" applyNumberFormat="1" applyFont="1" applyFill="1" applyBorder="1" applyAlignment="1" applyProtection="1">
      <alignment horizontal="left" vertical="center"/>
    </xf>
    <xf numFmtId="0" fontId="45" fillId="5" borderId="79" xfId="0" applyFont="1" applyFill="1" applyBorder="1" applyAlignment="1" applyProtection="1">
      <alignment horizontal="center"/>
    </xf>
    <xf numFmtId="0" fontId="68" fillId="0" borderId="0" xfId="6" applyFont="1" applyFill="1" applyAlignment="1" applyProtection="1">
      <alignment vertical="center"/>
    </xf>
    <xf numFmtId="0" fontId="108" fillId="0" borderId="0" xfId="6" applyFont="1" applyFill="1" applyBorder="1" applyAlignment="1" applyProtection="1">
      <alignment vertical="center"/>
    </xf>
    <xf numFmtId="0" fontId="45" fillId="0" borderId="31" xfId="0" applyFont="1" applyBorder="1" applyAlignment="1" applyProtection="1">
      <alignment horizontal="left"/>
    </xf>
    <xf numFmtId="167" fontId="45" fillId="5" borderId="37" xfId="0" applyNumberFormat="1" applyFont="1" applyFill="1" applyBorder="1" applyAlignment="1" applyProtection="1">
      <alignment horizontal="left" vertical="center"/>
    </xf>
    <xf numFmtId="0" fontId="45" fillId="5" borderId="37" xfId="0" applyFont="1" applyFill="1" applyBorder="1" applyAlignment="1" applyProtection="1">
      <alignment horizontal="center"/>
    </xf>
    <xf numFmtId="167" fontId="45" fillId="0" borderId="2" xfId="0" applyNumberFormat="1" applyFont="1" applyFill="1" applyBorder="1" applyAlignment="1" applyProtection="1">
      <alignment vertical="center"/>
    </xf>
    <xf numFmtId="167" fontId="45" fillId="0" borderId="0" xfId="0" applyNumberFormat="1" applyFont="1" applyFill="1" applyBorder="1" applyAlignment="1" applyProtection="1">
      <alignment vertical="center"/>
    </xf>
    <xf numFmtId="1" fontId="45" fillId="0" borderId="0" xfId="0" applyNumberFormat="1" applyFont="1" applyFill="1" applyBorder="1" applyAlignment="1" applyProtection="1">
      <alignment horizontal="center" vertical="center"/>
    </xf>
    <xf numFmtId="167" fontId="45" fillId="0" borderId="13" xfId="0" applyNumberFormat="1" applyFont="1" applyFill="1" applyBorder="1" applyAlignment="1" applyProtection="1">
      <alignment vertical="center"/>
    </xf>
    <xf numFmtId="0" fontId="45" fillId="5" borderId="134" xfId="0" applyFont="1" applyFill="1" applyBorder="1" applyAlignment="1" applyProtection="1">
      <alignment horizontal="left" vertical="center"/>
    </xf>
    <xf numFmtId="0" fontId="45" fillId="5" borderId="135" xfId="0" applyFont="1" applyFill="1" applyBorder="1" applyAlignment="1" applyProtection="1">
      <alignment horizontal="left" vertical="center"/>
    </xf>
    <xf numFmtId="167" fontId="45" fillId="5" borderId="133" xfId="0" applyNumberFormat="1" applyFont="1" applyFill="1" applyBorder="1" applyAlignment="1" applyProtection="1">
      <alignment horizontal="left" vertical="center"/>
    </xf>
    <xf numFmtId="167" fontId="45" fillId="0" borderId="134" xfId="0" applyNumberFormat="1" applyFont="1" applyBorder="1" applyProtection="1"/>
    <xf numFmtId="167" fontId="45" fillId="0" borderId="135" xfId="0" applyNumberFormat="1" applyFont="1" applyBorder="1" applyProtection="1"/>
    <xf numFmtId="0" fontId="45" fillId="0" borderId="13" xfId="0" applyFont="1" applyBorder="1" applyProtection="1"/>
    <xf numFmtId="0" fontId="45" fillId="0" borderId="0" xfId="0" applyFont="1" applyBorder="1" applyProtection="1"/>
    <xf numFmtId="0" fontId="45" fillId="0" borderId="14" xfId="0" applyFont="1" applyBorder="1" applyProtection="1"/>
    <xf numFmtId="0" fontId="45" fillId="5" borderId="27" xfId="0" applyFont="1" applyFill="1" applyBorder="1" applyAlignment="1" applyProtection="1">
      <alignment horizontal="left" vertical="center"/>
    </xf>
    <xf numFmtId="0" fontId="45" fillId="5" borderId="18" xfId="0" applyFont="1" applyFill="1" applyBorder="1" applyAlignment="1" applyProtection="1">
      <alignment horizontal="left" vertical="center"/>
    </xf>
    <xf numFmtId="0" fontId="85" fillId="0" borderId="84" xfId="0" applyFont="1" applyFill="1" applyBorder="1" applyAlignment="1" applyProtection="1">
      <alignment horizontal="center" vertical="center"/>
    </xf>
    <xf numFmtId="0" fontId="45" fillId="0" borderId="78" xfId="0" applyFont="1" applyFill="1" applyBorder="1" applyAlignment="1" applyProtection="1">
      <alignment horizontal="left" vertical="center" wrapText="1"/>
    </xf>
    <xf numFmtId="0" fontId="45" fillId="0" borderId="82" xfId="0" applyFont="1" applyFill="1" applyBorder="1" applyAlignment="1" applyProtection="1">
      <alignment horizontal="left" vertical="center" wrapText="1"/>
    </xf>
    <xf numFmtId="0" fontId="45" fillId="0" borderId="79" xfId="0" applyFont="1" applyFill="1" applyBorder="1" applyAlignment="1" applyProtection="1">
      <alignment horizontal="left" vertical="center" wrapText="1"/>
    </xf>
    <xf numFmtId="0" fontId="45" fillId="5" borderId="15" xfId="0" applyFont="1" applyFill="1" applyBorder="1" applyAlignment="1" applyProtection="1">
      <alignment horizontal="center" vertical="top"/>
    </xf>
    <xf numFmtId="0" fontId="42" fillId="5" borderId="57" xfId="0" applyFont="1" applyFill="1" applyBorder="1" applyAlignment="1" applyProtection="1">
      <alignment horizontal="left" vertical="top" wrapText="1"/>
    </xf>
    <xf numFmtId="0" fontId="42" fillId="5" borderId="29" xfId="0" applyFont="1" applyFill="1" applyBorder="1" applyAlignment="1" applyProtection="1">
      <alignment horizontal="left" vertical="top" wrapText="1"/>
    </xf>
    <xf numFmtId="0" fontId="45" fillId="10" borderId="77" xfId="0" applyFont="1" applyFill="1" applyBorder="1" applyAlignment="1" applyProtection="1">
      <alignment horizontal="left" vertical="top" wrapText="1"/>
    </xf>
    <xf numFmtId="0" fontId="45" fillId="10" borderId="21" xfId="0" applyFont="1" applyFill="1" applyBorder="1" applyAlignment="1" applyProtection="1">
      <alignment horizontal="left" vertical="top" wrapText="1"/>
    </xf>
    <xf numFmtId="0" fontId="42" fillId="5" borderId="28" xfId="0" applyFont="1" applyFill="1" applyBorder="1" applyAlignment="1" applyProtection="1">
      <alignment horizontal="left" vertical="top" wrapText="1"/>
    </xf>
    <xf numFmtId="0" fontId="45" fillId="5" borderId="23" xfId="0" applyFont="1" applyFill="1" applyBorder="1" applyAlignment="1" applyProtection="1">
      <alignment horizontal="center" vertical="top"/>
    </xf>
    <xf numFmtId="0" fontId="45" fillId="5" borderId="16" xfId="0" applyFont="1" applyFill="1" applyBorder="1" applyAlignment="1" applyProtection="1">
      <alignment horizontal="center" vertical="top"/>
    </xf>
    <xf numFmtId="0" fontId="45" fillId="5" borderId="16" xfId="0" applyNumberFormat="1" applyFont="1" applyFill="1" applyBorder="1" applyAlignment="1" applyProtection="1">
      <alignment horizontal="center" vertical="top"/>
    </xf>
    <xf numFmtId="174" fontId="45" fillId="5" borderId="16" xfId="10" applyNumberFormat="1" applyFont="1" applyFill="1" applyBorder="1" applyAlignment="1" applyProtection="1">
      <alignment horizontal="center" vertical="top"/>
    </xf>
    <xf numFmtId="0" fontId="45" fillId="5" borderId="51" xfId="0" applyFont="1" applyFill="1" applyBorder="1" applyAlignment="1" applyProtection="1">
      <alignment horizontal="center" vertical="top"/>
    </xf>
    <xf numFmtId="0" fontId="42" fillId="5" borderId="96" xfId="0" applyFont="1" applyFill="1" applyBorder="1" applyAlignment="1" applyProtection="1">
      <alignment horizontal="left" vertical="top" wrapText="1"/>
    </xf>
    <xf numFmtId="0" fontId="45" fillId="5" borderId="25" xfId="0" applyFont="1" applyFill="1" applyBorder="1" applyAlignment="1" applyProtection="1">
      <alignment horizontal="center" vertical="top"/>
    </xf>
    <xf numFmtId="0" fontId="45" fillId="5" borderId="17" xfId="0" applyFont="1" applyFill="1" applyBorder="1" applyAlignment="1" applyProtection="1">
      <alignment horizontal="center" vertical="top"/>
    </xf>
    <xf numFmtId="0" fontId="45" fillId="5" borderId="17" xfId="0" applyNumberFormat="1" applyFont="1" applyFill="1" applyBorder="1" applyAlignment="1" applyProtection="1">
      <alignment horizontal="center" vertical="top"/>
    </xf>
    <xf numFmtId="174" fontId="45" fillId="5" borderId="17" xfId="10" applyNumberFormat="1" applyFont="1" applyFill="1" applyBorder="1" applyAlignment="1" applyProtection="1">
      <alignment horizontal="center" vertical="top"/>
    </xf>
    <xf numFmtId="0" fontId="45" fillId="5" borderId="50" xfId="0" applyFont="1" applyFill="1" applyBorder="1" applyAlignment="1" applyProtection="1">
      <alignment horizontal="center" vertical="top"/>
    </xf>
    <xf numFmtId="0" fontId="42" fillId="5" borderId="77" xfId="0" applyFont="1" applyFill="1" applyBorder="1" applyAlignment="1" applyProtection="1">
      <alignment horizontal="left" vertical="top" wrapText="1"/>
    </xf>
    <xf numFmtId="0" fontId="45" fillId="5" borderId="24" xfId="0" applyFont="1" applyFill="1" applyBorder="1" applyAlignment="1" applyProtection="1">
      <alignment horizontal="center" vertical="top"/>
    </xf>
    <xf numFmtId="0" fontId="45" fillId="5" borderId="18" xfId="0" applyFont="1" applyFill="1" applyBorder="1" applyAlignment="1" applyProtection="1">
      <alignment horizontal="center" vertical="top"/>
    </xf>
    <xf numFmtId="0" fontId="45" fillId="5" borderId="18" xfId="0" applyNumberFormat="1" applyFont="1" applyFill="1" applyBorder="1" applyAlignment="1" applyProtection="1">
      <alignment horizontal="center" vertical="top"/>
    </xf>
    <xf numFmtId="174" fontId="45" fillId="5" borderId="18" xfId="10" applyNumberFormat="1" applyFont="1" applyFill="1" applyBorder="1" applyAlignment="1" applyProtection="1">
      <alignment horizontal="center" vertical="top"/>
    </xf>
    <xf numFmtId="0" fontId="45" fillId="5" borderId="48" xfId="0" applyFont="1" applyFill="1" applyBorder="1" applyAlignment="1" applyProtection="1">
      <alignment horizontal="center" vertical="top"/>
    </xf>
    <xf numFmtId="0" fontId="42" fillId="5" borderId="93" xfId="0" applyFont="1" applyFill="1" applyBorder="1" applyAlignment="1" applyProtection="1">
      <alignment horizontal="left" vertical="top" wrapText="1"/>
    </xf>
    <xf numFmtId="0" fontId="41" fillId="5" borderId="36" xfId="0" applyFont="1" applyFill="1" applyBorder="1" applyAlignment="1" applyProtection="1">
      <alignment horizontal="left" vertical="top" wrapText="1"/>
    </xf>
    <xf numFmtId="0" fontId="41" fillId="5" borderId="2" xfId="0" applyFont="1" applyFill="1" applyBorder="1" applyAlignment="1" applyProtection="1">
      <alignment horizontal="left" vertical="top" wrapText="1"/>
    </xf>
    <xf numFmtId="0" fontId="41" fillId="5" borderId="37" xfId="0" applyFont="1" applyFill="1" applyBorder="1" applyAlignment="1" applyProtection="1">
      <alignment horizontal="left" vertical="top" wrapText="1"/>
    </xf>
    <xf numFmtId="0" fontId="41" fillId="4" borderId="36" xfId="0" applyFont="1" applyFill="1" applyBorder="1" applyAlignment="1" applyProtection="1">
      <alignment horizontal="left" vertical="top" wrapText="1"/>
    </xf>
    <xf numFmtId="0" fontId="41" fillId="4" borderId="2" xfId="0" applyFont="1" applyFill="1" applyBorder="1" applyAlignment="1" applyProtection="1">
      <alignment horizontal="left" vertical="top" wrapText="1"/>
    </xf>
    <xf numFmtId="0" fontId="41" fillId="4" borderId="37" xfId="0" applyFont="1" applyFill="1" applyBorder="1" applyAlignment="1" applyProtection="1">
      <alignment horizontal="left" vertical="top" wrapText="1"/>
    </xf>
    <xf numFmtId="0" fontId="60" fillId="0" borderId="0" xfId="0" applyFont="1" applyAlignment="1" applyProtection="1">
      <alignment vertical="center"/>
    </xf>
    <xf numFmtId="0" fontId="58" fillId="0" borderId="0" xfId="0" applyFont="1" applyProtection="1"/>
    <xf numFmtId="37" fontId="45" fillId="5" borderId="78" xfId="0" applyNumberFormat="1" applyFont="1" applyFill="1" applyBorder="1" applyAlignment="1" applyProtection="1">
      <alignment horizontal="left" vertical="center"/>
    </xf>
    <xf numFmtId="0" fontId="41" fillId="13" borderId="43" xfId="0" applyFont="1" applyFill="1" applyBorder="1" applyAlignment="1" applyProtection="1">
      <alignment horizontal="left" vertical="top" wrapText="1"/>
    </xf>
    <xf numFmtId="0" fontId="41" fillId="13" borderId="39" xfId="0" applyFont="1" applyFill="1" applyBorder="1" applyAlignment="1" applyProtection="1">
      <alignment horizontal="left" vertical="top" wrapText="1"/>
    </xf>
    <xf numFmtId="37" fontId="45" fillId="5" borderId="133" xfId="0" applyNumberFormat="1" applyFont="1" applyFill="1" applyBorder="1" applyAlignment="1" applyProtection="1">
      <alignment horizontal="left" vertical="center"/>
    </xf>
    <xf numFmtId="0" fontId="0" fillId="0" borderId="135" xfId="0" applyBorder="1" applyAlignment="1" applyProtection="1">
      <alignment horizontal="left" vertical="center"/>
    </xf>
    <xf numFmtId="0" fontId="41" fillId="13" borderId="40" xfId="0" applyFont="1" applyFill="1" applyBorder="1" applyAlignment="1" applyProtection="1">
      <alignment horizontal="left" vertical="top" wrapText="1"/>
    </xf>
    <xf numFmtId="0" fontId="41" fillId="13" borderId="41" xfId="0" applyFont="1" applyFill="1" applyBorder="1" applyAlignment="1" applyProtection="1">
      <alignment horizontal="left" vertical="top" wrapText="1"/>
    </xf>
    <xf numFmtId="0" fontId="41" fillId="10" borderId="9" xfId="0" applyFont="1" applyFill="1" applyBorder="1" applyAlignment="1" applyProtection="1">
      <alignment horizontal="left" vertical="center"/>
    </xf>
    <xf numFmtId="0" fontId="41" fillId="10" borderId="13" xfId="0" applyFont="1" applyFill="1" applyBorder="1" applyAlignment="1" applyProtection="1">
      <alignment horizontal="left" vertical="center"/>
    </xf>
    <xf numFmtId="0" fontId="41" fillId="10" borderId="79" xfId="0" applyFont="1" applyFill="1" applyBorder="1" applyAlignment="1" applyProtection="1">
      <alignment horizontal="left" vertical="center"/>
    </xf>
    <xf numFmtId="0" fontId="41" fillId="13" borderId="42" xfId="0" applyFont="1" applyFill="1" applyBorder="1" applyAlignment="1" applyProtection="1">
      <alignment horizontal="left" vertical="top" wrapText="1"/>
    </xf>
    <xf numFmtId="0" fontId="41" fillId="13" borderId="59" xfId="0" applyFont="1" applyFill="1" applyBorder="1" applyAlignment="1" applyProtection="1">
      <alignment horizontal="left" vertical="top" wrapText="1"/>
    </xf>
    <xf numFmtId="0" fontId="41" fillId="10" borderId="78" xfId="0" applyFont="1" applyFill="1" applyBorder="1" applyAlignment="1" applyProtection="1">
      <alignment horizontal="left" vertical="center"/>
    </xf>
    <xf numFmtId="0" fontId="41" fillId="10" borderId="82" xfId="0" applyFont="1" applyFill="1" applyBorder="1" applyAlignment="1" applyProtection="1">
      <alignment horizontal="left" vertical="center"/>
    </xf>
    <xf numFmtId="0" fontId="45" fillId="5" borderId="48" xfId="0" applyFont="1" applyFill="1" applyBorder="1" applyAlignment="1" applyProtection="1">
      <alignment horizontal="center" vertical="center"/>
    </xf>
    <xf numFmtId="0" fontId="41" fillId="10" borderId="33" xfId="0" applyFont="1" applyFill="1" applyBorder="1" applyAlignment="1" applyProtection="1">
      <alignment horizontal="left" vertical="center"/>
    </xf>
    <xf numFmtId="0" fontId="41" fillId="10" borderId="58" xfId="0" applyFont="1" applyFill="1" applyBorder="1" applyAlignment="1" applyProtection="1">
      <alignment horizontal="left" vertical="center"/>
    </xf>
    <xf numFmtId="0" fontId="41" fillId="10" borderId="34" xfId="0" applyFont="1" applyFill="1" applyBorder="1" applyAlignment="1" applyProtection="1">
      <alignment horizontal="left" vertical="center"/>
    </xf>
    <xf numFmtId="0" fontId="45" fillId="5" borderId="116" xfId="0" applyFont="1" applyFill="1" applyBorder="1" applyAlignment="1" applyProtection="1">
      <alignment horizontal="center" vertical="center"/>
    </xf>
    <xf numFmtId="3" fontId="45" fillId="10" borderId="78" xfId="0" applyNumberFormat="1" applyFont="1" applyFill="1" applyBorder="1" applyAlignment="1" applyProtection="1">
      <alignment horizontal="left" vertical="center"/>
    </xf>
    <xf numFmtId="3" fontId="45" fillId="10" borderId="79" xfId="0" applyNumberFormat="1" applyFont="1" applyFill="1" applyBorder="1" applyAlignment="1" applyProtection="1">
      <alignment horizontal="left" vertical="center"/>
    </xf>
    <xf numFmtId="0" fontId="45" fillId="5" borderId="28" xfId="0" applyFont="1" applyFill="1" applyBorder="1" applyAlignment="1" applyProtection="1">
      <alignment horizontal="left" vertical="center" wrapText="1"/>
    </xf>
    <xf numFmtId="0" fontId="45" fillId="5" borderId="57" xfId="0" applyFont="1" applyFill="1" applyBorder="1" applyAlignment="1" applyProtection="1">
      <alignment horizontal="left" vertical="center" wrapText="1"/>
    </xf>
    <xf numFmtId="0" fontId="45" fillId="5" borderId="29" xfId="0" applyFont="1" applyFill="1" applyBorder="1" applyAlignment="1" applyProtection="1">
      <alignment horizontal="left" vertical="center" wrapText="1"/>
    </xf>
    <xf numFmtId="164" fontId="45" fillId="5" borderId="28" xfId="1" applyNumberFormat="1" applyFont="1" applyFill="1" applyBorder="1" applyAlignment="1" applyProtection="1">
      <alignment horizontal="right" vertical="center"/>
    </xf>
    <xf numFmtId="164" fontId="45" fillId="5" borderId="29" xfId="1" applyNumberFormat="1" applyFont="1" applyFill="1" applyBorder="1" applyAlignment="1" applyProtection="1">
      <alignment horizontal="right" vertical="center"/>
    </xf>
    <xf numFmtId="166" fontId="45" fillId="5" borderId="28" xfId="10" applyNumberFormat="1" applyFont="1" applyFill="1" applyBorder="1" applyAlignment="1" applyProtection="1">
      <alignment horizontal="center" vertical="center"/>
    </xf>
    <xf numFmtId="166" fontId="45" fillId="5" borderId="29" xfId="10" applyNumberFormat="1" applyFont="1" applyFill="1" applyBorder="1" applyAlignment="1" applyProtection="1">
      <alignment horizontal="center" vertical="center"/>
    </xf>
    <xf numFmtId="3" fontId="45" fillId="5" borderId="28" xfId="1" applyNumberFormat="1" applyFont="1" applyFill="1" applyBorder="1" applyAlignment="1" applyProtection="1">
      <alignment horizontal="center" vertical="center"/>
    </xf>
    <xf numFmtId="3" fontId="45" fillId="5" borderId="29" xfId="1" applyNumberFormat="1" applyFont="1" applyFill="1" applyBorder="1" applyAlignment="1" applyProtection="1">
      <alignment horizontal="center" vertical="center"/>
    </xf>
    <xf numFmtId="0" fontId="45" fillId="5" borderId="30" xfId="0" applyFont="1" applyFill="1" applyBorder="1" applyAlignment="1" applyProtection="1">
      <alignment horizontal="left" vertical="center" wrapText="1"/>
    </xf>
    <xf numFmtId="0" fontId="45" fillId="5" borderId="21" xfId="0" applyFont="1" applyFill="1" applyBorder="1" applyAlignment="1" applyProtection="1">
      <alignment horizontal="left" vertical="center" wrapText="1"/>
    </xf>
    <xf numFmtId="0" fontId="45" fillId="5" borderId="31" xfId="0" applyFont="1" applyFill="1" applyBorder="1" applyAlignment="1" applyProtection="1">
      <alignment horizontal="left" vertical="center" wrapText="1"/>
    </xf>
    <xf numFmtId="164" fontId="45" fillId="5" borderId="30" xfId="1" applyNumberFormat="1" applyFont="1" applyFill="1" applyBorder="1" applyAlignment="1" applyProtection="1">
      <alignment horizontal="right" vertical="center"/>
    </xf>
    <xf numFmtId="164" fontId="45" fillId="5" borderId="31" xfId="1" applyNumberFormat="1" applyFont="1" applyFill="1" applyBorder="1" applyAlignment="1" applyProtection="1">
      <alignment horizontal="right" vertical="center"/>
    </xf>
    <xf numFmtId="166" fontId="45" fillId="5" borderId="30" xfId="10" applyNumberFormat="1" applyFont="1" applyFill="1" applyBorder="1" applyAlignment="1" applyProtection="1">
      <alignment horizontal="center" vertical="center"/>
    </xf>
    <xf numFmtId="166" fontId="45" fillId="5" borderId="31" xfId="10" applyNumberFormat="1" applyFont="1" applyFill="1" applyBorder="1" applyAlignment="1" applyProtection="1">
      <alignment horizontal="center" vertical="center"/>
    </xf>
    <xf numFmtId="3" fontId="45" fillId="5" borderId="30" xfId="0" applyNumberFormat="1" applyFont="1" applyFill="1" applyBorder="1" applyAlignment="1" applyProtection="1">
      <alignment horizontal="center" vertical="center"/>
    </xf>
    <xf numFmtId="3" fontId="45" fillId="5" borderId="31" xfId="0" applyNumberFormat="1" applyFont="1" applyFill="1" applyBorder="1" applyAlignment="1" applyProtection="1">
      <alignment horizontal="center" vertical="center"/>
    </xf>
    <xf numFmtId="0" fontId="45" fillId="5" borderId="33" xfId="0" applyFont="1" applyFill="1" applyBorder="1" applyAlignment="1" applyProtection="1">
      <alignment horizontal="left" vertical="center" wrapText="1"/>
    </xf>
    <xf numFmtId="0" fontId="45" fillId="5" borderId="58" xfId="0" applyFont="1" applyFill="1" applyBorder="1" applyAlignment="1" applyProtection="1">
      <alignment horizontal="left" vertical="center" wrapText="1"/>
    </xf>
    <xf numFmtId="0" fontId="45" fillId="5" borderId="34" xfId="0" applyFont="1" applyFill="1" applyBorder="1" applyAlignment="1" applyProtection="1">
      <alignment horizontal="left" vertical="center" wrapText="1"/>
    </xf>
    <xf numFmtId="164" fontId="45" fillId="5" borderId="33" xfId="1" applyNumberFormat="1" applyFont="1" applyFill="1" applyBorder="1" applyAlignment="1" applyProtection="1">
      <alignment horizontal="right" vertical="center"/>
    </xf>
    <xf numFmtId="164" fontId="45" fillId="5" borderId="34" xfId="1" applyNumberFormat="1" applyFont="1" applyFill="1" applyBorder="1" applyAlignment="1" applyProtection="1">
      <alignment horizontal="right" vertical="center"/>
    </xf>
    <xf numFmtId="166" fontId="45" fillId="5" borderId="33" xfId="10" applyNumberFormat="1" applyFont="1" applyFill="1" applyBorder="1" applyAlignment="1" applyProtection="1">
      <alignment horizontal="center" vertical="center"/>
    </xf>
    <xf numFmtId="166" fontId="45" fillId="5" borderId="34" xfId="10" applyNumberFormat="1" applyFont="1" applyFill="1" applyBorder="1" applyAlignment="1" applyProtection="1">
      <alignment horizontal="center" vertical="center"/>
    </xf>
    <xf numFmtId="3" fontId="45" fillId="5" borderId="33" xfId="0" applyNumberFormat="1" applyFont="1" applyFill="1" applyBorder="1" applyAlignment="1" applyProtection="1">
      <alignment horizontal="center" vertical="center"/>
    </xf>
    <xf numFmtId="3" fontId="45" fillId="5" borderId="34" xfId="0" applyNumberFormat="1" applyFont="1" applyFill="1" applyBorder="1" applyAlignment="1" applyProtection="1">
      <alignment horizontal="center" vertical="center"/>
    </xf>
    <xf numFmtId="0" fontId="45" fillId="5" borderId="27" xfId="0" applyFont="1" applyFill="1" applyBorder="1" applyAlignment="1" applyProtection="1">
      <alignment horizontal="left" vertical="center" wrapText="1"/>
    </xf>
    <xf numFmtId="0" fontId="45" fillId="5" borderId="20" xfId="0" applyFont="1" applyFill="1" applyBorder="1" applyAlignment="1" applyProtection="1">
      <alignment horizontal="left" vertical="center" wrapText="1"/>
    </xf>
    <xf numFmtId="0" fontId="45" fillId="5" borderId="92" xfId="0" applyFont="1" applyFill="1" applyBorder="1" applyAlignment="1" applyProtection="1">
      <alignment horizontal="left" vertical="center" wrapText="1"/>
    </xf>
    <xf numFmtId="164" fontId="45" fillId="5" borderId="27" xfId="1" applyNumberFormat="1" applyFont="1" applyFill="1" applyBorder="1" applyAlignment="1" applyProtection="1">
      <alignment horizontal="right" vertical="center"/>
    </xf>
    <xf numFmtId="164" fontId="45" fillId="5" borderId="92" xfId="1" applyNumberFormat="1" applyFont="1" applyFill="1" applyBorder="1" applyAlignment="1" applyProtection="1">
      <alignment horizontal="right" vertical="center"/>
    </xf>
    <xf numFmtId="0" fontId="45" fillId="5" borderId="16" xfId="0" applyFont="1" applyFill="1" applyBorder="1" applyAlignment="1" applyProtection="1">
      <alignment horizontal="left" vertical="center" wrapText="1"/>
    </xf>
    <xf numFmtId="0" fontId="45" fillId="5" borderId="17" xfId="0" applyFont="1" applyFill="1" applyBorder="1" applyAlignment="1" applyProtection="1">
      <alignment horizontal="left" vertical="center" wrapText="1"/>
    </xf>
    <xf numFmtId="0" fontId="45" fillId="5" borderId="18" xfId="0" applyFont="1" applyFill="1" applyBorder="1" applyAlignment="1" applyProtection="1">
      <alignment horizontal="left" vertical="center" wrapText="1"/>
    </xf>
    <xf numFmtId="38" fontId="53" fillId="11" borderId="36" xfId="2" applyNumberFormat="1" applyFont="1" applyFill="1" applyBorder="1" applyAlignment="1" applyProtection="1">
      <alignment horizontal="right" vertical="center"/>
    </xf>
    <xf numFmtId="38" fontId="53" fillId="11" borderId="37" xfId="2" applyNumberFormat="1" applyFont="1" applyFill="1" applyBorder="1" applyAlignment="1" applyProtection="1">
      <alignment horizontal="right" vertical="center"/>
    </xf>
    <xf numFmtId="0" fontId="45" fillId="0" borderId="13" xfId="0" applyFont="1" applyBorder="1" applyAlignment="1" applyProtection="1">
      <alignment horizontal="center" wrapText="1"/>
    </xf>
    <xf numFmtId="38" fontId="45" fillId="5" borderId="16" xfId="0" applyNumberFormat="1" applyFont="1" applyFill="1" applyBorder="1" applyAlignment="1" applyProtection="1">
      <alignment horizontal="right" vertical="center"/>
    </xf>
    <xf numFmtId="0" fontId="45" fillId="5" borderId="16" xfId="0" applyFont="1" applyFill="1" applyBorder="1" applyAlignment="1" applyProtection="1">
      <alignment vertical="center"/>
    </xf>
    <xf numFmtId="166" fontId="45" fillId="5" borderId="16" xfId="0" applyNumberFormat="1" applyFont="1" applyFill="1" applyBorder="1" applyAlignment="1" applyProtection="1">
      <alignment horizontal="center" vertical="center"/>
    </xf>
    <xf numFmtId="0" fontId="45" fillId="5" borderId="16" xfId="0" applyFont="1" applyFill="1" applyBorder="1" applyAlignment="1" applyProtection="1">
      <alignment horizontal="center" vertical="center"/>
    </xf>
    <xf numFmtId="38" fontId="45" fillId="6" borderId="16" xfId="2" applyNumberFormat="1" applyFont="1" applyFill="1" applyBorder="1" applyAlignment="1" applyProtection="1">
      <alignment horizontal="center" vertical="center"/>
    </xf>
    <xf numFmtId="38" fontId="45" fillId="5" borderId="17" xfId="0" applyNumberFormat="1" applyFont="1" applyFill="1" applyBorder="1" applyAlignment="1" applyProtection="1">
      <alignment horizontal="right" vertical="center"/>
    </xf>
    <xf numFmtId="0" fontId="45" fillId="5" borderId="17" xfId="0" applyFont="1" applyFill="1" applyBorder="1" applyAlignment="1" applyProtection="1">
      <alignment vertical="center"/>
    </xf>
    <xf numFmtId="166" fontId="45" fillId="5" borderId="17" xfId="0" applyNumberFormat="1" applyFont="1" applyFill="1" applyBorder="1" applyAlignment="1" applyProtection="1">
      <alignment horizontal="center" vertical="center"/>
    </xf>
    <xf numFmtId="0" fontId="45" fillId="5" borderId="17" xfId="0" applyFont="1" applyFill="1" applyBorder="1" applyAlignment="1" applyProtection="1">
      <alignment horizontal="center" vertical="center"/>
    </xf>
    <xf numFmtId="38" fontId="45" fillId="6" borderId="17" xfId="2" applyNumberFormat="1" applyFont="1" applyFill="1" applyBorder="1" applyAlignment="1" applyProtection="1">
      <alignment horizontal="center" vertical="center"/>
    </xf>
    <xf numFmtId="0" fontId="45" fillId="5" borderId="78" xfId="0" applyFont="1" applyFill="1" applyBorder="1" applyAlignment="1" applyProtection="1">
      <alignment horizontal="left" vertical="center" wrapText="1"/>
    </xf>
    <xf numFmtId="0" fontId="45" fillId="5" borderId="79" xfId="0" applyFont="1" applyFill="1" applyBorder="1" applyAlignment="1" applyProtection="1">
      <alignment horizontal="left" vertical="center" wrapText="1"/>
    </xf>
    <xf numFmtId="38" fontId="45" fillId="5" borderId="30" xfId="0" applyNumberFormat="1" applyFont="1" applyFill="1" applyBorder="1" applyAlignment="1" applyProtection="1">
      <alignment horizontal="right" vertical="center"/>
    </xf>
    <xf numFmtId="38" fontId="45" fillId="5" borderId="31" xfId="0" applyNumberFormat="1" applyFont="1" applyFill="1" applyBorder="1" applyAlignment="1" applyProtection="1">
      <alignment horizontal="right" vertical="center"/>
    </xf>
    <xf numFmtId="166" fontId="45" fillId="5" borderId="18" xfId="0" applyNumberFormat="1" applyFont="1" applyFill="1" applyBorder="1" applyAlignment="1" applyProtection="1">
      <alignment horizontal="center" vertical="center"/>
    </xf>
    <xf numFmtId="0" fontId="45" fillId="5" borderId="18" xfId="0" applyFont="1" applyFill="1" applyBorder="1" applyAlignment="1" applyProtection="1">
      <alignment horizontal="center" vertical="center"/>
    </xf>
    <xf numFmtId="38" fontId="45" fillId="6" borderId="18" xfId="2" applyNumberFormat="1" applyFont="1" applyFill="1" applyBorder="1" applyAlignment="1" applyProtection="1">
      <alignment horizontal="center" vertical="center"/>
    </xf>
    <xf numFmtId="3" fontId="45" fillId="10" borderId="18" xfId="0" applyNumberFormat="1" applyFont="1" applyFill="1" applyBorder="1" applyAlignment="1" applyProtection="1">
      <alignment horizontal="right" vertical="center"/>
    </xf>
    <xf numFmtId="3" fontId="45" fillId="10" borderId="18" xfId="0" applyNumberFormat="1" applyFont="1" applyFill="1" applyBorder="1" applyAlignment="1" applyProtection="1">
      <alignment vertical="center"/>
    </xf>
    <xf numFmtId="166" fontId="45" fillId="5" borderId="86" xfId="0" applyNumberFormat="1" applyFont="1" applyFill="1" applyBorder="1" applyAlignment="1" applyProtection="1">
      <alignment horizontal="center" vertical="center"/>
    </xf>
    <xf numFmtId="0" fontId="45" fillId="5" borderId="78" xfId="0" applyFont="1" applyFill="1" applyBorder="1" applyAlignment="1" applyProtection="1">
      <alignment horizontal="center" vertical="center"/>
    </xf>
    <xf numFmtId="0" fontId="45" fillId="5" borderId="79" xfId="0" applyFont="1" applyFill="1" applyBorder="1" applyAlignment="1" applyProtection="1">
      <alignment horizontal="center" vertical="center"/>
    </xf>
    <xf numFmtId="38" fontId="45" fillId="6" borderId="78" xfId="2" applyNumberFormat="1" applyFont="1" applyFill="1" applyBorder="1" applyAlignment="1" applyProtection="1">
      <alignment horizontal="center" vertical="center"/>
    </xf>
    <xf numFmtId="38" fontId="45" fillId="6" borderId="79" xfId="2" applyNumberFormat="1" applyFont="1" applyFill="1" applyBorder="1" applyAlignment="1" applyProtection="1">
      <alignment horizontal="center" vertical="center"/>
    </xf>
    <xf numFmtId="0" fontId="41" fillId="0" borderId="0" xfId="0" applyFont="1" applyFill="1" applyBorder="1" applyAlignment="1" applyProtection="1">
      <alignment horizontal="center" vertical="center"/>
    </xf>
    <xf numFmtId="38" fontId="85" fillId="0" borderId="0" xfId="0" applyNumberFormat="1" applyFont="1" applyFill="1" applyBorder="1" applyAlignment="1" applyProtection="1">
      <alignment horizontal="center" vertical="center"/>
    </xf>
    <xf numFmtId="166" fontId="45" fillId="0" borderId="0" xfId="0" applyNumberFormat="1" applyFont="1" applyFill="1" applyBorder="1" applyAlignment="1" applyProtection="1">
      <alignment horizontal="center" vertical="center"/>
    </xf>
    <xf numFmtId="38" fontId="45" fillId="0" borderId="0" xfId="2" applyNumberFormat="1" applyFont="1" applyFill="1" applyBorder="1" applyAlignment="1" applyProtection="1">
      <alignment horizontal="center" vertical="center"/>
    </xf>
    <xf numFmtId="38" fontId="45" fillId="0" borderId="40" xfId="2" applyNumberFormat="1" applyFont="1" applyFill="1" applyBorder="1" applyAlignment="1" applyProtection="1">
      <alignment horizontal="right" vertical="center"/>
    </xf>
    <xf numFmtId="38" fontId="45" fillId="0" borderId="41" xfId="2" applyNumberFormat="1" applyFont="1" applyFill="1" applyBorder="1" applyAlignment="1" applyProtection="1">
      <alignment horizontal="right" vertical="center"/>
    </xf>
    <xf numFmtId="0" fontId="41" fillId="0" borderId="13" xfId="0" applyFont="1" applyFill="1" applyBorder="1" applyAlignment="1" applyProtection="1">
      <alignment horizontal="center" vertical="center"/>
    </xf>
    <xf numFmtId="38" fontId="85" fillId="0" borderId="13" xfId="0" applyNumberFormat="1" applyFont="1" applyFill="1" applyBorder="1" applyAlignment="1" applyProtection="1">
      <alignment horizontal="center" vertical="center"/>
    </xf>
    <xf numFmtId="38" fontId="45" fillId="5" borderId="22" xfId="0" applyNumberFormat="1" applyFont="1" applyFill="1" applyBorder="1" applyAlignment="1" applyProtection="1">
      <alignment horizontal="right" vertical="center"/>
    </xf>
    <xf numFmtId="0" fontId="45" fillId="5" borderId="22" xfId="0" applyFont="1" applyFill="1" applyBorder="1" applyAlignment="1" applyProtection="1">
      <alignment vertical="center"/>
    </xf>
    <xf numFmtId="38" fontId="45" fillId="5" borderId="18" xfId="0" applyNumberFormat="1" applyFont="1" applyFill="1" applyBorder="1" applyAlignment="1" applyProtection="1">
      <alignment horizontal="right" vertical="center"/>
    </xf>
    <xf numFmtId="0" fontId="41" fillId="5" borderId="86" xfId="0" applyFont="1" applyFill="1" applyBorder="1" applyAlignment="1" applyProtection="1">
      <alignment horizontal="left" vertical="top" wrapText="1"/>
    </xf>
    <xf numFmtId="0" fontId="41" fillId="4" borderId="86" xfId="0" applyFont="1" applyFill="1" applyBorder="1" applyAlignment="1" applyProtection="1">
      <alignment horizontal="left" vertical="top" wrapText="1"/>
    </xf>
    <xf numFmtId="4" fontId="45" fillId="13" borderId="38" xfId="0" applyNumberFormat="1" applyFont="1" applyFill="1" applyBorder="1" applyAlignment="1" applyProtection="1">
      <alignment horizontal="right" vertical="center"/>
    </xf>
    <xf numFmtId="0" fontId="13" fillId="13" borderId="77" xfId="0" applyFont="1" applyFill="1" applyBorder="1" applyAlignment="1" applyProtection="1">
      <alignment horizontal="left" vertical="top" wrapText="1"/>
    </xf>
    <xf numFmtId="0" fontId="13" fillId="13" borderId="74" xfId="0" applyFont="1" applyFill="1" applyBorder="1" applyAlignment="1" applyProtection="1">
      <alignment horizontal="left" vertical="top" wrapText="1"/>
    </xf>
    <xf numFmtId="0" fontId="41" fillId="5" borderId="13" xfId="0" applyFont="1" applyFill="1" applyBorder="1" applyAlignment="1" applyProtection="1">
      <alignment horizontal="left" vertical="center" wrapText="1"/>
    </xf>
    <xf numFmtId="0" fontId="41" fillId="5" borderId="14" xfId="0" applyFont="1" applyFill="1" applyBorder="1" applyAlignment="1" applyProtection="1">
      <alignment horizontal="left" vertical="center" wrapText="1"/>
    </xf>
    <xf numFmtId="4" fontId="53" fillId="13" borderId="38" xfId="0" applyNumberFormat="1" applyFont="1" applyFill="1" applyBorder="1" applyAlignment="1" applyProtection="1">
      <alignment horizontal="right" vertical="center"/>
    </xf>
    <xf numFmtId="164" fontId="45" fillId="5" borderId="113" xfId="1" applyNumberFormat="1" applyFont="1" applyFill="1" applyBorder="1" applyAlignment="1" applyProtection="1">
      <alignment horizontal="right" vertical="center"/>
    </xf>
    <xf numFmtId="164" fontId="45" fillId="5" borderId="114" xfId="1" applyNumberFormat="1" applyFont="1" applyFill="1" applyBorder="1" applyAlignment="1" applyProtection="1">
      <alignment horizontal="right" vertical="center"/>
    </xf>
    <xf numFmtId="0" fontId="13" fillId="13" borderId="93" xfId="0" applyFont="1" applyFill="1" applyBorder="1" applyAlignment="1" applyProtection="1">
      <alignment horizontal="left" vertical="top" wrapText="1"/>
    </xf>
    <xf numFmtId="0" fontId="13" fillId="13" borderId="76" xfId="0" applyFont="1" applyFill="1" applyBorder="1" applyAlignment="1" applyProtection="1">
      <alignment horizontal="left" vertical="top" wrapText="1"/>
    </xf>
    <xf numFmtId="4" fontId="45" fillId="13" borderId="52" xfId="0" applyNumberFormat="1" applyFont="1" applyFill="1" applyBorder="1" applyAlignment="1" applyProtection="1">
      <alignment horizontal="right" vertical="center"/>
    </xf>
    <xf numFmtId="0" fontId="13" fillId="13" borderId="96" xfId="0" applyFont="1" applyFill="1" applyBorder="1" applyAlignment="1" applyProtection="1">
      <alignment horizontal="left" vertical="top" wrapText="1"/>
    </xf>
    <xf numFmtId="0" fontId="13" fillId="13" borderId="75" xfId="0" applyFont="1" applyFill="1" applyBorder="1" applyAlignment="1" applyProtection="1">
      <alignment horizontal="left" vertical="top" wrapText="1"/>
    </xf>
    <xf numFmtId="164" fontId="45" fillId="5" borderId="4" xfId="1" applyNumberFormat="1" applyFont="1" applyFill="1" applyBorder="1" applyAlignment="1" applyProtection="1">
      <alignment horizontal="right" vertical="center"/>
    </xf>
    <xf numFmtId="164" fontId="45" fillId="5" borderId="6" xfId="1" applyNumberFormat="1" applyFont="1" applyFill="1" applyBorder="1" applyAlignment="1" applyProtection="1">
      <alignment horizontal="right" vertical="center"/>
    </xf>
    <xf numFmtId="0" fontId="13" fillId="0" borderId="13" xfId="0" applyFont="1" applyBorder="1" applyAlignment="1" applyProtection="1">
      <alignment wrapText="1"/>
    </xf>
    <xf numFmtId="0" fontId="13" fillId="0" borderId="14" xfId="0" applyFont="1" applyBorder="1" applyAlignment="1" applyProtection="1">
      <alignment wrapText="1"/>
    </xf>
    <xf numFmtId="164" fontId="45" fillId="5" borderId="36" xfId="1" applyNumberFormat="1" applyFont="1" applyFill="1" applyBorder="1" applyAlignment="1" applyProtection="1">
      <alignment horizontal="right" vertical="center"/>
    </xf>
    <xf numFmtId="164" fontId="45" fillId="5" borderId="37" xfId="1" applyNumberFormat="1" applyFont="1" applyFill="1" applyBorder="1" applyAlignment="1" applyProtection="1">
      <alignment horizontal="right" vertical="center"/>
    </xf>
    <xf numFmtId="0" fontId="13" fillId="13" borderId="43" xfId="0" applyFont="1" applyFill="1" applyBorder="1" applyAlignment="1" applyProtection="1">
      <alignment horizontal="left" vertical="top" wrapText="1"/>
    </xf>
    <xf numFmtId="0" fontId="13" fillId="13" borderId="39" xfId="0" applyFont="1" applyFill="1" applyBorder="1" applyAlignment="1" applyProtection="1">
      <alignment horizontal="left" vertical="top" wrapText="1"/>
    </xf>
    <xf numFmtId="0" fontId="13" fillId="13" borderId="40" xfId="0" applyFont="1" applyFill="1" applyBorder="1" applyAlignment="1" applyProtection="1">
      <alignment horizontal="left" vertical="top" wrapText="1"/>
    </xf>
    <xf numFmtId="0" fontId="13" fillId="13" borderId="41" xfId="0" applyFont="1" applyFill="1" applyBorder="1" applyAlignment="1" applyProtection="1">
      <alignment horizontal="left" vertical="top" wrapText="1"/>
    </xf>
    <xf numFmtId="0" fontId="13" fillId="13" borderId="42" xfId="0" applyFont="1" applyFill="1" applyBorder="1" applyAlignment="1" applyProtection="1">
      <alignment horizontal="left" vertical="top" wrapText="1"/>
    </xf>
    <xf numFmtId="0" fontId="13" fillId="13" borderId="59" xfId="0" applyFont="1" applyFill="1" applyBorder="1" applyAlignment="1" applyProtection="1">
      <alignment horizontal="left" vertical="top" wrapText="1"/>
    </xf>
    <xf numFmtId="4" fontId="45" fillId="13" borderId="77" xfId="0" applyNumberFormat="1" applyFont="1" applyFill="1" applyBorder="1" applyAlignment="1" applyProtection="1">
      <alignment horizontal="right" vertical="center"/>
    </xf>
    <xf numFmtId="0" fontId="41" fillId="5" borderId="20" xfId="0" applyFont="1" applyFill="1" applyBorder="1" applyAlignment="1" applyProtection="1">
      <alignment horizontal="left" vertical="center" wrapText="1"/>
    </xf>
    <xf numFmtId="0" fontId="41" fillId="5" borderId="92" xfId="0" applyFont="1" applyFill="1" applyBorder="1" applyAlignment="1" applyProtection="1">
      <alignment horizontal="left" vertical="center" wrapText="1"/>
    </xf>
    <xf numFmtId="0" fontId="41" fillId="5" borderId="58" xfId="0" applyFont="1" applyFill="1" applyBorder="1" applyAlignment="1" applyProtection="1">
      <alignment horizontal="left" vertical="center" wrapText="1"/>
    </xf>
    <xf numFmtId="0" fontId="41" fillId="5" borderId="34" xfId="0" applyFont="1" applyFill="1" applyBorder="1" applyAlignment="1" applyProtection="1">
      <alignment horizontal="left" vertical="center" wrapText="1"/>
    </xf>
    <xf numFmtId="4" fontId="45" fillId="13" borderId="96" xfId="0" applyNumberFormat="1" applyFont="1" applyFill="1" applyBorder="1" applyAlignment="1" applyProtection="1">
      <alignment horizontal="right" vertical="center"/>
    </xf>
    <xf numFmtId="0" fontId="62" fillId="5" borderId="16" xfId="0" applyFont="1" applyFill="1" applyBorder="1" applyAlignment="1" applyProtection="1">
      <alignment horizontal="center" vertical="center"/>
    </xf>
    <xf numFmtId="0" fontId="62" fillId="5" borderId="18" xfId="0" applyFont="1" applyFill="1" applyBorder="1" applyAlignment="1" applyProtection="1">
      <alignment horizontal="center" vertical="center"/>
    </xf>
    <xf numFmtId="0" fontId="3" fillId="13" borderId="140" xfId="0" applyFont="1" applyFill="1" applyBorder="1" applyAlignment="1" applyProtection="1">
      <alignment horizontal="left" vertical="top" wrapText="1"/>
    </xf>
    <xf numFmtId="0" fontId="3" fillId="13" borderId="139" xfId="0" applyFont="1" applyFill="1" applyBorder="1" applyAlignment="1" applyProtection="1">
      <alignment horizontal="left" vertical="top" wrapText="1"/>
    </xf>
    <xf numFmtId="0" fontId="223" fillId="0" borderId="0" xfId="0" applyFont="1" applyBorder="1" applyAlignment="1" applyProtection="1">
      <alignment horizontal="center" wrapText="1"/>
    </xf>
    <xf numFmtId="0" fontId="42" fillId="0" borderId="0" xfId="0" applyFont="1" applyAlignment="1" applyProtection="1">
      <alignment horizontal="center" wrapText="1"/>
    </xf>
    <xf numFmtId="0" fontId="223" fillId="0" borderId="0" xfId="0" applyFont="1" applyBorder="1" applyProtection="1"/>
    <xf numFmtId="0" fontId="223" fillId="0" borderId="13" xfId="0" applyFont="1" applyBorder="1" applyAlignment="1" applyProtection="1">
      <alignment horizontal="center" wrapText="1"/>
    </xf>
    <xf numFmtId="0" fontId="42" fillId="0" borderId="13" xfId="0" applyFont="1" applyBorder="1" applyAlignment="1" applyProtection="1">
      <alignment horizontal="center" wrapText="1"/>
    </xf>
    <xf numFmtId="164" fontId="45" fillId="5" borderId="86" xfId="1" applyNumberFormat="1" applyFont="1" applyFill="1" applyBorder="1" applyAlignment="1" applyProtection="1">
      <alignment horizontal="right" vertical="center"/>
    </xf>
    <xf numFmtId="164" fontId="45" fillId="5" borderId="78" xfId="1" applyNumberFormat="1" applyFont="1" applyFill="1" applyBorder="1" applyAlignment="1" applyProtection="1">
      <alignment horizontal="right" vertical="center"/>
    </xf>
    <xf numFmtId="164" fontId="45" fillId="5" borderId="79" xfId="1" applyNumberFormat="1" applyFont="1" applyFill="1" applyBorder="1" applyAlignment="1" applyProtection="1">
      <alignment horizontal="right" vertical="center"/>
    </xf>
    <xf numFmtId="9" fontId="223" fillId="0" borderId="0" xfId="0" applyNumberFormat="1" applyFont="1" applyBorder="1" applyAlignment="1" applyProtection="1">
      <alignment horizontal="center"/>
    </xf>
    <xf numFmtId="0" fontId="42" fillId="0" borderId="136" xfId="0" applyFont="1" applyBorder="1" applyAlignment="1" applyProtection="1">
      <alignment horizontal="center"/>
    </xf>
    <xf numFmtId="38" fontId="42" fillId="0" borderId="136" xfId="0" applyNumberFormat="1" applyFont="1" applyBorder="1" applyAlignment="1" applyProtection="1">
      <alignment horizontal="center" vertical="center"/>
    </xf>
    <xf numFmtId="38" fontId="42" fillId="0" borderId="84" xfId="0" applyNumberFormat="1" applyFont="1" applyBorder="1" applyAlignment="1" applyProtection="1">
      <alignment horizontal="center" vertical="center"/>
    </xf>
    <xf numFmtId="37" fontId="45" fillId="5" borderId="86" xfId="1" applyNumberFormat="1" applyFont="1" applyFill="1" applyBorder="1" applyAlignment="1" applyProtection="1">
      <alignment horizontal="center" vertical="center"/>
    </xf>
    <xf numFmtId="0" fontId="42" fillId="0" borderId="17" xfId="0" applyFont="1" applyBorder="1" applyAlignment="1" applyProtection="1">
      <alignment horizontal="center"/>
    </xf>
    <xf numFmtId="38" fontId="42" fillId="0" borderId="17" xfId="0" applyNumberFormat="1" applyFont="1" applyBorder="1" applyAlignment="1" applyProtection="1">
      <alignment horizontal="center" vertical="center"/>
    </xf>
    <xf numFmtId="38" fontId="42" fillId="0" borderId="11" xfId="0" applyNumberFormat="1" applyFont="1" applyBorder="1" applyAlignment="1" applyProtection="1">
      <alignment horizontal="center" vertical="center"/>
    </xf>
    <xf numFmtId="0" fontId="42" fillId="0" borderId="18" xfId="0" applyFont="1" applyBorder="1" applyAlignment="1" applyProtection="1">
      <alignment horizontal="center"/>
    </xf>
    <xf numFmtId="0" fontId="0" fillId="27" borderId="18" xfId="0" applyFill="1" applyBorder="1" applyAlignment="1" applyProtection="1">
      <alignment horizontal="center"/>
    </xf>
    <xf numFmtId="38" fontId="42" fillId="0" borderId="18" xfId="0" applyNumberFormat="1" applyFont="1" applyBorder="1" applyAlignment="1" applyProtection="1">
      <alignment horizontal="center" vertical="center"/>
    </xf>
    <xf numFmtId="38" fontId="42" fillId="0" borderId="12" xfId="0" applyNumberFormat="1" applyFont="1" applyBorder="1" applyAlignment="1" applyProtection="1">
      <alignment horizontal="center" vertical="center"/>
    </xf>
    <xf numFmtId="0" fontId="42" fillId="0" borderId="22" xfId="0" applyFont="1" applyBorder="1" applyAlignment="1" applyProtection="1">
      <alignment horizontal="center"/>
    </xf>
    <xf numFmtId="9" fontId="42" fillId="0" borderId="0" xfId="0" applyNumberFormat="1" applyFont="1" applyBorder="1" applyAlignment="1" applyProtection="1">
      <alignment horizontal="center"/>
    </xf>
    <xf numFmtId="38" fontId="42" fillId="0" borderId="86" xfId="0" applyNumberFormat="1" applyFont="1" applyBorder="1" applyAlignment="1" applyProtection="1">
      <alignment horizontal="center" vertical="center"/>
    </xf>
    <xf numFmtId="0" fontId="3" fillId="13" borderId="40" xfId="0" applyFont="1" applyFill="1" applyBorder="1" applyAlignment="1" applyProtection="1">
      <alignment vertical="top" wrapText="1"/>
    </xf>
    <xf numFmtId="0" fontId="3" fillId="13" borderId="41" xfId="0" applyFont="1" applyFill="1" applyBorder="1" applyAlignment="1" applyProtection="1">
      <alignment vertical="top" wrapText="1"/>
    </xf>
    <xf numFmtId="4" fontId="45" fillId="13" borderId="86" xfId="0" applyNumberFormat="1" applyFont="1" applyFill="1" applyBorder="1" applyAlignment="1" applyProtection="1">
      <alignment horizontal="right" vertical="center"/>
    </xf>
    <xf numFmtId="0" fontId="13" fillId="13" borderId="28" xfId="0" applyFont="1" applyFill="1" applyBorder="1" applyAlignment="1" applyProtection="1">
      <alignment horizontal="left" vertical="top" wrapText="1"/>
    </xf>
    <xf numFmtId="38" fontId="53" fillId="5" borderId="28" xfId="0" applyNumberFormat="1" applyFont="1" applyFill="1" applyBorder="1" applyAlignment="1" applyProtection="1">
      <alignment horizontal="center" vertical="center"/>
    </xf>
    <xf numFmtId="38" fontId="53" fillId="5" borderId="29" xfId="0" applyNumberFormat="1" applyFont="1" applyFill="1" applyBorder="1" applyAlignment="1" applyProtection="1">
      <alignment horizontal="center" vertical="center"/>
    </xf>
    <xf numFmtId="38" fontId="53" fillId="5" borderId="30" xfId="0" applyNumberFormat="1" applyFont="1" applyFill="1" applyBorder="1" applyAlignment="1" applyProtection="1">
      <alignment horizontal="center" vertical="center"/>
    </xf>
    <xf numFmtId="38" fontId="53" fillId="5" borderId="31" xfId="0" applyNumberFormat="1" applyFont="1" applyFill="1" applyBorder="1" applyAlignment="1" applyProtection="1">
      <alignment horizontal="center" vertical="center"/>
    </xf>
    <xf numFmtId="0" fontId="45" fillId="5" borderId="13" xfId="0" applyFont="1" applyFill="1" applyBorder="1" applyAlignment="1" applyProtection="1">
      <alignment horizontal="left" vertical="center" wrapText="1"/>
    </xf>
    <xf numFmtId="0" fontId="45" fillId="5" borderId="14" xfId="0" applyFont="1" applyFill="1" applyBorder="1" applyAlignment="1" applyProtection="1">
      <alignment horizontal="left" vertical="center" wrapText="1"/>
    </xf>
    <xf numFmtId="38" fontId="53" fillId="5" borderId="33" xfId="0" applyNumberFormat="1" applyFont="1" applyFill="1" applyBorder="1" applyAlignment="1" applyProtection="1">
      <alignment horizontal="center" vertical="center"/>
    </xf>
    <xf numFmtId="38" fontId="53" fillId="5" borderId="34" xfId="0" applyNumberFormat="1" applyFont="1" applyFill="1" applyBorder="1" applyAlignment="1" applyProtection="1">
      <alignment horizontal="center" vertical="center"/>
    </xf>
    <xf numFmtId="10" fontId="45" fillId="5" borderId="36" xfId="0" applyNumberFormat="1" applyFont="1" applyFill="1" applyBorder="1" applyAlignment="1" applyProtection="1">
      <alignment horizontal="center" vertical="center"/>
    </xf>
    <xf numFmtId="10" fontId="45" fillId="5" borderId="37" xfId="0" applyNumberFormat="1" applyFont="1" applyFill="1" applyBorder="1" applyAlignment="1" applyProtection="1">
      <alignment horizontal="center" vertical="center"/>
    </xf>
    <xf numFmtId="0" fontId="42" fillId="10" borderId="80" xfId="0" applyFont="1" applyFill="1" applyBorder="1" applyAlignment="1" applyProtection="1">
      <alignment horizontal="center" vertical="center" wrapText="1"/>
    </xf>
    <xf numFmtId="0" fontId="42" fillId="10" borderId="85" xfId="0" applyFont="1" applyFill="1" applyBorder="1" applyAlignment="1" applyProtection="1">
      <alignment horizontal="center" vertical="center" wrapText="1"/>
    </xf>
    <xf numFmtId="0" fontId="42" fillId="10" borderId="81" xfId="0" applyFont="1" applyFill="1" applyBorder="1" applyAlignment="1" applyProtection="1">
      <alignment horizontal="center" vertical="center" wrapText="1"/>
    </xf>
    <xf numFmtId="0" fontId="42" fillId="10" borderId="7" xfId="0" applyFont="1" applyFill="1" applyBorder="1" applyAlignment="1" applyProtection="1">
      <alignment horizontal="center" vertical="center" wrapText="1"/>
    </xf>
    <xf numFmtId="0" fontId="42" fillId="10" borderId="0" xfId="0" applyFont="1" applyFill="1" applyBorder="1" applyAlignment="1" applyProtection="1">
      <alignment horizontal="center" vertical="center" wrapText="1"/>
    </xf>
    <xf numFmtId="0" fontId="42" fillId="10" borderId="8" xfId="0" applyFont="1" applyFill="1" applyBorder="1" applyAlignment="1" applyProtection="1">
      <alignment horizontal="center" vertical="center" wrapText="1"/>
    </xf>
    <xf numFmtId="0" fontId="42" fillId="10" borderId="9" xfId="0" applyFont="1" applyFill="1" applyBorder="1" applyAlignment="1" applyProtection="1">
      <alignment horizontal="center" vertical="center" wrapText="1"/>
    </xf>
    <xf numFmtId="0" fontId="42" fillId="10" borderId="13" xfId="0" applyFont="1" applyFill="1" applyBorder="1" applyAlignment="1" applyProtection="1">
      <alignment horizontal="center" vertical="center" wrapText="1"/>
    </xf>
    <xf numFmtId="0" fontId="42" fillId="10" borderId="14" xfId="0" applyFont="1" applyFill="1" applyBorder="1" applyAlignment="1" applyProtection="1">
      <alignment horizontal="center" vertical="center" wrapText="1"/>
    </xf>
    <xf numFmtId="4" fontId="45" fillId="13" borderId="90" xfId="0" applyNumberFormat="1" applyFont="1" applyFill="1" applyBorder="1" applyAlignment="1" applyProtection="1">
      <alignment horizontal="right" vertical="center"/>
    </xf>
    <xf numFmtId="6" fontId="45" fillId="0" borderId="0" xfId="0" applyNumberFormat="1" applyFont="1" applyAlignment="1" applyProtection="1">
      <alignment horizontal="center" vertical="center"/>
    </xf>
    <xf numFmtId="0" fontId="85" fillId="0" borderId="0" xfId="0" applyFont="1" applyAlignment="1" applyProtection="1">
      <alignment horizontal="center" vertical="center"/>
    </xf>
    <xf numFmtId="0" fontId="53" fillId="0" borderId="0" xfId="0" applyFont="1" applyAlignment="1" applyProtection="1">
      <alignment vertical="center"/>
    </xf>
    <xf numFmtId="0" fontId="85" fillId="0" borderId="0" xfId="0" applyFont="1" applyAlignment="1" applyProtection="1">
      <alignment horizontal="center" vertical="center"/>
    </xf>
    <xf numFmtId="3" fontId="45" fillId="0" borderId="78" xfId="1" applyNumberFormat="1" applyFont="1" applyBorder="1" applyAlignment="1" applyProtection="1">
      <alignment horizontal="center" vertical="center"/>
    </xf>
    <xf numFmtId="3" fontId="45" fillId="0" borderId="82" xfId="1" applyNumberFormat="1" applyFont="1" applyBorder="1" applyAlignment="1" applyProtection="1">
      <alignment horizontal="center" vertical="center"/>
    </xf>
    <xf numFmtId="3" fontId="45" fillId="0" borderId="79" xfId="1" applyNumberFormat="1" applyFont="1" applyBorder="1" applyAlignment="1" applyProtection="1">
      <alignment horizontal="center" vertical="center"/>
    </xf>
    <xf numFmtId="4" fontId="45" fillId="0" borderId="0" xfId="0" applyNumberFormat="1" applyFont="1" applyAlignment="1" applyProtection="1">
      <alignment horizontal="right" vertical="center"/>
    </xf>
    <xf numFmtId="0" fontId="88" fillId="0" borderId="0" xfId="0" applyFont="1" applyAlignment="1" applyProtection="1">
      <alignment vertical="center"/>
    </xf>
    <xf numFmtId="0" fontId="45" fillId="0" borderId="0" xfId="0" applyFont="1" applyAlignment="1" applyProtection="1">
      <alignment horizontal="left" vertical="center"/>
    </xf>
    <xf numFmtId="0" fontId="41" fillId="0" borderId="0" xfId="0" applyFont="1" applyAlignment="1" applyProtection="1">
      <alignment horizontal="left" vertical="center"/>
    </xf>
    <xf numFmtId="3" fontId="45" fillId="0" borderId="0" xfId="1" applyNumberFormat="1" applyFont="1" applyAlignment="1" applyProtection="1">
      <alignment horizontal="center" vertical="center"/>
    </xf>
    <xf numFmtId="38" fontId="45" fillId="11" borderId="36" xfId="0" applyNumberFormat="1" applyFont="1" applyFill="1" applyBorder="1" applyAlignment="1" applyProtection="1">
      <alignment horizontal="center" vertical="center"/>
    </xf>
    <xf numFmtId="38" fontId="45" fillId="11" borderId="2" xfId="0" applyNumberFormat="1" applyFont="1" applyFill="1" applyBorder="1" applyAlignment="1" applyProtection="1">
      <alignment horizontal="center" vertical="center"/>
    </xf>
    <xf numFmtId="38" fontId="45" fillId="11" borderId="82" xfId="0" applyNumberFormat="1" applyFont="1" applyFill="1" applyBorder="1" applyAlignment="1" applyProtection="1">
      <alignment horizontal="center" vertical="center"/>
    </xf>
    <xf numFmtId="164" fontId="41" fillId="5" borderId="46" xfId="1" applyNumberFormat="1" applyFont="1" applyFill="1" applyBorder="1" applyAlignment="1" applyProtection="1">
      <alignment horizontal="center" vertical="center"/>
    </xf>
    <xf numFmtId="170" fontId="45" fillId="5" borderId="36" xfId="0" applyNumberFormat="1" applyFont="1" applyFill="1" applyBorder="1" applyAlignment="1" applyProtection="1">
      <alignment horizontal="center" vertical="center"/>
    </xf>
    <xf numFmtId="170" fontId="45" fillId="5" borderId="37" xfId="0" applyNumberFormat="1" applyFont="1" applyFill="1" applyBorder="1" applyAlignment="1" applyProtection="1">
      <alignment horizontal="center" vertical="center"/>
    </xf>
    <xf numFmtId="38" fontId="53" fillId="10" borderId="36" xfId="0" applyNumberFormat="1" applyFont="1" applyFill="1" applyBorder="1" applyAlignment="1" applyProtection="1">
      <alignment horizontal="center" vertical="center"/>
    </xf>
    <xf numFmtId="38" fontId="53" fillId="10" borderId="2" xfId="0" applyNumberFormat="1" applyFont="1" applyFill="1" applyBorder="1" applyAlignment="1" applyProtection="1">
      <alignment horizontal="center" vertical="center"/>
    </xf>
    <xf numFmtId="38" fontId="53" fillId="10" borderId="37" xfId="0" applyNumberFormat="1" applyFont="1" applyFill="1" applyBorder="1" applyAlignment="1" applyProtection="1">
      <alignment horizontal="center" vertical="center"/>
    </xf>
    <xf numFmtId="0" fontId="45" fillId="0" borderId="0" xfId="0" applyFont="1" applyAlignment="1" applyProtection="1"/>
    <xf numFmtId="0" fontId="41" fillId="13" borderId="86" xfId="0" applyFont="1" applyFill="1" applyBorder="1" applyAlignment="1" applyProtection="1">
      <alignment horizontal="left" vertical="top" wrapText="1"/>
    </xf>
    <xf numFmtId="0" fontId="9" fillId="13" borderId="78" xfId="13" applyFont="1" applyFill="1" applyBorder="1" applyAlignment="1" applyProtection="1">
      <alignment horizontal="justify" vertical="top" wrapText="1"/>
    </xf>
    <xf numFmtId="0" fontId="9" fillId="13" borderId="82" xfId="13" applyFont="1" applyFill="1" applyBorder="1" applyAlignment="1" applyProtection="1">
      <alignment horizontal="justify" vertical="top" wrapText="1"/>
    </xf>
    <xf numFmtId="0" fontId="9" fillId="13" borderId="79" xfId="13" applyFont="1" applyFill="1" applyBorder="1" applyAlignment="1" applyProtection="1">
      <alignment horizontal="justify" vertical="top" wrapText="1"/>
    </xf>
    <xf numFmtId="0" fontId="42" fillId="0" borderId="0" xfId="13" applyFont="1" applyProtection="1"/>
    <xf numFmtId="0" fontId="42" fillId="5" borderId="16" xfId="1" applyNumberFormat="1" applyFont="1" applyFill="1" applyBorder="1" applyAlignment="1" applyProtection="1">
      <alignment horizontal="left" vertical="top" wrapText="1"/>
    </xf>
    <xf numFmtId="0" fontId="42" fillId="5" borderId="17" xfId="1" applyNumberFormat="1" applyFont="1" applyFill="1" applyBorder="1" applyAlignment="1" applyProtection="1">
      <alignment horizontal="left" vertical="top" wrapText="1"/>
    </xf>
    <xf numFmtId="0" fontId="42" fillId="5" borderId="18" xfId="1" applyNumberFormat="1" applyFont="1" applyFill="1" applyBorder="1" applyAlignment="1" applyProtection="1">
      <alignment horizontal="left" vertical="top" wrapText="1"/>
    </xf>
    <xf numFmtId="0" fontId="42" fillId="5" borderId="84" xfId="1" applyNumberFormat="1" applyFont="1" applyFill="1" applyBorder="1" applyAlignment="1" applyProtection="1">
      <alignment horizontal="left" vertical="top" wrapText="1"/>
    </xf>
    <xf numFmtId="0" fontId="42" fillId="5" borderId="11" xfId="1" applyNumberFormat="1" applyFont="1" applyFill="1" applyBorder="1" applyAlignment="1" applyProtection="1">
      <alignment horizontal="left" vertical="top" wrapText="1"/>
    </xf>
    <xf numFmtId="0" fontId="42" fillId="5" borderId="12" xfId="1" applyNumberFormat="1" applyFont="1" applyFill="1" applyBorder="1" applyAlignment="1" applyProtection="1">
      <alignment horizontal="left" vertical="top" wrapText="1"/>
    </xf>
    <xf numFmtId="0" fontId="42" fillId="0" borderId="0" xfId="13" applyFont="1" applyFill="1" applyBorder="1" applyAlignment="1" applyProtection="1">
      <alignment vertical="center"/>
    </xf>
    <xf numFmtId="164" fontId="42" fillId="0" borderId="8" xfId="1" applyNumberFormat="1" applyFont="1" applyFill="1" applyBorder="1" applyAlignment="1" applyProtection="1">
      <alignment horizontal="right" vertical="center"/>
    </xf>
    <xf numFmtId="0" fontId="3" fillId="5" borderId="36" xfId="0" applyFont="1" applyFill="1" applyBorder="1" applyAlignment="1" applyProtection="1">
      <alignment horizontal="left" vertical="center" wrapText="1"/>
    </xf>
    <xf numFmtId="0" fontId="12" fillId="5" borderId="2" xfId="0" applyFont="1" applyFill="1" applyBorder="1" applyAlignment="1" applyProtection="1">
      <alignment horizontal="left" vertical="center" wrapText="1"/>
    </xf>
    <xf numFmtId="0" fontId="12" fillId="5" borderId="37" xfId="0" applyFont="1" applyFill="1" applyBorder="1" applyAlignment="1" applyProtection="1">
      <alignment horizontal="left" vertical="center" wrapText="1"/>
    </xf>
    <xf numFmtId="175" fontId="12" fillId="5" borderId="36" xfId="0" applyNumberFormat="1" applyFont="1" applyFill="1" applyBorder="1" applyAlignment="1" applyProtection="1">
      <alignment horizontal="left" vertical="center"/>
    </xf>
    <xf numFmtId="175" fontId="12" fillId="5" borderId="37" xfId="0" applyNumberFormat="1" applyFont="1" applyFill="1" applyBorder="1" applyAlignment="1" applyProtection="1">
      <alignment horizontal="left" vertical="center"/>
    </xf>
    <xf numFmtId="0" fontId="12" fillId="5" borderId="36" xfId="0" applyFont="1" applyFill="1" applyBorder="1" applyAlignment="1" applyProtection="1">
      <alignment horizontal="left" vertical="center"/>
    </xf>
    <xf numFmtId="0" fontId="12" fillId="5" borderId="37" xfId="0" applyFont="1" applyFill="1" applyBorder="1" applyAlignment="1" applyProtection="1">
      <alignment horizontal="left" vertical="center"/>
    </xf>
    <xf numFmtId="0" fontId="0" fillId="5" borderId="28" xfId="0" applyFill="1" applyBorder="1" applyAlignment="1" applyProtection="1">
      <alignment horizontal="left" vertical="center"/>
    </xf>
    <xf numFmtId="0" fontId="0" fillId="5" borderId="29" xfId="0" applyFill="1" applyBorder="1" applyAlignment="1" applyProtection="1">
      <alignment horizontal="left" vertical="center"/>
    </xf>
    <xf numFmtId="0" fontId="8" fillId="5" borderId="16" xfId="0" applyNumberFormat="1" applyFont="1" applyFill="1" applyBorder="1" applyAlignment="1" applyProtection="1">
      <alignment horizontal="center" vertical="center"/>
    </xf>
    <xf numFmtId="0" fontId="0" fillId="5" borderId="16" xfId="0" applyFill="1" applyBorder="1" applyAlignment="1" applyProtection="1">
      <alignment horizontal="center" vertical="center"/>
    </xf>
    <xf numFmtId="0" fontId="0" fillId="5" borderId="30" xfId="0" applyFill="1" applyBorder="1" applyAlignment="1" applyProtection="1">
      <alignment horizontal="left" vertical="center"/>
    </xf>
    <xf numFmtId="0" fontId="0" fillId="5" borderId="31" xfId="0" applyFill="1" applyBorder="1" applyAlignment="1" applyProtection="1">
      <alignment horizontal="left" vertical="center"/>
    </xf>
    <xf numFmtId="0" fontId="8" fillId="5" borderId="17" xfId="0" applyNumberFormat="1" applyFont="1" applyFill="1" applyBorder="1" applyAlignment="1" applyProtection="1">
      <alignment horizontal="center" vertical="center"/>
    </xf>
    <xf numFmtId="0" fontId="0" fillId="5" borderId="17" xfId="0" applyFill="1" applyBorder="1" applyAlignment="1" applyProtection="1">
      <alignment horizontal="center" vertical="center"/>
    </xf>
    <xf numFmtId="0" fontId="12" fillId="5" borderId="17" xfId="0" applyFont="1" applyFill="1" applyBorder="1" applyAlignment="1" applyProtection="1">
      <alignment horizontal="center" vertical="center"/>
    </xf>
    <xf numFmtId="0" fontId="12" fillId="5" borderId="3" xfId="0" applyFont="1" applyFill="1" applyBorder="1" applyAlignment="1" applyProtection="1">
      <alignment horizontal="center" vertical="center"/>
    </xf>
    <xf numFmtId="0" fontId="8" fillId="5" borderId="18" xfId="0" applyNumberFormat="1" applyFont="1" applyFill="1" applyBorder="1" applyAlignment="1" applyProtection="1">
      <alignment horizontal="center" vertical="center"/>
    </xf>
    <xf numFmtId="0" fontId="0" fillId="5" borderId="18" xfId="0" applyFill="1" applyBorder="1" applyAlignment="1" applyProtection="1">
      <alignment horizontal="center" vertical="center"/>
    </xf>
    <xf numFmtId="0" fontId="12" fillId="5" borderId="18" xfId="0" applyFont="1" applyFill="1" applyBorder="1" applyAlignment="1" applyProtection="1">
      <alignment horizontal="center" vertical="center"/>
    </xf>
    <xf numFmtId="0" fontId="12" fillId="5" borderId="36" xfId="0" applyFont="1" applyFill="1" applyBorder="1" applyAlignment="1" applyProtection="1">
      <alignment horizontal="left" vertical="center" wrapText="1"/>
    </xf>
    <xf numFmtId="0" fontId="13" fillId="5" borderId="36" xfId="0" applyFont="1" applyFill="1" applyBorder="1" applyAlignment="1" applyProtection="1">
      <alignment horizontal="left" vertical="top" wrapText="1"/>
    </xf>
    <xf numFmtId="0" fontId="13" fillId="5" borderId="2" xfId="0" applyFont="1" applyFill="1" applyBorder="1" applyAlignment="1" applyProtection="1">
      <alignment horizontal="left" vertical="top" wrapText="1"/>
    </xf>
    <xf numFmtId="0" fontId="13" fillId="5" borderId="37" xfId="0" applyFont="1" applyFill="1" applyBorder="1" applyAlignment="1" applyProtection="1">
      <alignment horizontal="left" vertical="top" wrapText="1"/>
    </xf>
    <xf numFmtId="0" fontId="13" fillId="13" borderId="36" xfId="0" applyFont="1" applyFill="1" applyBorder="1" applyAlignment="1" applyProtection="1">
      <alignment horizontal="left" vertical="top" wrapText="1"/>
    </xf>
    <xf numFmtId="0" fontId="13" fillId="13" borderId="2" xfId="0" applyFont="1" applyFill="1" applyBorder="1" applyAlignment="1" applyProtection="1">
      <alignment horizontal="left" vertical="top" wrapText="1"/>
    </xf>
    <xf numFmtId="0" fontId="13" fillId="13" borderId="37" xfId="0" applyFont="1" applyFill="1" applyBorder="1" applyAlignment="1" applyProtection="1">
      <alignment horizontal="left" vertical="top" wrapText="1"/>
    </xf>
    <xf numFmtId="0" fontId="3" fillId="5" borderId="86" xfId="0" applyFont="1" applyFill="1" applyBorder="1" applyAlignment="1" applyProtection="1">
      <alignment horizontal="center" vertical="center"/>
    </xf>
    <xf numFmtId="0" fontId="0" fillId="5" borderId="3" xfId="0" applyFill="1" applyBorder="1" applyAlignment="1" applyProtection="1">
      <alignment horizontal="center" vertical="center"/>
    </xf>
    <xf numFmtId="3" fontId="98" fillId="11" borderId="86" xfId="0" applyNumberFormat="1" applyFont="1" applyFill="1" applyBorder="1" applyAlignment="1" applyProtection="1">
      <alignment horizontal="center" vertical="center"/>
    </xf>
    <xf numFmtId="3" fontId="13" fillId="5" borderId="16" xfId="10" applyNumberFormat="1" applyFont="1" applyFill="1" applyBorder="1" applyAlignment="1" applyProtection="1">
      <alignment horizontal="center" vertical="center"/>
    </xf>
    <xf numFmtId="1" fontId="13" fillId="5" borderId="16" xfId="1" applyNumberFormat="1" applyFont="1" applyFill="1" applyBorder="1" applyAlignment="1" applyProtection="1">
      <alignment horizontal="center" vertical="center"/>
    </xf>
    <xf numFmtId="173" fontId="13" fillId="5" borderId="16" xfId="1" applyNumberFormat="1" applyFont="1" applyFill="1" applyBorder="1" applyAlignment="1" applyProtection="1">
      <alignment horizontal="center" vertical="center"/>
    </xf>
    <xf numFmtId="3" fontId="13" fillId="5" borderId="16" xfId="1" applyNumberFormat="1" applyFont="1" applyFill="1" applyBorder="1" applyAlignment="1" applyProtection="1">
      <alignment horizontal="center" vertical="center"/>
    </xf>
    <xf numFmtId="3" fontId="13" fillId="5" borderId="136" xfId="1" applyNumberFormat="1" applyFont="1" applyFill="1" applyBorder="1" applyAlignment="1" applyProtection="1">
      <alignment horizontal="center" vertical="center"/>
    </xf>
    <xf numFmtId="3" fontId="13" fillId="10" borderId="16" xfId="1" applyNumberFormat="1" applyFont="1" applyFill="1" applyBorder="1" applyAlignment="1" applyProtection="1">
      <alignment horizontal="center" vertical="center"/>
    </xf>
    <xf numFmtId="3" fontId="41" fillId="5" borderId="16" xfId="1" applyNumberFormat="1" applyFont="1" applyFill="1" applyBorder="1" applyAlignment="1" applyProtection="1">
      <alignment horizontal="center" vertical="center"/>
    </xf>
    <xf numFmtId="0" fontId="41" fillId="5" borderId="16" xfId="0" applyFont="1" applyFill="1" applyBorder="1" applyAlignment="1" applyProtection="1">
      <alignment horizontal="center" vertical="center"/>
    </xf>
    <xf numFmtId="0" fontId="13" fillId="5" borderId="16" xfId="0" applyFont="1" applyFill="1" applyBorder="1" applyAlignment="1" applyProtection="1">
      <alignment horizontal="center" vertical="center"/>
    </xf>
    <xf numFmtId="3" fontId="13" fillId="13" borderId="52" xfId="0" applyNumberFormat="1" applyFont="1" applyFill="1" applyBorder="1" applyAlignment="1" applyProtection="1">
      <alignment horizontal="center" vertical="center"/>
    </xf>
    <xf numFmtId="10" fontId="13" fillId="13" borderId="23" xfId="0" applyNumberFormat="1" applyFont="1" applyFill="1" applyBorder="1" applyAlignment="1" applyProtection="1">
      <alignment horizontal="center" vertical="center"/>
    </xf>
    <xf numFmtId="0" fontId="3" fillId="13" borderId="133" xfId="0" applyFont="1" applyFill="1" applyBorder="1" applyAlignment="1" applyProtection="1">
      <alignment horizontal="left" vertical="top" wrapText="1"/>
    </xf>
    <xf numFmtId="0" fontId="3" fillId="13" borderId="134" xfId="0" applyFont="1" applyFill="1" applyBorder="1" applyAlignment="1" applyProtection="1">
      <alignment horizontal="left" vertical="top" wrapText="1"/>
    </xf>
    <xf numFmtId="0" fontId="3" fillId="13" borderId="135" xfId="0" applyFont="1" applyFill="1" applyBorder="1" applyAlignment="1" applyProtection="1">
      <alignment horizontal="left" vertical="top" wrapText="1"/>
    </xf>
    <xf numFmtId="3" fontId="13" fillId="5" borderId="17" xfId="10" applyNumberFormat="1" applyFont="1" applyFill="1" applyBorder="1" applyAlignment="1" applyProtection="1">
      <alignment horizontal="center" vertical="center"/>
    </xf>
    <xf numFmtId="1" fontId="13" fillId="5" borderId="17" xfId="1" applyNumberFormat="1" applyFont="1" applyFill="1" applyBorder="1" applyAlignment="1" applyProtection="1">
      <alignment horizontal="center" vertical="center"/>
    </xf>
    <xf numFmtId="173" fontId="13" fillId="5" borderId="17" xfId="1" applyNumberFormat="1" applyFont="1" applyFill="1" applyBorder="1" applyAlignment="1" applyProtection="1">
      <alignment horizontal="center" vertical="center"/>
    </xf>
    <xf numFmtId="3" fontId="13" fillId="5" borderId="17" xfId="1" applyNumberFormat="1" applyFont="1" applyFill="1" applyBorder="1" applyAlignment="1" applyProtection="1">
      <alignment horizontal="center" vertical="center"/>
    </xf>
    <xf numFmtId="3" fontId="13" fillId="10" borderId="17" xfId="1" applyNumberFormat="1" applyFont="1" applyFill="1" applyBorder="1" applyAlignment="1" applyProtection="1">
      <alignment horizontal="center" vertical="center"/>
    </xf>
    <xf numFmtId="3" fontId="41" fillId="5" borderId="17" xfId="1" applyNumberFormat="1" applyFont="1" applyFill="1" applyBorder="1" applyAlignment="1" applyProtection="1">
      <alignment horizontal="center" vertical="center"/>
    </xf>
    <xf numFmtId="0" fontId="41" fillId="5" borderId="17" xfId="0" applyFont="1" applyFill="1" applyBorder="1" applyAlignment="1" applyProtection="1">
      <alignment horizontal="center" vertical="center"/>
    </xf>
    <xf numFmtId="0" fontId="13" fillId="5" borderId="17" xfId="0" applyFont="1" applyFill="1" applyBorder="1" applyAlignment="1" applyProtection="1">
      <alignment horizontal="center" vertical="center"/>
    </xf>
    <xf numFmtId="3" fontId="13" fillId="13" borderId="38" xfId="0" applyNumberFormat="1" applyFont="1" applyFill="1" applyBorder="1" applyAlignment="1" applyProtection="1">
      <alignment horizontal="center" vertical="center"/>
    </xf>
    <xf numFmtId="10" fontId="13" fillId="13" borderId="25" xfId="0" applyNumberFormat="1" applyFont="1" applyFill="1" applyBorder="1" applyAlignment="1" applyProtection="1">
      <alignment horizontal="center" vertical="center"/>
    </xf>
    <xf numFmtId="0" fontId="3" fillId="13" borderId="30" xfId="0" applyFont="1" applyFill="1" applyBorder="1" applyAlignment="1" applyProtection="1">
      <alignment horizontal="left" vertical="top" wrapText="1"/>
    </xf>
    <xf numFmtId="0" fontId="3" fillId="13" borderId="21" xfId="0" applyFont="1" applyFill="1" applyBorder="1" applyAlignment="1" applyProtection="1">
      <alignment horizontal="left" vertical="top" wrapText="1"/>
    </xf>
    <xf numFmtId="0" fontId="3" fillId="13" borderId="31" xfId="0" applyFont="1" applyFill="1" applyBorder="1" applyAlignment="1" applyProtection="1">
      <alignment horizontal="left" vertical="top" wrapText="1"/>
    </xf>
    <xf numFmtId="3" fontId="13" fillId="5" borderId="128" xfId="10" applyNumberFormat="1" applyFont="1" applyFill="1" applyBorder="1" applyAlignment="1" applyProtection="1">
      <alignment horizontal="center" vertical="center"/>
    </xf>
    <xf numFmtId="1" fontId="13" fillId="5" borderId="128" xfId="1" applyNumberFormat="1" applyFont="1" applyFill="1" applyBorder="1" applyAlignment="1" applyProtection="1">
      <alignment horizontal="center" vertical="center"/>
    </xf>
    <xf numFmtId="173" fontId="13" fillId="5" borderId="128" xfId="1" applyNumberFormat="1" applyFont="1" applyFill="1" applyBorder="1" applyAlignment="1" applyProtection="1">
      <alignment horizontal="center" vertical="center"/>
    </xf>
    <xf numFmtId="3" fontId="13" fillId="5" borderId="128" xfId="1" applyNumberFormat="1" applyFont="1" applyFill="1" applyBorder="1" applyAlignment="1" applyProtection="1">
      <alignment horizontal="center" vertical="center"/>
    </xf>
    <xf numFmtId="3" fontId="13" fillId="10" borderId="128" xfId="1" applyNumberFormat="1" applyFont="1" applyFill="1" applyBorder="1" applyAlignment="1" applyProtection="1">
      <alignment horizontal="center" vertical="center"/>
    </xf>
    <xf numFmtId="3" fontId="41" fillId="5" borderId="128" xfId="1" applyNumberFormat="1" applyFont="1" applyFill="1" applyBorder="1" applyAlignment="1" applyProtection="1">
      <alignment horizontal="center" vertical="center"/>
    </xf>
    <xf numFmtId="0" fontId="41" fillId="5" borderId="128" xfId="0" applyFont="1" applyFill="1" applyBorder="1" applyAlignment="1" applyProtection="1">
      <alignment horizontal="center" vertical="center"/>
    </xf>
    <xf numFmtId="0" fontId="13" fillId="5" borderId="128" xfId="0" applyFont="1" applyFill="1" applyBorder="1" applyAlignment="1" applyProtection="1">
      <alignment horizontal="center" vertical="center"/>
    </xf>
    <xf numFmtId="0" fontId="13" fillId="5" borderId="22" xfId="10" applyNumberFormat="1" applyFont="1" applyFill="1" applyBorder="1" applyAlignment="1" applyProtection="1">
      <alignment horizontal="center" vertical="center"/>
    </xf>
    <xf numFmtId="1" fontId="13" fillId="5" borderId="22" xfId="1" applyNumberFormat="1" applyFont="1" applyFill="1" applyBorder="1" applyAlignment="1" applyProtection="1">
      <alignment horizontal="center" vertical="center"/>
    </xf>
    <xf numFmtId="173" fontId="13" fillId="5" borderId="22" xfId="1" applyNumberFormat="1" applyFont="1" applyFill="1" applyBorder="1" applyAlignment="1" applyProtection="1">
      <alignment horizontal="center" vertical="center"/>
    </xf>
    <xf numFmtId="3" fontId="13" fillId="5" borderId="22" xfId="1" applyNumberFormat="1" applyFont="1" applyFill="1" applyBorder="1" applyAlignment="1" applyProtection="1">
      <alignment horizontal="center" vertical="center"/>
    </xf>
    <xf numFmtId="3" fontId="13" fillId="11" borderId="22" xfId="1" applyNumberFormat="1" applyFont="1" applyFill="1" applyBorder="1" applyAlignment="1" applyProtection="1">
      <alignment horizontal="center" vertical="center"/>
    </xf>
    <xf numFmtId="3" fontId="41" fillId="5" borderId="22" xfId="1" applyNumberFormat="1" applyFont="1" applyFill="1" applyBorder="1" applyAlignment="1" applyProtection="1">
      <alignment horizontal="center" vertical="center"/>
    </xf>
    <xf numFmtId="0" fontId="41" fillId="5" borderId="22" xfId="0" applyFont="1" applyFill="1" applyBorder="1" applyAlignment="1" applyProtection="1">
      <alignment horizontal="center" vertical="center"/>
    </xf>
    <xf numFmtId="0" fontId="13" fillId="5" borderId="22" xfId="0" applyFont="1" applyFill="1" applyBorder="1" applyAlignment="1" applyProtection="1">
      <alignment horizontal="center" vertical="center"/>
    </xf>
    <xf numFmtId="0" fontId="13" fillId="5" borderId="17" xfId="10" applyNumberFormat="1" applyFont="1" applyFill="1" applyBorder="1" applyAlignment="1" applyProtection="1">
      <alignment horizontal="center" vertical="center"/>
    </xf>
    <xf numFmtId="3" fontId="13" fillId="11" borderId="17" xfId="1" applyNumberFormat="1" applyFont="1" applyFill="1" applyBorder="1" applyAlignment="1" applyProtection="1">
      <alignment horizontal="center" vertical="center"/>
    </xf>
    <xf numFmtId="0" fontId="13" fillId="5" borderId="18" xfId="10" applyNumberFormat="1" applyFont="1" applyFill="1" applyBorder="1" applyAlignment="1" applyProtection="1">
      <alignment horizontal="center" vertical="center"/>
    </xf>
    <xf numFmtId="1" fontId="13" fillId="5" borderId="18" xfId="1" applyNumberFormat="1" applyFont="1" applyFill="1" applyBorder="1" applyAlignment="1" applyProtection="1">
      <alignment horizontal="center" vertical="center"/>
    </xf>
    <xf numFmtId="173" fontId="13" fillId="5" borderId="18" xfId="1" applyNumberFormat="1" applyFont="1" applyFill="1" applyBorder="1" applyAlignment="1" applyProtection="1">
      <alignment horizontal="center" vertical="center"/>
    </xf>
    <xf numFmtId="3" fontId="13" fillId="5" borderId="18" xfId="1" applyNumberFormat="1" applyFont="1" applyFill="1" applyBorder="1" applyAlignment="1" applyProtection="1">
      <alignment horizontal="center" vertical="center"/>
    </xf>
    <xf numFmtId="3" fontId="13" fillId="11" borderId="18" xfId="1" applyNumberFormat="1" applyFont="1" applyFill="1" applyBorder="1" applyAlignment="1" applyProtection="1">
      <alignment horizontal="center" vertical="center"/>
    </xf>
    <xf numFmtId="3" fontId="41" fillId="5" borderId="18" xfId="1" applyNumberFormat="1" applyFont="1" applyFill="1" applyBorder="1" applyAlignment="1" applyProtection="1">
      <alignment horizontal="center" vertical="center"/>
    </xf>
    <xf numFmtId="0" fontId="41" fillId="5" borderId="18" xfId="0" applyFont="1" applyFill="1" applyBorder="1" applyAlignment="1" applyProtection="1">
      <alignment horizontal="center" vertical="center"/>
    </xf>
    <xf numFmtId="0" fontId="13" fillId="5" borderId="18" xfId="0" applyFont="1" applyFill="1" applyBorder="1" applyAlignment="1" applyProtection="1">
      <alignment horizontal="center" vertical="center"/>
    </xf>
    <xf numFmtId="3" fontId="13" fillId="13" borderId="49" xfId="0" applyNumberFormat="1" applyFont="1" applyFill="1" applyBorder="1" applyAlignment="1" applyProtection="1">
      <alignment horizontal="center" vertical="center"/>
    </xf>
    <xf numFmtId="10" fontId="13" fillId="13" borderId="24" xfId="0" applyNumberFormat="1" applyFont="1" applyFill="1" applyBorder="1" applyAlignment="1" applyProtection="1">
      <alignment horizontal="center" vertical="center"/>
    </xf>
    <xf numFmtId="0" fontId="3" fillId="13" borderId="33" xfId="0" applyFont="1" applyFill="1" applyBorder="1" applyAlignment="1" applyProtection="1">
      <alignment horizontal="left" vertical="top" wrapText="1"/>
    </xf>
    <xf numFmtId="0" fontId="3" fillId="13" borderId="58" xfId="0" applyFont="1" applyFill="1" applyBorder="1" applyAlignment="1" applyProtection="1">
      <alignment horizontal="left" vertical="top" wrapText="1"/>
    </xf>
    <xf numFmtId="0" fontId="3" fillId="13" borderId="34" xfId="0" applyFont="1" applyFill="1" applyBorder="1" applyAlignment="1" applyProtection="1">
      <alignment horizontal="left" vertical="top" wrapText="1"/>
    </xf>
    <xf numFmtId="0" fontId="205" fillId="0" borderId="28" xfId="0" applyFont="1" applyFill="1" applyBorder="1" applyAlignment="1" applyProtection="1">
      <alignment horizontal="center" vertical="center"/>
    </xf>
    <xf numFmtId="0" fontId="205" fillId="0" borderId="33" xfId="0" applyFont="1" applyFill="1" applyBorder="1" applyAlignment="1" applyProtection="1">
      <alignment horizontal="center" vertical="center"/>
    </xf>
    <xf numFmtId="0" fontId="42" fillId="0" borderId="0" xfId="0" applyFont="1" applyAlignment="1" applyProtection="1">
      <alignment horizontal="left" vertical="center" wrapText="1"/>
    </xf>
    <xf numFmtId="0" fontId="42" fillId="0" borderId="0" xfId="0" applyFont="1" applyAlignment="1" applyProtection="1">
      <alignment horizontal="left" vertical="center" wrapText="1"/>
    </xf>
    <xf numFmtId="0" fontId="3" fillId="13" borderId="28" xfId="0" applyFont="1" applyFill="1" applyBorder="1" applyAlignment="1" applyProtection="1">
      <alignment horizontal="left" vertical="top" wrapText="1"/>
    </xf>
    <xf numFmtId="0" fontId="3" fillId="13" borderId="57" xfId="0" applyFont="1" applyFill="1" applyBorder="1" applyAlignment="1" applyProtection="1">
      <alignment horizontal="left" vertical="top" wrapText="1"/>
    </xf>
    <xf numFmtId="0" fontId="3" fillId="13" borderId="29" xfId="0" applyFont="1" applyFill="1" applyBorder="1" applyAlignment="1" applyProtection="1">
      <alignment horizontal="left" vertical="top" wrapText="1"/>
    </xf>
    <xf numFmtId="10" fontId="243" fillId="0" borderId="175" xfId="0" applyNumberFormat="1" applyFont="1" applyFill="1" applyBorder="1" applyAlignment="1" applyProtection="1">
      <alignment horizontal="center" vertical="center"/>
    </xf>
    <xf numFmtId="10" fontId="243" fillId="0" borderId="176" xfId="0" applyNumberFormat="1" applyFont="1" applyFill="1" applyBorder="1" applyAlignment="1" applyProtection="1">
      <alignment horizontal="center" vertical="center"/>
    </xf>
    <xf numFmtId="10" fontId="243" fillId="0" borderId="177" xfId="0" applyNumberFormat="1" applyFont="1" applyFill="1" applyBorder="1" applyAlignment="1" applyProtection="1">
      <alignment horizontal="center" vertical="center"/>
    </xf>
    <xf numFmtId="2" fontId="243" fillId="0" borderId="178" xfId="0" applyNumberFormat="1" applyFont="1" applyFill="1" applyBorder="1" applyAlignment="1" applyProtection="1">
      <alignment horizontal="center" vertical="center"/>
    </xf>
    <xf numFmtId="2" fontId="243" fillId="0" borderId="179" xfId="0" applyNumberFormat="1" applyFont="1" applyFill="1" applyBorder="1" applyAlignment="1" applyProtection="1">
      <alignment horizontal="center" vertical="center"/>
    </xf>
    <xf numFmtId="0" fontId="241" fillId="0" borderId="0" xfId="0" applyFont="1" applyFill="1" applyAlignment="1" applyProtection="1">
      <alignment vertical="center"/>
    </xf>
    <xf numFmtId="0" fontId="242" fillId="0" borderId="0" xfId="0" applyFont="1" applyFill="1" applyAlignment="1" applyProtection="1">
      <alignment vertical="center"/>
    </xf>
    <xf numFmtId="2" fontId="244" fillId="0" borderId="180" xfId="0" applyNumberFormat="1" applyFont="1" applyFill="1" applyBorder="1" applyAlignment="1" applyProtection="1">
      <alignment horizontal="center" vertical="center"/>
    </xf>
    <xf numFmtId="2" fontId="244" fillId="0" borderId="174" xfId="0" applyNumberFormat="1" applyFont="1" applyFill="1" applyBorder="1" applyAlignment="1" applyProtection="1">
      <alignment horizontal="center" vertical="center"/>
    </xf>
    <xf numFmtId="2" fontId="244" fillId="0" borderId="181" xfId="0" applyNumberFormat="1" applyFont="1" applyFill="1" applyBorder="1" applyAlignment="1" applyProtection="1">
      <alignment horizontal="center" vertical="center"/>
    </xf>
    <xf numFmtId="0" fontId="3" fillId="0" borderId="0" xfId="0" applyFont="1" applyFill="1" applyBorder="1" applyAlignment="1" applyProtection="1">
      <alignment horizontal="left" vertical="center" wrapText="1"/>
    </xf>
    <xf numFmtId="10" fontId="243" fillId="0" borderId="182" xfId="0" applyNumberFormat="1" applyFont="1" applyFill="1" applyBorder="1" applyAlignment="1" applyProtection="1">
      <alignment horizontal="center" vertical="center"/>
    </xf>
    <xf numFmtId="10" fontId="243" fillId="0" borderId="173" xfId="0" applyNumberFormat="1" applyFont="1" applyFill="1" applyBorder="1" applyAlignment="1" applyProtection="1">
      <alignment horizontal="center" vertical="center"/>
    </xf>
    <xf numFmtId="10" fontId="243" fillId="0" borderId="183" xfId="0" applyNumberFormat="1" applyFont="1" applyFill="1" applyBorder="1" applyAlignment="1" applyProtection="1">
      <alignment horizontal="center" vertical="center"/>
    </xf>
    <xf numFmtId="0" fontId="98" fillId="0" borderId="0" xfId="0" applyFont="1" applyAlignment="1" applyProtection="1">
      <alignment wrapText="1"/>
    </xf>
    <xf numFmtId="0" fontId="98" fillId="0" borderId="0" xfId="0" applyFont="1" applyBorder="1" applyAlignment="1" applyProtection="1">
      <alignment wrapText="1"/>
    </xf>
    <xf numFmtId="10" fontId="244" fillId="0" borderId="184" xfId="0" applyNumberFormat="1" applyFont="1" applyBorder="1" applyAlignment="1" applyProtection="1">
      <alignment horizontal="center" vertical="center"/>
    </xf>
    <xf numFmtId="38" fontId="12" fillId="5" borderId="16" xfId="1" applyNumberFormat="1" applyFont="1" applyFill="1" applyBorder="1" applyAlignment="1" applyProtection="1">
      <alignment horizontal="right" vertical="center"/>
    </xf>
    <xf numFmtId="38" fontId="12" fillId="5" borderId="18" xfId="1" applyNumberFormat="1" applyFont="1" applyFill="1" applyBorder="1" applyAlignment="1" applyProtection="1">
      <alignment horizontal="right" vertical="center"/>
    </xf>
    <xf numFmtId="164" fontId="13" fillId="11" borderId="78" xfId="0" applyNumberFormat="1" applyFont="1" applyFill="1" applyBorder="1" applyAlignment="1" applyProtection="1">
      <alignment horizontal="center" vertical="center"/>
    </xf>
    <xf numFmtId="164" fontId="13" fillId="11" borderId="82" xfId="0" applyNumberFormat="1" applyFont="1" applyFill="1" applyBorder="1" applyAlignment="1" applyProtection="1">
      <alignment horizontal="center" vertical="center"/>
    </xf>
    <xf numFmtId="164" fontId="13" fillId="11" borderId="79" xfId="0" applyNumberFormat="1" applyFont="1" applyFill="1" applyBorder="1" applyAlignment="1" applyProtection="1">
      <alignment horizontal="center" vertical="center"/>
    </xf>
    <xf numFmtId="3" fontId="13" fillId="5" borderId="16" xfId="0" applyNumberFormat="1" applyFont="1" applyFill="1" applyBorder="1" applyAlignment="1" applyProtection="1">
      <alignment vertical="center"/>
    </xf>
    <xf numFmtId="0" fontId="13" fillId="5" borderId="36" xfId="0" applyFont="1" applyFill="1" applyBorder="1" applyAlignment="1" applyProtection="1">
      <alignment horizontal="left" vertical="center"/>
    </xf>
    <xf numFmtId="0" fontId="13" fillId="5" borderId="2" xfId="0" applyFont="1" applyFill="1" applyBorder="1" applyAlignment="1" applyProtection="1">
      <alignment horizontal="left" vertical="center"/>
    </xf>
    <xf numFmtId="0" fontId="13" fillId="5" borderId="37" xfId="0" applyFont="1" applyFill="1" applyBorder="1" applyAlignment="1" applyProtection="1">
      <alignment horizontal="left" vertical="center"/>
    </xf>
    <xf numFmtId="3" fontId="13" fillId="5" borderId="18" xfId="0" applyNumberFormat="1" applyFont="1" applyFill="1" applyBorder="1" applyAlignment="1" applyProtection="1">
      <alignment vertical="center"/>
    </xf>
    <xf numFmtId="3" fontId="13" fillId="5" borderId="18" xfId="10" applyNumberFormat="1" applyFont="1" applyFill="1" applyBorder="1" applyAlignment="1" applyProtection="1">
      <alignment vertical="center"/>
    </xf>
    <xf numFmtId="3" fontId="13" fillId="5" borderId="16" xfId="10" applyNumberFormat="1" applyFont="1" applyFill="1" applyBorder="1" applyAlignment="1" applyProtection="1">
      <alignment vertical="center"/>
    </xf>
    <xf numFmtId="38" fontId="12" fillId="5" borderId="28" xfId="1" applyNumberFormat="1" applyFont="1" applyFill="1" applyBorder="1" applyAlignment="1" applyProtection="1">
      <alignment horizontal="right" vertical="center"/>
    </xf>
    <xf numFmtId="38" fontId="12" fillId="5" borderId="29"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horizontal="right" vertical="center"/>
    </xf>
    <xf numFmtId="38" fontId="12" fillId="5" borderId="31" xfId="1" applyNumberFormat="1" applyFont="1" applyFill="1" applyBorder="1" applyAlignment="1" applyProtection="1">
      <alignment horizontal="right" vertical="center"/>
    </xf>
    <xf numFmtId="38" fontId="12" fillId="5" borderId="113" xfId="1" applyNumberFormat="1" applyFont="1" applyFill="1" applyBorder="1" applyAlignment="1" applyProtection="1">
      <alignment horizontal="right" vertical="center"/>
    </xf>
    <xf numFmtId="38" fontId="12" fillId="5" borderId="114" xfId="1" applyNumberFormat="1" applyFont="1" applyFill="1" applyBorder="1" applyAlignment="1" applyProtection="1">
      <alignment horizontal="right" vertical="center"/>
    </xf>
    <xf numFmtId="0" fontId="4" fillId="5" borderId="36" xfId="0" applyFont="1" applyFill="1" applyBorder="1" applyAlignment="1" applyProtection="1">
      <alignment horizontal="left" vertical="center"/>
    </xf>
    <xf numFmtId="0" fontId="4" fillId="5" borderId="2" xfId="0" applyFont="1" applyFill="1" applyBorder="1" applyAlignment="1" applyProtection="1">
      <alignment horizontal="left" vertical="center"/>
    </xf>
    <xf numFmtId="0" fontId="4" fillId="5" borderId="37" xfId="0" applyFont="1" applyFill="1" applyBorder="1" applyAlignment="1" applyProtection="1">
      <alignment horizontal="left" vertical="center"/>
    </xf>
    <xf numFmtId="3" fontId="12" fillId="5" borderId="28" xfId="0" applyNumberFormat="1" applyFont="1" applyFill="1" applyBorder="1" applyAlignment="1" applyProtection="1">
      <alignment horizontal="right" vertical="center"/>
    </xf>
    <xf numFmtId="3" fontId="12" fillId="5" borderId="29" xfId="0" applyNumberFormat="1" applyFont="1" applyFill="1" applyBorder="1" applyAlignment="1" applyProtection="1">
      <alignment horizontal="right" vertical="center"/>
    </xf>
    <xf numFmtId="3" fontId="12" fillId="5" borderId="30" xfId="0" applyNumberFormat="1" applyFont="1" applyFill="1" applyBorder="1" applyAlignment="1" applyProtection="1">
      <alignment horizontal="right" vertical="center"/>
    </xf>
    <xf numFmtId="3" fontId="12" fillId="5" borderId="31" xfId="0" applyNumberFormat="1" applyFont="1" applyFill="1" applyBorder="1" applyAlignment="1" applyProtection="1">
      <alignment horizontal="right" vertical="center"/>
    </xf>
    <xf numFmtId="38" fontId="4" fillId="5" borderId="78" xfId="0" applyNumberFormat="1" applyFont="1" applyFill="1" applyBorder="1" applyAlignment="1" applyProtection="1">
      <alignment horizontal="left" vertical="center" wrapText="1"/>
    </xf>
    <xf numFmtId="38" fontId="4" fillId="5" borderId="82" xfId="0" applyNumberFormat="1" applyFont="1" applyFill="1" applyBorder="1" applyAlignment="1" applyProtection="1">
      <alignment horizontal="left" vertical="center" wrapText="1"/>
    </xf>
    <xf numFmtId="38" fontId="4" fillId="5" borderId="79" xfId="0" applyNumberFormat="1" applyFont="1" applyFill="1" applyBorder="1" applyAlignment="1" applyProtection="1">
      <alignment horizontal="left" vertical="center" wrapText="1"/>
    </xf>
    <xf numFmtId="3" fontId="12" fillId="5" borderId="113" xfId="0" applyNumberFormat="1" applyFont="1" applyFill="1" applyBorder="1" applyAlignment="1" applyProtection="1">
      <alignment horizontal="right" vertical="center"/>
    </xf>
    <xf numFmtId="3" fontId="12" fillId="5" borderId="114" xfId="0" applyNumberFormat="1" applyFont="1" applyFill="1" applyBorder="1" applyAlignment="1" applyProtection="1">
      <alignment horizontal="right" vertical="center"/>
    </xf>
    <xf numFmtId="3" fontId="12" fillId="11" borderId="15" xfId="1" applyNumberFormat="1" applyFont="1" applyFill="1" applyBorder="1" applyAlignment="1" applyProtection="1">
      <alignment horizontal="right" vertical="center"/>
    </xf>
    <xf numFmtId="38" fontId="12" fillId="5" borderId="28" xfId="1" applyNumberFormat="1" applyFont="1" applyFill="1" applyBorder="1" applyAlignment="1" applyProtection="1">
      <alignment vertical="center"/>
    </xf>
    <xf numFmtId="38" fontId="12" fillId="5" borderId="29" xfId="1" applyNumberFormat="1" applyFont="1" applyFill="1" applyBorder="1" applyAlignment="1" applyProtection="1">
      <alignment vertical="center"/>
    </xf>
    <xf numFmtId="3" fontId="12" fillId="0" borderId="0" xfId="1" applyNumberFormat="1" applyFont="1" applyFill="1" applyBorder="1" applyAlignment="1" applyProtection="1">
      <alignment horizontal="right" vertical="center"/>
    </xf>
    <xf numFmtId="38" fontId="12" fillId="5" borderId="30" xfId="1" applyNumberFormat="1" applyFont="1" applyFill="1" applyBorder="1" applyAlignment="1" applyProtection="1">
      <alignment vertical="center"/>
    </xf>
    <xf numFmtId="38" fontId="12" fillId="5" borderId="31" xfId="1" applyNumberFormat="1" applyFont="1" applyFill="1" applyBorder="1" applyAlignment="1" applyProtection="1">
      <alignment vertical="center"/>
    </xf>
    <xf numFmtId="3" fontId="12" fillId="5" borderId="26" xfId="0" applyNumberFormat="1" applyFont="1" applyFill="1" applyBorder="1" applyAlignment="1" applyProtection="1">
      <alignment horizontal="right" vertical="center"/>
    </xf>
    <xf numFmtId="3" fontId="12" fillId="5" borderId="32" xfId="0" applyNumberFormat="1" applyFont="1" applyFill="1" applyBorder="1" applyAlignment="1" applyProtection="1">
      <alignment horizontal="right" vertical="center"/>
    </xf>
    <xf numFmtId="3" fontId="12" fillId="5" borderId="78" xfId="0" applyNumberFormat="1" applyFont="1" applyFill="1" applyBorder="1" applyAlignment="1" applyProtection="1">
      <alignment horizontal="center" vertical="center"/>
    </xf>
    <xf numFmtId="3" fontId="12" fillId="5" borderId="79" xfId="0" applyNumberFormat="1" applyFont="1" applyFill="1" applyBorder="1" applyAlignment="1" applyProtection="1">
      <alignment horizontal="center" vertical="center"/>
    </xf>
    <xf numFmtId="3" fontId="12" fillId="5" borderId="86" xfId="0" applyNumberFormat="1" applyFont="1" applyFill="1" applyBorder="1" applyAlignment="1" applyProtection="1">
      <alignment horizontal="center" vertical="center"/>
    </xf>
    <xf numFmtId="3" fontId="12" fillId="11" borderId="15" xfId="0" applyNumberFormat="1" applyFont="1" applyFill="1" applyBorder="1" applyAlignment="1" applyProtection="1">
      <alignment horizontal="center" vertical="center"/>
    </xf>
    <xf numFmtId="0" fontId="3" fillId="13" borderId="78" xfId="0" applyFont="1" applyFill="1" applyBorder="1" applyAlignment="1" applyProtection="1">
      <alignment horizontal="left" vertical="top" wrapText="1"/>
    </xf>
    <xf numFmtId="0" fontId="3" fillId="13" borderId="82" xfId="0" applyFont="1" applyFill="1" applyBorder="1" applyAlignment="1" applyProtection="1">
      <alignment horizontal="left" vertical="top" wrapText="1"/>
    </xf>
    <xf numFmtId="0" fontId="3" fillId="13" borderId="79" xfId="0" applyFont="1" applyFill="1" applyBorder="1" applyAlignment="1" applyProtection="1">
      <alignment horizontal="left" vertical="top" wrapText="1"/>
    </xf>
    <xf numFmtId="3" fontId="12" fillId="10" borderId="15" xfId="0" applyNumberFormat="1" applyFont="1" applyFill="1" applyBorder="1" applyAlignment="1" applyProtection="1">
      <alignment horizontal="center" vertical="center"/>
    </xf>
    <xf numFmtId="0" fontId="0" fillId="0" borderId="82" xfId="0" applyBorder="1" applyProtection="1"/>
    <xf numFmtId="0" fontId="0" fillId="0" borderId="79" xfId="0" applyBorder="1" applyProtection="1"/>
    <xf numFmtId="164" fontId="12" fillId="5" borderId="3" xfId="1" applyNumberFormat="1" applyFont="1" applyFill="1" applyBorder="1" applyAlignment="1" applyProtection="1">
      <alignment horizontal="right"/>
    </xf>
    <xf numFmtId="10" fontId="12" fillId="5" borderId="3" xfId="0" applyNumberFormat="1" applyFont="1" applyFill="1" applyBorder="1" applyAlignment="1" applyProtection="1">
      <alignment horizontal="left"/>
    </xf>
    <xf numFmtId="0" fontId="12" fillId="5" borderId="136" xfId="0" applyNumberFormat="1" applyFont="1" applyFill="1" applyBorder="1" applyAlignment="1" applyProtection="1">
      <alignment horizontal="right" vertical="center"/>
    </xf>
    <xf numFmtId="3" fontId="12" fillId="5" borderId="136" xfId="10" applyNumberFormat="1" applyFont="1" applyFill="1" applyBorder="1" applyAlignment="1" applyProtection="1">
      <alignment horizontal="right" vertical="center"/>
    </xf>
    <xf numFmtId="0" fontId="12" fillId="5" borderId="18" xfId="0" applyNumberFormat="1" applyFont="1" applyFill="1" applyBorder="1" applyAlignment="1" applyProtection="1">
      <alignment horizontal="right" vertical="center"/>
    </xf>
    <xf numFmtId="166" fontId="12" fillId="5" borderId="18" xfId="10" applyNumberFormat="1" applyFont="1" applyFill="1" applyBorder="1" applyAlignment="1" applyProtection="1">
      <alignment horizontal="right" vertical="center"/>
    </xf>
    <xf numFmtId="164" fontId="12" fillId="6" borderId="86" xfId="1" applyNumberFormat="1" applyFont="1" applyFill="1" applyBorder="1" applyProtection="1"/>
    <xf numFmtId="164" fontId="12" fillId="11" borderId="16" xfId="1" applyNumberFormat="1" applyFont="1" applyFill="1" applyBorder="1" applyProtection="1"/>
    <xf numFmtId="164" fontId="12" fillId="6" borderId="17" xfId="1" applyNumberFormat="1" applyFont="1" applyFill="1" applyBorder="1" applyProtection="1"/>
    <xf numFmtId="164" fontId="12" fillId="5" borderId="17" xfId="1" applyNumberFormat="1" applyFont="1" applyFill="1" applyBorder="1" applyProtection="1"/>
    <xf numFmtId="164" fontId="12" fillId="6" borderId="100" xfId="1" applyNumberFormat="1" applyFont="1" applyFill="1" applyBorder="1" applyProtection="1"/>
    <xf numFmtId="43" fontId="12" fillId="6" borderId="100" xfId="1" applyNumberFormat="1" applyFont="1" applyFill="1" applyBorder="1" applyProtection="1"/>
    <xf numFmtId="164" fontId="12" fillId="6" borderId="18" xfId="1" applyNumberFormat="1" applyFont="1" applyFill="1" applyBorder="1" applyProtection="1"/>
    <xf numFmtId="164" fontId="12" fillId="6" borderId="16" xfId="1" applyNumberFormat="1" applyFont="1" applyFill="1" applyBorder="1" applyProtection="1"/>
    <xf numFmtId="43" fontId="12" fillId="6" borderId="17" xfId="1" applyNumberFormat="1" applyFont="1" applyFill="1" applyBorder="1" applyProtection="1"/>
    <xf numFmtId="0" fontId="41" fillId="0" borderId="2" xfId="0" applyFont="1" applyBorder="1" applyAlignment="1" applyProtection="1">
      <alignment horizontal="left" vertical="top" wrapText="1"/>
    </xf>
    <xf numFmtId="0" fontId="41" fillId="0" borderId="37" xfId="0" applyFont="1" applyBorder="1" applyAlignment="1" applyProtection="1">
      <alignment horizontal="left" vertical="top" wrapText="1"/>
    </xf>
    <xf numFmtId="0" fontId="41" fillId="13" borderId="36" xfId="0" applyFont="1" applyFill="1" applyBorder="1" applyAlignment="1" applyProtection="1">
      <alignment horizontal="left" vertical="top" wrapText="1"/>
    </xf>
    <xf numFmtId="0" fontId="41" fillId="13" borderId="2" xfId="0" applyFont="1" applyFill="1" applyBorder="1" applyAlignment="1" applyProtection="1">
      <alignment horizontal="left" vertical="top" wrapText="1"/>
    </xf>
    <xf numFmtId="0" fontId="41" fillId="13" borderId="37" xfId="0" applyFont="1" applyFill="1" applyBorder="1" applyAlignment="1" applyProtection="1">
      <alignment horizontal="left" vertical="top" wrapText="1"/>
    </xf>
    <xf numFmtId="0" fontId="14" fillId="13" borderId="23" xfId="0" applyFont="1" applyFill="1" applyBorder="1" applyAlignment="1" applyProtection="1">
      <alignment horizontal="center" vertical="center"/>
    </xf>
    <xf numFmtId="0" fontId="14" fillId="13" borderId="25" xfId="0" applyFont="1" applyFill="1" applyBorder="1" applyAlignment="1" applyProtection="1">
      <alignment horizontal="center" vertical="center"/>
    </xf>
    <xf numFmtId="0" fontId="14" fillId="13" borderId="24" xfId="0" applyFont="1" applyFill="1" applyBorder="1" applyAlignment="1" applyProtection="1">
      <alignment horizontal="center" vertical="center"/>
    </xf>
    <xf numFmtId="0" fontId="14" fillId="13" borderId="80" xfId="0" applyFont="1" applyFill="1" applyBorder="1" applyAlignment="1" applyProtection="1">
      <alignment horizontal="left" vertical="center"/>
    </xf>
    <xf numFmtId="0" fontId="14" fillId="13" borderId="81" xfId="0" applyFont="1" applyFill="1" applyBorder="1" applyAlignment="1" applyProtection="1">
      <alignment horizontal="left" vertical="center"/>
    </xf>
    <xf numFmtId="175" fontId="14" fillId="13" borderId="28" xfId="0" applyNumberFormat="1" applyFont="1" applyFill="1" applyBorder="1" applyAlignment="1" applyProtection="1">
      <alignment horizontal="left" vertical="center"/>
    </xf>
    <xf numFmtId="175" fontId="14" fillId="13" borderId="29" xfId="0" applyNumberFormat="1" applyFont="1" applyFill="1" applyBorder="1" applyAlignment="1" applyProtection="1">
      <alignment horizontal="left" vertical="center"/>
    </xf>
    <xf numFmtId="0" fontId="14" fillId="13" borderId="30" xfId="0" applyFont="1" applyFill="1" applyBorder="1" applyAlignment="1" applyProtection="1">
      <alignment horizontal="left" vertical="center"/>
    </xf>
    <xf numFmtId="0" fontId="14" fillId="13" borderId="31" xfId="0" applyFont="1" applyFill="1" applyBorder="1" applyAlignment="1" applyProtection="1">
      <alignment horizontal="left" vertical="center"/>
    </xf>
    <xf numFmtId="175" fontId="14" fillId="13" borderId="33" xfId="0" applyNumberFormat="1" applyFont="1" applyFill="1" applyBorder="1" applyAlignment="1" applyProtection="1">
      <alignment horizontal="left" vertical="center"/>
    </xf>
    <xf numFmtId="175" fontId="14" fillId="13" borderId="34" xfId="0" applyNumberFormat="1" applyFont="1" applyFill="1" applyBorder="1" applyAlignment="1" applyProtection="1">
      <alignment horizontal="left" vertical="center"/>
    </xf>
    <xf numFmtId="0" fontId="14" fillId="13" borderId="78" xfId="0" applyFont="1" applyFill="1" applyBorder="1" applyAlignment="1" applyProtection="1">
      <alignment horizontal="left" vertical="center"/>
    </xf>
    <xf numFmtId="0" fontId="14" fillId="13" borderId="79" xfId="0" applyFont="1" applyFill="1" applyBorder="1" applyAlignment="1" applyProtection="1">
      <alignment horizontal="left" vertical="center"/>
    </xf>
    <xf numFmtId="0" fontId="14" fillId="13" borderId="3" xfId="0" applyFont="1" applyFill="1" applyBorder="1" applyAlignment="1" applyProtection="1">
      <alignment horizontal="center" vertical="top"/>
    </xf>
    <xf numFmtId="0" fontId="19" fillId="13" borderId="78" xfId="0" applyFont="1" applyFill="1" applyBorder="1" applyAlignment="1" applyProtection="1">
      <alignment horizontal="left"/>
    </xf>
    <xf numFmtId="0" fontId="19" fillId="13" borderId="82" xfId="0" applyFont="1" applyFill="1" applyBorder="1" applyAlignment="1" applyProtection="1">
      <alignment horizontal="left"/>
    </xf>
    <xf numFmtId="0" fontId="19" fillId="13" borderId="79" xfId="0" applyFont="1" applyFill="1" applyBorder="1" applyAlignment="1" applyProtection="1">
      <alignment horizontal="left"/>
    </xf>
    <xf numFmtId="0" fontId="10" fillId="13" borderId="80" xfId="0" applyFont="1" applyFill="1" applyBorder="1" applyAlignment="1" applyProtection="1">
      <alignment horizontal="center" vertical="center"/>
    </xf>
    <xf numFmtId="0" fontId="14" fillId="13" borderId="100" xfId="0" applyFont="1" applyFill="1" applyBorder="1" applyAlignment="1" applyProtection="1">
      <alignment horizontal="center" vertical="top"/>
    </xf>
    <xf numFmtId="3" fontId="14" fillId="13" borderId="28" xfId="0" applyNumberFormat="1" applyFont="1" applyFill="1" applyBorder="1" applyAlignment="1" applyProtection="1">
      <alignment horizontal="center" vertical="center"/>
    </xf>
    <xf numFmtId="3" fontId="14" fillId="13" borderId="29" xfId="0" applyNumberFormat="1" applyFont="1" applyFill="1" applyBorder="1" applyAlignment="1" applyProtection="1">
      <alignment horizontal="center" vertical="center"/>
    </xf>
    <xf numFmtId="0" fontId="14" fillId="13" borderId="33" xfId="0" applyFont="1" applyFill="1" applyBorder="1" applyAlignment="1" applyProtection="1">
      <alignment horizontal="center" vertical="center"/>
    </xf>
    <xf numFmtId="0" fontId="14" fillId="13" borderId="34" xfId="0" applyFont="1" applyFill="1" applyBorder="1" applyAlignment="1" applyProtection="1">
      <alignment horizontal="center" vertical="center"/>
    </xf>
    <xf numFmtId="3" fontId="14" fillId="13" borderId="78" xfId="0" applyNumberFormat="1" applyFont="1" applyFill="1" applyBorder="1" applyAlignment="1" applyProtection="1">
      <alignment horizontal="center" vertical="center"/>
    </xf>
    <xf numFmtId="3" fontId="14" fillId="13" borderId="79" xfId="0" applyNumberFormat="1" applyFont="1" applyFill="1" applyBorder="1" applyAlignment="1" applyProtection="1">
      <alignment horizontal="center" vertical="center"/>
    </xf>
    <xf numFmtId="3" fontId="14" fillId="13" borderId="117" xfId="0" applyNumberFormat="1" applyFont="1" applyFill="1" applyBorder="1" applyAlignment="1" applyProtection="1">
      <alignment horizontal="center" vertical="center"/>
    </xf>
    <xf numFmtId="3" fontId="14" fillId="13" borderId="118" xfId="0" applyNumberFormat="1" applyFont="1" applyFill="1" applyBorder="1" applyAlignment="1" applyProtection="1">
      <alignment horizontal="center" vertical="center"/>
    </xf>
    <xf numFmtId="3" fontId="14" fillId="13" borderId="17" xfId="0" applyNumberFormat="1" applyFont="1" applyFill="1" applyBorder="1" applyAlignment="1" applyProtection="1">
      <alignment horizontal="center" vertical="center"/>
    </xf>
    <xf numFmtId="0" fontId="10" fillId="13" borderId="6" xfId="0" applyFont="1" applyFill="1" applyBorder="1" applyAlignment="1" applyProtection="1">
      <alignment horizontal="center" vertical="center"/>
    </xf>
    <xf numFmtId="0" fontId="10" fillId="13" borderId="78" xfId="0" applyFont="1" applyFill="1" applyBorder="1" applyAlignment="1" applyProtection="1">
      <alignment horizontal="center" vertical="center"/>
    </xf>
    <xf numFmtId="0" fontId="10" fillId="13" borderId="79" xfId="0" applyFont="1" applyFill="1" applyBorder="1" applyAlignment="1" applyProtection="1">
      <alignment horizontal="center" vertical="center"/>
    </xf>
    <xf numFmtId="0" fontId="13" fillId="13" borderId="16" xfId="0" applyFont="1" applyFill="1" applyBorder="1" applyAlignment="1" applyProtection="1">
      <alignment horizontal="center" vertical="center"/>
    </xf>
    <xf numFmtId="0" fontId="13" fillId="13" borderId="17" xfId="0" applyFont="1" applyFill="1" applyBorder="1" applyAlignment="1" applyProtection="1">
      <alignment horizontal="center" vertical="center"/>
    </xf>
    <xf numFmtId="0" fontId="13" fillId="13" borderId="18" xfId="0" applyFont="1" applyFill="1" applyBorder="1" applyAlignment="1" applyProtection="1">
      <alignment horizontal="center" vertical="center"/>
    </xf>
    <xf numFmtId="0" fontId="14" fillId="13" borderId="86" xfId="0" applyFont="1" applyFill="1" applyBorder="1" applyAlignment="1" applyProtection="1">
      <alignment vertical="top"/>
    </xf>
    <xf numFmtId="0" fontId="14" fillId="13" borderId="136" xfId="0" applyFont="1" applyFill="1" applyBorder="1" applyAlignment="1" applyProtection="1">
      <alignment horizontal="center" vertical="top"/>
    </xf>
    <xf numFmtId="0" fontId="14" fillId="13" borderId="18" xfId="0" applyFont="1" applyFill="1" applyBorder="1" applyAlignment="1" applyProtection="1">
      <alignment horizontal="center" vertical="top"/>
    </xf>
    <xf numFmtId="0" fontId="8" fillId="13" borderId="22" xfId="0" applyFont="1" applyFill="1" applyBorder="1" applyAlignment="1" applyProtection="1">
      <alignment horizontal="center" vertical="top" wrapText="1"/>
    </xf>
    <xf numFmtId="0" fontId="8" fillId="13" borderId="17" xfId="0" applyFont="1" applyFill="1" applyBorder="1" applyAlignment="1" applyProtection="1">
      <alignment horizontal="center" vertical="top" wrapText="1"/>
    </xf>
    <xf numFmtId="0" fontId="8" fillId="13" borderId="18" xfId="0" applyFont="1" applyFill="1" applyBorder="1" applyAlignment="1" applyProtection="1">
      <alignment horizontal="center" vertical="top" wrapText="1"/>
    </xf>
    <xf numFmtId="3" fontId="8" fillId="13" borderId="18" xfId="0" applyNumberFormat="1" applyFont="1" applyFill="1" applyBorder="1" applyAlignment="1" applyProtection="1">
      <alignment horizontal="center" vertical="center"/>
    </xf>
    <xf numFmtId="0" fontId="42" fillId="13" borderId="78" xfId="0" applyFont="1" applyFill="1" applyBorder="1" applyAlignment="1" applyProtection="1">
      <alignment horizontal="left" vertical="top" wrapText="1"/>
    </xf>
    <xf numFmtId="0" fontId="42" fillId="13" borderId="82" xfId="0" applyFont="1" applyFill="1" applyBorder="1" applyAlignment="1" applyProtection="1">
      <alignment horizontal="left" vertical="top" wrapText="1"/>
    </xf>
    <xf numFmtId="0" fontId="42" fillId="13" borderId="79" xfId="0" applyFont="1" applyFill="1" applyBorder="1" applyAlignment="1" applyProtection="1">
      <alignment horizontal="left" vertical="top" wrapText="1"/>
    </xf>
    <xf numFmtId="0" fontId="42" fillId="13" borderId="28" xfId="0" applyFont="1" applyFill="1" applyBorder="1" applyAlignment="1" applyProtection="1">
      <alignment horizontal="left" vertical="top" wrapText="1"/>
    </xf>
    <xf numFmtId="0" fontId="42" fillId="13" borderId="57" xfId="0" applyFont="1" applyFill="1" applyBorder="1" applyAlignment="1" applyProtection="1">
      <alignment horizontal="left" vertical="top" wrapText="1"/>
    </xf>
    <xf numFmtId="0" fontId="42" fillId="13" borderId="75" xfId="0" applyFont="1" applyFill="1" applyBorder="1" applyAlignment="1" applyProtection="1">
      <alignment horizontal="left" vertical="top" wrapText="1"/>
    </xf>
    <xf numFmtId="0" fontId="8" fillId="13" borderId="23" xfId="0" applyFont="1" applyFill="1" applyBorder="1" applyAlignment="1" applyProtection="1">
      <alignment horizontal="center" vertical="top" wrapText="1"/>
    </xf>
    <xf numFmtId="0" fontId="42" fillId="13" borderId="51" xfId="0" applyFont="1" applyFill="1" applyBorder="1" applyAlignment="1" applyProtection="1">
      <alignment horizontal="left" vertical="top" wrapText="1"/>
    </xf>
    <xf numFmtId="0" fontId="42" fillId="13" borderId="52" xfId="0" applyFont="1" applyFill="1" applyBorder="1" applyAlignment="1" applyProtection="1">
      <alignment horizontal="left" vertical="top" wrapText="1"/>
    </xf>
    <xf numFmtId="0" fontId="42" fillId="13" borderId="30" xfId="0" applyFont="1" applyFill="1" applyBorder="1" applyAlignment="1" applyProtection="1">
      <alignment horizontal="left" vertical="top" wrapText="1"/>
    </xf>
    <xf numFmtId="0" fontId="42" fillId="13" borderId="21" xfId="0" applyFont="1" applyFill="1" applyBorder="1" applyAlignment="1" applyProtection="1">
      <alignment horizontal="left" vertical="top" wrapText="1"/>
    </xf>
    <xf numFmtId="0" fontId="42" fillId="13" borderId="74" xfId="0" applyFont="1" applyFill="1" applyBorder="1" applyAlignment="1" applyProtection="1">
      <alignment horizontal="left" vertical="top" wrapText="1"/>
    </xf>
    <xf numFmtId="0" fontId="8" fillId="13" borderId="25" xfId="0" applyFont="1" applyFill="1" applyBorder="1" applyAlignment="1" applyProtection="1">
      <alignment horizontal="center" vertical="top" wrapText="1"/>
    </xf>
    <xf numFmtId="0" fontId="42" fillId="13" borderId="50" xfId="0" applyFont="1" applyFill="1" applyBorder="1" applyAlignment="1" applyProtection="1">
      <alignment horizontal="left" vertical="top" wrapText="1"/>
    </xf>
    <xf numFmtId="0" fontId="42" fillId="13" borderId="38" xfId="0" applyFont="1" applyFill="1" applyBorder="1" applyAlignment="1" applyProtection="1">
      <alignment horizontal="left" vertical="top" wrapText="1"/>
    </xf>
    <xf numFmtId="0" fontId="8" fillId="13" borderId="77" xfId="0" applyFont="1" applyFill="1" applyBorder="1" applyAlignment="1" applyProtection="1">
      <alignment horizontal="center" vertical="top" wrapText="1"/>
    </xf>
    <xf numFmtId="0" fontId="8" fillId="13" borderId="31" xfId="0" applyFont="1" applyFill="1" applyBorder="1" applyAlignment="1" applyProtection="1">
      <alignment horizontal="center" vertical="top" wrapText="1"/>
    </xf>
    <xf numFmtId="0" fontId="42" fillId="13" borderId="33" xfId="0" applyFont="1" applyFill="1" applyBorder="1" applyAlignment="1" applyProtection="1">
      <alignment horizontal="left" vertical="top" wrapText="1"/>
    </xf>
    <xf numFmtId="0" fontId="42" fillId="13" borderId="58" xfId="0" applyFont="1" applyFill="1" applyBorder="1" applyAlignment="1" applyProtection="1">
      <alignment horizontal="left" vertical="top" wrapText="1"/>
    </xf>
    <xf numFmtId="0" fontId="42" fillId="13" borderId="76" xfId="0" applyFont="1" applyFill="1" applyBorder="1" applyAlignment="1" applyProtection="1">
      <alignment horizontal="left" vertical="top" wrapText="1"/>
    </xf>
    <xf numFmtId="0" fontId="8" fillId="13" borderId="24" xfId="0" applyFont="1" applyFill="1" applyBorder="1" applyAlignment="1" applyProtection="1">
      <alignment horizontal="center" vertical="top" wrapText="1"/>
    </xf>
    <xf numFmtId="0" fontId="8" fillId="13" borderId="93" xfId="0" applyFont="1" applyFill="1" applyBorder="1" applyAlignment="1" applyProtection="1">
      <alignment horizontal="center" vertical="top" wrapText="1"/>
    </xf>
    <xf numFmtId="0" fontId="8" fillId="13" borderId="34" xfId="0" applyFont="1" applyFill="1" applyBorder="1" applyAlignment="1" applyProtection="1">
      <alignment horizontal="center" vertical="top" wrapText="1"/>
    </xf>
    <xf numFmtId="38" fontId="8" fillId="13" borderId="17" xfId="0" applyNumberFormat="1" applyFont="1" applyFill="1" applyBorder="1" applyAlignment="1" applyProtection="1">
      <alignment horizontal="center" vertical="center"/>
    </xf>
    <xf numFmtId="38" fontId="8" fillId="13" borderId="18" xfId="0" applyNumberFormat="1" applyFont="1" applyFill="1" applyBorder="1" applyAlignment="1" applyProtection="1">
      <alignment horizontal="center" vertical="center"/>
    </xf>
    <xf numFmtId="1" fontId="10" fillId="13" borderId="86" xfId="0" applyNumberFormat="1" applyFont="1" applyFill="1" applyBorder="1" applyAlignment="1" applyProtection="1">
      <alignment horizontal="center" vertical="center"/>
    </xf>
    <xf numFmtId="0" fontId="45" fillId="13" borderId="52" xfId="0" applyNumberFormat="1" applyFont="1" applyFill="1" applyBorder="1" applyAlignment="1" applyProtection="1">
      <alignment horizontal="center" vertical="center"/>
    </xf>
    <xf numFmtId="0" fontId="45" fillId="13" borderId="23" xfId="0" applyNumberFormat="1" applyFont="1" applyFill="1" applyBorder="1" applyAlignment="1" applyProtection="1">
      <alignment horizontal="center" vertical="center"/>
    </xf>
    <xf numFmtId="0" fontId="45" fillId="13" borderId="49" xfId="0" applyNumberFormat="1" applyFont="1" applyFill="1" applyBorder="1" applyAlignment="1" applyProtection="1">
      <alignment horizontal="center" vertical="center"/>
    </xf>
    <xf numFmtId="0" fontId="45" fillId="13" borderId="24" xfId="0" applyNumberFormat="1" applyFont="1" applyFill="1" applyBorder="1" applyAlignment="1" applyProtection="1">
      <alignment horizontal="center" vertical="center"/>
    </xf>
    <xf numFmtId="168" fontId="41" fillId="13" borderId="86" xfId="0" applyNumberFormat="1" applyFont="1" applyFill="1" applyBorder="1" applyAlignment="1" applyProtection="1">
      <alignment vertical="center"/>
    </xf>
    <xf numFmtId="0" fontId="45" fillId="13" borderId="96" xfId="0" applyNumberFormat="1" applyFont="1" applyFill="1" applyBorder="1" applyAlignment="1" applyProtection="1">
      <alignment horizontal="center" vertical="center"/>
    </xf>
    <xf numFmtId="0" fontId="45" fillId="13" borderId="29" xfId="0" applyNumberFormat="1" applyFont="1" applyFill="1" applyBorder="1" applyAlignment="1" applyProtection="1">
      <alignment horizontal="center" vertical="center"/>
    </xf>
    <xf numFmtId="0" fontId="45" fillId="13" borderId="93" xfId="0" applyNumberFormat="1" applyFont="1" applyFill="1" applyBorder="1" applyAlignment="1" applyProtection="1">
      <alignment horizontal="center" vertical="center"/>
    </xf>
    <xf numFmtId="0" fontId="45" fillId="13" borderId="34" xfId="0" applyNumberFormat="1" applyFont="1" applyFill="1" applyBorder="1" applyAlignment="1" applyProtection="1">
      <alignment horizontal="center" vertical="center"/>
    </xf>
    <xf numFmtId="38" fontId="8" fillId="13" borderId="16" xfId="0" applyNumberFormat="1" applyFont="1" applyFill="1" applyBorder="1" applyAlignment="1" applyProtection="1">
      <alignment horizontal="center" vertical="top"/>
    </xf>
    <xf numFmtId="38" fontId="8" fillId="13" borderId="16" xfId="0" applyNumberFormat="1" applyFont="1" applyFill="1" applyBorder="1" applyAlignment="1" applyProtection="1">
      <alignment horizontal="center" vertical="center"/>
    </xf>
    <xf numFmtId="38" fontId="8" fillId="13" borderId="3" xfId="0" applyNumberFormat="1" applyFont="1" applyFill="1" applyBorder="1" applyAlignment="1" applyProtection="1">
      <alignment horizontal="center" vertical="center"/>
    </xf>
    <xf numFmtId="38" fontId="8" fillId="13" borderId="15" xfId="0" applyNumberFormat="1" applyFont="1" applyFill="1" applyBorder="1" applyAlignment="1" applyProtection="1">
      <alignment horizontal="center" vertical="center"/>
    </xf>
    <xf numFmtId="0" fontId="14" fillId="13" borderId="11" xfId="0" applyFont="1" applyFill="1" applyBorder="1" applyAlignment="1" applyProtection="1">
      <alignment horizontal="center" vertical="center"/>
    </xf>
    <xf numFmtId="0" fontId="3" fillId="13" borderId="3" xfId="0" applyFont="1" applyFill="1" applyBorder="1" applyAlignment="1" applyProtection="1">
      <alignment horizontal="center" vertical="center"/>
    </xf>
    <xf numFmtId="3" fontId="4" fillId="13" borderId="16" xfId="0" applyNumberFormat="1" applyFont="1" applyFill="1" applyBorder="1" applyAlignment="1" applyProtection="1">
      <alignment horizontal="center" vertical="center" wrapText="1"/>
    </xf>
    <xf numFmtId="3" fontId="4" fillId="13" borderId="18" xfId="0" applyNumberFormat="1" applyFont="1" applyFill="1" applyBorder="1" applyAlignment="1" applyProtection="1">
      <alignment horizontal="center" vertical="center" wrapText="1"/>
    </xf>
    <xf numFmtId="0" fontId="14" fillId="13" borderId="118" xfId="0" applyFont="1" applyFill="1" applyBorder="1" applyAlignment="1" applyProtection="1">
      <alignment horizontal="center" vertical="center"/>
    </xf>
    <xf numFmtId="0" fontId="14" fillId="13" borderId="131" xfId="0" applyFont="1" applyFill="1" applyBorder="1" applyAlignment="1" applyProtection="1">
      <alignment horizontal="center" vertical="center"/>
    </xf>
    <xf numFmtId="176" fontId="84" fillId="13" borderId="118" xfId="0" applyNumberFormat="1" applyFont="1" applyFill="1" applyBorder="1" applyAlignment="1" applyProtection="1">
      <alignment horizontal="center" vertical="center"/>
    </xf>
    <xf numFmtId="38" fontId="10" fillId="13" borderId="12" xfId="0" applyNumberFormat="1" applyFont="1" applyFill="1" applyBorder="1" applyAlignment="1" applyProtection="1">
      <alignment horizontal="center" vertical="center"/>
    </xf>
    <xf numFmtId="38" fontId="8" fillId="13" borderId="86" xfId="0" applyNumberFormat="1" applyFont="1" applyFill="1" applyBorder="1" applyAlignment="1" applyProtection="1">
      <alignment horizontal="center" vertical="center"/>
    </xf>
    <xf numFmtId="3" fontId="4" fillId="13" borderId="27" xfId="0" applyNumberFormat="1" applyFont="1" applyFill="1" applyBorder="1" applyAlignment="1" applyProtection="1">
      <alignment horizontal="center" vertical="center"/>
    </xf>
    <xf numFmtId="3" fontId="4" fillId="13" borderId="92" xfId="0" applyNumberFormat="1" applyFont="1" applyFill="1" applyBorder="1" applyAlignment="1" applyProtection="1">
      <alignment horizontal="center" vertical="center"/>
    </xf>
    <xf numFmtId="0" fontId="14" fillId="13" borderId="127" xfId="0" applyFont="1" applyFill="1" applyBorder="1" applyAlignment="1" applyProtection="1">
      <alignment horizontal="center" vertical="center"/>
    </xf>
    <xf numFmtId="0" fontId="8" fillId="13" borderId="3" xfId="0" applyFont="1" applyFill="1" applyBorder="1" applyAlignment="1" applyProtection="1">
      <alignment horizontal="center" vertical="center"/>
    </xf>
    <xf numFmtId="10" fontId="4" fillId="13" borderId="17" xfId="0" applyNumberFormat="1" applyFont="1" applyFill="1" applyBorder="1" applyAlignment="1" applyProtection="1">
      <alignment horizontal="center" vertical="center"/>
    </xf>
    <xf numFmtId="0" fontId="4" fillId="13" borderId="17" xfId="0" applyFont="1" applyFill="1" applyBorder="1" applyAlignment="1" applyProtection="1">
      <alignment horizontal="center" vertical="center"/>
    </xf>
    <xf numFmtId="38" fontId="8" fillId="13" borderId="22" xfId="0" applyNumberFormat="1" applyFont="1" applyFill="1" applyBorder="1" applyAlignment="1" applyProtection="1">
      <alignment horizontal="center" vertical="center"/>
    </xf>
    <xf numFmtId="38" fontId="8" fillId="13" borderId="136" xfId="0" applyNumberFormat="1" applyFont="1" applyFill="1" applyBorder="1" applyAlignment="1" applyProtection="1">
      <alignment horizontal="center" vertical="center"/>
    </xf>
    <xf numFmtId="0" fontId="14" fillId="13" borderId="12" xfId="0" applyFont="1" applyFill="1" applyBorder="1" applyAlignment="1" applyProtection="1">
      <alignment horizontal="center" vertical="top"/>
    </xf>
    <xf numFmtId="3" fontId="3" fillId="13" borderId="28" xfId="0" applyNumberFormat="1" applyFont="1" applyFill="1" applyBorder="1" applyAlignment="1" applyProtection="1">
      <alignment horizontal="center" vertical="center"/>
    </xf>
    <xf numFmtId="3" fontId="3" fillId="13" borderId="57" xfId="0" applyNumberFormat="1" applyFont="1" applyFill="1" applyBorder="1" applyAlignment="1" applyProtection="1">
      <alignment horizontal="center" vertical="center"/>
    </xf>
    <xf numFmtId="3" fontId="3" fillId="13" borderId="29" xfId="0" applyNumberFormat="1" applyFont="1" applyFill="1" applyBorder="1" applyAlignment="1" applyProtection="1">
      <alignment horizontal="center" vertical="center"/>
    </xf>
    <xf numFmtId="3" fontId="3" fillId="13" borderId="30" xfId="0" applyNumberFormat="1" applyFont="1" applyFill="1" applyBorder="1" applyAlignment="1" applyProtection="1">
      <alignment horizontal="center" vertical="center"/>
    </xf>
    <xf numFmtId="3" fontId="3" fillId="13" borderId="21" xfId="0" applyNumberFormat="1" applyFont="1" applyFill="1" applyBorder="1" applyAlignment="1" applyProtection="1">
      <alignment horizontal="center" vertical="center"/>
    </xf>
    <xf numFmtId="3" fontId="3" fillId="13" borderId="31" xfId="0" applyNumberFormat="1" applyFont="1" applyFill="1" applyBorder="1" applyAlignment="1" applyProtection="1">
      <alignment horizontal="center" vertical="center"/>
    </xf>
    <xf numFmtId="3" fontId="3" fillId="13" borderId="26" xfId="0" applyNumberFormat="1" applyFont="1" applyFill="1" applyBorder="1" applyAlignment="1" applyProtection="1">
      <alignment horizontal="center" vertical="center"/>
    </xf>
    <xf numFmtId="3" fontId="3" fillId="13" borderId="19" xfId="0" applyNumberFormat="1" applyFont="1" applyFill="1" applyBorder="1" applyAlignment="1" applyProtection="1">
      <alignment horizontal="center" vertical="center"/>
    </xf>
    <xf numFmtId="3" fontId="3" fillId="13" borderId="32" xfId="0" applyNumberFormat="1" applyFont="1" applyFill="1" applyBorder="1" applyAlignment="1" applyProtection="1">
      <alignment horizontal="center" vertical="center"/>
    </xf>
    <xf numFmtId="0" fontId="14" fillId="13" borderId="22" xfId="0" applyFont="1" applyFill="1" applyBorder="1" applyAlignment="1" applyProtection="1">
      <alignment horizontal="center" vertical="top"/>
    </xf>
    <xf numFmtId="0" fontId="176" fillId="0" borderId="0" xfId="13" applyFont="1" applyProtection="1"/>
    <xf numFmtId="0" fontId="181" fillId="0" borderId="0" xfId="13" applyFont="1" applyAlignment="1" applyProtection="1"/>
    <xf numFmtId="0" fontId="75" fillId="0" borderId="0" xfId="13" applyFont="1" applyAlignment="1" applyProtection="1"/>
    <xf numFmtId="0" fontId="182" fillId="0" borderId="0" xfId="13" applyFont="1" applyAlignment="1" applyProtection="1"/>
    <xf numFmtId="0" fontId="74" fillId="0" borderId="0" xfId="13" applyFont="1" applyProtection="1"/>
    <xf numFmtId="0" fontId="88" fillId="0" borderId="0" xfId="13" applyFont="1" applyProtection="1"/>
    <xf numFmtId="0" fontId="74" fillId="0" borderId="0" xfId="13" applyFont="1" applyAlignment="1" applyProtection="1">
      <alignment horizontal="left" vertical="center" wrapText="1"/>
    </xf>
    <xf numFmtId="0" fontId="74" fillId="0" borderId="0" xfId="13" applyFont="1" applyAlignment="1" applyProtection="1">
      <alignment horizontal="left"/>
    </xf>
    <xf numFmtId="0" fontId="74" fillId="0" borderId="0" xfId="13" applyFont="1" applyAlignment="1" applyProtection="1">
      <alignment horizontal="justify" vertical="center" wrapText="1"/>
    </xf>
    <xf numFmtId="0" fontId="74" fillId="0" borderId="0" xfId="13" applyFont="1" applyAlignment="1" applyProtection="1">
      <alignment vertical="top"/>
    </xf>
    <xf numFmtId="0" fontId="74" fillId="0" borderId="0" xfId="13" applyFont="1" applyAlignment="1" applyProtection="1">
      <alignment horizontal="justify" vertical="top" wrapText="1"/>
    </xf>
    <xf numFmtId="0" fontId="74" fillId="0" borderId="0" xfId="13" applyFont="1" applyAlignment="1" applyProtection="1">
      <alignment horizontal="left" vertical="top" wrapText="1"/>
    </xf>
    <xf numFmtId="0" fontId="74" fillId="0" borderId="0" xfId="13" applyFont="1" applyAlignment="1" applyProtection="1">
      <alignment horizontal="left"/>
    </xf>
    <xf numFmtId="0" fontId="74" fillId="0" borderId="13" xfId="13" applyFont="1" applyBorder="1" applyAlignment="1" applyProtection="1">
      <alignment horizontal="left"/>
    </xf>
    <xf numFmtId="0" fontId="74" fillId="0" borderId="0" xfId="13" applyFont="1" applyAlignment="1" applyProtection="1"/>
    <xf numFmtId="0" fontId="42" fillId="0" borderId="85" xfId="13" applyFont="1" applyBorder="1" applyAlignment="1" applyProtection="1">
      <alignment horizontal="center" vertical="top"/>
    </xf>
    <xf numFmtId="175" fontId="74" fillId="0" borderId="13" xfId="13" applyNumberFormat="1" applyFont="1" applyBorder="1" applyAlignment="1" applyProtection="1">
      <alignment horizontal="left"/>
    </xf>
    <xf numFmtId="0" fontId="42" fillId="0" borderId="0" xfId="13" applyFont="1" applyBorder="1" applyAlignment="1" applyProtection="1">
      <alignment horizontal="center" vertical="top"/>
    </xf>
    <xf numFmtId="0" fontId="42" fillId="0" borderId="0" xfId="13" applyFont="1" applyAlignment="1" applyProtection="1">
      <alignment horizontal="center"/>
    </xf>
  </cellXfs>
  <cellStyles count="36">
    <cellStyle name="Body" xfId="14" xr:uid="{00000000-0005-0000-0000-000000000000}"/>
    <cellStyle name="Comma" xfId="1" builtinId="3"/>
    <cellStyle name="Comma 2" xfId="15" xr:uid="{00000000-0005-0000-0000-000002000000}"/>
    <cellStyle name="Comma 3" xfId="28" xr:uid="{00000000-0005-0000-0000-000003000000}"/>
    <cellStyle name="Comma 4" xfId="34" xr:uid="{00000000-0005-0000-0000-000004000000}"/>
    <cellStyle name="Currency" xfId="2" builtinId="4"/>
    <cellStyle name="Currency 2" xfId="16" xr:uid="{00000000-0005-0000-0000-000006000000}"/>
    <cellStyle name="DATE" xfId="17" xr:uid="{00000000-0005-0000-0000-000007000000}"/>
    <cellStyle name="Euro" xfId="18" xr:uid="{00000000-0005-0000-0000-000008000000}"/>
    <cellStyle name="FORMULA" xfId="19" xr:uid="{00000000-0005-0000-0000-000009000000}"/>
    <cellStyle name="Grey" xfId="3" xr:uid="{00000000-0005-0000-0000-00000A000000}"/>
    <cellStyle name="Header1" xfId="4" xr:uid="{00000000-0005-0000-0000-00000B000000}"/>
    <cellStyle name="Header2" xfId="5" xr:uid="{00000000-0005-0000-0000-00000C000000}"/>
    <cellStyle name="Header2 2" xfId="31" xr:uid="{00000000-0005-0000-0000-00000D000000}"/>
    <cellStyle name="HIDE" xfId="20" xr:uid="{00000000-0005-0000-0000-00000E000000}"/>
    <cellStyle name="Hyperlink" xfId="6" builtinId="8"/>
    <cellStyle name="Input [yellow]" xfId="7" xr:uid="{00000000-0005-0000-0000-000010000000}"/>
    <cellStyle name="Input [yellow] 2" xfId="32" xr:uid="{00000000-0005-0000-0000-000011000000}"/>
    <cellStyle name="LINK" xfId="21" xr:uid="{00000000-0005-0000-0000-000012000000}"/>
    <cellStyle name="no dec" xfId="22" xr:uid="{00000000-0005-0000-0000-000013000000}"/>
    <cellStyle name="Nor@„l_IRRSENS" xfId="23" xr:uid="{00000000-0005-0000-0000-000014000000}"/>
    <cellStyle name="Normal" xfId="0" builtinId="0"/>
    <cellStyle name="Normal - Style1" xfId="8" xr:uid="{00000000-0005-0000-0000-000016000000}"/>
    <cellStyle name="Normal 2" xfId="12" xr:uid="{00000000-0005-0000-0000-000017000000}"/>
    <cellStyle name="Normal 3" xfId="13" xr:uid="{00000000-0005-0000-0000-000018000000}"/>
    <cellStyle name="Normal 4" xfId="24" xr:uid="{00000000-0005-0000-0000-000019000000}"/>
    <cellStyle name="Normal 5" xfId="30" xr:uid="{00000000-0005-0000-0000-00001A000000}"/>
    <cellStyle name="Normal 6" xfId="33" xr:uid="{00000000-0005-0000-0000-00001B000000}"/>
    <cellStyle name="Normal_'96-'97 Rent Tables" xfId="9" xr:uid="{00000000-0005-0000-0000-00001C000000}"/>
    <cellStyle name="Notes" xfId="25" xr:uid="{00000000-0005-0000-0000-00001D000000}"/>
    <cellStyle name="OVERWRITE" xfId="26" xr:uid="{00000000-0005-0000-0000-00001E000000}"/>
    <cellStyle name="Percent" xfId="10" builtinId="5"/>
    <cellStyle name="Percent [2]" xfId="11" xr:uid="{00000000-0005-0000-0000-000020000000}"/>
    <cellStyle name="Percent 2" xfId="27" xr:uid="{00000000-0005-0000-0000-000021000000}"/>
    <cellStyle name="Percent 3" xfId="29" xr:uid="{00000000-0005-0000-0000-000022000000}"/>
    <cellStyle name="Percent 4" xfId="35" xr:uid="{00000000-0005-0000-0000-000023000000}"/>
  </cellStyles>
  <dxfs count="187">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patternType="solid">
          <bgColor rgb="FFFFFFCC"/>
        </patternFill>
      </fill>
    </dxf>
    <dxf>
      <font>
        <b/>
        <i val="0"/>
        <color rgb="FFFF0000"/>
      </font>
      <fill>
        <patternFill>
          <bgColor rgb="FFFFFF00"/>
        </patternFill>
      </fill>
    </dxf>
    <dxf>
      <font>
        <b/>
        <i val="0"/>
        <color rgb="FFFF0000"/>
      </font>
      <fill>
        <patternFill>
          <bgColor rgb="FFFFFF00"/>
        </patternFill>
      </fill>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ont>
        <color rgb="FFFF0000"/>
      </font>
      <fill>
        <patternFill>
          <bgColor rgb="FFCCFFFF"/>
        </patternFill>
      </fill>
    </dxf>
    <dxf>
      <font>
        <color rgb="FFFF0000"/>
      </font>
      <fill>
        <patternFill patternType="solid">
          <bgColor rgb="FFCCFFFF"/>
        </patternFill>
      </fill>
    </dxf>
    <dxf>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CCFFFF"/>
        </patternFill>
      </fill>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ill>
        <patternFill>
          <bgColor indexed="45"/>
        </patternFill>
      </fill>
      <border>
        <left style="thin">
          <color indexed="64"/>
        </left>
        <right style="thin">
          <color indexed="64"/>
        </right>
        <top style="thin">
          <color indexed="64"/>
        </top>
        <bottom style="thin">
          <color indexed="64"/>
        </bottom>
      </border>
    </dxf>
    <dxf>
      <font>
        <b/>
        <i val="0"/>
        <color rgb="FFFF0000"/>
      </font>
      <fill>
        <patternFill>
          <bgColor rgb="FFFFFF00"/>
        </patternFill>
      </fill>
    </dxf>
    <dxf>
      <fill>
        <patternFill>
          <bgColor indexed="45"/>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ont>
        <color rgb="FFFF0000"/>
      </font>
      <fill>
        <patternFill>
          <bgColor rgb="FFFFFF00"/>
        </patternFill>
      </fill>
    </dxf>
    <dxf>
      <fill>
        <patternFill>
          <bgColor rgb="FFFFFF00"/>
        </patternFill>
      </fill>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color rgb="FFFF0000"/>
      </font>
      <fill>
        <patternFill>
          <bgColor rgb="FFFFFF00"/>
        </patternFill>
      </fill>
      <border>
        <vertical/>
        <horizontal/>
      </border>
    </dxf>
    <dxf>
      <font>
        <color theme="0"/>
      </font>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strike val="0"/>
        <color rgb="FFFF0000"/>
      </font>
      <fill>
        <patternFill>
          <bgColor rgb="FFFFFF00"/>
        </patternFill>
      </fill>
    </dxf>
    <dxf>
      <font>
        <color theme="0"/>
      </font>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auto="1"/>
        </left>
        <right style="thin">
          <color auto="1"/>
        </right>
        <top style="thin">
          <color auto="1"/>
        </top>
        <bottom style="thin">
          <color auto="1"/>
        </bottom>
        <vertical/>
        <horizontal/>
      </border>
    </dxf>
    <dxf>
      <font>
        <b/>
        <i val="0"/>
        <color rgb="FFFF0000"/>
      </font>
      <fill>
        <patternFill>
          <bgColor rgb="FFFFFF00"/>
        </patternFill>
      </fill>
      <border>
        <left style="thin">
          <color rgb="FFFF0000"/>
        </left>
        <right style="thin">
          <color rgb="FFFF0000"/>
        </right>
        <top style="thin">
          <color rgb="FFFF0000"/>
        </top>
        <bottom style="thin">
          <color rgb="FFFF0000"/>
        </bottom>
      </border>
    </dxf>
    <dxf>
      <font>
        <color theme="0"/>
      </font>
    </dxf>
    <dxf>
      <font>
        <b/>
        <i val="0"/>
        <color rgb="FFFF0000"/>
      </font>
      <fill>
        <patternFill>
          <bgColor rgb="FFFFFF00"/>
        </patternFill>
      </fill>
      <border>
        <left style="dashDotDot">
          <color auto="1"/>
        </left>
        <right style="dashDotDot">
          <color auto="1"/>
        </right>
        <top style="dashDotDot">
          <color auto="1"/>
        </top>
        <bottom style="dashDotDot">
          <color auto="1"/>
        </bottom>
        <vertical/>
        <horizontal/>
      </border>
    </dxf>
    <dxf>
      <font>
        <b/>
        <i val="0"/>
      </font>
      <fill>
        <patternFill>
          <bgColor rgb="FFFFC7CE"/>
        </patternFill>
      </fill>
    </dxf>
    <dxf>
      <fill>
        <patternFill>
          <bgColor indexed="43"/>
        </patternFill>
      </fill>
      <border>
        <left style="thin">
          <color indexed="64"/>
        </left>
        <right style="thin">
          <color indexed="64"/>
        </right>
        <top style="thin">
          <color indexed="64"/>
        </top>
        <bottom style="thin">
          <color indexed="64"/>
        </bottom>
      </border>
    </dxf>
    <dxf>
      <font>
        <b/>
        <i val="0"/>
        <condense val="0"/>
        <extend val="0"/>
        <color auto="1"/>
      </font>
      <fill>
        <patternFill>
          <bgColor indexed="43"/>
        </patternFill>
      </fill>
      <border>
        <left style="thin">
          <color indexed="64"/>
        </left>
        <right style="thin">
          <color indexed="64"/>
        </right>
        <top style="thin">
          <color indexed="64"/>
        </top>
        <bottom style="thin">
          <color indexed="64"/>
        </bottom>
      </border>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rgb="FFFFC7CE"/>
        </patternFill>
      </fill>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b/>
        <i val="0"/>
        <strike val="0"/>
      </font>
      <fill>
        <patternFill>
          <bgColor rgb="FFFFFF00"/>
        </patternFill>
      </fill>
      <border>
        <left style="dashDot">
          <color auto="1"/>
        </left>
        <right style="dashDot">
          <color auto="1"/>
        </right>
        <top style="dashDot">
          <color auto="1"/>
        </top>
        <bottom style="dashDot">
          <color auto="1"/>
        </bottom>
        <vertical/>
        <horizontal/>
      </border>
    </dxf>
    <dxf>
      <font>
        <color rgb="FFC00000"/>
      </font>
      <fill>
        <patternFill>
          <bgColor rgb="FFFD938B"/>
        </patternFill>
      </fill>
    </dxf>
    <dxf>
      <fill>
        <patternFill>
          <bgColor indexed="45"/>
        </patternFill>
      </fill>
    </dxf>
    <dxf>
      <fill>
        <patternFill>
          <bgColor indexed="45"/>
        </patternFill>
      </fill>
    </dxf>
    <dxf>
      <font>
        <condense val="0"/>
        <extend val="0"/>
        <color rgb="FF9C0006"/>
      </font>
      <fill>
        <patternFill>
          <bgColor rgb="FFFFC7CE"/>
        </patternFill>
      </fill>
    </dxf>
    <dxf>
      <font>
        <condense val="0"/>
        <extend val="0"/>
        <color rgb="FF9C0006"/>
      </font>
      <fill>
        <patternFill>
          <bgColor rgb="FFFFC7CE"/>
        </patternFill>
      </fill>
    </dxf>
    <dxf>
      <font>
        <b/>
        <i val="0"/>
        <condense val="0"/>
        <extend val="0"/>
        <color indexed="10"/>
      </font>
      <fill>
        <patternFill>
          <bgColor indexed="13"/>
        </patternFill>
      </fill>
      <border>
        <left style="thin">
          <color indexed="64"/>
        </left>
        <right style="thin">
          <color indexed="64"/>
        </right>
        <top style="thin">
          <color indexed="64"/>
        </top>
        <bottom style="thin">
          <color indexed="64"/>
        </bottom>
      </border>
    </dxf>
    <dxf>
      <font>
        <b/>
        <i val="0"/>
        <strike val="0"/>
        <color rgb="FFFF0000"/>
      </font>
      <fill>
        <patternFill>
          <bgColor rgb="FFFFFF00"/>
        </patternFill>
      </fill>
      <border>
        <left style="thin">
          <color rgb="FFFF0000"/>
        </left>
        <right style="thin">
          <color rgb="FFFF0000"/>
        </right>
        <top style="thin">
          <color rgb="FFFF0000"/>
        </top>
        <bottom style="thin">
          <color rgb="FFFF0000"/>
        </bottom>
        <vertical/>
        <horizontal/>
      </border>
    </dxf>
    <dxf>
      <font>
        <b val="0"/>
        <i val="0"/>
        <strike val="0"/>
        <color rgb="FFFF0000"/>
      </font>
      <fill>
        <patternFill>
          <bgColor rgb="FFFFFF00"/>
        </patternFill>
      </fill>
    </dxf>
    <dxf>
      <font>
        <b/>
        <i val="0"/>
        <color rgb="FFFF0000"/>
      </font>
      <fill>
        <patternFill>
          <bgColor rgb="FFFFFF00"/>
        </patternFill>
      </fill>
      <border>
        <left style="thin">
          <color rgb="FFFF0000"/>
        </left>
        <right style="thin">
          <color rgb="FFFF0000"/>
        </right>
        <vertical/>
        <horizontal/>
      </border>
    </dxf>
    <dxf>
      <font>
        <b/>
        <i val="0"/>
        <color rgb="FFFF0000"/>
      </font>
      <fill>
        <patternFill>
          <bgColor rgb="FFFFFF00"/>
        </patternFill>
      </fill>
      <border>
        <left style="thin">
          <color rgb="FFFF0000"/>
        </left>
        <right style="thin">
          <color rgb="FFFF0000"/>
        </right>
        <vertical/>
        <horizontal/>
      </border>
    </dxf>
    <dxf>
      <font>
        <b/>
        <i val="0"/>
        <condense val="0"/>
        <extend val="0"/>
        <color indexed="10"/>
      </font>
    </dxf>
  </dxfs>
  <tableStyles count="0" defaultTableStyle="TableStyleMedium9" defaultPivotStyle="PivotStyleLight16"/>
  <colors>
    <mruColors>
      <color rgb="FFCCFFCC"/>
      <color rgb="FFCCFFFF"/>
      <color rgb="FFFFFFCC"/>
      <color rgb="FF0000FF"/>
      <color rgb="FF00CC00"/>
      <color rgb="FFCCECFF"/>
      <color rgb="FFCC9900"/>
      <color rgb="FF0066FF"/>
      <color rgb="FFFF6600"/>
      <color rgb="FFFF99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1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20.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3.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4.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5.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6.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7.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8.vml.rels><?xml version="1.0" encoding="UTF-8" standalone="yes"?>
<Relationships xmlns="http://schemas.openxmlformats.org/package/2006/relationships"><Relationship Id="rId1" Type="http://schemas.openxmlformats.org/officeDocument/2006/relationships/image" Target="../media/image1.jpeg"/></Relationships>
</file>

<file path=xl/drawings/_rels/vmlDrawing9.v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13</xdr:col>
      <xdr:colOff>47625</xdr:colOff>
      <xdr:row>0</xdr:row>
      <xdr:rowOff>9525</xdr:rowOff>
    </xdr:from>
    <xdr:to>
      <xdr:col>23</xdr:col>
      <xdr:colOff>438150</xdr:colOff>
      <xdr:row>123</xdr:row>
      <xdr:rowOff>154082</xdr:rowOff>
    </xdr:to>
    <xdr:sp macro="" textlink="">
      <xdr:nvSpPr>
        <xdr:cNvPr id="2" name="TextBox 1">
          <a:extLst>
            <a:ext uri="{FF2B5EF4-FFF2-40B4-BE49-F238E27FC236}">
              <a16:creationId xmlns:a16="http://schemas.microsoft.com/office/drawing/2014/main" id="{72D4DC3E-70A4-40AF-BE82-92C1B7A8C260}"/>
            </a:ext>
          </a:extLst>
        </xdr:cNvPr>
        <xdr:cNvSpPr txBox="1"/>
      </xdr:nvSpPr>
      <xdr:spPr>
        <a:xfrm>
          <a:off x="8001000" y="9525"/>
          <a:ext cx="6486525" cy="25766807"/>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800" b="1">
              <a:solidFill>
                <a:srgbClr val="0070C0"/>
              </a:solidFill>
              <a:effectLst/>
              <a:latin typeface="Arial" panose="020B0604020202020204" pitchFamily="34" charset="0"/>
              <a:ea typeface="+mn-ea"/>
              <a:cs typeface="Arial" panose="020B0604020202020204" pitchFamily="34" charset="0"/>
            </a:rPr>
            <a:t>Worksheet Instructions</a:t>
          </a:r>
        </a:p>
        <a:p>
          <a:r>
            <a:rPr lang="en-US" sz="1000">
              <a:solidFill>
                <a:schemeClr val="dk1"/>
              </a:solidFill>
              <a:effectLst/>
              <a:latin typeface="Arial Narrow" panose="020B0606020202030204" pitchFamily="34" charset="0"/>
              <a:ea typeface="+mn-ea"/>
              <a:cs typeface="Arial" panose="020B0604020202020204" pitchFamily="34" charset="0"/>
            </a:rPr>
            <a:t>This worksheet can be used for any multi-unit HOME project where cost allocation is required.  The Standard Method is the required cost allocation process if a project’s units are not comparable.  Even if units are comparable, when a PJ plans to designate fixed HOME units, use of the Standard Method is advised.  Finally, the Standard Method worksheet can be used whether the starting input is the proposed HOME investment or a set of proposed HOME-assisted units.</a:t>
          </a:r>
        </a:p>
        <a:p>
          <a:pPr lvl="0"/>
          <a:endParaRPr lang="en-US" sz="1000">
            <a:solidFill>
              <a:schemeClr val="dk1"/>
            </a:solidFill>
            <a:effectLst/>
            <a:latin typeface="Arial Narrow" panose="020B0606020202030204" pitchFamily="34" charset="0"/>
            <a:ea typeface="+mn-ea"/>
            <a:cs typeface="Arial" panose="020B0604020202020204" pitchFamily="34" charset="0"/>
          </a:endParaRPr>
        </a:p>
        <a:p>
          <a:pPr lvl="0"/>
          <a:r>
            <a:rPr lang="en-US" sz="1000">
              <a:solidFill>
                <a:schemeClr val="dk1"/>
              </a:solidFill>
              <a:effectLst/>
              <a:latin typeface="Arial Narrow" panose="020B0606020202030204" pitchFamily="34" charset="0"/>
              <a:ea typeface="+mn-ea"/>
              <a:cs typeface="Arial" panose="020B0604020202020204" pitchFamily="34" charset="0"/>
            </a:rPr>
            <a:t>1. This line will initially show the total residential square footage of the project calculated on the Selection of Method worksheet.  That should include </a:t>
          </a:r>
          <a:r>
            <a:rPr lang="en-US" sz="1000" u="sng">
              <a:solidFill>
                <a:schemeClr val="dk1"/>
              </a:solidFill>
              <a:effectLst/>
              <a:latin typeface="Arial Narrow" panose="020B0606020202030204" pitchFamily="34" charset="0"/>
              <a:ea typeface="+mn-ea"/>
              <a:cs typeface="Arial" panose="020B0604020202020204" pitchFamily="34" charset="0"/>
            </a:rPr>
            <a:t>only</a:t>
          </a:r>
          <a:r>
            <a:rPr lang="en-US" sz="1000">
              <a:solidFill>
                <a:schemeClr val="dk1"/>
              </a:solidFill>
              <a:effectLst/>
              <a:latin typeface="Arial Narrow" panose="020B0606020202030204" pitchFamily="34" charset="0"/>
              <a:ea typeface="+mn-ea"/>
              <a:cs typeface="Arial" panose="020B0604020202020204" pitchFamily="34" charset="0"/>
            </a:rPr>
            <a:t> the square footage of the units themselves and not common spaces such as hallways, leasing offices, community rooms, staircases, etc.  This line will allow a user to enter the gross square footage of the residential units in the project (thus over-writing the automatic link) but will also return a warning noting this misalignment.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2. Enter the </a:t>
          </a:r>
          <a:r>
            <a:rPr lang="en-US" sz="1000" b="1">
              <a:solidFill>
                <a:schemeClr val="dk1"/>
              </a:solidFill>
              <a:effectLst/>
              <a:latin typeface="Arial Narrow" panose="020B0606020202030204" pitchFamily="34" charset="0"/>
              <a:ea typeface="+mn-ea"/>
              <a:cs typeface="Arial" panose="020B0604020202020204" pitchFamily="34" charset="0"/>
            </a:rPr>
            <a:t>proposed HOME investment</a:t>
          </a:r>
          <a:r>
            <a:rPr lang="en-US" sz="1000">
              <a:solidFill>
                <a:schemeClr val="dk1"/>
              </a:solidFill>
              <a:effectLst/>
              <a:latin typeface="Arial Narrow" panose="020B0606020202030204" pitchFamily="34" charset="0"/>
              <a:ea typeface="+mn-ea"/>
              <a:cs typeface="Arial" panose="020B0604020202020204" pitchFamily="34" charset="0"/>
            </a:rPr>
            <a:t>.  If using the worksheet to determine the cost of a pre-identified set of proposed HOME units, then this cell may be left blank.  Prior to committing funds to the project, the PJ will need to underwrite the project, determine the gap, and ensure that the award to the project is no more than that needed to ensure viability.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 Enter the </a:t>
          </a:r>
          <a:r>
            <a:rPr lang="en-US" sz="1000" b="1">
              <a:solidFill>
                <a:schemeClr val="dk1"/>
              </a:solidFill>
              <a:effectLst/>
              <a:latin typeface="Arial Narrow" panose="020B0606020202030204" pitchFamily="34" charset="0"/>
              <a:ea typeface="+mn-ea"/>
              <a:cs typeface="Arial" panose="020B0604020202020204" pitchFamily="34" charset="0"/>
            </a:rPr>
            <a:t>project’s total development cost</a:t>
          </a:r>
          <a:r>
            <a:rPr lang="en-US" sz="1000">
              <a:solidFill>
                <a:schemeClr val="dk1"/>
              </a:solidFill>
              <a:effectLst/>
              <a:latin typeface="Arial Narrow" panose="020B0606020202030204" pitchFamily="34" charset="0"/>
              <a:ea typeface="+mn-ea"/>
              <a:cs typeface="Arial" panose="020B0604020202020204" pitchFamily="34" charset="0"/>
            </a:rPr>
            <a:t>.  This includes all project costs determined to be necessary and reasonable, including costs which may not be eligible for direct reimbursement with HOME funds.  Note, for mixed-use projects that involved both residential and non-residential uses (e.g. a project with commercial/retail on the ground floor and residential units above), the non-residential costs must be removed prior to entering the figure 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 Enter </a:t>
          </a:r>
          <a:r>
            <a:rPr lang="en-US" sz="1000" b="1">
              <a:solidFill>
                <a:schemeClr val="dk1"/>
              </a:solidFill>
              <a:effectLst/>
              <a:latin typeface="Arial Narrow" panose="020B0606020202030204" pitchFamily="34" charset="0"/>
              <a:ea typeface="+mn-ea"/>
              <a:cs typeface="Arial" panose="020B0604020202020204" pitchFamily="34" charset="0"/>
            </a:rPr>
            <a:t>the portion of the total development cost that has been identified as ineligible for HOME funding</a:t>
          </a:r>
          <a:r>
            <a:rPr lang="en-US" sz="1000">
              <a:solidFill>
                <a:schemeClr val="dk1"/>
              </a:solidFill>
              <a:effectLst/>
              <a:latin typeface="Arial Narrow" panose="020B0606020202030204" pitchFamily="34" charset="0"/>
              <a:ea typeface="+mn-ea"/>
              <a:cs typeface="Arial" panose="020B0604020202020204" pitchFamily="34" charset="0"/>
            </a:rPr>
            <a:t>.  This will include, but not be limited to, most capitalized reserves, any off-site infrastructure, any organizational and syndication costs, and the cost of free-standing accessory structures.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5. If the units in the project are not comparable and some units have upgraded finishes or amenities (e.g. some units have fireplaces, upgraded appliance packages, premium fixtures, etc.), enter the </a:t>
          </a:r>
          <a:r>
            <a:rPr lang="en-US" sz="1000" b="1">
              <a:solidFill>
                <a:schemeClr val="dk1"/>
              </a:solidFill>
              <a:effectLst/>
              <a:latin typeface="Arial Narrow" panose="020B0606020202030204" pitchFamily="34" charset="0"/>
              <a:ea typeface="+mn-ea"/>
              <a:cs typeface="Arial" panose="020B0604020202020204" pitchFamily="34" charset="0"/>
            </a:rPr>
            <a:t>cost of these upgrades </a:t>
          </a:r>
          <a:r>
            <a:rPr lang="en-US" sz="1000">
              <a:solidFill>
                <a:schemeClr val="dk1"/>
              </a:solidFill>
              <a:effectLst/>
              <a:latin typeface="Arial Narrow" panose="020B0606020202030204" pitchFamily="34" charset="0"/>
              <a:ea typeface="+mn-ea"/>
              <a:cs typeface="Arial" panose="020B0604020202020204" pitchFamily="34" charset="0"/>
            </a:rPr>
            <a:t>on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6. Enter costs associated with </a:t>
          </a:r>
          <a:r>
            <a:rPr lang="en-US" sz="1000" b="1">
              <a:solidFill>
                <a:schemeClr val="dk1"/>
              </a:solidFill>
              <a:effectLst/>
              <a:latin typeface="Arial Narrow" panose="020B0606020202030204" pitchFamily="34" charset="0"/>
              <a:ea typeface="+mn-ea"/>
              <a:cs typeface="Arial" panose="020B0604020202020204" pitchFamily="34" charset="0"/>
            </a:rPr>
            <a:t>URA- or Section 104(d)-required relocation</a:t>
          </a:r>
          <a:r>
            <a:rPr lang="en-US" sz="1000">
              <a:solidFill>
                <a:schemeClr val="dk1"/>
              </a:solidFill>
              <a:effectLst/>
              <a:latin typeface="Arial Narrow" panose="020B0606020202030204" pitchFamily="34" charset="0"/>
              <a:ea typeface="+mn-ea"/>
              <a:cs typeface="Arial" panose="020B0604020202020204" pitchFamily="34" charset="0"/>
            </a:rPr>
            <a:t>.  This may involve temporary relocation or permanent displacement.  Note that the costs of relocation associated with other funding programs or additional incentives or monetary payments paid to occupants in connection with their relocation from a HOME-assisted project (i.e. any relocation costs not driven by HOME-specific requirements) must be treated as ineligible HOME costs and included on line 4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7. Using the dropdown selection, </a:t>
          </a:r>
          <a:r>
            <a:rPr lang="en-US" sz="1000" b="1">
              <a:solidFill>
                <a:schemeClr val="dk1"/>
              </a:solidFill>
              <a:effectLst/>
              <a:latin typeface="Arial Narrow" panose="020B0606020202030204" pitchFamily="34" charset="0"/>
              <a:ea typeface="+mn-ea"/>
              <a:cs typeface="Arial" panose="020B0604020202020204" pitchFamily="34" charset="0"/>
            </a:rPr>
            <a:t>identity whether relocation costs will be assigned exclusively to HOME-assisted units </a:t>
          </a:r>
          <a:r>
            <a:rPr lang="en-US" sz="1000">
              <a:solidFill>
                <a:schemeClr val="dk1"/>
              </a:solidFill>
              <a:effectLst/>
              <a:latin typeface="Arial Narrow" panose="020B0606020202030204" pitchFamily="34" charset="0"/>
              <a:ea typeface="+mn-ea"/>
              <a:cs typeface="Arial" panose="020B0604020202020204" pitchFamily="34" charset="0"/>
            </a:rPr>
            <a:t>(“Yes”) or will be treated as a common cost of the project (“No”).  PJs may choose either option.  The most common approach in practice is to treat relocation costs as common costs.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8. This line shows the “</a:t>
          </a:r>
          <a:r>
            <a:rPr lang="en-US" sz="1000" b="1">
              <a:solidFill>
                <a:schemeClr val="dk1"/>
              </a:solidFill>
              <a:effectLst/>
              <a:latin typeface="Arial Narrow" panose="020B0606020202030204" pitchFamily="34" charset="0"/>
              <a:ea typeface="+mn-ea"/>
              <a:cs typeface="Arial" panose="020B0604020202020204" pitchFamily="34" charset="0"/>
            </a:rPr>
            <a:t>Base Project Cost</a:t>
          </a:r>
          <a:r>
            <a:rPr lang="en-US" sz="1000">
              <a:solidFill>
                <a:schemeClr val="dk1"/>
              </a:solidFill>
              <a:effectLst/>
              <a:latin typeface="Arial Narrow" panose="020B0606020202030204" pitchFamily="34" charset="0"/>
              <a:ea typeface="+mn-ea"/>
              <a:cs typeface="Arial" panose="020B0604020202020204" pitchFamily="34" charset="0"/>
            </a:rPr>
            <a:t>.”  It is calculated by deducting HOME-ineligible costs (line 4), non-standard upgrade costs (line 5), and any URA costs that will be assigned exclusively to HOME units from the total development cost (line 3).</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9.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Base Cost Per Square Foot</a:t>
          </a:r>
          <a:r>
            <a:rPr lang="en-US" sz="1000">
              <a:solidFill>
                <a:schemeClr val="dk1"/>
              </a:solidFill>
              <a:effectLst/>
              <a:latin typeface="Arial Narrow" panose="020B0606020202030204" pitchFamily="34" charset="0"/>
              <a:ea typeface="+mn-ea"/>
              <a:cs typeface="Arial" panose="020B0604020202020204" pitchFamily="34" charset="0"/>
            </a:rPr>
            <a:t>” by dividing the Base Project Cost (line 8) by the gross residential square footage (line 1).  For programming purposes, the result in this cell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cent.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10. Enter information on the specific units being designated as HOME-assisted units in the first five columns of this line.  This will include the specific unit number (e.g. 101, 3-A, etc.), a description of the unit (usually the number of bedrooms and bathrooms), the number of bedrooms, and the square footage of the specific unit.</a:t>
          </a:r>
        </a:p>
        <a:p>
          <a:endParaRPr lang="en-US" sz="1000">
            <a:solidFill>
              <a:schemeClr val="dk1"/>
            </a:solidFill>
            <a:effectLst/>
            <a:latin typeface="Arial Narrow" panose="020B0606020202030204" pitchFamily="34" charset="0"/>
            <a:ea typeface="+mn-ea"/>
            <a:cs typeface="Arial" panose="020B0604020202020204" pitchFamily="34" charset="0"/>
          </a:endParaRPr>
        </a:p>
        <a:p>
          <a:r>
            <a:rPr lang="en-US" sz="1000">
              <a:solidFill>
                <a:schemeClr val="dk1"/>
              </a:solidFill>
              <a:effectLst/>
              <a:latin typeface="Arial Narrow" panose="020B0606020202030204" pitchFamily="34" charset="0"/>
              <a:ea typeface="+mn-ea"/>
              <a:cs typeface="Arial" panose="020B0604020202020204" pitchFamily="34" charset="0"/>
            </a:rPr>
            <a:t>The eighth column of this line calculates the “</a:t>
          </a:r>
          <a:r>
            <a:rPr lang="en-US" sz="1000" b="1">
              <a:solidFill>
                <a:schemeClr val="dk1"/>
              </a:solidFill>
              <a:effectLst/>
              <a:latin typeface="Arial Narrow" panose="020B0606020202030204" pitchFamily="34" charset="0"/>
              <a:ea typeface="+mn-ea"/>
              <a:cs typeface="Arial" panose="020B0604020202020204" pitchFamily="34" charset="0"/>
            </a:rPr>
            <a:t>Individual Unit Cost</a:t>
          </a:r>
          <a:r>
            <a:rPr lang="en-US" sz="1000">
              <a:solidFill>
                <a:schemeClr val="dk1"/>
              </a:solidFill>
              <a:effectLst/>
              <a:latin typeface="Arial Narrow" panose="020B0606020202030204" pitchFamily="34" charset="0"/>
              <a:ea typeface="+mn-ea"/>
              <a:cs typeface="Arial" panose="020B0604020202020204" pitchFamily="34" charset="0"/>
            </a:rPr>
            <a:t>” by multiplying the unit’s square footage by the Base Cost Per Square Foot (line 9).  For programming purposes, the result on this line is rounded </a:t>
          </a:r>
          <a:r>
            <a:rPr lang="en-US" sz="1000" u="sng">
              <a:solidFill>
                <a:schemeClr val="dk1"/>
              </a:solidFill>
              <a:effectLst/>
              <a:latin typeface="Arial Narrow" panose="020B0606020202030204" pitchFamily="34" charset="0"/>
              <a:ea typeface="+mn-ea"/>
              <a:cs typeface="Arial" panose="020B0604020202020204" pitchFamily="34" charset="0"/>
            </a:rPr>
            <a:t>down</a:t>
          </a:r>
          <a:r>
            <a:rPr lang="en-US" sz="1000">
              <a:solidFill>
                <a:schemeClr val="dk1"/>
              </a:solidFill>
              <a:effectLst/>
              <a:latin typeface="Arial Narrow" panose="020B0606020202030204" pitchFamily="34" charset="0"/>
              <a:ea typeface="+mn-ea"/>
              <a:cs typeface="Arial" panose="020B0604020202020204" pitchFamily="34" charset="0"/>
            </a:rPr>
            <a:t> to the nearest dollar.</a:t>
          </a:r>
        </a:p>
        <a:p>
          <a:r>
            <a:rPr lang="en-US" sz="1000">
              <a:solidFill>
                <a:schemeClr val="dk1"/>
              </a:solidFill>
              <a:effectLst/>
              <a:latin typeface="Arial Narrow" panose="020B0606020202030204" pitchFamily="34" charset="0"/>
              <a:ea typeface="+mn-ea"/>
              <a:cs typeface="Arial" panose="020B0604020202020204" pitchFamily="34" charset="0"/>
            </a:rPr>
            <a:t> </a:t>
          </a:r>
        </a:p>
        <a:p>
          <a:r>
            <a:rPr lang="en-US" sz="1000">
              <a:solidFill>
                <a:schemeClr val="dk1"/>
              </a:solidFill>
              <a:effectLst/>
              <a:latin typeface="Arial Narrow" panose="020B0606020202030204" pitchFamily="34" charset="0"/>
              <a:ea typeface="+mn-ea"/>
              <a:cs typeface="Arial" panose="020B0604020202020204" pitchFamily="34" charset="0"/>
            </a:rPr>
            <a:t>The instructions for line 11-29 are the same.  Each HOME-assisted unit must be entered on its own line.  Note that rows 20-29 are “hidden” in the Excel worksheet.  If more than 10 HOME-assisted units need to be designated, users can “right click” in the left hand margin to unhide those additional rows.  This worksheet is designed to accommodate up to 20 specific HOME-assisted units.</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30. This line subtotals the individual unit cost from each designated HOME unit entered on lines 10-29 above.  </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31. If the PJ has chosen to assign any relocation costs exclusively to the HOME-assisted units (by entering “Yes” on line 7 above), then this line will show the relocation costs originally entered on line 6.  If the PJ is treating relocation as a common cost of the project (by answering “No” on line 7) this line will return a blank or 0 value.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32. This line calculates the “Actual Cost of HOME Units” by adding together the subtotal of individual unit costs (line 30) and any relocation costs assigned exclusively to the HOME-assisted units (line 31).</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33. Enter the maximum per-unit HOME subsidy for a 0-bedroom (aka efficiency) unit in the yellow input cell.  The maximum per-unit HOME subsidy should be obtained from the local HUD Field Office.  The first column of this line automatically counts the number of 0-bedroom units entered on lines 10-29.  The sheet then then multiplies the number of such units by the maximum per-unit subsidy.  The resulting subtotal of the maximum subsidy for units of this size is shown on the right-hand column of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34. Enter the maximum per-unit HOME subsidy for a 1-bedroom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35. Enter the maximum per-unit HOME subsidy for a 2-bedroom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36. Enter the maximum per-unit HOME subsidy for a 3-bedroom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37. Enter the maximum per-unit HOME subsidy for a 4-bedroom unit in the yellow input cell.  See the explanation for line 33 above for a description of the calculated cells in this line.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38. This line calculates the “Maximum Project Subsidy” by adding together the subtotals from lines 33-37 above, each of which multiplied the number of HOME-assisted units of a given bedroom size by the maximum per-unit subsidy applicable to that size unit.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39. This line shows the proposed HOME investment originally entered on line 2 above.  If the cost allocation process was initially completed to determine the costs allocable to an identified set of units, this line may be blank.  In such cases, the PJ will need to underwrite the project, determine the gap, and rerun the cost allocation review with this figure entered prior to committing funds to the project.</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40. This line shows the actual cost of the HOME units originally calculated on line 32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41. This line shows the maximum project subsidy calculated on line 38 above.</a:t>
          </a:r>
        </a:p>
        <a:p>
          <a:r>
            <a:rPr lang="en-US" sz="1000">
              <a:solidFill>
                <a:schemeClr val="dk1"/>
              </a:solidFill>
              <a:effectLst/>
              <a:latin typeface="Arial Narrow" panose="020B0606020202030204" pitchFamily="34" charset="0"/>
              <a:ea typeface="+mn-ea"/>
              <a:cs typeface="Arial" panose="020B0604020202020204" pitchFamily="34" charset="0"/>
            </a:rPr>
            <a:t> </a:t>
          </a:r>
        </a:p>
        <a:p>
          <a:pPr lvl="0"/>
          <a:r>
            <a:rPr lang="en-US" sz="1000">
              <a:solidFill>
                <a:schemeClr val="dk1"/>
              </a:solidFill>
              <a:effectLst/>
              <a:latin typeface="Arial Narrow" panose="020B0606020202030204" pitchFamily="34" charset="0"/>
              <a:ea typeface="+mn-ea"/>
              <a:cs typeface="Arial" panose="020B0604020202020204" pitchFamily="34" charset="0"/>
            </a:rPr>
            <a:t>42. This line shows the “Maximum HOME Investment” by calculating the lesser of the figures on lines 39-41 above. </a:t>
          </a:r>
        </a:p>
        <a:p>
          <a:endParaRPr lang="en-US" sz="1000">
            <a:latin typeface="Arial Narrow" panose="020B0606020202030204" pitchFamily="34" charset="0"/>
            <a:cs typeface="Arial" panose="020B0604020202020204" pitchFamily="34" charset="0"/>
          </a:endParaRPr>
        </a:p>
        <a:p>
          <a:r>
            <a:rPr lang="en-US" sz="1000" i="1">
              <a:latin typeface="Arial Narrow" panose="020B0606020202030204" pitchFamily="34" charset="0"/>
              <a:cs typeface="Arial" panose="020B0604020202020204" pitchFamily="34" charset="0"/>
            </a:rPr>
            <a:t>(Rev. 9.14.17)</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ryan.fleming\AppData\Local\Microsoft\Windows\Temporary%20Internet%20Files\Content.Outlook\XRK8JVEZ\HOME-Cost-Allocation-Tool%20-%20Canaan%20(00000002).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l Instructions"/>
      <sheetName val="Selection of Method"/>
      <sheetName val="Standard Method"/>
      <sheetName val="Proration Method - Units Needed"/>
      <sheetName val="Proration Method - $ Needed"/>
      <sheetName val="Hybrid Method - $ Needed"/>
    </sheetNames>
    <sheetDataSet>
      <sheetData sheetId="0"/>
      <sheetData sheetId="1">
        <row r="4">
          <cell r="D4" t="str">
            <v>Canaan Crossing</v>
          </cell>
        </row>
        <row r="5">
          <cell r="D5" t="str">
            <v>1180 Wheat Street</v>
          </cell>
        </row>
        <row r="6">
          <cell r="D6">
            <v>43847</v>
          </cell>
        </row>
        <row r="23">
          <cell r="F23">
            <v>59753</v>
          </cell>
        </row>
      </sheetData>
      <sheetData sheetId="2"/>
      <sheetData sheetId="3"/>
      <sheetData sheetId="4"/>
      <sheetData sheetId="5"/>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vmlDrawing" Target="../drawings/vmlDrawing9.v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vmlDrawing" Target="../drawings/vmlDrawing10.v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1.v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12.v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13.v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3" Type="http://schemas.openxmlformats.org/officeDocument/2006/relationships/printerSettings" Target="../printerSettings/printerSettings2.bin"/><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vmlDrawing" Target="../drawings/vmlDrawing1.vml"/></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14.v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15.v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3" Type="http://schemas.openxmlformats.org/officeDocument/2006/relationships/vmlDrawing" Target="../drawings/vmlDrawing16.vml"/><Relationship Id="rId2" Type="http://schemas.openxmlformats.org/officeDocument/2006/relationships/drawing" Target="../drawings/drawing1.xml"/><Relationship Id="rId1" Type="http://schemas.openxmlformats.org/officeDocument/2006/relationships/printerSettings" Target="../printerSettings/printerSettings23.bin"/><Relationship Id="rId4" Type="http://schemas.openxmlformats.org/officeDocument/2006/relationships/comments" Target="../comments6.xml"/></Relationships>
</file>

<file path=xl/worksheets/_rels/sheet24.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17.v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18.v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3" Type="http://schemas.openxmlformats.org/officeDocument/2006/relationships/comments" Target="../comments9.xml"/><Relationship Id="rId2" Type="http://schemas.openxmlformats.org/officeDocument/2006/relationships/vmlDrawing" Target="../drawings/vmlDrawing19.v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vmlDrawing" Target="../drawings/vmlDrawing20.v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3" Type="http://schemas.openxmlformats.org/officeDocument/2006/relationships/hyperlink" Target="http://zip4.usps.com/zip4/welcome.jsp" TargetMode="External"/><Relationship Id="rId2" Type="http://schemas.openxmlformats.org/officeDocument/2006/relationships/hyperlink" Target="http://votesmart.org/" TargetMode="External"/><Relationship Id="rId1" Type="http://schemas.openxmlformats.org/officeDocument/2006/relationships/hyperlink" Target="http://zip4.usps.com/zip4/welcome.jsp" TargetMode="External"/><Relationship Id="rId4"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printerSettings" Target="../printerSettings/printerSettings3.bin"/><Relationship Id="rId1" Type="http://schemas.openxmlformats.org/officeDocument/2006/relationships/hyperlink" Target="http://zip4.usps.com/zip4/welcome.jsp" TargetMode="External"/></Relationships>
</file>

<file path=xl/worksheets/_rels/sheet4.xml.rels><?xml version="1.0" encoding="UTF-8" standalone="yes"?>
<Relationships xmlns="http://schemas.openxmlformats.org/package/2006/relationships"><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7">
    <pageSetUpPr fitToPage="1"/>
  </sheetPr>
  <dimension ref="A1:F23"/>
  <sheetViews>
    <sheetView showGridLines="0" zoomScaleNormal="100" workbookViewId="0">
      <selection sqref="A1:XFD1048576"/>
    </sheetView>
  </sheetViews>
  <sheetFormatPr defaultColWidth="9.109375" defaultRowHeight="13.2"/>
  <cols>
    <col min="1" max="1" width="171.44140625" style="27" customWidth="1"/>
    <col min="2" max="16384" width="9.109375" style="27"/>
  </cols>
  <sheetData>
    <row r="1" spans="1:6" ht="15" customHeight="1">
      <c r="A1" s="829" t="s">
        <v>957</v>
      </c>
    </row>
    <row r="2" spans="1:6" ht="15" customHeight="1">
      <c r="A2" s="830" t="str">
        <f>'Part I-Project Information'!F34</f>
        <v>Harper Woods II</v>
      </c>
    </row>
    <row r="3" spans="1:6" ht="15" customHeight="1">
      <c r="A3" s="830" t="str">
        <f>CONCATENATE('Part I-Project Information'!F38,", ", 'Part I-Project Information'!J39," County")</f>
        <v>Columbus, Muscogee County</v>
      </c>
    </row>
    <row r="4" spans="1:6" ht="12" customHeight="1">
      <c r="A4" s="1350"/>
    </row>
    <row r="5" spans="1:6" ht="72" customHeight="1">
      <c r="A5" s="2400" t="s">
        <v>7163</v>
      </c>
      <c r="B5" s="2401" t="s">
        <v>4458</v>
      </c>
      <c r="C5" s="2401"/>
      <c r="D5" s="2401"/>
      <c r="E5" s="2401"/>
      <c r="F5" s="2401"/>
    </row>
    <row r="6" spans="1:6" ht="6.6" customHeight="1">
      <c r="A6" s="2400"/>
      <c r="B6" s="2401"/>
      <c r="C6" s="2401"/>
      <c r="D6" s="2401"/>
      <c r="E6" s="2401"/>
      <c r="F6" s="2401"/>
    </row>
    <row r="7" spans="1:6" ht="72" customHeight="1">
      <c r="A7" s="2400"/>
      <c r="B7" s="2401"/>
      <c r="C7" s="2401"/>
      <c r="D7" s="2401"/>
      <c r="E7" s="2401"/>
      <c r="F7" s="2401"/>
    </row>
    <row r="8" spans="1:6" ht="6.6" customHeight="1">
      <c r="A8" s="2400"/>
    </row>
    <row r="9" spans="1:6" ht="72" customHeight="1">
      <c r="A9" s="2400"/>
    </row>
    <row r="10" spans="1:6" ht="6.6" customHeight="1">
      <c r="A10" s="2400"/>
    </row>
    <row r="11" spans="1:6" ht="72" customHeight="1">
      <c r="A11" s="2400"/>
    </row>
    <row r="12" spans="1:6" ht="6.6" customHeight="1">
      <c r="A12" s="2400"/>
    </row>
    <row r="13" spans="1:6" ht="72" customHeight="1">
      <c r="A13" s="2400"/>
    </row>
    <row r="14" spans="1:6" ht="6.6" customHeight="1">
      <c r="A14" s="2400"/>
    </row>
    <row r="15" spans="1:6" ht="72" customHeight="1">
      <c r="A15" s="2400"/>
    </row>
    <row r="16" spans="1:6" ht="6.6" customHeight="1">
      <c r="A16" s="2400"/>
    </row>
    <row r="17" spans="1:1" ht="72" customHeight="1">
      <c r="A17" s="2400"/>
    </row>
    <row r="18" spans="1:1" ht="6.6" customHeight="1">
      <c r="A18" s="2400"/>
    </row>
    <row r="19" spans="1:1" ht="72" customHeight="1">
      <c r="A19" s="2400"/>
    </row>
    <row r="20" spans="1:1" ht="6.6" customHeight="1">
      <c r="A20" s="2400"/>
    </row>
    <row r="21" spans="1:1" ht="72" customHeight="1">
      <c r="A21" s="2400"/>
    </row>
    <row r="22" spans="1:1" ht="6.6" customHeight="1">
      <c r="A22" s="2400"/>
    </row>
    <row r="23" spans="1:1" ht="72" customHeight="1">
      <c r="A23" s="2400"/>
    </row>
  </sheetData>
  <sheetProtection algorithmName="SHA-512" hashValue="rptWbnFtA0BvL9XfG4JtR6nqa/LwjYn7KztJjo56mTDPcXfbKWbJRZYmIekxavEulYy3aVye/3YM+8m1GRO3EA==" saltValue="gPKoYzTfI5sNnhQRlhF4pA==" spinCount="100000" sheet="1" objects="1" scenarios="1" selectLockedCells="1" selectUnlockedCells="1"/>
  <mergeCells count="2">
    <mergeCell ref="A5:A23"/>
    <mergeCell ref="B5:F7"/>
  </mergeCells>
  <printOptions horizontalCentered="1"/>
  <pageMargins left="0.25" right="0.25" top="0.5" bottom="0.5" header="0.25" footer="0.3"/>
  <pageSetup scale="10" fitToHeight="0" orientation="landscape" r:id="rId1"/>
  <headerFooter>
    <oddHeader>&amp;L&amp;8Georgia Department of Community Affairs&amp;C2020 Funding Application&amp;R&amp;8Housing Finance and Development Division</oddHeader>
    <oddFooter>&amp;L&amp;8Project Narrative&amp;C&amp;8&amp;F&amp;R&amp;8&amp;P of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34">
    <pageSetUpPr fitToPage="1"/>
  </sheetPr>
  <dimension ref="A1:SI298"/>
  <sheetViews>
    <sheetView showGridLines="0" topLeftCell="A46" zoomScaleNormal="100" workbookViewId="0">
      <selection activeCell="A46" sqref="A1:XFD1048576"/>
    </sheetView>
  </sheetViews>
  <sheetFormatPr defaultColWidth="9.109375" defaultRowHeight="13.2"/>
  <cols>
    <col min="1" max="1" width="2.88671875" style="8" customWidth="1"/>
    <col min="2" max="2" width="10" style="8" customWidth="1"/>
    <col min="3" max="3" width="7.5546875" style="8" customWidth="1"/>
    <col min="4" max="4" width="6.44140625" style="8" customWidth="1"/>
    <col min="5" max="5" width="6.88671875" style="8" customWidth="1"/>
    <col min="6" max="6" width="8.109375" style="8" customWidth="1"/>
    <col min="7" max="8" width="9.88671875" style="8" customWidth="1"/>
    <col min="9" max="9" width="9.5546875" style="8" customWidth="1"/>
    <col min="10" max="10" width="11.88671875" style="8" customWidth="1"/>
    <col min="11" max="11" width="10.109375" style="8" customWidth="1"/>
    <col min="12" max="12" width="9.88671875" style="8" customWidth="1"/>
    <col min="13" max="14" width="11" style="8" customWidth="1"/>
    <col min="15" max="15" width="13" style="8" customWidth="1"/>
    <col min="16" max="16" width="15.44140625" style="8" customWidth="1"/>
    <col min="17" max="17" width="12.44140625" style="82" customWidth="1"/>
    <col min="18" max="18" width="9.88671875" style="82" customWidth="1"/>
    <col min="19" max="21" width="7.88671875" style="82" customWidth="1"/>
    <col min="22" max="22" width="59.109375" style="82" customWidth="1"/>
    <col min="23" max="23" width="47.88671875" style="82" customWidth="1"/>
    <col min="24" max="137" width="9.109375" style="443" customWidth="1"/>
    <col min="138" max="138" width="12.5546875" style="443" customWidth="1"/>
    <col min="139" max="139" width="8.109375" style="443" customWidth="1"/>
    <col min="140" max="143" width="7.109375" style="443" customWidth="1"/>
    <col min="144" max="144" width="8.109375" style="443" customWidth="1"/>
    <col min="145" max="148" width="7.109375" style="443" customWidth="1"/>
    <col min="149" max="158" width="9.109375" style="443" customWidth="1"/>
    <col min="159" max="159" width="8.109375" style="443" customWidth="1"/>
    <col min="160" max="163" width="7.109375" style="443" customWidth="1"/>
    <col min="164" max="168" width="9.109375" style="443" customWidth="1"/>
    <col min="169" max="169" width="8.109375" style="443" customWidth="1"/>
    <col min="170" max="173" width="7.109375" style="443" customWidth="1"/>
    <col min="174" max="253" width="9.109375" style="443" customWidth="1"/>
    <col min="254" max="258" width="11.109375" style="443" customWidth="1"/>
    <col min="259" max="273" width="9.109375" style="443" customWidth="1"/>
    <col min="274" max="274" width="10.109375" style="443" customWidth="1"/>
    <col min="275" max="278" width="10" style="443" customWidth="1"/>
    <col min="279" max="282" width="9.109375" style="443" customWidth="1"/>
    <col min="283" max="283" width="9.109375" style="2246" customWidth="1"/>
    <col min="284" max="287" width="9.109375" style="443" customWidth="1"/>
    <col min="288" max="298" width="9.109375" style="2246" customWidth="1"/>
    <col min="299" max="308" width="11.5546875" style="2246" customWidth="1"/>
    <col min="309" max="329" width="9.109375" style="2246" customWidth="1"/>
    <col min="330" max="335" width="9.109375" style="443" customWidth="1"/>
    <col min="336" max="336" width="9.109375" style="448" customWidth="1"/>
    <col min="337" max="351" width="9.109375" style="443" customWidth="1"/>
    <col min="352" max="353" width="9.109375" style="448" customWidth="1"/>
    <col min="354" max="360" width="10.109375" style="443" customWidth="1"/>
    <col min="361" max="363" width="9.109375" style="443"/>
    <col min="364" max="364" width="10.44140625" style="443" customWidth="1"/>
    <col min="365" max="368" width="10.109375" style="443" customWidth="1"/>
    <col min="369" max="503" width="9.109375" style="147"/>
    <col min="504" max="16384" width="9.109375" style="82"/>
  </cols>
  <sheetData>
    <row r="1" spans="1:503" s="90" customFormat="1" ht="14.1" customHeight="1">
      <c r="A1" s="1747" t="str">
        <f>CONCATENATE("PART SIX - PROJECTED REVENUES &amp; EXPENSES","  -  ",'Part I-Project Information'!$O$6," ",'Part I-Project Information'!$F$34,", ",'Part I-Project Information'!F38,", ",'Part I-Project Information'!J39," County")</f>
        <v>PART SIX - PROJECTED REVENUES &amp; EXPENSES  -  2020-074 Harper Woods II, Columbus, Muscogee County</v>
      </c>
      <c r="B1" s="1748"/>
      <c r="C1" s="1748"/>
      <c r="D1" s="1748"/>
      <c r="E1" s="1748"/>
      <c r="F1" s="1748"/>
      <c r="G1" s="1748"/>
      <c r="H1" s="1748"/>
      <c r="I1" s="1750"/>
      <c r="J1" s="1748"/>
      <c r="K1" s="1748"/>
      <c r="L1" s="1748"/>
      <c r="M1" s="1748"/>
      <c r="N1" s="1748"/>
      <c r="O1" s="1748"/>
      <c r="P1" s="1748"/>
      <c r="Q1" s="1749"/>
      <c r="T1" s="1746" t="str">
        <f>A1</f>
        <v>PART SIX - PROJECTED REVENUES &amp; EXPENSES  -  2020-074 Harper Woods II, Columbus, Muscogee County</v>
      </c>
      <c r="U1" s="1746"/>
      <c r="V1" s="1746"/>
      <c r="W1" s="1746"/>
      <c r="X1" s="445"/>
      <c r="Y1" s="445"/>
      <c r="Z1" s="445"/>
      <c r="AA1" s="445"/>
      <c r="AB1" s="445"/>
      <c r="AC1" s="445"/>
      <c r="AD1" s="445"/>
      <c r="AE1" s="445"/>
      <c r="AF1" s="445"/>
      <c r="AG1" s="445"/>
      <c r="AH1" s="445"/>
      <c r="AI1" s="445"/>
      <c r="AJ1" s="445"/>
      <c r="AK1" s="445"/>
      <c r="AL1" s="445"/>
      <c r="AM1" s="445"/>
      <c r="AN1" s="445"/>
      <c r="AO1" s="445"/>
      <c r="AP1" s="445"/>
      <c r="AQ1" s="445"/>
      <c r="AR1" s="445"/>
      <c r="AS1" s="445"/>
      <c r="AT1" s="445"/>
      <c r="AU1" s="445"/>
      <c r="AV1" s="445"/>
      <c r="AW1" s="445"/>
      <c r="AX1" s="445"/>
      <c r="AY1" s="445"/>
      <c r="AZ1" s="445"/>
      <c r="BA1" s="445"/>
      <c r="BB1" s="445"/>
      <c r="BC1" s="445"/>
      <c r="BD1" s="445"/>
      <c r="BE1" s="445"/>
      <c r="BF1" s="445"/>
      <c r="BG1" s="445"/>
      <c r="BH1" s="445"/>
      <c r="BI1" s="445"/>
      <c r="BJ1" s="445"/>
      <c r="BK1" s="445"/>
      <c r="BL1" s="445"/>
      <c r="BM1" s="445"/>
      <c r="BN1" s="445"/>
      <c r="BO1" s="445"/>
      <c r="BP1" s="445"/>
      <c r="BQ1" s="445"/>
      <c r="BR1" s="445"/>
      <c r="BS1" s="445"/>
      <c r="BT1" s="445"/>
      <c r="BU1" s="445"/>
      <c r="BV1" s="445"/>
      <c r="BW1" s="445"/>
      <c r="BX1" s="445"/>
      <c r="BY1" s="445"/>
      <c r="BZ1" s="445"/>
      <c r="CA1" s="445"/>
      <c r="CB1" s="445"/>
      <c r="CC1" s="445"/>
      <c r="CD1" s="445"/>
      <c r="CE1" s="445"/>
      <c r="CF1" s="445"/>
      <c r="CG1" s="445"/>
      <c r="CH1" s="445"/>
      <c r="CI1" s="445"/>
      <c r="CJ1" s="445"/>
      <c r="CK1" s="445"/>
      <c r="CL1" s="445"/>
      <c r="CM1" s="445"/>
      <c r="CN1" s="445"/>
      <c r="CO1" s="445"/>
      <c r="CP1" s="445"/>
      <c r="CQ1" s="445"/>
      <c r="CR1" s="445"/>
      <c r="CS1" s="445"/>
      <c r="CT1" s="445"/>
      <c r="CU1" s="445"/>
      <c r="CV1" s="445"/>
      <c r="CW1" s="445"/>
      <c r="CX1" s="445"/>
      <c r="CY1" s="445"/>
      <c r="CZ1" s="445"/>
      <c r="DA1" s="445"/>
      <c r="DB1" s="445"/>
      <c r="DC1" s="445"/>
      <c r="DD1" s="445"/>
      <c r="DE1" s="445"/>
      <c r="DF1" s="445"/>
      <c r="DG1" s="445"/>
      <c r="DH1" s="445"/>
      <c r="DI1" s="445"/>
      <c r="DJ1" s="445"/>
      <c r="DK1" s="445"/>
      <c r="DL1" s="445"/>
      <c r="DM1" s="445"/>
      <c r="DN1" s="445"/>
      <c r="DO1" s="445"/>
      <c r="DP1" s="445"/>
      <c r="DQ1" s="445"/>
      <c r="DR1" s="445"/>
      <c r="DS1" s="445"/>
      <c r="DT1" s="445"/>
      <c r="DU1" s="445"/>
      <c r="DV1" s="445"/>
      <c r="DW1" s="445"/>
      <c r="DX1" s="445"/>
      <c r="DY1" s="445"/>
      <c r="DZ1" s="445"/>
      <c r="EA1" s="445"/>
      <c r="EB1" s="445"/>
      <c r="EC1" s="445"/>
      <c r="ED1" s="445"/>
      <c r="EE1" s="445"/>
      <c r="EF1" s="445"/>
      <c r="EG1" s="445"/>
      <c r="EH1" s="445"/>
      <c r="EI1" s="445"/>
      <c r="EJ1" s="445"/>
      <c r="EK1" s="445"/>
      <c r="EL1" s="445"/>
      <c r="EM1" s="445"/>
      <c r="EN1" s="445"/>
      <c r="EO1" s="445"/>
      <c r="EP1" s="445"/>
      <c r="EQ1" s="445"/>
      <c r="ER1" s="445"/>
      <c r="ES1" s="445"/>
      <c r="ET1" s="445"/>
      <c r="EU1" s="445"/>
      <c r="EV1" s="445"/>
      <c r="EW1" s="445"/>
      <c r="EX1" s="445"/>
      <c r="EY1" s="445"/>
      <c r="EZ1" s="445"/>
      <c r="FA1" s="445"/>
      <c r="FB1" s="445"/>
      <c r="FC1" s="445"/>
      <c r="FD1" s="445"/>
      <c r="FE1" s="445"/>
      <c r="FF1" s="445"/>
      <c r="FG1" s="445"/>
      <c r="FH1" s="445"/>
      <c r="FI1" s="445"/>
      <c r="FJ1" s="445"/>
      <c r="FK1" s="445"/>
      <c r="FL1" s="445"/>
      <c r="FM1" s="445"/>
      <c r="FN1" s="445"/>
      <c r="FO1" s="445"/>
      <c r="FP1" s="445"/>
      <c r="FQ1" s="445"/>
      <c r="FR1" s="445"/>
      <c r="FS1" s="445"/>
      <c r="FT1" s="445"/>
      <c r="FU1" s="445"/>
      <c r="FV1" s="445"/>
      <c r="FW1" s="445"/>
      <c r="FX1" s="445"/>
      <c r="FY1" s="445"/>
      <c r="FZ1" s="445"/>
      <c r="GA1" s="445"/>
      <c r="GB1" s="445"/>
      <c r="GC1" s="445"/>
      <c r="GD1" s="445"/>
      <c r="GE1" s="445"/>
      <c r="GF1" s="445"/>
      <c r="GG1" s="445"/>
      <c r="GH1" s="445"/>
      <c r="GI1" s="445"/>
      <c r="GJ1" s="445"/>
      <c r="GK1" s="445"/>
      <c r="GL1" s="445"/>
      <c r="GM1" s="445"/>
      <c r="GN1" s="445"/>
      <c r="GO1" s="445"/>
      <c r="GP1" s="445"/>
      <c r="GQ1" s="445"/>
      <c r="GR1" s="445"/>
      <c r="GS1" s="445"/>
      <c r="GT1" s="445"/>
      <c r="GU1" s="445"/>
      <c r="GV1" s="445"/>
      <c r="GW1" s="445"/>
      <c r="GX1" s="445"/>
      <c r="GY1" s="445"/>
      <c r="GZ1" s="445"/>
      <c r="HA1" s="445"/>
      <c r="HB1" s="445"/>
      <c r="HC1" s="445"/>
      <c r="HD1" s="445"/>
      <c r="HE1" s="445"/>
      <c r="HF1" s="445"/>
      <c r="HG1" s="445"/>
      <c r="HH1" s="445"/>
      <c r="HI1" s="445"/>
      <c r="HJ1" s="445"/>
      <c r="HK1" s="445"/>
      <c r="HL1" s="445"/>
      <c r="HM1" s="445"/>
      <c r="HN1" s="445"/>
      <c r="HO1" s="445"/>
      <c r="HP1" s="445"/>
      <c r="HQ1" s="445"/>
      <c r="HR1" s="445"/>
      <c r="HS1" s="445"/>
      <c r="HT1" s="445"/>
      <c r="HU1" s="445"/>
      <c r="HV1" s="445"/>
      <c r="HW1" s="445"/>
      <c r="HX1" s="2242"/>
      <c r="HY1" s="2242"/>
      <c r="HZ1" s="2242"/>
      <c r="IA1" s="2242"/>
      <c r="IB1" s="2242"/>
      <c r="IC1" s="2242"/>
      <c r="ID1" s="2242"/>
      <c r="IE1" s="2242"/>
      <c r="IF1" s="2242"/>
      <c r="IG1" s="2242"/>
      <c r="IH1" s="2242"/>
      <c r="II1" s="2242"/>
      <c r="IJ1" s="2242"/>
      <c r="IK1" s="2242"/>
      <c r="IL1" s="2242"/>
      <c r="IM1" s="2242"/>
      <c r="IN1" s="2242"/>
      <c r="IO1" s="2242"/>
      <c r="IP1" s="2242"/>
      <c r="IQ1" s="2242"/>
      <c r="IR1" s="2242"/>
      <c r="IS1" s="2242"/>
      <c r="IT1" s="2242"/>
      <c r="IU1" s="2242"/>
      <c r="IV1" s="2242"/>
      <c r="IW1" s="2242"/>
      <c r="IX1" s="2242"/>
      <c r="IY1" s="2242"/>
      <c r="IZ1" s="2242"/>
      <c r="JA1" s="2242"/>
      <c r="JB1" s="2242"/>
      <c r="JC1" s="2242"/>
      <c r="JD1" s="2242"/>
      <c r="JE1" s="2242"/>
      <c r="JF1" s="2242"/>
      <c r="JG1" s="2242"/>
      <c r="JH1" s="2242"/>
      <c r="JI1" s="2242"/>
      <c r="JJ1" s="2242"/>
      <c r="JK1" s="2242"/>
      <c r="JL1" s="2242"/>
      <c r="JM1" s="2242"/>
      <c r="JN1" s="2242"/>
      <c r="JO1" s="2242"/>
      <c r="JP1" s="2242"/>
      <c r="JQ1" s="2242"/>
      <c r="JR1" s="2242"/>
      <c r="JS1" s="2242"/>
      <c r="JT1" s="2242"/>
      <c r="JU1" s="2242"/>
      <c r="JV1" s="2242"/>
      <c r="JW1" s="2242"/>
      <c r="JX1" s="2242"/>
      <c r="JY1" s="2242"/>
      <c r="JZ1" s="2242"/>
      <c r="KA1" s="2242"/>
      <c r="KB1" s="2242"/>
      <c r="KC1" s="2242"/>
      <c r="KD1" s="2242"/>
      <c r="KE1" s="2242"/>
      <c r="KF1" s="2242"/>
      <c r="KG1" s="2242"/>
      <c r="KH1" s="2242"/>
      <c r="KI1" s="2242"/>
      <c r="KJ1" s="2242"/>
      <c r="KK1" s="2242"/>
      <c r="KL1" s="2242"/>
      <c r="KM1" s="2242"/>
      <c r="KN1" s="2242"/>
      <c r="KO1" s="2242"/>
      <c r="KP1" s="445"/>
      <c r="KQ1" s="445"/>
      <c r="KR1" s="2242"/>
      <c r="KS1" s="2242"/>
      <c r="KT1" s="2242"/>
      <c r="KU1" s="445"/>
      <c r="KV1" s="445"/>
      <c r="KW1" s="445"/>
      <c r="KX1" s="445"/>
      <c r="KY1" s="2243"/>
      <c r="KZ1" s="445"/>
      <c r="LA1" s="445"/>
      <c r="LB1" s="445"/>
      <c r="LC1" s="445"/>
      <c r="LD1" s="2243"/>
      <c r="LE1" s="445"/>
      <c r="LF1" s="445"/>
      <c r="LG1" s="445"/>
      <c r="LH1" s="445"/>
      <c r="LI1" s="2243"/>
      <c r="LJ1" s="445"/>
      <c r="LK1" s="445"/>
      <c r="LL1" s="445"/>
      <c r="LM1" s="445"/>
      <c r="LN1" s="2243"/>
      <c r="LO1" s="445"/>
      <c r="LP1" s="445"/>
      <c r="LQ1" s="445"/>
      <c r="LR1" s="445"/>
      <c r="LS1" s="445"/>
      <c r="LT1" s="445"/>
      <c r="LU1" s="445"/>
      <c r="LV1" s="445"/>
      <c r="LW1" s="445"/>
      <c r="LX1" s="445"/>
      <c r="LY1" s="445"/>
      <c r="LZ1" s="445"/>
      <c r="MA1" s="445"/>
      <c r="MB1" s="445"/>
      <c r="MC1" s="445"/>
      <c r="MD1" s="445"/>
      <c r="ME1" s="445"/>
      <c r="MF1" s="445"/>
      <c r="MG1" s="445"/>
      <c r="MH1" s="445"/>
      <c r="MI1" s="445"/>
      <c r="MJ1" s="445"/>
      <c r="MK1" s="445"/>
      <c r="ML1" s="445"/>
      <c r="MM1" s="445"/>
      <c r="MN1" s="445"/>
      <c r="MO1" s="445"/>
      <c r="MP1" s="445"/>
      <c r="MQ1" s="445"/>
      <c r="MR1" s="445"/>
      <c r="MS1" s="445"/>
      <c r="MT1" s="445"/>
      <c r="MU1" s="445"/>
      <c r="MV1" s="445"/>
      <c r="MW1" s="445"/>
      <c r="MX1" s="445"/>
      <c r="MY1" s="445"/>
      <c r="MZ1" s="445"/>
      <c r="NA1" s="445"/>
      <c r="NB1" s="445"/>
      <c r="NC1" s="445"/>
      <c r="ND1" s="445"/>
      <c r="NE1" s="94"/>
      <c r="NF1" s="94"/>
      <c r="NG1" s="94"/>
      <c r="NH1" s="94"/>
      <c r="NI1" s="94"/>
      <c r="NJ1" s="94"/>
      <c r="NK1" s="94"/>
      <c r="NL1" s="94"/>
      <c r="NM1" s="94"/>
      <c r="NN1" s="94"/>
      <c r="NO1" s="94"/>
      <c r="NP1" s="94"/>
      <c r="NQ1" s="94"/>
      <c r="NR1" s="94"/>
      <c r="NS1" s="94"/>
      <c r="NT1" s="94"/>
      <c r="NU1" s="94"/>
      <c r="NV1" s="94"/>
      <c r="NW1" s="94"/>
      <c r="NX1" s="94"/>
      <c r="NY1" s="94"/>
      <c r="NZ1" s="94"/>
      <c r="OA1" s="94"/>
      <c r="OB1" s="94"/>
      <c r="OC1" s="94"/>
      <c r="OD1" s="94"/>
      <c r="OE1" s="94"/>
      <c r="OF1" s="94"/>
      <c r="OG1" s="94"/>
      <c r="OH1" s="94"/>
      <c r="OI1" s="94"/>
      <c r="OJ1" s="94"/>
      <c r="OK1" s="94"/>
      <c r="OL1" s="94"/>
      <c r="OM1" s="94"/>
      <c r="ON1" s="94"/>
      <c r="OO1" s="94"/>
      <c r="OP1" s="94"/>
      <c r="OQ1" s="94"/>
      <c r="OR1" s="94"/>
      <c r="OS1" s="94"/>
      <c r="OT1" s="94"/>
      <c r="OU1" s="94"/>
      <c r="OV1" s="94"/>
      <c r="OW1" s="94"/>
      <c r="OX1" s="94"/>
      <c r="OY1" s="94"/>
      <c r="OZ1" s="94"/>
      <c r="PA1" s="94"/>
      <c r="PB1" s="94"/>
      <c r="PC1" s="94"/>
      <c r="PD1" s="94"/>
      <c r="PE1" s="94"/>
      <c r="PF1" s="94"/>
      <c r="PG1" s="94"/>
      <c r="PH1" s="94"/>
      <c r="PI1" s="94"/>
      <c r="PJ1" s="94"/>
      <c r="PK1" s="94"/>
      <c r="PL1" s="94"/>
      <c r="PM1" s="94"/>
      <c r="PN1" s="94"/>
      <c r="PO1" s="94"/>
      <c r="PP1" s="94"/>
      <c r="PQ1" s="94"/>
      <c r="PR1" s="94"/>
      <c r="PS1" s="94"/>
      <c r="PT1" s="94"/>
      <c r="PU1" s="94"/>
      <c r="PV1" s="94"/>
      <c r="PW1" s="94"/>
      <c r="PX1" s="94"/>
      <c r="PY1" s="94"/>
      <c r="PZ1" s="94"/>
      <c r="QA1" s="94"/>
      <c r="QB1" s="94"/>
      <c r="QC1" s="94"/>
      <c r="QD1" s="94"/>
      <c r="QE1" s="94"/>
      <c r="QF1" s="94"/>
      <c r="QG1" s="94"/>
      <c r="QH1" s="94"/>
      <c r="QI1" s="94"/>
      <c r="QJ1" s="94"/>
      <c r="QK1" s="94"/>
      <c r="QL1" s="94"/>
      <c r="QM1" s="94"/>
      <c r="QN1" s="94"/>
      <c r="QO1" s="94"/>
      <c r="QP1" s="94"/>
      <c r="QQ1" s="94"/>
      <c r="QR1" s="94"/>
      <c r="QS1" s="94"/>
      <c r="QT1" s="94"/>
      <c r="QU1" s="94"/>
      <c r="QV1" s="94"/>
      <c r="QW1" s="94"/>
      <c r="QX1" s="94"/>
      <c r="QY1" s="94"/>
      <c r="QZ1" s="94"/>
      <c r="RA1" s="94"/>
      <c r="RB1" s="94"/>
      <c r="RC1" s="94"/>
      <c r="RD1" s="94"/>
      <c r="RE1" s="94"/>
      <c r="RF1" s="94"/>
      <c r="RG1" s="94"/>
      <c r="RH1" s="94"/>
      <c r="RI1" s="94"/>
      <c r="RJ1" s="94"/>
      <c r="RK1" s="94"/>
      <c r="RL1" s="94"/>
      <c r="RM1" s="94"/>
      <c r="RN1" s="94"/>
      <c r="RO1" s="94"/>
      <c r="RP1" s="94"/>
      <c r="RQ1" s="94"/>
      <c r="RR1" s="94"/>
      <c r="RS1" s="94"/>
      <c r="RT1" s="94"/>
      <c r="RU1" s="94"/>
      <c r="RV1" s="94"/>
      <c r="RW1" s="94"/>
      <c r="RX1" s="94"/>
      <c r="RY1" s="94"/>
      <c r="RZ1" s="94"/>
      <c r="SA1" s="94"/>
      <c r="SB1" s="94"/>
      <c r="SC1" s="94"/>
      <c r="SD1" s="94"/>
      <c r="SE1" s="94"/>
      <c r="SF1" s="94"/>
      <c r="SG1" s="94"/>
      <c r="SH1" s="94"/>
      <c r="SI1" s="94"/>
    </row>
    <row r="2" spans="1:503" ht="6" customHeight="1">
      <c r="X2" s="446"/>
      <c r="Y2" s="446"/>
      <c r="Z2" s="446"/>
      <c r="AA2" s="446"/>
      <c r="AB2" s="446"/>
      <c r="AC2" s="446"/>
      <c r="AD2" s="446"/>
      <c r="AE2" s="446"/>
      <c r="AF2" s="446"/>
      <c r="AG2" s="446"/>
      <c r="AH2" s="446"/>
      <c r="AI2" s="446"/>
      <c r="AJ2" s="446"/>
      <c r="AK2" s="446"/>
      <c r="AL2" s="446"/>
      <c r="AM2" s="446"/>
      <c r="AN2" s="446"/>
      <c r="AO2" s="446"/>
      <c r="AP2" s="446"/>
      <c r="AQ2" s="446"/>
      <c r="AR2" s="446"/>
      <c r="AS2" s="446"/>
      <c r="AT2" s="446"/>
      <c r="AU2" s="446"/>
      <c r="AV2" s="446"/>
      <c r="AW2" s="446"/>
      <c r="AX2" s="446"/>
      <c r="AY2" s="446"/>
      <c r="AZ2" s="446"/>
      <c r="BA2" s="446"/>
      <c r="BB2" s="446"/>
      <c r="BC2" s="446"/>
      <c r="BD2" s="446"/>
      <c r="BE2" s="446"/>
      <c r="BF2" s="446"/>
      <c r="BG2" s="446"/>
      <c r="BH2" s="446"/>
      <c r="BI2" s="446"/>
      <c r="BJ2" s="446"/>
      <c r="BK2" s="446"/>
      <c r="BL2" s="446"/>
      <c r="BM2" s="446"/>
      <c r="BN2" s="446"/>
      <c r="BO2" s="446"/>
      <c r="BP2" s="446"/>
      <c r="BQ2" s="446"/>
      <c r="BR2" s="446"/>
      <c r="BS2" s="446"/>
      <c r="BT2" s="446"/>
      <c r="BU2" s="446"/>
      <c r="BV2" s="446"/>
      <c r="BW2" s="446"/>
      <c r="BX2" s="446"/>
      <c r="BY2" s="446"/>
      <c r="BZ2" s="446"/>
      <c r="CA2" s="446"/>
      <c r="CB2" s="446"/>
      <c r="CC2" s="446"/>
      <c r="CD2" s="446"/>
      <c r="CE2" s="446"/>
      <c r="CF2" s="446"/>
      <c r="CG2" s="446"/>
      <c r="CH2" s="446"/>
      <c r="CI2" s="446"/>
      <c r="CJ2" s="446"/>
      <c r="CK2" s="446"/>
      <c r="CL2" s="446"/>
      <c r="CM2" s="446"/>
      <c r="CN2" s="446"/>
      <c r="CO2" s="446"/>
      <c r="CP2" s="446"/>
      <c r="CQ2" s="446"/>
      <c r="CR2" s="446"/>
      <c r="CS2" s="446"/>
      <c r="CT2" s="446"/>
      <c r="CU2" s="446"/>
      <c r="CV2" s="446"/>
      <c r="CW2" s="446"/>
      <c r="CX2" s="446"/>
      <c r="CY2" s="446"/>
      <c r="CZ2" s="446"/>
      <c r="DA2" s="446"/>
      <c r="DB2" s="446"/>
      <c r="DC2" s="446"/>
      <c r="DD2" s="446"/>
      <c r="DE2" s="446"/>
      <c r="DF2" s="446"/>
      <c r="DG2" s="446"/>
      <c r="DH2" s="446"/>
      <c r="DI2" s="446"/>
      <c r="DJ2" s="446"/>
      <c r="DK2" s="446"/>
      <c r="DL2" s="446"/>
      <c r="DM2" s="446"/>
      <c r="DN2" s="446"/>
      <c r="DO2" s="446"/>
      <c r="DP2" s="446"/>
      <c r="DQ2" s="446"/>
      <c r="DR2" s="446"/>
      <c r="DS2" s="446"/>
      <c r="DT2" s="446"/>
      <c r="DU2" s="446"/>
      <c r="DV2" s="446"/>
      <c r="DW2" s="446"/>
      <c r="DX2" s="446"/>
      <c r="DY2" s="446"/>
      <c r="DZ2" s="446"/>
      <c r="EA2" s="446"/>
      <c r="EB2" s="446"/>
      <c r="EC2" s="446"/>
      <c r="ED2" s="446"/>
      <c r="EE2" s="446"/>
      <c r="EF2" s="446"/>
      <c r="EG2" s="446"/>
      <c r="EH2" s="446"/>
      <c r="EI2" s="446"/>
      <c r="EJ2" s="446"/>
      <c r="EK2" s="446"/>
      <c r="EL2" s="446"/>
      <c r="EM2" s="446"/>
      <c r="EN2" s="446"/>
      <c r="EO2" s="446"/>
      <c r="EP2" s="446"/>
      <c r="EQ2" s="446"/>
      <c r="ER2" s="446"/>
      <c r="ES2" s="446"/>
      <c r="ET2" s="446"/>
      <c r="EU2" s="446"/>
      <c r="EV2" s="446"/>
      <c r="EW2" s="446"/>
      <c r="EX2" s="446"/>
      <c r="EY2" s="446"/>
      <c r="EZ2" s="446"/>
      <c r="FA2" s="446"/>
      <c r="FB2" s="446"/>
      <c r="FC2" s="446"/>
      <c r="FD2" s="446"/>
      <c r="FE2" s="446"/>
      <c r="FF2" s="446"/>
      <c r="FG2" s="446"/>
      <c r="FH2" s="446"/>
      <c r="FI2" s="446"/>
      <c r="FJ2" s="446"/>
      <c r="FK2" s="446"/>
      <c r="FL2" s="446"/>
      <c r="FM2" s="446"/>
      <c r="FN2" s="446"/>
      <c r="FO2" s="446"/>
      <c r="FP2" s="446"/>
      <c r="FQ2" s="446"/>
      <c r="FR2" s="446"/>
      <c r="FS2" s="446"/>
      <c r="FT2" s="446"/>
      <c r="FU2" s="446"/>
      <c r="FV2" s="446"/>
      <c r="FW2" s="446"/>
      <c r="FX2" s="446"/>
      <c r="FY2" s="446"/>
      <c r="FZ2" s="446"/>
      <c r="GA2" s="446"/>
      <c r="GB2" s="446"/>
      <c r="GC2" s="446"/>
      <c r="GD2" s="446"/>
      <c r="GE2" s="446"/>
      <c r="GF2" s="446"/>
      <c r="GG2" s="446"/>
      <c r="GH2" s="446"/>
      <c r="GI2" s="446"/>
      <c r="GJ2" s="446"/>
      <c r="GK2" s="446"/>
      <c r="GL2" s="446"/>
      <c r="GM2" s="446"/>
      <c r="GN2" s="446"/>
      <c r="GO2" s="446"/>
      <c r="GP2" s="446"/>
      <c r="GQ2" s="446"/>
      <c r="GR2" s="446"/>
      <c r="GS2" s="446"/>
      <c r="GT2" s="446"/>
      <c r="GU2" s="446"/>
      <c r="GV2" s="446"/>
      <c r="GW2" s="446"/>
      <c r="GX2" s="446"/>
      <c r="GY2" s="446"/>
      <c r="GZ2" s="446"/>
      <c r="HA2" s="446"/>
      <c r="HB2" s="446"/>
      <c r="HC2" s="446"/>
      <c r="HD2" s="446"/>
      <c r="HE2" s="446"/>
      <c r="HF2" s="446"/>
      <c r="HG2" s="446"/>
      <c r="HH2" s="446"/>
      <c r="HI2" s="446"/>
      <c r="HJ2" s="446"/>
      <c r="HK2" s="446"/>
      <c r="HL2" s="446"/>
      <c r="HM2" s="446"/>
      <c r="HN2" s="446"/>
      <c r="HO2" s="446"/>
      <c r="HP2" s="446"/>
      <c r="HQ2" s="446"/>
      <c r="HR2" s="446"/>
      <c r="HS2" s="446"/>
      <c r="HT2" s="446"/>
      <c r="HU2" s="446"/>
      <c r="HV2" s="446"/>
      <c r="HW2" s="446"/>
      <c r="HX2" s="446"/>
      <c r="HY2" s="446"/>
      <c r="HZ2" s="447"/>
      <c r="IA2" s="447"/>
      <c r="IB2" s="447"/>
      <c r="IC2" s="447"/>
      <c r="ID2" s="447"/>
      <c r="IE2" s="447"/>
      <c r="IF2" s="447"/>
      <c r="IG2" s="447"/>
      <c r="IH2" s="447"/>
      <c r="II2" s="447"/>
      <c r="IJ2" s="447"/>
      <c r="IK2" s="447"/>
      <c r="IL2" s="447"/>
      <c r="IM2" s="447"/>
      <c r="IN2" s="447"/>
      <c r="IO2" s="447"/>
      <c r="IP2" s="447"/>
      <c r="IQ2" s="447"/>
      <c r="IR2" s="447"/>
      <c r="IS2" s="447"/>
      <c r="IT2" s="447"/>
      <c r="IU2" s="447"/>
      <c r="IV2" s="447"/>
      <c r="IW2" s="447"/>
      <c r="IX2" s="447"/>
      <c r="IY2" s="447"/>
      <c r="IZ2" s="447"/>
      <c r="JA2" s="447"/>
      <c r="JB2" s="447"/>
      <c r="JC2" s="447"/>
      <c r="JD2" s="447"/>
      <c r="JE2" s="447"/>
      <c r="JF2" s="447"/>
      <c r="JG2" s="447"/>
      <c r="JH2" s="447"/>
      <c r="JI2" s="447"/>
      <c r="JJ2" s="447"/>
      <c r="JK2" s="447"/>
      <c r="JL2" s="447"/>
      <c r="JM2" s="447"/>
      <c r="JN2" s="447"/>
      <c r="JO2" s="447"/>
      <c r="JP2" s="447"/>
      <c r="JQ2" s="447"/>
      <c r="JR2" s="447"/>
      <c r="JS2" s="447"/>
      <c r="JT2" s="447"/>
      <c r="JU2" s="447"/>
      <c r="JV2" s="447"/>
      <c r="JW2" s="447"/>
      <c r="JX2" s="447"/>
      <c r="JY2" s="447"/>
      <c r="JZ2" s="447"/>
      <c r="KA2" s="447"/>
      <c r="KB2" s="447"/>
      <c r="KC2" s="447"/>
      <c r="KD2" s="447"/>
      <c r="KE2" s="447"/>
      <c r="KF2" s="447"/>
      <c r="KG2" s="447"/>
      <c r="KH2" s="447"/>
      <c r="KI2" s="447"/>
      <c r="KJ2" s="447"/>
      <c r="KK2" s="447"/>
      <c r="KL2" s="447"/>
      <c r="KM2" s="447"/>
      <c r="KN2" s="447"/>
      <c r="KO2" s="447"/>
      <c r="KP2" s="447"/>
      <c r="KQ2" s="447"/>
      <c r="KR2" s="447"/>
      <c r="KS2" s="447"/>
      <c r="KT2" s="447"/>
      <c r="KU2" s="447"/>
      <c r="KV2" s="447"/>
      <c r="KW2" s="446"/>
      <c r="KX2" s="446"/>
      <c r="KY2" s="446"/>
      <c r="KZ2" s="446"/>
      <c r="LA2" s="446"/>
      <c r="LB2" s="446"/>
      <c r="LC2" s="446"/>
      <c r="LD2" s="446"/>
      <c r="LE2" s="446"/>
      <c r="LF2" s="446"/>
      <c r="LG2" s="446"/>
      <c r="LH2" s="446"/>
      <c r="LI2" s="446"/>
      <c r="LJ2" s="446"/>
      <c r="LK2" s="446"/>
      <c r="LL2" s="446"/>
      <c r="LM2" s="446"/>
      <c r="LN2" s="446"/>
      <c r="LO2" s="446"/>
      <c r="LP2" s="446"/>
      <c r="LQ2" s="443"/>
      <c r="LV2" s="446"/>
      <c r="LW2" s="446"/>
      <c r="LX2" s="446"/>
      <c r="LY2" s="446"/>
      <c r="LZ2" s="446"/>
      <c r="MA2" s="446"/>
      <c r="MB2" s="446"/>
      <c r="MC2" s="446"/>
      <c r="MD2" s="446"/>
      <c r="ME2" s="446"/>
      <c r="MF2" s="446"/>
      <c r="MG2" s="446"/>
      <c r="MH2" s="446"/>
      <c r="MI2" s="446"/>
      <c r="MJ2" s="446"/>
      <c r="MK2" s="446"/>
      <c r="ML2" s="446"/>
      <c r="MM2" s="446"/>
      <c r="MN2" s="446"/>
      <c r="MO2" s="446"/>
    </row>
    <row r="3" spans="1:503" s="90" customFormat="1" ht="12.6" customHeight="1">
      <c r="A3" s="4" t="s">
        <v>598</v>
      </c>
      <c r="B3" s="4" t="s">
        <v>2306</v>
      </c>
      <c r="C3" s="1"/>
      <c r="D3" s="882" t="s">
        <v>3435</v>
      </c>
      <c r="F3" s="1"/>
      <c r="G3" s="121"/>
      <c r="H3" s="121"/>
      <c r="I3" s="121"/>
      <c r="J3" s="121"/>
      <c r="K3" s="121"/>
      <c r="L3" s="121"/>
      <c r="M3" s="121"/>
      <c r="T3" s="4" t="str">
        <f>B3</f>
        <v>RENT SCHEDULE</v>
      </c>
      <c r="U3" s="289"/>
      <c r="X3" s="2244"/>
      <c r="Y3" s="2244"/>
      <c r="Z3" s="2244"/>
      <c r="AA3" s="2244"/>
      <c r="AB3" s="2244"/>
      <c r="AC3" s="2244"/>
      <c r="AD3" s="2244"/>
      <c r="AE3" s="2244"/>
      <c r="AF3" s="2244"/>
      <c r="AG3" s="2244"/>
      <c r="AH3" s="2244"/>
      <c r="AI3" s="2244"/>
      <c r="AJ3" s="2244"/>
      <c r="AK3" s="2244"/>
      <c r="AL3" s="2244"/>
      <c r="AM3" s="2244"/>
      <c r="AN3" s="2244"/>
      <c r="AO3" s="2244"/>
      <c r="AP3" s="2244"/>
      <c r="AQ3" s="2244"/>
      <c r="AR3" s="2244"/>
      <c r="AS3" s="2244"/>
      <c r="AT3" s="2244"/>
      <c r="AU3" s="2244"/>
      <c r="AV3" s="2244"/>
      <c r="AW3" s="2244"/>
      <c r="AX3" s="2244"/>
      <c r="AY3" s="2244"/>
      <c r="AZ3" s="2244"/>
      <c r="BA3" s="2244"/>
      <c r="BB3" s="2244"/>
      <c r="BC3" s="2244"/>
      <c r="BD3" s="2244"/>
      <c r="BE3" s="2244"/>
      <c r="BF3" s="2244"/>
      <c r="BG3" s="2244"/>
      <c r="BH3" s="2244"/>
      <c r="BI3" s="2244"/>
      <c r="BJ3" s="2244"/>
      <c r="BK3" s="2244"/>
      <c r="BL3" s="2244"/>
      <c r="BM3" s="2244"/>
      <c r="BN3" s="2244"/>
      <c r="BO3" s="2244"/>
      <c r="BP3" s="2244"/>
      <c r="BQ3" s="2244"/>
      <c r="BR3" s="2244"/>
      <c r="BS3" s="2244"/>
      <c r="BT3" s="2244"/>
      <c r="BU3" s="2244"/>
      <c r="BV3" s="2244"/>
      <c r="BW3" s="2244"/>
      <c r="BX3" s="2244"/>
      <c r="BY3" s="2244"/>
      <c r="BZ3" s="2244"/>
      <c r="CA3" s="2244"/>
      <c r="CB3" s="2244"/>
      <c r="CC3" s="2244"/>
      <c r="CD3" s="2244"/>
      <c r="CE3" s="2244"/>
      <c r="CF3" s="2244"/>
      <c r="CG3" s="2244"/>
      <c r="CH3" s="2244"/>
      <c r="CI3" s="2244"/>
      <c r="CJ3" s="2244"/>
      <c r="CK3" s="2244"/>
      <c r="CL3" s="2244"/>
      <c r="CM3" s="2244"/>
      <c r="CN3" s="2244"/>
      <c r="CO3" s="2244"/>
      <c r="CP3" s="2244"/>
      <c r="CQ3" s="2244"/>
      <c r="CR3" s="2244"/>
      <c r="CS3" s="2244"/>
      <c r="CT3" s="2244"/>
      <c r="CU3" s="2244"/>
      <c r="CV3" s="2244"/>
      <c r="CW3" s="2244"/>
      <c r="CX3" s="2244"/>
      <c r="CY3" s="2244"/>
      <c r="CZ3" s="2244"/>
      <c r="DA3" s="2244"/>
      <c r="DB3" s="2244"/>
      <c r="DC3" s="2244"/>
      <c r="DD3" s="2244"/>
      <c r="DE3" s="2244"/>
      <c r="DF3" s="2244"/>
      <c r="DG3" s="2244"/>
      <c r="DH3" s="2244"/>
      <c r="DI3" s="2244"/>
      <c r="DJ3" s="2244"/>
      <c r="DK3" s="2244"/>
      <c r="DL3" s="2244"/>
      <c r="DM3" s="2244"/>
      <c r="DN3" s="2244"/>
      <c r="DO3" s="2244"/>
      <c r="DP3" s="2244"/>
      <c r="DQ3" s="2244"/>
      <c r="DR3" s="2244"/>
      <c r="DS3" s="2244"/>
      <c r="DT3" s="2244"/>
      <c r="DU3" s="2244"/>
      <c r="DV3" s="2244"/>
      <c r="DW3" s="2244"/>
      <c r="DX3" s="2244"/>
      <c r="DY3" s="2244"/>
      <c r="DZ3" s="2244"/>
      <c r="EA3" s="2244"/>
      <c r="EB3" s="2244"/>
      <c r="EC3" s="2244"/>
      <c r="ED3" s="2244"/>
      <c r="EE3" s="2244"/>
      <c r="EF3" s="2244"/>
      <c r="EG3" s="2244"/>
      <c r="EH3" s="2244"/>
      <c r="EI3" s="2244"/>
      <c r="EJ3" s="2244"/>
      <c r="EK3" s="2244"/>
      <c r="EL3" s="2244"/>
      <c r="EM3" s="2244"/>
      <c r="EN3" s="2244"/>
      <c r="EO3" s="2244"/>
      <c r="EP3" s="2244"/>
      <c r="EQ3" s="2244"/>
      <c r="ER3" s="2244"/>
      <c r="ES3" s="2244"/>
      <c r="ET3" s="2244"/>
      <c r="EU3" s="2244"/>
      <c r="EV3" s="2244"/>
      <c r="EW3" s="2244"/>
      <c r="EX3" s="2244"/>
      <c r="EY3" s="2244"/>
      <c r="EZ3" s="2244"/>
      <c r="FA3" s="2244"/>
      <c r="FB3" s="2244"/>
      <c r="FC3" s="2244"/>
      <c r="FD3" s="2244"/>
      <c r="FE3" s="2244"/>
      <c r="FF3" s="2244"/>
      <c r="FG3" s="2244"/>
      <c r="FH3" s="2244"/>
      <c r="FI3" s="2244"/>
      <c r="FJ3" s="2244"/>
      <c r="FK3" s="2244"/>
      <c r="FL3" s="2244"/>
      <c r="FM3" s="2244"/>
      <c r="FN3" s="2244"/>
      <c r="FO3" s="2244"/>
      <c r="FP3" s="2244"/>
      <c r="FQ3" s="2244"/>
      <c r="FR3" s="2244"/>
      <c r="FS3" s="2244"/>
      <c r="FT3" s="2244"/>
      <c r="FU3" s="2244"/>
      <c r="FV3" s="2244"/>
      <c r="FW3" s="2244"/>
      <c r="FX3" s="2244"/>
      <c r="FY3" s="2244"/>
      <c r="FZ3" s="2244"/>
      <c r="GA3" s="2244"/>
      <c r="GB3" s="2244"/>
      <c r="GC3" s="2244"/>
      <c r="GD3" s="2244"/>
      <c r="GE3" s="2244"/>
      <c r="GF3" s="2244"/>
      <c r="GG3" s="2244"/>
      <c r="GH3" s="2244"/>
      <c r="GI3" s="2244"/>
      <c r="GJ3" s="2244"/>
      <c r="GK3" s="2244"/>
      <c r="GL3" s="2244"/>
      <c r="GM3" s="2244"/>
      <c r="GN3" s="2244"/>
      <c r="GO3" s="2244"/>
      <c r="GP3" s="2244"/>
      <c r="GQ3" s="2244"/>
      <c r="GR3" s="2244"/>
      <c r="GS3" s="2244"/>
      <c r="GT3" s="2244"/>
      <c r="GU3" s="2244"/>
      <c r="GV3" s="2244"/>
      <c r="GW3" s="2244"/>
      <c r="GX3" s="2244"/>
      <c r="GY3" s="2244"/>
      <c r="GZ3" s="2244"/>
      <c r="HA3" s="2244"/>
      <c r="HB3" s="2244"/>
      <c r="HC3" s="2244"/>
      <c r="HD3" s="2244"/>
      <c r="HE3" s="2244"/>
      <c r="HF3" s="2244"/>
      <c r="HG3" s="2244"/>
      <c r="HH3" s="2244"/>
      <c r="HI3" s="2244"/>
      <c r="HJ3" s="2244"/>
      <c r="HK3" s="2244"/>
      <c r="HL3" s="2244"/>
      <c r="HM3" s="2244"/>
      <c r="HN3" s="2244"/>
      <c r="HO3" s="2244"/>
      <c r="HP3" s="2244"/>
      <c r="HQ3" s="2244"/>
      <c r="HR3" s="2244"/>
      <c r="HS3" s="2244"/>
      <c r="HT3" s="2244"/>
      <c r="HU3" s="2244"/>
      <c r="HV3" s="2244"/>
      <c r="HW3" s="2244"/>
      <c r="HX3" s="2244"/>
      <c r="HY3" s="2244"/>
      <c r="HZ3" s="2245"/>
      <c r="IA3" s="2245"/>
      <c r="IB3" s="2245"/>
      <c r="IC3" s="2245"/>
      <c r="ID3" s="2245"/>
      <c r="IE3" s="447" t="s">
        <v>476</v>
      </c>
      <c r="IF3" s="447" t="s">
        <v>2377</v>
      </c>
      <c r="IG3" s="447" t="s">
        <v>2378</v>
      </c>
      <c r="IH3" s="447" t="s">
        <v>2379</v>
      </c>
      <c r="II3" s="447" t="s">
        <v>2380</v>
      </c>
      <c r="IJ3" s="447" t="s">
        <v>476</v>
      </c>
      <c r="IK3" s="447" t="s">
        <v>2377</v>
      </c>
      <c r="IL3" s="447" t="s">
        <v>2378</v>
      </c>
      <c r="IM3" s="447" t="s">
        <v>2379</v>
      </c>
      <c r="IN3" s="447" t="s">
        <v>2380</v>
      </c>
      <c r="IO3" s="2245"/>
      <c r="IP3" s="2245"/>
      <c r="IQ3" s="2245"/>
      <c r="IR3" s="2245"/>
      <c r="IS3" s="2245"/>
      <c r="IT3" s="2245"/>
      <c r="IU3" s="2245"/>
      <c r="IV3" s="2245"/>
      <c r="IW3" s="2245"/>
      <c r="IX3" s="2245"/>
      <c r="IY3" s="447" t="s">
        <v>476</v>
      </c>
      <c r="IZ3" s="447" t="s">
        <v>2377</v>
      </c>
      <c r="JA3" s="447" t="s">
        <v>2378</v>
      </c>
      <c r="JB3" s="447" t="s">
        <v>2379</v>
      </c>
      <c r="JC3" s="447" t="s">
        <v>2380</v>
      </c>
      <c r="JD3" s="447" t="s">
        <v>476</v>
      </c>
      <c r="JE3" s="447" t="s">
        <v>2377</v>
      </c>
      <c r="JF3" s="447" t="s">
        <v>2378</v>
      </c>
      <c r="JG3" s="447" t="s">
        <v>2379</v>
      </c>
      <c r="JH3" s="447" t="s">
        <v>2380</v>
      </c>
      <c r="JI3" s="447" t="s">
        <v>476</v>
      </c>
      <c r="JJ3" s="447" t="s">
        <v>2377</v>
      </c>
      <c r="JK3" s="447" t="s">
        <v>2378</v>
      </c>
      <c r="JL3" s="447" t="s">
        <v>2379</v>
      </c>
      <c r="JM3" s="447" t="s">
        <v>2380</v>
      </c>
      <c r="JN3" s="447" t="s">
        <v>476</v>
      </c>
      <c r="JO3" s="447" t="s">
        <v>2377</v>
      </c>
      <c r="JP3" s="447" t="s">
        <v>2378</v>
      </c>
      <c r="JQ3" s="447" t="s">
        <v>2379</v>
      </c>
      <c r="JR3" s="447" t="s">
        <v>2380</v>
      </c>
      <c r="JS3" s="447" t="s">
        <v>476</v>
      </c>
      <c r="JT3" s="447" t="s">
        <v>2377</v>
      </c>
      <c r="JU3" s="447" t="s">
        <v>2378</v>
      </c>
      <c r="JV3" s="447" t="s">
        <v>2379</v>
      </c>
      <c r="JW3" s="447" t="s">
        <v>2380</v>
      </c>
      <c r="JX3" s="447" t="s">
        <v>476</v>
      </c>
      <c r="JY3" s="447" t="s">
        <v>2377</v>
      </c>
      <c r="JZ3" s="447" t="s">
        <v>2378</v>
      </c>
      <c r="KA3" s="447" t="s">
        <v>2379</v>
      </c>
      <c r="KB3" s="447" t="s">
        <v>2380</v>
      </c>
      <c r="KC3" s="447" t="s">
        <v>476</v>
      </c>
      <c r="KD3" s="447" t="s">
        <v>2377</v>
      </c>
      <c r="KE3" s="447" t="s">
        <v>2378</v>
      </c>
      <c r="KF3" s="447" t="s">
        <v>2379</v>
      </c>
      <c r="KG3" s="447" t="s">
        <v>2380</v>
      </c>
      <c r="KH3" s="447" t="s">
        <v>476</v>
      </c>
      <c r="KI3" s="447" t="s">
        <v>2377</v>
      </c>
      <c r="KJ3" s="447" t="s">
        <v>2378</v>
      </c>
      <c r="KK3" s="447" t="s">
        <v>2379</v>
      </c>
      <c r="KL3" s="447" t="s">
        <v>2380</v>
      </c>
      <c r="KM3" s="447" t="s">
        <v>476</v>
      </c>
      <c r="KN3" s="447" t="s">
        <v>2377</v>
      </c>
      <c r="KO3" s="447" t="s">
        <v>2378</v>
      </c>
      <c r="KP3" s="447" t="s">
        <v>2379</v>
      </c>
      <c r="KQ3" s="447" t="s">
        <v>2380</v>
      </c>
      <c r="KR3" s="447" t="s">
        <v>476</v>
      </c>
      <c r="KS3" s="447" t="s">
        <v>2377</v>
      </c>
      <c r="KT3" s="447" t="s">
        <v>2378</v>
      </c>
      <c r="KU3" s="447" t="s">
        <v>2379</v>
      </c>
      <c r="KV3" s="447" t="s">
        <v>2380</v>
      </c>
      <c r="KW3" s="447" t="s">
        <v>476</v>
      </c>
      <c r="KX3" s="447" t="s">
        <v>2377</v>
      </c>
      <c r="KY3" s="447" t="s">
        <v>2378</v>
      </c>
      <c r="KZ3" s="447" t="s">
        <v>2379</v>
      </c>
      <c r="LA3" s="447" t="s">
        <v>2380</v>
      </c>
      <c r="LB3" s="447" t="s">
        <v>476</v>
      </c>
      <c r="LC3" s="447" t="s">
        <v>2377</v>
      </c>
      <c r="LD3" s="447" t="s">
        <v>2378</v>
      </c>
      <c r="LE3" s="447" t="s">
        <v>2379</v>
      </c>
      <c r="LF3" s="447" t="s">
        <v>2380</v>
      </c>
      <c r="LG3" s="447" t="s">
        <v>476</v>
      </c>
      <c r="LH3" s="447" t="s">
        <v>2377</v>
      </c>
      <c r="LI3" s="447" t="s">
        <v>2378</v>
      </c>
      <c r="LJ3" s="447" t="s">
        <v>2379</v>
      </c>
      <c r="LK3" s="447" t="s">
        <v>2380</v>
      </c>
      <c r="LL3" s="447" t="s">
        <v>476</v>
      </c>
      <c r="LM3" s="447" t="s">
        <v>2377</v>
      </c>
      <c r="LN3" s="447" t="s">
        <v>2378</v>
      </c>
      <c r="LO3" s="447" t="s">
        <v>2379</v>
      </c>
      <c r="LP3" s="447" t="s">
        <v>2380</v>
      </c>
      <c r="LQ3" s="445"/>
      <c r="LR3" s="445"/>
      <c r="LS3" s="445"/>
      <c r="LT3" s="445"/>
      <c r="LU3" s="445"/>
      <c r="LV3" s="2244"/>
      <c r="LW3" s="2244"/>
      <c r="LX3" s="2244"/>
      <c r="LY3" s="2244"/>
      <c r="LZ3" s="2244"/>
      <c r="MA3" s="2244"/>
      <c r="MB3" s="2244"/>
      <c r="MC3" s="2244"/>
      <c r="MD3" s="2244"/>
      <c r="ME3" s="2244"/>
      <c r="MF3" s="2244"/>
      <c r="MG3" s="2244"/>
      <c r="MH3" s="2244"/>
      <c r="MI3" s="2244"/>
      <c r="MJ3" s="2244"/>
      <c r="MK3" s="2244"/>
      <c r="ML3" s="2244"/>
      <c r="MM3" s="2244"/>
      <c r="MN3" s="2244"/>
      <c r="MO3" s="2244"/>
      <c r="MP3" s="2655" t="s">
        <v>3309</v>
      </c>
      <c r="MQ3" s="2655" t="s">
        <v>3310</v>
      </c>
      <c r="MR3" s="2655" t="s">
        <v>3311</v>
      </c>
      <c r="MS3" s="2655" t="s">
        <v>3312</v>
      </c>
      <c r="MT3" s="2655" t="s">
        <v>3313</v>
      </c>
      <c r="MU3" s="445"/>
      <c r="MV3" s="445"/>
      <c r="MW3" s="445"/>
      <c r="MX3" s="445"/>
      <c r="MY3" s="445"/>
      <c r="MZ3" s="445"/>
      <c r="NA3" s="445"/>
      <c r="NB3" s="445"/>
      <c r="NC3" s="445"/>
      <c r="ND3" s="445"/>
      <c r="NE3" s="94"/>
      <c r="NF3" s="94"/>
      <c r="NG3" s="94"/>
      <c r="NH3" s="94"/>
      <c r="NI3" s="94"/>
      <c r="NJ3" s="94"/>
      <c r="NK3" s="94"/>
      <c r="NL3" s="94"/>
      <c r="NM3" s="94"/>
      <c r="NN3" s="94"/>
      <c r="NO3" s="94"/>
      <c r="NP3" s="94"/>
      <c r="NQ3" s="94"/>
      <c r="NR3" s="94"/>
      <c r="NS3" s="94"/>
      <c r="NT3" s="94"/>
      <c r="NU3" s="94"/>
      <c r="NV3" s="94"/>
      <c r="NW3" s="94"/>
      <c r="NX3" s="94"/>
      <c r="NY3" s="94"/>
      <c r="NZ3" s="94"/>
      <c r="OA3" s="94"/>
      <c r="OB3" s="94"/>
      <c r="OC3" s="94"/>
      <c r="OD3" s="94"/>
      <c r="OE3" s="94"/>
      <c r="OF3" s="94"/>
      <c r="OG3" s="94"/>
      <c r="OH3" s="94"/>
      <c r="OI3" s="94"/>
      <c r="OJ3" s="94"/>
      <c r="OK3" s="94"/>
      <c r="OL3" s="94"/>
      <c r="OM3" s="94"/>
      <c r="ON3" s="94"/>
      <c r="OO3" s="94"/>
      <c r="OP3" s="94"/>
      <c r="OQ3" s="94"/>
      <c r="OR3" s="94"/>
      <c r="OS3" s="94"/>
      <c r="OT3" s="94"/>
      <c r="OU3" s="94"/>
      <c r="OV3" s="94"/>
      <c r="OW3" s="94"/>
      <c r="OX3" s="94"/>
      <c r="OY3" s="94"/>
      <c r="OZ3" s="94"/>
      <c r="PA3" s="94"/>
      <c r="PB3" s="94"/>
      <c r="PC3" s="94"/>
      <c r="PD3" s="94"/>
      <c r="PE3" s="94"/>
      <c r="PF3" s="94"/>
      <c r="PG3" s="94"/>
      <c r="PH3" s="94"/>
      <c r="PI3" s="94"/>
      <c r="PJ3" s="94"/>
      <c r="PK3" s="94"/>
      <c r="PL3" s="94"/>
      <c r="PM3" s="94"/>
      <c r="PN3" s="94"/>
      <c r="PO3" s="94"/>
      <c r="PP3" s="94"/>
      <c r="PQ3" s="94"/>
      <c r="PR3" s="94"/>
      <c r="PS3" s="94"/>
      <c r="PT3" s="94"/>
      <c r="PU3" s="94"/>
      <c r="PV3" s="94"/>
      <c r="PW3" s="94"/>
      <c r="PX3" s="94"/>
      <c r="PY3" s="94"/>
      <c r="PZ3" s="94"/>
      <c r="QA3" s="94"/>
      <c r="QB3" s="94"/>
      <c r="QC3" s="94"/>
      <c r="QD3" s="94"/>
      <c r="QE3" s="94"/>
      <c r="QF3" s="94"/>
      <c r="QG3" s="94"/>
      <c r="QH3" s="94"/>
      <c r="QI3" s="94"/>
      <c r="QJ3" s="94"/>
      <c r="QK3" s="94"/>
      <c r="QL3" s="94"/>
      <c r="QM3" s="94"/>
      <c r="QN3" s="94"/>
      <c r="QO3" s="94"/>
      <c r="QP3" s="94"/>
      <c r="QQ3" s="94"/>
      <c r="QR3" s="94"/>
      <c r="QS3" s="94"/>
      <c r="QT3" s="94"/>
      <c r="QU3" s="94"/>
      <c r="QV3" s="94"/>
      <c r="QW3" s="94"/>
      <c r="QX3" s="94"/>
      <c r="QY3" s="94"/>
      <c r="QZ3" s="94"/>
      <c r="RA3" s="94"/>
      <c r="RB3" s="94"/>
      <c r="RC3" s="94"/>
      <c r="RD3" s="94"/>
      <c r="RE3" s="94"/>
      <c r="RF3" s="94"/>
      <c r="RG3" s="94"/>
      <c r="RH3" s="94"/>
      <c r="RI3" s="94"/>
      <c r="RJ3" s="94"/>
      <c r="RK3" s="94"/>
      <c r="RL3" s="94"/>
      <c r="RM3" s="94"/>
      <c r="RN3" s="94"/>
      <c r="RO3" s="94"/>
      <c r="RP3" s="94"/>
      <c r="RQ3" s="94"/>
      <c r="RR3" s="94"/>
      <c r="RS3" s="94"/>
      <c r="RT3" s="94"/>
      <c r="RU3" s="94"/>
      <c r="RV3" s="94"/>
      <c r="RW3" s="94"/>
      <c r="RX3" s="94"/>
      <c r="RY3" s="94"/>
      <c r="RZ3" s="94"/>
      <c r="SA3" s="94"/>
      <c r="SB3" s="94"/>
      <c r="SC3" s="94"/>
      <c r="SD3" s="94"/>
      <c r="SE3" s="94"/>
      <c r="SF3" s="94"/>
      <c r="SG3" s="94"/>
      <c r="SH3" s="94"/>
      <c r="SI3" s="94"/>
    </row>
    <row r="4" spans="1:503" s="90" customFormat="1" ht="3" customHeight="1">
      <c r="B4" s="4"/>
      <c r="C4" s="1"/>
      <c r="D4" s="4"/>
      <c r="E4" s="1"/>
      <c r="F4" s="1"/>
      <c r="G4" s="1"/>
      <c r="J4" s="1"/>
      <c r="K4" s="1"/>
      <c r="L4" s="1"/>
      <c r="M4" s="1"/>
      <c r="N4" s="1"/>
      <c r="Q4" s="2662" t="s">
        <v>3520</v>
      </c>
      <c r="R4" s="2371"/>
      <c r="S4" s="413"/>
      <c r="T4" s="413"/>
      <c r="U4" s="413"/>
      <c r="W4" s="414"/>
      <c r="X4" s="2656" t="s">
        <v>4125</v>
      </c>
      <c r="Y4" s="2656" t="s">
        <v>4126</v>
      </c>
      <c r="Z4" s="2656" t="s">
        <v>4127</v>
      </c>
      <c r="AA4" s="2656" t="s">
        <v>4128</v>
      </c>
      <c r="AB4" s="2656" t="s">
        <v>4129</v>
      </c>
      <c r="AC4" s="2656" t="s">
        <v>4130</v>
      </c>
      <c r="AD4" s="2656" t="s">
        <v>4131</v>
      </c>
      <c r="AE4" s="2656" t="s">
        <v>4132</v>
      </c>
      <c r="AF4" s="2656" t="s">
        <v>4133</v>
      </c>
      <c r="AG4" s="2656" t="s">
        <v>4134</v>
      </c>
      <c r="AH4" s="2656" t="s">
        <v>898</v>
      </c>
      <c r="AI4" s="2656" t="s">
        <v>738</v>
      </c>
      <c r="AJ4" s="2656" t="s">
        <v>739</v>
      </c>
      <c r="AK4" s="2656" t="s">
        <v>740</v>
      </c>
      <c r="AL4" s="2656" t="s">
        <v>741</v>
      </c>
      <c r="AM4" s="2656" t="s">
        <v>899</v>
      </c>
      <c r="AN4" s="2656" t="s">
        <v>2251</v>
      </c>
      <c r="AO4" s="2656" t="s">
        <v>2252</v>
      </c>
      <c r="AP4" s="2656" t="s">
        <v>2253</v>
      </c>
      <c r="AQ4" s="2656" t="s">
        <v>2254</v>
      </c>
      <c r="AR4" s="2656" t="s">
        <v>4136</v>
      </c>
      <c r="AS4" s="2656" t="s">
        <v>4137</v>
      </c>
      <c r="AT4" s="2656" t="s">
        <v>4138</v>
      </c>
      <c r="AU4" s="2656" t="s">
        <v>4139</v>
      </c>
      <c r="AV4" s="2656" t="s">
        <v>4135</v>
      </c>
      <c r="AW4" s="2656" t="s">
        <v>900</v>
      </c>
      <c r="AX4" s="2656" t="s">
        <v>2255</v>
      </c>
      <c r="AY4" s="2656" t="s">
        <v>2256</v>
      </c>
      <c r="AZ4" s="2656" t="s">
        <v>2257</v>
      </c>
      <c r="BA4" s="2656" t="s">
        <v>2258</v>
      </c>
      <c r="BB4" s="2656" t="s">
        <v>4140</v>
      </c>
      <c r="BC4" s="2656" t="s">
        <v>4141</v>
      </c>
      <c r="BD4" s="2656" t="s">
        <v>4142</v>
      </c>
      <c r="BE4" s="2656" t="s">
        <v>4143</v>
      </c>
      <c r="BF4" s="2656" t="s">
        <v>4144</v>
      </c>
      <c r="BG4" s="2656" t="s">
        <v>126</v>
      </c>
      <c r="BH4" s="2656" t="s">
        <v>2259</v>
      </c>
      <c r="BI4" s="2656" t="s">
        <v>2260</v>
      </c>
      <c r="BJ4" s="2656" t="s">
        <v>2261</v>
      </c>
      <c r="BK4" s="2656" t="s">
        <v>1126</v>
      </c>
      <c r="BL4" s="2656" t="s">
        <v>4145</v>
      </c>
      <c r="BM4" s="2656" t="s">
        <v>4146</v>
      </c>
      <c r="BN4" s="2656" t="s">
        <v>4147</v>
      </c>
      <c r="BO4" s="2656" t="s">
        <v>4148</v>
      </c>
      <c r="BP4" s="2656" t="s">
        <v>4149</v>
      </c>
      <c r="BQ4" s="2656" t="s">
        <v>540</v>
      </c>
      <c r="BR4" s="2656" t="s">
        <v>541</v>
      </c>
      <c r="BS4" s="2656" t="s">
        <v>560</v>
      </c>
      <c r="BT4" s="2656" t="s">
        <v>561</v>
      </c>
      <c r="BU4" s="2656" t="s">
        <v>562</v>
      </c>
      <c r="BV4" s="2656" t="s">
        <v>4150</v>
      </c>
      <c r="BW4" s="2656" t="s">
        <v>4151</v>
      </c>
      <c r="BX4" s="2656" t="s">
        <v>4152</v>
      </c>
      <c r="BY4" s="2656" t="s">
        <v>4153</v>
      </c>
      <c r="BZ4" s="2656" t="s">
        <v>4154</v>
      </c>
      <c r="CA4" s="2656" t="s">
        <v>563</v>
      </c>
      <c r="CB4" s="2656" t="s">
        <v>564</v>
      </c>
      <c r="CC4" s="2656" t="s">
        <v>565</v>
      </c>
      <c r="CD4" s="2656" t="s">
        <v>566</v>
      </c>
      <c r="CE4" s="2656" t="s">
        <v>567</v>
      </c>
      <c r="CF4" s="2656" t="s">
        <v>568</v>
      </c>
      <c r="CG4" s="2656" t="s">
        <v>569</v>
      </c>
      <c r="CH4" s="2656" t="s">
        <v>909</v>
      </c>
      <c r="CI4" s="2656" t="s">
        <v>910</v>
      </c>
      <c r="CJ4" s="2656" t="s">
        <v>911</v>
      </c>
      <c r="CK4" s="2656" t="s">
        <v>4160</v>
      </c>
      <c r="CL4" s="2656" t="s">
        <v>4161</v>
      </c>
      <c r="CM4" s="2656" t="s">
        <v>4162</v>
      </c>
      <c r="CN4" s="2656" t="s">
        <v>4163</v>
      </c>
      <c r="CO4" s="2656" t="s">
        <v>4164</v>
      </c>
      <c r="CP4" s="2656" t="s">
        <v>4155</v>
      </c>
      <c r="CQ4" s="2656" t="s">
        <v>4156</v>
      </c>
      <c r="CR4" s="2656" t="s">
        <v>4157</v>
      </c>
      <c r="CS4" s="2656" t="s">
        <v>4158</v>
      </c>
      <c r="CT4" s="2656" t="s">
        <v>4159</v>
      </c>
      <c r="CU4" s="2656" t="s">
        <v>4165</v>
      </c>
      <c r="CV4" s="2656" t="s">
        <v>4166</v>
      </c>
      <c r="CW4" s="2656" t="s">
        <v>4167</v>
      </c>
      <c r="CX4" s="2656" t="s">
        <v>4168</v>
      </c>
      <c r="CY4" s="2656" t="s">
        <v>4169</v>
      </c>
      <c r="CZ4" s="2656" t="s">
        <v>485</v>
      </c>
      <c r="DA4" s="2656" t="s">
        <v>486</v>
      </c>
      <c r="DB4" s="2656" t="s">
        <v>487</v>
      </c>
      <c r="DC4" s="2656" t="s">
        <v>488</v>
      </c>
      <c r="DD4" s="2656" t="s">
        <v>489</v>
      </c>
      <c r="DE4" s="2656" t="s">
        <v>4170</v>
      </c>
      <c r="DF4" s="2656" t="s">
        <v>4171</v>
      </c>
      <c r="DG4" s="2656" t="s">
        <v>4172</v>
      </c>
      <c r="DH4" s="2656" t="s">
        <v>4173</v>
      </c>
      <c r="DI4" s="2656" t="s">
        <v>4174</v>
      </c>
      <c r="DJ4" s="2656" t="s">
        <v>859</v>
      </c>
      <c r="DK4" s="2656" t="s">
        <v>860</v>
      </c>
      <c r="DL4" s="2656" t="s">
        <v>861</v>
      </c>
      <c r="DM4" s="2656" t="s">
        <v>862</v>
      </c>
      <c r="DN4" s="2656" t="s">
        <v>863</v>
      </c>
      <c r="DO4" s="2656" t="s">
        <v>864</v>
      </c>
      <c r="DP4" s="2656" t="s">
        <v>865</v>
      </c>
      <c r="DQ4" s="2656" t="s">
        <v>866</v>
      </c>
      <c r="DR4" s="2656" t="s">
        <v>867</v>
      </c>
      <c r="DS4" s="2656" t="s">
        <v>868</v>
      </c>
      <c r="DT4" s="2656" t="s">
        <v>4175</v>
      </c>
      <c r="DU4" s="2656" t="s">
        <v>4176</v>
      </c>
      <c r="DV4" s="2656" t="s">
        <v>4177</v>
      </c>
      <c r="DW4" s="2656" t="s">
        <v>4178</v>
      </c>
      <c r="DX4" s="2656" t="s">
        <v>4179</v>
      </c>
      <c r="DY4" s="2656" t="s">
        <v>4180</v>
      </c>
      <c r="DZ4" s="2656" t="s">
        <v>4181</v>
      </c>
      <c r="EA4" s="2656" t="s">
        <v>4182</v>
      </c>
      <c r="EB4" s="2656" t="s">
        <v>4183</v>
      </c>
      <c r="EC4" s="2656" t="s">
        <v>4184</v>
      </c>
      <c r="ED4" s="2656" t="s">
        <v>2367</v>
      </c>
      <c r="EE4" s="2656" t="s">
        <v>2368</v>
      </c>
      <c r="EF4" s="2656" t="s">
        <v>2369</v>
      </c>
      <c r="EG4" s="2656" t="s">
        <v>2370</v>
      </c>
      <c r="EH4" s="2656" t="s">
        <v>2371</v>
      </c>
      <c r="EI4" s="2656" t="s">
        <v>4185</v>
      </c>
      <c r="EJ4" s="2656" t="s">
        <v>4186</v>
      </c>
      <c r="EK4" s="2656" t="s">
        <v>4187</v>
      </c>
      <c r="EL4" s="2656" t="s">
        <v>4188</v>
      </c>
      <c r="EM4" s="2656" t="s">
        <v>4189</v>
      </c>
      <c r="EN4" s="2656" t="s">
        <v>4190</v>
      </c>
      <c r="EO4" s="2656" t="s">
        <v>4191</v>
      </c>
      <c r="EP4" s="2656" t="s">
        <v>4192</v>
      </c>
      <c r="EQ4" s="2656" t="s">
        <v>4193</v>
      </c>
      <c r="ER4" s="2656" t="s">
        <v>4194</v>
      </c>
      <c r="ES4" s="2655" t="s">
        <v>114</v>
      </c>
      <c r="ET4" s="2655" t="s">
        <v>1129</v>
      </c>
      <c r="EU4" s="2655" t="s">
        <v>1130</v>
      </c>
      <c r="EV4" s="2655" t="s">
        <v>1187</v>
      </c>
      <c r="EW4" s="2655" t="s">
        <v>1188</v>
      </c>
      <c r="EX4" s="2655" t="s">
        <v>129</v>
      </c>
      <c r="EY4" s="2655" t="s">
        <v>1189</v>
      </c>
      <c r="EZ4" s="2655" t="s">
        <v>1190</v>
      </c>
      <c r="FA4" s="2655" t="s">
        <v>1191</v>
      </c>
      <c r="FB4" s="2655" t="s">
        <v>1192</v>
      </c>
      <c r="FC4" s="2656" t="s">
        <v>4195</v>
      </c>
      <c r="FD4" s="2656" t="s">
        <v>4196</v>
      </c>
      <c r="FE4" s="2656" t="s">
        <v>4197</v>
      </c>
      <c r="FF4" s="2656" t="s">
        <v>4198</v>
      </c>
      <c r="FG4" s="2656" t="s">
        <v>4199</v>
      </c>
      <c r="FH4" s="2655" t="s">
        <v>128</v>
      </c>
      <c r="FI4" s="2655" t="s">
        <v>890</v>
      </c>
      <c r="FJ4" s="2655" t="s">
        <v>891</v>
      </c>
      <c r="FK4" s="2655" t="s">
        <v>892</v>
      </c>
      <c r="FL4" s="2655" t="s">
        <v>893</v>
      </c>
      <c r="FM4" s="2656" t="s">
        <v>4200</v>
      </c>
      <c r="FN4" s="2656" t="s">
        <v>4201</v>
      </c>
      <c r="FO4" s="2656" t="s">
        <v>4202</v>
      </c>
      <c r="FP4" s="2656" t="s">
        <v>4203</v>
      </c>
      <c r="FQ4" s="2656" t="s">
        <v>4204</v>
      </c>
      <c r="FR4" s="2655" t="s">
        <v>127</v>
      </c>
      <c r="FS4" s="2655" t="s">
        <v>894</v>
      </c>
      <c r="FT4" s="2655" t="s">
        <v>895</v>
      </c>
      <c r="FU4" s="2655" t="s">
        <v>896</v>
      </c>
      <c r="FV4" s="2655" t="s">
        <v>897</v>
      </c>
      <c r="FW4" s="2655" t="s">
        <v>789</v>
      </c>
      <c r="FX4" s="2655" t="s">
        <v>790</v>
      </c>
      <c r="FY4" s="2655" t="s">
        <v>791</v>
      </c>
      <c r="FZ4" s="2655" t="s">
        <v>792</v>
      </c>
      <c r="GA4" s="2655" t="s">
        <v>793</v>
      </c>
      <c r="GB4" s="2655" t="s">
        <v>935</v>
      </c>
      <c r="GC4" s="2655" t="s">
        <v>936</v>
      </c>
      <c r="GD4" s="2655" t="s">
        <v>937</v>
      </c>
      <c r="GE4" s="2655" t="s">
        <v>938</v>
      </c>
      <c r="GF4" s="2655" t="s">
        <v>2366</v>
      </c>
      <c r="GG4" s="2655" t="s">
        <v>1405</v>
      </c>
      <c r="GH4" s="2655" t="s">
        <v>1406</v>
      </c>
      <c r="GI4" s="2655" t="s">
        <v>1407</v>
      </c>
      <c r="GJ4" s="2655" t="s">
        <v>1408</v>
      </c>
      <c r="GK4" s="2655" t="s">
        <v>1409</v>
      </c>
      <c r="GL4" s="2655" t="s">
        <v>428</v>
      </c>
      <c r="GM4" s="2655" t="s">
        <v>429</v>
      </c>
      <c r="GN4" s="2655" t="s">
        <v>430</v>
      </c>
      <c r="GO4" s="2655" t="s">
        <v>431</v>
      </c>
      <c r="GP4" s="2655" t="s">
        <v>432</v>
      </c>
      <c r="GQ4" s="2655" t="s">
        <v>15</v>
      </c>
      <c r="GR4" s="2655" t="s">
        <v>16</v>
      </c>
      <c r="GS4" s="2655" t="s">
        <v>17</v>
      </c>
      <c r="GT4" s="2655" t="s">
        <v>18</v>
      </c>
      <c r="GU4" s="2655" t="s">
        <v>19</v>
      </c>
      <c r="GV4" s="2655" t="s">
        <v>217</v>
      </c>
      <c r="GW4" s="2655" t="s">
        <v>218</v>
      </c>
      <c r="GX4" s="2655" t="s">
        <v>219</v>
      </c>
      <c r="GY4" s="2655" t="s">
        <v>1765</v>
      </c>
      <c r="GZ4" s="2655" t="s">
        <v>1766</v>
      </c>
      <c r="HA4" s="2655" t="s">
        <v>1767</v>
      </c>
      <c r="HB4" s="2655" t="s">
        <v>575</v>
      </c>
      <c r="HC4" s="2655" t="s">
        <v>576</v>
      </c>
      <c r="HD4" s="2655" t="s">
        <v>577</v>
      </c>
      <c r="HE4" s="2655" t="s">
        <v>578</v>
      </c>
      <c r="HF4" s="2655" t="s">
        <v>20</v>
      </c>
      <c r="HG4" s="2655" t="s">
        <v>21</v>
      </c>
      <c r="HH4" s="2655" t="s">
        <v>22</v>
      </c>
      <c r="HI4" s="2655" t="s">
        <v>23</v>
      </c>
      <c r="HJ4" s="2655" t="s">
        <v>24</v>
      </c>
      <c r="HK4" s="2655" t="s">
        <v>484</v>
      </c>
      <c r="HL4" s="2655" t="s">
        <v>424</v>
      </c>
      <c r="HM4" s="2655" t="s">
        <v>425</v>
      </c>
      <c r="HN4" s="2655" t="s">
        <v>426</v>
      </c>
      <c r="HO4" s="2655" t="s">
        <v>427</v>
      </c>
      <c r="HP4" s="2655" t="s">
        <v>2152</v>
      </c>
      <c r="HQ4" s="2655" t="s">
        <v>2153</v>
      </c>
      <c r="HR4" s="2655" t="s">
        <v>2154</v>
      </c>
      <c r="HS4" s="2655" t="s">
        <v>1448</v>
      </c>
      <c r="HT4" s="2655" t="s">
        <v>1449</v>
      </c>
      <c r="HU4" s="2655" t="s">
        <v>25</v>
      </c>
      <c r="HV4" s="2655" t="s">
        <v>26</v>
      </c>
      <c r="HW4" s="2655" t="s">
        <v>27</v>
      </c>
      <c r="HX4" s="2655" t="s">
        <v>28</v>
      </c>
      <c r="HY4" s="2655" t="s">
        <v>29</v>
      </c>
      <c r="HZ4" s="2242"/>
      <c r="IA4" s="2242"/>
      <c r="IB4" s="2242"/>
      <c r="IC4" s="2242"/>
      <c r="ID4" s="2242"/>
      <c r="IE4" s="2242"/>
      <c r="IF4" s="2242"/>
      <c r="IG4" s="2242"/>
      <c r="IH4" s="2242"/>
      <c r="II4" s="2242"/>
      <c r="IJ4" s="2242"/>
      <c r="IK4" s="2242"/>
      <c r="IL4" s="2242"/>
      <c r="IM4" s="2242"/>
      <c r="IN4" s="2242"/>
      <c r="IO4" s="2242"/>
      <c r="IP4" s="2242"/>
      <c r="IQ4" s="2242"/>
      <c r="IR4" s="2242"/>
      <c r="IS4" s="2242"/>
      <c r="IT4" s="2242"/>
      <c r="IU4" s="2242"/>
      <c r="IV4" s="2242"/>
      <c r="IW4" s="2242"/>
      <c r="IX4" s="2242"/>
      <c r="IY4" s="2242"/>
      <c r="IZ4" s="2242"/>
      <c r="JA4" s="2242"/>
      <c r="JB4" s="2242"/>
      <c r="JC4" s="2242"/>
      <c r="JD4" s="2242"/>
      <c r="JE4" s="2242"/>
      <c r="JF4" s="2242"/>
      <c r="JG4" s="2242"/>
      <c r="JH4" s="2242"/>
      <c r="JI4" s="2242"/>
      <c r="JJ4" s="2242"/>
      <c r="JK4" s="2242"/>
      <c r="JL4" s="2242"/>
      <c r="JM4" s="2242"/>
      <c r="JN4" s="2242"/>
      <c r="JO4" s="2242"/>
      <c r="JP4" s="2242"/>
      <c r="JQ4" s="2242"/>
      <c r="JR4" s="2242"/>
      <c r="JS4" s="2242"/>
      <c r="JT4" s="2242"/>
      <c r="JU4" s="2242"/>
      <c r="JV4" s="2242"/>
      <c r="JW4" s="2242"/>
      <c r="JX4" s="2242"/>
      <c r="JY4" s="2242"/>
      <c r="JZ4" s="2242"/>
      <c r="KA4" s="2242"/>
      <c r="KB4" s="2242"/>
      <c r="KC4" s="2242"/>
      <c r="KD4" s="2242"/>
      <c r="KE4" s="2242"/>
      <c r="KF4" s="2242"/>
      <c r="KG4" s="2242"/>
      <c r="KH4" s="2242"/>
      <c r="KI4" s="2242"/>
      <c r="KJ4" s="2242"/>
      <c r="KK4" s="2242"/>
      <c r="KL4" s="2242"/>
      <c r="KM4" s="2242"/>
      <c r="KN4" s="2242"/>
      <c r="KO4" s="2242"/>
      <c r="KP4" s="2242"/>
      <c r="KQ4" s="2242"/>
      <c r="KR4" s="2242"/>
      <c r="KS4" s="2242"/>
      <c r="KT4" s="2242"/>
      <c r="KU4" s="2242"/>
      <c r="KV4" s="2242"/>
      <c r="KW4" s="445"/>
      <c r="KX4" s="445"/>
      <c r="KY4" s="445"/>
      <c r="KZ4" s="445"/>
      <c r="LA4" s="445"/>
      <c r="LB4" s="445"/>
      <c r="LC4" s="445"/>
      <c r="LD4" s="445"/>
      <c r="LE4" s="445"/>
      <c r="LF4" s="445"/>
      <c r="LG4" s="445"/>
      <c r="LH4" s="445"/>
      <c r="LI4" s="445"/>
      <c r="LJ4" s="445"/>
      <c r="LK4" s="445"/>
      <c r="LL4" s="445"/>
      <c r="LM4" s="445"/>
      <c r="LN4" s="445"/>
      <c r="LO4" s="445"/>
      <c r="LP4" s="445"/>
      <c r="LQ4" s="2655" t="s">
        <v>1592</v>
      </c>
      <c r="LR4" s="2655" t="s">
        <v>2457</v>
      </c>
      <c r="LS4" s="2655" t="s">
        <v>2458</v>
      </c>
      <c r="LT4" s="2655" t="s">
        <v>379</v>
      </c>
      <c r="LU4" s="2655" t="s">
        <v>380</v>
      </c>
      <c r="LV4" s="2655" t="s">
        <v>381</v>
      </c>
      <c r="LW4" s="2655" t="s">
        <v>382</v>
      </c>
      <c r="LX4" s="2655" t="s">
        <v>383</v>
      </c>
      <c r="LY4" s="2655" t="s">
        <v>384</v>
      </c>
      <c r="LZ4" s="2655" t="s">
        <v>385</v>
      </c>
      <c r="MA4" s="2655" t="s">
        <v>198</v>
      </c>
      <c r="MB4" s="2655" t="s">
        <v>199</v>
      </c>
      <c r="MC4" s="2655" t="s">
        <v>200</v>
      </c>
      <c r="MD4" s="2655" t="s">
        <v>201</v>
      </c>
      <c r="ME4" s="2655" t="s">
        <v>202</v>
      </c>
      <c r="MF4" s="2655" t="s">
        <v>203</v>
      </c>
      <c r="MG4" s="2655" t="s">
        <v>204</v>
      </c>
      <c r="MH4" s="2655" t="s">
        <v>205</v>
      </c>
      <c r="MI4" s="2655" t="s">
        <v>206</v>
      </c>
      <c r="MJ4" s="2655" t="s">
        <v>207</v>
      </c>
      <c r="MK4" s="2655" t="s">
        <v>208</v>
      </c>
      <c r="ML4" s="2655" t="s">
        <v>209</v>
      </c>
      <c r="MM4" s="2655" t="s">
        <v>210</v>
      </c>
      <c r="MN4" s="2655" t="s">
        <v>211</v>
      </c>
      <c r="MO4" s="2655" t="s">
        <v>212</v>
      </c>
      <c r="MP4" s="2655"/>
      <c r="MQ4" s="2655"/>
      <c r="MR4" s="2655"/>
      <c r="MS4" s="2655"/>
      <c r="MT4" s="2655"/>
      <c r="MU4" s="445"/>
      <c r="MV4" s="445"/>
      <c r="MW4" s="445"/>
      <c r="MX4" s="445"/>
      <c r="MY4" s="445"/>
      <c r="MZ4" s="445"/>
      <c r="NA4" s="445"/>
      <c r="NB4" s="445"/>
      <c r="NC4" s="445"/>
      <c r="ND4" s="445"/>
      <c r="NE4" s="94"/>
      <c r="NF4" s="94"/>
      <c r="NG4" s="94"/>
      <c r="NH4" s="94"/>
      <c r="NI4" s="94"/>
      <c r="NJ4" s="94"/>
      <c r="NK4" s="94"/>
      <c r="NL4" s="94"/>
      <c r="NM4" s="94"/>
      <c r="NN4" s="94"/>
      <c r="NO4" s="94"/>
      <c r="NP4" s="94"/>
      <c r="NQ4" s="94"/>
      <c r="NR4" s="94"/>
      <c r="NS4" s="94"/>
      <c r="NT4" s="94"/>
      <c r="NU4" s="94"/>
      <c r="NV4" s="94"/>
      <c r="NW4" s="94"/>
      <c r="NX4" s="94"/>
      <c r="NY4" s="94"/>
      <c r="NZ4" s="94"/>
      <c r="OA4" s="94"/>
      <c r="OB4" s="94"/>
      <c r="OC4" s="94"/>
      <c r="OD4" s="94"/>
      <c r="OE4" s="94"/>
      <c r="OF4" s="94"/>
      <c r="OG4" s="94"/>
      <c r="OH4" s="94"/>
      <c r="OI4" s="94"/>
      <c r="OJ4" s="94"/>
      <c r="OK4" s="94"/>
      <c r="OL4" s="94"/>
      <c r="OM4" s="94"/>
      <c r="ON4" s="94"/>
      <c r="OO4" s="94"/>
      <c r="OP4" s="94"/>
      <c r="OQ4" s="94"/>
      <c r="OR4" s="94"/>
      <c r="OS4" s="94"/>
      <c r="OT4" s="94"/>
      <c r="OU4" s="94"/>
      <c r="OV4" s="94"/>
      <c r="OW4" s="94"/>
      <c r="OX4" s="94"/>
      <c r="OY4" s="94"/>
      <c r="OZ4" s="94"/>
      <c r="PA4" s="94"/>
      <c r="PB4" s="94"/>
      <c r="PC4" s="94"/>
      <c r="PD4" s="94"/>
      <c r="PE4" s="94"/>
      <c r="PF4" s="94"/>
      <c r="PG4" s="94"/>
      <c r="PH4" s="94"/>
      <c r="PI4" s="94"/>
      <c r="PJ4" s="94"/>
      <c r="PK4" s="94"/>
      <c r="PL4" s="94"/>
      <c r="PM4" s="94"/>
      <c r="PN4" s="94"/>
      <c r="PO4" s="94"/>
      <c r="PP4" s="94"/>
      <c r="PQ4" s="94"/>
      <c r="PR4" s="94"/>
      <c r="PS4" s="94"/>
      <c r="PT4" s="94"/>
      <c r="PU4" s="94"/>
      <c r="PV4" s="94"/>
      <c r="PW4" s="94"/>
      <c r="PX4" s="94"/>
      <c r="PY4" s="94"/>
      <c r="PZ4" s="94"/>
      <c r="QA4" s="94"/>
      <c r="QB4" s="94"/>
      <c r="QC4" s="94"/>
      <c r="QD4" s="94"/>
      <c r="QE4" s="94"/>
      <c r="QF4" s="94"/>
      <c r="QG4" s="94"/>
      <c r="QH4" s="94"/>
      <c r="QI4" s="94"/>
      <c r="QJ4" s="94"/>
      <c r="QK4" s="94"/>
      <c r="QL4" s="94"/>
      <c r="QM4" s="94"/>
      <c r="QN4" s="94"/>
      <c r="QO4" s="94"/>
      <c r="QP4" s="94"/>
      <c r="QQ4" s="94"/>
      <c r="QR4" s="94"/>
      <c r="QS4" s="94"/>
      <c r="QT4" s="94"/>
      <c r="QU4" s="94"/>
      <c r="QV4" s="94"/>
      <c r="QW4" s="94"/>
      <c r="QX4" s="94"/>
      <c r="QY4" s="94"/>
      <c r="QZ4" s="94"/>
      <c r="RA4" s="94"/>
      <c r="RB4" s="94"/>
      <c r="RC4" s="94"/>
      <c r="RD4" s="94"/>
      <c r="RE4" s="94"/>
      <c r="RF4" s="94"/>
      <c r="RG4" s="94"/>
      <c r="RH4" s="94"/>
      <c r="RI4" s="94"/>
      <c r="RJ4" s="94"/>
      <c r="RK4" s="94"/>
      <c r="RL4" s="94"/>
      <c r="RM4" s="94"/>
      <c r="RN4" s="94"/>
      <c r="RO4" s="94"/>
      <c r="RP4" s="94"/>
      <c r="RQ4" s="94"/>
      <c r="RR4" s="94"/>
      <c r="RS4" s="94"/>
      <c r="RT4" s="94"/>
      <c r="RU4" s="94"/>
      <c r="RV4" s="94"/>
      <c r="RW4" s="94"/>
      <c r="RX4" s="94"/>
      <c r="RY4" s="94"/>
      <c r="RZ4" s="94"/>
      <c r="SA4" s="94"/>
      <c r="SB4" s="94"/>
      <c r="SC4" s="94"/>
      <c r="SD4" s="94"/>
      <c r="SE4" s="94"/>
      <c r="SF4" s="94"/>
      <c r="SG4" s="94"/>
      <c r="SH4" s="94"/>
      <c r="SI4" s="94"/>
    </row>
    <row r="5" spans="1:503" s="90" customFormat="1" ht="13.35" customHeight="1">
      <c r="A5" s="2668" t="str">
        <f>IF(A48&gt;0,"Finish Row!","")</f>
        <v>Finish Row!</v>
      </c>
      <c r="B5" s="4" t="s">
        <v>1800</v>
      </c>
      <c r="D5" s="1"/>
      <c r="E5" s="4"/>
      <c r="F5" s="1"/>
      <c r="G5" s="3969" t="s">
        <v>197</v>
      </c>
      <c r="I5" s="2662" t="s">
        <v>4793</v>
      </c>
      <c r="K5" s="2374" t="s">
        <v>3432</v>
      </c>
      <c r="L5" s="2669" t="str">
        <f>'Part I-Project Information'!$B$6</f>
        <v>May 26, 2020 Version</v>
      </c>
      <c r="M5" s="2670"/>
      <c r="N5" s="2372" t="s">
        <v>559</v>
      </c>
      <c r="P5" s="2373" t="s">
        <v>4220</v>
      </c>
      <c r="Q5" s="2662"/>
      <c r="R5" s="2371"/>
      <c r="S5" s="94"/>
      <c r="U5" s="94"/>
      <c r="X5" s="2656"/>
      <c r="Y5" s="2656"/>
      <c r="Z5" s="2656"/>
      <c r="AA5" s="2656"/>
      <c r="AB5" s="2656"/>
      <c r="AC5" s="2656"/>
      <c r="AD5" s="2656"/>
      <c r="AE5" s="2656"/>
      <c r="AF5" s="2656"/>
      <c r="AG5" s="2656"/>
      <c r="AH5" s="2656"/>
      <c r="AI5" s="2656"/>
      <c r="AJ5" s="2656"/>
      <c r="AK5" s="2656"/>
      <c r="AL5" s="2656"/>
      <c r="AM5" s="2656"/>
      <c r="AN5" s="2656"/>
      <c r="AO5" s="2656"/>
      <c r="AP5" s="2656"/>
      <c r="AQ5" s="2656"/>
      <c r="AR5" s="2656"/>
      <c r="AS5" s="2656"/>
      <c r="AT5" s="2656"/>
      <c r="AU5" s="2656"/>
      <c r="AV5" s="2656"/>
      <c r="AW5" s="2656"/>
      <c r="AX5" s="2656"/>
      <c r="AY5" s="2656"/>
      <c r="AZ5" s="2656"/>
      <c r="BA5" s="2656"/>
      <c r="BB5" s="2656"/>
      <c r="BC5" s="2656"/>
      <c r="BD5" s="2656"/>
      <c r="BE5" s="2656"/>
      <c r="BF5" s="2656"/>
      <c r="BG5" s="2656"/>
      <c r="BH5" s="2656"/>
      <c r="BI5" s="2656"/>
      <c r="BJ5" s="2656"/>
      <c r="BK5" s="2656"/>
      <c r="BL5" s="2656"/>
      <c r="BM5" s="2656"/>
      <c r="BN5" s="2656"/>
      <c r="BO5" s="2656"/>
      <c r="BP5" s="2656"/>
      <c r="BQ5" s="2656"/>
      <c r="BR5" s="2656"/>
      <c r="BS5" s="2656"/>
      <c r="BT5" s="2656"/>
      <c r="BU5" s="2656"/>
      <c r="BV5" s="2656"/>
      <c r="BW5" s="2656"/>
      <c r="BX5" s="2656"/>
      <c r="BY5" s="2656"/>
      <c r="BZ5" s="2656"/>
      <c r="CA5" s="2656"/>
      <c r="CB5" s="2656"/>
      <c r="CC5" s="2656"/>
      <c r="CD5" s="2656"/>
      <c r="CE5" s="2656"/>
      <c r="CF5" s="2656"/>
      <c r="CG5" s="2656"/>
      <c r="CH5" s="2656"/>
      <c r="CI5" s="2656"/>
      <c r="CJ5" s="2656"/>
      <c r="CK5" s="2656"/>
      <c r="CL5" s="2656"/>
      <c r="CM5" s="2656"/>
      <c r="CN5" s="2656"/>
      <c r="CO5" s="2656"/>
      <c r="CP5" s="2656"/>
      <c r="CQ5" s="2656"/>
      <c r="CR5" s="2656"/>
      <c r="CS5" s="2656"/>
      <c r="CT5" s="2656"/>
      <c r="CU5" s="2656"/>
      <c r="CV5" s="2656"/>
      <c r="CW5" s="2656"/>
      <c r="CX5" s="2656"/>
      <c r="CY5" s="2656"/>
      <c r="CZ5" s="2656"/>
      <c r="DA5" s="2656"/>
      <c r="DB5" s="2656"/>
      <c r="DC5" s="2656"/>
      <c r="DD5" s="2656"/>
      <c r="DE5" s="2656"/>
      <c r="DF5" s="2656"/>
      <c r="DG5" s="2656"/>
      <c r="DH5" s="2656"/>
      <c r="DI5" s="2656"/>
      <c r="DJ5" s="2656"/>
      <c r="DK5" s="2656"/>
      <c r="DL5" s="2656"/>
      <c r="DM5" s="2656"/>
      <c r="DN5" s="2656"/>
      <c r="DO5" s="2656"/>
      <c r="DP5" s="2656"/>
      <c r="DQ5" s="2656"/>
      <c r="DR5" s="2656"/>
      <c r="DS5" s="2656"/>
      <c r="DT5" s="2656"/>
      <c r="DU5" s="2656"/>
      <c r="DV5" s="2656"/>
      <c r="DW5" s="2656"/>
      <c r="DX5" s="2656"/>
      <c r="DY5" s="2656"/>
      <c r="DZ5" s="2656"/>
      <c r="EA5" s="2656"/>
      <c r="EB5" s="2656"/>
      <c r="EC5" s="2656"/>
      <c r="ED5" s="2656"/>
      <c r="EE5" s="2656"/>
      <c r="EF5" s="2656"/>
      <c r="EG5" s="2656"/>
      <c r="EH5" s="2656"/>
      <c r="EI5" s="2656"/>
      <c r="EJ5" s="2656"/>
      <c r="EK5" s="2656"/>
      <c r="EL5" s="2656"/>
      <c r="EM5" s="2656"/>
      <c r="EN5" s="2656"/>
      <c r="EO5" s="2656"/>
      <c r="EP5" s="2656"/>
      <c r="EQ5" s="2656"/>
      <c r="ER5" s="2656"/>
      <c r="ES5" s="2655"/>
      <c r="ET5" s="2655"/>
      <c r="EU5" s="2655"/>
      <c r="EV5" s="2655"/>
      <c r="EW5" s="2655"/>
      <c r="EX5" s="2655"/>
      <c r="EY5" s="2655"/>
      <c r="EZ5" s="2655"/>
      <c r="FA5" s="2655"/>
      <c r="FB5" s="2655"/>
      <c r="FC5" s="2656"/>
      <c r="FD5" s="2656"/>
      <c r="FE5" s="2656"/>
      <c r="FF5" s="2656"/>
      <c r="FG5" s="2656"/>
      <c r="FH5" s="2655"/>
      <c r="FI5" s="2655"/>
      <c r="FJ5" s="2655"/>
      <c r="FK5" s="2655"/>
      <c r="FL5" s="2655"/>
      <c r="FM5" s="2656"/>
      <c r="FN5" s="2656"/>
      <c r="FO5" s="2656"/>
      <c r="FP5" s="2656"/>
      <c r="FQ5" s="2656"/>
      <c r="FR5" s="2655"/>
      <c r="FS5" s="2655"/>
      <c r="FT5" s="2655"/>
      <c r="FU5" s="2655"/>
      <c r="FV5" s="2655"/>
      <c r="FW5" s="2655"/>
      <c r="FX5" s="2655"/>
      <c r="FY5" s="2655"/>
      <c r="FZ5" s="2655"/>
      <c r="GA5" s="2655"/>
      <c r="GB5" s="2655"/>
      <c r="GC5" s="2655"/>
      <c r="GD5" s="2655"/>
      <c r="GE5" s="2655"/>
      <c r="GF5" s="2655"/>
      <c r="GG5" s="2655"/>
      <c r="GH5" s="2655"/>
      <c r="GI5" s="2655"/>
      <c r="GJ5" s="2655"/>
      <c r="GK5" s="2655"/>
      <c r="GL5" s="2655"/>
      <c r="GM5" s="2655"/>
      <c r="GN5" s="2655"/>
      <c r="GO5" s="2655"/>
      <c r="GP5" s="2655"/>
      <c r="GQ5" s="2655"/>
      <c r="GR5" s="2655"/>
      <c r="GS5" s="2655"/>
      <c r="GT5" s="2655"/>
      <c r="GU5" s="2655"/>
      <c r="GV5" s="2655"/>
      <c r="GW5" s="2655"/>
      <c r="GX5" s="2655"/>
      <c r="GY5" s="2655"/>
      <c r="GZ5" s="2655"/>
      <c r="HA5" s="2655"/>
      <c r="HB5" s="2655"/>
      <c r="HC5" s="2655"/>
      <c r="HD5" s="2655"/>
      <c r="HE5" s="2655"/>
      <c r="HF5" s="2655"/>
      <c r="HG5" s="2655"/>
      <c r="HH5" s="2655"/>
      <c r="HI5" s="2655"/>
      <c r="HJ5" s="2655"/>
      <c r="HK5" s="2655"/>
      <c r="HL5" s="2655"/>
      <c r="HM5" s="2655"/>
      <c r="HN5" s="2655"/>
      <c r="HO5" s="2655"/>
      <c r="HP5" s="2655"/>
      <c r="HQ5" s="2655"/>
      <c r="HR5" s="2655"/>
      <c r="HS5" s="2655"/>
      <c r="HT5" s="2655"/>
      <c r="HU5" s="2655"/>
      <c r="HV5" s="2655"/>
      <c r="HW5" s="2655"/>
      <c r="HX5" s="2655"/>
      <c r="HY5" s="2655"/>
      <c r="HZ5" s="2242"/>
      <c r="IA5" s="2242"/>
      <c r="IB5" s="2242"/>
      <c r="IC5" s="2242"/>
      <c r="ID5" s="2242"/>
      <c r="IE5" s="2242"/>
      <c r="IF5" s="2242"/>
      <c r="IG5" s="2242"/>
      <c r="IH5" s="2242"/>
      <c r="II5" s="2242"/>
      <c r="IJ5" s="2242"/>
      <c r="IK5" s="2242"/>
      <c r="IL5" s="2242"/>
      <c r="IM5" s="2242"/>
      <c r="IN5" s="2242"/>
      <c r="IO5" s="2242"/>
      <c r="IP5" s="2242"/>
      <c r="IQ5" s="2242"/>
      <c r="IR5" s="2242"/>
      <c r="IS5" s="2242"/>
      <c r="IT5" s="2242"/>
      <c r="IU5" s="2242"/>
      <c r="IV5" s="2242"/>
      <c r="IW5" s="2242"/>
      <c r="IX5" s="2242"/>
      <c r="IY5" s="2242"/>
      <c r="IZ5" s="2242"/>
      <c r="JA5" s="2242"/>
      <c r="JB5" s="2242"/>
      <c r="JC5" s="2242"/>
      <c r="JD5" s="2242"/>
      <c r="JE5" s="2242"/>
      <c r="JF5" s="2242"/>
      <c r="JG5" s="2242"/>
      <c r="JH5" s="2242"/>
      <c r="JI5" s="2242"/>
      <c r="JJ5" s="2242"/>
      <c r="JK5" s="2242"/>
      <c r="JL5" s="2242"/>
      <c r="JM5" s="2242"/>
      <c r="JN5" s="2242"/>
      <c r="JO5" s="2242"/>
      <c r="JP5" s="2242"/>
      <c r="JQ5" s="2242"/>
      <c r="JR5" s="2242"/>
      <c r="JS5" s="2242"/>
      <c r="JT5" s="2242"/>
      <c r="JU5" s="2242"/>
      <c r="JV5" s="2242"/>
      <c r="JW5" s="2242"/>
      <c r="JX5" s="2242"/>
      <c r="JY5" s="2242"/>
      <c r="JZ5" s="2242"/>
      <c r="KA5" s="2242"/>
      <c r="KB5" s="2242"/>
      <c r="KC5" s="2242"/>
      <c r="KD5" s="2242"/>
      <c r="KE5" s="2242"/>
      <c r="KF5" s="2242"/>
      <c r="KG5" s="2242"/>
      <c r="KH5" s="2242"/>
      <c r="KI5" s="2242"/>
      <c r="KJ5" s="2242"/>
      <c r="KK5" s="2242"/>
      <c r="KL5" s="2242"/>
      <c r="KM5" s="2242"/>
      <c r="KN5" s="2242"/>
      <c r="KO5" s="2242"/>
      <c r="KP5" s="2242"/>
      <c r="KQ5" s="2242"/>
      <c r="KR5" s="2242"/>
      <c r="KS5" s="2242"/>
      <c r="KT5" s="2242"/>
      <c r="KU5" s="2242"/>
      <c r="KV5" s="2242"/>
      <c r="KW5" s="445"/>
      <c r="KX5" s="445"/>
      <c r="KY5" s="445"/>
      <c r="KZ5" s="445"/>
      <c r="LA5" s="445"/>
      <c r="LB5" s="445"/>
      <c r="LC5" s="445"/>
      <c r="LD5" s="445"/>
      <c r="LE5" s="445"/>
      <c r="LF5" s="445"/>
      <c r="LG5" s="445"/>
      <c r="LH5" s="445"/>
      <c r="LI5" s="445"/>
      <c r="LJ5" s="445"/>
      <c r="LK5" s="445"/>
      <c r="LL5" s="445"/>
      <c r="LM5" s="445"/>
      <c r="LN5" s="445"/>
      <c r="LO5" s="445"/>
      <c r="LP5" s="445"/>
      <c r="LQ5" s="2655"/>
      <c r="LR5" s="2655"/>
      <c r="LS5" s="2655"/>
      <c r="LT5" s="2655"/>
      <c r="LU5" s="2655"/>
      <c r="LV5" s="2655"/>
      <c r="LW5" s="2655"/>
      <c r="LX5" s="2655"/>
      <c r="LY5" s="2655"/>
      <c r="LZ5" s="2655"/>
      <c r="MA5" s="2655"/>
      <c r="MB5" s="2655"/>
      <c r="MC5" s="2655"/>
      <c r="MD5" s="2655"/>
      <c r="ME5" s="2655"/>
      <c r="MF5" s="2655"/>
      <c r="MG5" s="2655"/>
      <c r="MH5" s="2655"/>
      <c r="MI5" s="2655"/>
      <c r="MJ5" s="2655"/>
      <c r="MK5" s="2655"/>
      <c r="ML5" s="2655"/>
      <c r="MM5" s="2655"/>
      <c r="MN5" s="2655"/>
      <c r="MO5" s="2655"/>
      <c r="MP5" s="2655"/>
      <c r="MQ5" s="2655"/>
      <c r="MR5" s="2655"/>
      <c r="MS5" s="2655"/>
      <c r="MT5" s="2655"/>
      <c r="MU5" s="2665" t="s">
        <v>3304</v>
      </c>
      <c r="MV5" s="2665" t="s">
        <v>3305</v>
      </c>
      <c r="MW5" s="2665" t="s">
        <v>3306</v>
      </c>
      <c r="MX5" s="2665" t="s">
        <v>3307</v>
      </c>
      <c r="MY5" s="2665" t="s">
        <v>3308</v>
      </c>
      <c r="MZ5" s="2655" t="s">
        <v>3318</v>
      </c>
      <c r="NA5" s="2655" t="s">
        <v>3320</v>
      </c>
      <c r="NB5" s="2655" t="s">
        <v>3321</v>
      </c>
      <c r="NC5" s="2655" t="s">
        <v>3322</v>
      </c>
      <c r="ND5" s="2655" t="s">
        <v>3323</v>
      </c>
      <c r="NE5" s="94"/>
      <c r="NF5" s="94"/>
      <c r="NG5" s="94"/>
      <c r="NH5" s="94"/>
      <c r="NI5" s="94"/>
      <c r="NJ5" s="94"/>
      <c r="NK5" s="94"/>
      <c r="NL5" s="94"/>
      <c r="NM5" s="94"/>
      <c r="NN5" s="94"/>
      <c r="NO5" s="94"/>
      <c r="NP5" s="94"/>
      <c r="NQ5" s="94"/>
      <c r="NR5" s="94"/>
      <c r="NS5" s="94"/>
      <c r="NT5" s="94"/>
      <c r="NU5" s="94"/>
      <c r="NV5" s="94"/>
      <c r="NW5" s="94"/>
      <c r="NX5" s="94"/>
      <c r="NY5" s="94"/>
      <c r="NZ5" s="94"/>
      <c r="OA5" s="94"/>
      <c r="OB5" s="94"/>
      <c r="OC5" s="94"/>
      <c r="OD5" s="94"/>
      <c r="OE5" s="94"/>
      <c r="OF5" s="94"/>
      <c r="OG5" s="94"/>
      <c r="OH5" s="94"/>
      <c r="OI5" s="94"/>
      <c r="OJ5" s="94"/>
      <c r="OK5" s="94"/>
      <c r="OL5" s="94"/>
      <c r="OM5" s="94"/>
      <c r="ON5" s="94"/>
      <c r="OO5" s="94"/>
      <c r="OP5" s="94"/>
      <c r="OQ5" s="94"/>
      <c r="OR5" s="94"/>
      <c r="OS5" s="94"/>
      <c r="OT5" s="94"/>
      <c r="OU5" s="94"/>
      <c r="OV5" s="94"/>
      <c r="OW5" s="94"/>
      <c r="OX5" s="94"/>
      <c r="OY5" s="94"/>
      <c r="OZ5" s="94"/>
      <c r="PA5" s="94"/>
      <c r="PB5" s="94"/>
      <c r="PC5" s="94"/>
      <c r="PD5" s="94"/>
      <c r="PE5" s="94"/>
      <c r="PF5" s="94"/>
      <c r="PG5" s="94"/>
      <c r="PH5" s="94"/>
      <c r="PI5" s="94"/>
      <c r="PJ5" s="94"/>
      <c r="PK5" s="94"/>
      <c r="PL5" s="94"/>
      <c r="PM5" s="94"/>
      <c r="PN5" s="94"/>
      <c r="PO5" s="94"/>
      <c r="PP5" s="94"/>
      <c r="PQ5" s="94"/>
      <c r="PR5" s="94"/>
      <c r="PS5" s="94"/>
      <c r="PT5" s="94"/>
      <c r="PU5" s="94"/>
      <c r="PV5" s="94"/>
      <c r="PW5" s="94"/>
      <c r="PX5" s="94"/>
      <c r="PY5" s="94"/>
      <c r="PZ5" s="94"/>
      <c r="QA5" s="94"/>
      <c r="QB5" s="94"/>
      <c r="QC5" s="94"/>
      <c r="QD5" s="94"/>
      <c r="QE5" s="94"/>
      <c r="QF5" s="94"/>
      <c r="QG5" s="94"/>
      <c r="QH5" s="94"/>
      <c r="QI5" s="94"/>
      <c r="QJ5" s="94"/>
      <c r="QK5" s="94"/>
      <c r="QL5" s="94"/>
      <c r="QM5" s="94"/>
      <c r="QN5" s="94"/>
      <c r="QO5" s="94"/>
      <c r="QP5" s="94"/>
      <c r="QQ5" s="94"/>
      <c r="QR5" s="94"/>
      <c r="QS5" s="94"/>
      <c r="QT5" s="94"/>
      <c r="QU5" s="94"/>
      <c r="QV5" s="94"/>
      <c r="QW5" s="94"/>
      <c r="QX5" s="94"/>
      <c r="QY5" s="94"/>
      <c r="QZ5" s="94"/>
      <c r="RA5" s="94"/>
      <c r="RB5" s="94"/>
      <c r="RC5" s="94"/>
      <c r="RD5" s="94"/>
      <c r="RE5" s="94"/>
      <c r="RF5" s="94"/>
      <c r="RG5" s="94"/>
      <c r="RH5" s="94"/>
      <c r="RI5" s="94"/>
      <c r="RJ5" s="94"/>
      <c r="RK5" s="94"/>
      <c r="RL5" s="94"/>
      <c r="RM5" s="94"/>
      <c r="RN5" s="94"/>
      <c r="RO5" s="94"/>
      <c r="RP5" s="94"/>
      <c r="RQ5" s="94"/>
      <c r="RR5" s="94"/>
      <c r="RS5" s="94"/>
      <c r="RT5" s="94"/>
      <c r="RU5" s="94"/>
      <c r="RV5" s="94"/>
      <c r="RW5" s="94"/>
      <c r="RX5" s="94"/>
      <c r="RY5" s="94"/>
      <c r="RZ5" s="94"/>
      <c r="SA5" s="94"/>
      <c r="SB5" s="94"/>
      <c r="SC5" s="94"/>
      <c r="SD5" s="94"/>
      <c r="SE5" s="94"/>
      <c r="SF5" s="94"/>
      <c r="SG5" s="94"/>
      <c r="SH5" s="94"/>
      <c r="SI5" s="94"/>
    </row>
    <row r="6" spans="1:503" s="90" customFormat="1" ht="13.35" customHeight="1">
      <c r="A6" s="2668"/>
      <c r="B6" s="29" t="s">
        <v>1759</v>
      </c>
      <c r="D6" s="1"/>
      <c r="E6" s="4"/>
      <c r="F6" s="3970" t="s">
        <v>2889</v>
      </c>
      <c r="G6" s="2374" t="s">
        <v>3489</v>
      </c>
      <c r="H6" s="2662" t="s">
        <v>3662</v>
      </c>
      <c r="I6" s="2662"/>
      <c r="J6" s="2374" t="s">
        <v>778</v>
      </c>
      <c r="K6" s="2374" t="s">
        <v>3492</v>
      </c>
      <c r="L6" s="2670"/>
      <c r="M6" s="2670"/>
      <c r="N6" s="2666" t="str">
        <f>'Part I-Project Information'!$O$40</f>
        <v>Columbus</v>
      </c>
      <c r="O6" s="2666"/>
      <c r="P6" s="3971">
        <f>VLOOKUP('Part I-Project Information'!$O$40,'DCA Underwriting Assumptions'!$C$173:$D$283,2)</f>
        <v>59600</v>
      </c>
      <c r="Q6" s="2662"/>
      <c r="R6" s="2663" t="s">
        <v>2619</v>
      </c>
      <c r="S6" s="2663"/>
      <c r="X6" s="2656"/>
      <c r="Y6" s="2656"/>
      <c r="Z6" s="2656"/>
      <c r="AA6" s="2656"/>
      <c r="AB6" s="2656"/>
      <c r="AC6" s="2656"/>
      <c r="AD6" s="2656"/>
      <c r="AE6" s="2656"/>
      <c r="AF6" s="2656"/>
      <c r="AG6" s="2656"/>
      <c r="AH6" s="2656"/>
      <c r="AI6" s="2656"/>
      <c r="AJ6" s="2656"/>
      <c r="AK6" s="2656"/>
      <c r="AL6" s="2656"/>
      <c r="AM6" s="2656"/>
      <c r="AN6" s="2656"/>
      <c r="AO6" s="2656"/>
      <c r="AP6" s="2656"/>
      <c r="AQ6" s="2656"/>
      <c r="AR6" s="2656"/>
      <c r="AS6" s="2656"/>
      <c r="AT6" s="2656"/>
      <c r="AU6" s="2656"/>
      <c r="AV6" s="2656"/>
      <c r="AW6" s="2656"/>
      <c r="AX6" s="2656"/>
      <c r="AY6" s="2656"/>
      <c r="AZ6" s="2656"/>
      <c r="BA6" s="2656"/>
      <c r="BB6" s="2656"/>
      <c r="BC6" s="2656"/>
      <c r="BD6" s="2656"/>
      <c r="BE6" s="2656"/>
      <c r="BF6" s="2656"/>
      <c r="BG6" s="2656"/>
      <c r="BH6" s="2656"/>
      <c r="BI6" s="2656"/>
      <c r="BJ6" s="2656"/>
      <c r="BK6" s="2656"/>
      <c r="BL6" s="2656"/>
      <c r="BM6" s="2656"/>
      <c r="BN6" s="2656"/>
      <c r="BO6" s="2656"/>
      <c r="BP6" s="2656"/>
      <c r="BQ6" s="2656"/>
      <c r="BR6" s="2656"/>
      <c r="BS6" s="2656"/>
      <c r="BT6" s="2656"/>
      <c r="BU6" s="2656"/>
      <c r="BV6" s="2656"/>
      <c r="BW6" s="2656"/>
      <c r="BX6" s="2656"/>
      <c r="BY6" s="2656"/>
      <c r="BZ6" s="2656"/>
      <c r="CA6" s="2656"/>
      <c r="CB6" s="2656"/>
      <c r="CC6" s="2656"/>
      <c r="CD6" s="2656"/>
      <c r="CE6" s="2656"/>
      <c r="CF6" s="2656"/>
      <c r="CG6" s="2656"/>
      <c r="CH6" s="2656"/>
      <c r="CI6" s="2656"/>
      <c r="CJ6" s="2656"/>
      <c r="CK6" s="2656"/>
      <c r="CL6" s="2656"/>
      <c r="CM6" s="2656"/>
      <c r="CN6" s="2656"/>
      <c r="CO6" s="2656"/>
      <c r="CP6" s="2656"/>
      <c r="CQ6" s="2656"/>
      <c r="CR6" s="2656"/>
      <c r="CS6" s="2656"/>
      <c r="CT6" s="2656"/>
      <c r="CU6" s="2656"/>
      <c r="CV6" s="2656"/>
      <c r="CW6" s="2656"/>
      <c r="CX6" s="2656"/>
      <c r="CY6" s="2656"/>
      <c r="CZ6" s="2656"/>
      <c r="DA6" s="2656"/>
      <c r="DB6" s="2656"/>
      <c r="DC6" s="2656"/>
      <c r="DD6" s="2656"/>
      <c r="DE6" s="2656"/>
      <c r="DF6" s="2656"/>
      <c r="DG6" s="2656"/>
      <c r="DH6" s="2656"/>
      <c r="DI6" s="2656"/>
      <c r="DJ6" s="2656"/>
      <c r="DK6" s="2656"/>
      <c r="DL6" s="2656"/>
      <c r="DM6" s="2656"/>
      <c r="DN6" s="2656"/>
      <c r="DO6" s="2656"/>
      <c r="DP6" s="2656"/>
      <c r="DQ6" s="2656"/>
      <c r="DR6" s="2656"/>
      <c r="DS6" s="2656"/>
      <c r="DT6" s="2656"/>
      <c r="DU6" s="2656"/>
      <c r="DV6" s="2656"/>
      <c r="DW6" s="2656"/>
      <c r="DX6" s="2656"/>
      <c r="DY6" s="2656"/>
      <c r="DZ6" s="2656"/>
      <c r="EA6" s="2656"/>
      <c r="EB6" s="2656"/>
      <c r="EC6" s="2656"/>
      <c r="ED6" s="2656"/>
      <c r="EE6" s="2656"/>
      <c r="EF6" s="2656"/>
      <c r="EG6" s="2656"/>
      <c r="EH6" s="2656"/>
      <c r="EI6" s="2656"/>
      <c r="EJ6" s="2656"/>
      <c r="EK6" s="2656"/>
      <c r="EL6" s="2656"/>
      <c r="EM6" s="2656"/>
      <c r="EN6" s="2656"/>
      <c r="EO6" s="2656"/>
      <c r="EP6" s="2656"/>
      <c r="EQ6" s="2656"/>
      <c r="ER6" s="2656"/>
      <c r="ES6" s="2655"/>
      <c r="ET6" s="2655"/>
      <c r="EU6" s="2655"/>
      <c r="EV6" s="2655"/>
      <c r="EW6" s="2655"/>
      <c r="EX6" s="2655"/>
      <c r="EY6" s="2655"/>
      <c r="EZ6" s="2655"/>
      <c r="FA6" s="2655"/>
      <c r="FB6" s="2655"/>
      <c r="FC6" s="2656"/>
      <c r="FD6" s="2656"/>
      <c r="FE6" s="2656"/>
      <c r="FF6" s="2656"/>
      <c r="FG6" s="2656"/>
      <c r="FH6" s="2655"/>
      <c r="FI6" s="2655"/>
      <c r="FJ6" s="2655"/>
      <c r="FK6" s="2655"/>
      <c r="FL6" s="2655"/>
      <c r="FM6" s="2656"/>
      <c r="FN6" s="2656"/>
      <c r="FO6" s="2656"/>
      <c r="FP6" s="2656"/>
      <c r="FQ6" s="2656"/>
      <c r="FR6" s="2655"/>
      <c r="FS6" s="2655"/>
      <c r="FT6" s="2655"/>
      <c r="FU6" s="2655"/>
      <c r="FV6" s="2655"/>
      <c r="FW6" s="2655"/>
      <c r="FX6" s="2655"/>
      <c r="FY6" s="2655"/>
      <c r="FZ6" s="2655"/>
      <c r="GA6" s="2655"/>
      <c r="GB6" s="2655"/>
      <c r="GC6" s="2655"/>
      <c r="GD6" s="2655"/>
      <c r="GE6" s="2655"/>
      <c r="GF6" s="2655"/>
      <c r="GG6" s="2655"/>
      <c r="GH6" s="2655"/>
      <c r="GI6" s="2655"/>
      <c r="GJ6" s="2655"/>
      <c r="GK6" s="2655"/>
      <c r="GL6" s="2655"/>
      <c r="GM6" s="2655"/>
      <c r="GN6" s="2655"/>
      <c r="GO6" s="2655"/>
      <c r="GP6" s="2655"/>
      <c r="GQ6" s="2655"/>
      <c r="GR6" s="2655"/>
      <c r="GS6" s="2655"/>
      <c r="GT6" s="2655"/>
      <c r="GU6" s="2655"/>
      <c r="GV6" s="2655"/>
      <c r="GW6" s="2655"/>
      <c r="GX6" s="2655"/>
      <c r="GY6" s="2655"/>
      <c r="GZ6" s="2655"/>
      <c r="HA6" s="2655"/>
      <c r="HB6" s="2655"/>
      <c r="HC6" s="2655"/>
      <c r="HD6" s="2655"/>
      <c r="HE6" s="2655"/>
      <c r="HF6" s="2655"/>
      <c r="HG6" s="2655"/>
      <c r="HH6" s="2655"/>
      <c r="HI6" s="2655"/>
      <c r="HJ6" s="2655"/>
      <c r="HK6" s="2655"/>
      <c r="HL6" s="2655"/>
      <c r="HM6" s="2655"/>
      <c r="HN6" s="2655"/>
      <c r="HO6" s="2655"/>
      <c r="HP6" s="2655"/>
      <c r="HQ6" s="2655"/>
      <c r="HR6" s="2655"/>
      <c r="HS6" s="2655"/>
      <c r="HT6" s="2655"/>
      <c r="HU6" s="2655"/>
      <c r="HV6" s="2655"/>
      <c r="HW6" s="2655"/>
      <c r="HX6" s="2655"/>
      <c r="HY6" s="2655"/>
      <c r="HZ6" s="2242"/>
      <c r="IA6" s="2242"/>
      <c r="IB6" s="2242"/>
      <c r="IC6" s="2242"/>
      <c r="ID6" s="2242"/>
      <c r="IE6" s="2242"/>
      <c r="IF6" s="2242"/>
      <c r="IG6" s="2242"/>
      <c r="IH6" s="2242"/>
      <c r="II6" s="2242"/>
      <c r="IJ6" s="2242"/>
      <c r="IK6" s="2242"/>
      <c r="IL6" s="2242"/>
      <c r="IM6" s="2242"/>
      <c r="IN6" s="2242"/>
      <c r="IO6" s="2242"/>
      <c r="IP6" s="2242"/>
      <c r="IQ6" s="2242"/>
      <c r="IR6" s="2242"/>
      <c r="IS6" s="2242"/>
      <c r="IT6" s="2242"/>
      <c r="IU6" s="2242"/>
      <c r="IV6" s="2242"/>
      <c r="IW6" s="2242"/>
      <c r="IX6" s="2242"/>
      <c r="IY6" s="2242"/>
      <c r="IZ6" s="2242"/>
      <c r="JA6" s="2242"/>
      <c r="JB6" s="2242"/>
      <c r="JC6" s="2242"/>
      <c r="JD6" s="2242"/>
      <c r="JE6" s="2242"/>
      <c r="JF6" s="2242"/>
      <c r="JG6" s="2242"/>
      <c r="JH6" s="2242"/>
      <c r="JI6" s="2242"/>
      <c r="JJ6" s="2242"/>
      <c r="JK6" s="2242"/>
      <c r="JL6" s="2242"/>
      <c r="JM6" s="2242"/>
      <c r="JN6" s="2242"/>
      <c r="JO6" s="2242"/>
      <c r="JP6" s="2242"/>
      <c r="JQ6" s="2242"/>
      <c r="JR6" s="2242"/>
      <c r="JS6" s="2242"/>
      <c r="JT6" s="2242"/>
      <c r="JU6" s="2242"/>
      <c r="JV6" s="2242"/>
      <c r="JW6" s="2242"/>
      <c r="JX6" s="2242"/>
      <c r="JY6" s="2242"/>
      <c r="JZ6" s="2242"/>
      <c r="KA6" s="2242"/>
      <c r="KB6" s="2242"/>
      <c r="KC6" s="2242"/>
      <c r="KD6" s="2242"/>
      <c r="KE6" s="2242"/>
      <c r="KF6" s="2242"/>
      <c r="KG6" s="2242"/>
      <c r="KH6" s="2242"/>
      <c r="KI6" s="2242"/>
      <c r="KJ6" s="2242"/>
      <c r="KK6" s="2242"/>
      <c r="KL6" s="2242"/>
      <c r="KM6" s="2242"/>
      <c r="KN6" s="2242"/>
      <c r="KO6" s="2242"/>
      <c r="KP6" s="2242"/>
      <c r="KQ6" s="2242"/>
      <c r="KR6" s="2242"/>
      <c r="KS6" s="2242"/>
      <c r="KT6" s="2242"/>
      <c r="KU6" s="2242"/>
      <c r="KV6" s="2242"/>
      <c r="KW6" s="445"/>
      <c r="KX6" s="445"/>
      <c r="KY6" s="445"/>
      <c r="KZ6" s="445"/>
      <c r="LA6" s="445"/>
      <c r="LB6" s="445"/>
      <c r="LC6" s="445"/>
      <c r="LD6" s="445"/>
      <c r="LE6" s="445"/>
      <c r="LF6" s="445"/>
      <c r="LG6" s="445"/>
      <c r="LH6" s="445"/>
      <c r="LI6" s="445"/>
      <c r="LJ6" s="445"/>
      <c r="LK6" s="445"/>
      <c r="LL6" s="445"/>
      <c r="LM6" s="445"/>
      <c r="LN6" s="445"/>
      <c r="LO6" s="445"/>
      <c r="LP6" s="445"/>
      <c r="LQ6" s="2655"/>
      <c r="LR6" s="2655"/>
      <c r="LS6" s="2655"/>
      <c r="LT6" s="2655"/>
      <c r="LU6" s="2655"/>
      <c r="LV6" s="2655"/>
      <c r="LW6" s="2655"/>
      <c r="LX6" s="2655"/>
      <c r="LY6" s="2655"/>
      <c r="LZ6" s="2655"/>
      <c r="MA6" s="2655"/>
      <c r="MB6" s="2655"/>
      <c r="MC6" s="2655"/>
      <c r="MD6" s="2655"/>
      <c r="ME6" s="2655"/>
      <c r="MF6" s="2655"/>
      <c r="MG6" s="2655"/>
      <c r="MH6" s="2655"/>
      <c r="MI6" s="2655"/>
      <c r="MJ6" s="2655"/>
      <c r="MK6" s="2655"/>
      <c r="ML6" s="2655"/>
      <c r="MM6" s="2655"/>
      <c r="MN6" s="2655"/>
      <c r="MO6" s="2655"/>
      <c r="MP6" s="2655"/>
      <c r="MQ6" s="2655"/>
      <c r="MR6" s="2655"/>
      <c r="MS6" s="2655"/>
      <c r="MT6" s="2655"/>
      <c r="MU6" s="2665"/>
      <c r="MV6" s="2665"/>
      <c r="MW6" s="2665"/>
      <c r="MX6" s="2665"/>
      <c r="MY6" s="2665"/>
      <c r="MZ6" s="2655"/>
      <c r="NA6" s="2655"/>
      <c r="NB6" s="2655"/>
      <c r="NC6" s="2655"/>
      <c r="ND6" s="2655"/>
      <c r="NE6" s="94"/>
      <c r="NF6" s="94"/>
      <c r="NG6" s="94"/>
      <c r="NH6" s="94"/>
      <c r="NI6" s="94"/>
      <c r="NJ6" s="94"/>
      <c r="NK6" s="94"/>
      <c r="NL6" s="94"/>
      <c r="NM6" s="94"/>
      <c r="NN6" s="94"/>
      <c r="NO6" s="94"/>
      <c r="NP6" s="94"/>
      <c r="NQ6" s="94"/>
      <c r="NR6" s="94"/>
      <c r="NS6" s="94"/>
      <c r="NT6" s="94"/>
      <c r="NU6" s="94"/>
      <c r="NV6" s="94"/>
      <c r="NW6" s="94"/>
      <c r="NX6" s="94"/>
      <c r="NY6" s="94"/>
      <c r="NZ6" s="94"/>
      <c r="OA6" s="94"/>
      <c r="OB6" s="94"/>
      <c r="OC6" s="94"/>
      <c r="OD6" s="94"/>
      <c r="OE6" s="94"/>
      <c r="OF6" s="94"/>
      <c r="OG6" s="94"/>
      <c r="OH6" s="94"/>
      <c r="OI6" s="94"/>
      <c r="OJ6" s="94"/>
      <c r="OK6" s="94"/>
      <c r="OL6" s="94"/>
      <c r="OM6" s="94"/>
      <c r="ON6" s="94"/>
      <c r="OO6" s="94"/>
      <c r="OP6" s="94"/>
      <c r="OQ6" s="94"/>
      <c r="OR6" s="94"/>
      <c r="OS6" s="94"/>
      <c r="OT6" s="94"/>
      <c r="OU6" s="94"/>
      <c r="OV6" s="94"/>
      <c r="OW6" s="94"/>
      <c r="OX6" s="94"/>
      <c r="OY6" s="94"/>
      <c r="OZ6" s="94"/>
      <c r="PA6" s="94"/>
      <c r="PB6" s="94"/>
      <c r="PC6" s="94"/>
      <c r="PD6" s="94"/>
      <c r="PE6" s="94"/>
      <c r="PF6" s="94"/>
      <c r="PG6" s="94"/>
      <c r="PH6" s="94"/>
      <c r="PI6" s="94"/>
      <c r="PJ6" s="94"/>
      <c r="PK6" s="94"/>
      <c r="PL6" s="94"/>
      <c r="PM6" s="94"/>
      <c r="PN6" s="94"/>
      <c r="PO6" s="94"/>
      <c r="PP6" s="94"/>
      <c r="PQ6" s="94"/>
      <c r="PR6" s="94"/>
      <c r="PS6" s="94"/>
      <c r="PT6" s="94"/>
      <c r="PU6" s="94"/>
      <c r="PV6" s="94"/>
      <c r="PW6" s="94"/>
      <c r="PX6" s="94"/>
      <c r="PY6" s="94"/>
      <c r="PZ6" s="94"/>
      <c r="QA6" s="94"/>
      <c r="QB6" s="94"/>
      <c r="QC6" s="94"/>
      <c r="QD6" s="94"/>
      <c r="QE6" s="94"/>
      <c r="QF6" s="94"/>
      <c r="QG6" s="94"/>
      <c r="QH6" s="94"/>
      <c r="QI6" s="94"/>
      <c r="QJ6" s="94"/>
      <c r="QK6" s="94"/>
      <c r="QL6" s="94"/>
      <c r="QM6" s="94"/>
      <c r="QN6" s="94"/>
      <c r="QO6" s="94"/>
      <c r="QP6" s="94"/>
      <c r="QQ6" s="94"/>
      <c r="QR6" s="94"/>
      <c r="QS6" s="94"/>
      <c r="QT6" s="94"/>
      <c r="QU6" s="94"/>
      <c r="QV6" s="94"/>
      <c r="QW6" s="94"/>
      <c r="QX6" s="94"/>
      <c r="QY6" s="94"/>
      <c r="QZ6" s="94"/>
      <c r="RA6" s="94"/>
      <c r="RB6" s="94"/>
      <c r="RC6" s="94"/>
      <c r="RD6" s="94"/>
      <c r="RE6" s="94"/>
      <c r="RF6" s="94"/>
      <c r="RG6" s="94"/>
      <c r="RH6" s="94"/>
      <c r="RI6" s="94"/>
      <c r="RJ6" s="94"/>
      <c r="RK6" s="94"/>
      <c r="RL6" s="94"/>
      <c r="RM6" s="94"/>
      <c r="RN6" s="94"/>
      <c r="RO6" s="94"/>
      <c r="RP6" s="94"/>
      <c r="RQ6" s="94"/>
      <c r="RR6" s="94"/>
      <c r="RS6" s="94"/>
      <c r="RT6" s="94"/>
      <c r="RU6" s="94"/>
      <c r="RV6" s="94"/>
      <c r="RW6" s="94"/>
      <c r="RX6" s="94"/>
      <c r="RY6" s="94"/>
      <c r="RZ6" s="94"/>
      <c r="SA6" s="94"/>
      <c r="SB6" s="94"/>
      <c r="SC6" s="94"/>
      <c r="SD6" s="94"/>
      <c r="SE6" s="94"/>
      <c r="SF6" s="94"/>
      <c r="SG6" s="94"/>
      <c r="SH6" s="94"/>
      <c r="SI6" s="94"/>
    </row>
    <row r="7" spans="1:503" s="90" customFormat="1" ht="11.25" customHeight="1">
      <c r="A7" s="2668"/>
      <c r="B7" s="1008" t="s">
        <v>4207</v>
      </c>
      <c r="C7" s="1"/>
      <c r="D7" s="4"/>
      <c r="E7" s="1"/>
      <c r="F7" s="1"/>
      <c r="G7" s="2374" t="s">
        <v>3490</v>
      </c>
      <c r="H7" s="2662"/>
      <c r="I7" s="2662"/>
      <c r="J7" s="2374" t="s">
        <v>779</v>
      </c>
      <c r="K7" s="2374" t="s">
        <v>3493</v>
      </c>
      <c r="L7" s="831"/>
      <c r="M7" s="831"/>
      <c r="N7" s="2666"/>
      <c r="O7" s="2666"/>
      <c r="Q7" s="2662"/>
      <c r="R7" s="832"/>
      <c r="S7" s="836" t="s">
        <v>2616</v>
      </c>
      <c r="T7" s="413"/>
      <c r="W7" s="414"/>
      <c r="X7" s="2656"/>
      <c r="Y7" s="2656"/>
      <c r="Z7" s="2656"/>
      <c r="AA7" s="2656"/>
      <c r="AB7" s="2656"/>
      <c r="AC7" s="2656"/>
      <c r="AD7" s="2656"/>
      <c r="AE7" s="2656"/>
      <c r="AF7" s="2656"/>
      <c r="AG7" s="2656"/>
      <c r="AH7" s="2656"/>
      <c r="AI7" s="2656"/>
      <c r="AJ7" s="2656"/>
      <c r="AK7" s="2656"/>
      <c r="AL7" s="2656"/>
      <c r="AM7" s="2656"/>
      <c r="AN7" s="2656"/>
      <c r="AO7" s="2656"/>
      <c r="AP7" s="2656"/>
      <c r="AQ7" s="2656"/>
      <c r="AR7" s="2656"/>
      <c r="AS7" s="2656"/>
      <c r="AT7" s="2656"/>
      <c r="AU7" s="2656"/>
      <c r="AV7" s="2656"/>
      <c r="AW7" s="2656"/>
      <c r="AX7" s="2656"/>
      <c r="AY7" s="2656"/>
      <c r="AZ7" s="2656"/>
      <c r="BA7" s="2656"/>
      <c r="BB7" s="2656"/>
      <c r="BC7" s="2656"/>
      <c r="BD7" s="2656"/>
      <c r="BE7" s="2656"/>
      <c r="BF7" s="2656"/>
      <c r="BG7" s="2656"/>
      <c r="BH7" s="2656"/>
      <c r="BI7" s="2656"/>
      <c r="BJ7" s="2656"/>
      <c r="BK7" s="2656"/>
      <c r="BL7" s="2656"/>
      <c r="BM7" s="2656"/>
      <c r="BN7" s="2656"/>
      <c r="BO7" s="2656"/>
      <c r="BP7" s="2656"/>
      <c r="BQ7" s="2656"/>
      <c r="BR7" s="2656"/>
      <c r="BS7" s="2656"/>
      <c r="BT7" s="2656"/>
      <c r="BU7" s="2656"/>
      <c r="BV7" s="2656"/>
      <c r="BW7" s="2656"/>
      <c r="BX7" s="2656"/>
      <c r="BY7" s="2656"/>
      <c r="BZ7" s="2656"/>
      <c r="CA7" s="2656"/>
      <c r="CB7" s="2656"/>
      <c r="CC7" s="2656"/>
      <c r="CD7" s="2656"/>
      <c r="CE7" s="2656"/>
      <c r="CF7" s="2656"/>
      <c r="CG7" s="2656"/>
      <c r="CH7" s="2656"/>
      <c r="CI7" s="2656"/>
      <c r="CJ7" s="2656"/>
      <c r="CK7" s="2656"/>
      <c r="CL7" s="2656"/>
      <c r="CM7" s="2656"/>
      <c r="CN7" s="2656"/>
      <c r="CO7" s="2656"/>
      <c r="CP7" s="2656"/>
      <c r="CQ7" s="2656"/>
      <c r="CR7" s="2656"/>
      <c r="CS7" s="2656"/>
      <c r="CT7" s="2656"/>
      <c r="CU7" s="2656"/>
      <c r="CV7" s="2656"/>
      <c r="CW7" s="2656"/>
      <c r="CX7" s="2656"/>
      <c r="CY7" s="2656"/>
      <c r="CZ7" s="2656"/>
      <c r="DA7" s="2656"/>
      <c r="DB7" s="2656"/>
      <c r="DC7" s="2656"/>
      <c r="DD7" s="2656"/>
      <c r="DE7" s="2656"/>
      <c r="DF7" s="2656"/>
      <c r="DG7" s="2656"/>
      <c r="DH7" s="2656"/>
      <c r="DI7" s="2656"/>
      <c r="DJ7" s="2656"/>
      <c r="DK7" s="2656"/>
      <c r="DL7" s="2656"/>
      <c r="DM7" s="2656"/>
      <c r="DN7" s="2656"/>
      <c r="DO7" s="2656"/>
      <c r="DP7" s="2656"/>
      <c r="DQ7" s="2656"/>
      <c r="DR7" s="2656"/>
      <c r="DS7" s="2656"/>
      <c r="DT7" s="2656"/>
      <c r="DU7" s="2656"/>
      <c r="DV7" s="2656"/>
      <c r="DW7" s="2656"/>
      <c r="DX7" s="2656"/>
      <c r="DY7" s="2656"/>
      <c r="DZ7" s="2656"/>
      <c r="EA7" s="2656"/>
      <c r="EB7" s="2656"/>
      <c r="EC7" s="2656"/>
      <c r="ED7" s="2656"/>
      <c r="EE7" s="2656"/>
      <c r="EF7" s="2656"/>
      <c r="EG7" s="2656"/>
      <c r="EH7" s="2656"/>
      <c r="EI7" s="2656"/>
      <c r="EJ7" s="2656"/>
      <c r="EK7" s="2656"/>
      <c r="EL7" s="2656"/>
      <c r="EM7" s="2656"/>
      <c r="EN7" s="2656"/>
      <c r="EO7" s="2656"/>
      <c r="EP7" s="2656"/>
      <c r="EQ7" s="2656"/>
      <c r="ER7" s="2656"/>
      <c r="ES7" s="2655"/>
      <c r="ET7" s="2655"/>
      <c r="EU7" s="2655"/>
      <c r="EV7" s="2655"/>
      <c r="EW7" s="2655"/>
      <c r="EX7" s="2655"/>
      <c r="EY7" s="2655"/>
      <c r="EZ7" s="2655"/>
      <c r="FA7" s="2655"/>
      <c r="FB7" s="2655"/>
      <c r="FC7" s="2656"/>
      <c r="FD7" s="2656"/>
      <c r="FE7" s="2656"/>
      <c r="FF7" s="2656"/>
      <c r="FG7" s="2656"/>
      <c r="FH7" s="2655"/>
      <c r="FI7" s="2655"/>
      <c r="FJ7" s="2655"/>
      <c r="FK7" s="2655"/>
      <c r="FL7" s="2655"/>
      <c r="FM7" s="2656"/>
      <c r="FN7" s="2656"/>
      <c r="FO7" s="2656"/>
      <c r="FP7" s="2656"/>
      <c r="FQ7" s="2656"/>
      <c r="FR7" s="2655"/>
      <c r="FS7" s="2655"/>
      <c r="FT7" s="2655"/>
      <c r="FU7" s="2655"/>
      <c r="FV7" s="2655"/>
      <c r="FW7" s="2655"/>
      <c r="FX7" s="2655"/>
      <c r="FY7" s="2655"/>
      <c r="FZ7" s="2655"/>
      <c r="GA7" s="2655"/>
      <c r="GB7" s="2655"/>
      <c r="GC7" s="2655"/>
      <c r="GD7" s="2655"/>
      <c r="GE7" s="2655"/>
      <c r="GF7" s="2655"/>
      <c r="GG7" s="2655"/>
      <c r="GH7" s="2655"/>
      <c r="GI7" s="2655"/>
      <c r="GJ7" s="2655"/>
      <c r="GK7" s="2655"/>
      <c r="GL7" s="2655"/>
      <c r="GM7" s="2655"/>
      <c r="GN7" s="2655"/>
      <c r="GO7" s="2655"/>
      <c r="GP7" s="2655"/>
      <c r="GQ7" s="2655"/>
      <c r="GR7" s="2655"/>
      <c r="GS7" s="2655"/>
      <c r="GT7" s="2655"/>
      <c r="GU7" s="2655"/>
      <c r="GV7" s="2655"/>
      <c r="GW7" s="2655"/>
      <c r="GX7" s="2655"/>
      <c r="GY7" s="2655"/>
      <c r="GZ7" s="2655"/>
      <c r="HA7" s="2655"/>
      <c r="HB7" s="2655"/>
      <c r="HC7" s="2655"/>
      <c r="HD7" s="2655"/>
      <c r="HE7" s="2655"/>
      <c r="HF7" s="2655"/>
      <c r="HG7" s="2655"/>
      <c r="HH7" s="2655"/>
      <c r="HI7" s="2655"/>
      <c r="HJ7" s="2655"/>
      <c r="HK7" s="2655"/>
      <c r="HL7" s="2655"/>
      <c r="HM7" s="2655"/>
      <c r="HN7" s="2655"/>
      <c r="HO7" s="2655"/>
      <c r="HP7" s="2655"/>
      <c r="HQ7" s="2655"/>
      <c r="HR7" s="2655"/>
      <c r="HS7" s="2655"/>
      <c r="HT7" s="2655"/>
      <c r="HU7" s="2655"/>
      <c r="HV7" s="2655"/>
      <c r="HW7" s="2655"/>
      <c r="HX7" s="2655"/>
      <c r="HY7" s="2655"/>
      <c r="HZ7" s="2242"/>
      <c r="IA7" s="2242"/>
      <c r="IB7" s="2242"/>
      <c r="IC7" s="2242"/>
      <c r="ID7" s="2242"/>
      <c r="IE7" s="2242"/>
      <c r="IF7" s="2242"/>
      <c r="IG7" s="2242"/>
      <c r="IH7" s="2242"/>
      <c r="II7" s="2242"/>
      <c r="IJ7" s="2242"/>
      <c r="IK7" s="2242"/>
      <c r="IL7" s="2242"/>
      <c r="IM7" s="2242"/>
      <c r="IN7" s="2242"/>
      <c r="IO7" s="2242"/>
      <c r="IP7" s="2242"/>
      <c r="IQ7" s="2242"/>
      <c r="IR7" s="2242"/>
      <c r="IS7" s="2242"/>
      <c r="IT7" s="2242"/>
      <c r="IU7" s="2242"/>
      <c r="IV7" s="2242"/>
      <c r="IW7" s="2242"/>
      <c r="IX7" s="2242"/>
      <c r="IY7" s="2246" t="s">
        <v>551</v>
      </c>
      <c r="IZ7" s="2246" t="s">
        <v>2377</v>
      </c>
      <c r="JA7" s="2246" t="s">
        <v>2378</v>
      </c>
      <c r="JB7" s="2246" t="s">
        <v>2379</v>
      </c>
      <c r="JC7" s="2246" t="s">
        <v>2380</v>
      </c>
      <c r="JD7" s="2246" t="s">
        <v>551</v>
      </c>
      <c r="JE7" s="2246" t="s">
        <v>2377</v>
      </c>
      <c r="JF7" s="2246" t="s">
        <v>2378</v>
      </c>
      <c r="JG7" s="2246" t="s">
        <v>2379</v>
      </c>
      <c r="JH7" s="2246" t="s">
        <v>2380</v>
      </c>
      <c r="JI7" s="2246" t="s">
        <v>551</v>
      </c>
      <c r="JJ7" s="2246" t="s">
        <v>2377</v>
      </c>
      <c r="JK7" s="2246" t="s">
        <v>2378</v>
      </c>
      <c r="JL7" s="2246" t="s">
        <v>2379</v>
      </c>
      <c r="JM7" s="2246" t="s">
        <v>2380</v>
      </c>
      <c r="JN7" s="2246" t="s">
        <v>551</v>
      </c>
      <c r="JO7" s="2246" t="s">
        <v>2377</v>
      </c>
      <c r="JP7" s="2246" t="s">
        <v>2378</v>
      </c>
      <c r="JQ7" s="2246" t="s">
        <v>2379</v>
      </c>
      <c r="JR7" s="2246" t="s">
        <v>2380</v>
      </c>
      <c r="JS7" s="2246" t="s">
        <v>551</v>
      </c>
      <c r="JT7" s="2246" t="s">
        <v>2377</v>
      </c>
      <c r="JU7" s="2246" t="s">
        <v>2378</v>
      </c>
      <c r="JV7" s="2246" t="s">
        <v>2379</v>
      </c>
      <c r="JW7" s="2246" t="s">
        <v>2380</v>
      </c>
      <c r="JX7" s="2246" t="s">
        <v>551</v>
      </c>
      <c r="JY7" s="2246" t="s">
        <v>2377</v>
      </c>
      <c r="JZ7" s="2246" t="s">
        <v>2378</v>
      </c>
      <c r="KA7" s="2246" t="s">
        <v>2379</v>
      </c>
      <c r="KB7" s="2246" t="s">
        <v>2380</v>
      </c>
      <c r="KC7" s="2246" t="s">
        <v>551</v>
      </c>
      <c r="KD7" s="2246" t="s">
        <v>2377</v>
      </c>
      <c r="KE7" s="2246" t="s">
        <v>2378</v>
      </c>
      <c r="KF7" s="2246" t="s">
        <v>2379</v>
      </c>
      <c r="KG7" s="2246" t="s">
        <v>2380</v>
      </c>
      <c r="KH7" s="2246" t="s">
        <v>551</v>
      </c>
      <c r="KI7" s="2246" t="s">
        <v>2377</v>
      </c>
      <c r="KJ7" s="2246" t="s">
        <v>2378</v>
      </c>
      <c r="KK7" s="2246" t="s">
        <v>2379</v>
      </c>
      <c r="KL7" s="2246" t="s">
        <v>2380</v>
      </c>
      <c r="KM7" s="2246" t="s">
        <v>551</v>
      </c>
      <c r="KN7" s="2246" t="s">
        <v>2377</v>
      </c>
      <c r="KO7" s="2246" t="s">
        <v>2378</v>
      </c>
      <c r="KP7" s="2246" t="s">
        <v>2379</v>
      </c>
      <c r="KQ7" s="2246" t="s">
        <v>2380</v>
      </c>
      <c r="KR7" s="2246" t="s">
        <v>551</v>
      </c>
      <c r="KS7" s="2246" t="s">
        <v>2377</v>
      </c>
      <c r="KT7" s="2246" t="s">
        <v>2378</v>
      </c>
      <c r="KU7" s="2246" t="s">
        <v>2379</v>
      </c>
      <c r="KV7" s="2246" t="s">
        <v>2380</v>
      </c>
      <c r="KW7" s="2246" t="s">
        <v>551</v>
      </c>
      <c r="KX7" s="2246" t="s">
        <v>2377</v>
      </c>
      <c r="KY7" s="2246" t="s">
        <v>2378</v>
      </c>
      <c r="KZ7" s="2246" t="s">
        <v>2379</v>
      </c>
      <c r="LA7" s="2246" t="s">
        <v>2380</v>
      </c>
      <c r="LB7" s="2246" t="s">
        <v>551</v>
      </c>
      <c r="LC7" s="2246" t="s">
        <v>2377</v>
      </c>
      <c r="LD7" s="2246" t="s">
        <v>2378</v>
      </c>
      <c r="LE7" s="2246" t="s">
        <v>2379</v>
      </c>
      <c r="LF7" s="2246" t="s">
        <v>2380</v>
      </c>
      <c r="LG7" s="2246" t="s">
        <v>551</v>
      </c>
      <c r="LH7" s="2246" t="s">
        <v>2377</v>
      </c>
      <c r="LI7" s="2246" t="s">
        <v>2378</v>
      </c>
      <c r="LJ7" s="2246" t="s">
        <v>2379</v>
      </c>
      <c r="LK7" s="2246" t="s">
        <v>2380</v>
      </c>
      <c r="LL7" s="2246" t="s">
        <v>551</v>
      </c>
      <c r="LM7" s="2246" t="s">
        <v>2377</v>
      </c>
      <c r="LN7" s="2246" t="s">
        <v>2378</v>
      </c>
      <c r="LO7" s="2246" t="s">
        <v>2379</v>
      </c>
      <c r="LP7" s="2246" t="s">
        <v>2380</v>
      </c>
      <c r="LQ7" s="2655"/>
      <c r="LR7" s="2655"/>
      <c r="LS7" s="2655"/>
      <c r="LT7" s="2655"/>
      <c r="LU7" s="2655"/>
      <c r="LV7" s="2655"/>
      <c r="LW7" s="2655"/>
      <c r="LX7" s="2655"/>
      <c r="LY7" s="2655"/>
      <c r="LZ7" s="2655"/>
      <c r="MA7" s="2655"/>
      <c r="MB7" s="2655"/>
      <c r="MC7" s="2655"/>
      <c r="MD7" s="2655"/>
      <c r="ME7" s="2655"/>
      <c r="MF7" s="2655"/>
      <c r="MG7" s="2655"/>
      <c r="MH7" s="2655"/>
      <c r="MI7" s="2655"/>
      <c r="MJ7" s="2655"/>
      <c r="MK7" s="2655"/>
      <c r="ML7" s="2655"/>
      <c r="MM7" s="2655"/>
      <c r="MN7" s="2655"/>
      <c r="MO7" s="2655"/>
      <c r="MP7" s="2655"/>
      <c r="MQ7" s="2655"/>
      <c r="MR7" s="2655"/>
      <c r="MS7" s="2655"/>
      <c r="MT7" s="2655"/>
      <c r="MU7" s="2665"/>
      <c r="MV7" s="2665"/>
      <c r="MW7" s="2665"/>
      <c r="MX7" s="2665"/>
      <c r="MY7" s="2665"/>
      <c r="MZ7" s="2655"/>
      <c r="NA7" s="2655"/>
      <c r="NB7" s="2655"/>
      <c r="NC7" s="2655"/>
      <c r="ND7" s="2655"/>
      <c r="NE7" s="94"/>
      <c r="NF7" s="94"/>
      <c r="NG7" s="94"/>
      <c r="NH7" s="94"/>
      <c r="NI7" s="94"/>
      <c r="NJ7" s="94"/>
      <c r="NK7" s="94"/>
      <c r="NL7" s="94"/>
      <c r="NM7" s="94"/>
      <c r="NN7" s="94"/>
      <c r="NO7" s="94"/>
      <c r="NP7" s="94"/>
      <c r="NQ7" s="94"/>
      <c r="NR7" s="94"/>
      <c r="NS7" s="94"/>
      <c r="NT7" s="94"/>
      <c r="NU7" s="94"/>
      <c r="NV7" s="94"/>
      <c r="NW7" s="94"/>
      <c r="NX7" s="94"/>
      <c r="NY7" s="94"/>
      <c r="NZ7" s="94"/>
      <c r="OA7" s="94"/>
      <c r="OB7" s="94"/>
      <c r="OC7" s="94"/>
      <c r="OD7" s="94"/>
      <c r="OE7" s="94"/>
      <c r="OF7" s="94"/>
      <c r="OG7" s="94"/>
      <c r="OH7" s="94"/>
      <c r="OI7" s="94"/>
      <c r="OJ7" s="94"/>
      <c r="OK7" s="94"/>
      <c r="OL7" s="94"/>
      <c r="OM7" s="94"/>
      <c r="ON7" s="94"/>
      <c r="OO7" s="94"/>
      <c r="OP7" s="94"/>
      <c r="OQ7" s="94"/>
      <c r="OR7" s="94"/>
      <c r="OS7" s="94"/>
      <c r="OT7" s="94"/>
      <c r="OU7" s="94"/>
      <c r="OV7" s="94"/>
      <c r="OW7" s="94"/>
      <c r="OX7" s="94"/>
      <c r="OY7" s="94"/>
      <c r="OZ7" s="94"/>
      <c r="PA7" s="94"/>
      <c r="PB7" s="94"/>
      <c r="PC7" s="94"/>
      <c r="PD7" s="94"/>
      <c r="PE7" s="94"/>
      <c r="PF7" s="94"/>
      <c r="PG7" s="94"/>
      <c r="PH7" s="94"/>
      <c r="PI7" s="94"/>
      <c r="PJ7" s="94"/>
      <c r="PK7" s="94"/>
      <c r="PL7" s="94"/>
      <c r="PM7" s="94"/>
      <c r="PN7" s="94"/>
      <c r="PO7" s="94"/>
      <c r="PP7" s="94"/>
      <c r="PQ7" s="94"/>
      <c r="PR7" s="94"/>
      <c r="PS7" s="94"/>
      <c r="PT7" s="94"/>
      <c r="PU7" s="94"/>
      <c r="PV7" s="94"/>
      <c r="PW7" s="94"/>
      <c r="PX7" s="94"/>
      <c r="PY7" s="94"/>
      <c r="PZ7" s="94"/>
      <c r="QA7" s="94"/>
      <c r="QB7" s="94"/>
      <c r="QC7" s="94"/>
      <c r="QD7" s="94"/>
      <c r="QE7" s="94"/>
      <c r="QF7" s="94"/>
      <c r="QG7" s="94"/>
      <c r="QH7" s="94"/>
      <c r="QI7" s="94"/>
      <c r="QJ7" s="94"/>
      <c r="QK7" s="94"/>
      <c r="QL7" s="94"/>
      <c r="QM7" s="94"/>
      <c r="QN7" s="94"/>
      <c r="QO7" s="94"/>
      <c r="QP7" s="94"/>
      <c r="QQ7" s="94"/>
      <c r="QR7" s="94"/>
      <c r="QS7" s="94"/>
      <c r="QT7" s="94"/>
      <c r="QU7" s="94"/>
      <c r="QV7" s="94"/>
      <c r="QW7" s="94"/>
      <c r="QX7" s="94"/>
      <c r="QY7" s="94"/>
      <c r="QZ7" s="94"/>
      <c r="RA7" s="94"/>
      <c r="RB7" s="94"/>
      <c r="RC7" s="94"/>
      <c r="RD7" s="94"/>
      <c r="RE7" s="94"/>
      <c r="RF7" s="94"/>
      <c r="RG7" s="94"/>
      <c r="RH7" s="94"/>
      <c r="RI7" s="94"/>
      <c r="RJ7" s="94"/>
      <c r="RK7" s="94"/>
      <c r="RL7" s="94"/>
      <c r="RM7" s="94"/>
      <c r="RN7" s="94"/>
      <c r="RO7" s="94"/>
      <c r="RP7" s="94"/>
      <c r="RQ7" s="94"/>
      <c r="RR7" s="94"/>
      <c r="RS7" s="94"/>
      <c r="RT7" s="94"/>
      <c r="RU7" s="94"/>
      <c r="RV7" s="94"/>
      <c r="RW7" s="94"/>
      <c r="RX7" s="94"/>
      <c r="RY7" s="94"/>
      <c r="RZ7" s="94"/>
      <c r="SA7" s="94"/>
      <c r="SB7" s="94"/>
      <c r="SC7" s="94"/>
      <c r="SD7" s="94"/>
      <c r="SE7" s="94"/>
      <c r="SF7" s="94"/>
      <c r="SG7" s="94"/>
      <c r="SH7" s="94"/>
      <c r="SI7" s="94"/>
    </row>
    <row r="8" spans="1:503" s="111" customFormat="1" ht="11.25" customHeight="1">
      <c r="A8" s="2668"/>
      <c r="B8" s="1339" t="s">
        <v>4208</v>
      </c>
      <c r="C8" s="2374" t="s">
        <v>168</v>
      </c>
      <c r="D8" s="2374" t="s">
        <v>530</v>
      </c>
      <c r="E8" s="2374" t="s">
        <v>1445</v>
      </c>
      <c r="F8" s="2374" t="s">
        <v>1445</v>
      </c>
      <c r="G8" s="2374" t="s">
        <v>1447</v>
      </c>
      <c r="H8" s="2374" t="s">
        <v>3490</v>
      </c>
      <c r="I8" s="2662"/>
      <c r="J8" s="2671" t="s">
        <v>4475</v>
      </c>
      <c r="K8" s="2374" t="s">
        <v>2344</v>
      </c>
      <c r="L8" s="2664" t="s">
        <v>142</v>
      </c>
      <c r="M8" s="2664"/>
      <c r="N8" s="2374" t="s">
        <v>2307</v>
      </c>
      <c r="O8" s="2374" t="s">
        <v>4788</v>
      </c>
      <c r="P8" s="2374" t="s">
        <v>377</v>
      </c>
      <c r="Q8" s="2662"/>
      <c r="R8" s="2374" t="s">
        <v>2615</v>
      </c>
      <c r="S8" s="2374" t="s">
        <v>2617</v>
      </c>
      <c r="T8" s="415"/>
      <c r="W8" s="416"/>
      <c r="X8" s="2656"/>
      <c r="Y8" s="2656"/>
      <c r="Z8" s="2656"/>
      <c r="AA8" s="2656"/>
      <c r="AB8" s="2656"/>
      <c r="AC8" s="2656"/>
      <c r="AD8" s="2656"/>
      <c r="AE8" s="2656"/>
      <c r="AF8" s="2656"/>
      <c r="AG8" s="2656"/>
      <c r="AH8" s="2656"/>
      <c r="AI8" s="2656"/>
      <c r="AJ8" s="2656"/>
      <c r="AK8" s="2656"/>
      <c r="AL8" s="2656"/>
      <c r="AM8" s="2656"/>
      <c r="AN8" s="2656"/>
      <c r="AO8" s="2656"/>
      <c r="AP8" s="2656"/>
      <c r="AQ8" s="2656"/>
      <c r="AR8" s="2656"/>
      <c r="AS8" s="2656"/>
      <c r="AT8" s="2656"/>
      <c r="AU8" s="2656"/>
      <c r="AV8" s="2656"/>
      <c r="AW8" s="2656"/>
      <c r="AX8" s="2656"/>
      <c r="AY8" s="2656"/>
      <c r="AZ8" s="2656"/>
      <c r="BA8" s="2656"/>
      <c r="BB8" s="2656"/>
      <c r="BC8" s="2656"/>
      <c r="BD8" s="2656"/>
      <c r="BE8" s="2656"/>
      <c r="BF8" s="2656"/>
      <c r="BG8" s="2656"/>
      <c r="BH8" s="2656"/>
      <c r="BI8" s="2656"/>
      <c r="BJ8" s="2656"/>
      <c r="BK8" s="2656"/>
      <c r="BL8" s="2656"/>
      <c r="BM8" s="2656"/>
      <c r="BN8" s="2656"/>
      <c r="BO8" s="2656"/>
      <c r="BP8" s="2656"/>
      <c r="BQ8" s="2656"/>
      <c r="BR8" s="2656"/>
      <c r="BS8" s="2656"/>
      <c r="BT8" s="2656"/>
      <c r="BU8" s="2656"/>
      <c r="BV8" s="2656"/>
      <c r="BW8" s="2656"/>
      <c r="BX8" s="2656"/>
      <c r="BY8" s="2656"/>
      <c r="BZ8" s="2656"/>
      <c r="CA8" s="2656"/>
      <c r="CB8" s="2656"/>
      <c r="CC8" s="2656"/>
      <c r="CD8" s="2656"/>
      <c r="CE8" s="2656"/>
      <c r="CF8" s="2656"/>
      <c r="CG8" s="2656"/>
      <c r="CH8" s="2656"/>
      <c r="CI8" s="2656"/>
      <c r="CJ8" s="2656"/>
      <c r="CK8" s="2656"/>
      <c r="CL8" s="2656"/>
      <c r="CM8" s="2656"/>
      <c r="CN8" s="2656"/>
      <c r="CO8" s="2656"/>
      <c r="CP8" s="2656"/>
      <c r="CQ8" s="2656"/>
      <c r="CR8" s="2656"/>
      <c r="CS8" s="2656"/>
      <c r="CT8" s="2656"/>
      <c r="CU8" s="2656"/>
      <c r="CV8" s="2656"/>
      <c r="CW8" s="2656"/>
      <c r="CX8" s="2656"/>
      <c r="CY8" s="2656"/>
      <c r="CZ8" s="2656"/>
      <c r="DA8" s="2656"/>
      <c r="DB8" s="2656"/>
      <c r="DC8" s="2656"/>
      <c r="DD8" s="2656"/>
      <c r="DE8" s="2656"/>
      <c r="DF8" s="2656"/>
      <c r="DG8" s="2656"/>
      <c r="DH8" s="2656"/>
      <c r="DI8" s="2656"/>
      <c r="DJ8" s="2656"/>
      <c r="DK8" s="2656"/>
      <c r="DL8" s="2656"/>
      <c r="DM8" s="2656"/>
      <c r="DN8" s="2656"/>
      <c r="DO8" s="2656"/>
      <c r="DP8" s="2656"/>
      <c r="DQ8" s="2656"/>
      <c r="DR8" s="2656"/>
      <c r="DS8" s="2656"/>
      <c r="DT8" s="2656"/>
      <c r="DU8" s="2656"/>
      <c r="DV8" s="2656"/>
      <c r="DW8" s="2656"/>
      <c r="DX8" s="2656"/>
      <c r="DY8" s="2656"/>
      <c r="DZ8" s="2656"/>
      <c r="EA8" s="2656"/>
      <c r="EB8" s="2656"/>
      <c r="EC8" s="2656"/>
      <c r="ED8" s="2656"/>
      <c r="EE8" s="2656"/>
      <c r="EF8" s="2656"/>
      <c r="EG8" s="2656"/>
      <c r="EH8" s="2656"/>
      <c r="EI8" s="2656"/>
      <c r="EJ8" s="2656"/>
      <c r="EK8" s="2656"/>
      <c r="EL8" s="2656"/>
      <c r="EM8" s="2656"/>
      <c r="EN8" s="2656"/>
      <c r="EO8" s="2656"/>
      <c r="EP8" s="2656"/>
      <c r="EQ8" s="2656"/>
      <c r="ER8" s="2656"/>
      <c r="ES8" s="2655"/>
      <c r="ET8" s="2655"/>
      <c r="EU8" s="2655"/>
      <c r="EV8" s="2655"/>
      <c r="EW8" s="2655"/>
      <c r="EX8" s="2655"/>
      <c r="EY8" s="2655"/>
      <c r="EZ8" s="2655"/>
      <c r="FA8" s="2655"/>
      <c r="FB8" s="2655"/>
      <c r="FC8" s="2656"/>
      <c r="FD8" s="2656"/>
      <c r="FE8" s="2656"/>
      <c r="FF8" s="2656"/>
      <c r="FG8" s="2656"/>
      <c r="FH8" s="2655"/>
      <c r="FI8" s="2655"/>
      <c r="FJ8" s="2655"/>
      <c r="FK8" s="2655"/>
      <c r="FL8" s="2655"/>
      <c r="FM8" s="2656"/>
      <c r="FN8" s="2656"/>
      <c r="FO8" s="2656"/>
      <c r="FP8" s="2656"/>
      <c r="FQ8" s="2656"/>
      <c r="FR8" s="2655"/>
      <c r="FS8" s="2655"/>
      <c r="FT8" s="2655"/>
      <c r="FU8" s="2655"/>
      <c r="FV8" s="2655"/>
      <c r="FW8" s="2655"/>
      <c r="FX8" s="2655"/>
      <c r="FY8" s="2655"/>
      <c r="FZ8" s="2655"/>
      <c r="GA8" s="2655"/>
      <c r="GB8" s="2655"/>
      <c r="GC8" s="2655"/>
      <c r="GD8" s="2655"/>
      <c r="GE8" s="2655"/>
      <c r="GF8" s="2655"/>
      <c r="GG8" s="2655"/>
      <c r="GH8" s="2655"/>
      <c r="GI8" s="2655"/>
      <c r="GJ8" s="2655"/>
      <c r="GK8" s="2655"/>
      <c r="GL8" s="2655"/>
      <c r="GM8" s="2655"/>
      <c r="GN8" s="2655"/>
      <c r="GO8" s="2655"/>
      <c r="GP8" s="2655"/>
      <c r="GQ8" s="2655"/>
      <c r="GR8" s="2655"/>
      <c r="GS8" s="2655"/>
      <c r="GT8" s="2655"/>
      <c r="GU8" s="2655"/>
      <c r="GV8" s="2655"/>
      <c r="GW8" s="2655"/>
      <c r="GX8" s="2655"/>
      <c r="GY8" s="2655"/>
      <c r="GZ8" s="2655"/>
      <c r="HA8" s="2655"/>
      <c r="HB8" s="2655"/>
      <c r="HC8" s="2655"/>
      <c r="HD8" s="2655"/>
      <c r="HE8" s="2655"/>
      <c r="HF8" s="2655"/>
      <c r="HG8" s="2655"/>
      <c r="HH8" s="2655"/>
      <c r="HI8" s="2655"/>
      <c r="HJ8" s="2655"/>
      <c r="HK8" s="2655"/>
      <c r="HL8" s="2655"/>
      <c r="HM8" s="2655"/>
      <c r="HN8" s="2655"/>
      <c r="HO8" s="2655"/>
      <c r="HP8" s="2655"/>
      <c r="HQ8" s="2655"/>
      <c r="HR8" s="2655"/>
      <c r="HS8" s="2655"/>
      <c r="HT8" s="2655"/>
      <c r="HU8" s="2655"/>
      <c r="HV8" s="2655"/>
      <c r="HW8" s="2655"/>
      <c r="HX8" s="2655"/>
      <c r="HY8" s="2655"/>
      <c r="HZ8" s="2655" t="s">
        <v>1433</v>
      </c>
      <c r="IA8" s="2246" t="s">
        <v>2377</v>
      </c>
      <c r="IB8" s="2246" t="s">
        <v>2378</v>
      </c>
      <c r="IC8" s="2246" t="s">
        <v>2379</v>
      </c>
      <c r="ID8" s="2246" t="s">
        <v>2380</v>
      </c>
      <c r="IE8" s="2655" t="s">
        <v>2432</v>
      </c>
      <c r="IF8" s="2655" t="s">
        <v>2432</v>
      </c>
      <c r="IG8" s="2655" t="s">
        <v>2432</v>
      </c>
      <c r="IH8" s="2655" t="s">
        <v>2432</v>
      </c>
      <c r="II8" s="2655" t="s">
        <v>2432</v>
      </c>
      <c r="IJ8" s="2655" t="s">
        <v>3260</v>
      </c>
      <c r="IK8" s="2655" t="s">
        <v>3260</v>
      </c>
      <c r="IL8" s="2655" t="s">
        <v>3260</v>
      </c>
      <c r="IM8" s="2655" t="s">
        <v>3260</v>
      </c>
      <c r="IN8" s="2655" t="s">
        <v>3260</v>
      </c>
      <c r="IO8" s="2246" t="s">
        <v>551</v>
      </c>
      <c r="IP8" s="2246" t="s">
        <v>2377</v>
      </c>
      <c r="IQ8" s="2246" t="s">
        <v>2378</v>
      </c>
      <c r="IR8" s="2246" t="s">
        <v>2379</v>
      </c>
      <c r="IS8" s="2246" t="s">
        <v>2380</v>
      </c>
      <c r="IT8" s="2246" t="s">
        <v>551</v>
      </c>
      <c r="IU8" s="2246" t="s">
        <v>2377</v>
      </c>
      <c r="IV8" s="2246" t="s">
        <v>2378</v>
      </c>
      <c r="IW8" s="2246" t="s">
        <v>2379</v>
      </c>
      <c r="IX8" s="2246" t="s">
        <v>2380</v>
      </c>
      <c r="IY8" s="2655" t="s">
        <v>2434</v>
      </c>
      <c r="IZ8" s="2655" t="s">
        <v>2434</v>
      </c>
      <c r="JA8" s="2655" t="s">
        <v>2434</v>
      </c>
      <c r="JB8" s="2655" t="s">
        <v>2434</v>
      </c>
      <c r="JC8" s="2655" t="s">
        <v>2434</v>
      </c>
      <c r="JD8" s="2655" t="s">
        <v>3256</v>
      </c>
      <c r="JE8" s="2655" t="s">
        <v>3256</v>
      </c>
      <c r="JF8" s="2655" t="s">
        <v>3256</v>
      </c>
      <c r="JG8" s="2655" t="s">
        <v>3256</v>
      </c>
      <c r="JH8" s="2655" t="s">
        <v>3256</v>
      </c>
      <c r="JI8" s="2655" t="s">
        <v>352</v>
      </c>
      <c r="JJ8" s="2655" t="s">
        <v>352</v>
      </c>
      <c r="JK8" s="2655" t="s">
        <v>352</v>
      </c>
      <c r="JL8" s="2655" t="s">
        <v>352</v>
      </c>
      <c r="JM8" s="2655" t="s">
        <v>352</v>
      </c>
      <c r="JN8" s="2655" t="s">
        <v>3255</v>
      </c>
      <c r="JO8" s="2655" t="s">
        <v>3255</v>
      </c>
      <c r="JP8" s="2655" t="s">
        <v>3255</v>
      </c>
      <c r="JQ8" s="2655" t="s">
        <v>3255</v>
      </c>
      <c r="JR8" s="2655" t="s">
        <v>3255</v>
      </c>
      <c r="JS8" s="2655" t="s">
        <v>353</v>
      </c>
      <c r="JT8" s="2655" t="s">
        <v>353</v>
      </c>
      <c r="JU8" s="2655" t="s">
        <v>353</v>
      </c>
      <c r="JV8" s="2655" t="s">
        <v>353</v>
      </c>
      <c r="JW8" s="2655" t="s">
        <v>353</v>
      </c>
      <c r="JX8" s="2655" t="s">
        <v>3254</v>
      </c>
      <c r="JY8" s="2655" t="s">
        <v>3254</v>
      </c>
      <c r="JZ8" s="2655" t="s">
        <v>3254</v>
      </c>
      <c r="KA8" s="2655" t="s">
        <v>3254</v>
      </c>
      <c r="KB8" s="2655" t="s">
        <v>3254</v>
      </c>
      <c r="KC8" s="2655" t="s">
        <v>354</v>
      </c>
      <c r="KD8" s="2655" t="s">
        <v>354</v>
      </c>
      <c r="KE8" s="2655" t="s">
        <v>354</v>
      </c>
      <c r="KF8" s="2655" t="s">
        <v>354</v>
      </c>
      <c r="KG8" s="2655" t="s">
        <v>354</v>
      </c>
      <c r="KH8" s="2655" t="s">
        <v>3257</v>
      </c>
      <c r="KI8" s="2655" t="s">
        <v>3257</v>
      </c>
      <c r="KJ8" s="2655" t="s">
        <v>3257</v>
      </c>
      <c r="KK8" s="2655" t="s">
        <v>3257</v>
      </c>
      <c r="KL8" s="2655" t="s">
        <v>3257</v>
      </c>
      <c r="KM8" s="2655" t="s">
        <v>355</v>
      </c>
      <c r="KN8" s="2655" t="s">
        <v>355</v>
      </c>
      <c r="KO8" s="2655" t="s">
        <v>355</v>
      </c>
      <c r="KP8" s="2655" t="s">
        <v>355</v>
      </c>
      <c r="KQ8" s="2655" t="s">
        <v>355</v>
      </c>
      <c r="KR8" s="2655" t="s">
        <v>3258</v>
      </c>
      <c r="KS8" s="2655" t="s">
        <v>3258</v>
      </c>
      <c r="KT8" s="2655" t="s">
        <v>3258</v>
      </c>
      <c r="KU8" s="2655" t="s">
        <v>3258</v>
      </c>
      <c r="KV8" s="2655" t="s">
        <v>3258</v>
      </c>
      <c r="KW8" s="2655" t="s">
        <v>1432</v>
      </c>
      <c r="KX8" s="2655" t="s">
        <v>1432</v>
      </c>
      <c r="KY8" s="2655" t="s">
        <v>1432</v>
      </c>
      <c r="KZ8" s="2655" t="s">
        <v>1432</v>
      </c>
      <c r="LA8" s="2655" t="s">
        <v>1432</v>
      </c>
      <c r="LB8" s="2655" t="s">
        <v>3259</v>
      </c>
      <c r="LC8" s="2655" t="s">
        <v>3259</v>
      </c>
      <c r="LD8" s="2655" t="s">
        <v>3259</v>
      </c>
      <c r="LE8" s="2655" t="s">
        <v>3259</v>
      </c>
      <c r="LF8" s="2655" t="s">
        <v>3259</v>
      </c>
      <c r="LG8" s="2655" t="s">
        <v>4794</v>
      </c>
      <c r="LH8" s="2655" t="s">
        <v>4794</v>
      </c>
      <c r="LI8" s="2655" t="s">
        <v>4794</v>
      </c>
      <c r="LJ8" s="2655" t="s">
        <v>4794</v>
      </c>
      <c r="LK8" s="2655" t="s">
        <v>4794</v>
      </c>
      <c r="LL8" s="2655" t="s">
        <v>4795</v>
      </c>
      <c r="LM8" s="2655" t="s">
        <v>4795</v>
      </c>
      <c r="LN8" s="2655" t="s">
        <v>4795</v>
      </c>
      <c r="LO8" s="2655" t="s">
        <v>4795</v>
      </c>
      <c r="LP8" s="2655" t="s">
        <v>4795</v>
      </c>
      <c r="LQ8" s="2655"/>
      <c r="LR8" s="2655"/>
      <c r="LS8" s="2655"/>
      <c r="LT8" s="2655"/>
      <c r="LU8" s="2655"/>
      <c r="LV8" s="2655"/>
      <c r="LW8" s="2655"/>
      <c r="LX8" s="2655"/>
      <c r="LY8" s="2655"/>
      <c r="LZ8" s="2655"/>
      <c r="MA8" s="2655"/>
      <c r="MB8" s="2655"/>
      <c r="MC8" s="2655"/>
      <c r="MD8" s="2655"/>
      <c r="ME8" s="2655"/>
      <c r="MF8" s="2655"/>
      <c r="MG8" s="2655"/>
      <c r="MH8" s="2655"/>
      <c r="MI8" s="2655"/>
      <c r="MJ8" s="2655"/>
      <c r="MK8" s="2655"/>
      <c r="ML8" s="2655"/>
      <c r="MM8" s="2655"/>
      <c r="MN8" s="2655"/>
      <c r="MO8" s="2655"/>
      <c r="MP8" s="2655"/>
      <c r="MQ8" s="2655"/>
      <c r="MR8" s="2655"/>
      <c r="MS8" s="2655"/>
      <c r="MT8" s="2655"/>
      <c r="MU8" s="2665"/>
      <c r="MV8" s="2665"/>
      <c r="MW8" s="2665"/>
      <c r="MX8" s="2665"/>
      <c r="MY8" s="2665"/>
      <c r="MZ8" s="2655"/>
      <c r="NA8" s="2655"/>
      <c r="NB8" s="2655"/>
      <c r="NC8" s="2655"/>
      <c r="ND8" s="2655"/>
      <c r="NE8" s="89"/>
      <c r="NF8" s="89"/>
      <c r="NG8" s="89"/>
      <c r="NH8" s="89"/>
      <c r="NI8" s="89"/>
      <c r="NJ8" s="89"/>
      <c r="NK8" s="89"/>
      <c r="NL8" s="89"/>
      <c r="NM8" s="89"/>
      <c r="NN8" s="89"/>
      <c r="NO8" s="89"/>
      <c r="NP8" s="89"/>
      <c r="NQ8" s="89"/>
      <c r="NR8" s="89"/>
      <c r="NS8" s="89"/>
      <c r="NT8" s="89"/>
      <c r="NU8" s="89"/>
      <c r="NV8" s="89"/>
      <c r="NW8" s="89"/>
      <c r="NX8" s="89"/>
      <c r="NY8" s="89"/>
      <c r="NZ8" s="89"/>
      <c r="OA8" s="89"/>
      <c r="OB8" s="89"/>
      <c r="OC8" s="89"/>
      <c r="OD8" s="89"/>
      <c r="OE8" s="89"/>
      <c r="OF8" s="89"/>
      <c r="OG8" s="89"/>
      <c r="OH8" s="89"/>
      <c r="OI8" s="89"/>
      <c r="OJ8" s="89"/>
      <c r="OK8" s="89"/>
      <c r="OL8" s="89"/>
      <c r="OM8" s="89"/>
      <c r="ON8" s="89"/>
      <c r="OO8" s="89"/>
      <c r="OP8" s="89"/>
      <c r="OQ8" s="89"/>
      <c r="OR8" s="89"/>
      <c r="OS8" s="89"/>
      <c r="OT8" s="89"/>
      <c r="OU8" s="89"/>
      <c r="OV8" s="89"/>
      <c r="OW8" s="89"/>
      <c r="OX8" s="89"/>
      <c r="OY8" s="89"/>
      <c r="OZ8" s="89"/>
      <c r="PA8" s="89"/>
      <c r="PB8" s="89"/>
      <c r="PC8" s="89"/>
      <c r="PD8" s="89"/>
      <c r="PE8" s="89"/>
      <c r="PF8" s="89"/>
      <c r="PG8" s="89"/>
      <c r="PH8" s="89"/>
      <c r="PI8" s="89"/>
      <c r="PJ8" s="89"/>
      <c r="PK8" s="89"/>
      <c r="PL8" s="89"/>
      <c r="PM8" s="89"/>
      <c r="PN8" s="89"/>
      <c r="PO8" s="89"/>
      <c r="PP8" s="89"/>
      <c r="PQ8" s="89"/>
      <c r="PR8" s="89"/>
      <c r="PS8" s="89"/>
      <c r="PT8" s="89"/>
      <c r="PU8" s="89"/>
      <c r="PV8" s="89"/>
      <c r="PW8" s="89"/>
      <c r="PX8" s="89"/>
      <c r="PY8" s="89"/>
      <c r="PZ8" s="89"/>
      <c r="QA8" s="89"/>
      <c r="QB8" s="89"/>
      <c r="QC8" s="89"/>
      <c r="QD8" s="89"/>
      <c r="QE8" s="89"/>
      <c r="QF8" s="89"/>
      <c r="QG8" s="89"/>
      <c r="QH8" s="89"/>
      <c r="QI8" s="89"/>
      <c r="QJ8" s="89"/>
      <c r="QK8" s="89"/>
      <c r="QL8" s="89"/>
      <c r="QM8" s="89"/>
      <c r="QN8" s="89"/>
      <c r="QO8" s="89"/>
      <c r="QP8" s="89"/>
      <c r="QQ8" s="89"/>
      <c r="QR8" s="89"/>
      <c r="QS8" s="89"/>
      <c r="QT8" s="89"/>
      <c r="QU8" s="89"/>
      <c r="QV8" s="89"/>
      <c r="QW8" s="89"/>
      <c r="QX8" s="89"/>
      <c r="QY8" s="89"/>
      <c r="QZ8" s="89"/>
      <c r="RA8" s="89"/>
      <c r="RB8" s="89"/>
      <c r="RC8" s="89"/>
      <c r="RD8" s="89"/>
      <c r="RE8" s="89"/>
      <c r="RF8" s="89"/>
      <c r="RG8" s="89"/>
      <c r="RH8" s="89"/>
      <c r="RI8" s="89"/>
      <c r="RJ8" s="89"/>
      <c r="RK8" s="89"/>
      <c r="RL8" s="89"/>
      <c r="RM8" s="89"/>
      <c r="RN8" s="89"/>
      <c r="RO8" s="89"/>
      <c r="RP8" s="89"/>
      <c r="RQ8" s="89"/>
      <c r="RR8" s="89"/>
      <c r="RS8" s="89"/>
      <c r="RT8" s="89"/>
      <c r="RU8" s="89"/>
      <c r="RV8" s="89"/>
      <c r="RW8" s="89"/>
      <c r="RX8" s="89"/>
      <c r="RY8" s="89"/>
      <c r="RZ8" s="89"/>
      <c r="SA8" s="89"/>
      <c r="SB8" s="89"/>
      <c r="SC8" s="89"/>
      <c r="SD8" s="89"/>
      <c r="SE8" s="89"/>
      <c r="SF8" s="89"/>
      <c r="SG8" s="89"/>
      <c r="SH8" s="89"/>
      <c r="SI8" s="89"/>
    </row>
    <row r="9" spans="1:503" s="111" customFormat="1" ht="11.25" customHeight="1">
      <c r="A9" s="2668"/>
      <c r="B9" s="1538" t="s">
        <v>4521</v>
      </c>
      <c r="C9" s="2374" t="s">
        <v>167</v>
      </c>
      <c r="D9" s="2374" t="s">
        <v>169</v>
      </c>
      <c r="E9" s="2374" t="s">
        <v>1446</v>
      </c>
      <c r="F9" s="2374" t="s">
        <v>1253</v>
      </c>
      <c r="G9" s="2374" t="s">
        <v>3491</v>
      </c>
      <c r="H9" s="2374" t="s">
        <v>1447</v>
      </c>
      <c r="I9" s="2667"/>
      <c r="J9" s="2672"/>
      <c r="K9" s="444" t="s">
        <v>344</v>
      </c>
      <c r="L9" s="2374" t="s">
        <v>1498</v>
      </c>
      <c r="M9" s="2374" t="s">
        <v>524</v>
      </c>
      <c r="N9" s="2374" t="s">
        <v>1445</v>
      </c>
      <c r="O9" s="2374" t="s">
        <v>3210</v>
      </c>
      <c r="P9" s="2374" t="s">
        <v>378</v>
      </c>
      <c r="Q9" s="2667"/>
      <c r="R9" s="2374" t="s">
        <v>1447</v>
      </c>
      <c r="S9" s="2374" t="s">
        <v>2618</v>
      </c>
      <c r="T9" s="31" t="s">
        <v>1799</v>
      </c>
      <c r="W9" s="31"/>
      <c r="X9" s="2656"/>
      <c r="Y9" s="2656"/>
      <c r="Z9" s="2656"/>
      <c r="AA9" s="2656"/>
      <c r="AB9" s="2656"/>
      <c r="AC9" s="2656"/>
      <c r="AD9" s="2656"/>
      <c r="AE9" s="2656"/>
      <c r="AF9" s="2656"/>
      <c r="AG9" s="2656"/>
      <c r="AH9" s="2656"/>
      <c r="AI9" s="2656"/>
      <c r="AJ9" s="2656"/>
      <c r="AK9" s="2656"/>
      <c r="AL9" s="2656"/>
      <c r="AM9" s="2656"/>
      <c r="AN9" s="2656"/>
      <c r="AO9" s="2656"/>
      <c r="AP9" s="2656"/>
      <c r="AQ9" s="2656"/>
      <c r="AR9" s="2656"/>
      <c r="AS9" s="2656"/>
      <c r="AT9" s="2656"/>
      <c r="AU9" s="2656"/>
      <c r="AV9" s="2656"/>
      <c r="AW9" s="2656"/>
      <c r="AX9" s="2656"/>
      <c r="AY9" s="2656"/>
      <c r="AZ9" s="2656"/>
      <c r="BA9" s="2656"/>
      <c r="BB9" s="2656"/>
      <c r="BC9" s="2656"/>
      <c r="BD9" s="2656"/>
      <c r="BE9" s="2656"/>
      <c r="BF9" s="2656"/>
      <c r="BG9" s="2656"/>
      <c r="BH9" s="2656"/>
      <c r="BI9" s="2656"/>
      <c r="BJ9" s="2656"/>
      <c r="BK9" s="2656"/>
      <c r="BL9" s="2656"/>
      <c r="BM9" s="2656"/>
      <c r="BN9" s="2656"/>
      <c r="BO9" s="2656"/>
      <c r="BP9" s="2656"/>
      <c r="BQ9" s="2656"/>
      <c r="BR9" s="2656"/>
      <c r="BS9" s="2656"/>
      <c r="BT9" s="2656"/>
      <c r="BU9" s="2656"/>
      <c r="BV9" s="2656"/>
      <c r="BW9" s="2656"/>
      <c r="BX9" s="2656"/>
      <c r="BY9" s="2656"/>
      <c r="BZ9" s="2656"/>
      <c r="CA9" s="2656"/>
      <c r="CB9" s="2656"/>
      <c r="CC9" s="2656"/>
      <c r="CD9" s="2656"/>
      <c r="CE9" s="2656"/>
      <c r="CF9" s="2656"/>
      <c r="CG9" s="2656"/>
      <c r="CH9" s="2656"/>
      <c r="CI9" s="2656"/>
      <c r="CJ9" s="2656"/>
      <c r="CK9" s="2656"/>
      <c r="CL9" s="2656"/>
      <c r="CM9" s="2656"/>
      <c r="CN9" s="2656"/>
      <c r="CO9" s="2656"/>
      <c r="CP9" s="2656"/>
      <c r="CQ9" s="2656"/>
      <c r="CR9" s="2656"/>
      <c r="CS9" s="2656"/>
      <c r="CT9" s="2656"/>
      <c r="CU9" s="2656"/>
      <c r="CV9" s="2656"/>
      <c r="CW9" s="2656"/>
      <c r="CX9" s="2656"/>
      <c r="CY9" s="2656"/>
      <c r="CZ9" s="2656"/>
      <c r="DA9" s="2656"/>
      <c r="DB9" s="2656"/>
      <c r="DC9" s="2656"/>
      <c r="DD9" s="2656"/>
      <c r="DE9" s="2656"/>
      <c r="DF9" s="2656"/>
      <c r="DG9" s="2656"/>
      <c r="DH9" s="2656"/>
      <c r="DI9" s="2656"/>
      <c r="DJ9" s="2656"/>
      <c r="DK9" s="2656"/>
      <c r="DL9" s="2656"/>
      <c r="DM9" s="2656"/>
      <c r="DN9" s="2656"/>
      <c r="DO9" s="2656"/>
      <c r="DP9" s="2656"/>
      <c r="DQ9" s="2656"/>
      <c r="DR9" s="2656"/>
      <c r="DS9" s="2656"/>
      <c r="DT9" s="2656"/>
      <c r="DU9" s="2656"/>
      <c r="DV9" s="2656"/>
      <c r="DW9" s="2656"/>
      <c r="DX9" s="2656"/>
      <c r="DY9" s="2656"/>
      <c r="DZ9" s="2656"/>
      <c r="EA9" s="2656"/>
      <c r="EB9" s="2656"/>
      <c r="EC9" s="2656"/>
      <c r="ED9" s="2656"/>
      <c r="EE9" s="2656"/>
      <c r="EF9" s="2656"/>
      <c r="EG9" s="2656"/>
      <c r="EH9" s="2656"/>
      <c r="EI9" s="2656"/>
      <c r="EJ9" s="2656"/>
      <c r="EK9" s="2656"/>
      <c r="EL9" s="2656"/>
      <c r="EM9" s="2656"/>
      <c r="EN9" s="2656"/>
      <c r="EO9" s="2656"/>
      <c r="EP9" s="2656"/>
      <c r="EQ9" s="2656"/>
      <c r="ER9" s="2656"/>
      <c r="ES9" s="2655"/>
      <c r="ET9" s="2655"/>
      <c r="EU9" s="2655"/>
      <c r="EV9" s="2655"/>
      <c r="EW9" s="2655"/>
      <c r="EX9" s="2655"/>
      <c r="EY9" s="2655"/>
      <c r="EZ9" s="2655"/>
      <c r="FA9" s="2655"/>
      <c r="FB9" s="2655"/>
      <c r="FC9" s="2656"/>
      <c r="FD9" s="2656"/>
      <c r="FE9" s="2656"/>
      <c r="FF9" s="2656"/>
      <c r="FG9" s="2656"/>
      <c r="FH9" s="2655"/>
      <c r="FI9" s="2655"/>
      <c r="FJ9" s="2655"/>
      <c r="FK9" s="2655"/>
      <c r="FL9" s="2655"/>
      <c r="FM9" s="2656"/>
      <c r="FN9" s="2656"/>
      <c r="FO9" s="2656"/>
      <c r="FP9" s="2656"/>
      <c r="FQ9" s="2656"/>
      <c r="FR9" s="2655"/>
      <c r="FS9" s="2655"/>
      <c r="FT9" s="2655"/>
      <c r="FU9" s="2655"/>
      <c r="FV9" s="2655"/>
      <c r="FW9" s="2655"/>
      <c r="FX9" s="2655"/>
      <c r="FY9" s="2655"/>
      <c r="FZ9" s="2655"/>
      <c r="GA9" s="2655"/>
      <c r="GB9" s="2655"/>
      <c r="GC9" s="2655"/>
      <c r="GD9" s="2655"/>
      <c r="GE9" s="2655"/>
      <c r="GF9" s="2655"/>
      <c r="GG9" s="2655"/>
      <c r="GH9" s="2655"/>
      <c r="GI9" s="2655"/>
      <c r="GJ9" s="2655"/>
      <c r="GK9" s="2655"/>
      <c r="GL9" s="2655"/>
      <c r="GM9" s="2655"/>
      <c r="GN9" s="2655"/>
      <c r="GO9" s="2655"/>
      <c r="GP9" s="2655"/>
      <c r="GQ9" s="2655"/>
      <c r="GR9" s="2655"/>
      <c r="GS9" s="2655"/>
      <c r="GT9" s="2655"/>
      <c r="GU9" s="2655"/>
      <c r="GV9" s="2655"/>
      <c r="GW9" s="2655"/>
      <c r="GX9" s="2655"/>
      <c r="GY9" s="2655"/>
      <c r="GZ9" s="2655"/>
      <c r="HA9" s="2655"/>
      <c r="HB9" s="2655"/>
      <c r="HC9" s="2655"/>
      <c r="HD9" s="2655"/>
      <c r="HE9" s="2655"/>
      <c r="HF9" s="2655"/>
      <c r="HG9" s="2655"/>
      <c r="HH9" s="2655"/>
      <c r="HI9" s="2655"/>
      <c r="HJ9" s="2655"/>
      <c r="HK9" s="2655"/>
      <c r="HL9" s="2655"/>
      <c r="HM9" s="2655"/>
      <c r="HN9" s="2655"/>
      <c r="HO9" s="2655"/>
      <c r="HP9" s="2655"/>
      <c r="HQ9" s="2655"/>
      <c r="HR9" s="2655"/>
      <c r="HS9" s="2655"/>
      <c r="HT9" s="2655"/>
      <c r="HU9" s="2655"/>
      <c r="HV9" s="2655"/>
      <c r="HW9" s="2655"/>
      <c r="HX9" s="2655"/>
      <c r="HY9" s="2655"/>
      <c r="HZ9" s="2655"/>
      <c r="IA9" s="2246" t="s">
        <v>2431</v>
      </c>
      <c r="IB9" s="2246" t="s">
        <v>2431</v>
      </c>
      <c r="IC9" s="2246" t="s">
        <v>2431</v>
      </c>
      <c r="ID9" s="2246" t="s">
        <v>2431</v>
      </c>
      <c r="IE9" s="2655"/>
      <c r="IF9" s="2655"/>
      <c r="IG9" s="2655"/>
      <c r="IH9" s="2655"/>
      <c r="II9" s="2655"/>
      <c r="IJ9" s="2655"/>
      <c r="IK9" s="2655"/>
      <c r="IL9" s="2655"/>
      <c r="IM9" s="2655"/>
      <c r="IN9" s="2655"/>
      <c r="IO9" s="2246" t="s">
        <v>2433</v>
      </c>
      <c r="IP9" s="2246" t="s">
        <v>2433</v>
      </c>
      <c r="IQ9" s="2246" t="s">
        <v>2433</v>
      </c>
      <c r="IR9" s="2246" t="s">
        <v>2433</v>
      </c>
      <c r="IS9" s="2246" t="s">
        <v>2433</v>
      </c>
      <c r="IT9" s="2246" t="s">
        <v>3261</v>
      </c>
      <c r="IU9" s="2246" t="s">
        <v>3261</v>
      </c>
      <c r="IV9" s="2246" t="s">
        <v>3261</v>
      </c>
      <c r="IW9" s="2246" t="s">
        <v>3261</v>
      </c>
      <c r="IX9" s="2246" t="s">
        <v>3261</v>
      </c>
      <c r="IY9" s="2655"/>
      <c r="IZ9" s="2655"/>
      <c r="JA9" s="2655"/>
      <c r="JB9" s="2655"/>
      <c r="JC9" s="2655"/>
      <c r="JD9" s="2655"/>
      <c r="JE9" s="2655"/>
      <c r="JF9" s="2655"/>
      <c r="JG9" s="2655"/>
      <c r="JH9" s="2655"/>
      <c r="JI9" s="2655"/>
      <c r="JJ9" s="2655"/>
      <c r="JK9" s="2655"/>
      <c r="JL9" s="2655"/>
      <c r="JM9" s="2655"/>
      <c r="JN9" s="2655"/>
      <c r="JO9" s="2655"/>
      <c r="JP9" s="2655"/>
      <c r="JQ9" s="2655"/>
      <c r="JR9" s="2655"/>
      <c r="JS9" s="2655"/>
      <c r="JT9" s="2655"/>
      <c r="JU9" s="2655"/>
      <c r="JV9" s="2655"/>
      <c r="JW9" s="2655"/>
      <c r="JX9" s="2655"/>
      <c r="JY9" s="2655"/>
      <c r="JZ9" s="2655"/>
      <c r="KA9" s="2655"/>
      <c r="KB9" s="2655"/>
      <c r="KC9" s="2655"/>
      <c r="KD9" s="2655"/>
      <c r="KE9" s="2655"/>
      <c r="KF9" s="2655"/>
      <c r="KG9" s="2655"/>
      <c r="KH9" s="2655"/>
      <c r="KI9" s="2655"/>
      <c r="KJ9" s="2655"/>
      <c r="KK9" s="2655"/>
      <c r="KL9" s="2655"/>
      <c r="KM9" s="2655"/>
      <c r="KN9" s="2655"/>
      <c r="KO9" s="2655"/>
      <c r="KP9" s="2655"/>
      <c r="KQ9" s="2655"/>
      <c r="KR9" s="2655"/>
      <c r="KS9" s="2655"/>
      <c r="KT9" s="2655"/>
      <c r="KU9" s="2655"/>
      <c r="KV9" s="2655"/>
      <c r="KW9" s="2655"/>
      <c r="KX9" s="2655"/>
      <c r="KY9" s="2655"/>
      <c r="KZ9" s="2655"/>
      <c r="LA9" s="2655"/>
      <c r="LB9" s="2655"/>
      <c r="LC9" s="2655"/>
      <c r="LD9" s="2655"/>
      <c r="LE9" s="2655"/>
      <c r="LF9" s="2655"/>
      <c r="LG9" s="2655"/>
      <c r="LH9" s="2655"/>
      <c r="LI9" s="2655"/>
      <c r="LJ9" s="2655"/>
      <c r="LK9" s="2655"/>
      <c r="LL9" s="2655"/>
      <c r="LM9" s="2655"/>
      <c r="LN9" s="2655"/>
      <c r="LO9" s="2655"/>
      <c r="LP9" s="2655"/>
      <c r="LQ9" s="2655"/>
      <c r="LR9" s="2655"/>
      <c r="LS9" s="2655"/>
      <c r="LT9" s="2655"/>
      <c r="LU9" s="2655"/>
      <c r="LV9" s="2655"/>
      <c r="LW9" s="2655"/>
      <c r="LX9" s="2655"/>
      <c r="LY9" s="2655"/>
      <c r="LZ9" s="2655"/>
      <c r="MA9" s="2655"/>
      <c r="MB9" s="2655"/>
      <c r="MC9" s="2655"/>
      <c r="MD9" s="2655"/>
      <c r="ME9" s="2655"/>
      <c r="MF9" s="2655"/>
      <c r="MG9" s="2655"/>
      <c r="MH9" s="2655"/>
      <c r="MI9" s="2655"/>
      <c r="MJ9" s="2655"/>
      <c r="MK9" s="2655"/>
      <c r="ML9" s="2655"/>
      <c r="MM9" s="2655"/>
      <c r="MN9" s="2655"/>
      <c r="MO9" s="2655"/>
      <c r="MP9" s="2655"/>
      <c r="MQ9" s="2655"/>
      <c r="MR9" s="2655"/>
      <c r="MS9" s="2655"/>
      <c r="MT9" s="2655"/>
      <c r="MU9" s="2665"/>
      <c r="MV9" s="2665"/>
      <c r="MW9" s="2665"/>
      <c r="MX9" s="2665"/>
      <c r="MY9" s="2665"/>
      <c r="MZ9" s="2655"/>
      <c r="NA9" s="2655"/>
      <c r="NB9" s="2655"/>
      <c r="NC9" s="2655"/>
      <c r="ND9" s="2655"/>
      <c r="NE9" s="89"/>
      <c r="NF9" s="89"/>
      <c r="NG9" s="89"/>
      <c r="NH9" s="89"/>
      <c r="NI9" s="89"/>
      <c r="NJ9" s="89"/>
      <c r="NK9" s="89"/>
      <c r="NL9" s="89"/>
      <c r="NM9" s="89"/>
      <c r="NN9" s="89"/>
      <c r="NO9" s="89"/>
      <c r="NP9" s="89"/>
      <c r="NQ9" s="89"/>
      <c r="NR9" s="89"/>
      <c r="NS9" s="89"/>
      <c r="NT9" s="89"/>
      <c r="NU9" s="89"/>
      <c r="NV9" s="89"/>
      <c r="NW9" s="89"/>
      <c r="NX9" s="89"/>
      <c r="NY9" s="89"/>
      <c r="NZ9" s="89"/>
      <c r="OA9" s="89"/>
      <c r="OB9" s="89"/>
      <c r="OC9" s="89"/>
      <c r="OD9" s="89"/>
      <c r="OE9" s="89"/>
      <c r="OF9" s="89"/>
      <c r="OG9" s="89"/>
      <c r="OH9" s="89"/>
      <c r="OI9" s="89"/>
      <c r="OJ9" s="89"/>
      <c r="OK9" s="89"/>
      <c r="OL9" s="89"/>
      <c r="OM9" s="89"/>
      <c r="ON9" s="89"/>
      <c r="OO9" s="89"/>
      <c r="OP9" s="89"/>
      <c r="OQ9" s="89"/>
      <c r="OR9" s="89"/>
      <c r="OS9" s="89"/>
      <c r="OT9" s="89"/>
      <c r="OU9" s="89"/>
      <c r="OV9" s="89"/>
      <c r="OW9" s="89"/>
      <c r="OX9" s="89"/>
      <c r="OY9" s="89"/>
      <c r="OZ9" s="89"/>
      <c r="PA9" s="89"/>
      <c r="PB9" s="89"/>
      <c r="PC9" s="89"/>
      <c r="PD9" s="89"/>
      <c r="PE9" s="89"/>
      <c r="PF9" s="89"/>
      <c r="PG9" s="89"/>
      <c r="PH9" s="89"/>
      <c r="PI9" s="89"/>
      <c r="PJ9" s="89"/>
      <c r="PK9" s="89"/>
      <c r="PL9" s="89"/>
      <c r="PM9" s="89"/>
      <c r="PN9" s="89"/>
      <c r="PO9" s="89"/>
      <c r="PP9" s="89"/>
      <c r="PQ9" s="89"/>
      <c r="PR9" s="89"/>
      <c r="PS9" s="89"/>
      <c r="PT9" s="89"/>
      <c r="PU9" s="89"/>
      <c r="PV9" s="89"/>
      <c r="PW9" s="89"/>
      <c r="PX9" s="89"/>
      <c r="PY9" s="89"/>
      <c r="PZ9" s="89"/>
      <c r="QA9" s="89"/>
      <c r="QB9" s="89"/>
      <c r="QC9" s="89"/>
      <c r="QD9" s="89"/>
      <c r="QE9" s="89"/>
      <c r="QF9" s="89"/>
      <c r="QG9" s="89"/>
      <c r="QH9" s="89"/>
      <c r="QI9" s="89"/>
      <c r="QJ9" s="89"/>
      <c r="QK9" s="89"/>
      <c r="QL9" s="89"/>
      <c r="QM9" s="89"/>
      <c r="QN9" s="89"/>
      <c r="QO9" s="89"/>
      <c r="QP9" s="89"/>
      <c r="QQ9" s="89"/>
      <c r="QR9" s="89"/>
      <c r="QS9" s="89"/>
      <c r="QT9" s="89"/>
      <c r="QU9" s="89"/>
      <c r="QV9" s="89"/>
      <c r="QW9" s="89"/>
      <c r="QX9" s="89"/>
      <c r="QY9" s="89"/>
      <c r="QZ9" s="89"/>
      <c r="RA9" s="89"/>
      <c r="RB9" s="89"/>
      <c r="RC9" s="89"/>
      <c r="RD9" s="89"/>
      <c r="RE9" s="89"/>
      <c r="RF9" s="89"/>
      <c r="RG9" s="89"/>
      <c r="RH9" s="89"/>
      <c r="RI9" s="89"/>
      <c r="RJ9" s="89"/>
      <c r="RK9" s="89"/>
      <c r="RL9" s="89"/>
      <c r="RM9" s="89"/>
      <c r="RN9" s="89"/>
      <c r="RO9" s="89"/>
      <c r="RP9" s="89"/>
      <c r="RQ9" s="89"/>
      <c r="RR9" s="89"/>
      <c r="RS9" s="89"/>
      <c r="RT9" s="89"/>
      <c r="RU9" s="89"/>
      <c r="RV9" s="89"/>
      <c r="RW9" s="89"/>
      <c r="RX9" s="89"/>
      <c r="RY9" s="89"/>
      <c r="RZ9" s="89"/>
      <c r="SA9" s="89"/>
      <c r="SB9" s="89"/>
      <c r="SC9" s="89"/>
      <c r="SD9" s="89"/>
      <c r="SE9" s="89"/>
      <c r="SF9" s="89"/>
      <c r="SG9" s="89"/>
      <c r="SH9" s="89"/>
      <c r="SI9" s="89"/>
    </row>
    <row r="10" spans="1:503" ht="13.95" customHeight="1">
      <c r="A10" s="109" t="str">
        <f>IF(AND(E10&gt;0,OR(B10="",C10="",D10="",F10="",G10="", H10="",I10="",N10="",O10="",P10="",Q10="")),1,"")</f>
        <v/>
      </c>
      <c r="B10" s="3972" t="s">
        <v>4118</v>
      </c>
      <c r="C10" s="3973"/>
      <c r="D10" s="3974"/>
      <c r="E10" s="3975"/>
      <c r="F10" s="3975"/>
      <c r="G10" s="3975"/>
      <c r="H10" s="3975"/>
      <c r="I10" s="3976"/>
      <c r="J10" s="3977"/>
      <c r="K10" s="3978"/>
      <c r="L10" s="566">
        <f t="shared" ref="L10:L47" si="0">MAX(0,H10-I10-J10)</f>
        <v>0</v>
      </c>
      <c r="M10" s="566">
        <f t="shared" ref="M10:M47" si="1">MAX(0,E10*L10)</f>
        <v>0</v>
      </c>
      <c r="N10" s="3979"/>
      <c r="O10" s="3979"/>
      <c r="P10" s="3979"/>
      <c r="Q10" s="3980"/>
      <c r="R10" s="3981"/>
      <c r="S10" s="3982"/>
      <c r="T10" s="3983"/>
      <c r="U10" s="3984"/>
      <c r="V10" s="3984"/>
      <c r="W10" s="3985"/>
      <c r="X10" s="443" t="str">
        <f t="shared" ref="X10:X47" si="2">IF(AND(C10="Efficiency",B10=80,NOT(N10="Common Space")),E10,"")</f>
        <v/>
      </c>
      <c r="Y10" s="443" t="str">
        <f t="shared" ref="Y10:Y47" si="3">IF(AND(C10=1,B10=80,NOT(N10="Common Space")),E10,"")</f>
        <v/>
      </c>
      <c r="Z10" s="443" t="str">
        <f t="shared" ref="Z10:Z47" si="4">IF(AND(C10=2,B10=80,NOT(N10="Common Space")),E10,"")</f>
        <v/>
      </c>
      <c r="AA10" s="443" t="str">
        <f t="shared" ref="AA10:AA47" si="5">IF(AND(C10=3,B10=80,NOT(N10="Common Space")),E10,"")</f>
        <v/>
      </c>
      <c r="AB10" s="443" t="str">
        <f t="shared" ref="AB10:AB47" si="6">IF(AND(C10=4,B10=80,NOT(N10="Common Space")),E10,"")</f>
        <v/>
      </c>
      <c r="AC10" s="443" t="str">
        <f t="shared" ref="AC10:AC47" si="7">IF(AND(C10="Efficiency",B10=70,NOT(N10="Common Space")),E10,"")</f>
        <v/>
      </c>
      <c r="AD10" s="443" t="str">
        <f t="shared" ref="AD10:AD47" si="8">IF(AND(C10=1,B10=70,NOT(N10="Common Space")),E10,"")</f>
        <v/>
      </c>
      <c r="AE10" s="443" t="str">
        <f t="shared" ref="AE10:AE47" si="9">IF(AND(C10=2,B10=70,NOT(N10="Common Space")),E10,"")</f>
        <v/>
      </c>
      <c r="AF10" s="443" t="str">
        <f t="shared" ref="AF10:AF47" si="10">IF(AND(C10=3,B10=70,NOT(N10="Common Space")),E10,"")</f>
        <v/>
      </c>
      <c r="AG10" s="443" t="str">
        <f t="shared" ref="AG10:AG47" si="11">IF(AND(C10=4,B10=70,NOT(N10="Common Space")),E10,"")</f>
        <v/>
      </c>
      <c r="AH10" s="443" t="str">
        <f t="shared" ref="AH10:AH47" si="12">IF(AND(C10="Efficiency",B10=60,NOT(N10="Common Space")),E10,"")</f>
        <v/>
      </c>
      <c r="AI10" s="443" t="str">
        <f t="shared" ref="AI10:AI47" si="13">IF(AND(C10=1,B10=60,NOT(N10="Common Space")),E10,"")</f>
        <v/>
      </c>
      <c r="AJ10" s="443" t="str">
        <f t="shared" ref="AJ10:AJ47" si="14">IF(AND(C10=2,B10=60,NOT(N10="Common Space")),E10,"")</f>
        <v/>
      </c>
      <c r="AK10" s="443" t="str">
        <f t="shared" ref="AK10:AK47" si="15">IF(AND(C10=3,B10=60,NOT(N10="Common Space")),E10,"")</f>
        <v/>
      </c>
      <c r="AL10" s="443" t="str">
        <f t="shared" ref="AL10:AL47" si="16">IF(AND(C10=4,B10=60,NOT(N10="Common Space")),E10,"")</f>
        <v/>
      </c>
      <c r="AM10" s="443" t="str">
        <f t="shared" ref="AM10:AM47" si="17">IF(AND(C10="Efficiency",B10=50,NOT(N10="Common Space")),E10,"")</f>
        <v/>
      </c>
      <c r="AN10" s="443" t="str">
        <f t="shared" ref="AN10:AN47" si="18">IF(AND(C10=1,B10=50,NOT(N10="Common Space")),E10,"")</f>
        <v/>
      </c>
      <c r="AO10" s="443" t="str">
        <f t="shared" ref="AO10:AO47" si="19">IF(AND(C10=2,B10=50,NOT(N10="Common Space")),E10,"")</f>
        <v/>
      </c>
      <c r="AP10" s="443" t="str">
        <f t="shared" ref="AP10:AP47" si="20">IF(AND(C10=3,B10=50,NOT(N10="Common Space")),E10,"")</f>
        <v/>
      </c>
      <c r="AQ10" s="443" t="str">
        <f t="shared" ref="AQ10:AQ47" si="21">IF(AND(C10=4,B10=50,NOT(N10="Common Space")),E10,"")</f>
        <v/>
      </c>
      <c r="AR10" s="443" t="str">
        <f t="shared" ref="AR10:AR47" si="22">IF(AND(C10="Efficiency",B10=40,NOT(N10="Common Space")),E10,"")</f>
        <v/>
      </c>
      <c r="AS10" s="443" t="str">
        <f t="shared" ref="AS10:AS47" si="23">IF(AND(C10=1,B10=40,NOT(N10="Common Space")),E10,"")</f>
        <v/>
      </c>
      <c r="AT10" s="443" t="str">
        <f t="shared" ref="AT10:AT47" si="24">IF(AND(C10=2,B10=40,NOT(N10="Common Space")),E10,"")</f>
        <v/>
      </c>
      <c r="AU10" s="443" t="str">
        <f t="shared" ref="AU10:AU47" si="25">IF(AND(C10=3,B10=40,NOT(N10="Common Space")),E10,"")</f>
        <v/>
      </c>
      <c r="AV10" s="443" t="str">
        <f t="shared" ref="AV10:AV47" si="26">IF(AND(C10=4,B10=40,NOT(N10="Common Space")),E10,"")</f>
        <v/>
      </c>
      <c r="AW10" s="443" t="str">
        <f t="shared" ref="AW10:AW47" si="27">IF(AND(C10="Efficiency",B10=30,NOT(N10="Common Space")),E10,"")</f>
        <v/>
      </c>
      <c r="AX10" s="443" t="str">
        <f t="shared" ref="AX10:AX47" si="28">IF(AND(C10=1,B10=30,NOT(N10="Common Space")),E10,"")</f>
        <v/>
      </c>
      <c r="AY10" s="443" t="str">
        <f t="shared" ref="AY10:AY47" si="29">IF(AND(C10=2,B10=30,NOT(N10="Common Space")),E10,"")</f>
        <v/>
      </c>
      <c r="AZ10" s="443" t="str">
        <f t="shared" ref="AZ10:AZ47" si="30">IF(AND(C10=3,B10=30,NOT(N10="Common Space")),E10,"")</f>
        <v/>
      </c>
      <c r="BA10" s="443" t="str">
        <f t="shared" ref="BA10:BA47" si="31">IF(AND(C10=4,B10=30,NOT(N10="Common Space")),E10,"")</f>
        <v/>
      </c>
      <c r="BB10" s="443" t="str">
        <f t="shared" ref="BB10:BB47" si="32">IF(AND(C10="Efficiency",B10=20,NOT(N10="Common Space")),E10,"")</f>
        <v/>
      </c>
      <c r="BC10" s="443" t="str">
        <f t="shared" ref="BC10:BC47" si="33">IF(AND(C10=1,B10=20,NOT(N10="Common Space")),E10,"")</f>
        <v/>
      </c>
      <c r="BD10" s="443" t="str">
        <f t="shared" ref="BD10:BD47" si="34">IF(AND(C10=2,B10=20,NOT(N10="Common Space")),E10,"")</f>
        <v/>
      </c>
      <c r="BE10" s="443" t="str">
        <f t="shared" ref="BE10:BE47" si="35">IF(AND(C10=3,B10=20,NOT(N10="Common Space")),E10,"")</f>
        <v/>
      </c>
      <c r="BF10" s="443" t="str">
        <f t="shared" ref="BF10:BF47" si="36">IF(AND(C10=4,B10=20,NOT(N10="Common Space")),E10,"")</f>
        <v/>
      </c>
      <c r="BG10" s="443" t="str">
        <f t="shared" ref="BG10:BG47" si="37">IF(AND(C10="Efficiency",B10="Unrestricted",NOT(N10="Common Space")),E10,"")</f>
        <v/>
      </c>
      <c r="BH10" s="443" t="str">
        <f t="shared" ref="BH10:BH47" si="38">IF(AND(C10=1,B10="Unrestricted",NOT(N10="Common Space")),E10,"")</f>
        <v/>
      </c>
      <c r="BI10" s="443" t="str">
        <f t="shared" ref="BI10:BI47" si="39">IF(AND(C10=2,B10="Unrestricted",NOT(N10="Common Space")),E10,"")</f>
        <v/>
      </c>
      <c r="BJ10" s="443" t="str">
        <f t="shared" ref="BJ10:BJ47" si="40">IF(AND(C10=3,B10="Unrestricted",NOT(N10="Common Space")),E10,"")</f>
        <v/>
      </c>
      <c r="BK10" s="443" t="str">
        <f t="shared" ref="BK10:BK47" si="41">IF(AND(C10=4,B10="Unrestricted",NOT(N10="Common Space")),E10,"")</f>
        <v/>
      </c>
      <c r="BL10" s="443" t="str">
        <f t="shared" ref="BL10:BL47" si="42">IF(OR(AND($C10="Efficiency",NOT($K10=""),NOT($K10="PHA Oper Sub"),$B10=20,NOT($N10="Common Space")),AND($C10="Efficiency",NOT($K10=""),NOT($K10="PHA Oper Sub"),$B10="HOME 20",NOT($N10="Common Space"))),$E10,"")</f>
        <v/>
      </c>
      <c r="BM10" s="443" t="str">
        <f t="shared" ref="BM10:BM47" si="43">IF(OR(AND($C10=1,NOT($K10=""),NOT($K10="PHA Oper Sub"),$B10=20,NOT($N10="Common Space")),AND($C10=1,NOT($K10=""),NOT($K10="PHA Oper Sub"),$B10="HOME 20",NOT($N10="Common Space"))),$E10,"")</f>
        <v/>
      </c>
      <c r="BN10" s="443" t="str">
        <f t="shared" ref="BN10:BN47" si="44">IF(OR(AND($C10=2,NOT($K10=""),NOT($K10="PHA Oper Sub"),$B10=20,NOT($N10="Common Space")),AND($C10=2,NOT($K10=""),NOT($K10="PHA Oper Sub"),$B10="HOME 20",NOT($N10="Common Space"))),$E10,"")</f>
        <v/>
      </c>
      <c r="BO10" s="443" t="str">
        <f t="shared" ref="BO10:BO47" si="45">IF(OR(AND($C10=3,NOT($K10=""),NOT($K10="PHA Oper Sub"),$B10=20,NOT($N10="Common Space")),AND($C10=3,NOT($K10=""),NOT($K10="PHA Oper Sub"),$B10="HOME 20",NOT($N10="Common Space"))),$E10,"")</f>
        <v/>
      </c>
      <c r="BP10" s="443" t="str">
        <f t="shared" ref="BP10:BP47" si="46">IF(OR(AND($C10=4,NOT($K10=""),NOT($K10="PHA Oper Sub"),$B10=20,NOT($N10="Common Space")),AND($C10=4,NOT($K10=""),NOT($K10="PHA Oper Sub"),$B10="HOME 20",NOT($N10="Common Space"))),$E10,"")</f>
        <v/>
      </c>
      <c r="BQ10" s="443" t="str">
        <f t="shared" ref="BQ10:BQ47" si="47">IF(OR(AND($C10="Efficiency",NOT($K10=""),NOT($K10="PHA Oper Sub"),$B10=30,NOT($N10="Common Space")),AND($C10="Efficiency",NOT($K10=""),NOT($K10="PHA Oper Sub"),$B10="HOME 30",NOT($N10="Common Space"))),$E10,"")</f>
        <v/>
      </c>
      <c r="BR10" s="443" t="str">
        <f t="shared" ref="BR10:BR47" si="48">IF(OR(AND($C10=1,NOT($K10=""),NOT($K10="PHA Oper Sub"),$B10=30,NOT($N10="Common Space")),AND($C10=1,NOT($K10=""),NOT($K10="PHA Oper Sub"),$B10="HOME 30",NOT($N10="Common Space"))),$E10,"")</f>
        <v/>
      </c>
      <c r="BS10" s="443" t="str">
        <f t="shared" ref="BS10:BS47" si="49">IF(OR(AND($C10=2,NOT($K10=""),NOT($K10="PHA Oper Sub"),$B10=30,NOT($N10="Common Space")),AND($C10=2,NOT($K10=""),NOT($K10="PHA Oper Sub"),$B10="HOME 30",NOT($N10="Common Space"))),$E10,"")</f>
        <v/>
      </c>
      <c r="BT10" s="443" t="str">
        <f t="shared" ref="BT10:BT47" si="50">IF(OR(AND($C10=3,NOT($K10=""),NOT($K10="PHA Oper Sub"),$B10=30,NOT($N10="Common Space")),AND($C10=3,NOT($K10=""),NOT($K10="PHA Oper Sub"),$B10="HOME 30",NOT($N10="Common Space"))),$E10,"")</f>
        <v/>
      </c>
      <c r="BU10" s="443" t="str">
        <f t="shared" ref="BU10:BU47" si="51">IF(OR(AND($C10=4,NOT($K10=""),NOT($K10="PHA Oper Sub"),$B10=30,NOT($N10="Common Space")),AND($C10=4,NOT($K10=""),NOT($K10="PHA Oper Sub"),$B10="HOME 30",NOT($N10="Common Space"))),$E10,"")</f>
        <v/>
      </c>
      <c r="BV10" s="443" t="str">
        <f t="shared" ref="BV10:BV47" si="52">IF(OR(AND($C10="Efficiency",NOT($K10=""),NOT($K10="PHA Oper Sub"),$B10=40,NOT($N10="Common Space")),AND($C10="Efficiency",NOT($K10=""),NOT($K10="PHA Oper Sub"),$B10="HOME 40",NOT($N10="Common Space"))),$E10,"")</f>
        <v/>
      </c>
      <c r="BW10" s="443" t="str">
        <f t="shared" ref="BW10:BW47" si="53">IF(OR(AND($C10=1,NOT($K10=""),NOT($K10="PHA Oper Sub"),$B10=40,NOT($N10="Common Space")),AND($C10=1,NOT($K10=""),NOT($K10="PHA Oper Sub"),$B10="HOME 40",NOT($N10="Common Space"))),$E10,"")</f>
        <v/>
      </c>
      <c r="BX10" s="443" t="str">
        <f t="shared" ref="BX10:BX47" si="54">IF(OR(AND($C10=2,NOT($K10=""),NOT($K10="PHA Oper Sub"),$B10=40,NOT($N10="Common Space")),AND($C10=2,NOT($K10=""),NOT($K10="PHA Oper Sub"),$B10="HOME 40",NOT($N10="Common Space"))),$E10,"")</f>
        <v/>
      </c>
      <c r="BY10" s="443" t="str">
        <f t="shared" ref="BY10:BY47" si="55">IF(OR(AND($C10=3,NOT($K10=""),NOT($K10="PHA Oper Sub"),$B10=40,NOT($N10="Common Space")),AND($C10=3,NOT($K10=""),NOT($K10="PHA Oper Sub"),$B10="HOME 40",NOT($N10="Common Space"))),$E10,"")</f>
        <v/>
      </c>
      <c r="BZ10" s="443" t="str">
        <f t="shared" ref="BZ10:BZ47" si="56">IF(OR(AND($C10=4,NOT($K10=""),NOT($K10="PHA Oper Sub"),$B10=40,NOT($N10="Common Space")),AND($C10=4,NOT($K10=""),NOT($K10="PHA Oper Sub"),$B10="HOME 40",NOT($N10="Common Space"))),$E10,"")</f>
        <v/>
      </c>
      <c r="CA10" s="443" t="str">
        <f t="shared" ref="CA10:CA47" si="57">IF(OR(AND($C10="Efficiency",NOT($K10=""),NOT($K10="PHA Oper Sub"),NOT($K10=0),$B10=50,NOT($N10="Common Space")),AND($C10="Efficiency",NOT($K10=""),NOT($K10=0),NOT($K10="PHA Oper Sub"),$B10="HOME 50",NOT($N10="Common Space"))),$E10,"")</f>
        <v/>
      </c>
      <c r="CB10" s="443" t="str">
        <f t="shared" ref="CB10:CB47" si="58">IF(OR(AND($C10=1,NOT($K10=""),NOT($K10=0),NOT($K10="PHA Oper Sub"),$B10=50,NOT($N10="Common Space")),AND($C10=1,NOT($K10=""),NOT($K10=0),NOT($K10="PHA Oper Sub"),$B10="HOME 50",NOT($N10="Common Space"))),$E10,"")</f>
        <v/>
      </c>
      <c r="CC10" s="443" t="str">
        <f t="shared" ref="CC10:CC47" si="59">IF(OR(AND($C10=2,NOT($K10=""),NOT($K10=0),NOT($K10="PHA Oper Sub"),$B10=50,NOT($N10="Common Space")),AND($C10=2,NOT($K10=""),NOT($K10=0),NOT($K10="PHA Oper Sub"),$B10="HOME 50",NOT($N10="Common Space"))),$E10,"")</f>
        <v/>
      </c>
      <c r="CD10" s="443" t="str">
        <f t="shared" ref="CD10:CD47" si="60">IF(OR(AND($C10=3,NOT($K10=""),NOT($K10=0),NOT($K10="PHA Oper Sub"),$B10=50,NOT($N10="Common Space")),AND($C10=3,NOT($K10=""),NOT($K10=0),NOT($K10="PHA Oper Sub"),$B10="HOME 50",NOT($N10="Common Space"))),$E10,"")</f>
        <v/>
      </c>
      <c r="CE10" s="443" t="str">
        <f t="shared" ref="CE10:CE47" si="61">IF(OR(AND($C10=4,NOT($K10=""),NOT($K10=0),NOT($K10="PHA Oper Sub"),$B10=50,NOT($N10="Common Space")),AND($C10=4,NOT($K10=""),NOT($K10=0),NOT($K10="PHA Oper Sub"),$B10="HOME 50",NOT($N10="Common Space"))),$E10,"")</f>
        <v/>
      </c>
      <c r="CF10" s="443" t="str">
        <f t="shared" ref="CF10:CF47" si="62">IF(OR(AND($C10="Efficiency",NOT($K10=""),NOT($K10=0),NOT($K10="PHA Oper Sub"),$B10=60,NOT($N10="Common Space")),AND($C10="Efficiency",NOT($K10=""),NOT($K10=0),NOT($K10="PHA Oper Sub"),$B10="HOME 60",NOT($N10="Common Space"))),$E10,"")</f>
        <v/>
      </c>
      <c r="CG10" s="443" t="str">
        <f t="shared" ref="CG10:CG47" si="63">IF(OR(AND($C10=1,NOT($K10=""),NOT($K10=0),NOT($K10="PHA Oper Sub"),$B10=60,NOT($N10="Common Space")),AND($C10=1,NOT($K10=""),NOT($K10=0),NOT($K10="PHA Oper Sub"),$B10="HOME 60",NOT($N10="Common Space"))),$E10,"")</f>
        <v/>
      </c>
      <c r="CH10" s="443" t="str">
        <f t="shared" ref="CH10:CH47" si="64">IF(OR(AND($C10=2,NOT($K10=""),NOT($K10=0),NOT($K10="PHA Oper Sub"),$B10=60,NOT($N10="Common Space")),AND($C10=2,NOT($K10=""),NOT($K10=0),NOT($K10="PHA Oper Sub"),$B10="HOME 60",NOT($N10="Common Space"))),$E10,"")</f>
        <v/>
      </c>
      <c r="CI10" s="443" t="str">
        <f t="shared" ref="CI10:CI47" si="65">IF(OR(AND($C10=3,NOT($K10=""),NOT($K10=0),NOT($K10="PHA Oper Sub"),$B10=60,NOT($N10="Common Space")),AND($C10=3,NOT($K10=""),NOT($K10=0),NOT($K10="PHA Oper Sub"),$B10="HOME 60",NOT($N10="Common Space"))),$E10,"")</f>
        <v/>
      </c>
      <c r="CJ10" s="443" t="str">
        <f t="shared" ref="CJ10:CJ47" si="66">IF(OR(AND($C10=4,NOT($K10=""),NOT($K10=0),NOT($K10="PHA Oper Sub"),$B10=60,NOT($N10="Common Space")),AND($C10=4,NOT($K10=""),NOT($K10=0),NOT($K10="PHA Oper Sub"),$B10="HOME 60",NOT($N10="Common Space"))),$E10,"")</f>
        <v/>
      </c>
      <c r="CK10" s="443" t="str">
        <f t="shared" ref="CK10:CK47" si="67">IF(OR(AND($C10="Efficiency",NOT($K10=""),NOT($K10="PHA Oper Sub"),$B10=70,NOT($N10="Common Space")),AND($C10="Efficiency",NOT($K10=""),NOT($K10="PHA Oper Sub"),$B10="HOME 70",NOT($N10="Common Space"))),$E10,"")</f>
        <v/>
      </c>
      <c r="CL10" s="443" t="str">
        <f t="shared" ref="CL10:CL47" si="68">IF(OR(AND($C10=1,NOT($K10=""),NOT($K10="PHA Oper Sub"),$B10=70,NOT($N10="Common Space")),AND($C10=1,NOT($K10=""),NOT($K10="PHA Oper Sub"),$B10="HOME 70",NOT($N10="Common Space"))),$E10,"")</f>
        <v/>
      </c>
      <c r="CM10" s="443" t="str">
        <f t="shared" ref="CM10:CM47" si="69">IF(OR(AND($C10=2,NOT($K10=""),NOT($K10="PHA Oper Sub"),$B10=70,NOT($N10="Common Space")),AND($C10=2,NOT($K10=""),NOT($K10="PHA Oper Sub"),$B10="HOME 70",NOT($N10="Common Space"))),$E10,"")</f>
        <v/>
      </c>
      <c r="CN10" s="443" t="str">
        <f t="shared" ref="CN10:CN47" si="70">IF(OR(AND($C10=3,NOT($K10=""),NOT($K10="PHA Oper Sub"),$B10=70,NOT($N10="Common Space")),AND($C10=3,NOT($K10=""),NOT($K10="PHA Oper Sub"),$B10="HOME 70",NOT($N10="Common Space"))),$E10,"")</f>
        <v/>
      </c>
      <c r="CO10" s="443" t="str">
        <f t="shared" ref="CO10:CO47" si="71">IF(OR(AND($C10=4,NOT($K10=""),NOT($K10="PHA Oper Sub"),$B10=70,NOT($N10="Common Space")),AND($C10=4,NOT($K10=""),NOT($K10="PHA Oper Sub"),$B10="HOME 70",NOT($N10="Common Space"))),$E10,"")</f>
        <v/>
      </c>
      <c r="CP10" s="443" t="str">
        <f t="shared" ref="CP10:CP47" si="72">IF(OR(AND($C10="Efficiency",NOT($K10=""),NOT($K10="PHA Oper Sub"),$B10=80,NOT($N10="Common Space")),AND($C10="Efficiency",NOT($K10=""),NOT($K10="PHA Oper Sub"),$B10="HOME 80",NOT($N10="Common Space"))),$E10,"")</f>
        <v/>
      </c>
      <c r="CQ10" s="443" t="str">
        <f t="shared" ref="CQ10:CQ47" si="73">IF(OR(AND($C10=1,NOT($K10=""),NOT($K10="PHA Oper Sub"),$B10=80,NOT($N10="Common Space")),AND($C10=1,NOT($K10=""),NOT($K10="PHA Oper Sub"),$B10="HOME 80",NOT($N10="Common Space"))),$E10,"")</f>
        <v/>
      </c>
      <c r="CR10" s="443" t="str">
        <f t="shared" ref="CR10:CR47" si="74">IF(OR(AND($C10=2,NOT($K10=""),NOT($K10="PHA Oper Sub"),$B10=80,NOT($N10="Common Space")),AND($C10=2,NOT($K10=""),NOT($K10="PHA Oper Sub"),$B10="HOME 80",NOT($N10="Common Space"))),$E10,"")</f>
        <v/>
      </c>
      <c r="CS10" s="443" t="str">
        <f t="shared" ref="CS10:CS47" si="75">IF(OR(AND($C10=3,NOT($K10=""),NOT($K10="PHA Oper Sub"),$B10=80,NOT($N10="Common Space")),AND($C10=3,NOT($K10=""),NOT($K10="PHA Oper Sub"),$B10="HOME 80",NOT($N10="Common Space"))),$E10,"")</f>
        <v/>
      </c>
      <c r="CT10" s="443" t="str">
        <f t="shared" ref="CT10:CT47" si="76">IF(OR(AND($C10=4,NOT($K10=""),NOT($K10="PHA Oper Sub"),$B10=80,NOT($N10="Common Space")),AND($C10=4,NOT($K10=""),NOT($K10="PHA Oper Sub"),$B10="HOME 80",NOT($N10="Common Space"))),$E10,"")</f>
        <v/>
      </c>
      <c r="CU10" s="443" t="str">
        <f t="shared" ref="CU10:CU47" si="77">IF(OR(AND($C10="Efficiency",$K10="PHA Oper Sub",$B10=20,NOT($N10="Common Space")),AND($C10="Efficiency",$K10="PHA Oper Sub",$B10="HOME 20",NOT($N10="Common Space"))),$E10,"")</f>
        <v/>
      </c>
      <c r="CV10" s="443" t="str">
        <f t="shared" ref="CV10:CV47" si="78">IF(OR(AND($C10=1,$K10="PHA Oper Sub",$B10=20,NOT($N10="Common Space")),AND($C10=1,$K10="PHA Oper Sub",$B10="HOME 20",NOT($N10="Common Space"))),$E10,"")</f>
        <v/>
      </c>
      <c r="CW10" s="443" t="str">
        <f t="shared" ref="CW10:CW47" si="79">IF(OR(AND($C10=2,$K10="PHA Oper Sub",$B10=20,NOT($N10="Common Space")),AND($C10=2,$K10="PHA Oper Sub",$B10="HOME 20",NOT($N10="Common Space"))),$E10,"")</f>
        <v/>
      </c>
      <c r="CX10" s="443" t="str">
        <f t="shared" ref="CX10:CX47" si="80">IF(OR(AND($C10=3,$K10="PHA Oper Sub",$B10=20,NOT($N10="Common Space")),AND($C10=3,$K10="PHA Oper Sub",$B10="HOME 20",NOT($N10="Common Space"))),$E10,"")</f>
        <v/>
      </c>
      <c r="CY10" s="443" t="str">
        <f t="shared" ref="CY10:CY47" si="81">IF(OR(AND($C10=4,$K10="PHA Oper Sub",$B10=20,NOT($N10="Common Space")),AND($C10=4,$K10="PHA Oper Sub",$B10="HOME 20",NOT($N10="Common Space"))),$E10,"")</f>
        <v/>
      </c>
      <c r="CZ10" s="443" t="str">
        <f t="shared" ref="CZ10:CZ47" si="82">IF(OR(AND($C10="Efficiency",$K10="PHA Oper Sub",$B10=30,NOT($N10="Common Space")),AND($C10="Efficiency",$K10="PHA Oper Sub",$B10="HOME 30",NOT($N10="Common Space"))),$E10,"")</f>
        <v/>
      </c>
      <c r="DA10" s="443" t="str">
        <f t="shared" ref="DA10:DA47" si="83">IF(OR(AND($C10=1,$K10="PHA Oper Sub",$B10=30,NOT($N10="Common Space")),AND($C10=1,$K10="PHA Oper Sub",$B10="HOME 30",NOT($N10="Common Space"))),$E10,"")</f>
        <v/>
      </c>
      <c r="DB10" s="443" t="str">
        <f t="shared" ref="DB10:DB47" si="84">IF(OR(AND($C10=2,$K10="PHA Oper Sub",$B10=30,NOT($N10="Common Space")),AND($C10=2,$K10="PHA Oper Sub",$B10="HOME 30",NOT($N10="Common Space"))),$E10,"")</f>
        <v/>
      </c>
      <c r="DC10" s="443" t="str">
        <f t="shared" ref="DC10:DC47" si="85">IF(OR(AND($C10=3,$K10="PHA Oper Sub",$B10=30,NOT($N10="Common Space")),AND($C10=3,$K10="PHA Oper Sub",$B10="HOME 30",NOT($N10="Common Space"))),$E10,"")</f>
        <v/>
      </c>
      <c r="DD10" s="443" t="str">
        <f t="shared" ref="DD10:DD47" si="86">IF(OR(AND($C10=4,$K10="PHA Oper Sub",$B10=30,NOT($N10="Common Space")),AND($C10=4,$K10="PHA Oper Sub",$B10="HOME 30",NOT($N10="Common Space"))),$E10,"")</f>
        <v/>
      </c>
      <c r="DE10" s="443" t="str">
        <f t="shared" ref="DE10:DE47" si="87">IF(OR(AND($C10="Efficiency",$K10="PHA Oper Sub",$B10=40,NOT($N10="Common Space")),AND($C10="Efficiency",$K10="PHA Oper Sub",$B10="HOME 40",NOT($N10="Common Space"))),$E10,"")</f>
        <v/>
      </c>
      <c r="DF10" s="443" t="str">
        <f t="shared" ref="DF10:DF47" si="88">IF(OR(AND($C10=1,$K10="PHA Oper Sub",$B10=40,NOT($N10="Common Space")),AND($C10=1,$K10="PHA Oper Sub",$B10="HOME 40",NOT($N10="Common Space"))),$E10,"")</f>
        <v/>
      </c>
      <c r="DG10" s="443" t="str">
        <f t="shared" ref="DG10:DG47" si="89">IF(OR(AND($C10=2,$K10="PHA Oper Sub",$B10=40,NOT($N10="Common Space")),AND($C10=2,$K10="PHA Oper Sub",$B10="HOME 40",NOT($N10="Common Space"))),$E10,"")</f>
        <v/>
      </c>
      <c r="DH10" s="443" t="str">
        <f t="shared" ref="DH10:DH47" si="90">IF(OR(AND($C10=3,$K10="PHA Oper Sub",$B10=40,NOT($N10="Common Space")),AND($C10=3,$K10="PHA Oper Sub",$B10="HOME 40",NOT($N10="Common Space"))),$E10,"")</f>
        <v/>
      </c>
      <c r="DI10" s="443" t="str">
        <f t="shared" ref="DI10:DI47" si="91">IF(OR(AND($C10=4,$K10="PHA Oper Sub",$B10=40,NOT($N10="Common Space")),AND($C10=4,$K10="PHA Oper Sub",$B10="HOME 40",NOT($N10="Common Space"))),$E10,"")</f>
        <v/>
      </c>
      <c r="DJ10" s="443" t="str">
        <f t="shared" ref="DJ10:DJ47" si="92">IF(OR(AND($C10="Efficiency",$K10="PHA Oper Sub",$B10=50,NOT($N10="Common Space")),AND($C10="Efficiency",$K10="PHA Oper Sub",$B10="HOME 50",NOT($N10="Common Space"))),$E10,"")</f>
        <v/>
      </c>
      <c r="DK10" s="443" t="str">
        <f t="shared" ref="DK10:DK47" si="93">IF(OR(AND($C10=1,$K10="PHA Oper Sub",$B10=50,NOT($N10="Common Space")),AND($C10=1,$K10="PHA Oper Sub",$B10="HOME 50",NOT($N10="Common Space"))),$E10,"")</f>
        <v/>
      </c>
      <c r="DL10" s="443" t="str">
        <f t="shared" ref="DL10:DL47" si="94">IF(OR(AND($C10=2,$K10="PHA Oper Sub",$B10=50,NOT($N10="Common Space")),AND($C10=2,$K10="PHA Oper Sub",$B10="HOME 50",NOT($N10="Common Space"))),$E10,"")</f>
        <v/>
      </c>
      <c r="DM10" s="443" t="str">
        <f t="shared" ref="DM10:DM47" si="95">IF(OR(AND($C10=3,$K10="PHA Oper Sub",$B10=50,NOT($N10="Common Space")),AND($C10=3,$K10="PHA Oper Sub",$B10="HOME 50",NOT($N10="Common Space"))),$E10,"")</f>
        <v/>
      </c>
      <c r="DN10" s="443" t="str">
        <f t="shared" ref="DN10:DN47" si="96">IF(OR(AND($C10=4,$K10="PHA Oper Sub",$B10=50,NOT($N10="Common Space")),AND($C10=4,$K10="PHA Oper Sub",$B10="HOME 50",NOT($N10="Common Space"))),$E10,"")</f>
        <v/>
      </c>
      <c r="DO10" s="443" t="str">
        <f t="shared" ref="DO10:DO47" si="97">IF(OR(AND($C10="Efficiency",$K10="PHA Oper Sub",$B10=60,NOT($N10="Common Space")),AND($C10="Efficiency",$K10="PHA Oper Sub",$B10="HOME 60",NOT($N10="Common Space"))),$E10,"")</f>
        <v/>
      </c>
      <c r="DP10" s="443" t="str">
        <f t="shared" ref="DP10:DP47" si="98">IF(OR(AND($C10=1,$K10="PHA Oper Sub",$B10=60,NOT($N10="Common Space")),AND($C10=1,$K10="PHA Oper Sub",$B10="HOME 60",NOT($N10="Common Space"))),$E10,"")</f>
        <v/>
      </c>
      <c r="DQ10" s="443" t="str">
        <f t="shared" ref="DQ10:DQ47" si="99">IF(OR(AND($C10=2,$K10="PHA Oper Sub",$B10=60,NOT($N10="Common Space")),AND($C10=2,$K10="PHA Oper Sub",$B10="HOME 60",NOT($N10="Common Space"))),$E10,"")</f>
        <v/>
      </c>
      <c r="DR10" s="443" t="str">
        <f t="shared" ref="DR10:DR47" si="100">IF(OR(AND($C10=3,$K10="PHA Oper Sub",$B10=60,NOT($N10="Common Space")),AND($C10=3,$K10="PHA Oper Sub",$B10="HOME 60",NOT($N10="Common Space"))),$E10,"")</f>
        <v/>
      </c>
      <c r="DS10" s="443" t="str">
        <f t="shared" ref="DS10:DS47" si="101">IF(OR(AND($C10=4,$K10="PHA Oper Sub",$B10=60,NOT($N10="Common Space")),AND($C10=4,$K10="PHA Oper Sub",$B10="HOME 60",NOT($N10="Common Space"))),$E10,"")</f>
        <v/>
      </c>
      <c r="DT10" s="443" t="str">
        <f t="shared" ref="DT10:DT47" si="102">IF(OR(AND($C10="Efficiency",$K10="PHA Oper Sub",$B10=70,NOT($N10="Common Space")),AND($C10="Efficiency",$K10="PHA Oper Sub",$B10="HOME 70",NOT($N10="Common Space"))),$E10,"")</f>
        <v/>
      </c>
      <c r="DU10" s="443" t="str">
        <f t="shared" ref="DU10:DU47" si="103">IF(OR(AND($C10=1,$K10="PHA Oper Sub",$B10=70,NOT($N10="Common Space")),AND($C10=1,$K10="PHA Oper Sub",$B10="HOME 70",NOT($N10="Common Space"))),$E10,"")</f>
        <v/>
      </c>
      <c r="DV10" s="443" t="str">
        <f t="shared" ref="DV10:DV47" si="104">IF(OR(AND($C10=2,$K10="PHA Oper Sub",$B10=70,NOT($N10="Common Space")),AND($C10=2,$K10="PHA Oper Sub",$B10="HOME 70",NOT($N10="Common Space"))),$E10,"")</f>
        <v/>
      </c>
      <c r="DW10" s="443" t="str">
        <f t="shared" ref="DW10:DW47" si="105">IF(OR(AND($C10=3,$K10="PHA Oper Sub",$B10=70,NOT($N10="Common Space")),AND($C10=3,$K10="PHA Oper Sub",$B10="HOME 70",NOT($N10="Common Space"))),$E10,"")</f>
        <v/>
      </c>
      <c r="DX10" s="443" t="str">
        <f t="shared" ref="DX10:DX47" si="106">IF(OR(AND($C10=4,$K10="PHA Oper Sub",$B10=70,NOT($N10="Common Space")),AND($C10=4,$K10="PHA Oper Sub",$B10="HOME 70",NOT($N10="Common Space"))),$E10,"")</f>
        <v/>
      </c>
      <c r="DY10" s="443" t="str">
        <f t="shared" ref="DY10:DY47" si="107">IF(OR(AND($C10="Efficiency",$K10="PHA Oper Sub",$B10=80,NOT($N10="Common Space")),AND($C10="Efficiency",$K10="PHA Oper Sub",$B10="HOME 80",NOT($N10="Common Space"))),$E10,"")</f>
        <v/>
      </c>
      <c r="DZ10" s="443" t="str">
        <f t="shared" ref="DZ10:DZ47" si="108">IF(OR(AND($C10=1,$K10="PHA Oper Sub",$B10=80,NOT($N10="Common Space")),AND($C10=1,$K10="PHA Oper Sub",$B10="HOME 80",NOT($N10="Common Space"))),$E10,"")</f>
        <v/>
      </c>
      <c r="EA10" s="443" t="str">
        <f t="shared" ref="EA10:EA47" si="109">IF(OR(AND($C10=2,$K10="PHA Oper Sub",$B10=80,NOT($N10="Common Space")),AND($C10=2,$K10="PHA Oper Sub",$B10="HOME 80",NOT($N10="Common Space"))),$E10,"")</f>
        <v/>
      </c>
      <c r="EB10" s="443" t="str">
        <f t="shared" ref="EB10:EB47" si="110">IF(OR(AND($C10=3,$K10="PHA Oper Sub",$B10=80,NOT($N10="Common Space")),AND($C10=3,$K10="PHA Oper Sub",$B10="HOME 80",NOT($N10="Common Space"))),$E10,"")</f>
        <v/>
      </c>
      <c r="EC10" s="443" t="str">
        <f t="shared" ref="EC10:EC47" si="111">IF(OR(AND($C10=4,$K10="PHA Oper Sub",$B10=80,NOT($N10="Common Space")),AND($C10=4,$K10="PHA Oper Sub",$B10="HOME 80",NOT($N10="Common Space"))),$E10,"")</f>
        <v/>
      </c>
      <c r="ED10" s="443" t="str">
        <f t="shared" ref="ED10:ED47" si="112">IF(AND(C10="Efficiency",N10="Common Space"),E10,"")</f>
        <v/>
      </c>
      <c r="EE10" s="443" t="str">
        <f t="shared" ref="EE10:EE47" si="113">IF(AND(C10=1,N10="Common Space"),E10,"")</f>
        <v/>
      </c>
      <c r="EF10" s="443" t="str">
        <f t="shared" ref="EF10:EF47" si="114">IF(AND(C10=2,N10="Common Space"),E10,"")</f>
        <v/>
      </c>
      <c r="EG10" s="443" t="str">
        <f t="shared" ref="EG10:EG47" si="115">IF(AND(C10=3,N10="Common Space"),E10,"")</f>
        <v/>
      </c>
      <c r="EH10" s="443" t="str">
        <f t="shared" ref="EH10:EH47" si="116">IF(AND(C10=4,N10="Common Space"),E10,"")</f>
        <v/>
      </c>
      <c r="EI10" s="443" t="str">
        <f t="shared" ref="EI10:EI47" si="117">IF(OR(AND($C10="Efficiency",$B10=80,NOT($N10="Common Space")),AND($C10="Efficiency",$B10="HOME 80",NOT($N10="Common Space"))),$E10*$F10,"")</f>
        <v/>
      </c>
      <c r="EJ10" s="443" t="str">
        <f t="shared" ref="EJ10:EJ47" si="118">IF(OR(AND($C10=1,$B10=80,NOT($N10="Common Space")),AND($C10=1,$B10="HOME 80",NOT($N10="Common Space"))),$E10*$F10,"")</f>
        <v/>
      </c>
      <c r="EK10" s="443" t="str">
        <f t="shared" ref="EK10:EK47" si="119">IF(OR(AND($C10=2,$B10=80,NOT($N10="Common Space")),AND($C10=2,$B10="HOME 80",NOT($N10="Common Space"))),$E10*$F10,"")</f>
        <v/>
      </c>
      <c r="EL10" s="443" t="str">
        <f t="shared" ref="EL10:EL47" si="120">IF(OR(AND($C10=3,$B10=80,NOT($N10="Common Space")),AND($C10=3,$B10="HOME 80",NOT($N10="Common Space"))),$E10*$F10,"")</f>
        <v/>
      </c>
      <c r="EM10" s="443" t="str">
        <f t="shared" ref="EM10:EM47" si="121">IF(OR(AND($C10=4,$B10=80,NOT($N10="Common Space")),AND($C10=4,$B10="HOME 80",NOT($N10="Common Space"))),$E10*$F10,"")</f>
        <v/>
      </c>
      <c r="EN10" s="443" t="str">
        <f t="shared" ref="EN10:EN47" si="122">IF(OR(AND($C10="Efficiency",$B10=70,NOT($N10="Common Space")),AND($C10="Efficiency",$B10="HOME 70",NOT($N10="Common Space"))),$E10*$F10,"")</f>
        <v/>
      </c>
      <c r="EO10" s="443" t="str">
        <f t="shared" ref="EO10:EO47" si="123">IF(OR(AND($C10=1,$B10=70,NOT($N10="Common Space")),AND($C10=1,$B10="HOME 70",NOT($N10="Common Space"))),$E10*$F10,"")</f>
        <v/>
      </c>
      <c r="EP10" s="443" t="str">
        <f t="shared" ref="EP10:EP47" si="124">IF(OR(AND($C10=2,$B10=70,NOT($N10="Common Space")),AND($C10=2,$B10="HOME 70",NOT($N10="Common Space"))),$E10*$F10,"")</f>
        <v/>
      </c>
      <c r="EQ10" s="443" t="str">
        <f t="shared" ref="EQ10:EQ47" si="125">IF(OR(AND($C10=3,$B10=70,NOT($N10="Common Space")),AND($C10=3,$B10="HOME 70",NOT($N10="Common Space"))),$E10*$F10,"")</f>
        <v/>
      </c>
      <c r="ER10" s="443" t="str">
        <f t="shared" ref="ER10:ER47" si="126">IF(OR(AND($C10=4,$B10=70,NOT($N10="Common Space")),AND($C10=4,$B10="HOME 70",NOT($N10="Common Space"))),$E10*$F10,"")</f>
        <v/>
      </c>
      <c r="ES10" s="443" t="str">
        <f t="shared" ref="ES10:ES47" si="127">IF(OR(AND($C10="Efficiency",$B10=60,NOT($N10="Common Space")),AND($C10="Efficiency",$B10="HOME 60",NOT($N10="Common Space"))),$E10*$F10,"")</f>
        <v/>
      </c>
      <c r="ET10" s="443" t="str">
        <f t="shared" ref="ET10:ET47" si="128">IF(OR(AND($C10=1,$B10=60,NOT($N10="Common Space")),AND($C10=1,$B10="HOME 60",NOT($N10="Common Space"))),$E10*$F10,"")</f>
        <v/>
      </c>
      <c r="EU10" s="443" t="str">
        <f t="shared" ref="EU10:EU47" si="129">IF(OR(AND($C10=2,$B10=60,NOT($N10="Common Space")),AND($C10=2,$B10="HOME 60",NOT($N10="Common Space"))),$E10*$F10,"")</f>
        <v/>
      </c>
      <c r="EV10" s="443" t="str">
        <f t="shared" ref="EV10:EV47" si="130">IF(OR(AND($C10=3,$B10=60,NOT($N10="Common Space")),AND($C10=3,$B10="HOME 60",NOT($N10="Common Space"))),$E10*$F10,"")</f>
        <v/>
      </c>
      <c r="EW10" s="443" t="str">
        <f t="shared" ref="EW10:EW47" si="131">IF(OR(AND($C10=4,$B10=60,NOT($N10="Common Space")),AND($C10=4,$B10="HOME 60",NOT($N10="Common Space"))),$E10*$F10,"")</f>
        <v/>
      </c>
      <c r="EX10" s="443" t="str">
        <f t="shared" ref="EX10:EX47" si="132">IF(OR(AND($C10="Efficiency",$B10=50,NOT($N10="Common Space")),AND($C10="Efficiency",$B10="HOME 50",NOT($N10="Common Space"))),$E10*$F10,"")</f>
        <v/>
      </c>
      <c r="EY10" s="443" t="str">
        <f t="shared" ref="EY10:EY47" si="133">IF(OR(AND($C10=1,$B10=50,NOT($N10="Common Space")),AND($C10=1,$B10="HOME 50",NOT($N10="Common Space"))),$E10*$F10,"")</f>
        <v/>
      </c>
      <c r="EZ10" s="443" t="str">
        <f t="shared" ref="EZ10:EZ47" si="134">IF(OR(AND($C10=2,$B10=50,NOT($N10="Common Space")),AND($C10=2,$B10="HOME 50",NOT($N10="Common Space"))),$E10*$F10,"")</f>
        <v/>
      </c>
      <c r="FA10" s="443" t="str">
        <f t="shared" ref="FA10:FA47" si="135">IF(OR(AND($C10=3,$B10=50,NOT($N10="Common Space")),AND($C10=3,$B10="HOME 50",NOT($N10="Common Space"))),$E10*$F10,"")</f>
        <v/>
      </c>
      <c r="FB10" s="443" t="str">
        <f t="shared" ref="FB10:FB47" si="136">IF(OR(AND($C10=4,$B10=50,NOT($N10="Common Space")),AND($C10=4,$B10="HOME 50",NOT($N10="Common Space"))),$E10*$F10,"")</f>
        <v/>
      </c>
      <c r="FC10" s="443" t="str">
        <f t="shared" ref="FC10:FC47" si="137">IF(OR(AND($C10="Efficiency",$B10=40,NOT($N10="Common Space")),AND($C10="Efficiency",$B10="HOME 40",NOT($N10="Common Space"))),$E10*$F10,"")</f>
        <v/>
      </c>
      <c r="FD10" s="443" t="str">
        <f t="shared" ref="FD10:FD47" si="138">IF(OR(AND($C10=1,$B10=40,NOT($N10="Common Space")),AND($C10=1,$B10="HOME 40",NOT($N10="Common Space"))),$E10*$F10,"")</f>
        <v/>
      </c>
      <c r="FE10" s="443" t="str">
        <f t="shared" ref="FE10:FE47" si="139">IF(OR(AND($C10=2,$B10=40,NOT($N10="Common Space")),AND($C10=2,$B10="HOME 40",NOT($N10="Common Space"))),$E10*$F10,"")</f>
        <v/>
      </c>
      <c r="FF10" s="443" t="str">
        <f t="shared" ref="FF10:FF47" si="140">IF(OR(AND($C10=3,$B10=40,NOT($N10="Common Space")),AND($C10=3,$B10="HOME 40",NOT($N10="Common Space"))),$E10*$F10,"")</f>
        <v/>
      </c>
      <c r="FG10" s="443" t="str">
        <f t="shared" ref="FG10:FG47" si="141">IF(OR(AND($C10=4,$B10=40,NOT($N10="Common Space")),AND($C10=4,$B10="HOME 40",NOT($N10="Common Space"))),$E10*$F10,"")</f>
        <v/>
      </c>
      <c r="FH10" s="443" t="str">
        <f t="shared" ref="FH10:FH47" si="142">IF(OR(AND($C10="Efficiency",$B10=30,NOT($N10="Common Space")),AND($C10="Efficiency",$B10="HOME 30",NOT($N10="Common Space"))),$E10*$F10,"")</f>
        <v/>
      </c>
      <c r="FI10" s="443" t="str">
        <f t="shared" ref="FI10:FI47" si="143">IF(OR(AND($C10=1,$B10=30,NOT($N10="Common Space")),AND($C10=1,$B10="HOME 30",NOT($N10="Common Space"))),$E10*$F10,"")</f>
        <v/>
      </c>
      <c r="FJ10" s="443" t="str">
        <f t="shared" ref="FJ10:FJ47" si="144">IF(OR(AND($C10=2,$B10=30,NOT($N10="Common Space")),AND($C10=2,$B10="HOME 30",NOT($N10="Common Space"))),$E10*$F10,"")</f>
        <v/>
      </c>
      <c r="FK10" s="443" t="str">
        <f t="shared" ref="FK10:FK47" si="145">IF(OR(AND($C10=3,$B10=30,NOT($N10="Common Space")),AND($C10=3,$B10="HOME 30",NOT($N10="Common Space"))),$E10*$F10,"")</f>
        <v/>
      </c>
      <c r="FL10" s="443" t="str">
        <f t="shared" ref="FL10:FL47" si="146">IF(OR(AND($C10=4,$B10=30,NOT($N10="Common Space")),AND($C10=4,$B10="HOME 30",NOT($N10="Common Space"))),$E10*$F10,"")</f>
        <v/>
      </c>
      <c r="FM10" s="443" t="str">
        <f t="shared" ref="FM10:FM47" si="147">IF(OR(AND($C10="Efficiency",$B10=20,NOT($N10="Common Space")),AND($C10="Efficiency",$B10="HOME 20",NOT($N10="Common Space"))),$E10*$F10,"")</f>
        <v/>
      </c>
      <c r="FN10" s="443" t="str">
        <f t="shared" ref="FN10:FN47" si="148">IF(OR(AND($C10=1,$B10=20,NOT($N10="Common Space")),AND($C10=1,$B10="HOME 20",NOT($N10="Common Space"))),$E10*$F10,"")</f>
        <v/>
      </c>
      <c r="FO10" s="443" t="str">
        <f t="shared" ref="FO10:FO47" si="149">IF(OR(AND($C10=2,$B10=20,NOT($N10="Common Space")),AND($C10=2,$B10="HOME 20",NOT($N10="Common Space"))),$E10*$F10,"")</f>
        <v/>
      </c>
      <c r="FP10" s="443" t="str">
        <f t="shared" ref="FP10:FP47" si="150">IF(OR(AND($C10=3,$B10=20,NOT($N10="Common Space")),AND($C10=3,$B10="HOME 20",NOT($N10="Common Space"))),$E10*$F10,"")</f>
        <v/>
      </c>
      <c r="FQ10" s="443" t="str">
        <f t="shared" ref="FQ10:FQ47" si="151">IF(OR(AND($C10=4,$B10=20,NOT($N10="Common Space")),AND($C10=4,$B10="HOME 20",NOT($N10="Common Space"))),$E10*$F10,"")</f>
        <v/>
      </c>
      <c r="FR10" s="443" t="str">
        <f t="shared" ref="FR10:FR47" si="152">IF(AND(C10="Efficiency",B10="Unrestricted",NOT(N10="Common Space")),E10*F10,"")</f>
        <v/>
      </c>
      <c r="FS10" s="443" t="str">
        <f t="shared" ref="FS10:FS47" si="153">IF(AND(C10=1,B10="Unrestricted",NOT(N10="Common Space")),E10*F10,"")</f>
        <v/>
      </c>
      <c r="FT10" s="443" t="str">
        <f t="shared" ref="FT10:FT47" si="154">IF(AND(C10=2,B10="Unrestricted",NOT(N10="Common Space")),E10*F10,"")</f>
        <v/>
      </c>
      <c r="FU10" s="443" t="str">
        <f t="shared" ref="FU10:FU47" si="155">IF(AND(C10=3,B10="Unrestricted",NOT(N10="Common Space")),E10*F10,"")</f>
        <v/>
      </c>
      <c r="FV10" s="443" t="str">
        <f t="shared" ref="FV10:FV47" si="156">IF(AND(C10=4,B10="Unrestricted",NOT(N10="Common Space")),E10*F10,"")</f>
        <v/>
      </c>
      <c r="FW10" s="443" t="str">
        <f t="shared" ref="FW10:FW47" si="157">IF(AND(C10="Efficiency",NOT(K10=""),NOT($K10=0),NOT(N10="Common Space")),E10*F10,"")</f>
        <v/>
      </c>
      <c r="FX10" s="443" t="str">
        <f t="shared" ref="FX10:FX47" si="158">IF(AND(C10=1,NOT(K10=""),NOT($K10=0),NOT(N10="Common Space")),E10*F10,"")</f>
        <v/>
      </c>
      <c r="FY10" s="443" t="str">
        <f t="shared" ref="FY10:FY47" si="159">IF(AND(C10=2,NOT(K10=""),NOT($K10=0),NOT(N10="Common Space")),E10*F10,"")</f>
        <v/>
      </c>
      <c r="FZ10" s="443" t="str">
        <f t="shared" ref="FZ10:FZ47" si="160">IF(AND(C10=3,NOT(K10=""),NOT($K10=0),NOT(N10="Common Space")),E10*F10,"")</f>
        <v/>
      </c>
      <c r="GA10" s="443" t="str">
        <f t="shared" ref="GA10:GA47" si="161">IF(AND(C10=4,NOT(K10=""),NOT($K10=0),NOT(N10="Common Space")),E10*F10,"")</f>
        <v/>
      </c>
      <c r="GB10" s="443" t="str">
        <f t="shared" ref="GB10:GB47" si="162">IF(AND(C10="Efficiency",N10="Common Space"),E10*F10,"")</f>
        <v/>
      </c>
      <c r="GC10" s="443" t="str">
        <f t="shared" ref="GC10:GC47" si="163">IF(AND(C10=1,N10="Common Space"),E10*F10,"")</f>
        <v/>
      </c>
      <c r="GD10" s="443" t="str">
        <f t="shared" ref="GD10:GD47" si="164">IF(AND(C10=2,N10="Common Space"),E10*F10,"")</f>
        <v/>
      </c>
      <c r="GE10" s="443" t="str">
        <f t="shared" ref="GE10:GE47" si="165">IF(AND(C10=3,N10="Common Space"),E10*F10,"")</f>
        <v/>
      </c>
      <c r="GF10" s="443" t="str">
        <f t="shared" ref="GF10:GF47" si="166">IF(AND(C10=4,N10="Common Space"),E10*F10,"")</f>
        <v/>
      </c>
      <c r="GG10" s="443" t="str">
        <f t="shared" ref="GG10:GG47" si="167">IF(AND($C10="Efficiency", $P10="New Construction",NOT($B10="Unrestricted"),NOT($B10="NSP 120"),NOT($B10="N/A-CS"),NOT($N10="Common Space")),$E10,"")</f>
        <v/>
      </c>
      <c r="GH10" s="443" t="str">
        <f t="shared" ref="GH10:GH47" si="168">IF(AND($C10=1, $P10="New Construction",NOT($B10="Unrestricted"),NOT($B10="NSP 120"),NOT($B10="N/A-CS"),NOT($N10="Common Space")),$E10,"")</f>
        <v/>
      </c>
      <c r="GI10" s="443" t="str">
        <f t="shared" ref="GI10:GI47" si="169">IF(AND($C10=2, $P10="New Construction",NOT($B10="Unrestricted"),NOT($B10="NSP 120"),NOT($B10="N/A-CS"),NOT($N10="Common Space")),$E10,"")</f>
        <v/>
      </c>
      <c r="GJ10" s="443" t="str">
        <f t="shared" ref="GJ10:GJ47" si="170">IF(AND($C10=3, $P10="New Construction",NOT($B10="Unrestricted"),NOT($B10="NSP 120"),NOT($B10="N/A-CS"),NOT($N10="Common Space")),$E10,"")</f>
        <v/>
      </c>
      <c r="GK10" s="443" t="str">
        <f t="shared" ref="GK10:GK47" si="171">IF(AND($C10=4, $P10="New Construction",NOT($B10="Unrestricted"),NOT($B10="NSP 120"),NOT($B10="N/A-CS"),NOT($N10="Common Space")),$E10,"")</f>
        <v/>
      </c>
      <c r="GL10" s="443" t="str">
        <f t="shared" ref="GL10:GL47" si="172">IF(AND($C10="Efficiency", $P10="New Construction",$B10="Unrestricted",NOT($B10="N/A-CS"),NOT($N10="Common Space")),$E10,"")</f>
        <v/>
      </c>
      <c r="GM10" s="443" t="str">
        <f t="shared" ref="GM10:GM47" si="173">IF(AND($C10=1, $P10="New Construction",$B10="Unrestricted",NOT($B10="N/A-CS"),NOT($N10="Common Space")),$E10,"")</f>
        <v/>
      </c>
      <c r="GN10" s="443" t="str">
        <f t="shared" ref="GN10:GN47" si="174">IF(AND($C10=2, $P10="New Construction",$B10="Unrestricted",NOT($B10="N/A-CS"),NOT($N10="Common Space")),$E10,"")</f>
        <v/>
      </c>
      <c r="GO10" s="443" t="str">
        <f t="shared" ref="GO10:GO47" si="175">IF(AND($C10=3, $P10="New Construction",$B10="Unrestricted",NOT($B10="N/A-CS"),NOT($N10="Common Space")),$E10,"")</f>
        <v/>
      </c>
      <c r="GP10" s="443" t="str">
        <f t="shared" ref="GP10:GP47" si="176">IF(AND($C10=4, $P10="New Construction",$B10="Unrestricted",NOT($B10="N/A-CS"),NOT($N10="Common Space")),$E10,"")</f>
        <v/>
      </c>
      <c r="GQ10" s="443" t="str">
        <f t="shared" ref="GQ10:GQ47" si="177">IF(AND($C10="Efficiency", $P10="New Construction",$B10="N/A-CS",$N10="Common Space"),$E10,"")</f>
        <v/>
      </c>
      <c r="GR10" s="443" t="str">
        <f t="shared" ref="GR10:GR47" si="178">IF(AND($C10=1, $P10="New Construction",$B10="N/A-CS",$N10="Common Space"),$E10,"")</f>
        <v/>
      </c>
      <c r="GS10" s="443" t="str">
        <f t="shared" ref="GS10:GS47" si="179">IF(AND($C10=2, $P10="New Construction",$B10="N/A-CS",$N10="Common Space"),$E10,"")</f>
        <v/>
      </c>
      <c r="GT10" s="443" t="str">
        <f t="shared" ref="GT10:GT47" si="180">IF(AND($C10=3, $P10="New Construction",$B10="N/A-CS",$N10="Common Space"),$E10,"")</f>
        <v/>
      </c>
      <c r="GU10" s="443" t="str">
        <f t="shared" ref="GU10:GU47" si="181">IF(AND($C10=4, $P10="New Construction",$B10="N/A-CS",$N10="Common Space"),$E10,"")</f>
        <v/>
      </c>
      <c r="GV10" s="443" t="str">
        <f t="shared" ref="GV10:GV47" si="182">IF(AND($C10="Efficiency", $P10="Acquisition/Rehab",NOT($B10="Unrestricted"),NOT($B10="NSP 120"),NOT($B10="N/A-CS"),NOT($N10="Common Space")),$E10,"")</f>
        <v/>
      </c>
      <c r="GW10" s="443" t="str">
        <f t="shared" ref="GW10:GW47" si="183">IF(AND($C10=1, $P10="Acquisition/Rehab",NOT($B10="Unrestricted"),NOT($B10="NSP 120"),NOT($B10="N/A-CS"),NOT($N10="Common Space")),$E10,"")</f>
        <v/>
      </c>
      <c r="GX10" s="443" t="str">
        <f t="shared" ref="GX10:GX47" si="184">IF(AND($C10=2, $P10="Acquisition/Rehab",NOT($B10="Unrestricted"),NOT($B10="NSP 120"),NOT($B10="N/A-CS"),NOT($N10="Common Space")),$E10,"")</f>
        <v/>
      </c>
      <c r="GY10" s="443" t="str">
        <f t="shared" ref="GY10:GY47" si="185">IF(AND($C10=3, $P10="Acquisition/Rehab",NOT($B10="Unrestricted"),NOT($B10="NSP 120"),NOT($B10="N/A-CS"),NOT($N10="Common Space")),$E10,"")</f>
        <v/>
      </c>
      <c r="GZ10" s="443" t="str">
        <f t="shared" ref="GZ10:GZ47" si="186">IF(AND($C10=4, $P10="Acquisition/Rehab",NOT($B10="Unrestricted"),NOT($B10="NSP 120"),NOT($B10="N/A-CS"),NOT($N10="Common Space")),$E10,"")</f>
        <v/>
      </c>
      <c r="HA10" s="443" t="str">
        <f t="shared" ref="HA10:HA47" si="187">IF(AND($C10="Efficiency", $P10="Acquisition/Rehab",$B10="Unrestricted",NOT($B10="N/A-CS"),NOT($N10="Common Space")),$E10,"")</f>
        <v/>
      </c>
      <c r="HB10" s="443" t="str">
        <f t="shared" ref="HB10:HB47" si="188">IF(AND($C10=1, $P10="Acquisition/Rehab",$B10="Unrestricted",NOT($B10="N/A-CS"),NOT($N10="Common Space")),$E10,"")</f>
        <v/>
      </c>
      <c r="HC10" s="443" t="str">
        <f t="shared" ref="HC10:HC47" si="189">IF(AND($C10=2, $P10="Acquisition/Rehab",$B10="Unrestricted",NOT($B10="N/A-CS"),NOT($N10="Common Space")),$E10,"")</f>
        <v/>
      </c>
      <c r="HD10" s="443" t="str">
        <f t="shared" ref="HD10:HD47" si="190">IF(AND($C10=3, $P10="Acquisition/Rehab",$B10="Unrestricted",NOT($B10="N/A-CS"),NOT($N10="Common Space")),$E10,"")</f>
        <v/>
      </c>
      <c r="HE10" s="443" t="str">
        <f t="shared" ref="HE10:HE47" si="191">IF(AND($C10=4, $P10="Acquisition/Rehab",$B10="Unrestricted",NOT($B10="N/A-CS"),NOT($N10="Common Space")),$E10,"")</f>
        <v/>
      </c>
      <c r="HF10" s="443" t="str">
        <f t="shared" ref="HF10:HF47" si="192">IF(AND($C10="Efficiency", $P10="Acquisition/Rehab",$B10="N/A-CS",$N10="Common Space"),$E10,"")</f>
        <v/>
      </c>
      <c r="HG10" s="443" t="str">
        <f t="shared" ref="HG10:HG47" si="193">IF(AND($C10=1, $P10="Acquisition/Rehab",$B10="N/A-CS",$N10="Common Space"),$E10,"")</f>
        <v/>
      </c>
      <c r="HH10" s="443" t="str">
        <f t="shared" ref="HH10:HH47" si="194">IF(AND($C10=2, $P10="Acquisition/Rehab",$B10="N/A-CS",$N10="Common Space"),$E10,"")</f>
        <v/>
      </c>
      <c r="HI10" s="443" t="str">
        <f t="shared" ref="HI10:HI47" si="195">IF(AND($C10=3, $P10="Acquisition/Rehab",$B10="N/A-CS",$N10="Common Space"),$E10,"")</f>
        <v/>
      </c>
      <c r="HJ10" s="443" t="str">
        <f t="shared" ref="HJ10:HJ47" si="196">IF(AND($C10=4, $P10="Acquisition/Rehab",$B10="N/A-CS",$N10="Common Space"),$E10,"")</f>
        <v/>
      </c>
      <c r="HK10" s="443" t="str">
        <f t="shared" ref="HK10:HK47" si="197">IF(AND($C10="Efficiency", $P10="Rehabilitation",NOT($B10="Unrestricted"),NOT($B10="NSP 120"),NOT($B10="N/A-CS"),NOT($N10="Common Space")),$E10,"")</f>
        <v/>
      </c>
      <c r="HL10" s="443" t="str">
        <f t="shared" ref="HL10:HL47" si="198">IF(AND($C10=1, $P10="Rehabilitation",NOT($B10="Unrestricted"),NOT($B10="NSP 120"),NOT($B10="N/A-CS"),NOT($N10="Common Space")),$E10,"")</f>
        <v/>
      </c>
      <c r="HM10" s="443" t="str">
        <f t="shared" ref="HM10:HM47" si="199">IF(AND($C10=2, $P10="Rehabilitation",NOT($B10="Unrestricted"),NOT($B10="NSP 120"),NOT($B10="N/A-CS"),NOT($N10="Common Space")),$E10,"")</f>
        <v/>
      </c>
      <c r="HN10" s="443" t="str">
        <f t="shared" ref="HN10:HN47" si="200">IF(AND($C10=3, $P10="Rehabilitation",NOT($B10="Unrestricted"),NOT($B10="NSP 120"),NOT($B10="N/A-CS"),NOT($N10="Common Space")),$E10,"")</f>
        <v/>
      </c>
      <c r="HO10" s="443" t="str">
        <f t="shared" ref="HO10:HO47" si="201">IF(AND($C10=4, $P10="Rehabilitation",NOT($B10="Unrestricted"),NOT($B10="NSP 120"),NOT($B10="N/A-CS"),NOT($N10="Common Space")),$E10,"")</f>
        <v/>
      </c>
      <c r="HP10" s="443" t="str">
        <f t="shared" ref="HP10:HP47" si="202">IF(AND($C10="Efficiency", $P10="Rehabilitation",$B10="Unrestricted",NOT($B10="N/A-CS"),NOT($N10="Common Space")),$E10,"")</f>
        <v/>
      </c>
      <c r="HQ10" s="443" t="str">
        <f t="shared" ref="HQ10:HQ47" si="203">IF(AND($C10=1, $P10="Rehabilitation",$B10="Unrestricted",NOT($B10="N/A-CS"),NOT($N10="Common Space")),$E10,"")</f>
        <v/>
      </c>
      <c r="HR10" s="443" t="str">
        <f t="shared" ref="HR10:HR47" si="204">IF(AND($C10=2, $P10="Rehabilitation",$B10="Unrestricted",NOT($B10="N/A-CS"),NOT($N10="Common Space")),$E10,"")</f>
        <v/>
      </c>
      <c r="HS10" s="443" t="str">
        <f t="shared" ref="HS10:HS47" si="205">IF(AND($C10=3, $P10="Rehabilitation",$B10="Unrestricted",NOT($B10="N/A-CS"),NOT($N10="Common Space")),$E10,"")</f>
        <v/>
      </c>
      <c r="HT10" s="443" t="str">
        <f t="shared" ref="HT10:HT47" si="206">IF(AND($C10=4, $P10="Rehabilitation",$B10="Unrestricted",NOT($B10="N/A-CS"),NOT($N10="Common Space")),$E10,"")</f>
        <v/>
      </c>
      <c r="HU10" s="443" t="str">
        <f t="shared" ref="HU10:HU47" si="207">IF(AND($C10="Efficiency", $P10="Rehabilitation",$B10="N/A-CS",$N10="Common Space"),$E10,"")</f>
        <v/>
      </c>
      <c r="HV10" s="443" t="str">
        <f t="shared" ref="HV10:HV47" si="208">IF(AND($C10=1, $P10="Rehabilitation",$B10="N/A-CS",$N10="Common Space"),$E10,"")</f>
        <v/>
      </c>
      <c r="HW10" s="443" t="str">
        <f t="shared" ref="HW10:HW47" si="209">IF(AND($C10=2, $P10="Rehabilitation",$B10="N/A-CS",$N10="Common Space"),$E10,"")</f>
        <v/>
      </c>
      <c r="HX10" s="443" t="str">
        <f t="shared" ref="HX10:HX47" si="210">IF(AND($C10=3, $P10="Rehabilitation",$B10="N/A-CS",$N10="Common Space"),$E10,"")</f>
        <v/>
      </c>
      <c r="HY10" s="443" t="str">
        <f t="shared" ref="HY10:HY47" si="211">IF(AND($C10=4, $P10="Rehabilitation",$B10="N/A-CS",$N10="Common Space"),$E10,"")</f>
        <v/>
      </c>
      <c r="HZ10" s="2247" t="str">
        <f t="shared" ref="HZ10:HZ47" si="212">IF(AND($C10="Efficiency", NOT(OR($O10="SF Detached",$O10="Mfd Home",$O10="Duplex",$O10="Townhome"))),$E10,"")</f>
        <v/>
      </c>
      <c r="IA10" s="2247" t="str">
        <f t="shared" ref="IA10:IA47" si="213">IF(AND($C10=1, NOT(OR($O10="SF Detached",$O10="Mfd Home",$O10="Duplex",$O10="Townhome"))),$E10,"")</f>
        <v/>
      </c>
      <c r="IB10" s="2247" t="str">
        <f t="shared" ref="IB10:IB47" si="214">IF(AND($C10=2, NOT(OR($O10="SF Detached",$O10="Mfd Home",$O10="Duplex",$O10="Townhome"))),$E10,"")</f>
        <v/>
      </c>
      <c r="IC10" s="2247" t="str">
        <f t="shared" ref="IC10:IC47" si="215">IF(AND($C10=3, NOT(OR($O10="SF Detached",$O10="Mfd Home",$O10="Duplex",$O10="Townhome"))),$E10,"")</f>
        <v/>
      </c>
      <c r="ID10" s="2247" t="str">
        <f t="shared" ref="ID10:ID47" si="216">IF(AND($C10=4, NOT(OR($O10="SF Detached",$O10="Mfd Home",$O10="Duplex",$O10="Townhome"))),$E10,"")</f>
        <v/>
      </c>
      <c r="IE10" s="2247" t="str">
        <f t="shared" ref="IE10:IE47" si="217">IF(AND($C10="Efficiency", $O10="SF Detached",NOT($Q10="Yes")),$E10,"")</f>
        <v/>
      </c>
      <c r="IF10" s="2247" t="str">
        <f t="shared" ref="IF10:IF47" si="218">IF(AND($C10=1, $O10="SF Detached",NOT($Q10="Yes")),$E10,"")</f>
        <v/>
      </c>
      <c r="IG10" s="2247" t="str">
        <f t="shared" ref="IG10:IG47" si="219">IF(AND($C10=2, $O10="SF Detached",NOT($Q10="Yes")),$E10,"")</f>
        <v/>
      </c>
      <c r="IH10" s="2247" t="str">
        <f t="shared" ref="IH10:IH47" si="220">IF(AND($C10=3, $O10="SF Detached",NOT($Q10="Yes")),$E10,"")</f>
        <v/>
      </c>
      <c r="II10" s="2247" t="str">
        <f t="shared" ref="II10:II47" si="221">IF(AND($C10=4, $O10="SF Detached",NOT($Q10="Yes")),$E10,"")</f>
        <v/>
      </c>
      <c r="IJ10" s="2247" t="str">
        <f t="shared" ref="IJ10:IJ47" si="222">IF(AND($C10="Efficiency", $O10="SF Detached",$Q10="Yes"),$E10,"")</f>
        <v/>
      </c>
      <c r="IK10" s="2247" t="str">
        <f t="shared" ref="IK10:IK47" si="223">IF(AND($C10=1, $O10="SF Detached",$Q10="Yes"),$E10,"")</f>
        <v/>
      </c>
      <c r="IL10" s="2247" t="str">
        <f t="shared" ref="IL10:IL47" si="224">IF(AND($C10=2, $O10="SF Detached",$Q10="Yes"),$E10,"")</f>
        <v/>
      </c>
      <c r="IM10" s="2247" t="str">
        <f t="shared" ref="IM10:IM47" si="225">IF(AND($C10=3, $O10="SF Detached",$Q10="Yes"),$E10,"")</f>
        <v/>
      </c>
      <c r="IN10" s="2247" t="str">
        <f t="shared" ref="IN10:IN47" si="226">IF(AND($C10=4, $O10="SF Detached",$Q10="Yes"),$E10,"")</f>
        <v/>
      </c>
      <c r="IO10" s="2247" t="str">
        <f t="shared" ref="IO10:IO47" si="227">IF(AND($C10="Efficiency", $O10="Mfd Home",NOT($Q10="Yes")),$E10,"")</f>
        <v/>
      </c>
      <c r="IP10" s="2247" t="str">
        <f t="shared" ref="IP10:IP47" si="228">IF(AND($C10=1, $O10="Mfd Home",NOT($Q10="Yes")),$E10,"")</f>
        <v/>
      </c>
      <c r="IQ10" s="2247" t="str">
        <f t="shared" ref="IQ10:IQ47" si="229">IF(AND($C10=2, $O10="Mfd Home",NOT($Q10="Yes")),$E10,"")</f>
        <v/>
      </c>
      <c r="IR10" s="2247" t="str">
        <f t="shared" ref="IR10:IR47" si="230">IF(AND($C10=3, $O10="Mfd Home",NOT($Q10="Yes")),$E10,"")</f>
        <v/>
      </c>
      <c r="IS10" s="2247" t="str">
        <f t="shared" ref="IS10:IS47" si="231">IF(AND($C10=4, $O10="Mfd Home",NOT($Q10="Yes")),$E10,"")</f>
        <v/>
      </c>
      <c r="IT10" s="2247" t="str">
        <f t="shared" ref="IT10:IT47" si="232">IF(AND($C10="Efficiency", $O10="Mfd Home",$Q10="Yes"),$E10,"")</f>
        <v/>
      </c>
      <c r="IU10" s="2247" t="str">
        <f t="shared" ref="IU10:IU47" si="233">IF(AND($C10=1, $O10="Mfd Home",$Q10="Yes"),$E10,"")</f>
        <v/>
      </c>
      <c r="IV10" s="2247" t="str">
        <f t="shared" ref="IV10:IV47" si="234">IF(AND($C10=2, $O10="Mfd Home",$Q10="Yes"),$E10,"")</f>
        <v/>
      </c>
      <c r="IW10" s="2247" t="str">
        <f t="shared" ref="IW10:IW47" si="235">IF(AND($C10=3, $O10="Mfd Home",$Q10="Yes"),$E10,"")</f>
        <v/>
      </c>
      <c r="IX10" s="2247" t="str">
        <f t="shared" ref="IX10:IX47" si="236">IF(AND($C10=4, $O10="Mfd Home",$Q10="Yes"),$E10,"")</f>
        <v/>
      </c>
      <c r="IY10" s="2247" t="str">
        <f t="shared" ref="IY10:IY47" si="237">IF(AND($C10="Efficiency", $O10="Duplex",NOT($Q10="Yes")),$E10,"")</f>
        <v/>
      </c>
      <c r="IZ10" s="2247" t="str">
        <f t="shared" ref="IZ10:IZ47" si="238">IF(AND($C10=1, $O10="Duplex",NOT($Q10="Yes")),$E10,"")</f>
        <v/>
      </c>
      <c r="JA10" s="2247" t="str">
        <f t="shared" ref="JA10:JA47" si="239">IF(AND($C10=2, $O10="Duplex",NOT($Q10="Yes")),$E10,"")</f>
        <v/>
      </c>
      <c r="JB10" s="2247" t="str">
        <f t="shared" ref="JB10:JB47" si="240">IF(AND($C10=3, $O10="Duplex",NOT($Q10="Yes")),$E10,"")</f>
        <v/>
      </c>
      <c r="JC10" s="2247" t="str">
        <f t="shared" ref="JC10:JC47" si="241">IF(AND($C10=4, $O10="Duplex",NOT($Q10="Yes")),$E10,"")</f>
        <v/>
      </c>
      <c r="JD10" s="2247" t="str">
        <f t="shared" ref="JD10:JD47" si="242">IF(AND($C10="Efficiency", $O10="Duplex",$Q10="Yes"),$E10,"")</f>
        <v/>
      </c>
      <c r="JE10" s="2247" t="str">
        <f t="shared" ref="JE10:JE47" si="243">IF(AND($C10=1, $O10="Duplex",$Q10="Yes"),$E10,"")</f>
        <v/>
      </c>
      <c r="JF10" s="2247" t="str">
        <f t="shared" ref="JF10:JF47" si="244">IF(AND($C10=2, $O10="Duplex",$Q10="Yes"),$E10,"")</f>
        <v/>
      </c>
      <c r="JG10" s="2247" t="str">
        <f t="shared" ref="JG10:JG47" si="245">IF(AND($C10=3, $O10="Duplex",$Q10="Yes"),$E10,"")</f>
        <v/>
      </c>
      <c r="JH10" s="2247" t="str">
        <f t="shared" ref="JH10:JH47" si="246">IF(AND($C10=4, $O10="Duplex",$Q10="Yes"),$E10,"")</f>
        <v/>
      </c>
      <c r="JI10" s="2247" t="str">
        <f t="shared" ref="JI10:JI47" si="247">IF(AND($C10="Efficiency", $O10="Townhome",NOT($Q10="Yes")),$E10,"")</f>
        <v/>
      </c>
      <c r="JJ10" s="2247" t="str">
        <f t="shared" ref="JJ10:JJ47" si="248">IF(AND($C10=1, $O10="Townhome",NOT($Q10="Yes")),$E10,"")</f>
        <v/>
      </c>
      <c r="JK10" s="2247" t="str">
        <f t="shared" ref="JK10:JK47" si="249">IF(AND($C10=2, $O10="Townhome",NOT($Q10="Yes")),$E10,"")</f>
        <v/>
      </c>
      <c r="JL10" s="2247" t="str">
        <f t="shared" ref="JL10:JL47" si="250">IF(AND($C10=3, $O10="Townhome",NOT($Q10="Yes")),$E10,"")</f>
        <v/>
      </c>
      <c r="JM10" s="2247" t="str">
        <f t="shared" ref="JM10:JM47" si="251">IF(AND($C10=4, $O10="Townhome",NOT($Q10="Yes")),$E10,"")</f>
        <v/>
      </c>
      <c r="JN10" s="2247" t="str">
        <f t="shared" ref="JN10:JN47" si="252">IF(AND($C10="Efficiency", $O10="Townhome",$Q10="Yes"),$E10,"")</f>
        <v/>
      </c>
      <c r="JO10" s="2247" t="str">
        <f t="shared" ref="JO10:JO47" si="253">IF(AND($C10=1, $O10="Townhome",$Q10="Yes"),$E10,"")</f>
        <v/>
      </c>
      <c r="JP10" s="2247" t="str">
        <f t="shared" ref="JP10:JP47" si="254">IF(AND($C10=2, $O10="Townhome",$Q10="Yes"),$E10,"")</f>
        <v/>
      </c>
      <c r="JQ10" s="2247" t="str">
        <f t="shared" ref="JQ10:JQ47" si="255">IF(AND($C10=3, $O10="Townhome",$Q10="Yes"),$E10,"")</f>
        <v/>
      </c>
      <c r="JR10" s="2247" t="str">
        <f t="shared" ref="JR10:JR47" si="256">IF(AND($C10=4, $O10="Townhome",$Q10="Yes"),$E10,"")</f>
        <v/>
      </c>
      <c r="JS10" s="2247" t="str">
        <f t="shared" ref="JS10:JS47" si="257">IF(AND($C10="Efficiency", $O10="1-Story",NOT($Q10="Yes")),$E10,"")</f>
        <v/>
      </c>
      <c r="JT10" s="2247" t="str">
        <f t="shared" ref="JT10:JT47" si="258">IF(AND($C10=1, $O10="1-Story",NOT($Q10="Yes")),$E10,"")</f>
        <v/>
      </c>
      <c r="JU10" s="2247" t="str">
        <f t="shared" ref="JU10:JU47" si="259">IF(AND($C10=2, $O10="1-Story",NOT($Q10="Yes")),$E10,"")</f>
        <v/>
      </c>
      <c r="JV10" s="2247" t="str">
        <f t="shared" ref="JV10:JV47" si="260">IF(AND($C10=3, $O10="1-Story",NOT($Q10="Yes")),$E10,"")</f>
        <v/>
      </c>
      <c r="JW10" s="2247" t="str">
        <f t="shared" ref="JW10:JW47" si="261">IF(AND($C10=4, $O10="1-Story",NOT($Q10="Yes")),$E10,"")</f>
        <v/>
      </c>
      <c r="JX10" s="2247" t="str">
        <f t="shared" ref="JX10:JX47" si="262">IF(AND($C10="Efficiency", $O10="1-Story",$Q10="Yes"),$E10,"")</f>
        <v/>
      </c>
      <c r="JY10" s="2247" t="str">
        <f t="shared" ref="JY10:JY47" si="263">IF(AND($C10=1, $O10="1-Story",$Q10="Yes"),$E10,"")</f>
        <v/>
      </c>
      <c r="JZ10" s="2247" t="str">
        <f t="shared" ref="JZ10:JZ47" si="264">IF(AND($C10=2, $O10="1-Story",$Q10="Yes"),$E10,"")</f>
        <v/>
      </c>
      <c r="KA10" s="2247" t="str">
        <f t="shared" ref="KA10:KA47" si="265">IF(AND($C10=3, $O10="1-Story",$Q10="Yes"),$E10,"")</f>
        <v/>
      </c>
      <c r="KB10" s="2247" t="str">
        <f t="shared" ref="KB10:KB47" si="266">IF(AND($C10=4, $O10="1-Story",$Q10="Yes"),$E10,"")</f>
        <v/>
      </c>
      <c r="KC10" s="2247" t="str">
        <f t="shared" ref="KC10:KC47" si="267">IF(AND($C10="Efficiency", $O10="2-Story",NOT($Q10="Yes")),$E10,"")</f>
        <v/>
      </c>
      <c r="KD10" s="2247" t="str">
        <f t="shared" ref="KD10:KD47" si="268">IF(AND($C10=1, $O10="2-Story",NOT($Q10="Yes")),$E10,"")</f>
        <v/>
      </c>
      <c r="KE10" s="2247" t="str">
        <f t="shared" ref="KE10:KE47" si="269">IF(AND($C10=2, $O10="2-Story",NOT($Q10="Yes")),$E10,"")</f>
        <v/>
      </c>
      <c r="KF10" s="2247" t="str">
        <f t="shared" ref="KF10:KF47" si="270">IF(AND($C10=3, $O10="2-Story",NOT($Q10="Yes")),$E10,"")</f>
        <v/>
      </c>
      <c r="KG10" s="2247" t="str">
        <f t="shared" ref="KG10:KG47" si="271">IF(AND($C10=4, $O10="2-Story",NOT($Q10="Yes")),$E10,"")</f>
        <v/>
      </c>
      <c r="KH10" s="2247" t="str">
        <f t="shared" ref="KH10:KH47" si="272">IF(AND($C10="Efficiency", $O10="2-Story",$Q10="Yes"),$E10,"")</f>
        <v/>
      </c>
      <c r="KI10" s="2247" t="str">
        <f t="shared" ref="KI10:KI47" si="273">IF(AND($C10=1, $O10="2-Story",$Q10="Yes"),$E10,"")</f>
        <v/>
      </c>
      <c r="KJ10" s="2247" t="str">
        <f t="shared" ref="KJ10:KJ47" si="274">IF(AND($C10=2, $O10="2-Story",$Q10="Yes"),$E10,"")</f>
        <v/>
      </c>
      <c r="KK10" s="2247" t="str">
        <f t="shared" ref="KK10:KK47" si="275">IF(AND($C10=3, $O10="2-Story",$Q10="Yes"),$E10,"")</f>
        <v/>
      </c>
      <c r="KL10" s="2247" t="str">
        <f t="shared" ref="KL10:KL47" si="276">IF(AND($C10=4, $O10="2-Story",$Q10="Yes"),$E10,"")</f>
        <v/>
      </c>
      <c r="KM10" s="2247" t="str">
        <f t="shared" ref="KM10:KM47" si="277">IF(AND($C10="Efficiency", $O10="2-Story Walkup",NOT($Q10="Yes")),$E10,"")</f>
        <v/>
      </c>
      <c r="KN10" s="2247" t="str">
        <f t="shared" ref="KN10:KN47" si="278">IF(AND($C10=1, $O10="2-Story Walkup",NOT($Q10="Yes")),$E10,"")</f>
        <v/>
      </c>
      <c r="KO10" s="2247" t="str">
        <f t="shared" ref="KO10:KO47" si="279">IF(AND($C10=2, $O10="2-Story Walkup",NOT($Q10="Yes")),$E10,"")</f>
        <v/>
      </c>
      <c r="KP10" s="2247" t="str">
        <f t="shared" ref="KP10:KP47" si="280">IF(AND($C10=3, $O10="2-Story Walkup",NOT($Q10="Yes")),$E10,"")</f>
        <v/>
      </c>
      <c r="KQ10" s="2247" t="str">
        <f t="shared" ref="KQ10:KQ47" si="281">IF(AND($C10=4, $O10="2-Story Walkup",NOT($Q10="Yes")),$E10,"")</f>
        <v/>
      </c>
      <c r="KR10" s="2247" t="str">
        <f t="shared" ref="KR10:KR47" si="282">IF(AND($C10="Efficiency", $O10="2-Story Walkup",$Q10="Yes"),$E10,"")</f>
        <v/>
      </c>
      <c r="KS10" s="2247" t="str">
        <f t="shared" ref="KS10:KS47" si="283">IF(AND($C10=1, $O10="2-Story Walkup",$Q10="Yes"),$E10,"")</f>
        <v/>
      </c>
      <c r="KT10" s="2247" t="str">
        <f t="shared" ref="KT10:KT47" si="284">IF(AND($C10=2, $O10="2-Story Walkup",$Q10="Yes"),$E10,"")</f>
        <v/>
      </c>
      <c r="KU10" s="2247" t="str">
        <f t="shared" ref="KU10:KU47" si="285">IF(AND($C10=3, $O10="2-Story Walkup",$Q10="Yes"),$E10,"")</f>
        <v/>
      </c>
      <c r="KV10" s="2247" t="str">
        <f t="shared" ref="KV10:KV47" si="286">IF(AND($C10=4, $O10="2-Story Walkup",$Q10="Yes"),$E10,"")</f>
        <v/>
      </c>
      <c r="KW10" s="2247" t="str">
        <f t="shared" ref="KW10:KW47" si="287">IF(AND($C10="Efficiency", $O10="3+ Story",NOT($Q10="Yes")),$E10,"")</f>
        <v/>
      </c>
      <c r="KX10" s="2247" t="str">
        <f t="shared" ref="KX10:KX47" si="288">IF(AND($C10=1, $O10="3+ Story",NOT($Q10="Yes")),$E10,"")</f>
        <v/>
      </c>
      <c r="KY10" s="2247" t="str">
        <f t="shared" ref="KY10:KY47" si="289">IF(AND($C10=2, $O10="3+ Story",NOT($Q10="Yes")),$E10,"")</f>
        <v/>
      </c>
      <c r="KZ10" s="2247" t="str">
        <f t="shared" ref="KZ10:KZ47" si="290">IF(AND($C10=3, $O10="3+ Story",NOT($Q10="Yes")),$E10,"")</f>
        <v/>
      </c>
      <c r="LA10" s="2247" t="str">
        <f t="shared" ref="LA10:LA47" si="291">IF(AND($C10=4, $O10="3+ Story",NOT($Q10="Yes")),$E10,"")</f>
        <v/>
      </c>
      <c r="LB10" s="2247" t="str">
        <f t="shared" ref="LB10:LB47" si="292">IF(AND($C10="Efficiency", $O10="3+ Story",$Q10="Yes"),$E10,"")</f>
        <v/>
      </c>
      <c r="LC10" s="2247" t="str">
        <f t="shared" ref="LC10:LC47" si="293">IF(AND($C10=1, $O10="3+ Story",$Q10="Yes"),$E10,"")</f>
        <v/>
      </c>
      <c r="LD10" s="2247" t="str">
        <f t="shared" ref="LD10:LD47" si="294">IF(AND($C10=2, $O10="3+ Story",$Q10="Yes"),$E10,"")</f>
        <v/>
      </c>
      <c r="LE10" s="2247" t="str">
        <f t="shared" ref="LE10:LE47" si="295">IF(AND($C10=3, $O10="3+ Story",$Q10="Yes"),$E10,"")</f>
        <v/>
      </c>
      <c r="LF10" s="2247" t="str">
        <f t="shared" ref="LF10:LF47" si="296">IF(AND($C10=4, $O10="3+ Story",$Q10="Yes"),$E10,"")</f>
        <v/>
      </c>
      <c r="LG10" s="2247" t="str">
        <f t="shared" ref="LG10:LG47" si="297">IF(AND($C10="Efficiency", $O10="3+ Story Elevator",NOT($Q10="Yes")),$E10,"")</f>
        <v/>
      </c>
      <c r="LH10" s="2247" t="str">
        <f t="shared" ref="LH10:LH47" si="298">IF(AND($C10=1, $O10="3+ Story Elevator",NOT($Q10="Yes")),$E10,"")</f>
        <v/>
      </c>
      <c r="LI10" s="2247" t="str">
        <f t="shared" ref="LI10:LI47" si="299">IF(AND($C10=2, $O10="3+ Story Elevator",NOT($Q10="Yes")),$E10,"")</f>
        <v/>
      </c>
      <c r="LJ10" s="2247" t="str">
        <f t="shared" ref="LJ10:LJ47" si="300">IF(AND($C10=3, $O10="3+ Story Elevator",NOT($Q10="Yes")),$E10,"")</f>
        <v/>
      </c>
      <c r="LK10" s="2247" t="str">
        <f t="shared" ref="LK10:LK47" si="301">IF(AND($C10=4, $O10="3+ Story Elevator",NOT($Q10="Yes")),$E10,"")</f>
        <v/>
      </c>
      <c r="LL10" s="2247" t="str">
        <f t="shared" ref="LL10:LL47" si="302">IF(AND($C10="Efficiency", $O10="3+ Story Elevator",$Q10="Yes"),$E10,"")</f>
        <v/>
      </c>
      <c r="LM10" s="2247" t="str">
        <f t="shared" ref="LM10:LM47" si="303">IF(AND($C10=1, $O10="3+ Story Elevator",$Q10="Yes"),$E10,"")</f>
        <v/>
      </c>
      <c r="LN10" s="2247" t="str">
        <f t="shared" ref="LN10:LN47" si="304">IF(AND($C10=2, $O10="3+ Story Elevator",$Q10="Yes"),$E10,"")</f>
        <v/>
      </c>
      <c r="LO10" s="2247" t="str">
        <f t="shared" ref="LO10:LO47" si="305">IF(AND($C10=3, $O10="3+ Story Elevator",$Q10="Yes"),$E10,"")</f>
        <v/>
      </c>
      <c r="LP10" s="2247" t="str">
        <f t="shared" ref="LP10:LP47" si="306">IF(AND($C10=4, $O10="3+ Story Elevator",$Q10="Yes"),$E10,"")</f>
        <v/>
      </c>
      <c r="LQ10" s="2248" t="str">
        <f t="shared" ref="LQ10:LQ47" si="307">IF(AND($B10="NSP 120% AMI",$C10="Efficiency", NOT($N10="Common Space")),$E10,"")</f>
        <v/>
      </c>
      <c r="LR10" s="2248" t="str">
        <f t="shared" ref="LR10:LR47" si="308">IF(AND($B10="NSP 120% AMI",$C10=1,NOT($N10="Common Space")),$E10,"")</f>
        <v/>
      </c>
      <c r="LS10" s="2248" t="str">
        <f t="shared" ref="LS10:LS47" si="309">IF(AND($B10="NSP 120% AMI",$C10=2,NOT($N10="Common Space")),$E10,"")</f>
        <v/>
      </c>
      <c r="LT10" s="2248" t="str">
        <f t="shared" ref="LT10:LT47" si="310">IF(AND($B10="NSP 120% AMI",$C10=3,NOT($N10="Common Space")),$E10,"")</f>
        <v/>
      </c>
      <c r="LU10" s="2248" t="str">
        <f t="shared" ref="LU10:LU47" si="311">IF(AND($B10="NSP 120% AMI",$C10=4,NOT($N10="Common Space")),$E10,"")</f>
        <v/>
      </c>
      <c r="LV10" s="443" t="str">
        <f t="shared" ref="LV10:LV47" si="312">IF(AND(C10="Efficiency",B10="NSP 120% AMI",NOT(N10="Common Space")),E10*F10,"")</f>
        <v/>
      </c>
      <c r="LW10" s="443" t="str">
        <f t="shared" ref="LW10:LW47" si="313">IF(AND(C10=1,B10="NSP 120% AMI",NOT(N10="Common Space")),E10*F10,"")</f>
        <v/>
      </c>
      <c r="LX10" s="443" t="str">
        <f t="shared" ref="LX10:LX47" si="314">IF(AND(C10=2,B10="NSP 120% AMI",NOT(N10="Common Space")),E10*F10,"")</f>
        <v/>
      </c>
      <c r="LY10" s="443" t="str">
        <f t="shared" ref="LY10:LY47" si="315">IF(AND(C10=3,B10="NSP 120% AMI",NOT(N10="Common Space")),E10*F10,"")</f>
        <v/>
      </c>
      <c r="LZ10" s="443" t="str">
        <f t="shared" ref="LZ10:LZ47" si="316">IF(AND(C10=4,B10="NSP 120% AMI",NOT(N10="Common Space")),E10*F10,"")</f>
        <v/>
      </c>
      <c r="MA10" s="443" t="str">
        <f t="shared" ref="MA10:MA47" si="317">IF(AND($C10="Efficiency", $P10="New Construction",$B10="NSP 120% AMI",NOT($N10="Common Space")),$E10,"")</f>
        <v/>
      </c>
      <c r="MB10" s="443" t="str">
        <f t="shared" ref="MB10:MB47" si="318">IF(AND($C10=1, $P10="New Construction",$B10="NSP 120% AMI",NOT($N10="Common Space")),$E10,"")</f>
        <v/>
      </c>
      <c r="MC10" s="443" t="str">
        <f t="shared" ref="MC10:MC47" si="319">IF(AND($C10=2, $P10="New Construction",$B10="NSP 120% AMI",NOT($N10="Common Space")),$E10,"")</f>
        <v/>
      </c>
      <c r="MD10" s="443" t="str">
        <f t="shared" ref="MD10:MD47" si="320">IF(AND($C10=3, $P10="New Construction",$B10="NSP 120% AMI",NOT($N10="Common Space")),$E10,"")</f>
        <v/>
      </c>
      <c r="ME10" s="443" t="str">
        <f t="shared" ref="ME10:ME47" si="321">IF(AND($C10=4, $P10="New Construction",$B10="NSP 120% AMI",NOT($N10="Common Space")),$E10,"")</f>
        <v/>
      </c>
      <c r="MF10" s="443" t="str">
        <f t="shared" ref="MF10:MF47" si="322">IF(AND($C10="Efficiency", $P10="Acquisition/Rehab",$B10="NSP 120% AMI",NOT($N10="Common Space")),$E10,"")</f>
        <v/>
      </c>
      <c r="MG10" s="443" t="str">
        <f t="shared" ref="MG10:MG47" si="323">IF(AND($C10=1, $P10="Acquisition/Rehab",$B10="NSP 120% AMI",NOT($N10="Common Space")),$E10,"")</f>
        <v/>
      </c>
      <c r="MH10" s="443" t="str">
        <f t="shared" ref="MH10:MH47" si="324">IF(AND($C10=2, $P10="Acquisition/Rehab",$B10="NSP 120% AMI",NOT($N10="Common Space")),$E10,"")</f>
        <v/>
      </c>
      <c r="MI10" s="443" t="str">
        <f t="shared" ref="MI10:MI47" si="325">IF(AND($C10=3, $P10="Acquisition/Rehab",$B10="NSP 120% AMI",NOT($N10="Common Space")),$E10,"")</f>
        <v/>
      </c>
      <c r="MJ10" s="443" t="str">
        <f t="shared" ref="MJ10:MJ47" si="326">IF(AND($C10=4, $P10="Acquisition/Rehab",$B10="NSP 120% AMI",NOT($N10="Common Space")),$E10,"")</f>
        <v/>
      </c>
      <c r="MK10" s="443" t="str">
        <f t="shared" ref="MK10:MK47" si="327">IF(AND($C10="Efficiency", $P10="Rehabilitation",$B10="NSP 120% AMI",NOT($N10="Common Space")),$E10,"")</f>
        <v/>
      </c>
      <c r="ML10" s="443" t="str">
        <f t="shared" ref="ML10:ML47" si="328">IF(AND($C10=1, $P10="Rehabilitation",$B10="NSP 120% AMI",NOT($N10="Common Space")),$E10,"")</f>
        <v/>
      </c>
      <c r="MM10" s="443" t="str">
        <f t="shared" ref="MM10:MM47" si="329">IF(AND($C10=2, $P10="Rehabilitation",$B10="NSP 120% AMI",NOT($N10="Common Space")),$E10,"")</f>
        <v/>
      </c>
      <c r="MN10" s="443" t="str">
        <f t="shared" ref="MN10:MN47" si="330">IF(AND($C10=3, $P10="Rehabilitation",$B10="NSP 120% AMI",NOT($N10="Common Space")),$E10,"")</f>
        <v/>
      </c>
      <c r="MO10" s="443" t="str">
        <f t="shared" ref="MO10:MO47" si="331">IF(AND($C10=4, $P10="Rehabilitation",$B10="NSP 120% AMI",NOT($N10="Common Space")),$E10,"")</f>
        <v/>
      </c>
      <c r="MP10" s="2246">
        <f>IF(AND($C10="Efficiency",$E10&gt;0,OR($O10="1-Story",$O10="2-Story",$O10="3+ Story",$O10="3+ Story Elevator",$O10="2-Story Walkup",$O10="Townhome"),OR($P10="Acquisition/Rehab",$P10="Rehabilitation"),NOT($Q10="Yes")),$E10,0)</f>
        <v>0</v>
      </c>
      <c r="MQ10" s="2246">
        <f>IF(AND($C10=1,$E10&gt;0,OR($O10="1-Story",$O10="2-Story",$O10="3+ Story",$O10="3+ Story Elevator",$O10="2-Story Walkup",$O10="Townhome"),OR($P10="Acquisition/Rehab",$P10="Rehabilitation"),NOT($Q10="Yes")),$E10,0)</f>
        <v>0</v>
      </c>
      <c r="MR10" s="2246">
        <f>IF(AND($C10=2,$E10&gt;0,OR($O10="1-Story",$O10="2-Story",$O10="3+ Story",$O10="3+ Story Elevator",$O10="2-Story Walkup",$O10="Townhome"),OR($P10="Acquisition/Rehab",$P10="Rehabilitation"),NOT($Q10="Yes")),$E10,0)</f>
        <v>0</v>
      </c>
      <c r="MS10" s="2246">
        <f>IF(AND($C10=3,$E10&gt;0,OR($O10="1-Story",$O10="2-Story",$O10="3+ Story",$O10="3+ Story Elevator",$O10="2-Story Walkup",$O10="Townhome"),OR($P10="Acquisition/Rehab",$P10="Rehabilitation"),NOT($Q10="Yes")),$E10,0)</f>
        <v>0</v>
      </c>
      <c r="MT10" s="2246">
        <f>IF(AND($C10=4,$E10&gt;0,OR($O10="1-Story",$O10="2-Story",$O10="3+ Story",$O10="3+ Story Elevator",$O10="2-Story Walkup",$O10="Townhome"),OR($P10="Acquisition/Rehab",$P10="Rehabilitation"),NOT($Q10="Yes")),$E10,0)</f>
        <v>0</v>
      </c>
      <c r="MU10" s="2246">
        <f>IF(AND($C10="Efficiency",$E10&gt;0,OR($O10="1-Story",$O10="2-Story",$O10="3+ Story",$O10="3+ Story Elevator",$O10="2-Story Walkup",$O10="Townhome"),$P10="New Construction"),$E10,0)</f>
        <v>0</v>
      </c>
      <c r="MV10" s="2246">
        <f>IF(AND($C10=1,$E10&gt;0,OR($O10="1-Story",$O10="2-Story",$O10="3+ Story",$O10="3+ Story Elevator",$O10="2-Story Walkup",$O10="Townhome"),$P10="New Construction"),$E10,0)</f>
        <v>0</v>
      </c>
      <c r="MW10" s="2246">
        <f>IF(AND($C10=2,$E10&gt;0,OR($O10="1-Story",$O10="2-Story",$O10="3+ Story",$O10="3+ Story Elevator",$O10="2-Story Walkup",$O10="Townhome"),$P10="New Construction"),$E10,0)</f>
        <v>0</v>
      </c>
      <c r="MX10" s="2246">
        <f>IF(AND($C10=3,$E10&gt;0,OR($O10="1-Story",$O10="2-Story",$O10="3+ Story",$O10="3+ Story Elevator",$O10="2-Story Walkup",$O10="Townhome"),$P10="New Construction"),$E10,0)</f>
        <v>0</v>
      </c>
      <c r="MY10" s="2246">
        <f>IF(AND($C10=4,$E10&gt;0,OR($O10="1-Story",$O10="2-Story",$O10="3+ Story",$O10="3+ Story Elevator",$O10="2-Story Walkup",$O10="Townhome"),$P10="New Construction"),$E10,0)</f>
        <v>0</v>
      </c>
      <c r="MZ10" s="2246">
        <f t="shared" ref="MZ10:MZ47" si="332">IF(AND($C10="Efficiency",$E10&gt;0,OR($O10="SF Detached",$O10="Duplex",$O10="Mfd Home"),NOT($Q10="Yes")),$E10,0)</f>
        <v>0</v>
      </c>
      <c r="NA10" s="2246">
        <f t="shared" ref="NA10:NA47" si="333">IF(AND($C10=1,$E10&gt;0,OR($O10="SF Detached",$O10="Duplex",$O10="Mfd Home"),NOT($Q10="Yes")),$E10,0)</f>
        <v>0</v>
      </c>
      <c r="NB10" s="2246">
        <f t="shared" ref="NB10:NB47" si="334">IF(AND($C10=2,$E10&gt;0,OR($O10="SF Detached",$O10="Duplex",$O10="Mfd Home"),NOT($Q10="Yes")),$E10,0)</f>
        <v>0</v>
      </c>
      <c r="NC10" s="2246">
        <f t="shared" ref="NC10:NC47" si="335">IF(AND($C10=3,$E10&gt;0,OR($O10="SF Detached",$O10="Duplex",$O10="Mfd Home"),NOT($Q10="Yes")),$E10,0)</f>
        <v>0</v>
      </c>
      <c r="ND10" s="2246">
        <f t="shared" ref="ND10:ND47" si="336">IF(AND($C10=4,$E10&gt;0,OR($O10="SF Detached",$O10="Duplex",$O10="Mfd Home"),NOT($Q10="Yes")),$E10,0)</f>
        <v>0</v>
      </c>
    </row>
    <row r="11" spans="1:503" ht="13.95" customHeight="1">
      <c r="A11" s="109" t="str">
        <f t="shared" ref="A11:A47" si="337">IF(AND(E11&gt;0,OR(B11="",C11="",D11="",F11="",G11="", H11="",I11="",N11="",O11="",P11="",Q11="")),1,"")</f>
        <v/>
      </c>
      <c r="B11" s="3986" t="s">
        <v>4118</v>
      </c>
      <c r="C11" s="3987"/>
      <c r="D11" s="3988"/>
      <c r="E11" s="3989"/>
      <c r="F11" s="3989"/>
      <c r="G11" s="3989"/>
      <c r="H11" s="3989"/>
      <c r="I11" s="3989"/>
      <c r="J11" s="3990"/>
      <c r="K11" s="3991"/>
      <c r="L11" s="567">
        <f t="shared" si="0"/>
        <v>0</v>
      </c>
      <c r="M11" s="567">
        <f t="shared" si="1"/>
        <v>0</v>
      </c>
      <c r="N11" s="3992"/>
      <c r="O11" s="3992"/>
      <c r="P11" s="3992"/>
      <c r="Q11" s="3993"/>
      <c r="R11" s="3994"/>
      <c r="S11" s="3995"/>
      <c r="T11" s="3996"/>
      <c r="U11" s="3997"/>
      <c r="V11" s="3997"/>
      <c r="W11" s="3998"/>
      <c r="X11" s="443" t="str">
        <f t="shared" si="2"/>
        <v/>
      </c>
      <c r="Y11" s="443" t="str">
        <f t="shared" si="3"/>
        <v/>
      </c>
      <c r="Z11" s="443" t="str">
        <f t="shared" si="4"/>
        <v/>
      </c>
      <c r="AA11" s="443" t="str">
        <f t="shared" si="5"/>
        <v/>
      </c>
      <c r="AB11" s="443" t="str">
        <f t="shared" si="6"/>
        <v/>
      </c>
      <c r="AC11" s="443" t="str">
        <f t="shared" si="7"/>
        <v/>
      </c>
      <c r="AD11" s="443" t="str">
        <f t="shared" si="8"/>
        <v/>
      </c>
      <c r="AE11" s="443" t="str">
        <f t="shared" si="9"/>
        <v/>
      </c>
      <c r="AF11" s="443" t="str">
        <f t="shared" si="10"/>
        <v/>
      </c>
      <c r="AG11" s="443" t="str">
        <f t="shared" si="11"/>
        <v/>
      </c>
      <c r="AH11" s="443" t="str">
        <f t="shared" si="12"/>
        <v/>
      </c>
      <c r="AI11" s="443" t="str">
        <f t="shared" si="13"/>
        <v/>
      </c>
      <c r="AJ11" s="443" t="str">
        <f t="shared" si="14"/>
        <v/>
      </c>
      <c r="AK11" s="443" t="str">
        <f t="shared" si="15"/>
        <v/>
      </c>
      <c r="AL11" s="443" t="str">
        <f t="shared" si="16"/>
        <v/>
      </c>
      <c r="AM11" s="443" t="str">
        <f t="shared" si="17"/>
        <v/>
      </c>
      <c r="AN11" s="443" t="str">
        <f t="shared" si="18"/>
        <v/>
      </c>
      <c r="AO11" s="443" t="str">
        <f t="shared" si="19"/>
        <v/>
      </c>
      <c r="AP11" s="443" t="str">
        <f t="shared" si="20"/>
        <v/>
      </c>
      <c r="AQ11" s="443" t="str">
        <f t="shared" si="21"/>
        <v/>
      </c>
      <c r="AR11" s="443" t="str">
        <f t="shared" si="22"/>
        <v/>
      </c>
      <c r="AS11" s="443" t="str">
        <f t="shared" si="23"/>
        <v/>
      </c>
      <c r="AT11" s="443" t="str">
        <f t="shared" si="24"/>
        <v/>
      </c>
      <c r="AU11" s="443" t="str">
        <f t="shared" si="25"/>
        <v/>
      </c>
      <c r="AV11" s="443" t="str">
        <f t="shared" si="26"/>
        <v/>
      </c>
      <c r="AW11" s="443" t="str">
        <f t="shared" si="27"/>
        <v/>
      </c>
      <c r="AX11" s="443" t="str">
        <f t="shared" si="28"/>
        <v/>
      </c>
      <c r="AY11" s="443" t="str">
        <f t="shared" si="29"/>
        <v/>
      </c>
      <c r="AZ11" s="443" t="str">
        <f t="shared" si="30"/>
        <v/>
      </c>
      <c r="BA11" s="443" t="str">
        <f t="shared" si="31"/>
        <v/>
      </c>
      <c r="BB11" s="443" t="str">
        <f t="shared" si="32"/>
        <v/>
      </c>
      <c r="BC11" s="443" t="str">
        <f t="shared" si="33"/>
        <v/>
      </c>
      <c r="BD11" s="443" t="str">
        <f t="shared" si="34"/>
        <v/>
      </c>
      <c r="BE11" s="443" t="str">
        <f t="shared" si="35"/>
        <v/>
      </c>
      <c r="BF11" s="443" t="str">
        <f t="shared" si="36"/>
        <v/>
      </c>
      <c r="BG11" s="443" t="str">
        <f t="shared" si="37"/>
        <v/>
      </c>
      <c r="BH11" s="443" t="str">
        <f t="shared" si="38"/>
        <v/>
      </c>
      <c r="BI11" s="443" t="str">
        <f t="shared" si="39"/>
        <v/>
      </c>
      <c r="BJ11" s="443" t="str">
        <f t="shared" si="40"/>
        <v/>
      </c>
      <c r="BK11" s="443" t="str">
        <f t="shared" si="41"/>
        <v/>
      </c>
      <c r="BL11" s="443" t="str">
        <f t="shared" si="42"/>
        <v/>
      </c>
      <c r="BM11" s="443" t="str">
        <f t="shared" si="43"/>
        <v/>
      </c>
      <c r="BN11" s="443" t="str">
        <f t="shared" si="44"/>
        <v/>
      </c>
      <c r="BO11" s="443" t="str">
        <f t="shared" si="45"/>
        <v/>
      </c>
      <c r="BP11" s="443" t="str">
        <f t="shared" si="46"/>
        <v/>
      </c>
      <c r="BQ11" s="443" t="str">
        <f t="shared" si="47"/>
        <v/>
      </c>
      <c r="BR11" s="443" t="str">
        <f t="shared" si="48"/>
        <v/>
      </c>
      <c r="BS11" s="443" t="str">
        <f t="shared" si="49"/>
        <v/>
      </c>
      <c r="BT11" s="443" t="str">
        <f t="shared" si="50"/>
        <v/>
      </c>
      <c r="BU11" s="443" t="str">
        <f t="shared" si="51"/>
        <v/>
      </c>
      <c r="BV11" s="443" t="str">
        <f t="shared" si="52"/>
        <v/>
      </c>
      <c r="BW11" s="443" t="str">
        <f t="shared" si="53"/>
        <v/>
      </c>
      <c r="BX11" s="443" t="str">
        <f t="shared" si="54"/>
        <v/>
      </c>
      <c r="BY11" s="443" t="str">
        <f t="shared" si="55"/>
        <v/>
      </c>
      <c r="BZ11" s="443" t="str">
        <f t="shared" si="56"/>
        <v/>
      </c>
      <c r="CA11" s="443" t="str">
        <f t="shared" si="57"/>
        <v/>
      </c>
      <c r="CB11" s="443" t="str">
        <f t="shared" si="58"/>
        <v/>
      </c>
      <c r="CC11" s="443" t="str">
        <f t="shared" si="59"/>
        <v/>
      </c>
      <c r="CD11" s="443" t="str">
        <f t="shared" si="60"/>
        <v/>
      </c>
      <c r="CE11" s="443" t="str">
        <f t="shared" si="61"/>
        <v/>
      </c>
      <c r="CF11" s="443" t="str">
        <f t="shared" si="62"/>
        <v/>
      </c>
      <c r="CG11" s="443" t="str">
        <f t="shared" si="63"/>
        <v/>
      </c>
      <c r="CH11" s="443" t="str">
        <f t="shared" si="64"/>
        <v/>
      </c>
      <c r="CI11" s="443" t="str">
        <f t="shared" si="65"/>
        <v/>
      </c>
      <c r="CJ11" s="443" t="str">
        <f t="shared" si="66"/>
        <v/>
      </c>
      <c r="CK11" s="443" t="str">
        <f t="shared" si="67"/>
        <v/>
      </c>
      <c r="CL11" s="443" t="str">
        <f t="shared" si="68"/>
        <v/>
      </c>
      <c r="CM11" s="443" t="str">
        <f t="shared" si="69"/>
        <v/>
      </c>
      <c r="CN11" s="443" t="str">
        <f t="shared" si="70"/>
        <v/>
      </c>
      <c r="CO11" s="443" t="str">
        <f t="shared" si="71"/>
        <v/>
      </c>
      <c r="CP11" s="443" t="str">
        <f t="shared" si="72"/>
        <v/>
      </c>
      <c r="CQ11" s="443" t="str">
        <f t="shared" si="73"/>
        <v/>
      </c>
      <c r="CR11" s="443" t="str">
        <f t="shared" si="74"/>
        <v/>
      </c>
      <c r="CS11" s="443" t="str">
        <f t="shared" si="75"/>
        <v/>
      </c>
      <c r="CT11" s="443" t="str">
        <f t="shared" si="76"/>
        <v/>
      </c>
      <c r="CU11" s="443" t="str">
        <f t="shared" si="77"/>
        <v/>
      </c>
      <c r="CV11" s="443" t="str">
        <f t="shared" si="78"/>
        <v/>
      </c>
      <c r="CW11" s="443" t="str">
        <f t="shared" si="79"/>
        <v/>
      </c>
      <c r="CX11" s="443" t="str">
        <f t="shared" si="80"/>
        <v/>
      </c>
      <c r="CY11" s="443" t="str">
        <f t="shared" si="81"/>
        <v/>
      </c>
      <c r="CZ11" s="443" t="str">
        <f t="shared" si="82"/>
        <v/>
      </c>
      <c r="DA11" s="443" t="str">
        <f t="shared" si="83"/>
        <v/>
      </c>
      <c r="DB11" s="443" t="str">
        <f t="shared" si="84"/>
        <v/>
      </c>
      <c r="DC11" s="443" t="str">
        <f t="shared" si="85"/>
        <v/>
      </c>
      <c r="DD11" s="443" t="str">
        <f t="shared" si="86"/>
        <v/>
      </c>
      <c r="DE11" s="443" t="str">
        <f t="shared" si="87"/>
        <v/>
      </c>
      <c r="DF11" s="443" t="str">
        <f t="shared" si="88"/>
        <v/>
      </c>
      <c r="DG11" s="443" t="str">
        <f t="shared" si="89"/>
        <v/>
      </c>
      <c r="DH11" s="443" t="str">
        <f t="shared" si="90"/>
        <v/>
      </c>
      <c r="DI11" s="443" t="str">
        <f t="shared" si="91"/>
        <v/>
      </c>
      <c r="DJ11" s="443" t="str">
        <f t="shared" si="92"/>
        <v/>
      </c>
      <c r="DK11" s="443" t="str">
        <f t="shared" si="93"/>
        <v/>
      </c>
      <c r="DL11" s="443" t="str">
        <f t="shared" si="94"/>
        <v/>
      </c>
      <c r="DM11" s="443" t="str">
        <f t="shared" si="95"/>
        <v/>
      </c>
      <c r="DN11" s="443" t="str">
        <f t="shared" si="96"/>
        <v/>
      </c>
      <c r="DO11" s="443" t="str">
        <f t="shared" si="97"/>
        <v/>
      </c>
      <c r="DP11" s="443" t="str">
        <f t="shared" si="98"/>
        <v/>
      </c>
      <c r="DQ11" s="443" t="str">
        <f t="shared" si="99"/>
        <v/>
      </c>
      <c r="DR11" s="443" t="str">
        <f t="shared" si="100"/>
        <v/>
      </c>
      <c r="DS11" s="443" t="str">
        <f t="shared" si="101"/>
        <v/>
      </c>
      <c r="DT11" s="443" t="str">
        <f t="shared" si="102"/>
        <v/>
      </c>
      <c r="DU11" s="443" t="str">
        <f t="shared" si="103"/>
        <v/>
      </c>
      <c r="DV11" s="443" t="str">
        <f t="shared" si="104"/>
        <v/>
      </c>
      <c r="DW11" s="443" t="str">
        <f t="shared" si="105"/>
        <v/>
      </c>
      <c r="DX11" s="443" t="str">
        <f t="shared" si="106"/>
        <v/>
      </c>
      <c r="DY11" s="443" t="str">
        <f t="shared" si="107"/>
        <v/>
      </c>
      <c r="DZ11" s="443" t="str">
        <f t="shared" si="108"/>
        <v/>
      </c>
      <c r="EA11" s="443" t="str">
        <f t="shared" si="109"/>
        <v/>
      </c>
      <c r="EB11" s="443" t="str">
        <f t="shared" si="110"/>
        <v/>
      </c>
      <c r="EC11" s="443" t="str">
        <f t="shared" si="111"/>
        <v/>
      </c>
      <c r="ED11" s="443" t="str">
        <f t="shared" si="112"/>
        <v/>
      </c>
      <c r="EE11" s="443" t="str">
        <f t="shared" si="113"/>
        <v/>
      </c>
      <c r="EF11" s="443" t="str">
        <f t="shared" si="114"/>
        <v/>
      </c>
      <c r="EG11" s="443" t="str">
        <f t="shared" si="115"/>
        <v/>
      </c>
      <c r="EH11" s="443" t="str">
        <f t="shared" si="116"/>
        <v/>
      </c>
      <c r="EI11" s="443" t="str">
        <f t="shared" si="117"/>
        <v/>
      </c>
      <c r="EJ11" s="443" t="str">
        <f t="shared" si="118"/>
        <v/>
      </c>
      <c r="EK11" s="443" t="str">
        <f t="shared" si="119"/>
        <v/>
      </c>
      <c r="EL11" s="443" t="str">
        <f t="shared" si="120"/>
        <v/>
      </c>
      <c r="EM11" s="443" t="str">
        <f t="shared" si="121"/>
        <v/>
      </c>
      <c r="EN11" s="443" t="str">
        <f t="shared" si="122"/>
        <v/>
      </c>
      <c r="EO11" s="443" t="str">
        <f t="shared" si="123"/>
        <v/>
      </c>
      <c r="EP11" s="443" t="str">
        <f t="shared" si="124"/>
        <v/>
      </c>
      <c r="EQ11" s="443" t="str">
        <f t="shared" si="125"/>
        <v/>
      </c>
      <c r="ER11" s="443" t="str">
        <f t="shared" si="126"/>
        <v/>
      </c>
      <c r="ES11" s="443" t="str">
        <f t="shared" si="127"/>
        <v/>
      </c>
      <c r="ET11" s="443" t="str">
        <f t="shared" si="128"/>
        <v/>
      </c>
      <c r="EU11" s="443" t="str">
        <f t="shared" si="129"/>
        <v/>
      </c>
      <c r="EV11" s="443" t="str">
        <f t="shared" si="130"/>
        <v/>
      </c>
      <c r="EW11" s="443" t="str">
        <f t="shared" si="131"/>
        <v/>
      </c>
      <c r="EX11" s="443" t="str">
        <f t="shared" si="132"/>
        <v/>
      </c>
      <c r="EY11" s="443" t="str">
        <f t="shared" si="133"/>
        <v/>
      </c>
      <c r="EZ11" s="443" t="str">
        <f t="shared" si="134"/>
        <v/>
      </c>
      <c r="FA11" s="443" t="str">
        <f t="shared" si="135"/>
        <v/>
      </c>
      <c r="FB11" s="443" t="str">
        <f t="shared" si="136"/>
        <v/>
      </c>
      <c r="FC11" s="443" t="str">
        <f t="shared" si="137"/>
        <v/>
      </c>
      <c r="FD11" s="443" t="str">
        <f t="shared" si="138"/>
        <v/>
      </c>
      <c r="FE11" s="443" t="str">
        <f t="shared" si="139"/>
        <v/>
      </c>
      <c r="FF11" s="443" t="str">
        <f t="shared" si="140"/>
        <v/>
      </c>
      <c r="FG11" s="443" t="str">
        <f t="shared" si="141"/>
        <v/>
      </c>
      <c r="FH11" s="443" t="str">
        <f t="shared" si="142"/>
        <v/>
      </c>
      <c r="FI11" s="443" t="str">
        <f t="shared" si="143"/>
        <v/>
      </c>
      <c r="FJ11" s="443" t="str">
        <f t="shared" si="144"/>
        <v/>
      </c>
      <c r="FK11" s="443" t="str">
        <f t="shared" si="145"/>
        <v/>
      </c>
      <c r="FL11" s="443" t="str">
        <f t="shared" si="146"/>
        <v/>
      </c>
      <c r="FM11" s="443" t="str">
        <f t="shared" si="147"/>
        <v/>
      </c>
      <c r="FN11" s="443" t="str">
        <f t="shared" si="148"/>
        <v/>
      </c>
      <c r="FO11" s="443" t="str">
        <f t="shared" si="149"/>
        <v/>
      </c>
      <c r="FP11" s="443" t="str">
        <f t="shared" si="150"/>
        <v/>
      </c>
      <c r="FQ11" s="443" t="str">
        <f t="shared" si="151"/>
        <v/>
      </c>
      <c r="FR11" s="443" t="str">
        <f t="shared" si="152"/>
        <v/>
      </c>
      <c r="FS11" s="443" t="str">
        <f t="shared" si="153"/>
        <v/>
      </c>
      <c r="FT11" s="443" t="str">
        <f t="shared" si="154"/>
        <v/>
      </c>
      <c r="FU11" s="443" t="str">
        <f t="shared" si="155"/>
        <v/>
      </c>
      <c r="FV11" s="443" t="str">
        <f t="shared" si="156"/>
        <v/>
      </c>
      <c r="FW11" s="443" t="str">
        <f t="shared" si="157"/>
        <v/>
      </c>
      <c r="FX11" s="443" t="str">
        <f t="shared" si="158"/>
        <v/>
      </c>
      <c r="FY11" s="443" t="str">
        <f t="shared" si="159"/>
        <v/>
      </c>
      <c r="FZ11" s="443" t="str">
        <f t="shared" si="160"/>
        <v/>
      </c>
      <c r="GA11" s="443" t="str">
        <f t="shared" si="161"/>
        <v/>
      </c>
      <c r="GB11" s="443" t="str">
        <f t="shared" si="162"/>
        <v/>
      </c>
      <c r="GC11" s="443" t="str">
        <f t="shared" si="163"/>
        <v/>
      </c>
      <c r="GD11" s="443" t="str">
        <f t="shared" si="164"/>
        <v/>
      </c>
      <c r="GE11" s="443" t="str">
        <f t="shared" si="165"/>
        <v/>
      </c>
      <c r="GF11" s="443" t="str">
        <f t="shared" si="166"/>
        <v/>
      </c>
      <c r="GG11" s="443" t="str">
        <f t="shared" si="167"/>
        <v/>
      </c>
      <c r="GH11" s="443" t="str">
        <f t="shared" si="168"/>
        <v/>
      </c>
      <c r="GI11" s="443" t="str">
        <f t="shared" si="169"/>
        <v/>
      </c>
      <c r="GJ11" s="443" t="str">
        <f t="shared" si="170"/>
        <v/>
      </c>
      <c r="GK11" s="443" t="str">
        <f t="shared" si="171"/>
        <v/>
      </c>
      <c r="GL11" s="443" t="str">
        <f t="shared" si="172"/>
        <v/>
      </c>
      <c r="GM11" s="443" t="str">
        <f t="shared" si="173"/>
        <v/>
      </c>
      <c r="GN11" s="443" t="str">
        <f t="shared" si="174"/>
        <v/>
      </c>
      <c r="GO11" s="443" t="str">
        <f t="shared" si="175"/>
        <v/>
      </c>
      <c r="GP11" s="443" t="str">
        <f t="shared" si="176"/>
        <v/>
      </c>
      <c r="GQ11" s="443" t="str">
        <f t="shared" si="177"/>
        <v/>
      </c>
      <c r="GR11" s="443" t="str">
        <f t="shared" si="178"/>
        <v/>
      </c>
      <c r="GS11" s="443" t="str">
        <f t="shared" si="179"/>
        <v/>
      </c>
      <c r="GT11" s="443" t="str">
        <f t="shared" si="180"/>
        <v/>
      </c>
      <c r="GU11" s="443" t="str">
        <f t="shared" si="181"/>
        <v/>
      </c>
      <c r="GV11" s="443" t="str">
        <f t="shared" si="182"/>
        <v/>
      </c>
      <c r="GW11" s="443" t="str">
        <f t="shared" si="183"/>
        <v/>
      </c>
      <c r="GX11" s="443" t="str">
        <f t="shared" si="184"/>
        <v/>
      </c>
      <c r="GY11" s="443" t="str">
        <f t="shared" si="185"/>
        <v/>
      </c>
      <c r="GZ11" s="443" t="str">
        <f t="shared" si="186"/>
        <v/>
      </c>
      <c r="HA11" s="443" t="str">
        <f t="shared" si="187"/>
        <v/>
      </c>
      <c r="HB11" s="443" t="str">
        <f t="shared" si="188"/>
        <v/>
      </c>
      <c r="HC11" s="443" t="str">
        <f t="shared" si="189"/>
        <v/>
      </c>
      <c r="HD11" s="443" t="str">
        <f t="shared" si="190"/>
        <v/>
      </c>
      <c r="HE11" s="443" t="str">
        <f t="shared" si="191"/>
        <v/>
      </c>
      <c r="HF11" s="443" t="str">
        <f t="shared" si="192"/>
        <v/>
      </c>
      <c r="HG11" s="443" t="str">
        <f t="shared" si="193"/>
        <v/>
      </c>
      <c r="HH11" s="443" t="str">
        <f t="shared" si="194"/>
        <v/>
      </c>
      <c r="HI11" s="443" t="str">
        <f t="shared" si="195"/>
        <v/>
      </c>
      <c r="HJ11" s="443" t="str">
        <f t="shared" si="196"/>
        <v/>
      </c>
      <c r="HK11" s="443" t="str">
        <f t="shared" si="197"/>
        <v/>
      </c>
      <c r="HL11" s="443" t="str">
        <f t="shared" si="198"/>
        <v/>
      </c>
      <c r="HM11" s="443" t="str">
        <f t="shared" si="199"/>
        <v/>
      </c>
      <c r="HN11" s="443" t="str">
        <f t="shared" si="200"/>
        <v/>
      </c>
      <c r="HO11" s="443" t="str">
        <f t="shared" si="201"/>
        <v/>
      </c>
      <c r="HP11" s="443" t="str">
        <f t="shared" si="202"/>
        <v/>
      </c>
      <c r="HQ11" s="443" t="str">
        <f t="shared" si="203"/>
        <v/>
      </c>
      <c r="HR11" s="443" t="str">
        <f t="shared" si="204"/>
        <v/>
      </c>
      <c r="HS11" s="443" t="str">
        <f t="shared" si="205"/>
        <v/>
      </c>
      <c r="HT11" s="443" t="str">
        <f t="shared" si="206"/>
        <v/>
      </c>
      <c r="HU11" s="443" t="str">
        <f t="shared" si="207"/>
        <v/>
      </c>
      <c r="HV11" s="443" t="str">
        <f t="shared" si="208"/>
        <v/>
      </c>
      <c r="HW11" s="443" t="str">
        <f t="shared" si="209"/>
        <v/>
      </c>
      <c r="HX11" s="443" t="str">
        <f t="shared" si="210"/>
        <v/>
      </c>
      <c r="HY11" s="443" t="str">
        <f t="shared" si="211"/>
        <v/>
      </c>
      <c r="HZ11" s="2247" t="str">
        <f t="shared" si="212"/>
        <v/>
      </c>
      <c r="IA11" s="2247" t="str">
        <f t="shared" si="213"/>
        <v/>
      </c>
      <c r="IB11" s="2247" t="str">
        <f t="shared" si="214"/>
        <v/>
      </c>
      <c r="IC11" s="2247" t="str">
        <f t="shared" si="215"/>
        <v/>
      </c>
      <c r="ID11" s="2247" t="str">
        <f t="shared" si="216"/>
        <v/>
      </c>
      <c r="IE11" s="2247" t="str">
        <f t="shared" si="217"/>
        <v/>
      </c>
      <c r="IF11" s="2247" t="str">
        <f t="shared" si="218"/>
        <v/>
      </c>
      <c r="IG11" s="2247" t="str">
        <f t="shared" si="219"/>
        <v/>
      </c>
      <c r="IH11" s="2247" t="str">
        <f t="shared" si="220"/>
        <v/>
      </c>
      <c r="II11" s="2247" t="str">
        <f t="shared" si="221"/>
        <v/>
      </c>
      <c r="IJ11" s="2247" t="str">
        <f t="shared" si="222"/>
        <v/>
      </c>
      <c r="IK11" s="2247" t="str">
        <f t="shared" si="223"/>
        <v/>
      </c>
      <c r="IL11" s="2247" t="str">
        <f t="shared" si="224"/>
        <v/>
      </c>
      <c r="IM11" s="2247" t="str">
        <f t="shared" si="225"/>
        <v/>
      </c>
      <c r="IN11" s="2247" t="str">
        <f t="shared" si="226"/>
        <v/>
      </c>
      <c r="IO11" s="2247" t="str">
        <f t="shared" si="227"/>
        <v/>
      </c>
      <c r="IP11" s="2247" t="str">
        <f t="shared" si="228"/>
        <v/>
      </c>
      <c r="IQ11" s="2247" t="str">
        <f t="shared" si="229"/>
        <v/>
      </c>
      <c r="IR11" s="2247" t="str">
        <f t="shared" si="230"/>
        <v/>
      </c>
      <c r="IS11" s="2247" t="str">
        <f t="shared" si="231"/>
        <v/>
      </c>
      <c r="IT11" s="2247" t="str">
        <f t="shared" si="232"/>
        <v/>
      </c>
      <c r="IU11" s="2247" t="str">
        <f t="shared" si="233"/>
        <v/>
      </c>
      <c r="IV11" s="2247" t="str">
        <f t="shared" si="234"/>
        <v/>
      </c>
      <c r="IW11" s="2247" t="str">
        <f t="shared" si="235"/>
        <v/>
      </c>
      <c r="IX11" s="2247" t="str">
        <f t="shared" si="236"/>
        <v/>
      </c>
      <c r="IY11" s="2247" t="str">
        <f t="shared" si="237"/>
        <v/>
      </c>
      <c r="IZ11" s="2247" t="str">
        <f t="shared" si="238"/>
        <v/>
      </c>
      <c r="JA11" s="2247" t="str">
        <f t="shared" si="239"/>
        <v/>
      </c>
      <c r="JB11" s="2247" t="str">
        <f t="shared" si="240"/>
        <v/>
      </c>
      <c r="JC11" s="2247" t="str">
        <f t="shared" si="241"/>
        <v/>
      </c>
      <c r="JD11" s="2247" t="str">
        <f t="shared" si="242"/>
        <v/>
      </c>
      <c r="JE11" s="2247" t="str">
        <f t="shared" si="243"/>
        <v/>
      </c>
      <c r="JF11" s="2247" t="str">
        <f t="shared" si="244"/>
        <v/>
      </c>
      <c r="JG11" s="2247" t="str">
        <f t="shared" si="245"/>
        <v/>
      </c>
      <c r="JH11" s="2247" t="str">
        <f t="shared" si="246"/>
        <v/>
      </c>
      <c r="JI11" s="2247" t="str">
        <f t="shared" si="247"/>
        <v/>
      </c>
      <c r="JJ11" s="2247" t="str">
        <f t="shared" si="248"/>
        <v/>
      </c>
      <c r="JK11" s="2247" t="str">
        <f t="shared" si="249"/>
        <v/>
      </c>
      <c r="JL11" s="2247" t="str">
        <f t="shared" si="250"/>
        <v/>
      </c>
      <c r="JM11" s="2247" t="str">
        <f t="shared" si="251"/>
        <v/>
      </c>
      <c r="JN11" s="2247" t="str">
        <f t="shared" si="252"/>
        <v/>
      </c>
      <c r="JO11" s="2247" t="str">
        <f t="shared" si="253"/>
        <v/>
      </c>
      <c r="JP11" s="2247" t="str">
        <f t="shared" si="254"/>
        <v/>
      </c>
      <c r="JQ11" s="2247" t="str">
        <f t="shared" si="255"/>
        <v/>
      </c>
      <c r="JR11" s="2247" t="str">
        <f t="shared" si="256"/>
        <v/>
      </c>
      <c r="JS11" s="2247" t="str">
        <f t="shared" si="257"/>
        <v/>
      </c>
      <c r="JT11" s="2247" t="str">
        <f t="shared" si="258"/>
        <v/>
      </c>
      <c r="JU11" s="2247" t="str">
        <f t="shared" si="259"/>
        <v/>
      </c>
      <c r="JV11" s="2247" t="str">
        <f t="shared" si="260"/>
        <v/>
      </c>
      <c r="JW11" s="2247" t="str">
        <f t="shared" si="261"/>
        <v/>
      </c>
      <c r="JX11" s="2247" t="str">
        <f t="shared" si="262"/>
        <v/>
      </c>
      <c r="JY11" s="2247" t="str">
        <f t="shared" si="263"/>
        <v/>
      </c>
      <c r="JZ11" s="2247" t="str">
        <f t="shared" si="264"/>
        <v/>
      </c>
      <c r="KA11" s="2247" t="str">
        <f t="shared" si="265"/>
        <v/>
      </c>
      <c r="KB11" s="2247" t="str">
        <f t="shared" si="266"/>
        <v/>
      </c>
      <c r="KC11" s="2247" t="str">
        <f t="shared" si="267"/>
        <v/>
      </c>
      <c r="KD11" s="2247" t="str">
        <f t="shared" si="268"/>
        <v/>
      </c>
      <c r="KE11" s="2247" t="str">
        <f t="shared" si="269"/>
        <v/>
      </c>
      <c r="KF11" s="2247" t="str">
        <f t="shared" si="270"/>
        <v/>
      </c>
      <c r="KG11" s="2247" t="str">
        <f t="shared" si="271"/>
        <v/>
      </c>
      <c r="KH11" s="2247" t="str">
        <f t="shared" si="272"/>
        <v/>
      </c>
      <c r="KI11" s="2247" t="str">
        <f t="shared" si="273"/>
        <v/>
      </c>
      <c r="KJ11" s="2247" t="str">
        <f t="shared" si="274"/>
        <v/>
      </c>
      <c r="KK11" s="2247" t="str">
        <f t="shared" si="275"/>
        <v/>
      </c>
      <c r="KL11" s="2247" t="str">
        <f t="shared" si="276"/>
        <v/>
      </c>
      <c r="KM11" s="2247" t="str">
        <f t="shared" si="277"/>
        <v/>
      </c>
      <c r="KN11" s="2247" t="str">
        <f t="shared" si="278"/>
        <v/>
      </c>
      <c r="KO11" s="2247" t="str">
        <f t="shared" si="279"/>
        <v/>
      </c>
      <c r="KP11" s="2247" t="str">
        <f t="shared" si="280"/>
        <v/>
      </c>
      <c r="KQ11" s="2247" t="str">
        <f t="shared" si="281"/>
        <v/>
      </c>
      <c r="KR11" s="2247" t="str">
        <f t="shared" si="282"/>
        <v/>
      </c>
      <c r="KS11" s="2247" t="str">
        <f t="shared" si="283"/>
        <v/>
      </c>
      <c r="KT11" s="2247" t="str">
        <f t="shared" si="284"/>
        <v/>
      </c>
      <c r="KU11" s="2247" t="str">
        <f t="shared" si="285"/>
        <v/>
      </c>
      <c r="KV11" s="2247" t="str">
        <f t="shared" si="286"/>
        <v/>
      </c>
      <c r="KW11" s="2247" t="str">
        <f t="shared" si="287"/>
        <v/>
      </c>
      <c r="KX11" s="2247" t="str">
        <f t="shared" si="288"/>
        <v/>
      </c>
      <c r="KY11" s="2247" t="str">
        <f t="shared" si="289"/>
        <v/>
      </c>
      <c r="KZ11" s="2247" t="str">
        <f t="shared" si="290"/>
        <v/>
      </c>
      <c r="LA11" s="2247" t="str">
        <f t="shared" si="291"/>
        <v/>
      </c>
      <c r="LB11" s="2247" t="str">
        <f t="shared" si="292"/>
        <v/>
      </c>
      <c r="LC11" s="2247" t="str">
        <f t="shared" si="293"/>
        <v/>
      </c>
      <c r="LD11" s="2247" t="str">
        <f t="shared" si="294"/>
        <v/>
      </c>
      <c r="LE11" s="2247" t="str">
        <f t="shared" si="295"/>
        <v/>
      </c>
      <c r="LF11" s="2247" t="str">
        <f t="shared" si="296"/>
        <v/>
      </c>
      <c r="LG11" s="2247" t="str">
        <f t="shared" si="297"/>
        <v/>
      </c>
      <c r="LH11" s="2247" t="str">
        <f t="shared" si="298"/>
        <v/>
      </c>
      <c r="LI11" s="2247" t="str">
        <f t="shared" si="299"/>
        <v/>
      </c>
      <c r="LJ11" s="2247" t="str">
        <f t="shared" si="300"/>
        <v/>
      </c>
      <c r="LK11" s="2247" t="str">
        <f t="shared" si="301"/>
        <v/>
      </c>
      <c r="LL11" s="2247" t="str">
        <f t="shared" si="302"/>
        <v/>
      </c>
      <c r="LM11" s="2247" t="str">
        <f t="shared" si="303"/>
        <v/>
      </c>
      <c r="LN11" s="2247" t="str">
        <f t="shared" si="304"/>
        <v/>
      </c>
      <c r="LO11" s="2247" t="str">
        <f t="shared" si="305"/>
        <v/>
      </c>
      <c r="LP11" s="2247" t="str">
        <f t="shared" si="306"/>
        <v/>
      </c>
      <c r="LQ11" s="2248" t="str">
        <f t="shared" si="307"/>
        <v/>
      </c>
      <c r="LR11" s="2248" t="str">
        <f t="shared" si="308"/>
        <v/>
      </c>
      <c r="LS11" s="2248" t="str">
        <f t="shared" si="309"/>
        <v/>
      </c>
      <c r="LT11" s="2248" t="str">
        <f t="shared" si="310"/>
        <v/>
      </c>
      <c r="LU11" s="2248" t="str">
        <f t="shared" si="311"/>
        <v/>
      </c>
      <c r="LV11" s="443" t="str">
        <f t="shared" si="312"/>
        <v/>
      </c>
      <c r="LW11" s="443" t="str">
        <f t="shared" si="313"/>
        <v/>
      </c>
      <c r="LX11" s="443" t="str">
        <f t="shared" si="314"/>
        <v/>
      </c>
      <c r="LY11" s="443" t="str">
        <f t="shared" si="315"/>
        <v/>
      </c>
      <c r="LZ11" s="443" t="str">
        <f t="shared" si="316"/>
        <v/>
      </c>
      <c r="MA11" s="443" t="str">
        <f t="shared" si="317"/>
        <v/>
      </c>
      <c r="MB11" s="443" t="str">
        <f t="shared" si="318"/>
        <v/>
      </c>
      <c r="MC11" s="443" t="str">
        <f t="shared" si="319"/>
        <v/>
      </c>
      <c r="MD11" s="443" t="str">
        <f t="shared" si="320"/>
        <v/>
      </c>
      <c r="ME11" s="443" t="str">
        <f t="shared" si="321"/>
        <v/>
      </c>
      <c r="MF11" s="443" t="str">
        <f t="shared" si="322"/>
        <v/>
      </c>
      <c r="MG11" s="443" t="str">
        <f t="shared" si="323"/>
        <v/>
      </c>
      <c r="MH11" s="443" t="str">
        <f t="shared" si="324"/>
        <v/>
      </c>
      <c r="MI11" s="443" t="str">
        <f t="shared" si="325"/>
        <v/>
      </c>
      <c r="MJ11" s="443" t="str">
        <f t="shared" si="326"/>
        <v/>
      </c>
      <c r="MK11" s="443" t="str">
        <f t="shared" si="327"/>
        <v/>
      </c>
      <c r="ML11" s="443" t="str">
        <f t="shared" si="328"/>
        <v/>
      </c>
      <c r="MM11" s="443" t="str">
        <f t="shared" si="329"/>
        <v/>
      </c>
      <c r="MN11" s="443" t="str">
        <f t="shared" si="330"/>
        <v/>
      </c>
      <c r="MO11" s="443" t="str">
        <f t="shared" si="331"/>
        <v/>
      </c>
      <c r="MP11" s="2246">
        <f t="shared" ref="MP11:MP47" si="338">IF(AND($C11="Efficiency",$E11&gt;0,OR($O11="1-Story",$O11="2-Story",$O11="3+ Story",$O11="3+ Story Elevator",$O11="2-Story Walkup",$O11="Townhome"),OR($P11="Acquisition/Rehab",$P11="Rehabilitation"),NOT($Q11="Yes")),$E11,0)</f>
        <v>0</v>
      </c>
      <c r="MQ11" s="2246">
        <f t="shared" ref="MQ11:MQ47" si="339">IF(AND($C11=1,$E11&gt;0,OR($O11="1-Story",$O11="2-Story",$O11="3+ Story",$O11="3+ Story Elevator",$O11="2-Story Walkup",$O11="Townhome"),OR($P11="Acquisition/Rehab",$P11="Rehabilitation"),NOT($Q11="Yes")),$E11,0)</f>
        <v>0</v>
      </c>
      <c r="MR11" s="2246">
        <f t="shared" ref="MR11:MR47" si="340">IF(AND($C11=2,$E11&gt;0,OR($O11="1-Story",$O11="2-Story",$O11="3+ Story",$O11="3+ Story Elevator",$O11="2-Story Walkup",$O11="Townhome"),OR($P11="Acquisition/Rehab",$P11="Rehabilitation"),NOT($Q11="Yes")),$E11,0)</f>
        <v>0</v>
      </c>
      <c r="MS11" s="2246">
        <f t="shared" ref="MS11:MS47" si="341">IF(AND($C11=3,$E11&gt;0,OR($O11="1-Story",$O11="2-Story",$O11="3+ Story",$O11="3+ Story Elevator",$O11="2-Story Walkup",$O11="Townhome"),OR($P11="Acquisition/Rehab",$P11="Rehabilitation"),NOT($Q11="Yes")),$E11,0)</f>
        <v>0</v>
      </c>
      <c r="MT11" s="2246">
        <f t="shared" ref="MT11:MT47" si="342">IF(AND($C11=4,$E11&gt;0,OR($O11="1-Story",$O11="2-Story",$O11="3+ Story",$O11="3+ Story Elevator",$O11="2-Story Walkup",$O11="Townhome"),OR($P11="Acquisition/Rehab",$P11="Rehabilitation"),NOT($Q11="Yes")),$E11,0)</f>
        <v>0</v>
      </c>
      <c r="MU11" s="2246">
        <f t="shared" ref="MU11:MU47" si="343">IF(AND($C11="Efficiency",$E11&gt;0,OR($O11="1-Story",$O11="2-Story",$O11="3+ Story",$O11="3+ Story Elevator",$O11="2-Story Walkup",$O11="Townhome"),$P11="New Construction"),$E11,0)</f>
        <v>0</v>
      </c>
      <c r="MV11" s="2246">
        <f t="shared" ref="MV11:MV47" si="344">IF(AND($C11=1,$E11&gt;0,OR($O11="1-Story",$O11="2-Story",$O11="3+ Story",$O11="3+ Story Elevator",$O11="2-Story Walkup",$O11="Townhome"),$P11="New Construction"),$E11,0)</f>
        <v>0</v>
      </c>
      <c r="MW11" s="2246">
        <f t="shared" ref="MW11:MW47" si="345">IF(AND($C11=2,$E11&gt;0,OR($O11="1-Story",$O11="2-Story",$O11="3+ Story",$O11="3+ Story Elevator",$O11="2-Story Walkup",$O11="Townhome"),$P11="New Construction"),$E11,0)</f>
        <v>0</v>
      </c>
      <c r="MX11" s="2246">
        <f t="shared" ref="MX11:MX47" si="346">IF(AND($C11=3,$E11&gt;0,OR($O11="1-Story",$O11="2-Story",$O11="3+ Story",$O11="3+ Story Elevator",$O11="2-Story Walkup",$O11="Townhome"),$P11="New Construction"),$E11,0)</f>
        <v>0</v>
      </c>
      <c r="MY11" s="2246">
        <f t="shared" ref="MY11:MY47" si="347">IF(AND($C11=4,$E11&gt;0,OR($O11="1-Story",$O11="2-Story",$O11="3+ Story",$O11="3+ Story Elevator",$O11="2-Story Walkup",$O11="Townhome"),$P11="New Construction"),$E11,0)</f>
        <v>0</v>
      </c>
      <c r="MZ11" s="2246">
        <f t="shared" si="332"/>
        <v>0</v>
      </c>
      <c r="NA11" s="2246">
        <f t="shared" si="333"/>
        <v>0</v>
      </c>
      <c r="NB11" s="2246">
        <f t="shared" si="334"/>
        <v>0</v>
      </c>
      <c r="NC11" s="2246">
        <f t="shared" si="335"/>
        <v>0</v>
      </c>
      <c r="ND11" s="2246">
        <f t="shared" si="336"/>
        <v>0</v>
      </c>
    </row>
    <row r="12" spans="1:503" ht="13.95" customHeight="1">
      <c r="A12" s="109" t="str">
        <f t="shared" si="337"/>
        <v/>
      </c>
      <c r="B12" s="3986" t="s">
        <v>298</v>
      </c>
      <c r="C12" s="3987"/>
      <c r="D12" s="3988"/>
      <c r="E12" s="3989"/>
      <c r="F12" s="3989"/>
      <c r="G12" s="3989"/>
      <c r="H12" s="3989"/>
      <c r="I12" s="3989"/>
      <c r="J12" s="3990"/>
      <c r="K12" s="3991"/>
      <c r="L12" s="567">
        <f t="shared" si="0"/>
        <v>0</v>
      </c>
      <c r="M12" s="567">
        <f t="shared" si="1"/>
        <v>0</v>
      </c>
      <c r="N12" s="3992"/>
      <c r="O12" s="3992"/>
      <c r="P12" s="3992"/>
      <c r="Q12" s="3993"/>
      <c r="R12" s="3994"/>
      <c r="S12" s="3995"/>
      <c r="T12" s="3996"/>
      <c r="U12" s="3997"/>
      <c r="V12" s="3997"/>
      <c r="W12" s="3998"/>
      <c r="X12" s="443" t="str">
        <f t="shared" si="2"/>
        <v/>
      </c>
      <c r="Y12" s="443" t="str">
        <f t="shared" si="3"/>
        <v/>
      </c>
      <c r="Z12" s="443" t="str">
        <f t="shared" si="4"/>
        <v/>
      </c>
      <c r="AA12" s="443" t="str">
        <f t="shared" si="5"/>
        <v/>
      </c>
      <c r="AB12" s="443" t="str">
        <f t="shared" si="6"/>
        <v/>
      </c>
      <c r="AC12" s="443" t="str">
        <f t="shared" si="7"/>
        <v/>
      </c>
      <c r="AD12" s="443" t="str">
        <f t="shared" si="8"/>
        <v/>
      </c>
      <c r="AE12" s="443" t="str">
        <f t="shared" si="9"/>
        <v/>
      </c>
      <c r="AF12" s="443" t="str">
        <f t="shared" si="10"/>
        <v/>
      </c>
      <c r="AG12" s="443" t="str">
        <f t="shared" si="11"/>
        <v/>
      </c>
      <c r="AH12" s="443" t="str">
        <f t="shared" si="12"/>
        <v/>
      </c>
      <c r="AI12" s="443" t="str">
        <f t="shared" si="13"/>
        <v/>
      </c>
      <c r="AJ12" s="443" t="str">
        <f t="shared" si="14"/>
        <v/>
      </c>
      <c r="AK12" s="443" t="str">
        <f t="shared" si="15"/>
        <v/>
      </c>
      <c r="AL12" s="443" t="str">
        <f t="shared" si="16"/>
        <v/>
      </c>
      <c r="AM12" s="443" t="str">
        <f t="shared" si="17"/>
        <v/>
      </c>
      <c r="AN12" s="443" t="str">
        <f t="shared" si="18"/>
        <v/>
      </c>
      <c r="AO12" s="443" t="str">
        <f t="shared" si="19"/>
        <v/>
      </c>
      <c r="AP12" s="443" t="str">
        <f t="shared" si="20"/>
        <v/>
      </c>
      <c r="AQ12" s="443" t="str">
        <f t="shared" si="21"/>
        <v/>
      </c>
      <c r="AR12" s="443" t="str">
        <f t="shared" si="22"/>
        <v/>
      </c>
      <c r="AS12" s="443" t="str">
        <f t="shared" si="23"/>
        <v/>
      </c>
      <c r="AT12" s="443" t="str">
        <f t="shared" si="24"/>
        <v/>
      </c>
      <c r="AU12" s="443" t="str">
        <f t="shared" si="25"/>
        <v/>
      </c>
      <c r="AV12" s="443" t="str">
        <f t="shared" si="26"/>
        <v/>
      </c>
      <c r="AW12" s="443" t="str">
        <f t="shared" si="27"/>
        <v/>
      </c>
      <c r="AX12" s="443" t="str">
        <f t="shared" si="28"/>
        <v/>
      </c>
      <c r="AY12" s="443" t="str">
        <f t="shared" si="29"/>
        <v/>
      </c>
      <c r="AZ12" s="443" t="str">
        <f t="shared" si="30"/>
        <v/>
      </c>
      <c r="BA12" s="443" t="str">
        <f t="shared" si="31"/>
        <v/>
      </c>
      <c r="BB12" s="443" t="str">
        <f t="shared" si="32"/>
        <v/>
      </c>
      <c r="BC12" s="443" t="str">
        <f t="shared" si="33"/>
        <v/>
      </c>
      <c r="BD12" s="443" t="str">
        <f t="shared" si="34"/>
        <v/>
      </c>
      <c r="BE12" s="443" t="str">
        <f t="shared" si="35"/>
        <v/>
      </c>
      <c r="BF12" s="443" t="str">
        <f t="shared" si="36"/>
        <v/>
      </c>
      <c r="BG12" s="443" t="str">
        <f t="shared" si="37"/>
        <v/>
      </c>
      <c r="BH12" s="443" t="str">
        <f t="shared" si="38"/>
        <v/>
      </c>
      <c r="BI12" s="443" t="str">
        <f t="shared" si="39"/>
        <v/>
      </c>
      <c r="BJ12" s="443" t="str">
        <f t="shared" si="40"/>
        <v/>
      </c>
      <c r="BK12" s="443" t="str">
        <f t="shared" si="41"/>
        <v/>
      </c>
      <c r="BL12" s="443" t="str">
        <f t="shared" si="42"/>
        <v/>
      </c>
      <c r="BM12" s="443" t="str">
        <f t="shared" si="43"/>
        <v/>
      </c>
      <c r="BN12" s="443" t="str">
        <f t="shared" si="44"/>
        <v/>
      </c>
      <c r="BO12" s="443" t="str">
        <f t="shared" si="45"/>
        <v/>
      </c>
      <c r="BP12" s="443" t="str">
        <f t="shared" si="46"/>
        <v/>
      </c>
      <c r="BQ12" s="443" t="str">
        <f t="shared" si="47"/>
        <v/>
      </c>
      <c r="BR12" s="443" t="str">
        <f t="shared" si="48"/>
        <v/>
      </c>
      <c r="BS12" s="443" t="str">
        <f t="shared" si="49"/>
        <v/>
      </c>
      <c r="BT12" s="443" t="str">
        <f t="shared" si="50"/>
        <v/>
      </c>
      <c r="BU12" s="443" t="str">
        <f t="shared" si="51"/>
        <v/>
      </c>
      <c r="BV12" s="443" t="str">
        <f t="shared" si="52"/>
        <v/>
      </c>
      <c r="BW12" s="443" t="str">
        <f t="shared" si="53"/>
        <v/>
      </c>
      <c r="BX12" s="443" t="str">
        <f t="shared" si="54"/>
        <v/>
      </c>
      <c r="BY12" s="443" t="str">
        <f t="shared" si="55"/>
        <v/>
      </c>
      <c r="BZ12" s="443" t="str">
        <f t="shared" si="56"/>
        <v/>
      </c>
      <c r="CA12" s="443" t="str">
        <f t="shared" si="57"/>
        <v/>
      </c>
      <c r="CB12" s="443" t="str">
        <f t="shared" si="58"/>
        <v/>
      </c>
      <c r="CC12" s="443" t="str">
        <f t="shared" si="59"/>
        <v/>
      </c>
      <c r="CD12" s="443" t="str">
        <f t="shared" si="60"/>
        <v/>
      </c>
      <c r="CE12" s="443" t="str">
        <f t="shared" si="61"/>
        <v/>
      </c>
      <c r="CF12" s="443" t="str">
        <f t="shared" si="62"/>
        <v/>
      </c>
      <c r="CG12" s="443" t="str">
        <f t="shared" si="63"/>
        <v/>
      </c>
      <c r="CH12" s="443" t="str">
        <f t="shared" si="64"/>
        <v/>
      </c>
      <c r="CI12" s="443" t="str">
        <f t="shared" si="65"/>
        <v/>
      </c>
      <c r="CJ12" s="443" t="str">
        <f t="shared" si="66"/>
        <v/>
      </c>
      <c r="CK12" s="443" t="str">
        <f t="shared" si="67"/>
        <v/>
      </c>
      <c r="CL12" s="443" t="str">
        <f t="shared" si="68"/>
        <v/>
      </c>
      <c r="CM12" s="443" t="str">
        <f t="shared" si="69"/>
        <v/>
      </c>
      <c r="CN12" s="443" t="str">
        <f t="shared" si="70"/>
        <v/>
      </c>
      <c r="CO12" s="443" t="str">
        <f t="shared" si="71"/>
        <v/>
      </c>
      <c r="CP12" s="443" t="str">
        <f t="shared" si="72"/>
        <v/>
      </c>
      <c r="CQ12" s="443" t="str">
        <f t="shared" si="73"/>
        <v/>
      </c>
      <c r="CR12" s="443" t="str">
        <f t="shared" si="74"/>
        <v/>
      </c>
      <c r="CS12" s="443" t="str">
        <f t="shared" si="75"/>
        <v/>
      </c>
      <c r="CT12" s="443" t="str">
        <f t="shared" si="76"/>
        <v/>
      </c>
      <c r="CU12" s="443" t="str">
        <f t="shared" si="77"/>
        <v/>
      </c>
      <c r="CV12" s="443" t="str">
        <f t="shared" si="78"/>
        <v/>
      </c>
      <c r="CW12" s="443" t="str">
        <f t="shared" si="79"/>
        <v/>
      </c>
      <c r="CX12" s="443" t="str">
        <f t="shared" si="80"/>
        <v/>
      </c>
      <c r="CY12" s="443" t="str">
        <f t="shared" si="81"/>
        <v/>
      </c>
      <c r="CZ12" s="443" t="str">
        <f t="shared" si="82"/>
        <v/>
      </c>
      <c r="DA12" s="443" t="str">
        <f t="shared" si="83"/>
        <v/>
      </c>
      <c r="DB12" s="443" t="str">
        <f t="shared" si="84"/>
        <v/>
      </c>
      <c r="DC12" s="443" t="str">
        <f t="shared" si="85"/>
        <v/>
      </c>
      <c r="DD12" s="443" t="str">
        <f t="shared" si="86"/>
        <v/>
      </c>
      <c r="DE12" s="443" t="str">
        <f t="shared" si="87"/>
        <v/>
      </c>
      <c r="DF12" s="443" t="str">
        <f t="shared" si="88"/>
        <v/>
      </c>
      <c r="DG12" s="443" t="str">
        <f t="shared" si="89"/>
        <v/>
      </c>
      <c r="DH12" s="443" t="str">
        <f t="shared" si="90"/>
        <v/>
      </c>
      <c r="DI12" s="443" t="str">
        <f t="shared" si="91"/>
        <v/>
      </c>
      <c r="DJ12" s="443" t="str">
        <f t="shared" si="92"/>
        <v/>
      </c>
      <c r="DK12" s="443" t="str">
        <f t="shared" si="93"/>
        <v/>
      </c>
      <c r="DL12" s="443" t="str">
        <f t="shared" si="94"/>
        <v/>
      </c>
      <c r="DM12" s="443" t="str">
        <f t="shared" si="95"/>
        <v/>
      </c>
      <c r="DN12" s="443" t="str">
        <f t="shared" si="96"/>
        <v/>
      </c>
      <c r="DO12" s="443" t="str">
        <f t="shared" si="97"/>
        <v/>
      </c>
      <c r="DP12" s="443" t="str">
        <f t="shared" si="98"/>
        <v/>
      </c>
      <c r="DQ12" s="443" t="str">
        <f t="shared" si="99"/>
        <v/>
      </c>
      <c r="DR12" s="443" t="str">
        <f t="shared" si="100"/>
        <v/>
      </c>
      <c r="DS12" s="443" t="str">
        <f t="shared" si="101"/>
        <v/>
      </c>
      <c r="DT12" s="443" t="str">
        <f t="shared" si="102"/>
        <v/>
      </c>
      <c r="DU12" s="443" t="str">
        <f t="shared" si="103"/>
        <v/>
      </c>
      <c r="DV12" s="443" t="str">
        <f t="shared" si="104"/>
        <v/>
      </c>
      <c r="DW12" s="443" t="str">
        <f t="shared" si="105"/>
        <v/>
      </c>
      <c r="DX12" s="443" t="str">
        <f t="shared" si="106"/>
        <v/>
      </c>
      <c r="DY12" s="443" t="str">
        <f t="shared" si="107"/>
        <v/>
      </c>
      <c r="DZ12" s="443" t="str">
        <f t="shared" si="108"/>
        <v/>
      </c>
      <c r="EA12" s="443" t="str">
        <f t="shared" si="109"/>
        <v/>
      </c>
      <c r="EB12" s="443" t="str">
        <f t="shared" si="110"/>
        <v/>
      </c>
      <c r="EC12" s="443" t="str">
        <f t="shared" si="111"/>
        <v/>
      </c>
      <c r="ED12" s="443" t="str">
        <f t="shared" si="112"/>
        <v/>
      </c>
      <c r="EE12" s="443" t="str">
        <f t="shared" si="113"/>
        <v/>
      </c>
      <c r="EF12" s="443" t="str">
        <f t="shared" si="114"/>
        <v/>
      </c>
      <c r="EG12" s="443" t="str">
        <f t="shared" si="115"/>
        <v/>
      </c>
      <c r="EH12" s="443" t="str">
        <f t="shared" si="116"/>
        <v/>
      </c>
      <c r="EI12" s="443" t="str">
        <f t="shared" si="117"/>
        <v/>
      </c>
      <c r="EJ12" s="443" t="str">
        <f t="shared" si="118"/>
        <v/>
      </c>
      <c r="EK12" s="443" t="str">
        <f t="shared" si="119"/>
        <v/>
      </c>
      <c r="EL12" s="443" t="str">
        <f t="shared" si="120"/>
        <v/>
      </c>
      <c r="EM12" s="443" t="str">
        <f t="shared" si="121"/>
        <v/>
      </c>
      <c r="EN12" s="443" t="str">
        <f t="shared" si="122"/>
        <v/>
      </c>
      <c r="EO12" s="443" t="str">
        <f t="shared" si="123"/>
        <v/>
      </c>
      <c r="EP12" s="443" t="str">
        <f t="shared" si="124"/>
        <v/>
      </c>
      <c r="EQ12" s="443" t="str">
        <f t="shared" si="125"/>
        <v/>
      </c>
      <c r="ER12" s="443" t="str">
        <f t="shared" si="126"/>
        <v/>
      </c>
      <c r="ES12" s="443" t="str">
        <f t="shared" si="127"/>
        <v/>
      </c>
      <c r="ET12" s="443" t="str">
        <f t="shared" si="128"/>
        <v/>
      </c>
      <c r="EU12" s="443" t="str">
        <f t="shared" si="129"/>
        <v/>
      </c>
      <c r="EV12" s="443" t="str">
        <f t="shared" si="130"/>
        <v/>
      </c>
      <c r="EW12" s="443" t="str">
        <f t="shared" si="131"/>
        <v/>
      </c>
      <c r="EX12" s="443" t="str">
        <f t="shared" si="132"/>
        <v/>
      </c>
      <c r="EY12" s="443" t="str">
        <f t="shared" si="133"/>
        <v/>
      </c>
      <c r="EZ12" s="443" t="str">
        <f t="shared" si="134"/>
        <v/>
      </c>
      <c r="FA12" s="443" t="str">
        <f t="shared" si="135"/>
        <v/>
      </c>
      <c r="FB12" s="443" t="str">
        <f t="shared" si="136"/>
        <v/>
      </c>
      <c r="FC12" s="443" t="str">
        <f t="shared" si="137"/>
        <v/>
      </c>
      <c r="FD12" s="443" t="str">
        <f t="shared" si="138"/>
        <v/>
      </c>
      <c r="FE12" s="443" t="str">
        <f t="shared" si="139"/>
        <v/>
      </c>
      <c r="FF12" s="443" t="str">
        <f t="shared" si="140"/>
        <v/>
      </c>
      <c r="FG12" s="443" t="str">
        <f t="shared" si="141"/>
        <v/>
      </c>
      <c r="FH12" s="443" t="str">
        <f t="shared" si="142"/>
        <v/>
      </c>
      <c r="FI12" s="443" t="str">
        <f t="shared" si="143"/>
        <v/>
      </c>
      <c r="FJ12" s="443" t="str">
        <f t="shared" si="144"/>
        <v/>
      </c>
      <c r="FK12" s="443" t="str">
        <f t="shared" si="145"/>
        <v/>
      </c>
      <c r="FL12" s="443" t="str">
        <f t="shared" si="146"/>
        <v/>
      </c>
      <c r="FM12" s="443" t="str">
        <f t="shared" si="147"/>
        <v/>
      </c>
      <c r="FN12" s="443" t="str">
        <f t="shared" si="148"/>
        <v/>
      </c>
      <c r="FO12" s="443" t="str">
        <f t="shared" si="149"/>
        <v/>
      </c>
      <c r="FP12" s="443" t="str">
        <f t="shared" si="150"/>
        <v/>
      </c>
      <c r="FQ12" s="443" t="str">
        <f t="shared" si="151"/>
        <v/>
      </c>
      <c r="FR12" s="443" t="str">
        <f t="shared" si="152"/>
        <v/>
      </c>
      <c r="FS12" s="443" t="str">
        <f t="shared" si="153"/>
        <v/>
      </c>
      <c r="FT12" s="443" t="str">
        <f t="shared" si="154"/>
        <v/>
      </c>
      <c r="FU12" s="443" t="str">
        <f t="shared" si="155"/>
        <v/>
      </c>
      <c r="FV12" s="443" t="str">
        <f t="shared" si="156"/>
        <v/>
      </c>
      <c r="FW12" s="443" t="str">
        <f t="shared" si="157"/>
        <v/>
      </c>
      <c r="FX12" s="443" t="str">
        <f t="shared" si="158"/>
        <v/>
      </c>
      <c r="FY12" s="443" t="str">
        <f t="shared" si="159"/>
        <v/>
      </c>
      <c r="FZ12" s="443" t="str">
        <f t="shared" si="160"/>
        <v/>
      </c>
      <c r="GA12" s="443" t="str">
        <f t="shared" si="161"/>
        <v/>
      </c>
      <c r="GB12" s="443" t="str">
        <f t="shared" si="162"/>
        <v/>
      </c>
      <c r="GC12" s="443" t="str">
        <f t="shared" si="163"/>
        <v/>
      </c>
      <c r="GD12" s="443" t="str">
        <f t="shared" si="164"/>
        <v/>
      </c>
      <c r="GE12" s="443" t="str">
        <f t="shared" si="165"/>
        <v/>
      </c>
      <c r="GF12" s="443" t="str">
        <f t="shared" si="166"/>
        <v/>
      </c>
      <c r="GG12" s="443" t="str">
        <f t="shared" si="167"/>
        <v/>
      </c>
      <c r="GH12" s="443" t="str">
        <f t="shared" si="168"/>
        <v/>
      </c>
      <c r="GI12" s="443" t="str">
        <f t="shared" si="169"/>
        <v/>
      </c>
      <c r="GJ12" s="443" t="str">
        <f t="shared" si="170"/>
        <v/>
      </c>
      <c r="GK12" s="443" t="str">
        <f t="shared" si="171"/>
        <v/>
      </c>
      <c r="GL12" s="443" t="str">
        <f t="shared" si="172"/>
        <v/>
      </c>
      <c r="GM12" s="443" t="str">
        <f t="shared" si="173"/>
        <v/>
      </c>
      <c r="GN12" s="443" t="str">
        <f t="shared" si="174"/>
        <v/>
      </c>
      <c r="GO12" s="443" t="str">
        <f t="shared" si="175"/>
        <v/>
      </c>
      <c r="GP12" s="443" t="str">
        <f t="shared" si="176"/>
        <v/>
      </c>
      <c r="GQ12" s="443" t="str">
        <f t="shared" si="177"/>
        <v/>
      </c>
      <c r="GR12" s="443" t="str">
        <f t="shared" si="178"/>
        <v/>
      </c>
      <c r="GS12" s="443" t="str">
        <f t="shared" si="179"/>
        <v/>
      </c>
      <c r="GT12" s="443" t="str">
        <f t="shared" si="180"/>
        <v/>
      </c>
      <c r="GU12" s="443" t="str">
        <f t="shared" si="181"/>
        <v/>
      </c>
      <c r="GV12" s="443" t="str">
        <f t="shared" si="182"/>
        <v/>
      </c>
      <c r="GW12" s="443" t="str">
        <f t="shared" si="183"/>
        <v/>
      </c>
      <c r="GX12" s="443" t="str">
        <f t="shared" si="184"/>
        <v/>
      </c>
      <c r="GY12" s="443" t="str">
        <f t="shared" si="185"/>
        <v/>
      </c>
      <c r="GZ12" s="443" t="str">
        <f t="shared" si="186"/>
        <v/>
      </c>
      <c r="HA12" s="443" t="str">
        <f t="shared" si="187"/>
        <v/>
      </c>
      <c r="HB12" s="443" t="str">
        <f t="shared" si="188"/>
        <v/>
      </c>
      <c r="HC12" s="443" t="str">
        <f t="shared" si="189"/>
        <v/>
      </c>
      <c r="HD12" s="443" t="str">
        <f t="shared" si="190"/>
        <v/>
      </c>
      <c r="HE12" s="443" t="str">
        <f t="shared" si="191"/>
        <v/>
      </c>
      <c r="HF12" s="443" t="str">
        <f t="shared" si="192"/>
        <v/>
      </c>
      <c r="HG12" s="443" t="str">
        <f t="shared" si="193"/>
        <v/>
      </c>
      <c r="HH12" s="443" t="str">
        <f t="shared" si="194"/>
        <v/>
      </c>
      <c r="HI12" s="443" t="str">
        <f t="shared" si="195"/>
        <v/>
      </c>
      <c r="HJ12" s="443" t="str">
        <f t="shared" si="196"/>
        <v/>
      </c>
      <c r="HK12" s="443" t="str">
        <f t="shared" si="197"/>
        <v/>
      </c>
      <c r="HL12" s="443" t="str">
        <f t="shared" si="198"/>
        <v/>
      </c>
      <c r="HM12" s="443" t="str">
        <f t="shared" si="199"/>
        <v/>
      </c>
      <c r="HN12" s="443" t="str">
        <f t="shared" si="200"/>
        <v/>
      </c>
      <c r="HO12" s="443" t="str">
        <f t="shared" si="201"/>
        <v/>
      </c>
      <c r="HP12" s="443" t="str">
        <f t="shared" si="202"/>
        <v/>
      </c>
      <c r="HQ12" s="443" t="str">
        <f t="shared" si="203"/>
        <v/>
      </c>
      <c r="HR12" s="443" t="str">
        <f t="shared" si="204"/>
        <v/>
      </c>
      <c r="HS12" s="443" t="str">
        <f t="shared" si="205"/>
        <v/>
      </c>
      <c r="HT12" s="443" t="str">
        <f t="shared" si="206"/>
        <v/>
      </c>
      <c r="HU12" s="443" t="str">
        <f t="shared" si="207"/>
        <v/>
      </c>
      <c r="HV12" s="443" t="str">
        <f t="shared" si="208"/>
        <v/>
      </c>
      <c r="HW12" s="443" t="str">
        <f t="shared" si="209"/>
        <v/>
      </c>
      <c r="HX12" s="443" t="str">
        <f t="shared" si="210"/>
        <v/>
      </c>
      <c r="HY12" s="443" t="str">
        <f t="shared" si="211"/>
        <v/>
      </c>
      <c r="HZ12" s="2247" t="str">
        <f t="shared" si="212"/>
        <v/>
      </c>
      <c r="IA12" s="2247" t="str">
        <f t="shared" si="213"/>
        <v/>
      </c>
      <c r="IB12" s="2247" t="str">
        <f t="shared" si="214"/>
        <v/>
      </c>
      <c r="IC12" s="2247" t="str">
        <f t="shared" si="215"/>
        <v/>
      </c>
      <c r="ID12" s="2247" t="str">
        <f t="shared" si="216"/>
        <v/>
      </c>
      <c r="IE12" s="2247" t="str">
        <f t="shared" si="217"/>
        <v/>
      </c>
      <c r="IF12" s="2247" t="str">
        <f t="shared" si="218"/>
        <v/>
      </c>
      <c r="IG12" s="2247" t="str">
        <f t="shared" si="219"/>
        <v/>
      </c>
      <c r="IH12" s="2247" t="str">
        <f t="shared" si="220"/>
        <v/>
      </c>
      <c r="II12" s="2247" t="str">
        <f t="shared" si="221"/>
        <v/>
      </c>
      <c r="IJ12" s="2247" t="str">
        <f t="shared" si="222"/>
        <v/>
      </c>
      <c r="IK12" s="2247" t="str">
        <f t="shared" si="223"/>
        <v/>
      </c>
      <c r="IL12" s="2247" t="str">
        <f t="shared" si="224"/>
        <v/>
      </c>
      <c r="IM12" s="2247" t="str">
        <f t="shared" si="225"/>
        <v/>
      </c>
      <c r="IN12" s="2247" t="str">
        <f t="shared" si="226"/>
        <v/>
      </c>
      <c r="IO12" s="2247" t="str">
        <f t="shared" si="227"/>
        <v/>
      </c>
      <c r="IP12" s="2247" t="str">
        <f t="shared" si="228"/>
        <v/>
      </c>
      <c r="IQ12" s="2247" t="str">
        <f t="shared" si="229"/>
        <v/>
      </c>
      <c r="IR12" s="2247" t="str">
        <f t="shared" si="230"/>
        <v/>
      </c>
      <c r="IS12" s="2247" t="str">
        <f t="shared" si="231"/>
        <v/>
      </c>
      <c r="IT12" s="2247" t="str">
        <f t="shared" si="232"/>
        <v/>
      </c>
      <c r="IU12" s="2247" t="str">
        <f t="shared" si="233"/>
        <v/>
      </c>
      <c r="IV12" s="2247" t="str">
        <f t="shared" si="234"/>
        <v/>
      </c>
      <c r="IW12" s="2247" t="str">
        <f t="shared" si="235"/>
        <v/>
      </c>
      <c r="IX12" s="2247" t="str">
        <f t="shared" si="236"/>
        <v/>
      </c>
      <c r="IY12" s="2247" t="str">
        <f t="shared" si="237"/>
        <v/>
      </c>
      <c r="IZ12" s="2247" t="str">
        <f t="shared" si="238"/>
        <v/>
      </c>
      <c r="JA12" s="2247" t="str">
        <f t="shared" si="239"/>
        <v/>
      </c>
      <c r="JB12" s="2247" t="str">
        <f t="shared" si="240"/>
        <v/>
      </c>
      <c r="JC12" s="2247" t="str">
        <f t="shared" si="241"/>
        <v/>
      </c>
      <c r="JD12" s="2247" t="str">
        <f t="shared" si="242"/>
        <v/>
      </c>
      <c r="JE12" s="2247" t="str">
        <f t="shared" si="243"/>
        <v/>
      </c>
      <c r="JF12" s="2247" t="str">
        <f t="shared" si="244"/>
        <v/>
      </c>
      <c r="JG12" s="2247" t="str">
        <f t="shared" si="245"/>
        <v/>
      </c>
      <c r="JH12" s="2247" t="str">
        <f t="shared" si="246"/>
        <v/>
      </c>
      <c r="JI12" s="2247" t="str">
        <f t="shared" si="247"/>
        <v/>
      </c>
      <c r="JJ12" s="2247" t="str">
        <f t="shared" si="248"/>
        <v/>
      </c>
      <c r="JK12" s="2247" t="str">
        <f t="shared" si="249"/>
        <v/>
      </c>
      <c r="JL12" s="2247" t="str">
        <f t="shared" si="250"/>
        <v/>
      </c>
      <c r="JM12" s="2247" t="str">
        <f t="shared" si="251"/>
        <v/>
      </c>
      <c r="JN12" s="2247" t="str">
        <f t="shared" si="252"/>
        <v/>
      </c>
      <c r="JO12" s="2247" t="str">
        <f t="shared" si="253"/>
        <v/>
      </c>
      <c r="JP12" s="2247" t="str">
        <f t="shared" si="254"/>
        <v/>
      </c>
      <c r="JQ12" s="2247" t="str">
        <f t="shared" si="255"/>
        <v/>
      </c>
      <c r="JR12" s="2247" t="str">
        <f t="shared" si="256"/>
        <v/>
      </c>
      <c r="JS12" s="2247" t="str">
        <f t="shared" si="257"/>
        <v/>
      </c>
      <c r="JT12" s="2247" t="str">
        <f t="shared" si="258"/>
        <v/>
      </c>
      <c r="JU12" s="2247" t="str">
        <f t="shared" si="259"/>
        <v/>
      </c>
      <c r="JV12" s="2247" t="str">
        <f t="shared" si="260"/>
        <v/>
      </c>
      <c r="JW12" s="2247" t="str">
        <f t="shared" si="261"/>
        <v/>
      </c>
      <c r="JX12" s="2247" t="str">
        <f t="shared" si="262"/>
        <v/>
      </c>
      <c r="JY12" s="2247" t="str">
        <f t="shared" si="263"/>
        <v/>
      </c>
      <c r="JZ12" s="2247" t="str">
        <f t="shared" si="264"/>
        <v/>
      </c>
      <c r="KA12" s="2247" t="str">
        <f t="shared" si="265"/>
        <v/>
      </c>
      <c r="KB12" s="2247" t="str">
        <f t="shared" si="266"/>
        <v/>
      </c>
      <c r="KC12" s="2247" t="str">
        <f t="shared" si="267"/>
        <v/>
      </c>
      <c r="KD12" s="2247" t="str">
        <f t="shared" si="268"/>
        <v/>
      </c>
      <c r="KE12" s="2247" t="str">
        <f t="shared" si="269"/>
        <v/>
      </c>
      <c r="KF12" s="2247" t="str">
        <f t="shared" si="270"/>
        <v/>
      </c>
      <c r="KG12" s="2247" t="str">
        <f t="shared" si="271"/>
        <v/>
      </c>
      <c r="KH12" s="2247" t="str">
        <f t="shared" si="272"/>
        <v/>
      </c>
      <c r="KI12" s="2247" t="str">
        <f t="shared" si="273"/>
        <v/>
      </c>
      <c r="KJ12" s="2247" t="str">
        <f t="shared" si="274"/>
        <v/>
      </c>
      <c r="KK12" s="2247" t="str">
        <f t="shared" si="275"/>
        <v/>
      </c>
      <c r="KL12" s="2247" t="str">
        <f t="shared" si="276"/>
        <v/>
      </c>
      <c r="KM12" s="2247" t="str">
        <f t="shared" si="277"/>
        <v/>
      </c>
      <c r="KN12" s="2247" t="str">
        <f t="shared" si="278"/>
        <v/>
      </c>
      <c r="KO12" s="2247" t="str">
        <f t="shared" si="279"/>
        <v/>
      </c>
      <c r="KP12" s="2247" t="str">
        <f t="shared" si="280"/>
        <v/>
      </c>
      <c r="KQ12" s="2247" t="str">
        <f t="shared" si="281"/>
        <v/>
      </c>
      <c r="KR12" s="2247" t="str">
        <f t="shared" si="282"/>
        <v/>
      </c>
      <c r="KS12" s="2247" t="str">
        <f t="shared" si="283"/>
        <v/>
      </c>
      <c r="KT12" s="2247" t="str">
        <f t="shared" si="284"/>
        <v/>
      </c>
      <c r="KU12" s="2247" t="str">
        <f t="shared" si="285"/>
        <v/>
      </c>
      <c r="KV12" s="2247" t="str">
        <f t="shared" si="286"/>
        <v/>
      </c>
      <c r="KW12" s="2247" t="str">
        <f t="shared" si="287"/>
        <v/>
      </c>
      <c r="KX12" s="2247" t="str">
        <f t="shared" si="288"/>
        <v/>
      </c>
      <c r="KY12" s="2247" t="str">
        <f t="shared" si="289"/>
        <v/>
      </c>
      <c r="KZ12" s="2247" t="str">
        <f t="shared" si="290"/>
        <v/>
      </c>
      <c r="LA12" s="2247" t="str">
        <f t="shared" si="291"/>
        <v/>
      </c>
      <c r="LB12" s="2247" t="str">
        <f t="shared" si="292"/>
        <v/>
      </c>
      <c r="LC12" s="2247" t="str">
        <f t="shared" si="293"/>
        <v/>
      </c>
      <c r="LD12" s="2247" t="str">
        <f t="shared" si="294"/>
        <v/>
      </c>
      <c r="LE12" s="2247" t="str">
        <f t="shared" si="295"/>
        <v/>
      </c>
      <c r="LF12" s="2247" t="str">
        <f t="shared" si="296"/>
        <v/>
      </c>
      <c r="LG12" s="2247" t="str">
        <f t="shared" si="297"/>
        <v/>
      </c>
      <c r="LH12" s="2247" t="str">
        <f t="shared" si="298"/>
        <v/>
      </c>
      <c r="LI12" s="2247" t="str">
        <f t="shared" si="299"/>
        <v/>
      </c>
      <c r="LJ12" s="2247" t="str">
        <f t="shared" si="300"/>
        <v/>
      </c>
      <c r="LK12" s="2247" t="str">
        <f t="shared" si="301"/>
        <v/>
      </c>
      <c r="LL12" s="2247" t="str">
        <f t="shared" si="302"/>
        <v/>
      </c>
      <c r="LM12" s="2247" t="str">
        <f t="shared" si="303"/>
        <v/>
      </c>
      <c r="LN12" s="2247" t="str">
        <f t="shared" si="304"/>
        <v/>
      </c>
      <c r="LO12" s="2247" t="str">
        <f t="shared" si="305"/>
        <v/>
      </c>
      <c r="LP12" s="2247" t="str">
        <f t="shared" si="306"/>
        <v/>
      </c>
      <c r="LQ12" s="2248" t="str">
        <f t="shared" si="307"/>
        <v/>
      </c>
      <c r="LR12" s="2248" t="str">
        <f t="shared" si="308"/>
        <v/>
      </c>
      <c r="LS12" s="2248" t="str">
        <f t="shared" si="309"/>
        <v/>
      </c>
      <c r="LT12" s="2248" t="str">
        <f t="shared" si="310"/>
        <v/>
      </c>
      <c r="LU12" s="2248" t="str">
        <f t="shared" si="311"/>
        <v/>
      </c>
      <c r="LV12" s="443" t="str">
        <f t="shared" si="312"/>
        <v/>
      </c>
      <c r="LW12" s="443" t="str">
        <f t="shared" si="313"/>
        <v/>
      </c>
      <c r="LX12" s="443" t="str">
        <f t="shared" si="314"/>
        <v/>
      </c>
      <c r="LY12" s="443" t="str">
        <f t="shared" si="315"/>
        <v/>
      </c>
      <c r="LZ12" s="443" t="str">
        <f t="shared" si="316"/>
        <v/>
      </c>
      <c r="MA12" s="443" t="str">
        <f t="shared" si="317"/>
        <v/>
      </c>
      <c r="MB12" s="443" t="str">
        <f t="shared" si="318"/>
        <v/>
      </c>
      <c r="MC12" s="443" t="str">
        <f t="shared" si="319"/>
        <v/>
      </c>
      <c r="MD12" s="443" t="str">
        <f t="shared" si="320"/>
        <v/>
      </c>
      <c r="ME12" s="443" t="str">
        <f t="shared" si="321"/>
        <v/>
      </c>
      <c r="MF12" s="443" t="str">
        <f t="shared" si="322"/>
        <v/>
      </c>
      <c r="MG12" s="443" t="str">
        <f t="shared" si="323"/>
        <v/>
      </c>
      <c r="MH12" s="443" t="str">
        <f t="shared" si="324"/>
        <v/>
      </c>
      <c r="MI12" s="443" t="str">
        <f t="shared" si="325"/>
        <v/>
      </c>
      <c r="MJ12" s="443" t="str">
        <f t="shared" si="326"/>
        <v/>
      </c>
      <c r="MK12" s="443" t="str">
        <f t="shared" si="327"/>
        <v/>
      </c>
      <c r="ML12" s="443" t="str">
        <f t="shared" si="328"/>
        <v/>
      </c>
      <c r="MM12" s="443" t="str">
        <f t="shared" si="329"/>
        <v/>
      </c>
      <c r="MN12" s="443" t="str">
        <f t="shared" si="330"/>
        <v/>
      </c>
      <c r="MO12" s="443" t="str">
        <f t="shared" si="331"/>
        <v/>
      </c>
      <c r="MP12" s="2246">
        <f t="shared" si="338"/>
        <v>0</v>
      </c>
      <c r="MQ12" s="2246">
        <f t="shared" si="339"/>
        <v>0</v>
      </c>
      <c r="MR12" s="2246">
        <f t="shared" si="340"/>
        <v>0</v>
      </c>
      <c r="MS12" s="2246">
        <f t="shared" si="341"/>
        <v>0</v>
      </c>
      <c r="MT12" s="2246">
        <f t="shared" si="342"/>
        <v>0</v>
      </c>
      <c r="MU12" s="2246">
        <f t="shared" si="343"/>
        <v>0</v>
      </c>
      <c r="MV12" s="2246">
        <f t="shared" si="344"/>
        <v>0</v>
      </c>
      <c r="MW12" s="2246">
        <f t="shared" si="345"/>
        <v>0</v>
      </c>
      <c r="MX12" s="2246">
        <f t="shared" si="346"/>
        <v>0</v>
      </c>
      <c r="MY12" s="2246">
        <f t="shared" si="347"/>
        <v>0</v>
      </c>
      <c r="MZ12" s="2246">
        <f t="shared" si="332"/>
        <v>0</v>
      </c>
      <c r="NA12" s="2246">
        <f t="shared" si="333"/>
        <v>0</v>
      </c>
      <c r="NB12" s="2246">
        <f t="shared" si="334"/>
        <v>0</v>
      </c>
      <c r="NC12" s="2246">
        <f t="shared" si="335"/>
        <v>0</v>
      </c>
      <c r="ND12" s="2246">
        <f t="shared" si="336"/>
        <v>0</v>
      </c>
    </row>
    <row r="13" spans="1:503" ht="13.95" customHeight="1">
      <c r="A13" s="109" t="str">
        <f t="shared" si="337"/>
        <v/>
      </c>
      <c r="B13" s="3986" t="s">
        <v>298</v>
      </c>
      <c r="C13" s="3987"/>
      <c r="D13" s="3988"/>
      <c r="E13" s="3989"/>
      <c r="F13" s="3989"/>
      <c r="G13" s="3989"/>
      <c r="H13" s="3989"/>
      <c r="I13" s="3989"/>
      <c r="J13" s="3990"/>
      <c r="K13" s="3991"/>
      <c r="L13" s="567">
        <f t="shared" si="0"/>
        <v>0</v>
      </c>
      <c r="M13" s="567">
        <f t="shared" si="1"/>
        <v>0</v>
      </c>
      <c r="N13" s="3992"/>
      <c r="O13" s="3992"/>
      <c r="P13" s="3992"/>
      <c r="Q13" s="3993"/>
      <c r="R13" s="3994"/>
      <c r="S13" s="3995"/>
      <c r="T13" s="3996"/>
      <c r="U13" s="3997"/>
      <c r="V13" s="3997"/>
      <c r="W13" s="3998"/>
      <c r="X13" s="443" t="str">
        <f t="shared" si="2"/>
        <v/>
      </c>
      <c r="Y13" s="443" t="str">
        <f t="shared" si="3"/>
        <v/>
      </c>
      <c r="Z13" s="443" t="str">
        <f t="shared" si="4"/>
        <v/>
      </c>
      <c r="AA13" s="443" t="str">
        <f t="shared" si="5"/>
        <v/>
      </c>
      <c r="AB13" s="443" t="str">
        <f t="shared" si="6"/>
        <v/>
      </c>
      <c r="AC13" s="443" t="str">
        <f t="shared" si="7"/>
        <v/>
      </c>
      <c r="AD13" s="443" t="str">
        <f t="shared" si="8"/>
        <v/>
      </c>
      <c r="AE13" s="443" t="str">
        <f t="shared" si="9"/>
        <v/>
      </c>
      <c r="AF13" s="443" t="str">
        <f t="shared" si="10"/>
        <v/>
      </c>
      <c r="AG13" s="443" t="str">
        <f t="shared" si="11"/>
        <v/>
      </c>
      <c r="AH13" s="443" t="str">
        <f t="shared" si="12"/>
        <v/>
      </c>
      <c r="AI13" s="443" t="str">
        <f t="shared" si="13"/>
        <v/>
      </c>
      <c r="AJ13" s="443" t="str">
        <f t="shared" si="14"/>
        <v/>
      </c>
      <c r="AK13" s="443" t="str">
        <f t="shared" si="15"/>
        <v/>
      </c>
      <c r="AL13" s="443" t="str">
        <f t="shared" si="16"/>
        <v/>
      </c>
      <c r="AM13" s="443" t="str">
        <f t="shared" si="17"/>
        <v/>
      </c>
      <c r="AN13" s="443" t="str">
        <f t="shared" si="18"/>
        <v/>
      </c>
      <c r="AO13" s="443" t="str">
        <f t="shared" si="19"/>
        <v/>
      </c>
      <c r="AP13" s="443" t="str">
        <f t="shared" si="20"/>
        <v/>
      </c>
      <c r="AQ13" s="443" t="str">
        <f t="shared" si="21"/>
        <v/>
      </c>
      <c r="AR13" s="443" t="str">
        <f t="shared" si="22"/>
        <v/>
      </c>
      <c r="AS13" s="443" t="str">
        <f t="shared" si="23"/>
        <v/>
      </c>
      <c r="AT13" s="443" t="str">
        <f t="shared" si="24"/>
        <v/>
      </c>
      <c r="AU13" s="443" t="str">
        <f t="shared" si="25"/>
        <v/>
      </c>
      <c r="AV13" s="443" t="str">
        <f t="shared" si="26"/>
        <v/>
      </c>
      <c r="AW13" s="443" t="str">
        <f t="shared" si="27"/>
        <v/>
      </c>
      <c r="AX13" s="443" t="str">
        <f t="shared" si="28"/>
        <v/>
      </c>
      <c r="AY13" s="443" t="str">
        <f t="shared" si="29"/>
        <v/>
      </c>
      <c r="AZ13" s="443" t="str">
        <f t="shared" si="30"/>
        <v/>
      </c>
      <c r="BA13" s="443" t="str">
        <f t="shared" si="31"/>
        <v/>
      </c>
      <c r="BB13" s="443" t="str">
        <f t="shared" si="32"/>
        <v/>
      </c>
      <c r="BC13" s="443" t="str">
        <f t="shared" si="33"/>
        <v/>
      </c>
      <c r="BD13" s="443" t="str">
        <f t="shared" si="34"/>
        <v/>
      </c>
      <c r="BE13" s="443" t="str">
        <f t="shared" si="35"/>
        <v/>
      </c>
      <c r="BF13" s="443" t="str">
        <f t="shared" si="36"/>
        <v/>
      </c>
      <c r="BG13" s="443" t="str">
        <f t="shared" si="37"/>
        <v/>
      </c>
      <c r="BH13" s="443" t="str">
        <f t="shared" si="38"/>
        <v/>
      </c>
      <c r="BI13" s="443" t="str">
        <f t="shared" si="39"/>
        <v/>
      </c>
      <c r="BJ13" s="443" t="str">
        <f t="shared" si="40"/>
        <v/>
      </c>
      <c r="BK13" s="443" t="str">
        <f t="shared" si="41"/>
        <v/>
      </c>
      <c r="BL13" s="443" t="str">
        <f t="shared" si="42"/>
        <v/>
      </c>
      <c r="BM13" s="443" t="str">
        <f t="shared" si="43"/>
        <v/>
      </c>
      <c r="BN13" s="443" t="str">
        <f t="shared" si="44"/>
        <v/>
      </c>
      <c r="BO13" s="443" t="str">
        <f t="shared" si="45"/>
        <v/>
      </c>
      <c r="BP13" s="443" t="str">
        <f t="shared" si="46"/>
        <v/>
      </c>
      <c r="BQ13" s="443" t="str">
        <f t="shared" si="47"/>
        <v/>
      </c>
      <c r="BR13" s="443" t="str">
        <f t="shared" si="48"/>
        <v/>
      </c>
      <c r="BS13" s="443" t="str">
        <f t="shared" si="49"/>
        <v/>
      </c>
      <c r="BT13" s="443" t="str">
        <f t="shared" si="50"/>
        <v/>
      </c>
      <c r="BU13" s="443" t="str">
        <f t="shared" si="51"/>
        <v/>
      </c>
      <c r="BV13" s="443" t="str">
        <f t="shared" si="52"/>
        <v/>
      </c>
      <c r="BW13" s="443" t="str">
        <f t="shared" si="53"/>
        <v/>
      </c>
      <c r="BX13" s="443" t="str">
        <f t="shared" si="54"/>
        <v/>
      </c>
      <c r="BY13" s="443" t="str">
        <f t="shared" si="55"/>
        <v/>
      </c>
      <c r="BZ13" s="443" t="str">
        <f t="shared" si="56"/>
        <v/>
      </c>
      <c r="CA13" s="443" t="str">
        <f t="shared" si="57"/>
        <v/>
      </c>
      <c r="CB13" s="443" t="str">
        <f t="shared" si="58"/>
        <v/>
      </c>
      <c r="CC13" s="443" t="str">
        <f t="shared" si="59"/>
        <v/>
      </c>
      <c r="CD13" s="443" t="str">
        <f t="shared" si="60"/>
        <v/>
      </c>
      <c r="CE13" s="443" t="str">
        <f t="shared" si="61"/>
        <v/>
      </c>
      <c r="CF13" s="443" t="str">
        <f t="shared" si="62"/>
        <v/>
      </c>
      <c r="CG13" s="443" t="str">
        <f t="shared" si="63"/>
        <v/>
      </c>
      <c r="CH13" s="443" t="str">
        <f t="shared" si="64"/>
        <v/>
      </c>
      <c r="CI13" s="443" t="str">
        <f t="shared" si="65"/>
        <v/>
      </c>
      <c r="CJ13" s="443" t="str">
        <f t="shared" si="66"/>
        <v/>
      </c>
      <c r="CK13" s="443" t="str">
        <f t="shared" si="67"/>
        <v/>
      </c>
      <c r="CL13" s="443" t="str">
        <f t="shared" si="68"/>
        <v/>
      </c>
      <c r="CM13" s="443" t="str">
        <f t="shared" si="69"/>
        <v/>
      </c>
      <c r="CN13" s="443" t="str">
        <f t="shared" si="70"/>
        <v/>
      </c>
      <c r="CO13" s="443" t="str">
        <f t="shared" si="71"/>
        <v/>
      </c>
      <c r="CP13" s="443" t="str">
        <f t="shared" si="72"/>
        <v/>
      </c>
      <c r="CQ13" s="443" t="str">
        <f t="shared" si="73"/>
        <v/>
      </c>
      <c r="CR13" s="443" t="str">
        <f t="shared" si="74"/>
        <v/>
      </c>
      <c r="CS13" s="443" t="str">
        <f t="shared" si="75"/>
        <v/>
      </c>
      <c r="CT13" s="443" t="str">
        <f t="shared" si="76"/>
        <v/>
      </c>
      <c r="CU13" s="443" t="str">
        <f t="shared" si="77"/>
        <v/>
      </c>
      <c r="CV13" s="443" t="str">
        <f t="shared" si="78"/>
        <v/>
      </c>
      <c r="CW13" s="443" t="str">
        <f t="shared" si="79"/>
        <v/>
      </c>
      <c r="CX13" s="443" t="str">
        <f t="shared" si="80"/>
        <v/>
      </c>
      <c r="CY13" s="443" t="str">
        <f t="shared" si="81"/>
        <v/>
      </c>
      <c r="CZ13" s="443" t="str">
        <f t="shared" si="82"/>
        <v/>
      </c>
      <c r="DA13" s="443" t="str">
        <f t="shared" si="83"/>
        <v/>
      </c>
      <c r="DB13" s="443" t="str">
        <f t="shared" si="84"/>
        <v/>
      </c>
      <c r="DC13" s="443" t="str">
        <f t="shared" si="85"/>
        <v/>
      </c>
      <c r="DD13" s="443" t="str">
        <f t="shared" si="86"/>
        <v/>
      </c>
      <c r="DE13" s="443" t="str">
        <f t="shared" si="87"/>
        <v/>
      </c>
      <c r="DF13" s="443" t="str">
        <f t="shared" si="88"/>
        <v/>
      </c>
      <c r="DG13" s="443" t="str">
        <f t="shared" si="89"/>
        <v/>
      </c>
      <c r="DH13" s="443" t="str">
        <f t="shared" si="90"/>
        <v/>
      </c>
      <c r="DI13" s="443" t="str">
        <f t="shared" si="91"/>
        <v/>
      </c>
      <c r="DJ13" s="443" t="str">
        <f t="shared" si="92"/>
        <v/>
      </c>
      <c r="DK13" s="443" t="str">
        <f t="shared" si="93"/>
        <v/>
      </c>
      <c r="DL13" s="443" t="str">
        <f t="shared" si="94"/>
        <v/>
      </c>
      <c r="DM13" s="443" t="str">
        <f t="shared" si="95"/>
        <v/>
      </c>
      <c r="DN13" s="443" t="str">
        <f t="shared" si="96"/>
        <v/>
      </c>
      <c r="DO13" s="443" t="str">
        <f t="shared" si="97"/>
        <v/>
      </c>
      <c r="DP13" s="443" t="str">
        <f t="shared" si="98"/>
        <v/>
      </c>
      <c r="DQ13" s="443" t="str">
        <f t="shared" si="99"/>
        <v/>
      </c>
      <c r="DR13" s="443" t="str">
        <f t="shared" si="100"/>
        <v/>
      </c>
      <c r="DS13" s="443" t="str">
        <f t="shared" si="101"/>
        <v/>
      </c>
      <c r="DT13" s="443" t="str">
        <f t="shared" si="102"/>
        <v/>
      </c>
      <c r="DU13" s="443" t="str">
        <f t="shared" si="103"/>
        <v/>
      </c>
      <c r="DV13" s="443" t="str">
        <f t="shared" si="104"/>
        <v/>
      </c>
      <c r="DW13" s="443" t="str">
        <f t="shared" si="105"/>
        <v/>
      </c>
      <c r="DX13" s="443" t="str">
        <f t="shared" si="106"/>
        <v/>
      </c>
      <c r="DY13" s="443" t="str">
        <f t="shared" si="107"/>
        <v/>
      </c>
      <c r="DZ13" s="443" t="str">
        <f t="shared" si="108"/>
        <v/>
      </c>
      <c r="EA13" s="443" t="str">
        <f t="shared" si="109"/>
        <v/>
      </c>
      <c r="EB13" s="443" t="str">
        <f t="shared" si="110"/>
        <v/>
      </c>
      <c r="EC13" s="443" t="str">
        <f t="shared" si="111"/>
        <v/>
      </c>
      <c r="ED13" s="443" t="str">
        <f t="shared" si="112"/>
        <v/>
      </c>
      <c r="EE13" s="443" t="str">
        <f t="shared" si="113"/>
        <v/>
      </c>
      <c r="EF13" s="443" t="str">
        <f t="shared" si="114"/>
        <v/>
      </c>
      <c r="EG13" s="443" t="str">
        <f t="shared" si="115"/>
        <v/>
      </c>
      <c r="EH13" s="443" t="str">
        <f t="shared" si="116"/>
        <v/>
      </c>
      <c r="EI13" s="443" t="str">
        <f t="shared" si="117"/>
        <v/>
      </c>
      <c r="EJ13" s="443" t="str">
        <f t="shared" si="118"/>
        <v/>
      </c>
      <c r="EK13" s="443" t="str">
        <f t="shared" si="119"/>
        <v/>
      </c>
      <c r="EL13" s="443" t="str">
        <f t="shared" si="120"/>
        <v/>
      </c>
      <c r="EM13" s="443" t="str">
        <f t="shared" si="121"/>
        <v/>
      </c>
      <c r="EN13" s="443" t="str">
        <f t="shared" si="122"/>
        <v/>
      </c>
      <c r="EO13" s="443" t="str">
        <f t="shared" si="123"/>
        <v/>
      </c>
      <c r="EP13" s="443" t="str">
        <f t="shared" si="124"/>
        <v/>
      </c>
      <c r="EQ13" s="443" t="str">
        <f t="shared" si="125"/>
        <v/>
      </c>
      <c r="ER13" s="443" t="str">
        <f t="shared" si="126"/>
        <v/>
      </c>
      <c r="ES13" s="443" t="str">
        <f t="shared" si="127"/>
        <v/>
      </c>
      <c r="ET13" s="443" t="str">
        <f t="shared" si="128"/>
        <v/>
      </c>
      <c r="EU13" s="443" t="str">
        <f t="shared" si="129"/>
        <v/>
      </c>
      <c r="EV13" s="443" t="str">
        <f t="shared" si="130"/>
        <v/>
      </c>
      <c r="EW13" s="443" t="str">
        <f t="shared" si="131"/>
        <v/>
      </c>
      <c r="EX13" s="443" t="str">
        <f t="shared" si="132"/>
        <v/>
      </c>
      <c r="EY13" s="443" t="str">
        <f t="shared" si="133"/>
        <v/>
      </c>
      <c r="EZ13" s="443" t="str">
        <f t="shared" si="134"/>
        <v/>
      </c>
      <c r="FA13" s="443" t="str">
        <f t="shared" si="135"/>
        <v/>
      </c>
      <c r="FB13" s="443" t="str">
        <f t="shared" si="136"/>
        <v/>
      </c>
      <c r="FC13" s="443" t="str">
        <f t="shared" si="137"/>
        <v/>
      </c>
      <c r="FD13" s="443" t="str">
        <f t="shared" si="138"/>
        <v/>
      </c>
      <c r="FE13" s="443" t="str">
        <f t="shared" si="139"/>
        <v/>
      </c>
      <c r="FF13" s="443" t="str">
        <f t="shared" si="140"/>
        <v/>
      </c>
      <c r="FG13" s="443" t="str">
        <f t="shared" si="141"/>
        <v/>
      </c>
      <c r="FH13" s="443" t="str">
        <f t="shared" si="142"/>
        <v/>
      </c>
      <c r="FI13" s="443" t="str">
        <f t="shared" si="143"/>
        <v/>
      </c>
      <c r="FJ13" s="443" t="str">
        <f t="shared" si="144"/>
        <v/>
      </c>
      <c r="FK13" s="443" t="str">
        <f t="shared" si="145"/>
        <v/>
      </c>
      <c r="FL13" s="443" t="str">
        <f t="shared" si="146"/>
        <v/>
      </c>
      <c r="FM13" s="443" t="str">
        <f t="shared" si="147"/>
        <v/>
      </c>
      <c r="FN13" s="443" t="str">
        <f t="shared" si="148"/>
        <v/>
      </c>
      <c r="FO13" s="443" t="str">
        <f t="shared" si="149"/>
        <v/>
      </c>
      <c r="FP13" s="443" t="str">
        <f t="shared" si="150"/>
        <v/>
      </c>
      <c r="FQ13" s="443" t="str">
        <f t="shared" si="151"/>
        <v/>
      </c>
      <c r="FR13" s="443" t="str">
        <f t="shared" si="152"/>
        <v/>
      </c>
      <c r="FS13" s="443" t="str">
        <f t="shared" si="153"/>
        <v/>
      </c>
      <c r="FT13" s="443" t="str">
        <f t="shared" si="154"/>
        <v/>
      </c>
      <c r="FU13" s="443" t="str">
        <f t="shared" si="155"/>
        <v/>
      </c>
      <c r="FV13" s="443" t="str">
        <f t="shared" si="156"/>
        <v/>
      </c>
      <c r="FW13" s="443" t="str">
        <f t="shared" si="157"/>
        <v/>
      </c>
      <c r="FX13" s="443" t="str">
        <f t="shared" si="158"/>
        <v/>
      </c>
      <c r="FY13" s="443" t="str">
        <f t="shared" si="159"/>
        <v/>
      </c>
      <c r="FZ13" s="443" t="str">
        <f t="shared" si="160"/>
        <v/>
      </c>
      <c r="GA13" s="443" t="str">
        <f t="shared" si="161"/>
        <v/>
      </c>
      <c r="GB13" s="443" t="str">
        <f t="shared" si="162"/>
        <v/>
      </c>
      <c r="GC13" s="443" t="str">
        <f t="shared" si="163"/>
        <v/>
      </c>
      <c r="GD13" s="443" t="str">
        <f t="shared" si="164"/>
        <v/>
      </c>
      <c r="GE13" s="443" t="str">
        <f t="shared" si="165"/>
        <v/>
      </c>
      <c r="GF13" s="443" t="str">
        <f t="shared" si="166"/>
        <v/>
      </c>
      <c r="GG13" s="443" t="str">
        <f t="shared" si="167"/>
        <v/>
      </c>
      <c r="GH13" s="443" t="str">
        <f t="shared" si="168"/>
        <v/>
      </c>
      <c r="GI13" s="443" t="str">
        <f t="shared" si="169"/>
        <v/>
      </c>
      <c r="GJ13" s="443" t="str">
        <f t="shared" si="170"/>
        <v/>
      </c>
      <c r="GK13" s="443" t="str">
        <f t="shared" si="171"/>
        <v/>
      </c>
      <c r="GL13" s="443" t="str">
        <f t="shared" si="172"/>
        <v/>
      </c>
      <c r="GM13" s="443" t="str">
        <f t="shared" si="173"/>
        <v/>
      </c>
      <c r="GN13" s="443" t="str">
        <f t="shared" si="174"/>
        <v/>
      </c>
      <c r="GO13" s="443" t="str">
        <f t="shared" si="175"/>
        <v/>
      </c>
      <c r="GP13" s="443" t="str">
        <f t="shared" si="176"/>
        <v/>
      </c>
      <c r="GQ13" s="443" t="str">
        <f t="shared" si="177"/>
        <v/>
      </c>
      <c r="GR13" s="443" t="str">
        <f t="shared" si="178"/>
        <v/>
      </c>
      <c r="GS13" s="443" t="str">
        <f t="shared" si="179"/>
        <v/>
      </c>
      <c r="GT13" s="443" t="str">
        <f t="shared" si="180"/>
        <v/>
      </c>
      <c r="GU13" s="443" t="str">
        <f t="shared" si="181"/>
        <v/>
      </c>
      <c r="GV13" s="443" t="str">
        <f t="shared" si="182"/>
        <v/>
      </c>
      <c r="GW13" s="443" t="str">
        <f t="shared" si="183"/>
        <v/>
      </c>
      <c r="GX13" s="443" t="str">
        <f t="shared" si="184"/>
        <v/>
      </c>
      <c r="GY13" s="443" t="str">
        <f t="shared" si="185"/>
        <v/>
      </c>
      <c r="GZ13" s="443" t="str">
        <f t="shared" si="186"/>
        <v/>
      </c>
      <c r="HA13" s="443" t="str">
        <f t="shared" si="187"/>
        <v/>
      </c>
      <c r="HB13" s="443" t="str">
        <f t="shared" si="188"/>
        <v/>
      </c>
      <c r="HC13" s="443" t="str">
        <f t="shared" si="189"/>
        <v/>
      </c>
      <c r="HD13" s="443" t="str">
        <f t="shared" si="190"/>
        <v/>
      </c>
      <c r="HE13" s="443" t="str">
        <f t="shared" si="191"/>
        <v/>
      </c>
      <c r="HF13" s="443" t="str">
        <f t="shared" si="192"/>
        <v/>
      </c>
      <c r="HG13" s="443" t="str">
        <f t="shared" si="193"/>
        <v/>
      </c>
      <c r="HH13" s="443" t="str">
        <f t="shared" si="194"/>
        <v/>
      </c>
      <c r="HI13" s="443" t="str">
        <f t="shared" si="195"/>
        <v/>
      </c>
      <c r="HJ13" s="443" t="str">
        <f t="shared" si="196"/>
        <v/>
      </c>
      <c r="HK13" s="443" t="str">
        <f t="shared" si="197"/>
        <v/>
      </c>
      <c r="HL13" s="443" t="str">
        <f t="shared" si="198"/>
        <v/>
      </c>
      <c r="HM13" s="443" t="str">
        <f t="shared" si="199"/>
        <v/>
      </c>
      <c r="HN13" s="443" t="str">
        <f t="shared" si="200"/>
        <v/>
      </c>
      <c r="HO13" s="443" t="str">
        <f t="shared" si="201"/>
        <v/>
      </c>
      <c r="HP13" s="443" t="str">
        <f t="shared" si="202"/>
        <v/>
      </c>
      <c r="HQ13" s="443" t="str">
        <f t="shared" si="203"/>
        <v/>
      </c>
      <c r="HR13" s="443" t="str">
        <f t="shared" si="204"/>
        <v/>
      </c>
      <c r="HS13" s="443" t="str">
        <f t="shared" si="205"/>
        <v/>
      </c>
      <c r="HT13" s="443" t="str">
        <f t="shared" si="206"/>
        <v/>
      </c>
      <c r="HU13" s="443" t="str">
        <f t="shared" si="207"/>
        <v/>
      </c>
      <c r="HV13" s="443" t="str">
        <f t="shared" si="208"/>
        <v/>
      </c>
      <c r="HW13" s="443" t="str">
        <f t="shared" si="209"/>
        <v/>
      </c>
      <c r="HX13" s="443" t="str">
        <f t="shared" si="210"/>
        <v/>
      </c>
      <c r="HY13" s="443" t="str">
        <f t="shared" si="211"/>
        <v/>
      </c>
      <c r="HZ13" s="2247" t="str">
        <f t="shared" si="212"/>
        <v/>
      </c>
      <c r="IA13" s="2247" t="str">
        <f t="shared" si="213"/>
        <v/>
      </c>
      <c r="IB13" s="2247" t="str">
        <f t="shared" si="214"/>
        <v/>
      </c>
      <c r="IC13" s="2247" t="str">
        <f t="shared" si="215"/>
        <v/>
      </c>
      <c r="ID13" s="2247" t="str">
        <f t="shared" si="216"/>
        <v/>
      </c>
      <c r="IE13" s="2247" t="str">
        <f t="shared" si="217"/>
        <v/>
      </c>
      <c r="IF13" s="2247" t="str">
        <f t="shared" si="218"/>
        <v/>
      </c>
      <c r="IG13" s="2247" t="str">
        <f t="shared" si="219"/>
        <v/>
      </c>
      <c r="IH13" s="2247" t="str">
        <f t="shared" si="220"/>
        <v/>
      </c>
      <c r="II13" s="2247" t="str">
        <f t="shared" si="221"/>
        <v/>
      </c>
      <c r="IJ13" s="2247" t="str">
        <f t="shared" si="222"/>
        <v/>
      </c>
      <c r="IK13" s="2247" t="str">
        <f t="shared" si="223"/>
        <v/>
      </c>
      <c r="IL13" s="2247" t="str">
        <f t="shared" si="224"/>
        <v/>
      </c>
      <c r="IM13" s="2247" t="str">
        <f t="shared" si="225"/>
        <v/>
      </c>
      <c r="IN13" s="2247" t="str">
        <f t="shared" si="226"/>
        <v/>
      </c>
      <c r="IO13" s="2247" t="str">
        <f t="shared" si="227"/>
        <v/>
      </c>
      <c r="IP13" s="2247" t="str">
        <f t="shared" si="228"/>
        <v/>
      </c>
      <c r="IQ13" s="2247" t="str">
        <f t="shared" si="229"/>
        <v/>
      </c>
      <c r="IR13" s="2247" t="str">
        <f t="shared" si="230"/>
        <v/>
      </c>
      <c r="IS13" s="2247" t="str">
        <f t="shared" si="231"/>
        <v/>
      </c>
      <c r="IT13" s="2247" t="str">
        <f t="shared" si="232"/>
        <v/>
      </c>
      <c r="IU13" s="2247" t="str">
        <f t="shared" si="233"/>
        <v/>
      </c>
      <c r="IV13" s="2247" t="str">
        <f t="shared" si="234"/>
        <v/>
      </c>
      <c r="IW13" s="2247" t="str">
        <f t="shared" si="235"/>
        <v/>
      </c>
      <c r="IX13" s="2247" t="str">
        <f t="shared" si="236"/>
        <v/>
      </c>
      <c r="IY13" s="2247" t="str">
        <f t="shared" si="237"/>
        <v/>
      </c>
      <c r="IZ13" s="2247" t="str">
        <f t="shared" si="238"/>
        <v/>
      </c>
      <c r="JA13" s="2247" t="str">
        <f t="shared" si="239"/>
        <v/>
      </c>
      <c r="JB13" s="2247" t="str">
        <f t="shared" si="240"/>
        <v/>
      </c>
      <c r="JC13" s="2247" t="str">
        <f t="shared" si="241"/>
        <v/>
      </c>
      <c r="JD13" s="2247" t="str">
        <f t="shared" si="242"/>
        <v/>
      </c>
      <c r="JE13" s="2247" t="str">
        <f t="shared" si="243"/>
        <v/>
      </c>
      <c r="JF13" s="2247" t="str">
        <f t="shared" si="244"/>
        <v/>
      </c>
      <c r="JG13" s="2247" t="str">
        <f t="shared" si="245"/>
        <v/>
      </c>
      <c r="JH13" s="2247" t="str">
        <f t="shared" si="246"/>
        <v/>
      </c>
      <c r="JI13" s="2247" t="str">
        <f t="shared" si="247"/>
        <v/>
      </c>
      <c r="JJ13" s="2247" t="str">
        <f t="shared" si="248"/>
        <v/>
      </c>
      <c r="JK13" s="2247" t="str">
        <f t="shared" si="249"/>
        <v/>
      </c>
      <c r="JL13" s="2247" t="str">
        <f t="shared" si="250"/>
        <v/>
      </c>
      <c r="JM13" s="2247" t="str">
        <f t="shared" si="251"/>
        <v/>
      </c>
      <c r="JN13" s="2247" t="str">
        <f t="shared" si="252"/>
        <v/>
      </c>
      <c r="JO13" s="2247" t="str">
        <f t="shared" si="253"/>
        <v/>
      </c>
      <c r="JP13" s="2247" t="str">
        <f t="shared" si="254"/>
        <v/>
      </c>
      <c r="JQ13" s="2247" t="str">
        <f t="shared" si="255"/>
        <v/>
      </c>
      <c r="JR13" s="2247" t="str">
        <f t="shared" si="256"/>
        <v/>
      </c>
      <c r="JS13" s="2247" t="str">
        <f t="shared" si="257"/>
        <v/>
      </c>
      <c r="JT13" s="2247" t="str">
        <f t="shared" si="258"/>
        <v/>
      </c>
      <c r="JU13" s="2247" t="str">
        <f t="shared" si="259"/>
        <v/>
      </c>
      <c r="JV13" s="2247" t="str">
        <f t="shared" si="260"/>
        <v/>
      </c>
      <c r="JW13" s="2247" t="str">
        <f t="shared" si="261"/>
        <v/>
      </c>
      <c r="JX13" s="2247" t="str">
        <f t="shared" si="262"/>
        <v/>
      </c>
      <c r="JY13" s="2247" t="str">
        <f t="shared" si="263"/>
        <v/>
      </c>
      <c r="JZ13" s="2247" t="str">
        <f t="shared" si="264"/>
        <v/>
      </c>
      <c r="KA13" s="2247" t="str">
        <f t="shared" si="265"/>
        <v/>
      </c>
      <c r="KB13" s="2247" t="str">
        <f t="shared" si="266"/>
        <v/>
      </c>
      <c r="KC13" s="2247" t="str">
        <f t="shared" si="267"/>
        <v/>
      </c>
      <c r="KD13" s="2247" t="str">
        <f t="shared" si="268"/>
        <v/>
      </c>
      <c r="KE13" s="2247" t="str">
        <f t="shared" si="269"/>
        <v/>
      </c>
      <c r="KF13" s="2247" t="str">
        <f t="shared" si="270"/>
        <v/>
      </c>
      <c r="KG13" s="2247" t="str">
        <f t="shared" si="271"/>
        <v/>
      </c>
      <c r="KH13" s="2247" t="str">
        <f t="shared" si="272"/>
        <v/>
      </c>
      <c r="KI13" s="2247" t="str">
        <f t="shared" si="273"/>
        <v/>
      </c>
      <c r="KJ13" s="2247" t="str">
        <f t="shared" si="274"/>
        <v/>
      </c>
      <c r="KK13" s="2247" t="str">
        <f t="shared" si="275"/>
        <v/>
      </c>
      <c r="KL13" s="2247" t="str">
        <f t="shared" si="276"/>
        <v/>
      </c>
      <c r="KM13" s="2247" t="str">
        <f t="shared" si="277"/>
        <v/>
      </c>
      <c r="KN13" s="2247" t="str">
        <f t="shared" si="278"/>
        <v/>
      </c>
      <c r="KO13" s="2247" t="str">
        <f t="shared" si="279"/>
        <v/>
      </c>
      <c r="KP13" s="2247" t="str">
        <f t="shared" si="280"/>
        <v/>
      </c>
      <c r="KQ13" s="2247" t="str">
        <f t="shared" si="281"/>
        <v/>
      </c>
      <c r="KR13" s="2247" t="str">
        <f t="shared" si="282"/>
        <v/>
      </c>
      <c r="KS13" s="2247" t="str">
        <f t="shared" si="283"/>
        <v/>
      </c>
      <c r="KT13" s="2247" t="str">
        <f t="shared" si="284"/>
        <v/>
      </c>
      <c r="KU13" s="2247" t="str">
        <f t="shared" si="285"/>
        <v/>
      </c>
      <c r="KV13" s="2247" t="str">
        <f t="shared" si="286"/>
        <v/>
      </c>
      <c r="KW13" s="2247" t="str">
        <f t="shared" si="287"/>
        <v/>
      </c>
      <c r="KX13" s="2247" t="str">
        <f t="shared" si="288"/>
        <v/>
      </c>
      <c r="KY13" s="2247" t="str">
        <f t="shared" si="289"/>
        <v/>
      </c>
      <c r="KZ13" s="2247" t="str">
        <f t="shared" si="290"/>
        <v/>
      </c>
      <c r="LA13" s="2247" t="str">
        <f t="shared" si="291"/>
        <v/>
      </c>
      <c r="LB13" s="2247" t="str">
        <f t="shared" si="292"/>
        <v/>
      </c>
      <c r="LC13" s="2247" t="str">
        <f t="shared" si="293"/>
        <v/>
      </c>
      <c r="LD13" s="2247" t="str">
        <f t="shared" si="294"/>
        <v/>
      </c>
      <c r="LE13" s="2247" t="str">
        <f t="shared" si="295"/>
        <v/>
      </c>
      <c r="LF13" s="2247" t="str">
        <f t="shared" si="296"/>
        <v/>
      </c>
      <c r="LG13" s="2247" t="str">
        <f t="shared" si="297"/>
        <v/>
      </c>
      <c r="LH13" s="2247" t="str">
        <f t="shared" si="298"/>
        <v/>
      </c>
      <c r="LI13" s="2247" t="str">
        <f t="shared" si="299"/>
        <v/>
      </c>
      <c r="LJ13" s="2247" t="str">
        <f t="shared" si="300"/>
        <v/>
      </c>
      <c r="LK13" s="2247" t="str">
        <f t="shared" si="301"/>
        <v/>
      </c>
      <c r="LL13" s="2247" t="str">
        <f t="shared" si="302"/>
        <v/>
      </c>
      <c r="LM13" s="2247" t="str">
        <f t="shared" si="303"/>
        <v/>
      </c>
      <c r="LN13" s="2247" t="str">
        <f t="shared" si="304"/>
        <v/>
      </c>
      <c r="LO13" s="2247" t="str">
        <f t="shared" si="305"/>
        <v/>
      </c>
      <c r="LP13" s="2247" t="str">
        <f t="shared" si="306"/>
        <v/>
      </c>
      <c r="LQ13" s="2248" t="str">
        <f t="shared" si="307"/>
        <v/>
      </c>
      <c r="LR13" s="2248" t="str">
        <f t="shared" si="308"/>
        <v/>
      </c>
      <c r="LS13" s="2248" t="str">
        <f t="shared" si="309"/>
        <v/>
      </c>
      <c r="LT13" s="2248" t="str">
        <f t="shared" si="310"/>
        <v/>
      </c>
      <c r="LU13" s="2248" t="str">
        <f t="shared" si="311"/>
        <v/>
      </c>
      <c r="LV13" s="443" t="str">
        <f t="shared" si="312"/>
        <v/>
      </c>
      <c r="LW13" s="443" t="str">
        <f t="shared" si="313"/>
        <v/>
      </c>
      <c r="LX13" s="443" t="str">
        <f t="shared" si="314"/>
        <v/>
      </c>
      <c r="LY13" s="443" t="str">
        <f t="shared" si="315"/>
        <v/>
      </c>
      <c r="LZ13" s="443" t="str">
        <f t="shared" si="316"/>
        <v/>
      </c>
      <c r="MA13" s="443" t="str">
        <f t="shared" si="317"/>
        <v/>
      </c>
      <c r="MB13" s="443" t="str">
        <f t="shared" si="318"/>
        <v/>
      </c>
      <c r="MC13" s="443" t="str">
        <f t="shared" si="319"/>
        <v/>
      </c>
      <c r="MD13" s="443" t="str">
        <f t="shared" si="320"/>
        <v/>
      </c>
      <c r="ME13" s="443" t="str">
        <f t="shared" si="321"/>
        <v/>
      </c>
      <c r="MF13" s="443" t="str">
        <f t="shared" si="322"/>
        <v/>
      </c>
      <c r="MG13" s="443" t="str">
        <f t="shared" si="323"/>
        <v/>
      </c>
      <c r="MH13" s="443" t="str">
        <f t="shared" si="324"/>
        <v/>
      </c>
      <c r="MI13" s="443" t="str">
        <f t="shared" si="325"/>
        <v/>
      </c>
      <c r="MJ13" s="443" t="str">
        <f t="shared" si="326"/>
        <v/>
      </c>
      <c r="MK13" s="443" t="str">
        <f t="shared" si="327"/>
        <v/>
      </c>
      <c r="ML13" s="443" t="str">
        <f t="shared" si="328"/>
        <v/>
      </c>
      <c r="MM13" s="443" t="str">
        <f t="shared" si="329"/>
        <v/>
      </c>
      <c r="MN13" s="443" t="str">
        <f t="shared" si="330"/>
        <v/>
      </c>
      <c r="MO13" s="443" t="str">
        <f t="shared" si="331"/>
        <v/>
      </c>
      <c r="MP13" s="2246">
        <f t="shared" si="338"/>
        <v>0</v>
      </c>
      <c r="MQ13" s="2246">
        <f t="shared" si="339"/>
        <v>0</v>
      </c>
      <c r="MR13" s="2246">
        <f t="shared" si="340"/>
        <v>0</v>
      </c>
      <c r="MS13" s="2246">
        <f t="shared" si="341"/>
        <v>0</v>
      </c>
      <c r="MT13" s="2246">
        <f t="shared" si="342"/>
        <v>0</v>
      </c>
      <c r="MU13" s="2246">
        <f t="shared" si="343"/>
        <v>0</v>
      </c>
      <c r="MV13" s="2246">
        <f t="shared" si="344"/>
        <v>0</v>
      </c>
      <c r="MW13" s="2246">
        <f t="shared" si="345"/>
        <v>0</v>
      </c>
      <c r="MX13" s="2246">
        <f t="shared" si="346"/>
        <v>0</v>
      </c>
      <c r="MY13" s="2246">
        <f t="shared" si="347"/>
        <v>0</v>
      </c>
      <c r="MZ13" s="2246">
        <f t="shared" si="332"/>
        <v>0</v>
      </c>
      <c r="NA13" s="2246">
        <f t="shared" si="333"/>
        <v>0</v>
      </c>
      <c r="NB13" s="2246">
        <f t="shared" si="334"/>
        <v>0</v>
      </c>
      <c r="NC13" s="2246">
        <f t="shared" si="335"/>
        <v>0</v>
      </c>
      <c r="ND13" s="2246">
        <f t="shared" si="336"/>
        <v>0</v>
      </c>
    </row>
    <row r="14" spans="1:503" ht="13.95" customHeight="1">
      <c r="A14" s="109" t="str">
        <f t="shared" si="337"/>
        <v/>
      </c>
      <c r="B14" s="3986" t="s">
        <v>298</v>
      </c>
      <c r="C14" s="3987"/>
      <c r="D14" s="3988"/>
      <c r="E14" s="3989"/>
      <c r="F14" s="3989"/>
      <c r="G14" s="3989"/>
      <c r="H14" s="3989"/>
      <c r="I14" s="3989"/>
      <c r="J14" s="3990"/>
      <c r="K14" s="3991"/>
      <c r="L14" s="567">
        <f t="shared" si="0"/>
        <v>0</v>
      </c>
      <c r="M14" s="567">
        <f t="shared" si="1"/>
        <v>0</v>
      </c>
      <c r="N14" s="3992"/>
      <c r="O14" s="3992"/>
      <c r="P14" s="3992"/>
      <c r="Q14" s="3993"/>
      <c r="R14" s="3994"/>
      <c r="S14" s="3995"/>
      <c r="T14" s="3996"/>
      <c r="U14" s="3997"/>
      <c r="V14" s="3997"/>
      <c r="W14" s="3998"/>
      <c r="X14" s="443" t="str">
        <f t="shared" si="2"/>
        <v/>
      </c>
      <c r="Y14" s="443" t="str">
        <f t="shared" si="3"/>
        <v/>
      </c>
      <c r="Z14" s="443" t="str">
        <f t="shared" si="4"/>
        <v/>
      </c>
      <c r="AA14" s="443" t="str">
        <f t="shared" si="5"/>
        <v/>
      </c>
      <c r="AB14" s="443" t="str">
        <f t="shared" si="6"/>
        <v/>
      </c>
      <c r="AC14" s="443" t="str">
        <f t="shared" si="7"/>
        <v/>
      </c>
      <c r="AD14" s="443" t="str">
        <f t="shared" si="8"/>
        <v/>
      </c>
      <c r="AE14" s="443" t="str">
        <f t="shared" si="9"/>
        <v/>
      </c>
      <c r="AF14" s="443" t="str">
        <f t="shared" si="10"/>
        <v/>
      </c>
      <c r="AG14" s="443" t="str">
        <f t="shared" si="11"/>
        <v/>
      </c>
      <c r="AH14" s="443" t="str">
        <f t="shared" si="12"/>
        <v/>
      </c>
      <c r="AI14" s="443" t="str">
        <f t="shared" si="13"/>
        <v/>
      </c>
      <c r="AJ14" s="443" t="str">
        <f t="shared" si="14"/>
        <v/>
      </c>
      <c r="AK14" s="443" t="str">
        <f t="shared" si="15"/>
        <v/>
      </c>
      <c r="AL14" s="443" t="str">
        <f t="shared" si="16"/>
        <v/>
      </c>
      <c r="AM14" s="443" t="str">
        <f t="shared" si="17"/>
        <v/>
      </c>
      <c r="AN14" s="443" t="str">
        <f t="shared" si="18"/>
        <v/>
      </c>
      <c r="AO14" s="443" t="str">
        <f t="shared" si="19"/>
        <v/>
      </c>
      <c r="AP14" s="443" t="str">
        <f t="shared" si="20"/>
        <v/>
      </c>
      <c r="AQ14" s="443" t="str">
        <f t="shared" si="21"/>
        <v/>
      </c>
      <c r="AR14" s="443" t="str">
        <f t="shared" si="22"/>
        <v/>
      </c>
      <c r="AS14" s="443" t="str">
        <f t="shared" si="23"/>
        <v/>
      </c>
      <c r="AT14" s="443" t="str">
        <f t="shared" si="24"/>
        <v/>
      </c>
      <c r="AU14" s="443" t="str">
        <f t="shared" si="25"/>
        <v/>
      </c>
      <c r="AV14" s="443" t="str">
        <f t="shared" si="26"/>
        <v/>
      </c>
      <c r="AW14" s="443" t="str">
        <f t="shared" si="27"/>
        <v/>
      </c>
      <c r="AX14" s="443" t="str">
        <f t="shared" si="28"/>
        <v/>
      </c>
      <c r="AY14" s="443" t="str">
        <f t="shared" si="29"/>
        <v/>
      </c>
      <c r="AZ14" s="443" t="str">
        <f t="shared" si="30"/>
        <v/>
      </c>
      <c r="BA14" s="443" t="str">
        <f t="shared" si="31"/>
        <v/>
      </c>
      <c r="BB14" s="443" t="str">
        <f t="shared" si="32"/>
        <v/>
      </c>
      <c r="BC14" s="443" t="str">
        <f t="shared" si="33"/>
        <v/>
      </c>
      <c r="BD14" s="443" t="str">
        <f t="shared" si="34"/>
        <v/>
      </c>
      <c r="BE14" s="443" t="str">
        <f t="shared" si="35"/>
        <v/>
      </c>
      <c r="BF14" s="443" t="str">
        <f t="shared" si="36"/>
        <v/>
      </c>
      <c r="BG14" s="443" t="str">
        <f t="shared" si="37"/>
        <v/>
      </c>
      <c r="BH14" s="443" t="str">
        <f t="shared" si="38"/>
        <v/>
      </c>
      <c r="BI14" s="443" t="str">
        <f t="shared" si="39"/>
        <v/>
      </c>
      <c r="BJ14" s="443" t="str">
        <f t="shared" si="40"/>
        <v/>
      </c>
      <c r="BK14" s="443" t="str">
        <f t="shared" si="41"/>
        <v/>
      </c>
      <c r="BL14" s="443" t="str">
        <f t="shared" si="42"/>
        <v/>
      </c>
      <c r="BM14" s="443" t="str">
        <f t="shared" si="43"/>
        <v/>
      </c>
      <c r="BN14" s="443" t="str">
        <f t="shared" si="44"/>
        <v/>
      </c>
      <c r="BO14" s="443" t="str">
        <f t="shared" si="45"/>
        <v/>
      </c>
      <c r="BP14" s="443" t="str">
        <f t="shared" si="46"/>
        <v/>
      </c>
      <c r="BQ14" s="443" t="str">
        <f t="shared" si="47"/>
        <v/>
      </c>
      <c r="BR14" s="443" t="str">
        <f t="shared" si="48"/>
        <v/>
      </c>
      <c r="BS14" s="443" t="str">
        <f t="shared" si="49"/>
        <v/>
      </c>
      <c r="BT14" s="443" t="str">
        <f t="shared" si="50"/>
        <v/>
      </c>
      <c r="BU14" s="443" t="str">
        <f t="shared" si="51"/>
        <v/>
      </c>
      <c r="BV14" s="443" t="str">
        <f t="shared" si="52"/>
        <v/>
      </c>
      <c r="BW14" s="443" t="str">
        <f t="shared" si="53"/>
        <v/>
      </c>
      <c r="BX14" s="443" t="str">
        <f t="shared" si="54"/>
        <v/>
      </c>
      <c r="BY14" s="443" t="str">
        <f t="shared" si="55"/>
        <v/>
      </c>
      <c r="BZ14" s="443" t="str">
        <f t="shared" si="56"/>
        <v/>
      </c>
      <c r="CA14" s="443" t="str">
        <f t="shared" si="57"/>
        <v/>
      </c>
      <c r="CB14" s="443" t="str">
        <f t="shared" si="58"/>
        <v/>
      </c>
      <c r="CC14" s="443" t="str">
        <f t="shared" si="59"/>
        <v/>
      </c>
      <c r="CD14" s="443" t="str">
        <f t="shared" si="60"/>
        <v/>
      </c>
      <c r="CE14" s="443" t="str">
        <f t="shared" si="61"/>
        <v/>
      </c>
      <c r="CF14" s="443" t="str">
        <f t="shared" si="62"/>
        <v/>
      </c>
      <c r="CG14" s="443" t="str">
        <f t="shared" si="63"/>
        <v/>
      </c>
      <c r="CH14" s="443" t="str">
        <f t="shared" si="64"/>
        <v/>
      </c>
      <c r="CI14" s="443" t="str">
        <f t="shared" si="65"/>
        <v/>
      </c>
      <c r="CJ14" s="443" t="str">
        <f t="shared" si="66"/>
        <v/>
      </c>
      <c r="CK14" s="443" t="str">
        <f t="shared" si="67"/>
        <v/>
      </c>
      <c r="CL14" s="443" t="str">
        <f t="shared" si="68"/>
        <v/>
      </c>
      <c r="CM14" s="443" t="str">
        <f t="shared" si="69"/>
        <v/>
      </c>
      <c r="CN14" s="443" t="str">
        <f t="shared" si="70"/>
        <v/>
      </c>
      <c r="CO14" s="443" t="str">
        <f t="shared" si="71"/>
        <v/>
      </c>
      <c r="CP14" s="443" t="str">
        <f t="shared" si="72"/>
        <v/>
      </c>
      <c r="CQ14" s="443" t="str">
        <f t="shared" si="73"/>
        <v/>
      </c>
      <c r="CR14" s="443" t="str">
        <f t="shared" si="74"/>
        <v/>
      </c>
      <c r="CS14" s="443" t="str">
        <f t="shared" si="75"/>
        <v/>
      </c>
      <c r="CT14" s="443" t="str">
        <f t="shared" si="76"/>
        <v/>
      </c>
      <c r="CU14" s="443" t="str">
        <f t="shared" si="77"/>
        <v/>
      </c>
      <c r="CV14" s="443" t="str">
        <f t="shared" si="78"/>
        <v/>
      </c>
      <c r="CW14" s="443" t="str">
        <f t="shared" si="79"/>
        <v/>
      </c>
      <c r="CX14" s="443" t="str">
        <f t="shared" si="80"/>
        <v/>
      </c>
      <c r="CY14" s="443" t="str">
        <f t="shared" si="81"/>
        <v/>
      </c>
      <c r="CZ14" s="443" t="str">
        <f t="shared" si="82"/>
        <v/>
      </c>
      <c r="DA14" s="443" t="str">
        <f t="shared" si="83"/>
        <v/>
      </c>
      <c r="DB14" s="443" t="str">
        <f t="shared" si="84"/>
        <v/>
      </c>
      <c r="DC14" s="443" t="str">
        <f t="shared" si="85"/>
        <v/>
      </c>
      <c r="DD14" s="443" t="str">
        <f t="shared" si="86"/>
        <v/>
      </c>
      <c r="DE14" s="443" t="str">
        <f t="shared" si="87"/>
        <v/>
      </c>
      <c r="DF14" s="443" t="str">
        <f t="shared" si="88"/>
        <v/>
      </c>
      <c r="DG14" s="443" t="str">
        <f t="shared" si="89"/>
        <v/>
      </c>
      <c r="DH14" s="443" t="str">
        <f t="shared" si="90"/>
        <v/>
      </c>
      <c r="DI14" s="443" t="str">
        <f t="shared" si="91"/>
        <v/>
      </c>
      <c r="DJ14" s="443" t="str">
        <f t="shared" si="92"/>
        <v/>
      </c>
      <c r="DK14" s="443" t="str">
        <f t="shared" si="93"/>
        <v/>
      </c>
      <c r="DL14" s="443" t="str">
        <f t="shared" si="94"/>
        <v/>
      </c>
      <c r="DM14" s="443" t="str">
        <f t="shared" si="95"/>
        <v/>
      </c>
      <c r="DN14" s="443" t="str">
        <f t="shared" si="96"/>
        <v/>
      </c>
      <c r="DO14" s="443" t="str">
        <f t="shared" si="97"/>
        <v/>
      </c>
      <c r="DP14" s="443" t="str">
        <f t="shared" si="98"/>
        <v/>
      </c>
      <c r="DQ14" s="443" t="str">
        <f t="shared" si="99"/>
        <v/>
      </c>
      <c r="DR14" s="443" t="str">
        <f t="shared" si="100"/>
        <v/>
      </c>
      <c r="DS14" s="443" t="str">
        <f t="shared" si="101"/>
        <v/>
      </c>
      <c r="DT14" s="443" t="str">
        <f t="shared" si="102"/>
        <v/>
      </c>
      <c r="DU14" s="443" t="str">
        <f t="shared" si="103"/>
        <v/>
      </c>
      <c r="DV14" s="443" t="str">
        <f t="shared" si="104"/>
        <v/>
      </c>
      <c r="DW14" s="443" t="str">
        <f t="shared" si="105"/>
        <v/>
      </c>
      <c r="DX14" s="443" t="str">
        <f t="shared" si="106"/>
        <v/>
      </c>
      <c r="DY14" s="443" t="str">
        <f t="shared" si="107"/>
        <v/>
      </c>
      <c r="DZ14" s="443" t="str">
        <f t="shared" si="108"/>
        <v/>
      </c>
      <c r="EA14" s="443" t="str">
        <f t="shared" si="109"/>
        <v/>
      </c>
      <c r="EB14" s="443" t="str">
        <f t="shared" si="110"/>
        <v/>
      </c>
      <c r="EC14" s="443" t="str">
        <f t="shared" si="111"/>
        <v/>
      </c>
      <c r="ED14" s="443" t="str">
        <f t="shared" si="112"/>
        <v/>
      </c>
      <c r="EE14" s="443" t="str">
        <f t="shared" si="113"/>
        <v/>
      </c>
      <c r="EF14" s="443" t="str">
        <f t="shared" si="114"/>
        <v/>
      </c>
      <c r="EG14" s="443" t="str">
        <f t="shared" si="115"/>
        <v/>
      </c>
      <c r="EH14" s="443" t="str">
        <f t="shared" si="116"/>
        <v/>
      </c>
      <c r="EI14" s="443" t="str">
        <f t="shared" si="117"/>
        <v/>
      </c>
      <c r="EJ14" s="443" t="str">
        <f t="shared" si="118"/>
        <v/>
      </c>
      <c r="EK14" s="443" t="str">
        <f t="shared" si="119"/>
        <v/>
      </c>
      <c r="EL14" s="443" t="str">
        <f t="shared" si="120"/>
        <v/>
      </c>
      <c r="EM14" s="443" t="str">
        <f t="shared" si="121"/>
        <v/>
      </c>
      <c r="EN14" s="443" t="str">
        <f t="shared" si="122"/>
        <v/>
      </c>
      <c r="EO14" s="443" t="str">
        <f t="shared" si="123"/>
        <v/>
      </c>
      <c r="EP14" s="443" t="str">
        <f t="shared" si="124"/>
        <v/>
      </c>
      <c r="EQ14" s="443" t="str">
        <f t="shared" si="125"/>
        <v/>
      </c>
      <c r="ER14" s="443" t="str">
        <f t="shared" si="126"/>
        <v/>
      </c>
      <c r="ES14" s="443" t="str">
        <f t="shared" si="127"/>
        <v/>
      </c>
      <c r="ET14" s="443" t="str">
        <f t="shared" si="128"/>
        <v/>
      </c>
      <c r="EU14" s="443" t="str">
        <f t="shared" si="129"/>
        <v/>
      </c>
      <c r="EV14" s="443" t="str">
        <f t="shared" si="130"/>
        <v/>
      </c>
      <c r="EW14" s="443" t="str">
        <f t="shared" si="131"/>
        <v/>
      </c>
      <c r="EX14" s="443" t="str">
        <f t="shared" si="132"/>
        <v/>
      </c>
      <c r="EY14" s="443" t="str">
        <f t="shared" si="133"/>
        <v/>
      </c>
      <c r="EZ14" s="443" t="str">
        <f t="shared" si="134"/>
        <v/>
      </c>
      <c r="FA14" s="443" t="str">
        <f t="shared" si="135"/>
        <v/>
      </c>
      <c r="FB14" s="443" t="str">
        <f t="shared" si="136"/>
        <v/>
      </c>
      <c r="FC14" s="443" t="str">
        <f t="shared" si="137"/>
        <v/>
      </c>
      <c r="FD14" s="443" t="str">
        <f t="shared" si="138"/>
        <v/>
      </c>
      <c r="FE14" s="443" t="str">
        <f t="shared" si="139"/>
        <v/>
      </c>
      <c r="FF14" s="443" t="str">
        <f t="shared" si="140"/>
        <v/>
      </c>
      <c r="FG14" s="443" t="str">
        <f t="shared" si="141"/>
        <v/>
      </c>
      <c r="FH14" s="443" t="str">
        <f t="shared" si="142"/>
        <v/>
      </c>
      <c r="FI14" s="443" t="str">
        <f t="shared" si="143"/>
        <v/>
      </c>
      <c r="FJ14" s="443" t="str">
        <f t="shared" si="144"/>
        <v/>
      </c>
      <c r="FK14" s="443" t="str">
        <f t="shared" si="145"/>
        <v/>
      </c>
      <c r="FL14" s="443" t="str">
        <f t="shared" si="146"/>
        <v/>
      </c>
      <c r="FM14" s="443" t="str">
        <f t="shared" si="147"/>
        <v/>
      </c>
      <c r="FN14" s="443" t="str">
        <f t="shared" si="148"/>
        <v/>
      </c>
      <c r="FO14" s="443" t="str">
        <f t="shared" si="149"/>
        <v/>
      </c>
      <c r="FP14" s="443" t="str">
        <f t="shared" si="150"/>
        <v/>
      </c>
      <c r="FQ14" s="443" t="str">
        <f t="shared" si="151"/>
        <v/>
      </c>
      <c r="FR14" s="443" t="str">
        <f t="shared" si="152"/>
        <v/>
      </c>
      <c r="FS14" s="443" t="str">
        <f t="shared" si="153"/>
        <v/>
      </c>
      <c r="FT14" s="443" t="str">
        <f t="shared" si="154"/>
        <v/>
      </c>
      <c r="FU14" s="443" t="str">
        <f t="shared" si="155"/>
        <v/>
      </c>
      <c r="FV14" s="443" t="str">
        <f t="shared" si="156"/>
        <v/>
      </c>
      <c r="FW14" s="443" t="str">
        <f t="shared" si="157"/>
        <v/>
      </c>
      <c r="FX14" s="443" t="str">
        <f t="shared" si="158"/>
        <v/>
      </c>
      <c r="FY14" s="443" t="str">
        <f t="shared" si="159"/>
        <v/>
      </c>
      <c r="FZ14" s="443" t="str">
        <f t="shared" si="160"/>
        <v/>
      </c>
      <c r="GA14" s="443" t="str">
        <f t="shared" si="161"/>
        <v/>
      </c>
      <c r="GB14" s="443" t="str">
        <f t="shared" si="162"/>
        <v/>
      </c>
      <c r="GC14" s="443" t="str">
        <f t="shared" si="163"/>
        <v/>
      </c>
      <c r="GD14" s="443" t="str">
        <f t="shared" si="164"/>
        <v/>
      </c>
      <c r="GE14" s="443" t="str">
        <f t="shared" si="165"/>
        <v/>
      </c>
      <c r="GF14" s="443" t="str">
        <f t="shared" si="166"/>
        <v/>
      </c>
      <c r="GG14" s="443" t="str">
        <f t="shared" si="167"/>
        <v/>
      </c>
      <c r="GH14" s="443" t="str">
        <f t="shared" si="168"/>
        <v/>
      </c>
      <c r="GI14" s="443" t="str">
        <f t="shared" si="169"/>
        <v/>
      </c>
      <c r="GJ14" s="443" t="str">
        <f t="shared" si="170"/>
        <v/>
      </c>
      <c r="GK14" s="443" t="str">
        <f t="shared" si="171"/>
        <v/>
      </c>
      <c r="GL14" s="443" t="str">
        <f t="shared" si="172"/>
        <v/>
      </c>
      <c r="GM14" s="443" t="str">
        <f t="shared" si="173"/>
        <v/>
      </c>
      <c r="GN14" s="443" t="str">
        <f t="shared" si="174"/>
        <v/>
      </c>
      <c r="GO14" s="443" t="str">
        <f t="shared" si="175"/>
        <v/>
      </c>
      <c r="GP14" s="443" t="str">
        <f t="shared" si="176"/>
        <v/>
      </c>
      <c r="GQ14" s="443" t="str">
        <f t="shared" si="177"/>
        <v/>
      </c>
      <c r="GR14" s="443" t="str">
        <f t="shared" si="178"/>
        <v/>
      </c>
      <c r="GS14" s="443" t="str">
        <f t="shared" si="179"/>
        <v/>
      </c>
      <c r="GT14" s="443" t="str">
        <f t="shared" si="180"/>
        <v/>
      </c>
      <c r="GU14" s="443" t="str">
        <f t="shared" si="181"/>
        <v/>
      </c>
      <c r="GV14" s="443" t="str">
        <f t="shared" si="182"/>
        <v/>
      </c>
      <c r="GW14" s="443" t="str">
        <f t="shared" si="183"/>
        <v/>
      </c>
      <c r="GX14" s="443" t="str">
        <f t="shared" si="184"/>
        <v/>
      </c>
      <c r="GY14" s="443" t="str">
        <f t="shared" si="185"/>
        <v/>
      </c>
      <c r="GZ14" s="443" t="str">
        <f t="shared" si="186"/>
        <v/>
      </c>
      <c r="HA14" s="443" t="str">
        <f t="shared" si="187"/>
        <v/>
      </c>
      <c r="HB14" s="443" t="str">
        <f t="shared" si="188"/>
        <v/>
      </c>
      <c r="HC14" s="443" t="str">
        <f t="shared" si="189"/>
        <v/>
      </c>
      <c r="HD14" s="443" t="str">
        <f t="shared" si="190"/>
        <v/>
      </c>
      <c r="HE14" s="443" t="str">
        <f t="shared" si="191"/>
        <v/>
      </c>
      <c r="HF14" s="443" t="str">
        <f t="shared" si="192"/>
        <v/>
      </c>
      <c r="HG14" s="443" t="str">
        <f t="shared" si="193"/>
        <v/>
      </c>
      <c r="HH14" s="443" t="str">
        <f t="shared" si="194"/>
        <v/>
      </c>
      <c r="HI14" s="443" t="str">
        <f t="shared" si="195"/>
        <v/>
      </c>
      <c r="HJ14" s="443" t="str">
        <f t="shared" si="196"/>
        <v/>
      </c>
      <c r="HK14" s="443" t="str">
        <f t="shared" si="197"/>
        <v/>
      </c>
      <c r="HL14" s="443" t="str">
        <f t="shared" si="198"/>
        <v/>
      </c>
      <c r="HM14" s="443" t="str">
        <f t="shared" si="199"/>
        <v/>
      </c>
      <c r="HN14" s="443" t="str">
        <f t="shared" si="200"/>
        <v/>
      </c>
      <c r="HO14" s="443" t="str">
        <f t="shared" si="201"/>
        <v/>
      </c>
      <c r="HP14" s="443" t="str">
        <f t="shared" si="202"/>
        <v/>
      </c>
      <c r="HQ14" s="443" t="str">
        <f t="shared" si="203"/>
        <v/>
      </c>
      <c r="HR14" s="443" t="str">
        <f t="shared" si="204"/>
        <v/>
      </c>
      <c r="HS14" s="443" t="str">
        <f t="shared" si="205"/>
        <v/>
      </c>
      <c r="HT14" s="443" t="str">
        <f t="shared" si="206"/>
        <v/>
      </c>
      <c r="HU14" s="443" t="str">
        <f t="shared" si="207"/>
        <v/>
      </c>
      <c r="HV14" s="443" t="str">
        <f t="shared" si="208"/>
        <v/>
      </c>
      <c r="HW14" s="443" t="str">
        <f t="shared" si="209"/>
        <v/>
      </c>
      <c r="HX14" s="443" t="str">
        <f t="shared" si="210"/>
        <v/>
      </c>
      <c r="HY14" s="443" t="str">
        <f t="shared" si="211"/>
        <v/>
      </c>
      <c r="HZ14" s="2247" t="str">
        <f t="shared" si="212"/>
        <v/>
      </c>
      <c r="IA14" s="2247" t="str">
        <f t="shared" si="213"/>
        <v/>
      </c>
      <c r="IB14" s="2247" t="str">
        <f t="shared" si="214"/>
        <v/>
      </c>
      <c r="IC14" s="2247" t="str">
        <f t="shared" si="215"/>
        <v/>
      </c>
      <c r="ID14" s="2247" t="str">
        <f t="shared" si="216"/>
        <v/>
      </c>
      <c r="IE14" s="2247" t="str">
        <f t="shared" si="217"/>
        <v/>
      </c>
      <c r="IF14" s="2247" t="str">
        <f t="shared" si="218"/>
        <v/>
      </c>
      <c r="IG14" s="2247" t="str">
        <f t="shared" si="219"/>
        <v/>
      </c>
      <c r="IH14" s="2247" t="str">
        <f t="shared" si="220"/>
        <v/>
      </c>
      <c r="II14" s="2247" t="str">
        <f t="shared" si="221"/>
        <v/>
      </c>
      <c r="IJ14" s="2247" t="str">
        <f t="shared" si="222"/>
        <v/>
      </c>
      <c r="IK14" s="2247" t="str">
        <f t="shared" si="223"/>
        <v/>
      </c>
      <c r="IL14" s="2247" t="str">
        <f t="shared" si="224"/>
        <v/>
      </c>
      <c r="IM14" s="2247" t="str">
        <f t="shared" si="225"/>
        <v/>
      </c>
      <c r="IN14" s="2247" t="str">
        <f t="shared" si="226"/>
        <v/>
      </c>
      <c r="IO14" s="2247" t="str">
        <f t="shared" si="227"/>
        <v/>
      </c>
      <c r="IP14" s="2247" t="str">
        <f t="shared" si="228"/>
        <v/>
      </c>
      <c r="IQ14" s="2247" t="str">
        <f t="shared" si="229"/>
        <v/>
      </c>
      <c r="IR14" s="2247" t="str">
        <f t="shared" si="230"/>
        <v/>
      </c>
      <c r="IS14" s="2247" t="str">
        <f t="shared" si="231"/>
        <v/>
      </c>
      <c r="IT14" s="2247" t="str">
        <f t="shared" si="232"/>
        <v/>
      </c>
      <c r="IU14" s="2247" t="str">
        <f t="shared" si="233"/>
        <v/>
      </c>
      <c r="IV14" s="2247" t="str">
        <f t="shared" si="234"/>
        <v/>
      </c>
      <c r="IW14" s="2247" t="str">
        <f t="shared" si="235"/>
        <v/>
      </c>
      <c r="IX14" s="2247" t="str">
        <f t="shared" si="236"/>
        <v/>
      </c>
      <c r="IY14" s="2247" t="str">
        <f t="shared" si="237"/>
        <v/>
      </c>
      <c r="IZ14" s="2247" t="str">
        <f t="shared" si="238"/>
        <v/>
      </c>
      <c r="JA14" s="2247" t="str">
        <f t="shared" si="239"/>
        <v/>
      </c>
      <c r="JB14" s="2247" t="str">
        <f t="shared" si="240"/>
        <v/>
      </c>
      <c r="JC14" s="2247" t="str">
        <f t="shared" si="241"/>
        <v/>
      </c>
      <c r="JD14" s="2247" t="str">
        <f t="shared" si="242"/>
        <v/>
      </c>
      <c r="JE14" s="2247" t="str">
        <f t="shared" si="243"/>
        <v/>
      </c>
      <c r="JF14" s="2247" t="str">
        <f t="shared" si="244"/>
        <v/>
      </c>
      <c r="JG14" s="2247" t="str">
        <f t="shared" si="245"/>
        <v/>
      </c>
      <c r="JH14" s="2247" t="str">
        <f t="shared" si="246"/>
        <v/>
      </c>
      <c r="JI14" s="2247" t="str">
        <f t="shared" si="247"/>
        <v/>
      </c>
      <c r="JJ14" s="2247" t="str">
        <f t="shared" si="248"/>
        <v/>
      </c>
      <c r="JK14" s="2247" t="str">
        <f t="shared" si="249"/>
        <v/>
      </c>
      <c r="JL14" s="2247" t="str">
        <f t="shared" si="250"/>
        <v/>
      </c>
      <c r="JM14" s="2247" t="str">
        <f t="shared" si="251"/>
        <v/>
      </c>
      <c r="JN14" s="2247" t="str">
        <f t="shared" si="252"/>
        <v/>
      </c>
      <c r="JO14" s="2247" t="str">
        <f t="shared" si="253"/>
        <v/>
      </c>
      <c r="JP14" s="2247" t="str">
        <f t="shared" si="254"/>
        <v/>
      </c>
      <c r="JQ14" s="2247" t="str">
        <f t="shared" si="255"/>
        <v/>
      </c>
      <c r="JR14" s="2247" t="str">
        <f t="shared" si="256"/>
        <v/>
      </c>
      <c r="JS14" s="2247" t="str">
        <f t="shared" si="257"/>
        <v/>
      </c>
      <c r="JT14" s="2247" t="str">
        <f t="shared" si="258"/>
        <v/>
      </c>
      <c r="JU14" s="2247" t="str">
        <f t="shared" si="259"/>
        <v/>
      </c>
      <c r="JV14" s="2247" t="str">
        <f t="shared" si="260"/>
        <v/>
      </c>
      <c r="JW14" s="2247" t="str">
        <f t="shared" si="261"/>
        <v/>
      </c>
      <c r="JX14" s="2247" t="str">
        <f t="shared" si="262"/>
        <v/>
      </c>
      <c r="JY14" s="2247" t="str">
        <f t="shared" si="263"/>
        <v/>
      </c>
      <c r="JZ14" s="2247" t="str">
        <f t="shared" si="264"/>
        <v/>
      </c>
      <c r="KA14" s="2247" t="str">
        <f t="shared" si="265"/>
        <v/>
      </c>
      <c r="KB14" s="2247" t="str">
        <f t="shared" si="266"/>
        <v/>
      </c>
      <c r="KC14" s="2247" t="str">
        <f t="shared" si="267"/>
        <v/>
      </c>
      <c r="KD14" s="2247" t="str">
        <f t="shared" si="268"/>
        <v/>
      </c>
      <c r="KE14" s="2247" t="str">
        <f t="shared" si="269"/>
        <v/>
      </c>
      <c r="KF14" s="2247" t="str">
        <f t="shared" si="270"/>
        <v/>
      </c>
      <c r="KG14" s="2247" t="str">
        <f t="shared" si="271"/>
        <v/>
      </c>
      <c r="KH14" s="2247" t="str">
        <f t="shared" si="272"/>
        <v/>
      </c>
      <c r="KI14" s="2247" t="str">
        <f t="shared" si="273"/>
        <v/>
      </c>
      <c r="KJ14" s="2247" t="str">
        <f t="shared" si="274"/>
        <v/>
      </c>
      <c r="KK14" s="2247" t="str">
        <f t="shared" si="275"/>
        <v/>
      </c>
      <c r="KL14" s="2247" t="str">
        <f t="shared" si="276"/>
        <v/>
      </c>
      <c r="KM14" s="2247" t="str">
        <f t="shared" si="277"/>
        <v/>
      </c>
      <c r="KN14" s="2247" t="str">
        <f t="shared" si="278"/>
        <v/>
      </c>
      <c r="KO14" s="2247" t="str">
        <f t="shared" si="279"/>
        <v/>
      </c>
      <c r="KP14" s="2247" t="str">
        <f t="shared" si="280"/>
        <v/>
      </c>
      <c r="KQ14" s="2247" t="str">
        <f t="shared" si="281"/>
        <v/>
      </c>
      <c r="KR14" s="2247" t="str">
        <f t="shared" si="282"/>
        <v/>
      </c>
      <c r="KS14" s="2247" t="str">
        <f t="shared" si="283"/>
        <v/>
      </c>
      <c r="KT14" s="2247" t="str">
        <f t="shared" si="284"/>
        <v/>
      </c>
      <c r="KU14" s="2247" t="str">
        <f t="shared" si="285"/>
        <v/>
      </c>
      <c r="KV14" s="2247" t="str">
        <f t="shared" si="286"/>
        <v/>
      </c>
      <c r="KW14" s="2247" t="str">
        <f t="shared" si="287"/>
        <v/>
      </c>
      <c r="KX14" s="2247" t="str">
        <f t="shared" si="288"/>
        <v/>
      </c>
      <c r="KY14" s="2247" t="str">
        <f t="shared" si="289"/>
        <v/>
      </c>
      <c r="KZ14" s="2247" t="str">
        <f t="shared" si="290"/>
        <v/>
      </c>
      <c r="LA14" s="2247" t="str">
        <f t="shared" si="291"/>
        <v/>
      </c>
      <c r="LB14" s="2247" t="str">
        <f t="shared" si="292"/>
        <v/>
      </c>
      <c r="LC14" s="2247" t="str">
        <f t="shared" si="293"/>
        <v/>
      </c>
      <c r="LD14" s="2247" t="str">
        <f t="shared" si="294"/>
        <v/>
      </c>
      <c r="LE14" s="2247" t="str">
        <f t="shared" si="295"/>
        <v/>
      </c>
      <c r="LF14" s="2247" t="str">
        <f t="shared" si="296"/>
        <v/>
      </c>
      <c r="LG14" s="2247" t="str">
        <f t="shared" si="297"/>
        <v/>
      </c>
      <c r="LH14" s="2247" t="str">
        <f t="shared" si="298"/>
        <v/>
      </c>
      <c r="LI14" s="2247" t="str">
        <f t="shared" si="299"/>
        <v/>
      </c>
      <c r="LJ14" s="2247" t="str">
        <f t="shared" si="300"/>
        <v/>
      </c>
      <c r="LK14" s="2247" t="str">
        <f t="shared" si="301"/>
        <v/>
      </c>
      <c r="LL14" s="2247" t="str">
        <f t="shared" si="302"/>
        <v/>
      </c>
      <c r="LM14" s="2247" t="str">
        <f t="shared" si="303"/>
        <v/>
      </c>
      <c r="LN14" s="2247" t="str">
        <f t="shared" si="304"/>
        <v/>
      </c>
      <c r="LO14" s="2247" t="str">
        <f t="shared" si="305"/>
        <v/>
      </c>
      <c r="LP14" s="2247" t="str">
        <f t="shared" si="306"/>
        <v/>
      </c>
      <c r="LQ14" s="2248" t="str">
        <f t="shared" si="307"/>
        <v/>
      </c>
      <c r="LR14" s="2248" t="str">
        <f t="shared" si="308"/>
        <v/>
      </c>
      <c r="LS14" s="2248" t="str">
        <f t="shared" si="309"/>
        <v/>
      </c>
      <c r="LT14" s="2248" t="str">
        <f t="shared" si="310"/>
        <v/>
      </c>
      <c r="LU14" s="2248" t="str">
        <f t="shared" si="311"/>
        <v/>
      </c>
      <c r="LV14" s="443" t="str">
        <f t="shared" si="312"/>
        <v/>
      </c>
      <c r="LW14" s="443" t="str">
        <f t="shared" si="313"/>
        <v/>
      </c>
      <c r="LX14" s="443" t="str">
        <f t="shared" si="314"/>
        <v/>
      </c>
      <c r="LY14" s="443" t="str">
        <f t="shared" si="315"/>
        <v/>
      </c>
      <c r="LZ14" s="443" t="str">
        <f t="shared" si="316"/>
        <v/>
      </c>
      <c r="MA14" s="443" t="str">
        <f t="shared" si="317"/>
        <v/>
      </c>
      <c r="MB14" s="443" t="str">
        <f t="shared" si="318"/>
        <v/>
      </c>
      <c r="MC14" s="443" t="str">
        <f t="shared" si="319"/>
        <v/>
      </c>
      <c r="MD14" s="443" t="str">
        <f t="shared" si="320"/>
        <v/>
      </c>
      <c r="ME14" s="443" t="str">
        <f t="shared" si="321"/>
        <v/>
      </c>
      <c r="MF14" s="443" t="str">
        <f t="shared" si="322"/>
        <v/>
      </c>
      <c r="MG14" s="443" t="str">
        <f t="shared" si="323"/>
        <v/>
      </c>
      <c r="MH14" s="443" t="str">
        <f t="shared" si="324"/>
        <v/>
      </c>
      <c r="MI14" s="443" t="str">
        <f t="shared" si="325"/>
        <v/>
      </c>
      <c r="MJ14" s="443" t="str">
        <f t="shared" si="326"/>
        <v/>
      </c>
      <c r="MK14" s="443" t="str">
        <f t="shared" si="327"/>
        <v/>
      </c>
      <c r="ML14" s="443" t="str">
        <f t="shared" si="328"/>
        <v/>
      </c>
      <c r="MM14" s="443" t="str">
        <f t="shared" si="329"/>
        <v/>
      </c>
      <c r="MN14" s="443" t="str">
        <f t="shared" si="330"/>
        <v/>
      </c>
      <c r="MO14" s="443" t="str">
        <f t="shared" si="331"/>
        <v/>
      </c>
      <c r="MP14" s="2246">
        <f t="shared" si="338"/>
        <v>0</v>
      </c>
      <c r="MQ14" s="2246">
        <f t="shared" si="339"/>
        <v>0</v>
      </c>
      <c r="MR14" s="2246">
        <f t="shared" si="340"/>
        <v>0</v>
      </c>
      <c r="MS14" s="2246">
        <f t="shared" si="341"/>
        <v>0</v>
      </c>
      <c r="MT14" s="2246">
        <f t="shared" si="342"/>
        <v>0</v>
      </c>
      <c r="MU14" s="2246">
        <f t="shared" si="343"/>
        <v>0</v>
      </c>
      <c r="MV14" s="2246">
        <f t="shared" si="344"/>
        <v>0</v>
      </c>
      <c r="MW14" s="2246">
        <f t="shared" si="345"/>
        <v>0</v>
      </c>
      <c r="MX14" s="2246">
        <f t="shared" si="346"/>
        <v>0</v>
      </c>
      <c r="MY14" s="2246">
        <f t="shared" si="347"/>
        <v>0</v>
      </c>
      <c r="MZ14" s="2246">
        <f t="shared" si="332"/>
        <v>0</v>
      </c>
      <c r="NA14" s="2246">
        <f t="shared" si="333"/>
        <v>0</v>
      </c>
      <c r="NB14" s="2246">
        <f t="shared" si="334"/>
        <v>0</v>
      </c>
      <c r="NC14" s="2246">
        <f t="shared" si="335"/>
        <v>0</v>
      </c>
      <c r="ND14" s="2246">
        <f t="shared" si="336"/>
        <v>0</v>
      </c>
    </row>
    <row r="15" spans="1:503" ht="13.95" customHeight="1">
      <c r="A15" s="109" t="str">
        <f t="shared" si="337"/>
        <v/>
      </c>
      <c r="B15" s="3986" t="s">
        <v>298</v>
      </c>
      <c r="C15" s="3987"/>
      <c r="D15" s="3988"/>
      <c r="E15" s="3989"/>
      <c r="F15" s="3989"/>
      <c r="G15" s="3989"/>
      <c r="H15" s="3989"/>
      <c r="I15" s="3989"/>
      <c r="J15" s="3990"/>
      <c r="K15" s="3991"/>
      <c r="L15" s="567">
        <f t="shared" si="0"/>
        <v>0</v>
      </c>
      <c r="M15" s="567">
        <f t="shared" si="1"/>
        <v>0</v>
      </c>
      <c r="N15" s="3992"/>
      <c r="O15" s="3992"/>
      <c r="P15" s="3992"/>
      <c r="Q15" s="3993"/>
      <c r="R15" s="3994"/>
      <c r="S15" s="3995"/>
      <c r="T15" s="3996"/>
      <c r="U15" s="3997"/>
      <c r="V15" s="3997"/>
      <c r="W15" s="3998"/>
      <c r="X15" s="443" t="str">
        <f t="shared" si="2"/>
        <v/>
      </c>
      <c r="Y15" s="443" t="str">
        <f t="shared" si="3"/>
        <v/>
      </c>
      <c r="Z15" s="443" t="str">
        <f t="shared" si="4"/>
        <v/>
      </c>
      <c r="AA15" s="443" t="str">
        <f t="shared" si="5"/>
        <v/>
      </c>
      <c r="AB15" s="443" t="str">
        <f t="shared" si="6"/>
        <v/>
      </c>
      <c r="AC15" s="443" t="str">
        <f t="shared" si="7"/>
        <v/>
      </c>
      <c r="AD15" s="443" t="str">
        <f t="shared" si="8"/>
        <v/>
      </c>
      <c r="AE15" s="443" t="str">
        <f t="shared" si="9"/>
        <v/>
      </c>
      <c r="AF15" s="443" t="str">
        <f t="shared" si="10"/>
        <v/>
      </c>
      <c r="AG15" s="443" t="str">
        <f t="shared" si="11"/>
        <v/>
      </c>
      <c r="AH15" s="443" t="str">
        <f t="shared" si="12"/>
        <v/>
      </c>
      <c r="AI15" s="443" t="str">
        <f t="shared" si="13"/>
        <v/>
      </c>
      <c r="AJ15" s="443" t="str">
        <f t="shared" si="14"/>
        <v/>
      </c>
      <c r="AK15" s="443" t="str">
        <f t="shared" si="15"/>
        <v/>
      </c>
      <c r="AL15" s="443" t="str">
        <f t="shared" si="16"/>
        <v/>
      </c>
      <c r="AM15" s="443" t="str">
        <f t="shared" si="17"/>
        <v/>
      </c>
      <c r="AN15" s="443" t="str">
        <f t="shared" si="18"/>
        <v/>
      </c>
      <c r="AO15" s="443" t="str">
        <f t="shared" si="19"/>
        <v/>
      </c>
      <c r="AP15" s="443" t="str">
        <f t="shared" si="20"/>
        <v/>
      </c>
      <c r="AQ15" s="443" t="str">
        <f t="shared" si="21"/>
        <v/>
      </c>
      <c r="AR15" s="443" t="str">
        <f t="shared" si="22"/>
        <v/>
      </c>
      <c r="AS15" s="443" t="str">
        <f t="shared" si="23"/>
        <v/>
      </c>
      <c r="AT15" s="443" t="str">
        <f t="shared" si="24"/>
        <v/>
      </c>
      <c r="AU15" s="443" t="str">
        <f t="shared" si="25"/>
        <v/>
      </c>
      <c r="AV15" s="443" t="str">
        <f t="shared" si="26"/>
        <v/>
      </c>
      <c r="AW15" s="443" t="str">
        <f t="shared" si="27"/>
        <v/>
      </c>
      <c r="AX15" s="443" t="str">
        <f t="shared" si="28"/>
        <v/>
      </c>
      <c r="AY15" s="443" t="str">
        <f t="shared" si="29"/>
        <v/>
      </c>
      <c r="AZ15" s="443" t="str">
        <f t="shared" si="30"/>
        <v/>
      </c>
      <c r="BA15" s="443" t="str">
        <f t="shared" si="31"/>
        <v/>
      </c>
      <c r="BB15" s="443" t="str">
        <f t="shared" si="32"/>
        <v/>
      </c>
      <c r="BC15" s="443" t="str">
        <f t="shared" si="33"/>
        <v/>
      </c>
      <c r="BD15" s="443" t="str">
        <f t="shared" si="34"/>
        <v/>
      </c>
      <c r="BE15" s="443" t="str">
        <f t="shared" si="35"/>
        <v/>
      </c>
      <c r="BF15" s="443" t="str">
        <f t="shared" si="36"/>
        <v/>
      </c>
      <c r="BG15" s="443" t="str">
        <f t="shared" si="37"/>
        <v/>
      </c>
      <c r="BH15" s="443" t="str">
        <f t="shared" si="38"/>
        <v/>
      </c>
      <c r="BI15" s="443" t="str">
        <f t="shared" si="39"/>
        <v/>
      </c>
      <c r="BJ15" s="443" t="str">
        <f t="shared" si="40"/>
        <v/>
      </c>
      <c r="BK15" s="443" t="str">
        <f t="shared" si="41"/>
        <v/>
      </c>
      <c r="BL15" s="443" t="str">
        <f t="shared" si="42"/>
        <v/>
      </c>
      <c r="BM15" s="443" t="str">
        <f t="shared" si="43"/>
        <v/>
      </c>
      <c r="BN15" s="443" t="str">
        <f t="shared" si="44"/>
        <v/>
      </c>
      <c r="BO15" s="443" t="str">
        <f t="shared" si="45"/>
        <v/>
      </c>
      <c r="BP15" s="443" t="str">
        <f t="shared" si="46"/>
        <v/>
      </c>
      <c r="BQ15" s="443" t="str">
        <f t="shared" si="47"/>
        <v/>
      </c>
      <c r="BR15" s="443" t="str">
        <f t="shared" si="48"/>
        <v/>
      </c>
      <c r="BS15" s="443" t="str">
        <f t="shared" si="49"/>
        <v/>
      </c>
      <c r="BT15" s="443" t="str">
        <f t="shared" si="50"/>
        <v/>
      </c>
      <c r="BU15" s="443" t="str">
        <f t="shared" si="51"/>
        <v/>
      </c>
      <c r="BV15" s="443" t="str">
        <f t="shared" si="52"/>
        <v/>
      </c>
      <c r="BW15" s="443" t="str">
        <f t="shared" si="53"/>
        <v/>
      </c>
      <c r="BX15" s="443" t="str">
        <f t="shared" si="54"/>
        <v/>
      </c>
      <c r="BY15" s="443" t="str">
        <f t="shared" si="55"/>
        <v/>
      </c>
      <c r="BZ15" s="443" t="str">
        <f t="shared" si="56"/>
        <v/>
      </c>
      <c r="CA15" s="443" t="str">
        <f t="shared" si="57"/>
        <v/>
      </c>
      <c r="CB15" s="443" t="str">
        <f t="shared" si="58"/>
        <v/>
      </c>
      <c r="CC15" s="443" t="str">
        <f t="shared" si="59"/>
        <v/>
      </c>
      <c r="CD15" s="443" t="str">
        <f t="shared" si="60"/>
        <v/>
      </c>
      <c r="CE15" s="443" t="str">
        <f t="shared" si="61"/>
        <v/>
      </c>
      <c r="CF15" s="443" t="str">
        <f t="shared" si="62"/>
        <v/>
      </c>
      <c r="CG15" s="443" t="str">
        <f t="shared" si="63"/>
        <v/>
      </c>
      <c r="CH15" s="443" t="str">
        <f t="shared" si="64"/>
        <v/>
      </c>
      <c r="CI15" s="443" t="str">
        <f t="shared" si="65"/>
        <v/>
      </c>
      <c r="CJ15" s="443" t="str">
        <f t="shared" si="66"/>
        <v/>
      </c>
      <c r="CK15" s="443" t="str">
        <f t="shared" si="67"/>
        <v/>
      </c>
      <c r="CL15" s="443" t="str">
        <f t="shared" si="68"/>
        <v/>
      </c>
      <c r="CM15" s="443" t="str">
        <f t="shared" si="69"/>
        <v/>
      </c>
      <c r="CN15" s="443" t="str">
        <f t="shared" si="70"/>
        <v/>
      </c>
      <c r="CO15" s="443" t="str">
        <f t="shared" si="71"/>
        <v/>
      </c>
      <c r="CP15" s="443" t="str">
        <f t="shared" si="72"/>
        <v/>
      </c>
      <c r="CQ15" s="443" t="str">
        <f t="shared" si="73"/>
        <v/>
      </c>
      <c r="CR15" s="443" t="str">
        <f t="shared" si="74"/>
        <v/>
      </c>
      <c r="CS15" s="443" t="str">
        <f t="shared" si="75"/>
        <v/>
      </c>
      <c r="CT15" s="443" t="str">
        <f t="shared" si="76"/>
        <v/>
      </c>
      <c r="CU15" s="443" t="str">
        <f t="shared" si="77"/>
        <v/>
      </c>
      <c r="CV15" s="443" t="str">
        <f t="shared" si="78"/>
        <v/>
      </c>
      <c r="CW15" s="443" t="str">
        <f t="shared" si="79"/>
        <v/>
      </c>
      <c r="CX15" s="443" t="str">
        <f t="shared" si="80"/>
        <v/>
      </c>
      <c r="CY15" s="443" t="str">
        <f t="shared" si="81"/>
        <v/>
      </c>
      <c r="CZ15" s="443" t="str">
        <f t="shared" si="82"/>
        <v/>
      </c>
      <c r="DA15" s="443" t="str">
        <f t="shared" si="83"/>
        <v/>
      </c>
      <c r="DB15" s="443" t="str">
        <f t="shared" si="84"/>
        <v/>
      </c>
      <c r="DC15" s="443" t="str">
        <f t="shared" si="85"/>
        <v/>
      </c>
      <c r="DD15" s="443" t="str">
        <f t="shared" si="86"/>
        <v/>
      </c>
      <c r="DE15" s="443" t="str">
        <f t="shared" si="87"/>
        <v/>
      </c>
      <c r="DF15" s="443" t="str">
        <f t="shared" si="88"/>
        <v/>
      </c>
      <c r="DG15" s="443" t="str">
        <f t="shared" si="89"/>
        <v/>
      </c>
      <c r="DH15" s="443" t="str">
        <f t="shared" si="90"/>
        <v/>
      </c>
      <c r="DI15" s="443" t="str">
        <f t="shared" si="91"/>
        <v/>
      </c>
      <c r="DJ15" s="443" t="str">
        <f t="shared" si="92"/>
        <v/>
      </c>
      <c r="DK15" s="443" t="str">
        <f t="shared" si="93"/>
        <v/>
      </c>
      <c r="DL15" s="443" t="str">
        <f t="shared" si="94"/>
        <v/>
      </c>
      <c r="DM15" s="443" t="str">
        <f t="shared" si="95"/>
        <v/>
      </c>
      <c r="DN15" s="443" t="str">
        <f t="shared" si="96"/>
        <v/>
      </c>
      <c r="DO15" s="443" t="str">
        <f t="shared" si="97"/>
        <v/>
      </c>
      <c r="DP15" s="443" t="str">
        <f t="shared" si="98"/>
        <v/>
      </c>
      <c r="DQ15" s="443" t="str">
        <f t="shared" si="99"/>
        <v/>
      </c>
      <c r="DR15" s="443" t="str">
        <f t="shared" si="100"/>
        <v/>
      </c>
      <c r="DS15" s="443" t="str">
        <f t="shared" si="101"/>
        <v/>
      </c>
      <c r="DT15" s="443" t="str">
        <f t="shared" si="102"/>
        <v/>
      </c>
      <c r="DU15" s="443" t="str">
        <f t="shared" si="103"/>
        <v/>
      </c>
      <c r="DV15" s="443" t="str">
        <f t="shared" si="104"/>
        <v/>
      </c>
      <c r="DW15" s="443" t="str">
        <f t="shared" si="105"/>
        <v/>
      </c>
      <c r="DX15" s="443" t="str">
        <f t="shared" si="106"/>
        <v/>
      </c>
      <c r="DY15" s="443" t="str">
        <f t="shared" si="107"/>
        <v/>
      </c>
      <c r="DZ15" s="443" t="str">
        <f t="shared" si="108"/>
        <v/>
      </c>
      <c r="EA15" s="443" t="str">
        <f t="shared" si="109"/>
        <v/>
      </c>
      <c r="EB15" s="443" t="str">
        <f t="shared" si="110"/>
        <v/>
      </c>
      <c r="EC15" s="443" t="str">
        <f t="shared" si="111"/>
        <v/>
      </c>
      <c r="ED15" s="443" t="str">
        <f t="shared" si="112"/>
        <v/>
      </c>
      <c r="EE15" s="443" t="str">
        <f t="shared" si="113"/>
        <v/>
      </c>
      <c r="EF15" s="443" t="str">
        <f t="shared" si="114"/>
        <v/>
      </c>
      <c r="EG15" s="443" t="str">
        <f t="shared" si="115"/>
        <v/>
      </c>
      <c r="EH15" s="443" t="str">
        <f t="shared" si="116"/>
        <v/>
      </c>
      <c r="EI15" s="443" t="str">
        <f t="shared" si="117"/>
        <v/>
      </c>
      <c r="EJ15" s="443" t="str">
        <f t="shared" si="118"/>
        <v/>
      </c>
      <c r="EK15" s="443" t="str">
        <f t="shared" si="119"/>
        <v/>
      </c>
      <c r="EL15" s="443" t="str">
        <f t="shared" si="120"/>
        <v/>
      </c>
      <c r="EM15" s="443" t="str">
        <f t="shared" si="121"/>
        <v/>
      </c>
      <c r="EN15" s="443" t="str">
        <f t="shared" si="122"/>
        <v/>
      </c>
      <c r="EO15" s="443" t="str">
        <f t="shared" si="123"/>
        <v/>
      </c>
      <c r="EP15" s="443" t="str">
        <f t="shared" si="124"/>
        <v/>
      </c>
      <c r="EQ15" s="443" t="str">
        <f t="shared" si="125"/>
        <v/>
      </c>
      <c r="ER15" s="443" t="str">
        <f t="shared" si="126"/>
        <v/>
      </c>
      <c r="ES15" s="443" t="str">
        <f t="shared" si="127"/>
        <v/>
      </c>
      <c r="ET15" s="443" t="str">
        <f t="shared" si="128"/>
        <v/>
      </c>
      <c r="EU15" s="443" t="str">
        <f t="shared" si="129"/>
        <v/>
      </c>
      <c r="EV15" s="443" t="str">
        <f t="shared" si="130"/>
        <v/>
      </c>
      <c r="EW15" s="443" t="str">
        <f t="shared" si="131"/>
        <v/>
      </c>
      <c r="EX15" s="443" t="str">
        <f t="shared" si="132"/>
        <v/>
      </c>
      <c r="EY15" s="443" t="str">
        <f t="shared" si="133"/>
        <v/>
      </c>
      <c r="EZ15" s="443" t="str">
        <f t="shared" si="134"/>
        <v/>
      </c>
      <c r="FA15" s="443" t="str">
        <f t="shared" si="135"/>
        <v/>
      </c>
      <c r="FB15" s="443" t="str">
        <f t="shared" si="136"/>
        <v/>
      </c>
      <c r="FC15" s="443" t="str">
        <f t="shared" si="137"/>
        <v/>
      </c>
      <c r="FD15" s="443" t="str">
        <f t="shared" si="138"/>
        <v/>
      </c>
      <c r="FE15" s="443" t="str">
        <f t="shared" si="139"/>
        <v/>
      </c>
      <c r="FF15" s="443" t="str">
        <f t="shared" si="140"/>
        <v/>
      </c>
      <c r="FG15" s="443" t="str">
        <f t="shared" si="141"/>
        <v/>
      </c>
      <c r="FH15" s="443" t="str">
        <f t="shared" si="142"/>
        <v/>
      </c>
      <c r="FI15" s="443" t="str">
        <f t="shared" si="143"/>
        <v/>
      </c>
      <c r="FJ15" s="443" t="str">
        <f t="shared" si="144"/>
        <v/>
      </c>
      <c r="FK15" s="443" t="str">
        <f t="shared" si="145"/>
        <v/>
      </c>
      <c r="FL15" s="443" t="str">
        <f t="shared" si="146"/>
        <v/>
      </c>
      <c r="FM15" s="443" t="str">
        <f t="shared" si="147"/>
        <v/>
      </c>
      <c r="FN15" s="443" t="str">
        <f t="shared" si="148"/>
        <v/>
      </c>
      <c r="FO15" s="443" t="str">
        <f t="shared" si="149"/>
        <v/>
      </c>
      <c r="FP15" s="443" t="str">
        <f t="shared" si="150"/>
        <v/>
      </c>
      <c r="FQ15" s="443" t="str">
        <f t="shared" si="151"/>
        <v/>
      </c>
      <c r="FR15" s="443" t="str">
        <f t="shared" si="152"/>
        <v/>
      </c>
      <c r="FS15" s="443" t="str">
        <f t="shared" si="153"/>
        <v/>
      </c>
      <c r="FT15" s="443" t="str">
        <f t="shared" si="154"/>
        <v/>
      </c>
      <c r="FU15" s="443" t="str">
        <f t="shared" si="155"/>
        <v/>
      </c>
      <c r="FV15" s="443" t="str">
        <f t="shared" si="156"/>
        <v/>
      </c>
      <c r="FW15" s="443" t="str">
        <f t="shared" si="157"/>
        <v/>
      </c>
      <c r="FX15" s="443" t="str">
        <f t="shared" si="158"/>
        <v/>
      </c>
      <c r="FY15" s="443" t="str">
        <f t="shared" si="159"/>
        <v/>
      </c>
      <c r="FZ15" s="443" t="str">
        <f t="shared" si="160"/>
        <v/>
      </c>
      <c r="GA15" s="443" t="str">
        <f t="shared" si="161"/>
        <v/>
      </c>
      <c r="GB15" s="443" t="str">
        <f t="shared" si="162"/>
        <v/>
      </c>
      <c r="GC15" s="443" t="str">
        <f t="shared" si="163"/>
        <v/>
      </c>
      <c r="GD15" s="443" t="str">
        <f t="shared" si="164"/>
        <v/>
      </c>
      <c r="GE15" s="443" t="str">
        <f t="shared" si="165"/>
        <v/>
      </c>
      <c r="GF15" s="443" t="str">
        <f t="shared" si="166"/>
        <v/>
      </c>
      <c r="GG15" s="443" t="str">
        <f t="shared" si="167"/>
        <v/>
      </c>
      <c r="GH15" s="443" t="str">
        <f t="shared" si="168"/>
        <v/>
      </c>
      <c r="GI15" s="443" t="str">
        <f t="shared" si="169"/>
        <v/>
      </c>
      <c r="GJ15" s="443" t="str">
        <f t="shared" si="170"/>
        <v/>
      </c>
      <c r="GK15" s="443" t="str">
        <f t="shared" si="171"/>
        <v/>
      </c>
      <c r="GL15" s="443" t="str">
        <f t="shared" si="172"/>
        <v/>
      </c>
      <c r="GM15" s="443" t="str">
        <f t="shared" si="173"/>
        <v/>
      </c>
      <c r="GN15" s="443" t="str">
        <f t="shared" si="174"/>
        <v/>
      </c>
      <c r="GO15" s="443" t="str">
        <f t="shared" si="175"/>
        <v/>
      </c>
      <c r="GP15" s="443" t="str">
        <f t="shared" si="176"/>
        <v/>
      </c>
      <c r="GQ15" s="443" t="str">
        <f t="shared" si="177"/>
        <v/>
      </c>
      <c r="GR15" s="443" t="str">
        <f t="shared" si="178"/>
        <v/>
      </c>
      <c r="GS15" s="443" t="str">
        <f t="shared" si="179"/>
        <v/>
      </c>
      <c r="GT15" s="443" t="str">
        <f t="shared" si="180"/>
        <v/>
      </c>
      <c r="GU15" s="443" t="str">
        <f t="shared" si="181"/>
        <v/>
      </c>
      <c r="GV15" s="443" t="str">
        <f t="shared" si="182"/>
        <v/>
      </c>
      <c r="GW15" s="443" t="str">
        <f t="shared" si="183"/>
        <v/>
      </c>
      <c r="GX15" s="443" t="str">
        <f t="shared" si="184"/>
        <v/>
      </c>
      <c r="GY15" s="443" t="str">
        <f t="shared" si="185"/>
        <v/>
      </c>
      <c r="GZ15" s="443" t="str">
        <f t="shared" si="186"/>
        <v/>
      </c>
      <c r="HA15" s="443" t="str">
        <f t="shared" si="187"/>
        <v/>
      </c>
      <c r="HB15" s="443" t="str">
        <f t="shared" si="188"/>
        <v/>
      </c>
      <c r="HC15" s="443" t="str">
        <f t="shared" si="189"/>
        <v/>
      </c>
      <c r="HD15" s="443" t="str">
        <f t="shared" si="190"/>
        <v/>
      </c>
      <c r="HE15" s="443" t="str">
        <f t="shared" si="191"/>
        <v/>
      </c>
      <c r="HF15" s="443" t="str">
        <f t="shared" si="192"/>
        <v/>
      </c>
      <c r="HG15" s="443" t="str">
        <f t="shared" si="193"/>
        <v/>
      </c>
      <c r="HH15" s="443" t="str">
        <f t="shared" si="194"/>
        <v/>
      </c>
      <c r="HI15" s="443" t="str">
        <f t="shared" si="195"/>
        <v/>
      </c>
      <c r="HJ15" s="443" t="str">
        <f t="shared" si="196"/>
        <v/>
      </c>
      <c r="HK15" s="443" t="str">
        <f t="shared" si="197"/>
        <v/>
      </c>
      <c r="HL15" s="443" t="str">
        <f t="shared" si="198"/>
        <v/>
      </c>
      <c r="HM15" s="443" t="str">
        <f t="shared" si="199"/>
        <v/>
      </c>
      <c r="HN15" s="443" t="str">
        <f t="shared" si="200"/>
        <v/>
      </c>
      <c r="HO15" s="443" t="str">
        <f t="shared" si="201"/>
        <v/>
      </c>
      <c r="HP15" s="443" t="str">
        <f t="shared" si="202"/>
        <v/>
      </c>
      <c r="HQ15" s="443" t="str">
        <f t="shared" si="203"/>
        <v/>
      </c>
      <c r="HR15" s="443" t="str">
        <f t="shared" si="204"/>
        <v/>
      </c>
      <c r="HS15" s="443" t="str">
        <f t="shared" si="205"/>
        <v/>
      </c>
      <c r="HT15" s="443" t="str">
        <f t="shared" si="206"/>
        <v/>
      </c>
      <c r="HU15" s="443" t="str">
        <f t="shared" si="207"/>
        <v/>
      </c>
      <c r="HV15" s="443" t="str">
        <f t="shared" si="208"/>
        <v/>
      </c>
      <c r="HW15" s="443" t="str">
        <f t="shared" si="209"/>
        <v/>
      </c>
      <c r="HX15" s="443" t="str">
        <f t="shared" si="210"/>
        <v/>
      </c>
      <c r="HY15" s="443" t="str">
        <f t="shared" si="211"/>
        <v/>
      </c>
      <c r="HZ15" s="2247" t="str">
        <f t="shared" si="212"/>
        <v/>
      </c>
      <c r="IA15" s="2247" t="str">
        <f t="shared" si="213"/>
        <v/>
      </c>
      <c r="IB15" s="2247" t="str">
        <f t="shared" si="214"/>
        <v/>
      </c>
      <c r="IC15" s="2247" t="str">
        <f t="shared" si="215"/>
        <v/>
      </c>
      <c r="ID15" s="2247" t="str">
        <f t="shared" si="216"/>
        <v/>
      </c>
      <c r="IE15" s="2247" t="str">
        <f t="shared" si="217"/>
        <v/>
      </c>
      <c r="IF15" s="2247" t="str">
        <f t="shared" si="218"/>
        <v/>
      </c>
      <c r="IG15" s="2247" t="str">
        <f t="shared" si="219"/>
        <v/>
      </c>
      <c r="IH15" s="2247" t="str">
        <f t="shared" si="220"/>
        <v/>
      </c>
      <c r="II15" s="2247" t="str">
        <f t="shared" si="221"/>
        <v/>
      </c>
      <c r="IJ15" s="2247" t="str">
        <f t="shared" si="222"/>
        <v/>
      </c>
      <c r="IK15" s="2247" t="str">
        <f t="shared" si="223"/>
        <v/>
      </c>
      <c r="IL15" s="2247" t="str">
        <f t="shared" si="224"/>
        <v/>
      </c>
      <c r="IM15" s="2247" t="str">
        <f t="shared" si="225"/>
        <v/>
      </c>
      <c r="IN15" s="2247" t="str">
        <f t="shared" si="226"/>
        <v/>
      </c>
      <c r="IO15" s="2247" t="str">
        <f t="shared" si="227"/>
        <v/>
      </c>
      <c r="IP15" s="2247" t="str">
        <f t="shared" si="228"/>
        <v/>
      </c>
      <c r="IQ15" s="2247" t="str">
        <f t="shared" si="229"/>
        <v/>
      </c>
      <c r="IR15" s="2247" t="str">
        <f t="shared" si="230"/>
        <v/>
      </c>
      <c r="IS15" s="2247" t="str">
        <f t="shared" si="231"/>
        <v/>
      </c>
      <c r="IT15" s="2247" t="str">
        <f t="shared" si="232"/>
        <v/>
      </c>
      <c r="IU15" s="2247" t="str">
        <f t="shared" si="233"/>
        <v/>
      </c>
      <c r="IV15" s="2247" t="str">
        <f t="shared" si="234"/>
        <v/>
      </c>
      <c r="IW15" s="2247" t="str">
        <f t="shared" si="235"/>
        <v/>
      </c>
      <c r="IX15" s="2247" t="str">
        <f t="shared" si="236"/>
        <v/>
      </c>
      <c r="IY15" s="2247" t="str">
        <f t="shared" si="237"/>
        <v/>
      </c>
      <c r="IZ15" s="2247" t="str">
        <f t="shared" si="238"/>
        <v/>
      </c>
      <c r="JA15" s="2247" t="str">
        <f t="shared" si="239"/>
        <v/>
      </c>
      <c r="JB15" s="2247" t="str">
        <f t="shared" si="240"/>
        <v/>
      </c>
      <c r="JC15" s="2247" t="str">
        <f t="shared" si="241"/>
        <v/>
      </c>
      <c r="JD15" s="2247" t="str">
        <f t="shared" si="242"/>
        <v/>
      </c>
      <c r="JE15" s="2247" t="str">
        <f t="shared" si="243"/>
        <v/>
      </c>
      <c r="JF15" s="2247" t="str">
        <f t="shared" si="244"/>
        <v/>
      </c>
      <c r="JG15" s="2247" t="str">
        <f t="shared" si="245"/>
        <v/>
      </c>
      <c r="JH15" s="2247" t="str">
        <f t="shared" si="246"/>
        <v/>
      </c>
      <c r="JI15" s="2247" t="str">
        <f t="shared" si="247"/>
        <v/>
      </c>
      <c r="JJ15" s="2247" t="str">
        <f t="shared" si="248"/>
        <v/>
      </c>
      <c r="JK15" s="2247" t="str">
        <f t="shared" si="249"/>
        <v/>
      </c>
      <c r="JL15" s="2247" t="str">
        <f t="shared" si="250"/>
        <v/>
      </c>
      <c r="JM15" s="2247" t="str">
        <f t="shared" si="251"/>
        <v/>
      </c>
      <c r="JN15" s="2247" t="str">
        <f t="shared" si="252"/>
        <v/>
      </c>
      <c r="JO15" s="2247" t="str">
        <f t="shared" si="253"/>
        <v/>
      </c>
      <c r="JP15" s="2247" t="str">
        <f t="shared" si="254"/>
        <v/>
      </c>
      <c r="JQ15" s="2247" t="str">
        <f t="shared" si="255"/>
        <v/>
      </c>
      <c r="JR15" s="2247" t="str">
        <f t="shared" si="256"/>
        <v/>
      </c>
      <c r="JS15" s="2247" t="str">
        <f t="shared" si="257"/>
        <v/>
      </c>
      <c r="JT15" s="2247" t="str">
        <f t="shared" si="258"/>
        <v/>
      </c>
      <c r="JU15" s="2247" t="str">
        <f t="shared" si="259"/>
        <v/>
      </c>
      <c r="JV15" s="2247" t="str">
        <f t="shared" si="260"/>
        <v/>
      </c>
      <c r="JW15" s="2247" t="str">
        <f t="shared" si="261"/>
        <v/>
      </c>
      <c r="JX15" s="2247" t="str">
        <f t="shared" si="262"/>
        <v/>
      </c>
      <c r="JY15" s="2247" t="str">
        <f t="shared" si="263"/>
        <v/>
      </c>
      <c r="JZ15" s="2247" t="str">
        <f t="shared" si="264"/>
        <v/>
      </c>
      <c r="KA15" s="2247" t="str">
        <f t="shared" si="265"/>
        <v/>
      </c>
      <c r="KB15" s="2247" t="str">
        <f t="shared" si="266"/>
        <v/>
      </c>
      <c r="KC15" s="2247" t="str">
        <f t="shared" si="267"/>
        <v/>
      </c>
      <c r="KD15" s="2247" t="str">
        <f t="shared" si="268"/>
        <v/>
      </c>
      <c r="KE15" s="2247" t="str">
        <f t="shared" si="269"/>
        <v/>
      </c>
      <c r="KF15" s="2247" t="str">
        <f t="shared" si="270"/>
        <v/>
      </c>
      <c r="KG15" s="2247" t="str">
        <f t="shared" si="271"/>
        <v/>
      </c>
      <c r="KH15" s="2247" t="str">
        <f t="shared" si="272"/>
        <v/>
      </c>
      <c r="KI15" s="2247" t="str">
        <f t="shared" si="273"/>
        <v/>
      </c>
      <c r="KJ15" s="2247" t="str">
        <f t="shared" si="274"/>
        <v/>
      </c>
      <c r="KK15" s="2247" t="str">
        <f t="shared" si="275"/>
        <v/>
      </c>
      <c r="KL15" s="2247" t="str">
        <f t="shared" si="276"/>
        <v/>
      </c>
      <c r="KM15" s="2247" t="str">
        <f t="shared" si="277"/>
        <v/>
      </c>
      <c r="KN15" s="2247" t="str">
        <f t="shared" si="278"/>
        <v/>
      </c>
      <c r="KO15" s="2247" t="str">
        <f t="shared" si="279"/>
        <v/>
      </c>
      <c r="KP15" s="2247" t="str">
        <f t="shared" si="280"/>
        <v/>
      </c>
      <c r="KQ15" s="2247" t="str">
        <f t="shared" si="281"/>
        <v/>
      </c>
      <c r="KR15" s="2247" t="str">
        <f t="shared" si="282"/>
        <v/>
      </c>
      <c r="KS15" s="2247" t="str">
        <f t="shared" si="283"/>
        <v/>
      </c>
      <c r="KT15" s="2247" t="str">
        <f t="shared" si="284"/>
        <v/>
      </c>
      <c r="KU15" s="2247" t="str">
        <f t="shared" si="285"/>
        <v/>
      </c>
      <c r="KV15" s="2247" t="str">
        <f t="shared" si="286"/>
        <v/>
      </c>
      <c r="KW15" s="2247" t="str">
        <f t="shared" si="287"/>
        <v/>
      </c>
      <c r="KX15" s="2247" t="str">
        <f t="shared" si="288"/>
        <v/>
      </c>
      <c r="KY15" s="2247" t="str">
        <f t="shared" si="289"/>
        <v/>
      </c>
      <c r="KZ15" s="2247" t="str">
        <f t="shared" si="290"/>
        <v/>
      </c>
      <c r="LA15" s="2247" t="str">
        <f t="shared" si="291"/>
        <v/>
      </c>
      <c r="LB15" s="2247" t="str">
        <f t="shared" si="292"/>
        <v/>
      </c>
      <c r="LC15" s="2247" t="str">
        <f t="shared" si="293"/>
        <v/>
      </c>
      <c r="LD15" s="2247" t="str">
        <f t="shared" si="294"/>
        <v/>
      </c>
      <c r="LE15" s="2247" t="str">
        <f t="shared" si="295"/>
        <v/>
      </c>
      <c r="LF15" s="2247" t="str">
        <f t="shared" si="296"/>
        <v/>
      </c>
      <c r="LG15" s="2247" t="str">
        <f t="shared" si="297"/>
        <v/>
      </c>
      <c r="LH15" s="2247" t="str">
        <f t="shared" si="298"/>
        <v/>
      </c>
      <c r="LI15" s="2247" t="str">
        <f t="shared" si="299"/>
        <v/>
      </c>
      <c r="LJ15" s="2247" t="str">
        <f t="shared" si="300"/>
        <v/>
      </c>
      <c r="LK15" s="2247" t="str">
        <f t="shared" si="301"/>
        <v/>
      </c>
      <c r="LL15" s="2247" t="str">
        <f t="shared" si="302"/>
        <v/>
      </c>
      <c r="LM15" s="2247" t="str">
        <f t="shared" si="303"/>
        <v/>
      </c>
      <c r="LN15" s="2247" t="str">
        <f t="shared" si="304"/>
        <v/>
      </c>
      <c r="LO15" s="2247" t="str">
        <f t="shared" si="305"/>
        <v/>
      </c>
      <c r="LP15" s="2247" t="str">
        <f t="shared" si="306"/>
        <v/>
      </c>
      <c r="LQ15" s="2248" t="str">
        <f t="shared" si="307"/>
        <v/>
      </c>
      <c r="LR15" s="2248" t="str">
        <f t="shared" si="308"/>
        <v/>
      </c>
      <c r="LS15" s="2248" t="str">
        <f t="shared" si="309"/>
        <v/>
      </c>
      <c r="LT15" s="2248" t="str">
        <f t="shared" si="310"/>
        <v/>
      </c>
      <c r="LU15" s="2248" t="str">
        <f t="shared" si="311"/>
        <v/>
      </c>
      <c r="LV15" s="443" t="str">
        <f t="shared" si="312"/>
        <v/>
      </c>
      <c r="LW15" s="443" t="str">
        <f t="shared" si="313"/>
        <v/>
      </c>
      <c r="LX15" s="443" t="str">
        <f t="shared" si="314"/>
        <v/>
      </c>
      <c r="LY15" s="443" t="str">
        <f t="shared" si="315"/>
        <v/>
      </c>
      <c r="LZ15" s="443" t="str">
        <f t="shared" si="316"/>
        <v/>
      </c>
      <c r="MA15" s="443" t="str">
        <f t="shared" si="317"/>
        <v/>
      </c>
      <c r="MB15" s="443" t="str">
        <f t="shared" si="318"/>
        <v/>
      </c>
      <c r="MC15" s="443" t="str">
        <f t="shared" si="319"/>
        <v/>
      </c>
      <c r="MD15" s="443" t="str">
        <f t="shared" si="320"/>
        <v/>
      </c>
      <c r="ME15" s="443" t="str">
        <f t="shared" si="321"/>
        <v/>
      </c>
      <c r="MF15" s="443" t="str">
        <f t="shared" si="322"/>
        <v/>
      </c>
      <c r="MG15" s="443" t="str">
        <f t="shared" si="323"/>
        <v/>
      </c>
      <c r="MH15" s="443" t="str">
        <f t="shared" si="324"/>
        <v/>
      </c>
      <c r="MI15" s="443" t="str">
        <f t="shared" si="325"/>
        <v/>
      </c>
      <c r="MJ15" s="443" t="str">
        <f t="shared" si="326"/>
        <v/>
      </c>
      <c r="MK15" s="443" t="str">
        <f t="shared" si="327"/>
        <v/>
      </c>
      <c r="ML15" s="443" t="str">
        <f t="shared" si="328"/>
        <v/>
      </c>
      <c r="MM15" s="443" t="str">
        <f t="shared" si="329"/>
        <v/>
      </c>
      <c r="MN15" s="443" t="str">
        <f t="shared" si="330"/>
        <v/>
      </c>
      <c r="MO15" s="443" t="str">
        <f t="shared" si="331"/>
        <v/>
      </c>
      <c r="MP15" s="2246">
        <f t="shared" si="338"/>
        <v>0</v>
      </c>
      <c r="MQ15" s="2246">
        <f t="shared" si="339"/>
        <v>0</v>
      </c>
      <c r="MR15" s="2246">
        <f t="shared" si="340"/>
        <v>0</v>
      </c>
      <c r="MS15" s="2246">
        <f t="shared" si="341"/>
        <v>0</v>
      </c>
      <c r="MT15" s="2246">
        <f t="shared" si="342"/>
        <v>0</v>
      </c>
      <c r="MU15" s="2246">
        <f t="shared" si="343"/>
        <v>0</v>
      </c>
      <c r="MV15" s="2246">
        <f t="shared" si="344"/>
        <v>0</v>
      </c>
      <c r="MW15" s="2246">
        <f t="shared" si="345"/>
        <v>0</v>
      </c>
      <c r="MX15" s="2246">
        <f t="shared" si="346"/>
        <v>0</v>
      </c>
      <c r="MY15" s="2246">
        <f t="shared" si="347"/>
        <v>0</v>
      </c>
      <c r="MZ15" s="2246">
        <f t="shared" si="332"/>
        <v>0</v>
      </c>
      <c r="NA15" s="2246">
        <f t="shared" si="333"/>
        <v>0</v>
      </c>
      <c r="NB15" s="2246">
        <f t="shared" si="334"/>
        <v>0</v>
      </c>
      <c r="NC15" s="2246">
        <f t="shared" si="335"/>
        <v>0</v>
      </c>
      <c r="ND15" s="2246">
        <f t="shared" si="336"/>
        <v>0</v>
      </c>
    </row>
    <row r="16" spans="1:503" ht="13.95" customHeight="1" thickBot="1">
      <c r="A16" s="109" t="str">
        <f t="shared" si="337"/>
        <v/>
      </c>
      <c r="B16" s="3999" t="s">
        <v>298</v>
      </c>
      <c r="C16" s="4000"/>
      <c r="D16" s="4001"/>
      <c r="E16" s="4002"/>
      <c r="F16" s="4002"/>
      <c r="G16" s="4002"/>
      <c r="H16" s="4002"/>
      <c r="I16" s="4002"/>
      <c r="J16" s="4003"/>
      <c r="K16" s="4004"/>
      <c r="L16" s="1338">
        <f t="shared" si="0"/>
        <v>0</v>
      </c>
      <c r="M16" s="1338">
        <f t="shared" si="1"/>
        <v>0</v>
      </c>
      <c r="N16" s="4005"/>
      <c r="O16" s="4005"/>
      <c r="P16" s="4005"/>
      <c r="Q16" s="4006"/>
      <c r="R16" s="3994"/>
      <c r="S16" s="3995"/>
      <c r="T16" s="3996"/>
      <c r="U16" s="3997"/>
      <c r="V16" s="3997"/>
      <c r="W16" s="3998"/>
      <c r="X16" s="443" t="str">
        <f t="shared" si="2"/>
        <v/>
      </c>
      <c r="Y16" s="443" t="str">
        <f t="shared" si="3"/>
        <v/>
      </c>
      <c r="Z16" s="443" t="str">
        <f t="shared" si="4"/>
        <v/>
      </c>
      <c r="AA16" s="443" t="str">
        <f t="shared" si="5"/>
        <v/>
      </c>
      <c r="AB16" s="443" t="str">
        <f t="shared" si="6"/>
        <v/>
      </c>
      <c r="AC16" s="443" t="str">
        <f t="shared" si="7"/>
        <v/>
      </c>
      <c r="AD16" s="443" t="str">
        <f t="shared" si="8"/>
        <v/>
      </c>
      <c r="AE16" s="443" t="str">
        <f t="shared" si="9"/>
        <v/>
      </c>
      <c r="AF16" s="443" t="str">
        <f t="shared" si="10"/>
        <v/>
      </c>
      <c r="AG16" s="443" t="str">
        <f t="shared" si="11"/>
        <v/>
      </c>
      <c r="AH16" s="443" t="str">
        <f t="shared" si="12"/>
        <v/>
      </c>
      <c r="AI16" s="443" t="str">
        <f t="shared" si="13"/>
        <v/>
      </c>
      <c r="AJ16" s="443" t="str">
        <f t="shared" si="14"/>
        <v/>
      </c>
      <c r="AK16" s="443" t="str">
        <f t="shared" si="15"/>
        <v/>
      </c>
      <c r="AL16" s="443" t="str">
        <f t="shared" si="16"/>
        <v/>
      </c>
      <c r="AM16" s="443" t="str">
        <f t="shared" si="17"/>
        <v/>
      </c>
      <c r="AN16" s="443" t="str">
        <f t="shared" si="18"/>
        <v/>
      </c>
      <c r="AO16" s="443" t="str">
        <f t="shared" si="19"/>
        <v/>
      </c>
      <c r="AP16" s="443" t="str">
        <f t="shared" si="20"/>
        <v/>
      </c>
      <c r="AQ16" s="443" t="str">
        <f t="shared" si="21"/>
        <v/>
      </c>
      <c r="AR16" s="443" t="str">
        <f t="shared" si="22"/>
        <v/>
      </c>
      <c r="AS16" s="443" t="str">
        <f t="shared" si="23"/>
        <v/>
      </c>
      <c r="AT16" s="443" t="str">
        <f t="shared" si="24"/>
        <v/>
      </c>
      <c r="AU16" s="443" t="str">
        <f t="shared" si="25"/>
        <v/>
      </c>
      <c r="AV16" s="443" t="str">
        <f t="shared" si="26"/>
        <v/>
      </c>
      <c r="AW16" s="443" t="str">
        <f t="shared" si="27"/>
        <v/>
      </c>
      <c r="AX16" s="443" t="str">
        <f t="shared" si="28"/>
        <v/>
      </c>
      <c r="AY16" s="443" t="str">
        <f t="shared" si="29"/>
        <v/>
      </c>
      <c r="AZ16" s="443" t="str">
        <f t="shared" si="30"/>
        <v/>
      </c>
      <c r="BA16" s="443" t="str">
        <f t="shared" si="31"/>
        <v/>
      </c>
      <c r="BB16" s="443" t="str">
        <f t="shared" si="32"/>
        <v/>
      </c>
      <c r="BC16" s="443" t="str">
        <f t="shared" si="33"/>
        <v/>
      </c>
      <c r="BD16" s="443" t="str">
        <f t="shared" si="34"/>
        <v/>
      </c>
      <c r="BE16" s="443" t="str">
        <f t="shared" si="35"/>
        <v/>
      </c>
      <c r="BF16" s="443" t="str">
        <f t="shared" si="36"/>
        <v/>
      </c>
      <c r="BG16" s="443" t="str">
        <f t="shared" si="37"/>
        <v/>
      </c>
      <c r="BH16" s="443" t="str">
        <f t="shared" si="38"/>
        <v/>
      </c>
      <c r="BI16" s="443" t="str">
        <f t="shared" si="39"/>
        <v/>
      </c>
      <c r="BJ16" s="443" t="str">
        <f t="shared" si="40"/>
        <v/>
      </c>
      <c r="BK16" s="443" t="str">
        <f t="shared" si="41"/>
        <v/>
      </c>
      <c r="BL16" s="443" t="str">
        <f t="shared" si="42"/>
        <v/>
      </c>
      <c r="BM16" s="443" t="str">
        <f t="shared" si="43"/>
        <v/>
      </c>
      <c r="BN16" s="443" t="str">
        <f t="shared" si="44"/>
        <v/>
      </c>
      <c r="BO16" s="443" t="str">
        <f t="shared" si="45"/>
        <v/>
      </c>
      <c r="BP16" s="443" t="str">
        <f t="shared" si="46"/>
        <v/>
      </c>
      <c r="BQ16" s="443" t="str">
        <f t="shared" si="47"/>
        <v/>
      </c>
      <c r="BR16" s="443" t="str">
        <f t="shared" si="48"/>
        <v/>
      </c>
      <c r="BS16" s="443" t="str">
        <f t="shared" si="49"/>
        <v/>
      </c>
      <c r="BT16" s="443" t="str">
        <f t="shared" si="50"/>
        <v/>
      </c>
      <c r="BU16" s="443" t="str">
        <f t="shared" si="51"/>
        <v/>
      </c>
      <c r="BV16" s="443" t="str">
        <f t="shared" si="52"/>
        <v/>
      </c>
      <c r="BW16" s="443" t="str">
        <f t="shared" si="53"/>
        <v/>
      </c>
      <c r="BX16" s="443" t="str">
        <f t="shared" si="54"/>
        <v/>
      </c>
      <c r="BY16" s="443" t="str">
        <f t="shared" si="55"/>
        <v/>
      </c>
      <c r="BZ16" s="443" t="str">
        <f t="shared" si="56"/>
        <v/>
      </c>
      <c r="CA16" s="443" t="str">
        <f t="shared" si="57"/>
        <v/>
      </c>
      <c r="CB16" s="443" t="str">
        <f t="shared" si="58"/>
        <v/>
      </c>
      <c r="CC16" s="443" t="str">
        <f t="shared" si="59"/>
        <v/>
      </c>
      <c r="CD16" s="443" t="str">
        <f t="shared" si="60"/>
        <v/>
      </c>
      <c r="CE16" s="443" t="str">
        <f t="shared" si="61"/>
        <v/>
      </c>
      <c r="CF16" s="443" t="str">
        <f t="shared" si="62"/>
        <v/>
      </c>
      <c r="CG16" s="443" t="str">
        <f t="shared" si="63"/>
        <v/>
      </c>
      <c r="CH16" s="443" t="str">
        <f t="shared" si="64"/>
        <v/>
      </c>
      <c r="CI16" s="443" t="str">
        <f t="shared" si="65"/>
        <v/>
      </c>
      <c r="CJ16" s="443" t="str">
        <f t="shared" si="66"/>
        <v/>
      </c>
      <c r="CK16" s="443" t="str">
        <f t="shared" si="67"/>
        <v/>
      </c>
      <c r="CL16" s="443" t="str">
        <f t="shared" si="68"/>
        <v/>
      </c>
      <c r="CM16" s="443" t="str">
        <f t="shared" si="69"/>
        <v/>
      </c>
      <c r="CN16" s="443" t="str">
        <f t="shared" si="70"/>
        <v/>
      </c>
      <c r="CO16" s="443" t="str">
        <f t="shared" si="71"/>
        <v/>
      </c>
      <c r="CP16" s="443" t="str">
        <f t="shared" si="72"/>
        <v/>
      </c>
      <c r="CQ16" s="443" t="str">
        <f t="shared" si="73"/>
        <v/>
      </c>
      <c r="CR16" s="443" t="str">
        <f t="shared" si="74"/>
        <v/>
      </c>
      <c r="CS16" s="443" t="str">
        <f t="shared" si="75"/>
        <v/>
      </c>
      <c r="CT16" s="443" t="str">
        <f t="shared" si="76"/>
        <v/>
      </c>
      <c r="CU16" s="443" t="str">
        <f t="shared" si="77"/>
        <v/>
      </c>
      <c r="CV16" s="443" t="str">
        <f t="shared" si="78"/>
        <v/>
      </c>
      <c r="CW16" s="443" t="str">
        <f t="shared" si="79"/>
        <v/>
      </c>
      <c r="CX16" s="443" t="str">
        <f t="shared" si="80"/>
        <v/>
      </c>
      <c r="CY16" s="443" t="str">
        <f t="shared" si="81"/>
        <v/>
      </c>
      <c r="CZ16" s="443" t="str">
        <f t="shared" si="82"/>
        <v/>
      </c>
      <c r="DA16" s="443" t="str">
        <f t="shared" si="83"/>
        <v/>
      </c>
      <c r="DB16" s="443" t="str">
        <f t="shared" si="84"/>
        <v/>
      </c>
      <c r="DC16" s="443" t="str">
        <f t="shared" si="85"/>
        <v/>
      </c>
      <c r="DD16" s="443" t="str">
        <f t="shared" si="86"/>
        <v/>
      </c>
      <c r="DE16" s="443" t="str">
        <f t="shared" si="87"/>
        <v/>
      </c>
      <c r="DF16" s="443" t="str">
        <f t="shared" si="88"/>
        <v/>
      </c>
      <c r="DG16" s="443" t="str">
        <f t="shared" si="89"/>
        <v/>
      </c>
      <c r="DH16" s="443" t="str">
        <f t="shared" si="90"/>
        <v/>
      </c>
      <c r="DI16" s="443" t="str">
        <f t="shared" si="91"/>
        <v/>
      </c>
      <c r="DJ16" s="443" t="str">
        <f t="shared" si="92"/>
        <v/>
      </c>
      <c r="DK16" s="443" t="str">
        <f t="shared" si="93"/>
        <v/>
      </c>
      <c r="DL16" s="443" t="str">
        <f t="shared" si="94"/>
        <v/>
      </c>
      <c r="DM16" s="443" t="str">
        <f t="shared" si="95"/>
        <v/>
      </c>
      <c r="DN16" s="443" t="str">
        <f t="shared" si="96"/>
        <v/>
      </c>
      <c r="DO16" s="443" t="str">
        <f t="shared" si="97"/>
        <v/>
      </c>
      <c r="DP16" s="443" t="str">
        <f t="shared" si="98"/>
        <v/>
      </c>
      <c r="DQ16" s="443" t="str">
        <f t="shared" si="99"/>
        <v/>
      </c>
      <c r="DR16" s="443" t="str">
        <f t="shared" si="100"/>
        <v/>
      </c>
      <c r="DS16" s="443" t="str">
        <f t="shared" si="101"/>
        <v/>
      </c>
      <c r="DT16" s="443" t="str">
        <f t="shared" si="102"/>
        <v/>
      </c>
      <c r="DU16" s="443" t="str">
        <f t="shared" si="103"/>
        <v/>
      </c>
      <c r="DV16" s="443" t="str">
        <f t="shared" si="104"/>
        <v/>
      </c>
      <c r="DW16" s="443" t="str">
        <f t="shared" si="105"/>
        <v/>
      </c>
      <c r="DX16" s="443" t="str">
        <f t="shared" si="106"/>
        <v/>
      </c>
      <c r="DY16" s="443" t="str">
        <f t="shared" si="107"/>
        <v/>
      </c>
      <c r="DZ16" s="443" t="str">
        <f t="shared" si="108"/>
        <v/>
      </c>
      <c r="EA16" s="443" t="str">
        <f t="shared" si="109"/>
        <v/>
      </c>
      <c r="EB16" s="443" t="str">
        <f t="shared" si="110"/>
        <v/>
      </c>
      <c r="EC16" s="443" t="str">
        <f t="shared" si="111"/>
        <v/>
      </c>
      <c r="ED16" s="443" t="str">
        <f t="shared" si="112"/>
        <v/>
      </c>
      <c r="EE16" s="443" t="str">
        <f t="shared" si="113"/>
        <v/>
      </c>
      <c r="EF16" s="443" t="str">
        <f t="shared" si="114"/>
        <v/>
      </c>
      <c r="EG16" s="443" t="str">
        <f t="shared" si="115"/>
        <v/>
      </c>
      <c r="EH16" s="443" t="str">
        <f t="shared" si="116"/>
        <v/>
      </c>
      <c r="EI16" s="443" t="str">
        <f t="shared" si="117"/>
        <v/>
      </c>
      <c r="EJ16" s="443" t="str">
        <f t="shared" si="118"/>
        <v/>
      </c>
      <c r="EK16" s="443" t="str">
        <f t="shared" si="119"/>
        <v/>
      </c>
      <c r="EL16" s="443" t="str">
        <f t="shared" si="120"/>
        <v/>
      </c>
      <c r="EM16" s="443" t="str">
        <f t="shared" si="121"/>
        <v/>
      </c>
      <c r="EN16" s="443" t="str">
        <f t="shared" si="122"/>
        <v/>
      </c>
      <c r="EO16" s="443" t="str">
        <f t="shared" si="123"/>
        <v/>
      </c>
      <c r="EP16" s="443" t="str">
        <f t="shared" si="124"/>
        <v/>
      </c>
      <c r="EQ16" s="443" t="str">
        <f t="shared" si="125"/>
        <v/>
      </c>
      <c r="ER16" s="443" t="str">
        <f t="shared" si="126"/>
        <v/>
      </c>
      <c r="ES16" s="443" t="str">
        <f t="shared" si="127"/>
        <v/>
      </c>
      <c r="ET16" s="443" t="str">
        <f t="shared" si="128"/>
        <v/>
      </c>
      <c r="EU16" s="443" t="str">
        <f t="shared" si="129"/>
        <v/>
      </c>
      <c r="EV16" s="443" t="str">
        <f t="shared" si="130"/>
        <v/>
      </c>
      <c r="EW16" s="443" t="str">
        <f t="shared" si="131"/>
        <v/>
      </c>
      <c r="EX16" s="443" t="str">
        <f t="shared" si="132"/>
        <v/>
      </c>
      <c r="EY16" s="443" t="str">
        <f t="shared" si="133"/>
        <v/>
      </c>
      <c r="EZ16" s="443" t="str">
        <f t="shared" si="134"/>
        <v/>
      </c>
      <c r="FA16" s="443" t="str">
        <f t="shared" si="135"/>
        <v/>
      </c>
      <c r="FB16" s="443" t="str">
        <f t="shared" si="136"/>
        <v/>
      </c>
      <c r="FC16" s="443" t="str">
        <f t="shared" si="137"/>
        <v/>
      </c>
      <c r="FD16" s="443" t="str">
        <f t="shared" si="138"/>
        <v/>
      </c>
      <c r="FE16" s="443" t="str">
        <f t="shared" si="139"/>
        <v/>
      </c>
      <c r="FF16" s="443" t="str">
        <f t="shared" si="140"/>
        <v/>
      </c>
      <c r="FG16" s="443" t="str">
        <f t="shared" si="141"/>
        <v/>
      </c>
      <c r="FH16" s="443" t="str">
        <f t="shared" si="142"/>
        <v/>
      </c>
      <c r="FI16" s="443" t="str">
        <f t="shared" si="143"/>
        <v/>
      </c>
      <c r="FJ16" s="443" t="str">
        <f t="shared" si="144"/>
        <v/>
      </c>
      <c r="FK16" s="443" t="str">
        <f t="shared" si="145"/>
        <v/>
      </c>
      <c r="FL16" s="443" t="str">
        <f t="shared" si="146"/>
        <v/>
      </c>
      <c r="FM16" s="443" t="str">
        <f t="shared" si="147"/>
        <v/>
      </c>
      <c r="FN16" s="443" t="str">
        <f t="shared" si="148"/>
        <v/>
      </c>
      <c r="FO16" s="443" t="str">
        <f t="shared" si="149"/>
        <v/>
      </c>
      <c r="FP16" s="443" t="str">
        <f t="shared" si="150"/>
        <v/>
      </c>
      <c r="FQ16" s="443" t="str">
        <f t="shared" si="151"/>
        <v/>
      </c>
      <c r="FR16" s="443" t="str">
        <f t="shared" si="152"/>
        <v/>
      </c>
      <c r="FS16" s="443" t="str">
        <f t="shared" si="153"/>
        <v/>
      </c>
      <c r="FT16" s="443" t="str">
        <f t="shared" si="154"/>
        <v/>
      </c>
      <c r="FU16" s="443" t="str">
        <f t="shared" si="155"/>
        <v/>
      </c>
      <c r="FV16" s="443" t="str">
        <f t="shared" si="156"/>
        <v/>
      </c>
      <c r="FW16" s="443" t="str">
        <f t="shared" si="157"/>
        <v/>
      </c>
      <c r="FX16" s="443" t="str">
        <f t="shared" si="158"/>
        <v/>
      </c>
      <c r="FY16" s="443" t="str">
        <f t="shared" si="159"/>
        <v/>
      </c>
      <c r="FZ16" s="443" t="str">
        <f t="shared" si="160"/>
        <v/>
      </c>
      <c r="GA16" s="443" t="str">
        <f t="shared" si="161"/>
        <v/>
      </c>
      <c r="GB16" s="443" t="str">
        <f t="shared" si="162"/>
        <v/>
      </c>
      <c r="GC16" s="443" t="str">
        <f t="shared" si="163"/>
        <v/>
      </c>
      <c r="GD16" s="443" t="str">
        <f t="shared" si="164"/>
        <v/>
      </c>
      <c r="GE16" s="443" t="str">
        <f t="shared" si="165"/>
        <v/>
      </c>
      <c r="GF16" s="443" t="str">
        <f t="shared" si="166"/>
        <v/>
      </c>
      <c r="GG16" s="443" t="str">
        <f t="shared" si="167"/>
        <v/>
      </c>
      <c r="GH16" s="443" t="str">
        <f t="shared" si="168"/>
        <v/>
      </c>
      <c r="GI16" s="443" t="str">
        <f t="shared" si="169"/>
        <v/>
      </c>
      <c r="GJ16" s="443" t="str">
        <f t="shared" si="170"/>
        <v/>
      </c>
      <c r="GK16" s="443" t="str">
        <f t="shared" si="171"/>
        <v/>
      </c>
      <c r="GL16" s="443" t="str">
        <f t="shared" si="172"/>
        <v/>
      </c>
      <c r="GM16" s="443" t="str">
        <f t="shared" si="173"/>
        <v/>
      </c>
      <c r="GN16" s="443" t="str">
        <f t="shared" si="174"/>
        <v/>
      </c>
      <c r="GO16" s="443" t="str">
        <f t="shared" si="175"/>
        <v/>
      </c>
      <c r="GP16" s="443" t="str">
        <f t="shared" si="176"/>
        <v/>
      </c>
      <c r="GQ16" s="443" t="str">
        <f t="shared" si="177"/>
        <v/>
      </c>
      <c r="GR16" s="443" t="str">
        <f t="shared" si="178"/>
        <v/>
      </c>
      <c r="GS16" s="443" t="str">
        <f t="shared" si="179"/>
        <v/>
      </c>
      <c r="GT16" s="443" t="str">
        <f t="shared" si="180"/>
        <v/>
      </c>
      <c r="GU16" s="443" t="str">
        <f t="shared" si="181"/>
        <v/>
      </c>
      <c r="GV16" s="443" t="str">
        <f t="shared" si="182"/>
        <v/>
      </c>
      <c r="GW16" s="443" t="str">
        <f t="shared" si="183"/>
        <v/>
      </c>
      <c r="GX16" s="443" t="str">
        <f t="shared" si="184"/>
        <v/>
      </c>
      <c r="GY16" s="443" t="str">
        <f t="shared" si="185"/>
        <v/>
      </c>
      <c r="GZ16" s="443" t="str">
        <f t="shared" si="186"/>
        <v/>
      </c>
      <c r="HA16" s="443" t="str">
        <f t="shared" si="187"/>
        <v/>
      </c>
      <c r="HB16" s="443" t="str">
        <f t="shared" si="188"/>
        <v/>
      </c>
      <c r="HC16" s="443" t="str">
        <f t="shared" si="189"/>
        <v/>
      </c>
      <c r="HD16" s="443" t="str">
        <f t="shared" si="190"/>
        <v/>
      </c>
      <c r="HE16" s="443" t="str">
        <f t="shared" si="191"/>
        <v/>
      </c>
      <c r="HF16" s="443" t="str">
        <f t="shared" si="192"/>
        <v/>
      </c>
      <c r="HG16" s="443" t="str">
        <f t="shared" si="193"/>
        <v/>
      </c>
      <c r="HH16" s="443" t="str">
        <f t="shared" si="194"/>
        <v/>
      </c>
      <c r="HI16" s="443" t="str">
        <f t="shared" si="195"/>
        <v/>
      </c>
      <c r="HJ16" s="443" t="str">
        <f t="shared" si="196"/>
        <v/>
      </c>
      <c r="HK16" s="443" t="str">
        <f t="shared" si="197"/>
        <v/>
      </c>
      <c r="HL16" s="443" t="str">
        <f t="shared" si="198"/>
        <v/>
      </c>
      <c r="HM16" s="443" t="str">
        <f t="shared" si="199"/>
        <v/>
      </c>
      <c r="HN16" s="443" t="str">
        <f t="shared" si="200"/>
        <v/>
      </c>
      <c r="HO16" s="443" t="str">
        <f t="shared" si="201"/>
        <v/>
      </c>
      <c r="HP16" s="443" t="str">
        <f t="shared" si="202"/>
        <v/>
      </c>
      <c r="HQ16" s="443" t="str">
        <f t="shared" si="203"/>
        <v/>
      </c>
      <c r="HR16" s="443" t="str">
        <f t="shared" si="204"/>
        <v/>
      </c>
      <c r="HS16" s="443" t="str">
        <f t="shared" si="205"/>
        <v/>
      </c>
      <c r="HT16" s="443" t="str">
        <f t="shared" si="206"/>
        <v/>
      </c>
      <c r="HU16" s="443" t="str">
        <f t="shared" si="207"/>
        <v/>
      </c>
      <c r="HV16" s="443" t="str">
        <f t="shared" si="208"/>
        <v/>
      </c>
      <c r="HW16" s="443" t="str">
        <f t="shared" si="209"/>
        <v/>
      </c>
      <c r="HX16" s="443" t="str">
        <f t="shared" si="210"/>
        <v/>
      </c>
      <c r="HY16" s="443" t="str">
        <f t="shared" si="211"/>
        <v/>
      </c>
      <c r="HZ16" s="2247" t="str">
        <f t="shared" si="212"/>
        <v/>
      </c>
      <c r="IA16" s="2247" t="str">
        <f t="shared" si="213"/>
        <v/>
      </c>
      <c r="IB16" s="2247" t="str">
        <f t="shared" si="214"/>
        <v/>
      </c>
      <c r="IC16" s="2247" t="str">
        <f t="shared" si="215"/>
        <v/>
      </c>
      <c r="ID16" s="2247" t="str">
        <f t="shared" si="216"/>
        <v/>
      </c>
      <c r="IE16" s="2247" t="str">
        <f t="shared" si="217"/>
        <v/>
      </c>
      <c r="IF16" s="2247" t="str">
        <f t="shared" si="218"/>
        <v/>
      </c>
      <c r="IG16" s="2247" t="str">
        <f t="shared" si="219"/>
        <v/>
      </c>
      <c r="IH16" s="2247" t="str">
        <f t="shared" si="220"/>
        <v/>
      </c>
      <c r="II16" s="2247" t="str">
        <f t="shared" si="221"/>
        <v/>
      </c>
      <c r="IJ16" s="2247" t="str">
        <f t="shared" si="222"/>
        <v/>
      </c>
      <c r="IK16" s="2247" t="str">
        <f t="shared" si="223"/>
        <v/>
      </c>
      <c r="IL16" s="2247" t="str">
        <f t="shared" si="224"/>
        <v/>
      </c>
      <c r="IM16" s="2247" t="str">
        <f t="shared" si="225"/>
        <v/>
      </c>
      <c r="IN16" s="2247" t="str">
        <f t="shared" si="226"/>
        <v/>
      </c>
      <c r="IO16" s="2247" t="str">
        <f t="shared" si="227"/>
        <v/>
      </c>
      <c r="IP16" s="2247" t="str">
        <f t="shared" si="228"/>
        <v/>
      </c>
      <c r="IQ16" s="2247" t="str">
        <f t="shared" si="229"/>
        <v/>
      </c>
      <c r="IR16" s="2247" t="str">
        <f t="shared" si="230"/>
        <v/>
      </c>
      <c r="IS16" s="2247" t="str">
        <f t="shared" si="231"/>
        <v/>
      </c>
      <c r="IT16" s="2247" t="str">
        <f t="shared" si="232"/>
        <v/>
      </c>
      <c r="IU16" s="2247" t="str">
        <f t="shared" si="233"/>
        <v/>
      </c>
      <c r="IV16" s="2247" t="str">
        <f t="shared" si="234"/>
        <v/>
      </c>
      <c r="IW16" s="2247" t="str">
        <f t="shared" si="235"/>
        <v/>
      </c>
      <c r="IX16" s="2247" t="str">
        <f t="shared" si="236"/>
        <v/>
      </c>
      <c r="IY16" s="2247" t="str">
        <f t="shared" si="237"/>
        <v/>
      </c>
      <c r="IZ16" s="2247" t="str">
        <f t="shared" si="238"/>
        <v/>
      </c>
      <c r="JA16" s="2247" t="str">
        <f t="shared" si="239"/>
        <v/>
      </c>
      <c r="JB16" s="2247" t="str">
        <f t="shared" si="240"/>
        <v/>
      </c>
      <c r="JC16" s="2247" t="str">
        <f t="shared" si="241"/>
        <v/>
      </c>
      <c r="JD16" s="2247" t="str">
        <f t="shared" si="242"/>
        <v/>
      </c>
      <c r="JE16" s="2247" t="str">
        <f t="shared" si="243"/>
        <v/>
      </c>
      <c r="JF16" s="2247" t="str">
        <f t="shared" si="244"/>
        <v/>
      </c>
      <c r="JG16" s="2247" t="str">
        <f t="shared" si="245"/>
        <v/>
      </c>
      <c r="JH16" s="2247" t="str">
        <f t="shared" si="246"/>
        <v/>
      </c>
      <c r="JI16" s="2247" t="str">
        <f t="shared" si="247"/>
        <v/>
      </c>
      <c r="JJ16" s="2247" t="str">
        <f t="shared" si="248"/>
        <v/>
      </c>
      <c r="JK16" s="2247" t="str">
        <f t="shared" si="249"/>
        <v/>
      </c>
      <c r="JL16" s="2247" t="str">
        <f t="shared" si="250"/>
        <v/>
      </c>
      <c r="JM16" s="2247" t="str">
        <f t="shared" si="251"/>
        <v/>
      </c>
      <c r="JN16" s="2247" t="str">
        <f t="shared" si="252"/>
        <v/>
      </c>
      <c r="JO16" s="2247" t="str">
        <f t="shared" si="253"/>
        <v/>
      </c>
      <c r="JP16" s="2247" t="str">
        <f t="shared" si="254"/>
        <v/>
      </c>
      <c r="JQ16" s="2247" t="str">
        <f t="shared" si="255"/>
        <v/>
      </c>
      <c r="JR16" s="2247" t="str">
        <f t="shared" si="256"/>
        <v/>
      </c>
      <c r="JS16" s="2247" t="str">
        <f t="shared" si="257"/>
        <v/>
      </c>
      <c r="JT16" s="2247" t="str">
        <f t="shared" si="258"/>
        <v/>
      </c>
      <c r="JU16" s="2247" t="str">
        <f t="shared" si="259"/>
        <v/>
      </c>
      <c r="JV16" s="2247" t="str">
        <f t="shared" si="260"/>
        <v/>
      </c>
      <c r="JW16" s="2247" t="str">
        <f t="shared" si="261"/>
        <v/>
      </c>
      <c r="JX16" s="2247" t="str">
        <f t="shared" si="262"/>
        <v/>
      </c>
      <c r="JY16" s="2247" t="str">
        <f t="shared" si="263"/>
        <v/>
      </c>
      <c r="JZ16" s="2247" t="str">
        <f t="shared" si="264"/>
        <v/>
      </c>
      <c r="KA16" s="2247" t="str">
        <f t="shared" si="265"/>
        <v/>
      </c>
      <c r="KB16" s="2247" t="str">
        <f t="shared" si="266"/>
        <v/>
      </c>
      <c r="KC16" s="2247" t="str">
        <f t="shared" si="267"/>
        <v/>
      </c>
      <c r="KD16" s="2247" t="str">
        <f t="shared" si="268"/>
        <v/>
      </c>
      <c r="KE16" s="2247" t="str">
        <f t="shared" si="269"/>
        <v/>
      </c>
      <c r="KF16" s="2247" t="str">
        <f t="shared" si="270"/>
        <v/>
      </c>
      <c r="KG16" s="2247" t="str">
        <f t="shared" si="271"/>
        <v/>
      </c>
      <c r="KH16" s="2247" t="str">
        <f t="shared" si="272"/>
        <v/>
      </c>
      <c r="KI16" s="2247" t="str">
        <f t="shared" si="273"/>
        <v/>
      </c>
      <c r="KJ16" s="2247" t="str">
        <f t="shared" si="274"/>
        <v/>
      </c>
      <c r="KK16" s="2247" t="str">
        <f t="shared" si="275"/>
        <v/>
      </c>
      <c r="KL16" s="2247" t="str">
        <f t="shared" si="276"/>
        <v/>
      </c>
      <c r="KM16" s="2247" t="str">
        <f t="shared" si="277"/>
        <v/>
      </c>
      <c r="KN16" s="2247" t="str">
        <f t="shared" si="278"/>
        <v/>
      </c>
      <c r="KO16" s="2247" t="str">
        <f t="shared" si="279"/>
        <v/>
      </c>
      <c r="KP16" s="2247" t="str">
        <f t="shared" si="280"/>
        <v/>
      </c>
      <c r="KQ16" s="2247" t="str">
        <f t="shared" si="281"/>
        <v/>
      </c>
      <c r="KR16" s="2247" t="str">
        <f t="shared" si="282"/>
        <v/>
      </c>
      <c r="KS16" s="2247" t="str">
        <f t="shared" si="283"/>
        <v/>
      </c>
      <c r="KT16" s="2247" t="str">
        <f t="shared" si="284"/>
        <v/>
      </c>
      <c r="KU16" s="2247" t="str">
        <f t="shared" si="285"/>
        <v/>
      </c>
      <c r="KV16" s="2247" t="str">
        <f t="shared" si="286"/>
        <v/>
      </c>
      <c r="KW16" s="2247" t="str">
        <f t="shared" si="287"/>
        <v/>
      </c>
      <c r="KX16" s="2247" t="str">
        <f t="shared" si="288"/>
        <v/>
      </c>
      <c r="KY16" s="2247" t="str">
        <f t="shared" si="289"/>
        <v/>
      </c>
      <c r="KZ16" s="2247" t="str">
        <f t="shared" si="290"/>
        <v/>
      </c>
      <c r="LA16" s="2247" t="str">
        <f t="shared" si="291"/>
        <v/>
      </c>
      <c r="LB16" s="2247" t="str">
        <f t="shared" si="292"/>
        <v/>
      </c>
      <c r="LC16" s="2247" t="str">
        <f t="shared" si="293"/>
        <v/>
      </c>
      <c r="LD16" s="2247" t="str">
        <f t="shared" si="294"/>
        <v/>
      </c>
      <c r="LE16" s="2247" t="str">
        <f t="shared" si="295"/>
        <v/>
      </c>
      <c r="LF16" s="2247" t="str">
        <f t="shared" si="296"/>
        <v/>
      </c>
      <c r="LG16" s="2247" t="str">
        <f t="shared" si="297"/>
        <v/>
      </c>
      <c r="LH16" s="2247" t="str">
        <f t="shared" si="298"/>
        <v/>
      </c>
      <c r="LI16" s="2247" t="str">
        <f t="shared" si="299"/>
        <v/>
      </c>
      <c r="LJ16" s="2247" t="str">
        <f t="shared" si="300"/>
        <v/>
      </c>
      <c r="LK16" s="2247" t="str">
        <f t="shared" si="301"/>
        <v/>
      </c>
      <c r="LL16" s="2247" t="str">
        <f t="shared" si="302"/>
        <v/>
      </c>
      <c r="LM16" s="2247" t="str">
        <f t="shared" si="303"/>
        <v/>
      </c>
      <c r="LN16" s="2247" t="str">
        <f t="shared" si="304"/>
        <v/>
      </c>
      <c r="LO16" s="2247" t="str">
        <f t="shared" si="305"/>
        <v/>
      </c>
      <c r="LP16" s="2247" t="str">
        <f t="shared" si="306"/>
        <v/>
      </c>
      <c r="LQ16" s="2248" t="str">
        <f t="shared" si="307"/>
        <v/>
      </c>
      <c r="LR16" s="2248" t="str">
        <f t="shared" si="308"/>
        <v/>
      </c>
      <c r="LS16" s="2248" t="str">
        <f t="shared" si="309"/>
        <v/>
      </c>
      <c r="LT16" s="2248" t="str">
        <f t="shared" si="310"/>
        <v/>
      </c>
      <c r="LU16" s="2248" t="str">
        <f t="shared" si="311"/>
        <v/>
      </c>
      <c r="LV16" s="443" t="str">
        <f t="shared" si="312"/>
        <v/>
      </c>
      <c r="LW16" s="443" t="str">
        <f t="shared" si="313"/>
        <v/>
      </c>
      <c r="LX16" s="443" t="str">
        <f t="shared" si="314"/>
        <v/>
      </c>
      <c r="LY16" s="443" t="str">
        <f t="shared" si="315"/>
        <v/>
      </c>
      <c r="LZ16" s="443" t="str">
        <f t="shared" si="316"/>
        <v/>
      </c>
      <c r="MA16" s="443" t="str">
        <f t="shared" si="317"/>
        <v/>
      </c>
      <c r="MB16" s="443" t="str">
        <f t="shared" si="318"/>
        <v/>
      </c>
      <c r="MC16" s="443" t="str">
        <f t="shared" si="319"/>
        <v/>
      </c>
      <c r="MD16" s="443" t="str">
        <f t="shared" si="320"/>
        <v/>
      </c>
      <c r="ME16" s="443" t="str">
        <f t="shared" si="321"/>
        <v/>
      </c>
      <c r="MF16" s="443" t="str">
        <f t="shared" si="322"/>
        <v/>
      </c>
      <c r="MG16" s="443" t="str">
        <f t="shared" si="323"/>
        <v/>
      </c>
      <c r="MH16" s="443" t="str">
        <f t="shared" si="324"/>
        <v/>
      </c>
      <c r="MI16" s="443" t="str">
        <f t="shared" si="325"/>
        <v/>
      </c>
      <c r="MJ16" s="443" t="str">
        <f t="shared" si="326"/>
        <v/>
      </c>
      <c r="MK16" s="443" t="str">
        <f t="shared" si="327"/>
        <v/>
      </c>
      <c r="ML16" s="443" t="str">
        <f t="shared" si="328"/>
        <v/>
      </c>
      <c r="MM16" s="443" t="str">
        <f t="shared" si="329"/>
        <v/>
      </c>
      <c r="MN16" s="443" t="str">
        <f t="shared" si="330"/>
        <v/>
      </c>
      <c r="MO16" s="443" t="str">
        <f t="shared" si="331"/>
        <v/>
      </c>
      <c r="MP16" s="2246">
        <f t="shared" si="338"/>
        <v>0</v>
      </c>
      <c r="MQ16" s="2246">
        <f t="shared" si="339"/>
        <v>0</v>
      </c>
      <c r="MR16" s="2246">
        <f t="shared" si="340"/>
        <v>0</v>
      </c>
      <c r="MS16" s="2246">
        <f t="shared" si="341"/>
        <v>0</v>
      </c>
      <c r="MT16" s="2246">
        <f t="shared" si="342"/>
        <v>0</v>
      </c>
      <c r="MU16" s="2246">
        <f t="shared" si="343"/>
        <v>0</v>
      </c>
      <c r="MV16" s="2246">
        <f t="shared" si="344"/>
        <v>0</v>
      </c>
      <c r="MW16" s="2246">
        <f t="shared" si="345"/>
        <v>0</v>
      </c>
      <c r="MX16" s="2246">
        <f t="shared" si="346"/>
        <v>0</v>
      </c>
      <c r="MY16" s="2246">
        <f t="shared" si="347"/>
        <v>0</v>
      </c>
      <c r="MZ16" s="2246">
        <f t="shared" si="332"/>
        <v>0</v>
      </c>
      <c r="NA16" s="2246">
        <f t="shared" si="333"/>
        <v>0</v>
      </c>
      <c r="NB16" s="2246">
        <f t="shared" si="334"/>
        <v>0</v>
      </c>
      <c r="NC16" s="2246">
        <f t="shared" si="335"/>
        <v>0</v>
      </c>
      <c r="ND16" s="2246">
        <f t="shared" si="336"/>
        <v>0</v>
      </c>
    </row>
    <row r="17" spans="1:368" ht="13.95" customHeight="1">
      <c r="A17" s="109">
        <f t="shared" si="337"/>
        <v>1</v>
      </c>
      <c r="B17" s="4007">
        <v>40</v>
      </c>
      <c r="C17" s="4008">
        <v>1</v>
      </c>
      <c r="D17" s="4009">
        <v>1</v>
      </c>
      <c r="E17" s="4010">
        <v>6</v>
      </c>
      <c r="F17" s="4010">
        <v>800</v>
      </c>
      <c r="G17" s="4010">
        <v>447</v>
      </c>
      <c r="H17" s="4010">
        <v>447</v>
      </c>
      <c r="I17" s="4010"/>
      <c r="J17" s="4011">
        <f>IF(C17="",0,HLOOKUP(C17,'Part V-Utility Allowances'!$I$11:$M$22,12))</f>
        <v>121</v>
      </c>
      <c r="K17" s="4012"/>
      <c r="L17" s="1337">
        <f t="shared" si="0"/>
        <v>326</v>
      </c>
      <c r="M17" s="1337">
        <f t="shared" si="1"/>
        <v>1956</v>
      </c>
      <c r="N17" s="4013" t="s">
        <v>2889</v>
      </c>
      <c r="O17" s="4013" t="s">
        <v>7081</v>
      </c>
      <c r="P17" s="4013" t="s">
        <v>2237</v>
      </c>
      <c r="Q17" s="4014" t="s">
        <v>2889</v>
      </c>
      <c r="R17" s="3994"/>
      <c r="S17" s="3995"/>
      <c r="T17" s="3996"/>
      <c r="U17" s="3997"/>
      <c r="V17" s="3997"/>
      <c r="W17" s="3998"/>
      <c r="X17" s="443" t="str">
        <f t="shared" si="2"/>
        <v/>
      </c>
      <c r="Y17" s="443" t="str">
        <f t="shared" si="3"/>
        <v/>
      </c>
      <c r="Z17" s="443" t="str">
        <f t="shared" si="4"/>
        <v/>
      </c>
      <c r="AA17" s="443" t="str">
        <f t="shared" si="5"/>
        <v/>
      </c>
      <c r="AB17" s="443" t="str">
        <f t="shared" si="6"/>
        <v/>
      </c>
      <c r="AC17" s="443" t="str">
        <f t="shared" si="7"/>
        <v/>
      </c>
      <c r="AD17" s="443" t="str">
        <f t="shared" si="8"/>
        <v/>
      </c>
      <c r="AE17" s="443" t="str">
        <f t="shared" si="9"/>
        <v/>
      </c>
      <c r="AF17" s="443" t="str">
        <f t="shared" si="10"/>
        <v/>
      </c>
      <c r="AG17" s="443" t="str">
        <f t="shared" si="11"/>
        <v/>
      </c>
      <c r="AH17" s="443" t="str">
        <f t="shared" si="12"/>
        <v/>
      </c>
      <c r="AI17" s="443" t="str">
        <f t="shared" si="13"/>
        <v/>
      </c>
      <c r="AJ17" s="443" t="str">
        <f t="shared" si="14"/>
        <v/>
      </c>
      <c r="AK17" s="443" t="str">
        <f t="shared" si="15"/>
        <v/>
      </c>
      <c r="AL17" s="443" t="str">
        <f t="shared" si="16"/>
        <v/>
      </c>
      <c r="AM17" s="443" t="str">
        <f t="shared" si="17"/>
        <v/>
      </c>
      <c r="AN17" s="443" t="str">
        <f t="shared" si="18"/>
        <v/>
      </c>
      <c r="AO17" s="443" t="str">
        <f t="shared" si="19"/>
        <v/>
      </c>
      <c r="AP17" s="443" t="str">
        <f t="shared" si="20"/>
        <v/>
      </c>
      <c r="AQ17" s="443" t="str">
        <f t="shared" si="21"/>
        <v/>
      </c>
      <c r="AR17" s="443" t="str">
        <f t="shared" si="22"/>
        <v/>
      </c>
      <c r="AS17" s="443">
        <f t="shared" si="23"/>
        <v>6</v>
      </c>
      <c r="AT17" s="443" t="str">
        <f t="shared" si="24"/>
        <v/>
      </c>
      <c r="AU17" s="443" t="str">
        <f t="shared" si="25"/>
        <v/>
      </c>
      <c r="AV17" s="443" t="str">
        <f t="shared" si="26"/>
        <v/>
      </c>
      <c r="AW17" s="443" t="str">
        <f t="shared" si="27"/>
        <v/>
      </c>
      <c r="AX17" s="443" t="str">
        <f t="shared" si="28"/>
        <v/>
      </c>
      <c r="AY17" s="443" t="str">
        <f t="shared" si="29"/>
        <v/>
      </c>
      <c r="AZ17" s="443" t="str">
        <f t="shared" si="30"/>
        <v/>
      </c>
      <c r="BA17" s="443" t="str">
        <f t="shared" si="31"/>
        <v/>
      </c>
      <c r="BB17" s="443" t="str">
        <f t="shared" si="32"/>
        <v/>
      </c>
      <c r="BC17" s="443" t="str">
        <f t="shared" si="33"/>
        <v/>
      </c>
      <c r="BD17" s="443" t="str">
        <f t="shared" si="34"/>
        <v/>
      </c>
      <c r="BE17" s="443" t="str">
        <f t="shared" si="35"/>
        <v/>
      </c>
      <c r="BF17" s="443" t="str">
        <f t="shared" si="36"/>
        <v/>
      </c>
      <c r="BG17" s="443" t="str">
        <f t="shared" si="37"/>
        <v/>
      </c>
      <c r="BH17" s="443" t="str">
        <f t="shared" si="38"/>
        <v/>
      </c>
      <c r="BI17" s="443" t="str">
        <f t="shared" si="39"/>
        <v/>
      </c>
      <c r="BJ17" s="443" t="str">
        <f t="shared" si="40"/>
        <v/>
      </c>
      <c r="BK17" s="443" t="str">
        <f t="shared" si="41"/>
        <v/>
      </c>
      <c r="BL17" s="443" t="str">
        <f t="shared" si="42"/>
        <v/>
      </c>
      <c r="BM17" s="443" t="str">
        <f t="shared" si="43"/>
        <v/>
      </c>
      <c r="BN17" s="443" t="str">
        <f t="shared" si="44"/>
        <v/>
      </c>
      <c r="BO17" s="443" t="str">
        <f t="shared" si="45"/>
        <v/>
      </c>
      <c r="BP17" s="443" t="str">
        <f t="shared" si="46"/>
        <v/>
      </c>
      <c r="BQ17" s="443" t="str">
        <f t="shared" si="47"/>
        <v/>
      </c>
      <c r="BR17" s="443" t="str">
        <f t="shared" si="48"/>
        <v/>
      </c>
      <c r="BS17" s="443" t="str">
        <f t="shared" si="49"/>
        <v/>
      </c>
      <c r="BT17" s="443" t="str">
        <f t="shared" si="50"/>
        <v/>
      </c>
      <c r="BU17" s="443" t="str">
        <f t="shared" si="51"/>
        <v/>
      </c>
      <c r="BV17" s="443" t="str">
        <f t="shared" si="52"/>
        <v/>
      </c>
      <c r="BW17" s="443" t="str">
        <f t="shared" si="53"/>
        <v/>
      </c>
      <c r="BX17" s="443" t="str">
        <f t="shared" si="54"/>
        <v/>
      </c>
      <c r="BY17" s="443" t="str">
        <f t="shared" si="55"/>
        <v/>
      </c>
      <c r="BZ17" s="443" t="str">
        <f t="shared" si="56"/>
        <v/>
      </c>
      <c r="CA17" s="443" t="str">
        <f t="shared" si="57"/>
        <v/>
      </c>
      <c r="CB17" s="443" t="str">
        <f t="shared" si="58"/>
        <v/>
      </c>
      <c r="CC17" s="443" t="str">
        <f t="shared" si="59"/>
        <v/>
      </c>
      <c r="CD17" s="443" t="str">
        <f t="shared" si="60"/>
        <v/>
      </c>
      <c r="CE17" s="443" t="str">
        <f t="shared" si="61"/>
        <v/>
      </c>
      <c r="CF17" s="443" t="str">
        <f t="shared" si="62"/>
        <v/>
      </c>
      <c r="CG17" s="443" t="str">
        <f t="shared" si="63"/>
        <v/>
      </c>
      <c r="CH17" s="443" t="str">
        <f t="shared" si="64"/>
        <v/>
      </c>
      <c r="CI17" s="443" t="str">
        <f t="shared" si="65"/>
        <v/>
      </c>
      <c r="CJ17" s="443" t="str">
        <f t="shared" si="66"/>
        <v/>
      </c>
      <c r="CK17" s="443" t="str">
        <f t="shared" si="67"/>
        <v/>
      </c>
      <c r="CL17" s="443" t="str">
        <f t="shared" si="68"/>
        <v/>
      </c>
      <c r="CM17" s="443" t="str">
        <f t="shared" si="69"/>
        <v/>
      </c>
      <c r="CN17" s="443" t="str">
        <f t="shared" si="70"/>
        <v/>
      </c>
      <c r="CO17" s="443" t="str">
        <f t="shared" si="71"/>
        <v/>
      </c>
      <c r="CP17" s="443" t="str">
        <f t="shared" si="72"/>
        <v/>
      </c>
      <c r="CQ17" s="443" t="str">
        <f t="shared" si="73"/>
        <v/>
      </c>
      <c r="CR17" s="443" t="str">
        <f t="shared" si="74"/>
        <v/>
      </c>
      <c r="CS17" s="443" t="str">
        <f t="shared" si="75"/>
        <v/>
      </c>
      <c r="CT17" s="443" t="str">
        <f t="shared" si="76"/>
        <v/>
      </c>
      <c r="CU17" s="443" t="str">
        <f t="shared" si="77"/>
        <v/>
      </c>
      <c r="CV17" s="443" t="str">
        <f t="shared" si="78"/>
        <v/>
      </c>
      <c r="CW17" s="443" t="str">
        <f t="shared" si="79"/>
        <v/>
      </c>
      <c r="CX17" s="443" t="str">
        <f t="shared" si="80"/>
        <v/>
      </c>
      <c r="CY17" s="443" t="str">
        <f t="shared" si="81"/>
        <v/>
      </c>
      <c r="CZ17" s="443" t="str">
        <f t="shared" si="82"/>
        <v/>
      </c>
      <c r="DA17" s="443" t="str">
        <f t="shared" si="83"/>
        <v/>
      </c>
      <c r="DB17" s="443" t="str">
        <f t="shared" si="84"/>
        <v/>
      </c>
      <c r="DC17" s="443" t="str">
        <f t="shared" si="85"/>
        <v/>
      </c>
      <c r="DD17" s="443" t="str">
        <f t="shared" si="86"/>
        <v/>
      </c>
      <c r="DE17" s="443" t="str">
        <f t="shared" si="87"/>
        <v/>
      </c>
      <c r="DF17" s="443" t="str">
        <f t="shared" si="88"/>
        <v/>
      </c>
      <c r="DG17" s="443" t="str">
        <f t="shared" si="89"/>
        <v/>
      </c>
      <c r="DH17" s="443" t="str">
        <f t="shared" si="90"/>
        <v/>
      </c>
      <c r="DI17" s="443" t="str">
        <f t="shared" si="91"/>
        <v/>
      </c>
      <c r="DJ17" s="443" t="str">
        <f t="shared" si="92"/>
        <v/>
      </c>
      <c r="DK17" s="443" t="str">
        <f t="shared" si="93"/>
        <v/>
      </c>
      <c r="DL17" s="443" t="str">
        <f t="shared" si="94"/>
        <v/>
      </c>
      <c r="DM17" s="443" t="str">
        <f t="shared" si="95"/>
        <v/>
      </c>
      <c r="DN17" s="443" t="str">
        <f t="shared" si="96"/>
        <v/>
      </c>
      <c r="DO17" s="443" t="str">
        <f t="shared" si="97"/>
        <v/>
      </c>
      <c r="DP17" s="443" t="str">
        <f t="shared" si="98"/>
        <v/>
      </c>
      <c r="DQ17" s="443" t="str">
        <f t="shared" si="99"/>
        <v/>
      </c>
      <c r="DR17" s="443" t="str">
        <f t="shared" si="100"/>
        <v/>
      </c>
      <c r="DS17" s="443" t="str">
        <f t="shared" si="101"/>
        <v/>
      </c>
      <c r="DT17" s="443" t="str">
        <f t="shared" si="102"/>
        <v/>
      </c>
      <c r="DU17" s="443" t="str">
        <f t="shared" si="103"/>
        <v/>
      </c>
      <c r="DV17" s="443" t="str">
        <f t="shared" si="104"/>
        <v/>
      </c>
      <c r="DW17" s="443" t="str">
        <f t="shared" si="105"/>
        <v/>
      </c>
      <c r="DX17" s="443" t="str">
        <f t="shared" si="106"/>
        <v/>
      </c>
      <c r="DY17" s="443" t="str">
        <f t="shared" si="107"/>
        <v/>
      </c>
      <c r="DZ17" s="443" t="str">
        <f t="shared" si="108"/>
        <v/>
      </c>
      <c r="EA17" s="443" t="str">
        <f t="shared" si="109"/>
        <v/>
      </c>
      <c r="EB17" s="443" t="str">
        <f t="shared" si="110"/>
        <v/>
      </c>
      <c r="EC17" s="443" t="str">
        <f t="shared" si="111"/>
        <v/>
      </c>
      <c r="ED17" s="443" t="str">
        <f t="shared" si="112"/>
        <v/>
      </c>
      <c r="EE17" s="443" t="str">
        <f t="shared" si="113"/>
        <v/>
      </c>
      <c r="EF17" s="443" t="str">
        <f t="shared" si="114"/>
        <v/>
      </c>
      <c r="EG17" s="443" t="str">
        <f t="shared" si="115"/>
        <v/>
      </c>
      <c r="EH17" s="443" t="str">
        <f t="shared" si="116"/>
        <v/>
      </c>
      <c r="EI17" s="443" t="str">
        <f t="shared" si="117"/>
        <v/>
      </c>
      <c r="EJ17" s="443" t="str">
        <f t="shared" si="118"/>
        <v/>
      </c>
      <c r="EK17" s="443" t="str">
        <f t="shared" si="119"/>
        <v/>
      </c>
      <c r="EL17" s="443" t="str">
        <f t="shared" si="120"/>
        <v/>
      </c>
      <c r="EM17" s="443" t="str">
        <f t="shared" si="121"/>
        <v/>
      </c>
      <c r="EN17" s="443" t="str">
        <f t="shared" si="122"/>
        <v/>
      </c>
      <c r="EO17" s="443" t="str">
        <f t="shared" si="123"/>
        <v/>
      </c>
      <c r="EP17" s="443" t="str">
        <f t="shared" si="124"/>
        <v/>
      </c>
      <c r="EQ17" s="443" t="str">
        <f t="shared" si="125"/>
        <v/>
      </c>
      <c r="ER17" s="443" t="str">
        <f t="shared" si="126"/>
        <v/>
      </c>
      <c r="ES17" s="443" t="str">
        <f t="shared" si="127"/>
        <v/>
      </c>
      <c r="ET17" s="443" t="str">
        <f t="shared" si="128"/>
        <v/>
      </c>
      <c r="EU17" s="443" t="str">
        <f t="shared" si="129"/>
        <v/>
      </c>
      <c r="EV17" s="443" t="str">
        <f t="shared" si="130"/>
        <v/>
      </c>
      <c r="EW17" s="443" t="str">
        <f t="shared" si="131"/>
        <v/>
      </c>
      <c r="EX17" s="443" t="str">
        <f t="shared" si="132"/>
        <v/>
      </c>
      <c r="EY17" s="443" t="str">
        <f t="shared" si="133"/>
        <v/>
      </c>
      <c r="EZ17" s="443" t="str">
        <f t="shared" si="134"/>
        <v/>
      </c>
      <c r="FA17" s="443" t="str">
        <f t="shared" si="135"/>
        <v/>
      </c>
      <c r="FB17" s="443" t="str">
        <f t="shared" si="136"/>
        <v/>
      </c>
      <c r="FC17" s="443" t="str">
        <f t="shared" si="137"/>
        <v/>
      </c>
      <c r="FD17" s="443">
        <f t="shared" si="138"/>
        <v>4800</v>
      </c>
      <c r="FE17" s="443" t="str">
        <f t="shared" si="139"/>
        <v/>
      </c>
      <c r="FF17" s="443" t="str">
        <f t="shared" si="140"/>
        <v/>
      </c>
      <c r="FG17" s="443" t="str">
        <f t="shared" si="141"/>
        <v/>
      </c>
      <c r="FH17" s="443" t="str">
        <f t="shared" si="142"/>
        <v/>
      </c>
      <c r="FI17" s="443" t="str">
        <f t="shared" si="143"/>
        <v/>
      </c>
      <c r="FJ17" s="443" t="str">
        <f t="shared" si="144"/>
        <v/>
      </c>
      <c r="FK17" s="443" t="str">
        <f t="shared" si="145"/>
        <v/>
      </c>
      <c r="FL17" s="443" t="str">
        <f t="shared" si="146"/>
        <v/>
      </c>
      <c r="FM17" s="443" t="str">
        <f t="shared" si="147"/>
        <v/>
      </c>
      <c r="FN17" s="443" t="str">
        <f t="shared" si="148"/>
        <v/>
      </c>
      <c r="FO17" s="443" t="str">
        <f t="shared" si="149"/>
        <v/>
      </c>
      <c r="FP17" s="443" t="str">
        <f t="shared" si="150"/>
        <v/>
      </c>
      <c r="FQ17" s="443" t="str">
        <f t="shared" si="151"/>
        <v/>
      </c>
      <c r="FR17" s="443" t="str">
        <f t="shared" si="152"/>
        <v/>
      </c>
      <c r="FS17" s="443" t="str">
        <f t="shared" si="153"/>
        <v/>
      </c>
      <c r="FT17" s="443" t="str">
        <f t="shared" si="154"/>
        <v/>
      </c>
      <c r="FU17" s="443" t="str">
        <f t="shared" si="155"/>
        <v/>
      </c>
      <c r="FV17" s="443" t="str">
        <f t="shared" si="156"/>
        <v/>
      </c>
      <c r="FW17" s="443" t="str">
        <f t="shared" si="157"/>
        <v/>
      </c>
      <c r="FX17" s="443" t="str">
        <f t="shared" si="158"/>
        <v/>
      </c>
      <c r="FY17" s="443" t="str">
        <f t="shared" si="159"/>
        <v/>
      </c>
      <c r="FZ17" s="443" t="str">
        <f t="shared" si="160"/>
        <v/>
      </c>
      <c r="GA17" s="443" t="str">
        <f t="shared" si="161"/>
        <v/>
      </c>
      <c r="GB17" s="443" t="str">
        <f t="shared" si="162"/>
        <v/>
      </c>
      <c r="GC17" s="443" t="str">
        <f t="shared" si="163"/>
        <v/>
      </c>
      <c r="GD17" s="443" t="str">
        <f t="shared" si="164"/>
        <v/>
      </c>
      <c r="GE17" s="443" t="str">
        <f t="shared" si="165"/>
        <v/>
      </c>
      <c r="GF17" s="443" t="str">
        <f t="shared" si="166"/>
        <v/>
      </c>
      <c r="GG17" s="443" t="str">
        <f t="shared" si="167"/>
        <v/>
      </c>
      <c r="GH17" s="443">
        <f t="shared" si="168"/>
        <v>6</v>
      </c>
      <c r="GI17" s="443" t="str">
        <f t="shared" si="169"/>
        <v/>
      </c>
      <c r="GJ17" s="443" t="str">
        <f t="shared" si="170"/>
        <v/>
      </c>
      <c r="GK17" s="443" t="str">
        <f t="shared" si="171"/>
        <v/>
      </c>
      <c r="GL17" s="443" t="str">
        <f t="shared" si="172"/>
        <v/>
      </c>
      <c r="GM17" s="443" t="str">
        <f t="shared" si="173"/>
        <v/>
      </c>
      <c r="GN17" s="443" t="str">
        <f t="shared" si="174"/>
        <v/>
      </c>
      <c r="GO17" s="443" t="str">
        <f t="shared" si="175"/>
        <v/>
      </c>
      <c r="GP17" s="443" t="str">
        <f t="shared" si="176"/>
        <v/>
      </c>
      <c r="GQ17" s="443" t="str">
        <f t="shared" si="177"/>
        <v/>
      </c>
      <c r="GR17" s="443" t="str">
        <f t="shared" si="178"/>
        <v/>
      </c>
      <c r="GS17" s="443" t="str">
        <f t="shared" si="179"/>
        <v/>
      </c>
      <c r="GT17" s="443" t="str">
        <f t="shared" si="180"/>
        <v/>
      </c>
      <c r="GU17" s="443" t="str">
        <f t="shared" si="181"/>
        <v/>
      </c>
      <c r="GV17" s="443" t="str">
        <f t="shared" si="182"/>
        <v/>
      </c>
      <c r="GW17" s="443" t="str">
        <f t="shared" si="183"/>
        <v/>
      </c>
      <c r="GX17" s="443" t="str">
        <f t="shared" si="184"/>
        <v/>
      </c>
      <c r="GY17" s="443" t="str">
        <f t="shared" si="185"/>
        <v/>
      </c>
      <c r="GZ17" s="443" t="str">
        <f t="shared" si="186"/>
        <v/>
      </c>
      <c r="HA17" s="443" t="str">
        <f t="shared" si="187"/>
        <v/>
      </c>
      <c r="HB17" s="443" t="str">
        <f t="shared" si="188"/>
        <v/>
      </c>
      <c r="HC17" s="443" t="str">
        <f t="shared" si="189"/>
        <v/>
      </c>
      <c r="HD17" s="443" t="str">
        <f t="shared" si="190"/>
        <v/>
      </c>
      <c r="HE17" s="443" t="str">
        <f t="shared" si="191"/>
        <v/>
      </c>
      <c r="HF17" s="443" t="str">
        <f t="shared" si="192"/>
        <v/>
      </c>
      <c r="HG17" s="443" t="str">
        <f t="shared" si="193"/>
        <v/>
      </c>
      <c r="HH17" s="443" t="str">
        <f t="shared" si="194"/>
        <v/>
      </c>
      <c r="HI17" s="443" t="str">
        <f t="shared" si="195"/>
        <v/>
      </c>
      <c r="HJ17" s="443" t="str">
        <f t="shared" si="196"/>
        <v/>
      </c>
      <c r="HK17" s="443" t="str">
        <f t="shared" si="197"/>
        <v/>
      </c>
      <c r="HL17" s="443" t="str">
        <f t="shared" si="198"/>
        <v/>
      </c>
      <c r="HM17" s="443" t="str">
        <f t="shared" si="199"/>
        <v/>
      </c>
      <c r="HN17" s="443" t="str">
        <f t="shared" si="200"/>
        <v/>
      </c>
      <c r="HO17" s="443" t="str">
        <f t="shared" si="201"/>
        <v/>
      </c>
      <c r="HP17" s="443" t="str">
        <f t="shared" si="202"/>
        <v/>
      </c>
      <c r="HQ17" s="443" t="str">
        <f t="shared" si="203"/>
        <v/>
      </c>
      <c r="HR17" s="443" t="str">
        <f t="shared" si="204"/>
        <v/>
      </c>
      <c r="HS17" s="443" t="str">
        <f t="shared" si="205"/>
        <v/>
      </c>
      <c r="HT17" s="443" t="str">
        <f t="shared" si="206"/>
        <v/>
      </c>
      <c r="HU17" s="443" t="str">
        <f t="shared" si="207"/>
        <v/>
      </c>
      <c r="HV17" s="443" t="str">
        <f t="shared" si="208"/>
        <v/>
      </c>
      <c r="HW17" s="443" t="str">
        <f t="shared" si="209"/>
        <v/>
      </c>
      <c r="HX17" s="443" t="str">
        <f t="shared" si="210"/>
        <v/>
      </c>
      <c r="HY17" s="443" t="str">
        <f t="shared" si="211"/>
        <v/>
      </c>
      <c r="HZ17" s="2247" t="str">
        <f t="shared" si="212"/>
        <v/>
      </c>
      <c r="IA17" s="2247">
        <f t="shared" si="213"/>
        <v>6</v>
      </c>
      <c r="IB17" s="2247" t="str">
        <f t="shared" si="214"/>
        <v/>
      </c>
      <c r="IC17" s="2247" t="str">
        <f t="shared" si="215"/>
        <v/>
      </c>
      <c r="ID17" s="2247" t="str">
        <f t="shared" si="216"/>
        <v/>
      </c>
      <c r="IE17" s="2247" t="str">
        <f t="shared" si="217"/>
        <v/>
      </c>
      <c r="IF17" s="2247" t="str">
        <f t="shared" si="218"/>
        <v/>
      </c>
      <c r="IG17" s="2247" t="str">
        <f t="shared" si="219"/>
        <v/>
      </c>
      <c r="IH17" s="2247" t="str">
        <f t="shared" si="220"/>
        <v/>
      </c>
      <c r="II17" s="2247" t="str">
        <f t="shared" si="221"/>
        <v/>
      </c>
      <c r="IJ17" s="2247" t="str">
        <f t="shared" si="222"/>
        <v/>
      </c>
      <c r="IK17" s="2247" t="str">
        <f t="shared" si="223"/>
        <v/>
      </c>
      <c r="IL17" s="2247" t="str">
        <f t="shared" si="224"/>
        <v/>
      </c>
      <c r="IM17" s="2247" t="str">
        <f t="shared" si="225"/>
        <v/>
      </c>
      <c r="IN17" s="2247" t="str">
        <f t="shared" si="226"/>
        <v/>
      </c>
      <c r="IO17" s="2247" t="str">
        <f t="shared" si="227"/>
        <v/>
      </c>
      <c r="IP17" s="2247" t="str">
        <f t="shared" si="228"/>
        <v/>
      </c>
      <c r="IQ17" s="2247" t="str">
        <f t="shared" si="229"/>
        <v/>
      </c>
      <c r="IR17" s="2247" t="str">
        <f t="shared" si="230"/>
        <v/>
      </c>
      <c r="IS17" s="2247" t="str">
        <f t="shared" si="231"/>
        <v/>
      </c>
      <c r="IT17" s="2247" t="str">
        <f t="shared" si="232"/>
        <v/>
      </c>
      <c r="IU17" s="2247" t="str">
        <f t="shared" si="233"/>
        <v/>
      </c>
      <c r="IV17" s="2247" t="str">
        <f t="shared" si="234"/>
        <v/>
      </c>
      <c r="IW17" s="2247" t="str">
        <f t="shared" si="235"/>
        <v/>
      </c>
      <c r="IX17" s="2247" t="str">
        <f t="shared" si="236"/>
        <v/>
      </c>
      <c r="IY17" s="2247" t="str">
        <f t="shared" si="237"/>
        <v/>
      </c>
      <c r="IZ17" s="2247" t="str">
        <f t="shared" si="238"/>
        <v/>
      </c>
      <c r="JA17" s="2247" t="str">
        <f t="shared" si="239"/>
        <v/>
      </c>
      <c r="JB17" s="2247" t="str">
        <f t="shared" si="240"/>
        <v/>
      </c>
      <c r="JC17" s="2247" t="str">
        <f t="shared" si="241"/>
        <v/>
      </c>
      <c r="JD17" s="2247" t="str">
        <f t="shared" si="242"/>
        <v/>
      </c>
      <c r="JE17" s="2247" t="str">
        <f t="shared" si="243"/>
        <v/>
      </c>
      <c r="JF17" s="2247" t="str">
        <f t="shared" si="244"/>
        <v/>
      </c>
      <c r="JG17" s="2247" t="str">
        <f t="shared" si="245"/>
        <v/>
      </c>
      <c r="JH17" s="2247" t="str">
        <f t="shared" si="246"/>
        <v/>
      </c>
      <c r="JI17" s="2247" t="str">
        <f t="shared" si="247"/>
        <v/>
      </c>
      <c r="JJ17" s="2247" t="str">
        <f t="shared" si="248"/>
        <v/>
      </c>
      <c r="JK17" s="2247" t="str">
        <f t="shared" si="249"/>
        <v/>
      </c>
      <c r="JL17" s="2247" t="str">
        <f t="shared" si="250"/>
        <v/>
      </c>
      <c r="JM17" s="2247" t="str">
        <f t="shared" si="251"/>
        <v/>
      </c>
      <c r="JN17" s="2247" t="str">
        <f t="shared" si="252"/>
        <v/>
      </c>
      <c r="JO17" s="2247" t="str">
        <f t="shared" si="253"/>
        <v/>
      </c>
      <c r="JP17" s="2247" t="str">
        <f t="shared" si="254"/>
        <v/>
      </c>
      <c r="JQ17" s="2247" t="str">
        <f t="shared" si="255"/>
        <v/>
      </c>
      <c r="JR17" s="2247" t="str">
        <f t="shared" si="256"/>
        <v/>
      </c>
      <c r="JS17" s="2247" t="str">
        <f t="shared" si="257"/>
        <v/>
      </c>
      <c r="JT17" s="2247" t="str">
        <f t="shared" si="258"/>
        <v/>
      </c>
      <c r="JU17" s="2247" t="str">
        <f t="shared" si="259"/>
        <v/>
      </c>
      <c r="JV17" s="2247" t="str">
        <f t="shared" si="260"/>
        <v/>
      </c>
      <c r="JW17" s="2247" t="str">
        <f t="shared" si="261"/>
        <v/>
      </c>
      <c r="JX17" s="2247" t="str">
        <f t="shared" si="262"/>
        <v/>
      </c>
      <c r="JY17" s="2247" t="str">
        <f t="shared" si="263"/>
        <v/>
      </c>
      <c r="JZ17" s="2247" t="str">
        <f t="shared" si="264"/>
        <v/>
      </c>
      <c r="KA17" s="2247" t="str">
        <f t="shared" si="265"/>
        <v/>
      </c>
      <c r="KB17" s="2247" t="str">
        <f t="shared" si="266"/>
        <v/>
      </c>
      <c r="KC17" s="2247" t="str">
        <f t="shared" si="267"/>
        <v/>
      </c>
      <c r="KD17" s="2247" t="str">
        <f t="shared" si="268"/>
        <v/>
      </c>
      <c r="KE17" s="2247" t="str">
        <f t="shared" si="269"/>
        <v/>
      </c>
      <c r="KF17" s="2247" t="str">
        <f t="shared" si="270"/>
        <v/>
      </c>
      <c r="KG17" s="2247" t="str">
        <f t="shared" si="271"/>
        <v/>
      </c>
      <c r="KH17" s="2247" t="str">
        <f t="shared" si="272"/>
        <v/>
      </c>
      <c r="KI17" s="2247" t="str">
        <f t="shared" si="273"/>
        <v/>
      </c>
      <c r="KJ17" s="2247" t="str">
        <f t="shared" si="274"/>
        <v/>
      </c>
      <c r="KK17" s="2247" t="str">
        <f t="shared" si="275"/>
        <v/>
      </c>
      <c r="KL17" s="2247" t="str">
        <f t="shared" si="276"/>
        <v/>
      </c>
      <c r="KM17" s="2247" t="str">
        <f t="shared" si="277"/>
        <v/>
      </c>
      <c r="KN17" s="2247" t="str">
        <f t="shared" si="278"/>
        <v/>
      </c>
      <c r="KO17" s="2247" t="str">
        <f t="shared" si="279"/>
        <v/>
      </c>
      <c r="KP17" s="2247" t="str">
        <f t="shared" si="280"/>
        <v/>
      </c>
      <c r="KQ17" s="2247" t="str">
        <f t="shared" si="281"/>
        <v/>
      </c>
      <c r="KR17" s="2247" t="str">
        <f t="shared" si="282"/>
        <v/>
      </c>
      <c r="KS17" s="2247" t="str">
        <f t="shared" si="283"/>
        <v/>
      </c>
      <c r="KT17" s="2247" t="str">
        <f t="shared" si="284"/>
        <v/>
      </c>
      <c r="KU17" s="2247" t="str">
        <f t="shared" si="285"/>
        <v/>
      </c>
      <c r="KV17" s="2247" t="str">
        <f t="shared" si="286"/>
        <v/>
      </c>
      <c r="KW17" s="2247" t="str">
        <f t="shared" si="287"/>
        <v/>
      </c>
      <c r="KX17" s="2247" t="str">
        <f t="shared" si="288"/>
        <v/>
      </c>
      <c r="KY17" s="2247" t="str">
        <f t="shared" si="289"/>
        <v/>
      </c>
      <c r="KZ17" s="2247" t="str">
        <f t="shared" si="290"/>
        <v/>
      </c>
      <c r="LA17" s="2247" t="str">
        <f t="shared" si="291"/>
        <v/>
      </c>
      <c r="LB17" s="2247" t="str">
        <f t="shared" si="292"/>
        <v/>
      </c>
      <c r="LC17" s="2247" t="str">
        <f t="shared" si="293"/>
        <v/>
      </c>
      <c r="LD17" s="2247" t="str">
        <f t="shared" si="294"/>
        <v/>
      </c>
      <c r="LE17" s="2247" t="str">
        <f t="shared" si="295"/>
        <v/>
      </c>
      <c r="LF17" s="2247" t="str">
        <f t="shared" si="296"/>
        <v/>
      </c>
      <c r="LG17" s="2247" t="str">
        <f t="shared" si="297"/>
        <v/>
      </c>
      <c r="LH17" s="2247">
        <f t="shared" si="298"/>
        <v>6</v>
      </c>
      <c r="LI17" s="2247" t="str">
        <f t="shared" si="299"/>
        <v/>
      </c>
      <c r="LJ17" s="2247" t="str">
        <f t="shared" si="300"/>
        <v/>
      </c>
      <c r="LK17" s="2247" t="str">
        <f t="shared" si="301"/>
        <v/>
      </c>
      <c r="LL17" s="2247" t="str">
        <f t="shared" si="302"/>
        <v/>
      </c>
      <c r="LM17" s="2247" t="str">
        <f t="shared" si="303"/>
        <v/>
      </c>
      <c r="LN17" s="2247" t="str">
        <f t="shared" si="304"/>
        <v/>
      </c>
      <c r="LO17" s="2247" t="str">
        <f t="shared" si="305"/>
        <v/>
      </c>
      <c r="LP17" s="2247" t="str">
        <f t="shared" si="306"/>
        <v/>
      </c>
      <c r="LQ17" s="2248" t="str">
        <f t="shared" si="307"/>
        <v/>
      </c>
      <c r="LR17" s="2248" t="str">
        <f t="shared" si="308"/>
        <v/>
      </c>
      <c r="LS17" s="2248" t="str">
        <f t="shared" si="309"/>
        <v/>
      </c>
      <c r="LT17" s="2248" t="str">
        <f t="shared" si="310"/>
        <v/>
      </c>
      <c r="LU17" s="2248" t="str">
        <f t="shared" si="311"/>
        <v/>
      </c>
      <c r="LV17" s="443" t="str">
        <f t="shared" si="312"/>
        <v/>
      </c>
      <c r="LW17" s="443" t="str">
        <f t="shared" si="313"/>
        <v/>
      </c>
      <c r="LX17" s="443" t="str">
        <f t="shared" si="314"/>
        <v/>
      </c>
      <c r="LY17" s="443" t="str">
        <f t="shared" si="315"/>
        <v/>
      </c>
      <c r="LZ17" s="443" t="str">
        <f t="shared" si="316"/>
        <v/>
      </c>
      <c r="MA17" s="443" t="str">
        <f t="shared" si="317"/>
        <v/>
      </c>
      <c r="MB17" s="443" t="str">
        <f t="shared" si="318"/>
        <v/>
      </c>
      <c r="MC17" s="443" t="str">
        <f t="shared" si="319"/>
        <v/>
      </c>
      <c r="MD17" s="443" t="str">
        <f t="shared" si="320"/>
        <v/>
      </c>
      <c r="ME17" s="443" t="str">
        <f t="shared" si="321"/>
        <v/>
      </c>
      <c r="MF17" s="443" t="str">
        <f t="shared" si="322"/>
        <v/>
      </c>
      <c r="MG17" s="443" t="str">
        <f t="shared" si="323"/>
        <v/>
      </c>
      <c r="MH17" s="443" t="str">
        <f t="shared" si="324"/>
        <v/>
      </c>
      <c r="MI17" s="443" t="str">
        <f t="shared" si="325"/>
        <v/>
      </c>
      <c r="MJ17" s="443" t="str">
        <f t="shared" si="326"/>
        <v/>
      </c>
      <c r="MK17" s="443" t="str">
        <f t="shared" si="327"/>
        <v/>
      </c>
      <c r="ML17" s="443" t="str">
        <f t="shared" si="328"/>
        <v/>
      </c>
      <c r="MM17" s="443" t="str">
        <f t="shared" si="329"/>
        <v/>
      </c>
      <c r="MN17" s="443" t="str">
        <f t="shared" si="330"/>
        <v/>
      </c>
      <c r="MO17" s="443" t="str">
        <f t="shared" si="331"/>
        <v/>
      </c>
      <c r="MP17" s="2246">
        <f t="shared" si="338"/>
        <v>0</v>
      </c>
      <c r="MQ17" s="2246">
        <f t="shared" si="339"/>
        <v>0</v>
      </c>
      <c r="MR17" s="2246">
        <f t="shared" si="340"/>
        <v>0</v>
      </c>
      <c r="MS17" s="2246">
        <f t="shared" si="341"/>
        <v>0</v>
      </c>
      <c r="MT17" s="2246">
        <f t="shared" si="342"/>
        <v>0</v>
      </c>
      <c r="MU17" s="2246">
        <f t="shared" si="343"/>
        <v>0</v>
      </c>
      <c r="MV17" s="2246">
        <f t="shared" si="344"/>
        <v>6</v>
      </c>
      <c r="MW17" s="2246">
        <f t="shared" si="345"/>
        <v>0</v>
      </c>
      <c r="MX17" s="2246">
        <f t="shared" si="346"/>
        <v>0</v>
      </c>
      <c r="MY17" s="2246">
        <f t="shared" si="347"/>
        <v>0</v>
      </c>
      <c r="MZ17" s="2246">
        <f t="shared" si="332"/>
        <v>0</v>
      </c>
      <c r="NA17" s="2246">
        <f t="shared" si="333"/>
        <v>0</v>
      </c>
      <c r="NB17" s="2246">
        <f t="shared" si="334"/>
        <v>0</v>
      </c>
      <c r="NC17" s="2246">
        <f t="shared" si="335"/>
        <v>0</v>
      </c>
      <c r="ND17" s="2246">
        <f t="shared" si="336"/>
        <v>0</v>
      </c>
    </row>
    <row r="18" spans="1:368" ht="13.95" customHeight="1">
      <c r="A18" s="109">
        <f t="shared" si="337"/>
        <v>1</v>
      </c>
      <c r="B18" s="4015">
        <v>40</v>
      </c>
      <c r="C18" s="3987">
        <v>2</v>
      </c>
      <c r="D18" s="3988">
        <v>1</v>
      </c>
      <c r="E18" s="3989">
        <v>18</v>
      </c>
      <c r="F18" s="3989">
        <v>1000</v>
      </c>
      <c r="G18" s="3989">
        <v>537</v>
      </c>
      <c r="H18" s="3989">
        <v>537</v>
      </c>
      <c r="I18" s="3989"/>
      <c r="J18" s="4016">
        <f>IF(C18="",0,HLOOKUP(C18,'Part V-Utility Allowances'!$I$11:$M$22,12))</f>
        <v>151</v>
      </c>
      <c r="K18" s="3991"/>
      <c r="L18" s="567">
        <f t="shared" si="0"/>
        <v>386</v>
      </c>
      <c r="M18" s="567">
        <f t="shared" si="1"/>
        <v>6948</v>
      </c>
      <c r="N18" s="4013" t="s">
        <v>2889</v>
      </c>
      <c r="O18" s="3992" t="s">
        <v>7081</v>
      </c>
      <c r="P18" s="3992" t="s">
        <v>2237</v>
      </c>
      <c r="Q18" s="3993" t="s">
        <v>2889</v>
      </c>
      <c r="R18" s="3994"/>
      <c r="S18" s="3995"/>
      <c r="T18" s="3996"/>
      <c r="U18" s="3997"/>
      <c r="V18" s="3997"/>
      <c r="W18" s="3998"/>
      <c r="X18" s="443" t="str">
        <f t="shared" si="2"/>
        <v/>
      </c>
      <c r="Y18" s="443" t="str">
        <f t="shared" si="3"/>
        <v/>
      </c>
      <c r="Z18" s="443" t="str">
        <f t="shared" si="4"/>
        <v/>
      </c>
      <c r="AA18" s="443" t="str">
        <f t="shared" si="5"/>
        <v/>
      </c>
      <c r="AB18" s="443" t="str">
        <f t="shared" si="6"/>
        <v/>
      </c>
      <c r="AC18" s="443" t="str">
        <f t="shared" si="7"/>
        <v/>
      </c>
      <c r="AD18" s="443" t="str">
        <f t="shared" si="8"/>
        <v/>
      </c>
      <c r="AE18" s="443" t="str">
        <f t="shared" si="9"/>
        <v/>
      </c>
      <c r="AF18" s="443" t="str">
        <f t="shared" si="10"/>
        <v/>
      </c>
      <c r="AG18" s="443" t="str">
        <f t="shared" si="11"/>
        <v/>
      </c>
      <c r="AH18" s="443" t="str">
        <f t="shared" si="12"/>
        <v/>
      </c>
      <c r="AI18" s="443" t="str">
        <f t="shared" si="13"/>
        <v/>
      </c>
      <c r="AJ18" s="443" t="str">
        <f t="shared" si="14"/>
        <v/>
      </c>
      <c r="AK18" s="443" t="str">
        <f t="shared" si="15"/>
        <v/>
      </c>
      <c r="AL18" s="443" t="str">
        <f t="shared" si="16"/>
        <v/>
      </c>
      <c r="AM18" s="443" t="str">
        <f t="shared" si="17"/>
        <v/>
      </c>
      <c r="AN18" s="443" t="str">
        <f t="shared" si="18"/>
        <v/>
      </c>
      <c r="AO18" s="443" t="str">
        <f t="shared" si="19"/>
        <v/>
      </c>
      <c r="AP18" s="443" t="str">
        <f t="shared" si="20"/>
        <v/>
      </c>
      <c r="AQ18" s="443" t="str">
        <f t="shared" si="21"/>
        <v/>
      </c>
      <c r="AR18" s="443" t="str">
        <f t="shared" si="22"/>
        <v/>
      </c>
      <c r="AS18" s="443" t="str">
        <f t="shared" si="23"/>
        <v/>
      </c>
      <c r="AT18" s="443">
        <f t="shared" si="24"/>
        <v>18</v>
      </c>
      <c r="AU18" s="443" t="str">
        <f t="shared" si="25"/>
        <v/>
      </c>
      <c r="AV18" s="443" t="str">
        <f t="shared" si="26"/>
        <v/>
      </c>
      <c r="AW18" s="443" t="str">
        <f t="shared" si="27"/>
        <v/>
      </c>
      <c r="AX18" s="443" t="str">
        <f t="shared" si="28"/>
        <v/>
      </c>
      <c r="AY18" s="443" t="str">
        <f t="shared" si="29"/>
        <v/>
      </c>
      <c r="AZ18" s="443" t="str">
        <f t="shared" si="30"/>
        <v/>
      </c>
      <c r="BA18" s="443" t="str">
        <f t="shared" si="31"/>
        <v/>
      </c>
      <c r="BB18" s="443" t="str">
        <f t="shared" si="32"/>
        <v/>
      </c>
      <c r="BC18" s="443" t="str">
        <f t="shared" si="33"/>
        <v/>
      </c>
      <c r="BD18" s="443" t="str">
        <f t="shared" si="34"/>
        <v/>
      </c>
      <c r="BE18" s="443" t="str">
        <f t="shared" si="35"/>
        <v/>
      </c>
      <c r="BF18" s="443" t="str">
        <f t="shared" si="36"/>
        <v/>
      </c>
      <c r="BG18" s="443" t="str">
        <f t="shared" si="37"/>
        <v/>
      </c>
      <c r="BH18" s="443" t="str">
        <f t="shared" si="38"/>
        <v/>
      </c>
      <c r="BI18" s="443" t="str">
        <f t="shared" si="39"/>
        <v/>
      </c>
      <c r="BJ18" s="443" t="str">
        <f t="shared" si="40"/>
        <v/>
      </c>
      <c r="BK18" s="443" t="str">
        <f t="shared" si="41"/>
        <v/>
      </c>
      <c r="BL18" s="443" t="str">
        <f t="shared" si="42"/>
        <v/>
      </c>
      <c r="BM18" s="443" t="str">
        <f t="shared" si="43"/>
        <v/>
      </c>
      <c r="BN18" s="443" t="str">
        <f t="shared" si="44"/>
        <v/>
      </c>
      <c r="BO18" s="443" t="str">
        <f t="shared" si="45"/>
        <v/>
      </c>
      <c r="BP18" s="443" t="str">
        <f t="shared" si="46"/>
        <v/>
      </c>
      <c r="BQ18" s="443" t="str">
        <f t="shared" si="47"/>
        <v/>
      </c>
      <c r="BR18" s="443" t="str">
        <f t="shared" si="48"/>
        <v/>
      </c>
      <c r="BS18" s="443" t="str">
        <f t="shared" si="49"/>
        <v/>
      </c>
      <c r="BT18" s="443" t="str">
        <f t="shared" si="50"/>
        <v/>
      </c>
      <c r="BU18" s="443" t="str">
        <f t="shared" si="51"/>
        <v/>
      </c>
      <c r="BV18" s="443" t="str">
        <f t="shared" si="52"/>
        <v/>
      </c>
      <c r="BW18" s="443" t="str">
        <f t="shared" si="53"/>
        <v/>
      </c>
      <c r="BX18" s="443" t="str">
        <f t="shared" si="54"/>
        <v/>
      </c>
      <c r="BY18" s="443" t="str">
        <f t="shared" si="55"/>
        <v/>
      </c>
      <c r="BZ18" s="443" t="str">
        <f t="shared" si="56"/>
        <v/>
      </c>
      <c r="CA18" s="443" t="str">
        <f t="shared" si="57"/>
        <v/>
      </c>
      <c r="CB18" s="443" t="str">
        <f t="shared" si="58"/>
        <v/>
      </c>
      <c r="CC18" s="443" t="str">
        <f t="shared" si="59"/>
        <v/>
      </c>
      <c r="CD18" s="443" t="str">
        <f t="shared" si="60"/>
        <v/>
      </c>
      <c r="CE18" s="443" t="str">
        <f t="shared" si="61"/>
        <v/>
      </c>
      <c r="CF18" s="443" t="str">
        <f t="shared" si="62"/>
        <v/>
      </c>
      <c r="CG18" s="443" t="str">
        <f t="shared" si="63"/>
        <v/>
      </c>
      <c r="CH18" s="443" t="str">
        <f t="shared" si="64"/>
        <v/>
      </c>
      <c r="CI18" s="443" t="str">
        <f t="shared" si="65"/>
        <v/>
      </c>
      <c r="CJ18" s="443" t="str">
        <f t="shared" si="66"/>
        <v/>
      </c>
      <c r="CK18" s="443" t="str">
        <f t="shared" si="67"/>
        <v/>
      </c>
      <c r="CL18" s="443" t="str">
        <f t="shared" si="68"/>
        <v/>
      </c>
      <c r="CM18" s="443" t="str">
        <f t="shared" si="69"/>
        <v/>
      </c>
      <c r="CN18" s="443" t="str">
        <f t="shared" si="70"/>
        <v/>
      </c>
      <c r="CO18" s="443" t="str">
        <f t="shared" si="71"/>
        <v/>
      </c>
      <c r="CP18" s="443" t="str">
        <f t="shared" si="72"/>
        <v/>
      </c>
      <c r="CQ18" s="443" t="str">
        <f t="shared" si="73"/>
        <v/>
      </c>
      <c r="CR18" s="443" t="str">
        <f t="shared" si="74"/>
        <v/>
      </c>
      <c r="CS18" s="443" t="str">
        <f t="shared" si="75"/>
        <v/>
      </c>
      <c r="CT18" s="443" t="str">
        <f t="shared" si="76"/>
        <v/>
      </c>
      <c r="CU18" s="443" t="str">
        <f t="shared" si="77"/>
        <v/>
      </c>
      <c r="CV18" s="443" t="str">
        <f t="shared" si="78"/>
        <v/>
      </c>
      <c r="CW18" s="443" t="str">
        <f t="shared" si="79"/>
        <v/>
      </c>
      <c r="CX18" s="443" t="str">
        <f t="shared" si="80"/>
        <v/>
      </c>
      <c r="CY18" s="443" t="str">
        <f t="shared" si="81"/>
        <v/>
      </c>
      <c r="CZ18" s="443" t="str">
        <f t="shared" si="82"/>
        <v/>
      </c>
      <c r="DA18" s="443" t="str">
        <f t="shared" si="83"/>
        <v/>
      </c>
      <c r="DB18" s="443" t="str">
        <f t="shared" si="84"/>
        <v/>
      </c>
      <c r="DC18" s="443" t="str">
        <f t="shared" si="85"/>
        <v/>
      </c>
      <c r="DD18" s="443" t="str">
        <f t="shared" si="86"/>
        <v/>
      </c>
      <c r="DE18" s="443" t="str">
        <f t="shared" si="87"/>
        <v/>
      </c>
      <c r="DF18" s="443" t="str">
        <f t="shared" si="88"/>
        <v/>
      </c>
      <c r="DG18" s="443" t="str">
        <f t="shared" si="89"/>
        <v/>
      </c>
      <c r="DH18" s="443" t="str">
        <f t="shared" si="90"/>
        <v/>
      </c>
      <c r="DI18" s="443" t="str">
        <f t="shared" si="91"/>
        <v/>
      </c>
      <c r="DJ18" s="443" t="str">
        <f t="shared" si="92"/>
        <v/>
      </c>
      <c r="DK18" s="443" t="str">
        <f t="shared" si="93"/>
        <v/>
      </c>
      <c r="DL18" s="443" t="str">
        <f t="shared" si="94"/>
        <v/>
      </c>
      <c r="DM18" s="443" t="str">
        <f t="shared" si="95"/>
        <v/>
      </c>
      <c r="DN18" s="443" t="str">
        <f t="shared" si="96"/>
        <v/>
      </c>
      <c r="DO18" s="443" t="str">
        <f t="shared" si="97"/>
        <v/>
      </c>
      <c r="DP18" s="443" t="str">
        <f t="shared" si="98"/>
        <v/>
      </c>
      <c r="DQ18" s="443" t="str">
        <f t="shared" si="99"/>
        <v/>
      </c>
      <c r="DR18" s="443" t="str">
        <f t="shared" si="100"/>
        <v/>
      </c>
      <c r="DS18" s="443" t="str">
        <f t="shared" si="101"/>
        <v/>
      </c>
      <c r="DT18" s="443" t="str">
        <f t="shared" si="102"/>
        <v/>
      </c>
      <c r="DU18" s="443" t="str">
        <f t="shared" si="103"/>
        <v/>
      </c>
      <c r="DV18" s="443" t="str">
        <f t="shared" si="104"/>
        <v/>
      </c>
      <c r="DW18" s="443" t="str">
        <f t="shared" si="105"/>
        <v/>
      </c>
      <c r="DX18" s="443" t="str">
        <f t="shared" si="106"/>
        <v/>
      </c>
      <c r="DY18" s="443" t="str">
        <f t="shared" si="107"/>
        <v/>
      </c>
      <c r="DZ18" s="443" t="str">
        <f t="shared" si="108"/>
        <v/>
      </c>
      <c r="EA18" s="443" t="str">
        <f t="shared" si="109"/>
        <v/>
      </c>
      <c r="EB18" s="443" t="str">
        <f t="shared" si="110"/>
        <v/>
      </c>
      <c r="EC18" s="443" t="str">
        <f t="shared" si="111"/>
        <v/>
      </c>
      <c r="ED18" s="443" t="str">
        <f t="shared" si="112"/>
        <v/>
      </c>
      <c r="EE18" s="443" t="str">
        <f t="shared" si="113"/>
        <v/>
      </c>
      <c r="EF18" s="443" t="str">
        <f t="shared" si="114"/>
        <v/>
      </c>
      <c r="EG18" s="443" t="str">
        <f t="shared" si="115"/>
        <v/>
      </c>
      <c r="EH18" s="443" t="str">
        <f t="shared" si="116"/>
        <v/>
      </c>
      <c r="EI18" s="443" t="str">
        <f t="shared" si="117"/>
        <v/>
      </c>
      <c r="EJ18" s="443" t="str">
        <f t="shared" si="118"/>
        <v/>
      </c>
      <c r="EK18" s="443" t="str">
        <f t="shared" si="119"/>
        <v/>
      </c>
      <c r="EL18" s="443" t="str">
        <f t="shared" si="120"/>
        <v/>
      </c>
      <c r="EM18" s="443" t="str">
        <f t="shared" si="121"/>
        <v/>
      </c>
      <c r="EN18" s="443" t="str">
        <f t="shared" si="122"/>
        <v/>
      </c>
      <c r="EO18" s="443" t="str">
        <f t="shared" si="123"/>
        <v/>
      </c>
      <c r="EP18" s="443" t="str">
        <f t="shared" si="124"/>
        <v/>
      </c>
      <c r="EQ18" s="443" t="str">
        <f t="shared" si="125"/>
        <v/>
      </c>
      <c r="ER18" s="443" t="str">
        <f t="shared" si="126"/>
        <v/>
      </c>
      <c r="ES18" s="443" t="str">
        <f t="shared" si="127"/>
        <v/>
      </c>
      <c r="ET18" s="443" t="str">
        <f t="shared" si="128"/>
        <v/>
      </c>
      <c r="EU18" s="443" t="str">
        <f t="shared" si="129"/>
        <v/>
      </c>
      <c r="EV18" s="443" t="str">
        <f t="shared" si="130"/>
        <v/>
      </c>
      <c r="EW18" s="443" t="str">
        <f t="shared" si="131"/>
        <v/>
      </c>
      <c r="EX18" s="443" t="str">
        <f t="shared" si="132"/>
        <v/>
      </c>
      <c r="EY18" s="443" t="str">
        <f t="shared" si="133"/>
        <v/>
      </c>
      <c r="EZ18" s="443" t="str">
        <f t="shared" si="134"/>
        <v/>
      </c>
      <c r="FA18" s="443" t="str">
        <f t="shared" si="135"/>
        <v/>
      </c>
      <c r="FB18" s="443" t="str">
        <f t="shared" si="136"/>
        <v/>
      </c>
      <c r="FC18" s="443" t="str">
        <f t="shared" si="137"/>
        <v/>
      </c>
      <c r="FD18" s="443" t="str">
        <f t="shared" si="138"/>
        <v/>
      </c>
      <c r="FE18" s="443">
        <f t="shared" si="139"/>
        <v>18000</v>
      </c>
      <c r="FF18" s="443" t="str">
        <f t="shared" si="140"/>
        <v/>
      </c>
      <c r="FG18" s="443" t="str">
        <f t="shared" si="141"/>
        <v/>
      </c>
      <c r="FH18" s="443" t="str">
        <f t="shared" si="142"/>
        <v/>
      </c>
      <c r="FI18" s="443" t="str">
        <f t="shared" si="143"/>
        <v/>
      </c>
      <c r="FJ18" s="443" t="str">
        <f t="shared" si="144"/>
        <v/>
      </c>
      <c r="FK18" s="443" t="str">
        <f t="shared" si="145"/>
        <v/>
      </c>
      <c r="FL18" s="443" t="str">
        <f t="shared" si="146"/>
        <v/>
      </c>
      <c r="FM18" s="443" t="str">
        <f t="shared" si="147"/>
        <v/>
      </c>
      <c r="FN18" s="443" t="str">
        <f t="shared" si="148"/>
        <v/>
      </c>
      <c r="FO18" s="443" t="str">
        <f t="shared" si="149"/>
        <v/>
      </c>
      <c r="FP18" s="443" t="str">
        <f t="shared" si="150"/>
        <v/>
      </c>
      <c r="FQ18" s="443" t="str">
        <f t="shared" si="151"/>
        <v/>
      </c>
      <c r="FR18" s="443" t="str">
        <f t="shared" si="152"/>
        <v/>
      </c>
      <c r="FS18" s="443" t="str">
        <f t="shared" si="153"/>
        <v/>
      </c>
      <c r="FT18" s="443" t="str">
        <f t="shared" si="154"/>
        <v/>
      </c>
      <c r="FU18" s="443" t="str">
        <f t="shared" si="155"/>
        <v/>
      </c>
      <c r="FV18" s="443" t="str">
        <f t="shared" si="156"/>
        <v/>
      </c>
      <c r="FW18" s="443" t="str">
        <f t="shared" si="157"/>
        <v/>
      </c>
      <c r="FX18" s="443" t="str">
        <f t="shared" si="158"/>
        <v/>
      </c>
      <c r="FY18" s="443" t="str">
        <f t="shared" si="159"/>
        <v/>
      </c>
      <c r="FZ18" s="443" t="str">
        <f t="shared" si="160"/>
        <v/>
      </c>
      <c r="GA18" s="443" t="str">
        <f t="shared" si="161"/>
        <v/>
      </c>
      <c r="GB18" s="443" t="str">
        <f t="shared" si="162"/>
        <v/>
      </c>
      <c r="GC18" s="443" t="str">
        <f t="shared" si="163"/>
        <v/>
      </c>
      <c r="GD18" s="443" t="str">
        <f t="shared" si="164"/>
        <v/>
      </c>
      <c r="GE18" s="443" t="str">
        <f t="shared" si="165"/>
        <v/>
      </c>
      <c r="GF18" s="443" t="str">
        <f t="shared" si="166"/>
        <v/>
      </c>
      <c r="GG18" s="443" t="str">
        <f t="shared" si="167"/>
        <v/>
      </c>
      <c r="GH18" s="443" t="str">
        <f t="shared" si="168"/>
        <v/>
      </c>
      <c r="GI18" s="443">
        <f t="shared" si="169"/>
        <v>18</v>
      </c>
      <c r="GJ18" s="443" t="str">
        <f t="shared" si="170"/>
        <v/>
      </c>
      <c r="GK18" s="443" t="str">
        <f t="shared" si="171"/>
        <v/>
      </c>
      <c r="GL18" s="443" t="str">
        <f t="shared" si="172"/>
        <v/>
      </c>
      <c r="GM18" s="443" t="str">
        <f t="shared" si="173"/>
        <v/>
      </c>
      <c r="GN18" s="443" t="str">
        <f t="shared" si="174"/>
        <v/>
      </c>
      <c r="GO18" s="443" t="str">
        <f t="shared" si="175"/>
        <v/>
      </c>
      <c r="GP18" s="443" t="str">
        <f t="shared" si="176"/>
        <v/>
      </c>
      <c r="GQ18" s="443" t="str">
        <f t="shared" si="177"/>
        <v/>
      </c>
      <c r="GR18" s="443" t="str">
        <f t="shared" si="178"/>
        <v/>
      </c>
      <c r="GS18" s="443" t="str">
        <f t="shared" si="179"/>
        <v/>
      </c>
      <c r="GT18" s="443" t="str">
        <f t="shared" si="180"/>
        <v/>
      </c>
      <c r="GU18" s="443" t="str">
        <f t="shared" si="181"/>
        <v/>
      </c>
      <c r="GV18" s="443" t="str">
        <f t="shared" si="182"/>
        <v/>
      </c>
      <c r="GW18" s="443" t="str">
        <f t="shared" si="183"/>
        <v/>
      </c>
      <c r="GX18" s="443" t="str">
        <f t="shared" si="184"/>
        <v/>
      </c>
      <c r="GY18" s="443" t="str">
        <f t="shared" si="185"/>
        <v/>
      </c>
      <c r="GZ18" s="443" t="str">
        <f t="shared" si="186"/>
        <v/>
      </c>
      <c r="HA18" s="443" t="str">
        <f t="shared" si="187"/>
        <v/>
      </c>
      <c r="HB18" s="443" t="str">
        <f t="shared" si="188"/>
        <v/>
      </c>
      <c r="HC18" s="443" t="str">
        <f t="shared" si="189"/>
        <v/>
      </c>
      <c r="HD18" s="443" t="str">
        <f t="shared" si="190"/>
        <v/>
      </c>
      <c r="HE18" s="443" t="str">
        <f t="shared" si="191"/>
        <v/>
      </c>
      <c r="HF18" s="443" t="str">
        <f t="shared" si="192"/>
        <v/>
      </c>
      <c r="HG18" s="443" t="str">
        <f t="shared" si="193"/>
        <v/>
      </c>
      <c r="HH18" s="443" t="str">
        <f t="shared" si="194"/>
        <v/>
      </c>
      <c r="HI18" s="443" t="str">
        <f t="shared" si="195"/>
        <v/>
      </c>
      <c r="HJ18" s="443" t="str">
        <f t="shared" si="196"/>
        <v/>
      </c>
      <c r="HK18" s="443" t="str">
        <f t="shared" si="197"/>
        <v/>
      </c>
      <c r="HL18" s="443" t="str">
        <f t="shared" si="198"/>
        <v/>
      </c>
      <c r="HM18" s="443" t="str">
        <f t="shared" si="199"/>
        <v/>
      </c>
      <c r="HN18" s="443" t="str">
        <f t="shared" si="200"/>
        <v/>
      </c>
      <c r="HO18" s="443" t="str">
        <f t="shared" si="201"/>
        <v/>
      </c>
      <c r="HP18" s="443" t="str">
        <f t="shared" si="202"/>
        <v/>
      </c>
      <c r="HQ18" s="443" t="str">
        <f t="shared" si="203"/>
        <v/>
      </c>
      <c r="HR18" s="443" t="str">
        <f t="shared" si="204"/>
        <v/>
      </c>
      <c r="HS18" s="443" t="str">
        <f t="shared" si="205"/>
        <v/>
      </c>
      <c r="HT18" s="443" t="str">
        <f t="shared" si="206"/>
        <v/>
      </c>
      <c r="HU18" s="443" t="str">
        <f t="shared" si="207"/>
        <v/>
      </c>
      <c r="HV18" s="443" t="str">
        <f t="shared" si="208"/>
        <v/>
      </c>
      <c r="HW18" s="443" t="str">
        <f t="shared" si="209"/>
        <v/>
      </c>
      <c r="HX18" s="443" t="str">
        <f t="shared" si="210"/>
        <v/>
      </c>
      <c r="HY18" s="443" t="str">
        <f t="shared" si="211"/>
        <v/>
      </c>
      <c r="HZ18" s="2247" t="str">
        <f t="shared" si="212"/>
        <v/>
      </c>
      <c r="IA18" s="2247" t="str">
        <f t="shared" si="213"/>
        <v/>
      </c>
      <c r="IB18" s="2247">
        <f t="shared" si="214"/>
        <v>18</v>
      </c>
      <c r="IC18" s="2247" t="str">
        <f t="shared" si="215"/>
        <v/>
      </c>
      <c r="ID18" s="2247" t="str">
        <f t="shared" si="216"/>
        <v/>
      </c>
      <c r="IE18" s="2247" t="str">
        <f t="shared" si="217"/>
        <v/>
      </c>
      <c r="IF18" s="2247" t="str">
        <f t="shared" si="218"/>
        <v/>
      </c>
      <c r="IG18" s="2247" t="str">
        <f t="shared" si="219"/>
        <v/>
      </c>
      <c r="IH18" s="2247" t="str">
        <f t="shared" si="220"/>
        <v/>
      </c>
      <c r="II18" s="2247" t="str">
        <f t="shared" si="221"/>
        <v/>
      </c>
      <c r="IJ18" s="2247" t="str">
        <f t="shared" si="222"/>
        <v/>
      </c>
      <c r="IK18" s="2247" t="str">
        <f t="shared" si="223"/>
        <v/>
      </c>
      <c r="IL18" s="2247" t="str">
        <f t="shared" si="224"/>
        <v/>
      </c>
      <c r="IM18" s="2247" t="str">
        <f t="shared" si="225"/>
        <v/>
      </c>
      <c r="IN18" s="2247" t="str">
        <f t="shared" si="226"/>
        <v/>
      </c>
      <c r="IO18" s="2247" t="str">
        <f t="shared" si="227"/>
        <v/>
      </c>
      <c r="IP18" s="2247" t="str">
        <f t="shared" si="228"/>
        <v/>
      </c>
      <c r="IQ18" s="2247" t="str">
        <f t="shared" si="229"/>
        <v/>
      </c>
      <c r="IR18" s="2247" t="str">
        <f t="shared" si="230"/>
        <v/>
      </c>
      <c r="IS18" s="2247" t="str">
        <f t="shared" si="231"/>
        <v/>
      </c>
      <c r="IT18" s="2247" t="str">
        <f t="shared" si="232"/>
        <v/>
      </c>
      <c r="IU18" s="2247" t="str">
        <f t="shared" si="233"/>
        <v/>
      </c>
      <c r="IV18" s="2247" t="str">
        <f t="shared" si="234"/>
        <v/>
      </c>
      <c r="IW18" s="2247" t="str">
        <f t="shared" si="235"/>
        <v/>
      </c>
      <c r="IX18" s="2247" t="str">
        <f t="shared" si="236"/>
        <v/>
      </c>
      <c r="IY18" s="2247" t="str">
        <f t="shared" si="237"/>
        <v/>
      </c>
      <c r="IZ18" s="2247" t="str">
        <f t="shared" si="238"/>
        <v/>
      </c>
      <c r="JA18" s="2247" t="str">
        <f t="shared" si="239"/>
        <v/>
      </c>
      <c r="JB18" s="2247" t="str">
        <f t="shared" si="240"/>
        <v/>
      </c>
      <c r="JC18" s="2247" t="str">
        <f t="shared" si="241"/>
        <v/>
      </c>
      <c r="JD18" s="2247" t="str">
        <f t="shared" si="242"/>
        <v/>
      </c>
      <c r="JE18" s="2247" t="str">
        <f t="shared" si="243"/>
        <v/>
      </c>
      <c r="JF18" s="2247" t="str">
        <f t="shared" si="244"/>
        <v/>
      </c>
      <c r="JG18" s="2247" t="str">
        <f t="shared" si="245"/>
        <v/>
      </c>
      <c r="JH18" s="2247" t="str">
        <f t="shared" si="246"/>
        <v/>
      </c>
      <c r="JI18" s="2247" t="str">
        <f t="shared" si="247"/>
        <v/>
      </c>
      <c r="JJ18" s="2247" t="str">
        <f t="shared" si="248"/>
        <v/>
      </c>
      <c r="JK18" s="2247" t="str">
        <f t="shared" si="249"/>
        <v/>
      </c>
      <c r="JL18" s="2247" t="str">
        <f t="shared" si="250"/>
        <v/>
      </c>
      <c r="JM18" s="2247" t="str">
        <f t="shared" si="251"/>
        <v/>
      </c>
      <c r="JN18" s="2247" t="str">
        <f t="shared" si="252"/>
        <v/>
      </c>
      <c r="JO18" s="2247" t="str">
        <f t="shared" si="253"/>
        <v/>
      </c>
      <c r="JP18" s="2247" t="str">
        <f t="shared" si="254"/>
        <v/>
      </c>
      <c r="JQ18" s="2247" t="str">
        <f t="shared" si="255"/>
        <v/>
      </c>
      <c r="JR18" s="2247" t="str">
        <f t="shared" si="256"/>
        <v/>
      </c>
      <c r="JS18" s="2247" t="str">
        <f t="shared" si="257"/>
        <v/>
      </c>
      <c r="JT18" s="2247" t="str">
        <f t="shared" si="258"/>
        <v/>
      </c>
      <c r="JU18" s="2247" t="str">
        <f t="shared" si="259"/>
        <v/>
      </c>
      <c r="JV18" s="2247" t="str">
        <f t="shared" si="260"/>
        <v/>
      </c>
      <c r="JW18" s="2247" t="str">
        <f t="shared" si="261"/>
        <v/>
      </c>
      <c r="JX18" s="2247" t="str">
        <f t="shared" si="262"/>
        <v/>
      </c>
      <c r="JY18" s="2247" t="str">
        <f t="shared" si="263"/>
        <v/>
      </c>
      <c r="JZ18" s="2247" t="str">
        <f t="shared" si="264"/>
        <v/>
      </c>
      <c r="KA18" s="2247" t="str">
        <f t="shared" si="265"/>
        <v/>
      </c>
      <c r="KB18" s="2247" t="str">
        <f t="shared" si="266"/>
        <v/>
      </c>
      <c r="KC18" s="2247" t="str">
        <f t="shared" si="267"/>
        <v/>
      </c>
      <c r="KD18" s="2247" t="str">
        <f t="shared" si="268"/>
        <v/>
      </c>
      <c r="KE18" s="2247" t="str">
        <f t="shared" si="269"/>
        <v/>
      </c>
      <c r="KF18" s="2247" t="str">
        <f t="shared" si="270"/>
        <v/>
      </c>
      <c r="KG18" s="2247" t="str">
        <f t="shared" si="271"/>
        <v/>
      </c>
      <c r="KH18" s="2247" t="str">
        <f t="shared" si="272"/>
        <v/>
      </c>
      <c r="KI18" s="2247" t="str">
        <f t="shared" si="273"/>
        <v/>
      </c>
      <c r="KJ18" s="2247" t="str">
        <f t="shared" si="274"/>
        <v/>
      </c>
      <c r="KK18" s="2247" t="str">
        <f t="shared" si="275"/>
        <v/>
      </c>
      <c r="KL18" s="2247" t="str">
        <f t="shared" si="276"/>
        <v/>
      </c>
      <c r="KM18" s="2247" t="str">
        <f t="shared" si="277"/>
        <v/>
      </c>
      <c r="KN18" s="2247" t="str">
        <f t="shared" si="278"/>
        <v/>
      </c>
      <c r="KO18" s="2247" t="str">
        <f t="shared" si="279"/>
        <v/>
      </c>
      <c r="KP18" s="2247" t="str">
        <f t="shared" si="280"/>
        <v/>
      </c>
      <c r="KQ18" s="2247" t="str">
        <f t="shared" si="281"/>
        <v/>
      </c>
      <c r="KR18" s="2247" t="str">
        <f t="shared" si="282"/>
        <v/>
      </c>
      <c r="KS18" s="2247" t="str">
        <f t="shared" si="283"/>
        <v/>
      </c>
      <c r="KT18" s="2247" t="str">
        <f t="shared" si="284"/>
        <v/>
      </c>
      <c r="KU18" s="2247" t="str">
        <f t="shared" si="285"/>
        <v/>
      </c>
      <c r="KV18" s="2247" t="str">
        <f t="shared" si="286"/>
        <v/>
      </c>
      <c r="KW18" s="2247" t="str">
        <f t="shared" si="287"/>
        <v/>
      </c>
      <c r="KX18" s="2247" t="str">
        <f t="shared" si="288"/>
        <v/>
      </c>
      <c r="KY18" s="2247" t="str">
        <f t="shared" si="289"/>
        <v/>
      </c>
      <c r="KZ18" s="2247" t="str">
        <f t="shared" si="290"/>
        <v/>
      </c>
      <c r="LA18" s="2247" t="str">
        <f t="shared" si="291"/>
        <v/>
      </c>
      <c r="LB18" s="2247" t="str">
        <f t="shared" si="292"/>
        <v/>
      </c>
      <c r="LC18" s="2247" t="str">
        <f t="shared" si="293"/>
        <v/>
      </c>
      <c r="LD18" s="2247" t="str">
        <f t="shared" si="294"/>
        <v/>
      </c>
      <c r="LE18" s="2247" t="str">
        <f t="shared" si="295"/>
        <v/>
      </c>
      <c r="LF18" s="2247" t="str">
        <f t="shared" si="296"/>
        <v/>
      </c>
      <c r="LG18" s="2247" t="str">
        <f t="shared" si="297"/>
        <v/>
      </c>
      <c r="LH18" s="2247" t="str">
        <f t="shared" si="298"/>
        <v/>
      </c>
      <c r="LI18" s="2247">
        <f t="shared" si="299"/>
        <v>18</v>
      </c>
      <c r="LJ18" s="2247" t="str">
        <f t="shared" si="300"/>
        <v/>
      </c>
      <c r="LK18" s="2247" t="str">
        <f t="shared" si="301"/>
        <v/>
      </c>
      <c r="LL18" s="2247" t="str">
        <f t="shared" si="302"/>
        <v/>
      </c>
      <c r="LM18" s="2247" t="str">
        <f t="shared" si="303"/>
        <v/>
      </c>
      <c r="LN18" s="2247" t="str">
        <f t="shared" si="304"/>
        <v/>
      </c>
      <c r="LO18" s="2247" t="str">
        <f t="shared" si="305"/>
        <v/>
      </c>
      <c r="LP18" s="2247" t="str">
        <f t="shared" si="306"/>
        <v/>
      </c>
      <c r="LQ18" s="2248" t="str">
        <f t="shared" si="307"/>
        <v/>
      </c>
      <c r="LR18" s="2248" t="str">
        <f t="shared" si="308"/>
        <v/>
      </c>
      <c r="LS18" s="2248" t="str">
        <f t="shared" si="309"/>
        <v/>
      </c>
      <c r="LT18" s="2248" t="str">
        <f t="shared" si="310"/>
        <v/>
      </c>
      <c r="LU18" s="2248" t="str">
        <f t="shared" si="311"/>
        <v/>
      </c>
      <c r="LV18" s="443" t="str">
        <f t="shared" si="312"/>
        <v/>
      </c>
      <c r="LW18" s="443" t="str">
        <f t="shared" si="313"/>
        <v/>
      </c>
      <c r="LX18" s="443" t="str">
        <f t="shared" si="314"/>
        <v/>
      </c>
      <c r="LY18" s="443" t="str">
        <f t="shared" si="315"/>
        <v/>
      </c>
      <c r="LZ18" s="443" t="str">
        <f t="shared" si="316"/>
        <v/>
      </c>
      <c r="MA18" s="443" t="str">
        <f t="shared" si="317"/>
        <v/>
      </c>
      <c r="MB18" s="443" t="str">
        <f t="shared" si="318"/>
        <v/>
      </c>
      <c r="MC18" s="443" t="str">
        <f t="shared" si="319"/>
        <v/>
      </c>
      <c r="MD18" s="443" t="str">
        <f t="shared" si="320"/>
        <v/>
      </c>
      <c r="ME18" s="443" t="str">
        <f t="shared" si="321"/>
        <v/>
      </c>
      <c r="MF18" s="443" t="str">
        <f t="shared" si="322"/>
        <v/>
      </c>
      <c r="MG18" s="443" t="str">
        <f t="shared" si="323"/>
        <v/>
      </c>
      <c r="MH18" s="443" t="str">
        <f t="shared" si="324"/>
        <v/>
      </c>
      <c r="MI18" s="443" t="str">
        <f t="shared" si="325"/>
        <v/>
      </c>
      <c r="MJ18" s="443" t="str">
        <f t="shared" si="326"/>
        <v/>
      </c>
      <c r="MK18" s="443" t="str">
        <f t="shared" si="327"/>
        <v/>
      </c>
      <c r="ML18" s="443" t="str">
        <f t="shared" si="328"/>
        <v/>
      </c>
      <c r="MM18" s="443" t="str">
        <f t="shared" si="329"/>
        <v/>
      </c>
      <c r="MN18" s="443" t="str">
        <f t="shared" si="330"/>
        <v/>
      </c>
      <c r="MO18" s="443" t="str">
        <f t="shared" si="331"/>
        <v/>
      </c>
      <c r="MP18" s="2246">
        <f t="shared" si="338"/>
        <v>0</v>
      </c>
      <c r="MQ18" s="2246">
        <f t="shared" si="339"/>
        <v>0</v>
      </c>
      <c r="MR18" s="2246">
        <f t="shared" si="340"/>
        <v>0</v>
      </c>
      <c r="MS18" s="2246">
        <f t="shared" si="341"/>
        <v>0</v>
      </c>
      <c r="MT18" s="2246">
        <f t="shared" si="342"/>
        <v>0</v>
      </c>
      <c r="MU18" s="2246">
        <f t="shared" si="343"/>
        <v>0</v>
      </c>
      <c r="MV18" s="2246">
        <f t="shared" si="344"/>
        <v>0</v>
      </c>
      <c r="MW18" s="2246">
        <f t="shared" si="345"/>
        <v>18</v>
      </c>
      <c r="MX18" s="2246">
        <f t="shared" si="346"/>
        <v>0</v>
      </c>
      <c r="MY18" s="2246">
        <f t="shared" si="347"/>
        <v>0</v>
      </c>
      <c r="MZ18" s="2246">
        <f t="shared" si="332"/>
        <v>0</v>
      </c>
      <c r="NA18" s="2246">
        <f t="shared" si="333"/>
        <v>0</v>
      </c>
      <c r="NB18" s="2246">
        <f t="shared" si="334"/>
        <v>0</v>
      </c>
      <c r="NC18" s="2246">
        <f t="shared" si="335"/>
        <v>0</v>
      </c>
      <c r="ND18" s="2246">
        <f t="shared" si="336"/>
        <v>0</v>
      </c>
    </row>
    <row r="19" spans="1:368" ht="13.95" customHeight="1">
      <c r="A19" s="109">
        <f t="shared" si="337"/>
        <v>1</v>
      </c>
      <c r="B19" s="4015">
        <v>60</v>
      </c>
      <c r="C19" s="3987">
        <v>1</v>
      </c>
      <c r="D19" s="3988">
        <v>1</v>
      </c>
      <c r="E19" s="3989">
        <v>9</v>
      </c>
      <c r="F19" s="3989">
        <v>800</v>
      </c>
      <c r="G19" s="3989">
        <v>671</v>
      </c>
      <c r="H19" s="3989">
        <v>671</v>
      </c>
      <c r="I19" s="3989"/>
      <c r="J19" s="4016">
        <f>IF(C19="",0,HLOOKUP(C19,'Part V-Utility Allowances'!$I$11:$M$22,12))</f>
        <v>121</v>
      </c>
      <c r="K19" s="3991"/>
      <c r="L19" s="567">
        <f t="shared" si="0"/>
        <v>550</v>
      </c>
      <c r="M19" s="567">
        <f t="shared" si="1"/>
        <v>4950</v>
      </c>
      <c r="N19" s="4013" t="s">
        <v>2889</v>
      </c>
      <c r="O19" s="3992" t="s">
        <v>7081</v>
      </c>
      <c r="P19" s="3992" t="s">
        <v>2237</v>
      </c>
      <c r="Q19" s="3993" t="s">
        <v>2889</v>
      </c>
      <c r="R19" s="3994"/>
      <c r="S19" s="3995"/>
      <c r="T19" s="3996"/>
      <c r="U19" s="3997"/>
      <c r="V19" s="3997"/>
      <c r="W19" s="3998"/>
      <c r="X19" s="443" t="str">
        <f t="shared" si="2"/>
        <v/>
      </c>
      <c r="Y19" s="443" t="str">
        <f t="shared" si="3"/>
        <v/>
      </c>
      <c r="Z19" s="443" t="str">
        <f t="shared" si="4"/>
        <v/>
      </c>
      <c r="AA19" s="443" t="str">
        <f t="shared" si="5"/>
        <v/>
      </c>
      <c r="AB19" s="443" t="str">
        <f t="shared" si="6"/>
        <v/>
      </c>
      <c r="AC19" s="443" t="str">
        <f t="shared" si="7"/>
        <v/>
      </c>
      <c r="AD19" s="443" t="str">
        <f t="shared" si="8"/>
        <v/>
      </c>
      <c r="AE19" s="443" t="str">
        <f t="shared" si="9"/>
        <v/>
      </c>
      <c r="AF19" s="443" t="str">
        <f t="shared" si="10"/>
        <v/>
      </c>
      <c r="AG19" s="443" t="str">
        <f t="shared" si="11"/>
        <v/>
      </c>
      <c r="AH19" s="443" t="str">
        <f t="shared" si="12"/>
        <v/>
      </c>
      <c r="AI19" s="443">
        <f t="shared" si="13"/>
        <v>9</v>
      </c>
      <c r="AJ19" s="443" t="str">
        <f t="shared" si="14"/>
        <v/>
      </c>
      <c r="AK19" s="443" t="str">
        <f t="shared" si="15"/>
        <v/>
      </c>
      <c r="AL19" s="443" t="str">
        <f t="shared" si="16"/>
        <v/>
      </c>
      <c r="AM19" s="443" t="str">
        <f t="shared" si="17"/>
        <v/>
      </c>
      <c r="AN19" s="443" t="str">
        <f t="shared" si="18"/>
        <v/>
      </c>
      <c r="AO19" s="443" t="str">
        <f t="shared" si="19"/>
        <v/>
      </c>
      <c r="AP19" s="443" t="str">
        <f t="shared" si="20"/>
        <v/>
      </c>
      <c r="AQ19" s="443" t="str">
        <f t="shared" si="21"/>
        <v/>
      </c>
      <c r="AR19" s="443" t="str">
        <f t="shared" si="22"/>
        <v/>
      </c>
      <c r="AS19" s="443" t="str">
        <f t="shared" si="23"/>
        <v/>
      </c>
      <c r="AT19" s="443" t="str">
        <f t="shared" si="24"/>
        <v/>
      </c>
      <c r="AU19" s="443" t="str">
        <f t="shared" si="25"/>
        <v/>
      </c>
      <c r="AV19" s="443" t="str">
        <f t="shared" si="26"/>
        <v/>
      </c>
      <c r="AW19" s="443" t="str">
        <f t="shared" si="27"/>
        <v/>
      </c>
      <c r="AX19" s="443" t="str">
        <f t="shared" si="28"/>
        <v/>
      </c>
      <c r="AY19" s="443" t="str">
        <f t="shared" si="29"/>
        <v/>
      </c>
      <c r="AZ19" s="443" t="str">
        <f t="shared" si="30"/>
        <v/>
      </c>
      <c r="BA19" s="443" t="str">
        <f t="shared" si="31"/>
        <v/>
      </c>
      <c r="BB19" s="443" t="str">
        <f t="shared" si="32"/>
        <v/>
      </c>
      <c r="BC19" s="443" t="str">
        <f t="shared" si="33"/>
        <v/>
      </c>
      <c r="BD19" s="443" t="str">
        <f t="shared" si="34"/>
        <v/>
      </c>
      <c r="BE19" s="443" t="str">
        <f t="shared" si="35"/>
        <v/>
      </c>
      <c r="BF19" s="443" t="str">
        <f t="shared" si="36"/>
        <v/>
      </c>
      <c r="BG19" s="443" t="str">
        <f t="shared" si="37"/>
        <v/>
      </c>
      <c r="BH19" s="443" t="str">
        <f t="shared" si="38"/>
        <v/>
      </c>
      <c r="BI19" s="443" t="str">
        <f t="shared" si="39"/>
        <v/>
      </c>
      <c r="BJ19" s="443" t="str">
        <f t="shared" si="40"/>
        <v/>
      </c>
      <c r="BK19" s="443" t="str">
        <f t="shared" si="41"/>
        <v/>
      </c>
      <c r="BL19" s="443" t="str">
        <f t="shared" si="42"/>
        <v/>
      </c>
      <c r="BM19" s="443" t="str">
        <f t="shared" si="43"/>
        <v/>
      </c>
      <c r="BN19" s="443" t="str">
        <f t="shared" si="44"/>
        <v/>
      </c>
      <c r="BO19" s="443" t="str">
        <f t="shared" si="45"/>
        <v/>
      </c>
      <c r="BP19" s="443" t="str">
        <f t="shared" si="46"/>
        <v/>
      </c>
      <c r="BQ19" s="443" t="str">
        <f t="shared" si="47"/>
        <v/>
      </c>
      <c r="BR19" s="443" t="str">
        <f t="shared" si="48"/>
        <v/>
      </c>
      <c r="BS19" s="443" t="str">
        <f t="shared" si="49"/>
        <v/>
      </c>
      <c r="BT19" s="443" t="str">
        <f t="shared" si="50"/>
        <v/>
      </c>
      <c r="BU19" s="443" t="str">
        <f t="shared" si="51"/>
        <v/>
      </c>
      <c r="BV19" s="443" t="str">
        <f t="shared" si="52"/>
        <v/>
      </c>
      <c r="BW19" s="443" t="str">
        <f t="shared" si="53"/>
        <v/>
      </c>
      <c r="BX19" s="443" t="str">
        <f t="shared" si="54"/>
        <v/>
      </c>
      <c r="BY19" s="443" t="str">
        <f t="shared" si="55"/>
        <v/>
      </c>
      <c r="BZ19" s="443" t="str">
        <f t="shared" si="56"/>
        <v/>
      </c>
      <c r="CA19" s="443" t="str">
        <f t="shared" si="57"/>
        <v/>
      </c>
      <c r="CB19" s="443" t="str">
        <f t="shared" si="58"/>
        <v/>
      </c>
      <c r="CC19" s="443" t="str">
        <f t="shared" si="59"/>
        <v/>
      </c>
      <c r="CD19" s="443" t="str">
        <f t="shared" si="60"/>
        <v/>
      </c>
      <c r="CE19" s="443" t="str">
        <f t="shared" si="61"/>
        <v/>
      </c>
      <c r="CF19" s="443" t="str">
        <f t="shared" si="62"/>
        <v/>
      </c>
      <c r="CG19" s="443" t="str">
        <f t="shared" si="63"/>
        <v/>
      </c>
      <c r="CH19" s="443" t="str">
        <f t="shared" si="64"/>
        <v/>
      </c>
      <c r="CI19" s="443" t="str">
        <f t="shared" si="65"/>
        <v/>
      </c>
      <c r="CJ19" s="443" t="str">
        <f t="shared" si="66"/>
        <v/>
      </c>
      <c r="CK19" s="443" t="str">
        <f t="shared" si="67"/>
        <v/>
      </c>
      <c r="CL19" s="443" t="str">
        <f t="shared" si="68"/>
        <v/>
      </c>
      <c r="CM19" s="443" t="str">
        <f t="shared" si="69"/>
        <v/>
      </c>
      <c r="CN19" s="443" t="str">
        <f t="shared" si="70"/>
        <v/>
      </c>
      <c r="CO19" s="443" t="str">
        <f t="shared" si="71"/>
        <v/>
      </c>
      <c r="CP19" s="443" t="str">
        <f t="shared" si="72"/>
        <v/>
      </c>
      <c r="CQ19" s="443" t="str">
        <f t="shared" si="73"/>
        <v/>
      </c>
      <c r="CR19" s="443" t="str">
        <f t="shared" si="74"/>
        <v/>
      </c>
      <c r="CS19" s="443" t="str">
        <f t="shared" si="75"/>
        <v/>
      </c>
      <c r="CT19" s="443" t="str">
        <f t="shared" si="76"/>
        <v/>
      </c>
      <c r="CU19" s="443" t="str">
        <f t="shared" si="77"/>
        <v/>
      </c>
      <c r="CV19" s="443" t="str">
        <f t="shared" si="78"/>
        <v/>
      </c>
      <c r="CW19" s="443" t="str">
        <f t="shared" si="79"/>
        <v/>
      </c>
      <c r="CX19" s="443" t="str">
        <f t="shared" si="80"/>
        <v/>
      </c>
      <c r="CY19" s="443" t="str">
        <f t="shared" si="81"/>
        <v/>
      </c>
      <c r="CZ19" s="443" t="str">
        <f t="shared" si="82"/>
        <v/>
      </c>
      <c r="DA19" s="443" t="str">
        <f t="shared" si="83"/>
        <v/>
      </c>
      <c r="DB19" s="443" t="str">
        <f t="shared" si="84"/>
        <v/>
      </c>
      <c r="DC19" s="443" t="str">
        <f t="shared" si="85"/>
        <v/>
      </c>
      <c r="DD19" s="443" t="str">
        <f t="shared" si="86"/>
        <v/>
      </c>
      <c r="DE19" s="443" t="str">
        <f t="shared" si="87"/>
        <v/>
      </c>
      <c r="DF19" s="443" t="str">
        <f t="shared" si="88"/>
        <v/>
      </c>
      <c r="DG19" s="443" t="str">
        <f t="shared" si="89"/>
        <v/>
      </c>
      <c r="DH19" s="443" t="str">
        <f t="shared" si="90"/>
        <v/>
      </c>
      <c r="DI19" s="443" t="str">
        <f t="shared" si="91"/>
        <v/>
      </c>
      <c r="DJ19" s="443" t="str">
        <f t="shared" si="92"/>
        <v/>
      </c>
      <c r="DK19" s="443" t="str">
        <f t="shared" si="93"/>
        <v/>
      </c>
      <c r="DL19" s="443" t="str">
        <f t="shared" si="94"/>
        <v/>
      </c>
      <c r="DM19" s="443" t="str">
        <f t="shared" si="95"/>
        <v/>
      </c>
      <c r="DN19" s="443" t="str">
        <f t="shared" si="96"/>
        <v/>
      </c>
      <c r="DO19" s="443" t="str">
        <f t="shared" si="97"/>
        <v/>
      </c>
      <c r="DP19" s="443" t="str">
        <f t="shared" si="98"/>
        <v/>
      </c>
      <c r="DQ19" s="443" t="str">
        <f t="shared" si="99"/>
        <v/>
      </c>
      <c r="DR19" s="443" t="str">
        <f t="shared" si="100"/>
        <v/>
      </c>
      <c r="DS19" s="443" t="str">
        <f t="shared" si="101"/>
        <v/>
      </c>
      <c r="DT19" s="443" t="str">
        <f t="shared" si="102"/>
        <v/>
      </c>
      <c r="DU19" s="443" t="str">
        <f t="shared" si="103"/>
        <v/>
      </c>
      <c r="DV19" s="443" t="str">
        <f t="shared" si="104"/>
        <v/>
      </c>
      <c r="DW19" s="443" t="str">
        <f t="shared" si="105"/>
        <v/>
      </c>
      <c r="DX19" s="443" t="str">
        <f t="shared" si="106"/>
        <v/>
      </c>
      <c r="DY19" s="443" t="str">
        <f t="shared" si="107"/>
        <v/>
      </c>
      <c r="DZ19" s="443" t="str">
        <f t="shared" si="108"/>
        <v/>
      </c>
      <c r="EA19" s="443" t="str">
        <f t="shared" si="109"/>
        <v/>
      </c>
      <c r="EB19" s="443" t="str">
        <f t="shared" si="110"/>
        <v/>
      </c>
      <c r="EC19" s="443" t="str">
        <f t="shared" si="111"/>
        <v/>
      </c>
      <c r="ED19" s="443" t="str">
        <f t="shared" si="112"/>
        <v/>
      </c>
      <c r="EE19" s="443" t="str">
        <f t="shared" si="113"/>
        <v/>
      </c>
      <c r="EF19" s="443" t="str">
        <f t="shared" si="114"/>
        <v/>
      </c>
      <c r="EG19" s="443" t="str">
        <f t="shared" si="115"/>
        <v/>
      </c>
      <c r="EH19" s="443" t="str">
        <f t="shared" si="116"/>
        <v/>
      </c>
      <c r="EI19" s="443" t="str">
        <f t="shared" si="117"/>
        <v/>
      </c>
      <c r="EJ19" s="443" t="str">
        <f t="shared" si="118"/>
        <v/>
      </c>
      <c r="EK19" s="443" t="str">
        <f t="shared" si="119"/>
        <v/>
      </c>
      <c r="EL19" s="443" t="str">
        <f t="shared" si="120"/>
        <v/>
      </c>
      <c r="EM19" s="443" t="str">
        <f t="shared" si="121"/>
        <v/>
      </c>
      <c r="EN19" s="443" t="str">
        <f t="shared" si="122"/>
        <v/>
      </c>
      <c r="EO19" s="443" t="str">
        <f t="shared" si="123"/>
        <v/>
      </c>
      <c r="EP19" s="443" t="str">
        <f t="shared" si="124"/>
        <v/>
      </c>
      <c r="EQ19" s="443" t="str">
        <f t="shared" si="125"/>
        <v/>
      </c>
      <c r="ER19" s="443" t="str">
        <f t="shared" si="126"/>
        <v/>
      </c>
      <c r="ES19" s="443" t="str">
        <f t="shared" si="127"/>
        <v/>
      </c>
      <c r="ET19" s="443">
        <f t="shared" si="128"/>
        <v>7200</v>
      </c>
      <c r="EU19" s="443" t="str">
        <f t="shared" si="129"/>
        <v/>
      </c>
      <c r="EV19" s="443" t="str">
        <f t="shared" si="130"/>
        <v/>
      </c>
      <c r="EW19" s="443" t="str">
        <f t="shared" si="131"/>
        <v/>
      </c>
      <c r="EX19" s="443" t="str">
        <f t="shared" si="132"/>
        <v/>
      </c>
      <c r="EY19" s="443" t="str">
        <f t="shared" si="133"/>
        <v/>
      </c>
      <c r="EZ19" s="443" t="str">
        <f t="shared" si="134"/>
        <v/>
      </c>
      <c r="FA19" s="443" t="str">
        <f t="shared" si="135"/>
        <v/>
      </c>
      <c r="FB19" s="443" t="str">
        <f t="shared" si="136"/>
        <v/>
      </c>
      <c r="FC19" s="443" t="str">
        <f t="shared" si="137"/>
        <v/>
      </c>
      <c r="FD19" s="443" t="str">
        <f t="shared" si="138"/>
        <v/>
      </c>
      <c r="FE19" s="443" t="str">
        <f t="shared" si="139"/>
        <v/>
      </c>
      <c r="FF19" s="443" t="str">
        <f t="shared" si="140"/>
        <v/>
      </c>
      <c r="FG19" s="443" t="str">
        <f t="shared" si="141"/>
        <v/>
      </c>
      <c r="FH19" s="443" t="str">
        <f t="shared" si="142"/>
        <v/>
      </c>
      <c r="FI19" s="443" t="str">
        <f t="shared" si="143"/>
        <v/>
      </c>
      <c r="FJ19" s="443" t="str">
        <f t="shared" si="144"/>
        <v/>
      </c>
      <c r="FK19" s="443" t="str">
        <f t="shared" si="145"/>
        <v/>
      </c>
      <c r="FL19" s="443" t="str">
        <f t="shared" si="146"/>
        <v/>
      </c>
      <c r="FM19" s="443" t="str">
        <f t="shared" si="147"/>
        <v/>
      </c>
      <c r="FN19" s="443" t="str">
        <f t="shared" si="148"/>
        <v/>
      </c>
      <c r="FO19" s="443" t="str">
        <f t="shared" si="149"/>
        <v/>
      </c>
      <c r="FP19" s="443" t="str">
        <f t="shared" si="150"/>
        <v/>
      </c>
      <c r="FQ19" s="443" t="str">
        <f t="shared" si="151"/>
        <v/>
      </c>
      <c r="FR19" s="443" t="str">
        <f t="shared" si="152"/>
        <v/>
      </c>
      <c r="FS19" s="443" t="str">
        <f t="shared" si="153"/>
        <v/>
      </c>
      <c r="FT19" s="443" t="str">
        <f t="shared" si="154"/>
        <v/>
      </c>
      <c r="FU19" s="443" t="str">
        <f t="shared" si="155"/>
        <v/>
      </c>
      <c r="FV19" s="443" t="str">
        <f t="shared" si="156"/>
        <v/>
      </c>
      <c r="FW19" s="443" t="str">
        <f t="shared" si="157"/>
        <v/>
      </c>
      <c r="FX19" s="443" t="str">
        <f t="shared" si="158"/>
        <v/>
      </c>
      <c r="FY19" s="443" t="str">
        <f t="shared" si="159"/>
        <v/>
      </c>
      <c r="FZ19" s="443" t="str">
        <f t="shared" si="160"/>
        <v/>
      </c>
      <c r="GA19" s="443" t="str">
        <f t="shared" si="161"/>
        <v/>
      </c>
      <c r="GB19" s="443" t="str">
        <f t="shared" si="162"/>
        <v/>
      </c>
      <c r="GC19" s="443" t="str">
        <f t="shared" si="163"/>
        <v/>
      </c>
      <c r="GD19" s="443" t="str">
        <f t="shared" si="164"/>
        <v/>
      </c>
      <c r="GE19" s="443" t="str">
        <f t="shared" si="165"/>
        <v/>
      </c>
      <c r="GF19" s="443" t="str">
        <f t="shared" si="166"/>
        <v/>
      </c>
      <c r="GG19" s="443" t="str">
        <f t="shared" si="167"/>
        <v/>
      </c>
      <c r="GH19" s="443">
        <f t="shared" si="168"/>
        <v>9</v>
      </c>
      <c r="GI19" s="443" t="str">
        <f t="shared" si="169"/>
        <v/>
      </c>
      <c r="GJ19" s="443" t="str">
        <f t="shared" si="170"/>
        <v/>
      </c>
      <c r="GK19" s="443" t="str">
        <f t="shared" si="171"/>
        <v/>
      </c>
      <c r="GL19" s="443" t="str">
        <f t="shared" si="172"/>
        <v/>
      </c>
      <c r="GM19" s="443" t="str">
        <f t="shared" si="173"/>
        <v/>
      </c>
      <c r="GN19" s="443" t="str">
        <f t="shared" si="174"/>
        <v/>
      </c>
      <c r="GO19" s="443" t="str">
        <f t="shared" si="175"/>
        <v/>
      </c>
      <c r="GP19" s="443" t="str">
        <f t="shared" si="176"/>
        <v/>
      </c>
      <c r="GQ19" s="443" t="str">
        <f t="shared" si="177"/>
        <v/>
      </c>
      <c r="GR19" s="443" t="str">
        <f t="shared" si="178"/>
        <v/>
      </c>
      <c r="GS19" s="443" t="str">
        <f t="shared" si="179"/>
        <v/>
      </c>
      <c r="GT19" s="443" t="str">
        <f t="shared" si="180"/>
        <v/>
      </c>
      <c r="GU19" s="443" t="str">
        <f t="shared" si="181"/>
        <v/>
      </c>
      <c r="GV19" s="443" t="str">
        <f t="shared" si="182"/>
        <v/>
      </c>
      <c r="GW19" s="443" t="str">
        <f t="shared" si="183"/>
        <v/>
      </c>
      <c r="GX19" s="443" t="str">
        <f t="shared" si="184"/>
        <v/>
      </c>
      <c r="GY19" s="443" t="str">
        <f t="shared" si="185"/>
        <v/>
      </c>
      <c r="GZ19" s="443" t="str">
        <f t="shared" si="186"/>
        <v/>
      </c>
      <c r="HA19" s="443" t="str">
        <f t="shared" si="187"/>
        <v/>
      </c>
      <c r="HB19" s="443" t="str">
        <f t="shared" si="188"/>
        <v/>
      </c>
      <c r="HC19" s="443" t="str">
        <f t="shared" si="189"/>
        <v/>
      </c>
      <c r="HD19" s="443" t="str">
        <f t="shared" si="190"/>
        <v/>
      </c>
      <c r="HE19" s="443" t="str">
        <f t="shared" si="191"/>
        <v/>
      </c>
      <c r="HF19" s="443" t="str">
        <f t="shared" si="192"/>
        <v/>
      </c>
      <c r="HG19" s="443" t="str">
        <f t="shared" si="193"/>
        <v/>
      </c>
      <c r="HH19" s="443" t="str">
        <f t="shared" si="194"/>
        <v/>
      </c>
      <c r="HI19" s="443" t="str">
        <f t="shared" si="195"/>
        <v/>
      </c>
      <c r="HJ19" s="443" t="str">
        <f t="shared" si="196"/>
        <v/>
      </c>
      <c r="HK19" s="443" t="str">
        <f t="shared" si="197"/>
        <v/>
      </c>
      <c r="HL19" s="443" t="str">
        <f t="shared" si="198"/>
        <v/>
      </c>
      <c r="HM19" s="443" t="str">
        <f t="shared" si="199"/>
        <v/>
      </c>
      <c r="HN19" s="443" t="str">
        <f t="shared" si="200"/>
        <v/>
      </c>
      <c r="HO19" s="443" t="str">
        <f t="shared" si="201"/>
        <v/>
      </c>
      <c r="HP19" s="443" t="str">
        <f t="shared" si="202"/>
        <v/>
      </c>
      <c r="HQ19" s="443" t="str">
        <f t="shared" si="203"/>
        <v/>
      </c>
      <c r="HR19" s="443" t="str">
        <f t="shared" si="204"/>
        <v/>
      </c>
      <c r="HS19" s="443" t="str">
        <f t="shared" si="205"/>
        <v/>
      </c>
      <c r="HT19" s="443" t="str">
        <f t="shared" si="206"/>
        <v/>
      </c>
      <c r="HU19" s="443" t="str">
        <f t="shared" si="207"/>
        <v/>
      </c>
      <c r="HV19" s="443" t="str">
        <f t="shared" si="208"/>
        <v/>
      </c>
      <c r="HW19" s="443" t="str">
        <f t="shared" si="209"/>
        <v/>
      </c>
      <c r="HX19" s="443" t="str">
        <f t="shared" si="210"/>
        <v/>
      </c>
      <c r="HY19" s="443" t="str">
        <f t="shared" si="211"/>
        <v/>
      </c>
      <c r="HZ19" s="2247" t="str">
        <f t="shared" si="212"/>
        <v/>
      </c>
      <c r="IA19" s="2247">
        <f t="shared" si="213"/>
        <v>9</v>
      </c>
      <c r="IB19" s="2247" t="str">
        <f t="shared" si="214"/>
        <v/>
      </c>
      <c r="IC19" s="2247" t="str">
        <f t="shared" si="215"/>
        <v/>
      </c>
      <c r="ID19" s="2247" t="str">
        <f t="shared" si="216"/>
        <v/>
      </c>
      <c r="IE19" s="2247" t="str">
        <f t="shared" si="217"/>
        <v/>
      </c>
      <c r="IF19" s="2247" t="str">
        <f t="shared" si="218"/>
        <v/>
      </c>
      <c r="IG19" s="2247" t="str">
        <f t="shared" si="219"/>
        <v/>
      </c>
      <c r="IH19" s="2247" t="str">
        <f t="shared" si="220"/>
        <v/>
      </c>
      <c r="II19" s="2247" t="str">
        <f t="shared" si="221"/>
        <v/>
      </c>
      <c r="IJ19" s="2247" t="str">
        <f t="shared" si="222"/>
        <v/>
      </c>
      <c r="IK19" s="2247" t="str">
        <f t="shared" si="223"/>
        <v/>
      </c>
      <c r="IL19" s="2247" t="str">
        <f t="shared" si="224"/>
        <v/>
      </c>
      <c r="IM19" s="2247" t="str">
        <f t="shared" si="225"/>
        <v/>
      </c>
      <c r="IN19" s="2247" t="str">
        <f t="shared" si="226"/>
        <v/>
      </c>
      <c r="IO19" s="2247" t="str">
        <f t="shared" si="227"/>
        <v/>
      </c>
      <c r="IP19" s="2247" t="str">
        <f t="shared" si="228"/>
        <v/>
      </c>
      <c r="IQ19" s="2247" t="str">
        <f t="shared" si="229"/>
        <v/>
      </c>
      <c r="IR19" s="2247" t="str">
        <f t="shared" si="230"/>
        <v/>
      </c>
      <c r="IS19" s="2247" t="str">
        <f t="shared" si="231"/>
        <v/>
      </c>
      <c r="IT19" s="2247" t="str">
        <f t="shared" si="232"/>
        <v/>
      </c>
      <c r="IU19" s="2247" t="str">
        <f t="shared" si="233"/>
        <v/>
      </c>
      <c r="IV19" s="2247" t="str">
        <f t="shared" si="234"/>
        <v/>
      </c>
      <c r="IW19" s="2247" t="str">
        <f t="shared" si="235"/>
        <v/>
      </c>
      <c r="IX19" s="2247" t="str">
        <f t="shared" si="236"/>
        <v/>
      </c>
      <c r="IY19" s="2247" t="str">
        <f t="shared" si="237"/>
        <v/>
      </c>
      <c r="IZ19" s="2247" t="str">
        <f t="shared" si="238"/>
        <v/>
      </c>
      <c r="JA19" s="2247" t="str">
        <f t="shared" si="239"/>
        <v/>
      </c>
      <c r="JB19" s="2247" t="str">
        <f t="shared" si="240"/>
        <v/>
      </c>
      <c r="JC19" s="2247" t="str">
        <f t="shared" si="241"/>
        <v/>
      </c>
      <c r="JD19" s="2247" t="str">
        <f t="shared" si="242"/>
        <v/>
      </c>
      <c r="JE19" s="2247" t="str">
        <f t="shared" si="243"/>
        <v/>
      </c>
      <c r="JF19" s="2247" t="str">
        <f t="shared" si="244"/>
        <v/>
      </c>
      <c r="JG19" s="2247" t="str">
        <f t="shared" si="245"/>
        <v/>
      </c>
      <c r="JH19" s="2247" t="str">
        <f t="shared" si="246"/>
        <v/>
      </c>
      <c r="JI19" s="2247" t="str">
        <f t="shared" si="247"/>
        <v/>
      </c>
      <c r="JJ19" s="2247" t="str">
        <f t="shared" si="248"/>
        <v/>
      </c>
      <c r="JK19" s="2247" t="str">
        <f t="shared" si="249"/>
        <v/>
      </c>
      <c r="JL19" s="2247" t="str">
        <f t="shared" si="250"/>
        <v/>
      </c>
      <c r="JM19" s="2247" t="str">
        <f t="shared" si="251"/>
        <v/>
      </c>
      <c r="JN19" s="2247" t="str">
        <f t="shared" si="252"/>
        <v/>
      </c>
      <c r="JO19" s="2247" t="str">
        <f t="shared" si="253"/>
        <v/>
      </c>
      <c r="JP19" s="2247" t="str">
        <f t="shared" si="254"/>
        <v/>
      </c>
      <c r="JQ19" s="2247" t="str">
        <f t="shared" si="255"/>
        <v/>
      </c>
      <c r="JR19" s="2247" t="str">
        <f t="shared" si="256"/>
        <v/>
      </c>
      <c r="JS19" s="2247" t="str">
        <f t="shared" si="257"/>
        <v/>
      </c>
      <c r="JT19" s="2247" t="str">
        <f t="shared" si="258"/>
        <v/>
      </c>
      <c r="JU19" s="2247" t="str">
        <f t="shared" si="259"/>
        <v/>
      </c>
      <c r="JV19" s="2247" t="str">
        <f t="shared" si="260"/>
        <v/>
      </c>
      <c r="JW19" s="2247" t="str">
        <f t="shared" si="261"/>
        <v/>
      </c>
      <c r="JX19" s="2247" t="str">
        <f t="shared" si="262"/>
        <v/>
      </c>
      <c r="JY19" s="2247" t="str">
        <f t="shared" si="263"/>
        <v/>
      </c>
      <c r="JZ19" s="2247" t="str">
        <f t="shared" si="264"/>
        <v/>
      </c>
      <c r="KA19" s="2247" t="str">
        <f t="shared" si="265"/>
        <v/>
      </c>
      <c r="KB19" s="2247" t="str">
        <f t="shared" si="266"/>
        <v/>
      </c>
      <c r="KC19" s="2247" t="str">
        <f t="shared" si="267"/>
        <v/>
      </c>
      <c r="KD19" s="2247" t="str">
        <f t="shared" si="268"/>
        <v/>
      </c>
      <c r="KE19" s="2247" t="str">
        <f t="shared" si="269"/>
        <v/>
      </c>
      <c r="KF19" s="2247" t="str">
        <f t="shared" si="270"/>
        <v/>
      </c>
      <c r="KG19" s="2247" t="str">
        <f t="shared" si="271"/>
        <v/>
      </c>
      <c r="KH19" s="2247" t="str">
        <f t="shared" si="272"/>
        <v/>
      </c>
      <c r="KI19" s="2247" t="str">
        <f t="shared" si="273"/>
        <v/>
      </c>
      <c r="KJ19" s="2247" t="str">
        <f t="shared" si="274"/>
        <v/>
      </c>
      <c r="KK19" s="2247" t="str">
        <f t="shared" si="275"/>
        <v/>
      </c>
      <c r="KL19" s="2247" t="str">
        <f t="shared" si="276"/>
        <v/>
      </c>
      <c r="KM19" s="2247" t="str">
        <f t="shared" si="277"/>
        <v/>
      </c>
      <c r="KN19" s="2247" t="str">
        <f t="shared" si="278"/>
        <v/>
      </c>
      <c r="KO19" s="2247" t="str">
        <f t="shared" si="279"/>
        <v/>
      </c>
      <c r="KP19" s="2247" t="str">
        <f t="shared" si="280"/>
        <v/>
      </c>
      <c r="KQ19" s="2247" t="str">
        <f t="shared" si="281"/>
        <v/>
      </c>
      <c r="KR19" s="2247" t="str">
        <f t="shared" si="282"/>
        <v/>
      </c>
      <c r="KS19" s="2247" t="str">
        <f t="shared" si="283"/>
        <v/>
      </c>
      <c r="KT19" s="2247" t="str">
        <f t="shared" si="284"/>
        <v/>
      </c>
      <c r="KU19" s="2247" t="str">
        <f t="shared" si="285"/>
        <v/>
      </c>
      <c r="KV19" s="2247" t="str">
        <f t="shared" si="286"/>
        <v/>
      </c>
      <c r="KW19" s="2247" t="str">
        <f t="shared" si="287"/>
        <v/>
      </c>
      <c r="KX19" s="2247" t="str">
        <f t="shared" si="288"/>
        <v/>
      </c>
      <c r="KY19" s="2247" t="str">
        <f t="shared" si="289"/>
        <v/>
      </c>
      <c r="KZ19" s="2247" t="str">
        <f t="shared" si="290"/>
        <v/>
      </c>
      <c r="LA19" s="2247" t="str">
        <f t="shared" si="291"/>
        <v/>
      </c>
      <c r="LB19" s="2247" t="str">
        <f t="shared" si="292"/>
        <v/>
      </c>
      <c r="LC19" s="2247" t="str">
        <f t="shared" si="293"/>
        <v/>
      </c>
      <c r="LD19" s="2247" t="str">
        <f t="shared" si="294"/>
        <v/>
      </c>
      <c r="LE19" s="2247" t="str">
        <f t="shared" si="295"/>
        <v/>
      </c>
      <c r="LF19" s="2247" t="str">
        <f t="shared" si="296"/>
        <v/>
      </c>
      <c r="LG19" s="2247" t="str">
        <f t="shared" si="297"/>
        <v/>
      </c>
      <c r="LH19" s="2247">
        <f t="shared" si="298"/>
        <v>9</v>
      </c>
      <c r="LI19" s="2247" t="str">
        <f t="shared" si="299"/>
        <v/>
      </c>
      <c r="LJ19" s="2247" t="str">
        <f t="shared" si="300"/>
        <v/>
      </c>
      <c r="LK19" s="2247" t="str">
        <f t="shared" si="301"/>
        <v/>
      </c>
      <c r="LL19" s="2247" t="str">
        <f t="shared" si="302"/>
        <v/>
      </c>
      <c r="LM19" s="2247" t="str">
        <f t="shared" si="303"/>
        <v/>
      </c>
      <c r="LN19" s="2247" t="str">
        <f t="shared" si="304"/>
        <v/>
      </c>
      <c r="LO19" s="2247" t="str">
        <f t="shared" si="305"/>
        <v/>
      </c>
      <c r="LP19" s="2247" t="str">
        <f t="shared" si="306"/>
        <v/>
      </c>
      <c r="LQ19" s="2248" t="str">
        <f t="shared" si="307"/>
        <v/>
      </c>
      <c r="LR19" s="2248" t="str">
        <f t="shared" si="308"/>
        <v/>
      </c>
      <c r="LS19" s="2248" t="str">
        <f t="shared" si="309"/>
        <v/>
      </c>
      <c r="LT19" s="2248" t="str">
        <f t="shared" si="310"/>
        <v/>
      </c>
      <c r="LU19" s="2248" t="str">
        <f t="shared" si="311"/>
        <v/>
      </c>
      <c r="LV19" s="443" t="str">
        <f t="shared" si="312"/>
        <v/>
      </c>
      <c r="LW19" s="443" t="str">
        <f t="shared" si="313"/>
        <v/>
      </c>
      <c r="LX19" s="443" t="str">
        <f t="shared" si="314"/>
        <v/>
      </c>
      <c r="LY19" s="443" t="str">
        <f t="shared" si="315"/>
        <v/>
      </c>
      <c r="LZ19" s="443" t="str">
        <f t="shared" si="316"/>
        <v/>
      </c>
      <c r="MA19" s="443" t="str">
        <f t="shared" si="317"/>
        <v/>
      </c>
      <c r="MB19" s="443" t="str">
        <f t="shared" si="318"/>
        <v/>
      </c>
      <c r="MC19" s="443" t="str">
        <f t="shared" si="319"/>
        <v/>
      </c>
      <c r="MD19" s="443" t="str">
        <f t="shared" si="320"/>
        <v/>
      </c>
      <c r="ME19" s="443" t="str">
        <f t="shared" si="321"/>
        <v/>
      </c>
      <c r="MF19" s="443" t="str">
        <f t="shared" si="322"/>
        <v/>
      </c>
      <c r="MG19" s="443" t="str">
        <f t="shared" si="323"/>
        <v/>
      </c>
      <c r="MH19" s="443" t="str">
        <f t="shared" si="324"/>
        <v/>
      </c>
      <c r="MI19" s="443" t="str">
        <f t="shared" si="325"/>
        <v/>
      </c>
      <c r="MJ19" s="443" t="str">
        <f t="shared" si="326"/>
        <v/>
      </c>
      <c r="MK19" s="443" t="str">
        <f t="shared" si="327"/>
        <v/>
      </c>
      <c r="ML19" s="443" t="str">
        <f t="shared" si="328"/>
        <v/>
      </c>
      <c r="MM19" s="443" t="str">
        <f t="shared" si="329"/>
        <v/>
      </c>
      <c r="MN19" s="443" t="str">
        <f t="shared" si="330"/>
        <v/>
      </c>
      <c r="MO19" s="443" t="str">
        <f t="shared" si="331"/>
        <v/>
      </c>
      <c r="MP19" s="2246">
        <f t="shared" si="338"/>
        <v>0</v>
      </c>
      <c r="MQ19" s="2246">
        <f t="shared" si="339"/>
        <v>0</v>
      </c>
      <c r="MR19" s="2246">
        <f t="shared" si="340"/>
        <v>0</v>
      </c>
      <c r="MS19" s="2246">
        <f t="shared" si="341"/>
        <v>0</v>
      </c>
      <c r="MT19" s="2246">
        <f t="shared" si="342"/>
        <v>0</v>
      </c>
      <c r="MU19" s="2246">
        <f t="shared" si="343"/>
        <v>0</v>
      </c>
      <c r="MV19" s="2246">
        <f t="shared" si="344"/>
        <v>9</v>
      </c>
      <c r="MW19" s="2246">
        <f t="shared" si="345"/>
        <v>0</v>
      </c>
      <c r="MX19" s="2246">
        <f t="shared" si="346"/>
        <v>0</v>
      </c>
      <c r="MY19" s="2246">
        <f t="shared" si="347"/>
        <v>0</v>
      </c>
      <c r="MZ19" s="2246">
        <f t="shared" si="332"/>
        <v>0</v>
      </c>
      <c r="NA19" s="2246">
        <f t="shared" si="333"/>
        <v>0</v>
      </c>
      <c r="NB19" s="2246">
        <f t="shared" si="334"/>
        <v>0</v>
      </c>
      <c r="NC19" s="2246">
        <f t="shared" si="335"/>
        <v>0</v>
      </c>
      <c r="ND19" s="2246">
        <f t="shared" si="336"/>
        <v>0</v>
      </c>
    </row>
    <row r="20" spans="1:368" ht="13.95" customHeight="1">
      <c r="A20" s="109">
        <f t="shared" si="337"/>
        <v>1</v>
      </c>
      <c r="B20" s="4015">
        <v>60</v>
      </c>
      <c r="C20" s="3987">
        <v>2</v>
      </c>
      <c r="D20" s="3988">
        <v>1</v>
      </c>
      <c r="E20" s="3989">
        <v>25</v>
      </c>
      <c r="F20" s="3989">
        <v>1000</v>
      </c>
      <c r="G20" s="3989">
        <v>805</v>
      </c>
      <c r="H20" s="3989">
        <v>805</v>
      </c>
      <c r="I20" s="3989"/>
      <c r="J20" s="4016">
        <f>IF(C20="",0,HLOOKUP(C20,'Part V-Utility Allowances'!$I$11:$M$22,12))</f>
        <v>151</v>
      </c>
      <c r="K20" s="3991"/>
      <c r="L20" s="567">
        <f t="shared" si="0"/>
        <v>654</v>
      </c>
      <c r="M20" s="567">
        <f t="shared" si="1"/>
        <v>16350</v>
      </c>
      <c r="N20" s="4013" t="s">
        <v>2889</v>
      </c>
      <c r="O20" s="3992" t="s">
        <v>7081</v>
      </c>
      <c r="P20" s="3992" t="s">
        <v>2237</v>
      </c>
      <c r="Q20" s="3993" t="s">
        <v>2889</v>
      </c>
      <c r="R20" s="3994"/>
      <c r="S20" s="3995"/>
      <c r="T20" s="3996"/>
      <c r="U20" s="3997"/>
      <c r="V20" s="3997"/>
      <c r="W20" s="3998"/>
      <c r="X20" s="443" t="str">
        <f t="shared" si="2"/>
        <v/>
      </c>
      <c r="Y20" s="443" t="str">
        <f t="shared" si="3"/>
        <v/>
      </c>
      <c r="Z20" s="443" t="str">
        <f t="shared" si="4"/>
        <v/>
      </c>
      <c r="AA20" s="443" t="str">
        <f t="shared" si="5"/>
        <v/>
      </c>
      <c r="AB20" s="443" t="str">
        <f t="shared" si="6"/>
        <v/>
      </c>
      <c r="AC20" s="443" t="str">
        <f t="shared" si="7"/>
        <v/>
      </c>
      <c r="AD20" s="443" t="str">
        <f t="shared" si="8"/>
        <v/>
      </c>
      <c r="AE20" s="443" t="str">
        <f t="shared" si="9"/>
        <v/>
      </c>
      <c r="AF20" s="443" t="str">
        <f t="shared" si="10"/>
        <v/>
      </c>
      <c r="AG20" s="443" t="str">
        <f t="shared" si="11"/>
        <v/>
      </c>
      <c r="AH20" s="443" t="str">
        <f t="shared" si="12"/>
        <v/>
      </c>
      <c r="AI20" s="443" t="str">
        <f t="shared" si="13"/>
        <v/>
      </c>
      <c r="AJ20" s="443">
        <f t="shared" si="14"/>
        <v>25</v>
      </c>
      <c r="AK20" s="443" t="str">
        <f t="shared" si="15"/>
        <v/>
      </c>
      <c r="AL20" s="443" t="str">
        <f t="shared" si="16"/>
        <v/>
      </c>
      <c r="AM20" s="443" t="str">
        <f t="shared" si="17"/>
        <v/>
      </c>
      <c r="AN20" s="443" t="str">
        <f t="shared" si="18"/>
        <v/>
      </c>
      <c r="AO20" s="443" t="str">
        <f t="shared" si="19"/>
        <v/>
      </c>
      <c r="AP20" s="443" t="str">
        <f t="shared" si="20"/>
        <v/>
      </c>
      <c r="AQ20" s="443" t="str">
        <f t="shared" si="21"/>
        <v/>
      </c>
      <c r="AR20" s="443" t="str">
        <f t="shared" si="22"/>
        <v/>
      </c>
      <c r="AS20" s="443" t="str">
        <f t="shared" si="23"/>
        <v/>
      </c>
      <c r="AT20" s="443" t="str">
        <f t="shared" si="24"/>
        <v/>
      </c>
      <c r="AU20" s="443" t="str">
        <f t="shared" si="25"/>
        <v/>
      </c>
      <c r="AV20" s="443" t="str">
        <f t="shared" si="26"/>
        <v/>
      </c>
      <c r="AW20" s="443" t="str">
        <f t="shared" si="27"/>
        <v/>
      </c>
      <c r="AX20" s="443" t="str">
        <f t="shared" si="28"/>
        <v/>
      </c>
      <c r="AY20" s="443" t="str">
        <f t="shared" si="29"/>
        <v/>
      </c>
      <c r="AZ20" s="443" t="str">
        <f t="shared" si="30"/>
        <v/>
      </c>
      <c r="BA20" s="443" t="str">
        <f t="shared" si="31"/>
        <v/>
      </c>
      <c r="BB20" s="443" t="str">
        <f t="shared" si="32"/>
        <v/>
      </c>
      <c r="BC20" s="443" t="str">
        <f t="shared" si="33"/>
        <v/>
      </c>
      <c r="BD20" s="443" t="str">
        <f t="shared" si="34"/>
        <v/>
      </c>
      <c r="BE20" s="443" t="str">
        <f t="shared" si="35"/>
        <v/>
      </c>
      <c r="BF20" s="443" t="str">
        <f t="shared" si="36"/>
        <v/>
      </c>
      <c r="BG20" s="443" t="str">
        <f t="shared" si="37"/>
        <v/>
      </c>
      <c r="BH20" s="443" t="str">
        <f t="shared" si="38"/>
        <v/>
      </c>
      <c r="BI20" s="443" t="str">
        <f t="shared" si="39"/>
        <v/>
      </c>
      <c r="BJ20" s="443" t="str">
        <f t="shared" si="40"/>
        <v/>
      </c>
      <c r="BK20" s="443" t="str">
        <f t="shared" si="41"/>
        <v/>
      </c>
      <c r="BL20" s="443" t="str">
        <f t="shared" si="42"/>
        <v/>
      </c>
      <c r="BM20" s="443" t="str">
        <f t="shared" si="43"/>
        <v/>
      </c>
      <c r="BN20" s="443" t="str">
        <f t="shared" si="44"/>
        <v/>
      </c>
      <c r="BO20" s="443" t="str">
        <f t="shared" si="45"/>
        <v/>
      </c>
      <c r="BP20" s="443" t="str">
        <f t="shared" si="46"/>
        <v/>
      </c>
      <c r="BQ20" s="443" t="str">
        <f t="shared" si="47"/>
        <v/>
      </c>
      <c r="BR20" s="443" t="str">
        <f t="shared" si="48"/>
        <v/>
      </c>
      <c r="BS20" s="443" t="str">
        <f t="shared" si="49"/>
        <v/>
      </c>
      <c r="BT20" s="443" t="str">
        <f t="shared" si="50"/>
        <v/>
      </c>
      <c r="BU20" s="443" t="str">
        <f t="shared" si="51"/>
        <v/>
      </c>
      <c r="BV20" s="443" t="str">
        <f t="shared" si="52"/>
        <v/>
      </c>
      <c r="BW20" s="443" t="str">
        <f t="shared" si="53"/>
        <v/>
      </c>
      <c r="BX20" s="443" t="str">
        <f t="shared" si="54"/>
        <v/>
      </c>
      <c r="BY20" s="443" t="str">
        <f t="shared" si="55"/>
        <v/>
      </c>
      <c r="BZ20" s="443" t="str">
        <f t="shared" si="56"/>
        <v/>
      </c>
      <c r="CA20" s="443" t="str">
        <f t="shared" si="57"/>
        <v/>
      </c>
      <c r="CB20" s="443" t="str">
        <f t="shared" si="58"/>
        <v/>
      </c>
      <c r="CC20" s="443" t="str">
        <f t="shared" si="59"/>
        <v/>
      </c>
      <c r="CD20" s="443" t="str">
        <f t="shared" si="60"/>
        <v/>
      </c>
      <c r="CE20" s="443" t="str">
        <f t="shared" si="61"/>
        <v/>
      </c>
      <c r="CF20" s="443" t="str">
        <f t="shared" si="62"/>
        <v/>
      </c>
      <c r="CG20" s="443" t="str">
        <f t="shared" si="63"/>
        <v/>
      </c>
      <c r="CH20" s="443" t="str">
        <f t="shared" si="64"/>
        <v/>
      </c>
      <c r="CI20" s="443" t="str">
        <f t="shared" si="65"/>
        <v/>
      </c>
      <c r="CJ20" s="443" t="str">
        <f t="shared" si="66"/>
        <v/>
      </c>
      <c r="CK20" s="443" t="str">
        <f t="shared" si="67"/>
        <v/>
      </c>
      <c r="CL20" s="443" t="str">
        <f t="shared" si="68"/>
        <v/>
      </c>
      <c r="CM20" s="443" t="str">
        <f t="shared" si="69"/>
        <v/>
      </c>
      <c r="CN20" s="443" t="str">
        <f t="shared" si="70"/>
        <v/>
      </c>
      <c r="CO20" s="443" t="str">
        <f t="shared" si="71"/>
        <v/>
      </c>
      <c r="CP20" s="443" t="str">
        <f t="shared" si="72"/>
        <v/>
      </c>
      <c r="CQ20" s="443" t="str">
        <f t="shared" si="73"/>
        <v/>
      </c>
      <c r="CR20" s="443" t="str">
        <f t="shared" si="74"/>
        <v/>
      </c>
      <c r="CS20" s="443" t="str">
        <f t="shared" si="75"/>
        <v/>
      </c>
      <c r="CT20" s="443" t="str">
        <f t="shared" si="76"/>
        <v/>
      </c>
      <c r="CU20" s="443" t="str">
        <f t="shared" si="77"/>
        <v/>
      </c>
      <c r="CV20" s="443" t="str">
        <f t="shared" si="78"/>
        <v/>
      </c>
      <c r="CW20" s="443" t="str">
        <f t="shared" si="79"/>
        <v/>
      </c>
      <c r="CX20" s="443" t="str">
        <f t="shared" si="80"/>
        <v/>
      </c>
      <c r="CY20" s="443" t="str">
        <f t="shared" si="81"/>
        <v/>
      </c>
      <c r="CZ20" s="443" t="str">
        <f t="shared" si="82"/>
        <v/>
      </c>
      <c r="DA20" s="443" t="str">
        <f t="shared" si="83"/>
        <v/>
      </c>
      <c r="DB20" s="443" t="str">
        <f t="shared" si="84"/>
        <v/>
      </c>
      <c r="DC20" s="443" t="str">
        <f t="shared" si="85"/>
        <v/>
      </c>
      <c r="DD20" s="443" t="str">
        <f t="shared" si="86"/>
        <v/>
      </c>
      <c r="DE20" s="443" t="str">
        <f t="shared" si="87"/>
        <v/>
      </c>
      <c r="DF20" s="443" t="str">
        <f t="shared" si="88"/>
        <v/>
      </c>
      <c r="DG20" s="443" t="str">
        <f t="shared" si="89"/>
        <v/>
      </c>
      <c r="DH20" s="443" t="str">
        <f t="shared" si="90"/>
        <v/>
      </c>
      <c r="DI20" s="443" t="str">
        <f t="shared" si="91"/>
        <v/>
      </c>
      <c r="DJ20" s="443" t="str">
        <f t="shared" si="92"/>
        <v/>
      </c>
      <c r="DK20" s="443" t="str">
        <f t="shared" si="93"/>
        <v/>
      </c>
      <c r="DL20" s="443" t="str">
        <f t="shared" si="94"/>
        <v/>
      </c>
      <c r="DM20" s="443" t="str">
        <f t="shared" si="95"/>
        <v/>
      </c>
      <c r="DN20" s="443" t="str">
        <f t="shared" si="96"/>
        <v/>
      </c>
      <c r="DO20" s="443" t="str">
        <f t="shared" si="97"/>
        <v/>
      </c>
      <c r="DP20" s="443" t="str">
        <f t="shared" si="98"/>
        <v/>
      </c>
      <c r="DQ20" s="443" t="str">
        <f t="shared" si="99"/>
        <v/>
      </c>
      <c r="DR20" s="443" t="str">
        <f t="shared" si="100"/>
        <v/>
      </c>
      <c r="DS20" s="443" t="str">
        <f t="shared" si="101"/>
        <v/>
      </c>
      <c r="DT20" s="443" t="str">
        <f t="shared" si="102"/>
        <v/>
      </c>
      <c r="DU20" s="443" t="str">
        <f t="shared" si="103"/>
        <v/>
      </c>
      <c r="DV20" s="443" t="str">
        <f t="shared" si="104"/>
        <v/>
      </c>
      <c r="DW20" s="443" t="str">
        <f t="shared" si="105"/>
        <v/>
      </c>
      <c r="DX20" s="443" t="str">
        <f t="shared" si="106"/>
        <v/>
      </c>
      <c r="DY20" s="443" t="str">
        <f t="shared" si="107"/>
        <v/>
      </c>
      <c r="DZ20" s="443" t="str">
        <f t="shared" si="108"/>
        <v/>
      </c>
      <c r="EA20" s="443" t="str">
        <f t="shared" si="109"/>
        <v/>
      </c>
      <c r="EB20" s="443" t="str">
        <f t="shared" si="110"/>
        <v/>
      </c>
      <c r="EC20" s="443" t="str">
        <f t="shared" si="111"/>
        <v/>
      </c>
      <c r="ED20" s="443" t="str">
        <f t="shared" si="112"/>
        <v/>
      </c>
      <c r="EE20" s="443" t="str">
        <f t="shared" si="113"/>
        <v/>
      </c>
      <c r="EF20" s="443" t="str">
        <f t="shared" si="114"/>
        <v/>
      </c>
      <c r="EG20" s="443" t="str">
        <f t="shared" si="115"/>
        <v/>
      </c>
      <c r="EH20" s="443" t="str">
        <f t="shared" si="116"/>
        <v/>
      </c>
      <c r="EI20" s="443" t="str">
        <f t="shared" si="117"/>
        <v/>
      </c>
      <c r="EJ20" s="443" t="str">
        <f t="shared" si="118"/>
        <v/>
      </c>
      <c r="EK20" s="443" t="str">
        <f t="shared" si="119"/>
        <v/>
      </c>
      <c r="EL20" s="443" t="str">
        <f t="shared" si="120"/>
        <v/>
      </c>
      <c r="EM20" s="443" t="str">
        <f t="shared" si="121"/>
        <v/>
      </c>
      <c r="EN20" s="443" t="str">
        <f t="shared" si="122"/>
        <v/>
      </c>
      <c r="EO20" s="443" t="str">
        <f t="shared" si="123"/>
        <v/>
      </c>
      <c r="EP20" s="443" t="str">
        <f t="shared" si="124"/>
        <v/>
      </c>
      <c r="EQ20" s="443" t="str">
        <f t="shared" si="125"/>
        <v/>
      </c>
      <c r="ER20" s="443" t="str">
        <f t="shared" si="126"/>
        <v/>
      </c>
      <c r="ES20" s="443" t="str">
        <f t="shared" si="127"/>
        <v/>
      </c>
      <c r="ET20" s="443" t="str">
        <f t="shared" si="128"/>
        <v/>
      </c>
      <c r="EU20" s="443">
        <f t="shared" si="129"/>
        <v>25000</v>
      </c>
      <c r="EV20" s="443" t="str">
        <f t="shared" si="130"/>
        <v/>
      </c>
      <c r="EW20" s="443" t="str">
        <f t="shared" si="131"/>
        <v/>
      </c>
      <c r="EX20" s="443" t="str">
        <f t="shared" si="132"/>
        <v/>
      </c>
      <c r="EY20" s="443" t="str">
        <f t="shared" si="133"/>
        <v/>
      </c>
      <c r="EZ20" s="443" t="str">
        <f t="shared" si="134"/>
        <v/>
      </c>
      <c r="FA20" s="443" t="str">
        <f t="shared" si="135"/>
        <v/>
      </c>
      <c r="FB20" s="443" t="str">
        <f t="shared" si="136"/>
        <v/>
      </c>
      <c r="FC20" s="443" t="str">
        <f t="shared" si="137"/>
        <v/>
      </c>
      <c r="FD20" s="443" t="str">
        <f t="shared" si="138"/>
        <v/>
      </c>
      <c r="FE20" s="443" t="str">
        <f t="shared" si="139"/>
        <v/>
      </c>
      <c r="FF20" s="443" t="str">
        <f t="shared" si="140"/>
        <v/>
      </c>
      <c r="FG20" s="443" t="str">
        <f t="shared" si="141"/>
        <v/>
      </c>
      <c r="FH20" s="443" t="str">
        <f t="shared" si="142"/>
        <v/>
      </c>
      <c r="FI20" s="443" t="str">
        <f t="shared" si="143"/>
        <v/>
      </c>
      <c r="FJ20" s="443" t="str">
        <f t="shared" si="144"/>
        <v/>
      </c>
      <c r="FK20" s="443" t="str">
        <f t="shared" si="145"/>
        <v/>
      </c>
      <c r="FL20" s="443" t="str">
        <f t="shared" si="146"/>
        <v/>
      </c>
      <c r="FM20" s="443" t="str">
        <f t="shared" si="147"/>
        <v/>
      </c>
      <c r="FN20" s="443" t="str">
        <f t="shared" si="148"/>
        <v/>
      </c>
      <c r="FO20" s="443" t="str">
        <f t="shared" si="149"/>
        <v/>
      </c>
      <c r="FP20" s="443" t="str">
        <f t="shared" si="150"/>
        <v/>
      </c>
      <c r="FQ20" s="443" t="str">
        <f t="shared" si="151"/>
        <v/>
      </c>
      <c r="FR20" s="443" t="str">
        <f t="shared" si="152"/>
        <v/>
      </c>
      <c r="FS20" s="443" t="str">
        <f t="shared" si="153"/>
        <v/>
      </c>
      <c r="FT20" s="443" t="str">
        <f t="shared" si="154"/>
        <v/>
      </c>
      <c r="FU20" s="443" t="str">
        <f t="shared" si="155"/>
        <v/>
      </c>
      <c r="FV20" s="443" t="str">
        <f t="shared" si="156"/>
        <v/>
      </c>
      <c r="FW20" s="443" t="str">
        <f t="shared" si="157"/>
        <v/>
      </c>
      <c r="FX20" s="443" t="str">
        <f t="shared" si="158"/>
        <v/>
      </c>
      <c r="FY20" s="443" t="str">
        <f t="shared" si="159"/>
        <v/>
      </c>
      <c r="FZ20" s="443" t="str">
        <f t="shared" si="160"/>
        <v/>
      </c>
      <c r="GA20" s="443" t="str">
        <f t="shared" si="161"/>
        <v/>
      </c>
      <c r="GB20" s="443" t="str">
        <f t="shared" si="162"/>
        <v/>
      </c>
      <c r="GC20" s="443" t="str">
        <f t="shared" si="163"/>
        <v/>
      </c>
      <c r="GD20" s="443" t="str">
        <f t="shared" si="164"/>
        <v/>
      </c>
      <c r="GE20" s="443" t="str">
        <f t="shared" si="165"/>
        <v/>
      </c>
      <c r="GF20" s="443" t="str">
        <f t="shared" si="166"/>
        <v/>
      </c>
      <c r="GG20" s="443" t="str">
        <f t="shared" si="167"/>
        <v/>
      </c>
      <c r="GH20" s="443" t="str">
        <f t="shared" si="168"/>
        <v/>
      </c>
      <c r="GI20" s="443">
        <f t="shared" si="169"/>
        <v>25</v>
      </c>
      <c r="GJ20" s="443" t="str">
        <f t="shared" si="170"/>
        <v/>
      </c>
      <c r="GK20" s="443" t="str">
        <f t="shared" si="171"/>
        <v/>
      </c>
      <c r="GL20" s="443" t="str">
        <f t="shared" si="172"/>
        <v/>
      </c>
      <c r="GM20" s="443" t="str">
        <f t="shared" si="173"/>
        <v/>
      </c>
      <c r="GN20" s="443" t="str">
        <f t="shared" si="174"/>
        <v/>
      </c>
      <c r="GO20" s="443" t="str">
        <f t="shared" si="175"/>
        <v/>
      </c>
      <c r="GP20" s="443" t="str">
        <f t="shared" si="176"/>
        <v/>
      </c>
      <c r="GQ20" s="443" t="str">
        <f t="shared" si="177"/>
        <v/>
      </c>
      <c r="GR20" s="443" t="str">
        <f t="shared" si="178"/>
        <v/>
      </c>
      <c r="GS20" s="443" t="str">
        <f t="shared" si="179"/>
        <v/>
      </c>
      <c r="GT20" s="443" t="str">
        <f t="shared" si="180"/>
        <v/>
      </c>
      <c r="GU20" s="443" t="str">
        <f t="shared" si="181"/>
        <v/>
      </c>
      <c r="GV20" s="443" t="str">
        <f t="shared" si="182"/>
        <v/>
      </c>
      <c r="GW20" s="443" t="str">
        <f t="shared" si="183"/>
        <v/>
      </c>
      <c r="GX20" s="443" t="str">
        <f t="shared" si="184"/>
        <v/>
      </c>
      <c r="GY20" s="443" t="str">
        <f t="shared" si="185"/>
        <v/>
      </c>
      <c r="GZ20" s="443" t="str">
        <f t="shared" si="186"/>
        <v/>
      </c>
      <c r="HA20" s="443" t="str">
        <f t="shared" si="187"/>
        <v/>
      </c>
      <c r="HB20" s="443" t="str">
        <f t="shared" si="188"/>
        <v/>
      </c>
      <c r="HC20" s="443" t="str">
        <f t="shared" si="189"/>
        <v/>
      </c>
      <c r="HD20" s="443" t="str">
        <f t="shared" si="190"/>
        <v/>
      </c>
      <c r="HE20" s="443" t="str">
        <f t="shared" si="191"/>
        <v/>
      </c>
      <c r="HF20" s="443" t="str">
        <f t="shared" si="192"/>
        <v/>
      </c>
      <c r="HG20" s="443" t="str">
        <f t="shared" si="193"/>
        <v/>
      </c>
      <c r="HH20" s="443" t="str">
        <f t="shared" si="194"/>
        <v/>
      </c>
      <c r="HI20" s="443" t="str">
        <f t="shared" si="195"/>
        <v/>
      </c>
      <c r="HJ20" s="443" t="str">
        <f t="shared" si="196"/>
        <v/>
      </c>
      <c r="HK20" s="443" t="str">
        <f t="shared" si="197"/>
        <v/>
      </c>
      <c r="HL20" s="443" t="str">
        <f t="shared" si="198"/>
        <v/>
      </c>
      <c r="HM20" s="443" t="str">
        <f t="shared" si="199"/>
        <v/>
      </c>
      <c r="HN20" s="443" t="str">
        <f t="shared" si="200"/>
        <v/>
      </c>
      <c r="HO20" s="443" t="str">
        <f t="shared" si="201"/>
        <v/>
      </c>
      <c r="HP20" s="443" t="str">
        <f t="shared" si="202"/>
        <v/>
      </c>
      <c r="HQ20" s="443" t="str">
        <f t="shared" si="203"/>
        <v/>
      </c>
      <c r="HR20" s="443" t="str">
        <f t="shared" si="204"/>
        <v/>
      </c>
      <c r="HS20" s="443" t="str">
        <f t="shared" si="205"/>
        <v/>
      </c>
      <c r="HT20" s="443" t="str">
        <f t="shared" si="206"/>
        <v/>
      </c>
      <c r="HU20" s="443" t="str">
        <f t="shared" si="207"/>
        <v/>
      </c>
      <c r="HV20" s="443" t="str">
        <f t="shared" si="208"/>
        <v/>
      </c>
      <c r="HW20" s="443" t="str">
        <f t="shared" si="209"/>
        <v/>
      </c>
      <c r="HX20" s="443" t="str">
        <f t="shared" si="210"/>
        <v/>
      </c>
      <c r="HY20" s="443" t="str">
        <f t="shared" si="211"/>
        <v/>
      </c>
      <c r="HZ20" s="2247" t="str">
        <f t="shared" si="212"/>
        <v/>
      </c>
      <c r="IA20" s="2247" t="str">
        <f t="shared" si="213"/>
        <v/>
      </c>
      <c r="IB20" s="2247">
        <f t="shared" si="214"/>
        <v>25</v>
      </c>
      <c r="IC20" s="2247" t="str">
        <f t="shared" si="215"/>
        <v/>
      </c>
      <c r="ID20" s="2247" t="str">
        <f t="shared" si="216"/>
        <v/>
      </c>
      <c r="IE20" s="2247" t="str">
        <f t="shared" si="217"/>
        <v/>
      </c>
      <c r="IF20" s="2247" t="str">
        <f t="shared" si="218"/>
        <v/>
      </c>
      <c r="IG20" s="2247" t="str">
        <f t="shared" si="219"/>
        <v/>
      </c>
      <c r="IH20" s="2247" t="str">
        <f t="shared" si="220"/>
        <v/>
      </c>
      <c r="II20" s="2247" t="str">
        <f t="shared" si="221"/>
        <v/>
      </c>
      <c r="IJ20" s="2247" t="str">
        <f t="shared" si="222"/>
        <v/>
      </c>
      <c r="IK20" s="2247" t="str">
        <f t="shared" si="223"/>
        <v/>
      </c>
      <c r="IL20" s="2247" t="str">
        <f t="shared" si="224"/>
        <v/>
      </c>
      <c r="IM20" s="2247" t="str">
        <f t="shared" si="225"/>
        <v/>
      </c>
      <c r="IN20" s="2247" t="str">
        <f t="shared" si="226"/>
        <v/>
      </c>
      <c r="IO20" s="2247" t="str">
        <f t="shared" si="227"/>
        <v/>
      </c>
      <c r="IP20" s="2247" t="str">
        <f t="shared" si="228"/>
        <v/>
      </c>
      <c r="IQ20" s="2247" t="str">
        <f t="shared" si="229"/>
        <v/>
      </c>
      <c r="IR20" s="2247" t="str">
        <f t="shared" si="230"/>
        <v/>
      </c>
      <c r="IS20" s="2247" t="str">
        <f t="shared" si="231"/>
        <v/>
      </c>
      <c r="IT20" s="2247" t="str">
        <f t="shared" si="232"/>
        <v/>
      </c>
      <c r="IU20" s="2247" t="str">
        <f t="shared" si="233"/>
        <v/>
      </c>
      <c r="IV20" s="2247" t="str">
        <f t="shared" si="234"/>
        <v/>
      </c>
      <c r="IW20" s="2247" t="str">
        <f t="shared" si="235"/>
        <v/>
      </c>
      <c r="IX20" s="2247" t="str">
        <f t="shared" si="236"/>
        <v/>
      </c>
      <c r="IY20" s="2247" t="str">
        <f t="shared" si="237"/>
        <v/>
      </c>
      <c r="IZ20" s="2247" t="str">
        <f t="shared" si="238"/>
        <v/>
      </c>
      <c r="JA20" s="2247" t="str">
        <f t="shared" si="239"/>
        <v/>
      </c>
      <c r="JB20" s="2247" t="str">
        <f t="shared" si="240"/>
        <v/>
      </c>
      <c r="JC20" s="2247" t="str">
        <f t="shared" si="241"/>
        <v/>
      </c>
      <c r="JD20" s="2247" t="str">
        <f t="shared" si="242"/>
        <v/>
      </c>
      <c r="JE20" s="2247" t="str">
        <f t="shared" si="243"/>
        <v/>
      </c>
      <c r="JF20" s="2247" t="str">
        <f t="shared" si="244"/>
        <v/>
      </c>
      <c r="JG20" s="2247" t="str">
        <f t="shared" si="245"/>
        <v/>
      </c>
      <c r="JH20" s="2247" t="str">
        <f t="shared" si="246"/>
        <v/>
      </c>
      <c r="JI20" s="2247" t="str">
        <f t="shared" si="247"/>
        <v/>
      </c>
      <c r="JJ20" s="2247" t="str">
        <f t="shared" si="248"/>
        <v/>
      </c>
      <c r="JK20" s="2247" t="str">
        <f t="shared" si="249"/>
        <v/>
      </c>
      <c r="JL20" s="2247" t="str">
        <f t="shared" si="250"/>
        <v/>
      </c>
      <c r="JM20" s="2247" t="str">
        <f t="shared" si="251"/>
        <v/>
      </c>
      <c r="JN20" s="2247" t="str">
        <f t="shared" si="252"/>
        <v/>
      </c>
      <c r="JO20" s="2247" t="str">
        <f t="shared" si="253"/>
        <v/>
      </c>
      <c r="JP20" s="2247" t="str">
        <f t="shared" si="254"/>
        <v/>
      </c>
      <c r="JQ20" s="2247" t="str">
        <f t="shared" si="255"/>
        <v/>
      </c>
      <c r="JR20" s="2247" t="str">
        <f t="shared" si="256"/>
        <v/>
      </c>
      <c r="JS20" s="2247" t="str">
        <f t="shared" si="257"/>
        <v/>
      </c>
      <c r="JT20" s="2247" t="str">
        <f t="shared" si="258"/>
        <v/>
      </c>
      <c r="JU20" s="2247" t="str">
        <f t="shared" si="259"/>
        <v/>
      </c>
      <c r="JV20" s="2247" t="str">
        <f t="shared" si="260"/>
        <v/>
      </c>
      <c r="JW20" s="2247" t="str">
        <f t="shared" si="261"/>
        <v/>
      </c>
      <c r="JX20" s="2247" t="str">
        <f t="shared" si="262"/>
        <v/>
      </c>
      <c r="JY20" s="2247" t="str">
        <f t="shared" si="263"/>
        <v/>
      </c>
      <c r="JZ20" s="2247" t="str">
        <f t="shared" si="264"/>
        <v/>
      </c>
      <c r="KA20" s="2247" t="str">
        <f t="shared" si="265"/>
        <v/>
      </c>
      <c r="KB20" s="2247" t="str">
        <f t="shared" si="266"/>
        <v/>
      </c>
      <c r="KC20" s="2247" t="str">
        <f t="shared" si="267"/>
        <v/>
      </c>
      <c r="KD20" s="2247" t="str">
        <f t="shared" si="268"/>
        <v/>
      </c>
      <c r="KE20" s="2247" t="str">
        <f t="shared" si="269"/>
        <v/>
      </c>
      <c r="KF20" s="2247" t="str">
        <f t="shared" si="270"/>
        <v/>
      </c>
      <c r="KG20" s="2247" t="str">
        <f t="shared" si="271"/>
        <v/>
      </c>
      <c r="KH20" s="2247" t="str">
        <f t="shared" si="272"/>
        <v/>
      </c>
      <c r="KI20" s="2247" t="str">
        <f t="shared" si="273"/>
        <v/>
      </c>
      <c r="KJ20" s="2247" t="str">
        <f t="shared" si="274"/>
        <v/>
      </c>
      <c r="KK20" s="2247" t="str">
        <f t="shared" si="275"/>
        <v/>
      </c>
      <c r="KL20" s="2247" t="str">
        <f t="shared" si="276"/>
        <v/>
      </c>
      <c r="KM20" s="2247" t="str">
        <f t="shared" si="277"/>
        <v/>
      </c>
      <c r="KN20" s="2247" t="str">
        <f t="shared" si="278"/>
        <v/>
      </c>
      <c r="KO20" s="2247" t="str">
        <f t="shared" si="279"/>
        <v/>
      </c>
      <c r="KP20" s="2247" t="str">
        <f t="shared" si="280"/>
        <v/>
      </c>
      <c r="KQ20" s="2247" t="str">
        <f t="shared" si="281"/>
        <v/>
      </c>
      <c r="KR20" s="2247" t="str">
        <f t="shared" si="282"/>
        <v/>
      </c>
      <c r="KS20" s="2247" t="str">
        <f t="shared" si="283"/>
        <v/>
      </c>
      <c r="KT20" s="2247" t="str">
        <f t="shared" si="284"/>
        <v/>
      </c>
      <c r="KU20" s="2247" t="str">
        <f t="shared" si="285"/>
        <v/>
      </c>
      <c r="KV20" s="2247" t="str">
        <f t="shared" si="286"/>
        <v/>
      </c>
      <c r="KW20" s="2247" t="str">
        <f t="shared" si="287"/>
        <v/>
      </c>
      <c r="KX20" s="2247" t="str">
        <f t="shared" si="288"/>
        <v/>
      </c>
      <c r="KY20" s="2247" t="str">
        <f t="shared" si="289"/>
        <v/>
      </c>
      <c r="KZ20" s="2247" t="str">
        <f t="shared" si="290"/>
        <v/>
      </c>
      <c r="LA20" s="2247" t="str">
        <f t="shared" si="291"/>
        <v/>
      </c>
      <c r="LB20" s="2247" t="str">
        <f t="shared" si="292"/>
        <v/>
      </c>
      <c r="LC20" s="2247" t="str">
        <f t="shared" si="293"/>
        <v/>
      </c>
      <c r="LD20" s="2247" t="str">
        <f t="shared" si="294"/>
        <v/>
      </c>
      <c r="LE20" s="2247" t="str">
        <f t="shared" si="295"/>
        <v/>
      </c>
      <c r="LF20" s="2247" t="str">
        <f t="shared" si="296"/>
        <v/>
      </c>
      <c r="LG20" s="2247" t="str">
        <f t="shared" si="297"/>
        <v/>
      </c>
      <c r="LH20" s="2247" t="str">
        <f t="shared" si="298"/>
        <v/>
      </c>
      <c r="LI20" s="2247">
        <f t="shared" si="299"/>
        <v>25</v>
      </c>
      <c r="LJ20" s="2247" t="str">
        <f t="shared" si="300"/>
        <v/>
      </c>
      <c r="LK20" s="2247" t="str">
        <f t="shared" si="301"/>
        <v/>
      </c>
      <c r="LL20" s="2247" t="str">
        <f t="shared" si="302"/>
        <v/>
      </c>
      <c r="LM20" s="2247" t="str">
        <f t="shared" si="303"/>
        <v/>
      </c>
      <c r="LN20" s="2247" t="str">
        <f t="shared" si="304"/>
        <v/>
      </c>
      <c r="LO20" s="2247" t="str">
        <f t="shared" si="305"/>
        <v/>
      </c>
      <c r="LP20" s="2247" t="str">
        <f t="shared" si="306"/>
        <v/>
      </c>
      <c r="LQ20" s="2248" t="str">
        <f t="shared" si="307"/>
        <v/>
      </c>
      <c r="LR20" s="2248" t="str">
        <f t="shared" si="308"/>
        <v/>
      </c>
      <c r="LS20" s="2248" t="str">
        <f t="shared" si="309"/>
        <v/>
      </c>
      <c r="LT20" s="2248" t="str">
        <f t="shared" si="310"/>
        <v/>
      </c>
      <c r="LU20" s="2248" t="str">
        <f t="shared" si="311"/>
        <v/>
      </c>
      <c r="LV20" s="443" t="str">
        <f t="shared" si="312"/>
        <v/>
      </c>
      <c r="LW20" s="443" t="str">
        <f t="shared" si="313"/>
        <v/>
      </c>
      <c r="LX20" s="443" t="str">
        <f t="shared" si="314"/>
        <v/>
      </c>
      <c r="LY20" s="443" t="str">
        <f t="shared" si="315"/>
        <v/>
      </c>
      <c r="LZ20" s="443" t="str">
        <f t="shared" si="316"/>
        <v/>
      </c>
      <c r="MA20" s="443" t="str">
        <f t="shared" si="317"/>
        <v/>
      </c>
      <c r="MB20" s="443" t="str">
        <f t="shared" si="318"/>
        <v/>
      </c>
      <c r="MC20" s="443" t="str">
        <f t="shared" si="319"/>
        <v/>
      </c>
      <c r="MD20" s="443" t="str">
        <f t="shared" si="320"/>
        <v/>
      </c>
      <c r="ME20" s="443" t="str">
        <f t="shared" si="321"/>
        <v/>
      </c>
      <c r="MF20" s="443" t="str">
        <f t="shared" si="322"/>
        <v/>
      </c>
      <c r="MG20" s="443" t="str">
        <f t="shared" si="323"/>
        <v/>
      </c>
      <c r="MH20" s="443" t="str">
        <f t="shared" si="324"/>
        <v/>
      </c>
      <c r="MI20" s="443" t="str">
        <f t="shared" si="325"/>
        <v/>
      </c>
      <c r="MJ20" s="443" t="str">
        <f t="shared" si="326"/>
        <v/>
      </c>
      <c r="MK20" s="443" t="str">
        <f t="shared" si="327"/>
        <v/>
      </c>
      <c r="ML20" s="443" t="str">
        <f t="shared" si="328"/>
        <v/>
      </c>
      <c r="MM20" s="443" t="str">
        <f t="shared" si="329"/>
        <v/>
      </c>
      <c r="MN20" s="443" t="str">
        <f t="shared" si="330"/>
        <v/>
      </c>
      <c r="MO20" s="443" t="str">
        <f t="shared" si="331"/>
        <v/>
      </c>
      <c r="MP20" s="2246">
        <f t="shared" si="338"/>
        <v>0</v>
      </c>
      <c r="MQ20" s="2246">
        <f t="shared" si="339"/>
        <v>0</v>
      </c>
      <c r="MR20" s="2246">
        <f t="shared" si="340"/>
        <v>0</v>
      </c>
      <c r="MS20" s="2246">
        <f t="shared" si="341"/>
        <v>0</v>
      </c>
      <c r="MT20" s="2246">
        <f t="shared" si="342"/>
        <v>0</v>
      </c>
      <c r="MU20" s="2246">
        <f t="shared" si="343"/>
        <v>0</v>
      </c>
      <c r="MV20" s="2246">
        <f t="shared" si="344"/>
        <v>0</v>
      </c>
      <c r="MW20" s="2246">
        <f t="shared" si="345"/>
        <v>25</v>
      </c>
      <c r="MX20" s="2246">
        <f t="shared" si="346"/>
        <v>0</v>
      </c>
      <c r="MY20" s="2246">
        <f t="shared" si="347"/>
        <v>0</v>
      </c>
      <c r="MZ20" s="2246">
        <f t="shared" si="332"/>
        <v>0</v>
      </c>
      <c r="NA20" s="2246">
        <f t="shared" si="333"/>
        <v>0</v>
      </c>
      <c r="NB20" s="2246">
        <f t="shared" si="334"/>
        <v>0</v>
      </c>
      <c r="NC20" s="2246">
        <f t="shared" si="335"/>
        <v>0</v>
      </c>
      <c r="ND20" s="2246">
        <f t="shared" si="336"/>
        <v>0</v>
      </c>
    </row>
    <row r="21" spans="1:368" ht="13.95" customHeight="1">
      <c r="A21" s="109">
        <f t="shared" si="337"/>
        <v>1</v>
      </c>
      <c r="B21" s="4015">
        <v>80</v>
      </c>
      <c r="C21" s="3987">
        <v>1</v>
      </c>
      <c r="D21" s="3988">
        <v>1</v>
      </c>
      <c r="E21" s="3989">
        <v>5</v>
      </c>
      <c r="F21" s="3989">
        <v>800</v>
      </c>
      <c r="G21" s="3989">
        <v>895</v>
      </c>
      <c r="H21" s="3989">
        <v>895</v>
      </c>
      <c r="I21" s="3989"/>
      <c r="J21" s="4016">
        <f>IF(C21="",0,HLOOKUP(C21,'Part V-Utility Allowances'!$I$11:$M$22,12))</f>
        <v>121</v>
      </c>
      <c r="K21" s="3991"/>
      <c r="L21" s="567">
        <f t="shared" si="0"/>
        <v>774</v>
      </c>
      <c r="M21" s="567">
        <f t="shared" si="1"/>
        <v>3870</v>
      </c>
      <c r="N21" s="4013" t="s">
        <v>2889</v>
      </c>
      <c r="O21" s="3992" t="s">
        <v>7081</v>
      </c>
      <c r="P21" s="3992" t="s">
        <v>2237</v>
      </c>
      <c r="Q21" s="3993" t="s">
        <v>2889</v>
      </c>
      <c r="R21" s="3994"/>
      <c r="S21" s="3995"/>
      <c r="T21" s="3996"/>
      <c r="U21" s="3997"/>
      <c r="V21" s="3997"/>
      <c r="W21" s="3998"/>
      <c r="X21" s="443" t="str">
        <f t="shared" si="2"/>
        <v/>
      </c>
      <c r="Y21" s="443">
        <f t="shared" si="3"/>
        <v>5</v>
      </c>
      <c r="Z21" s="443" t="str">
        <f t="shared" si="4"/>
        <v/>
      </c>
      <c r="AA21" s="443" t="str">
        <f t="shared" si="5"/>
        <v/>
      </c>
      <c r="AB21" s="443" t="str">
        <f t="shared" si="6"/>
        <v/>
      </c>
      <c r="AC21" s="443" t="str">
        <f t="shared" si="7"/>
        <v/>
      </c>
      <c r="AD21" s="443" t="str">
        <f t="shared" si="8"/>
        <v/>
      </c>
      <c r="AE21" s="443" t="str">
        <f t="shared" si="9"/>
        <v/>
      </c>
      <c r="AF21" s="443" t="str">
        <f t="shared" si="10"/>
        <v/>
      </c>
      <c r="AG21" s="443" t="str">
        <f t="shared" si="11"/>
        <v/>
      </c>
      <c r="AH21" s="443" t="str">
        <f t="shared" si="12"/>
        <v/>
      </c>
      <c r="AI21" s="443" t="str">
        <f t="shared" si="13"/>
        <v/>
      </c>
      <c r="AJ21" s="443" t="str">
        <f t="shared" si="14"/>
        <v/>
      </c>
      <c r="AK21" s="443" t="str">
        <f t="shared" si="15"/>
        <v/>
      </c>
      <c r="AL21" s="443" t="str">
        <f t="shared" si="16"/>
        <v/>
      </c>
      <c r="AM21" s="443" t="str">
        <f t="shared" si="17"/>
        <v/>
      </c>
      <c r="AN21" s="443" t="str">
        <f t="shared" si="18"/>
        <v/>
      </c>
      <c r="AO21" s="443" t="str">
        <f t="shared" si="19"/>
        <v/>
      </c>
      <c r="AP21" s="443" t="str">
        <f t="shared" si="20"/>
        <v/>
      </c>
      <c r="AQ21" s="443" t="str">
        <f t="shared" si="21"/>
        <v/>
      </c>
      <c r="AR21" s="443" t="str">
        <f t="shared" si="22"/>
        <v/>
      </c>
      <c r="AS21" s="443" t="str">
        <f t="shared" si="23"/>
        <v/>
      </c>
      <c r="AT21" s="443" t="str">
        <f t="shared" si="24"/>
        <v/>
      </c>
      <c r="AU21" s="443" t="str">
        <f t="shared" si="25"/>
        <v/>
      </c>
      <c r="AV21" s="443" t="str">
        <f t="shared" si="26"/>
        <v/>
      </c>
      <c r="AW21" s="443" t="str">
        <f t="shared" si="27"/>
        <v/>
      </c>
      <c r="AX21" s="443" t="str">
        <f t="shared" si="28"/>
        <v/>
      </c>
      <c r="AY21" s="443" t="str">
        <f t="shared" si="29"/>
        <v/>
      </c>
      <c r="AZ21" s="443" t="str">
        <f t="shared" si="30"/>
        <v/>
      </c>
      <c r="BA21" s="443" t="str">
        <f t="shared" si="31"/>
        <v/>
      </c>
      <c r="BB21" s="443" t="str">
        <f t="shared" si="32"/>
        <v/>
      </c>
      <c r="BC21" s="443" t="str">
        <f t="shared" si="33"/>
        <v/>
      </c>
      <c r="BD21" s="443" t="str">
        <f t="shared" si="34"/>
        <v/>
      </c>
      <c r="BE21" s="443" t="str">
        <f t="shared" si="35"/>
        <v/>
      </c>
      <c r="BF21" s="443" t="str">
        <f t="shared" si="36"/>
        <v/>
      </c>
      <c r="BG21" s="443" t="str">
        <f t="shared" si="37"/>
        <v/>
      </c>
      <c r="BH21" s="443" t="str">
        <f t="shared" si="38"/>
        <v/>
      </c>
      <c r="BI21" s="443" t="str">
        <f t="shared" si="39"/>
        <v/>
      </c>
      <c r="BJ21" s="443" t="str">
        <f t="shared" si="40"/>
        <v/>
      </c>
      <c r="BK21" s="443" t="str">
        <f t="shared" si="41"/>
        <v/>
      </c>
      <c r="BL21" s="443" t="str">
        <f t="shared" si="42"/>
        <v/>
      </c>
      <c r="BM21" s="443" t="str">
        <f t="shared" si="43"/>
        <v/>
      </c>
      <c r="BN21" s="443" t="str">
        <f t="shared" si="44"/>
        <v/>
      </c>
      <c r="BO21" s="443" t="str">
        <f t="shared" si="45"/>
        <v/>
      </c>
      <c r="BP21" s="443" t="str">
        <f t="shared" si="46"/>
        <v/>
      </c>
      <c r="BQ21" s="443" t="str">
        <f t="shared" si="47"/>
        <v/>
      </c>
      <c r="BR21" s="443" t="str">
        <f t="shared" si="48"/>
        <v/>
      </c>
      <c r="BS21" s="443" t="str">
        <f t="shared" si="49"/>
        <v/>
      </c>
      <c r="BT21" s="443" t="str">
        <f t="shared" si="50"/>
        <v/>
      </c>
      <c r="BU21" s="443" t="str">
        <f t="shared" si="51"/>
        <v/>
      </c>
      <c r="BV21" s="443" t="str">
        <f t="shared" si="52"/>
        <v/>
      </c>
      <c r="BW21" s="443" t="str">
        <f t="shared" si="53"/>
        <v/>
      </c>
      <c r="BX21" s="443" t="str">
        <f t="shared" si="54"/>
        <v/>
      </c>
      <c r="BY21" s="443" t="str">
        <f t="shared" si="55"/>
        <v/>
      </c>
      <c r="BZ21" s="443" t="str">
        <f t="shared" si="56"/>
        <v/>
      </c>
      <c r="CA21" s="443" t="str">
        <f t="shared" si="57"/>
        <v/>
      </c>
      <c r="CB21" s="443" t="str">
        <f t="shared" si="58"/>
        <v/>
      </c>
      <c r="CC21" s="443" t="str">
        <f t="shared" si="59"/>
        <v/>
      </c>
      <c r="CD21" s="443" t="str">
        <f t="shared" si="60"/>
        <v/>
      </c>
      <c r="CE21" s="443" t="str">
        <f t="shared" si="61"/>
        <v/>
      </c>
      <c r="CF21" s="443" t="str">
        <f t="shared" si="62"/>
        <v/>
      </c>
      <c r="CG21" s="443" t="str">
        <f t="shared" si="63"/>
        <v/>
      </c>
      <c r="CH21" s="443" t="str">
        <f t="shared" si="64"/>
        <v/>
      </c>
      <c r="CI21" s="443" t="str">
        <f t="shared" si="65"/>
        <v/>
      </c>
      <c r="CJ21" s="443" t="str">
        <f t="shared" si="66"/>
        <v/>
      </c>
      <c r="CK21" s="443" t="str">
        <f t="shared" si="67"/>
        <v/>
      </c>
      <c r="CL21" s="443" t="str">
        <f t="shared" si="68"/>
        <v/>
      </c>
      <c r="CM21" s="443" t="str">
        <f t="shared" si="69"/>
        <v/>
      </c>
      <c r="CN21" s="443" t="str">
        <f t="shared" si="70"/>
        <v/>
      </c>
      <c r="CO21" s="443" t="str">
        <f t="shared" si="71"/>
        <v/>
      </c>
      <c r="CP21" s="443" t="str">
        <f t="shared" si="72"/>
        <v/>
      </c>
      <c r="CQ21" s="443" t="str">
        <f t="shared" si="73"/>
        <v/>
      </c>
      <c r="CR21" s="443" t="str">
        <f t="shared" si="74"/>
        <v/>
      </c>
      <c r="CS21" s="443" t="str">
        <f t="shared" si="75"/>
        <v/>
      </c>
      <c r="CT21" s="443" t="str">
        <f t="shared" si="76"/>
        <v/>
      </c>
      <c r="CU21" s="443" t="str">
        <f t="shared" si="77"/>
        <v/>
      </c>
      <c r="CV21" s="443" t="str">
        <f t="shared" si="78"/>
        <v/>
      </c>
      <c r="CW21" s="443" t="str">
        <f t="shared" si="79"/>
        <v/>
      </c>
      <c r="CX21" s="443" t="str">
        <f t="shared" si="80"/>
        <v/>
      </c>
      <c r="CY21" s="443" t="str">
        <f t="shared" si="81"/>
        <v/>
      </c>
      <c r="CZ21" s="443" t="str">
        <f t="shared" si="82"/>
        <v/>
      </c>
      <c r="DA21" s="443" t="str">
        <f t="shared" si="83"/>
        <v/>
      </c>
      <c r="DB21" s="443" t="str">
        <f t="shared" si="84"/>
        <v/>
      </c>
      <c r="DC21" s="443" t="str">
        <f t="shared" si="85"/>
        <v/>
      </c>
      <c r="DD21" s="443" t="str">
        <f t="shared" si="86"/>
        <v/>
      </c>
      <c r="DE21" s="443" t="str">
        <f t="shared" si="87"/>
        <v/>
      </c>
      <c r="DF21" s="443" t="str">
        <f t="shared" si="88"/>
        <v/>
      </c>
      <c r="DG21" s="443" t="str">
        <f t="shared" si="89"/>
        <v/>
      </c>
      <c r="DH21" s="443" t="str">
        <f t="shared" si="90"/>
        <v/>
      </c>
      <c r="DI21" s="443" t="str">
        <f t="shared" si="91"/>
        <v/>
      </c>
      <c r="DJ21" s="443" t="str">
        <f t="shared" si="92"/>
        <v/>
      </c>
      <c r="DK21" s="443" t="str">
        <f t="shared" si="93"/>
        <v/>
      </c>
      <c r="DL21" s="443" t="str">
        <f t="shared" si="94"/>
        <v/>
      </c>
      <c r="DM21" s="443" t="str">
        <f t="shared" si="95"/>
        <v/>
      </c>
      <c r="DN21" s="443" t="str">
        <f t="shared" si="96"/>
        <v/>
      </c>
      <c r="DO21" s="443" t="str">
        <f t="shared" si="97"/>
        <v/>
      </c>
      <c r="DP21" s="443" t="str">
        <f t="shared" si="98"/>
        <v/>
      </c>
      <c r="DQ21" s="443" t="str">
        <f t="shared" si="99"/>
        <v/>
      </c>
      <c r="DR21" s="443" t="str">
        <f t="shared" si="100"/>
        <v/>
      </c>
      <c r="DS21" s="443" t="str">
        <f t="shared" si="101"/>
        <v/>
      </c>
      <c r="DT21" s="443" t="str">
        <f t="shared" si="102"/>
        <v/>
      </c>
      <c r="DU21" s="443" t="str">
        <f t="shared" si="103"/>
        <v/>
      </c>
      <c r="DV21" s="443" t="str">
        <f t="shared" si="104"/>
        <v/>
      </c>
      <c r="DW21" s="443" t="str">
        <f t="shared" si="105"/>
        <v/>
      </c>
      <c r="DX21" s="443" t="str">
        <f t="shared" si="106"/>
        <v/>
      </c>
      <c r="DY21" s="443" t="str">
        <f t="shared" si="107"/>
        <v/>
      </c>
      <c r="DZ21" s="443" t="str">
        <f t="shared" si="108"/>
        <v/>
      </c>
      <c r="EA21" s="443" t="str">
        <f t="shared" si="109"/>
        <v/>
      </c>
      <c r="EB21" s="443" t="str">
        <f t="shared" si="110"/>
        <v/>
      </c>
      <c r="EC21" s="443" t="str">
        <f t="shared" si="111"/>
        <v/>
      </c>
      <c r="ED21" s="443" t="str">
        <f t="shared" si="112"/>
        <v/>
      </c>
      <c r="EE21" s="443" t="str">
        <f t="shared" si="113"/>
        <v/>
      </c>
      <c r="EF21" s="443" t="str">
        <f t="shared" si="114"/>
        <v/>
      </c>
      <c r="EG21" s="443" t="str">
        <f t="shared" si="115"/>
        <v/>
      </c>
      <c r="EH21" s="443" t="str">
        <f t="shared" si="116"/>
        <v/>
      </c>
      <c r="EI21" s="443" t="str">
        <f t="shared" si="117"/>
        <v/>
      </c>
      <c r="EJ21" s="443">
        <f t="shared" si="118"/>
        <v>4000</v>
      </c>
      <c r="EK21" s="443" t="str">
        <f t="shared" si="119"/>
        <v/>
      </c>
      <c r="EL21" s="443" t="str">
        <f t="shared" si="120"/>
        <v/>
      </c>
      <c r="EM21" s="443" t="str">
        <f t="shared" si="121"/>
        <v/>
      </c>
      <c r="EN21" s="443" t="str">
        <f t="shared" si="122"/>
        <v/>
      </c>
      <c r="EO21" s="443" t="str">
        <f t="shared" si="123"/>
        <v/>
      </c>
      <c r="EP21" s="443" t="str">
        <f t="shared" si="124"/>
        <v/>
      </c>
      <c r="EQ21" s="443" t="str">
        <f t="shared" si="125"/>
        <v/>
      </c>
      <c r="ER21" s="443" t="str">
        <f t="shared" si="126"/>
        <v/>
      </c>
      <c r="ES21" s="443" t="str">
        <f t="shared" si="127"/>
        <v/>
      </c>
      <c r="ET21" s="443" t="str">
        <f t="shared" si="128"/>
        <v/>
      </c>
      <c r="EU21" s="443" t="str">
        <f t="shared" si="129"/>
        <v/>
      </c>
      <c r="EV21" s="443" t="str">
        <f t="shared" si="130"/>
        <v/>
      </c>
      <c r="EW21" s="443" t="str">
        <f t="shared" si="131"/>
        <v/>
      </c>
      <c r="EX21" s="443" t="str">
        <f t="shared" si="132"/>
        <v/>
      </c>
      <c r="EY21" s="443" t="str">
        <f t="shared" si="133"/>
        <v/>
      </c>
      <c r="EZ21" s="443" t="str">
        <f t="shared" si="134"/>
        <v/>
      </c>
      <c r="FA21" s="443" t="str">
        <f t="shared" si="135"/>
        <v/>
      </c>
      <c r="FB21" s="443" t="str">
        <f t="shared" si="136"/>
        <v/>
      </c>
      <c r="FC21" s="443" t="str">
        <f t="shared" si="137"/>
        <v/>
      </c>
      <c r="FD21" s="443" t="str">
        <f t="shared" si="138"/>
        <v/>
      </c>
      <c r="FE21" s="443" t="str">
        <f t="shared" si="139"/>
        <v/>
      </c>
      <c r="FF21" s="443" t="str">
        <f t="shared" si="140"/>
        <v/>
      </c>
      <c r="FG21" s="443" t="str">
        <f t="shared" si="141"/>
        <v/>
      </c>
      <c r="FH21" s="443" t="str">
        <f t="shared" si="142"/>
        <v/>
      </c>
      <c r="FI21" s="443" t="str">
        <f t="shared" si="143"/>
        <v/>
      </c>
      <c r="FJ21" s="443" t="str">
        <f t="shared" si="144"/>
        <v/>
      </c>
      <c r="FK21" s="443" t="str">
        <f t="shared" si="145"/>
        <v/>
      </c>
      <c r="FL21" s="443" t="str">
        <f t="shared" si="146"/>
        <v/>
      </c>
      <c r="FM21" s="443" t="str">
        <f t="shared" si="147"/>
        <v/>
      </c>
      <c r="FN21" s="443" t="str">
        <f t="shared" si="148"/>
        <v/>
      </c>
      <c r="FO21" s="443" t="str">
        <f t="shared" si="149"/>
        <v/>
      </c>
      <c r="FP21" s="443" t="str">
        <f t="shared" si="150"/>
        <v/>
      </c>
      <c r="FQ21" s="443" t="str">
        <f t="shared" si="151"/>
        <v/>
      </c>
      <c r="FR21" s="443" t="str">
        <f t="shared" si="152"/>
        <v/>
      </c>
      <c r="FS21" s="443" t="str">
        <f t="shared" si="153"/>
        <v/>
      </c>
      <c r="FT21" s="443" t="str">
        <f t="shared" si="154"/>
        <v/>
      </c>
      <c r="FU21" s="443" t="str">
        <f t="shared" si="155"/>
        <v/>
      </c>
      <c r="FV21" s="443" t="str">
        <f t="shared" si="156"/>
        <v/>
      </c>
      <c r="FW21" s="443" t="str">
        <f t="shared" si="157"/>
        <v/>
      </c>
      <c r="FX21" s="443" t="str">
        <f t="shared" si="158"/>
        <v/>
      </c>
      <c r="FY21" s="443" t="str">
        <f t="shared" si="159"/>
        <v/>
      </c>
      <c r="FZ21" s="443" t="str">
        <f t="shared" si="160"/>
        <v/>
      </c>
      <c r="GA21" s="443" t="str">
        <f t="shared" si="161"/>
        <v/>
      </c>
      <c r="GB21" s="443" t="str">
        <f t="shared" si="162"/>
        <v/>
      </c>
      <c r="GC21" s="443" t="str">
        <f t="shared" si="163"/>
        <v/>
      </c>
      <c r="GD21" s="443" t="str">
        <f t="shared" si="164"/>
        <v/>
      </c>
      <c r="GE21" s="443" t="str">
        <f t="shared" si="165"/>
        <v/>
      </c>
      <c r="GF21" s="443" t="str">
        <f t="shared" si="166"/>
        <v/>
      </c>
      <c r="GG21" s="443" t="str">
        <f t="shared" si="167"/>
        <v/>
      </c>
      <c r="GH21" s="443">
        <f t="shared" si="168"/>
        <v>5</v>
      </c>
      <c r="GI21" s="443" t="str">
        <f t="shared" si="169"/>
        <v/>
      </c>
      <c r="GJ21" s="443" t="str">
        <f t="shared" si="170"/>
        <v/>
      </c>
      <c r="GK21" s="443" t="str">
        <f t="shared" si="171"/>
        <v/>
      </c>
      <c r="GL21" s="443" t="str">
        <f t="shared" si="172"/>
        <v/>
      </c>
      <c r="GM21" s="443" t="str">
        <f t="shared" si="173"/>
        <v/>
      </c>
      <c r="GN21" s="443" t="str">
        <f t="shared" si="174"/>
        <v/>
      </c>
      <c r="GO21" s="443" t="str">
        <f t="shared" si="175"/>
        <v/>
      </c>
      <c r="GP21" s="443" t="str">
        <f t="shared" si="176"/>
        <v/>
      </c>
      <c r="GQ21" s="443" t="str">
        <f t="shared" si="177"/>
        <v/>
      </c>
      <c r="GR21" s="443" t="str">
        <f t="shared" si="178"/>
        <v/>
      </c>
      <c r="GS21" s="443" t="str">
        <f t="shared" si="179"/>
        <v/>
      </c>
      <c r="GT21" s="443" t="str">
        <f t="shared" si="180"/>
        <v/>
      </c>
      <c r="GU21" s="443" t="str">
        <f t="shared" si="181"/>
        <v/>
      </c>
      <c r="GV21" s="443" t="str">
        <f t="shared" si="182"/>
        <v/>
      </c>
      <c r="GW21" s="443" t="str">
        <f t="shared" si="183"/>
        <v/>
      </c>
      <c r="GX21" s="443" t="str">
        <f t="shared" si="184"/>
        <v/>
      </c>
      <c r="GY21" s="443" t="str">
        <f t="shared" si="185"/>
        <v/>
      </c>
      <c r="GZ21" s="443" t="str">
        <f t="shared" si="186"/>
        <v/>
      </c>
      <c r="HA21" s="443" t="str">
        <f t="shared" si="187"/>
        <v/>
      </c>
      <c r="HB21" s="443" t="str">
        <f t="shared" si="188"/>
        <v/>
      </c>
      <c r="HC21" s="443" t="str">
        <f t="shared" si="189"/>
        <v/>
      </c>
      <c r="HD21" s="443" t="str">
        <f t="shared" si="190"/>
        <v/>
      </c>
      <c r="HE21" s="443" t="str">
        <f t="shared" si="191"/>
        <v/>
      </c>
      <c r="HF21" s="443" t="str">
        <f t="shared" si="192"/>
        <v/>
      </c>
      <c r="HG21" s="443" t="str">
        <f t="shared" si="193"/>
        <v/>
      </c>
      <c r="HH21" s="443" t="str">
        <f t="shared" si="194"/>
        <v/>
      </c>
      <c r="HI21" s="443" t="str">
        <f t="shared" si="195"/>
        <v/>
      </c>
      <c r="HJ21" s="443" t="str">
        <f t="shared" si="196"/>
        <v/>
      </c>
      <c r="HK21" s="443" t="str">
        <f t="shared" si="197"/>
        <v/>
      </c>
      <c r="HL21" s="443" t="str">
        <f t="shared" si="198"/>
        <v/>
      </c>
      <c r="HM21" s="443" t="str">
        <f t="shared" si="199"/>
        <v/>
      </c>
      <c r="HN21" s="443" t="str">
        <f t="shared" si="200"/>
        <v/>
      </c>
      <c r="HO21" s="443" t="str">
        <f t="shared" si="201"/>
        <v/>
      </c>
      <c r="HP21" s="443" t="str">
        <f t="shared" si="202"/>
        <v/>
      </c>
      <c r="HQ21" s="443" t="str">
        <f t="shared" si="203"/>
        <v/>
      </c>
      <c r="HR21" s="443" t="str">
        <f t="shared" si="204"/>
        <v/>
      </c>
      <c r="HS21" s="443" t="str">
        <f t="shared" si="205"/>
        <v/>
      </c>
      <c r="HT21" s="443" t="str">
        <f t="shared" si="206"/>
        <v/>
      </c>
      <c r="HU21" s="443" t="str">
        <f t="shared" si="207"/>
        <v/>
      </c>
      <c r="HV21" s="443" t="str">
        <f t="shared" si="208"/>
        <v/>
      </c>
      <c r="HW21" s="443" t="str">
        <f t="shared" si="209"/>
        <v/>
      </c>
      <c r="HX21" s="443" t="str">
        <f t="shared" si="210"/>
        <v/>
      </c>
      <c r="HY21" s="443" t="str">
        <f t="shared" si="211"/>
        <v/>
      </c>
      <c r="HZ21" s="2247" t="str">
        <f t="shared" si="212"/>
        <v/>
      </c>
      <c r="IA21" s="2247">
        <f t="shared" si="213"/>
        <v>5</v>
      </c>
      <c r="IB21" s="2247" t="str">
        <f t="shared" si="214"/>
        <v/>
      </c>
      <c r="IC21" s="2247" t="str">
        <f t="shared" si="215"/>
        <v/>
      </c>
      <c r="ID21" s="2247" t="str">
        <f t="shared" si="216"/>
        <v/>
      </c>
      <c r="IE21" s="2247" t="str">
        <f t="shared" si="217"/>
        <v/>
      </c>
      <c r="IF21" s="2247" t="str">
        <f t="shared" si="218"/>
        <v/>
      </c>
      <c r="IG21" s="2247" t="str">
        <f t="shared" si="219"/>
        <v/>
      </c>
      <c r="IH21" s="2247" t="str">
        <f t="shared" si="220"/>
        <v/>
      </c>
      <c r="II21" s="2247" t="str">
        <f t="shared" si="221"/>
        <v/>
      </c>
      <c r="IJ21" s="2247" t="str">
        <f t="shared" si="222"/>
        <v/>
      </c>
      <c r="IK21" s="2247" t="str">
        <f t="shared" si="223"/>
        <v/>
      </c>
      <c r="IL21" s="2247" t="str">
        <f t="shared" si="224"/>
        <v/>
      </c>
      <c r="IM21" s="2247" t="str">
        <f t="shared" si="225"/>
        <v/>
      </c>
      <c r="IN21" s="2247" t="str">
        <f t="shared" si="226"/>
        <v/>
      </c>
      <c r="IO21" s="2247" t="str">
        <f t="shared" si="227"/>
        <v/>
      </c>
      <c r="IP21" s="2247" t="str">
        <f t="shared" si="228"/>
        <v/>
      </c>
      <c r="IQ21" s="2247" t="str">
        <f t="shared" si="229"/>
        <v/>
      </c>
      <c r="IR21" s="2247" t="str">
        <f t="shared" si="230"/>
        <v/>
      </c>
      <c r="IS21" s="2247" t="str">
        <f t="shared" si="231"/>
        <v/>
      </c>
      <c r="IT21" s="2247" t="str">
        <f t="shared" si="232"/>
        <v/>
      </c>
      <c r="IU21" s="2247" t="str">
        <f t="shared" si="233"/>
        <v/>
      </c>
      <c r="IV21" s="2247" t="str">
        <f t="shared" si="234"/>
        <v/>
      </c>
      <c r="IW21" s="2247" t="str">
        <f t="shared" si="235"/>
        <v/>
      </c>
      <c r="IX21" s="2247" t="str">
        <f t="shared" si="236"/>
        <v/>
      </c>
      <c r="IY21" s="2247" t="str">
        <f t="shared" si="237"/>
        <v/>
      </c>
      <c r="IZ21" s="2247" t="str">
        <f t="shared" si="238"/>
        <v/>
      </c>
      <c r="JA21" s="2247" t="str">
        <f t="shared" si="239"/>
        <v/>
      </c>
      <c r="JB21" s="2247" t="str">
        <f t="shared" si="240"/>
        <v/>
      </c>
      <c r="JC21" s="2247" t="str">
        <f t="shared" si="241"/>
        <v/>
      </c>
      <c r="JD21" s="2247" t="str">
        <f t="shared" si="242"/>
        <v/>
      </c>
      <c r="JE21" s="2247" t="str">
        <f t="shared" si="243"/>
        <v/>
      </c>
      <c r="JF21" s="2247" t="str">
        <f t="shared" si="244"/>
        <v/>
      </c>
      <c r="JG21" s="2247" t="str">
        <f t="shared" si="245"/>
        <v/>
      </c>
      <c r="JH21" s="2247" t="str">
        <f t="shared" si="246"/>
        <v/>
      </c>
      <c r="JI21" s="2247" t="str">
        <f t="shared" si="247"/>
        <v/>
      </c>
      <c r="JJ21" s="2247" t="str">
        <f t="shared" si="248"/>
        <v/>
      </c>
      <c r="JK21" s="2247" t="str">
        <f t="shared" si="249"/>
        <v/>
      </c>
      <c r="JL21" s="2247" t="str">
        <f t="shared" si="250"/>
        <v/>
      </c>
      <c r="JM21" s="2247" t="str">
        <f t="shared" si="251"/>
        <v/>
      </c>
      <c r="JN21" s="2247" t="str">
        <f t="shared" si="252"/>
        <v/>
      </c>
      <c r="JO21" s="2247" t="str">
        <f t="shared" si="253"/>
        <v/>
      </c>
      <c r="JP21" s="2247" t="str">
        <f t="shared" si="254"/>
        <v/>
      </c>
      <c r="JQ21" s="2247" t="str">
        <f t="shared" si="255"/>
        <v/>
      </c>
      <c r="JR21" s="2247" t="str">
        <f t="shared" si="256"/>
        <v/>
      </c>
      <c r="JS21" s="2247" t="str">
        <f t="shared" si="257"/>
        <v/>
      </c>
      <c r="JT21" s="2247" t="str">
        <f t="shared" si="258"/>
        <v/>
      </c>
      <c r="JU21" s="2247" t="str">
        <f t="shared" si="259"/>
        <v/>
      </c>
      <c r="JV21" s="2247" t="str">
        <f t="shared" si="260"/>
        <v/>
      </c>
      <c r="JW21" s="2247" t="str">
        <f t="shared" si="261"/>
        <v/>
      </c>
      <c r="JX21" s="2247" t="str">
        <f t="shared" si="262"/>
        <v/>
      </c>
      <c r="JY21" s="2247" t="str">
        <f t="shared" si="263"/>
        <v/>
      </c>
      <c r="JZ21" s="2247" t="str">
        <f t="shared" si="264"/>
        <v/>
      </c>
      <c r="KA21" s="2247" t="str">
        <f t="shared" si="265"/>
        <v/>
      </c>
      <c r="KB21" s="2247" t="str">
        <f t="shared" si="266"/>
        <v/>
      </c>
      <c r="KC21" s="2247" t="str">
        <f t="shared" si="267"/>
        <v/>
      </c>
      <c r="KD21" s="2247" t="str">
        <f t="shared" si="268"/>
        <v/>
      </c>
      <c r="KE21" s="2247" t="str">
        <f t="shared" si="269"/>
        <v/>
      </c>
      <c r="KF21" s="2247" t="str">
        <f t="shared" si="270"/>
        <v/>
      </c>
      <c r="KG21" s="2247" t="str">
        <f t="shared" si="271"/>
        <v/>
      </c>
      <c r="KH21" s="2247" t="str">
        <f t="shared" si="272"/>
        <v/>
      </c>
      <c r="KI21" s="2247" t="str">
        <f t="shared" si="273"/>
        <v/>
      </c>
      <c r="KJ21" s="2247" t="str">
        <f t="shared" si="274"/>
        <v/>
      </c>
      <c r="KK21" s="2247" t="str">
        <f t="shared" si="275"/>
        <v/>
      </c>
      <c r="KL21" s="2247" t="str">
        <f t="shared" si="276"/>
        <v/>
      </c>
      <c r="KM21" s="2247" t="str">
        <f t="shared" si="277"/>
        <v/>
      </c>
      <c r="KN21" s="2247" t="str">
        <f t="shared" si="278"/>
        <v/>
      </c>
      <c r="KO21" s="2247" t="str">
        <f t="shared" si="279"/>
        <v/>
      </c>
      <c r="KP21" s="2247" t="str">
        <f t="shared" si="280"/>
        <v/>
      </c>
      <c r="KQ21" s="2247" t="str">
        <f t="shared" si="281"/>
        <v/>
      </c>
      <c r="KR21" s="2247" t="str">
        <f t="shared" si="282"/>
        <v/>
      </c>
      <c r="KS21" s="2247" t="str">
        <f t="shared" si="283"/>
        <v/>
      </c>
      <c r="KT21" s="2247" t="str">
        <f t="shared" si="284"/>
        <v/>
      </c>
      <c r="KU21" s="2247" t="str">
        <f t="shared" si="285"/>
        <v/>
      </c>
      <c r="KV21" s="2247" t="str">
        <f t="shared" si="286"/>
        <v/>
      </c>
      <c r="KW21" s="2247" t="str">
        <f t="shared" si="287"/>
        <v/>
      </c>
      <c r="KX21" s="2247" t="str">
        <f t="shared" si="288"/>
        <v/>
      </c>
      <c r="KY21" s="2247" t="str">
        <f t="shared" si="289"/>
        <v/>
      </c>
      <c r="KZ21" s="2247" t="str">
        <f t="shared" si="290"/>
        <v/>
      </c>
      <c r="LA21" s="2247" t="str">
        <f t="shared" si="291"/>
        <v/>
      </c>
      <c r="LB21" s="2247" t="str">
        <f t="shared" si="292"/>
        <v/>
      </c>
      <c r="LC21" s="2247" t="str">
        <f t="shared" si="293"/>
        <v/>
      </c>
      <c r="LD21" s="2247" t="str">
        <f t="shared" si="294"/>
        <v/>
      </c>
      <c r="LE21" s="2247" t="str">
        <f t="shared" si="295"/>
        <v/>
      </c>
      <c r="LF21" s="2247" t="str">
        <f t="shared" si="296"/>
        <v/>
      </c>
      <c r="LG21" s="2247" t="str">
        <f t="shared" si="297"/>
        <v/>
      </c>
      <c r="LH21" s="2247">
        <f t="shared" si="298"/>
        <v>5</v>
      </c>
      <c r="LI21" s="2247" t="str">
        <f t="shared" si="299"/>
        <v/>
      </c>
      <c r="LJ21" s="2247" t="str">
        <f t="shared" si="300"/>
        <v/>
      </c>
      <c r="LK21" s="2247" t="str">
        <f t="shared" si="301"/>
        <v/>
      </c>
      <c r="LL21" s="2247" t="str">
        <f t="shared" si="302"/>
        <v/>
      </c>
      <c r="LM21" s="2247" t="str">
        <f t="shared" si="303"/>
        <v/>
      </c>
      <c r="LN21" s="2247" t="str">
        <f t="shared" si="304"/>
        <v/>
      </c>
      <c r="LO21" s="2247" t="str">
        <f t="shared" si="305"/>
        <v/>
      </c>
      <c r="LP21" s="2247" t="str">
        <f t="shared" si="306"/>
        <v/>
      </c>
      <c r="LQ21" s="2248" t="str">
        <f t="shared" si="307"/>
        <v/>
      </c>
      <c r="LR21" s="2248" t="str">
        <f t="shared" si="308"/>
        <v/>
      </c>
      <c r="LS21" s="2248" t="str">
        <f t="shared" si="309"/>
        <v/>
      </c>
      <c r="LT21" s="2248" t="str">
        <f t="shared" si="310"/>
        <v/>
      </c>
      <c r="LU21" s="2248" t="str">
        <f t="shared" si="311"/>
        <v/>
      </c>
      <c r="LV21" s="443" t="str">
        <f t="shared" si="312"/>
        <v/>
      </c>
      <c r="LW21" s="443" t="str">
        <f t="shared" si="313"/>
        <v/>
      </c>
      <c r="LX21" s="443" t="str">
        <f t="shared" si="314"/>
        <v/>
      </c>
      <c r="LY21" s="443" t="str">
        <f t="shared" si="315"/>
        <v/>
      </c>
      <c r="LZ21" s="443" t="str">
        <f t="shared" si="316"/>
        <v/>
      </c>
      <c r="MA21" s="443" t="str">
        <f t="shared" si="317"/>
        <v/>
      </c>
      <c r="MB21" s="443" t="str">
        <f t="shared" si="318"/>
        <v/>
      </c>
      <c r="MC21" s="443" t="str">
        <f t="shared" si="319"/>
        <v/>
      </c>
      <c r="MD21" s="443" t="str">
        <f t="shared" si="320"/>
        <v/>
      </c>
      <c r="ME21" s="443" t="str">
        <f t="shared" si="321"/>
        <v/>
      </c>
      <c r="MF21" s="443" t="str">
        <f t="shared" si="322"/>
        <v/>
      </c>
      <c r="MG21" s="443" t="str">
        <f t="shared" si="323"/>
        <v/>
      </c>
      <c r="MH21" s="443" t="str">
        <f t="shared" si="324"/>
        <v/>
      </c>
      <c r="MI21" s="443" t="str">
        <f t="shared" si="325"/>
        <v/>
      </c>
      <c r="MJ21" s="443" t="str">
        <f t="shared" si="326"/>
        <v/>
      </c>
      <c r="MK21" s="443" t="str">
        <f t="shared" si="327"/>
        <v/>
      </c>
      <c r="ML21" s="443" t="str">
        <f t="shared" si="328"/>
        <v/>
      </c>
      <c r="MM21" s="443" t="str">
        <f t="shared" si="329"/>
        <v/>
      </c>
      <c r="MN21" s="443" t="str">
        <f t="shared" si="330"/>
        <v/>
      </c>
      <c r="MO21" s="443" t="str">
        <f t="shared" si="331"/>
        <v/>
      </c>
      <c r="MP21" s="2246">
        <f t="shared" si="338"/>
        <v>0</v>
      </c>
      <c r="MQ21" s="2246">
        <f t="shared" si="339"/>
        <v>0</v>
      </c>
      <c r="MR21" s="2246">
        <f t="shared" si="340"/>
        <v>0</v>
      </c>
      <c r="MS21" s="2246">
        <f t="shared" si="341"/>
        <v>0</v>
      </c>
      <c r="MT21" s="2246">
        <f t="shared" si="342"/>
        <v>0</v>
      </c>
      <c r="MU21" s="2246">
        <f t="shared" si="343"/>
        <v>0</v>
      </c>
      <c r="MV21" s="2246">
        <f t="shared" si="344"/>
        <v>5</v>
      </c>
      <c r="MW21" s="2246">
        <f t="shared" si="345"/>
        <v>0</v>
      </c>
      <c r="MX21" s="2246">
        <f t="shared" si="346"/>
        <v>0</v>
      </c>
      <c r="MY21" s="2246">
        <f t="shared" si="347"/>
        <v>0</v>
      </c>
      <c r="MZ21" s="2246">
        <f t="shared" si="332"/>
        <v>0</v>
      </c>
      <c r="NA21" s="2246">
        <f t="shared" si="333"/>
        <v>0</v>
      </c>
      <c r="NB21" s="2246">
        <f t="shared" si="334"/>
        <v>0</v>
      </c>
      <c r="NC21" s="2246">
        <f t="shared" si="335"/>
        <v>0</v>
      </c>
      <c r="ND21" s="2246">
        <f t="shared" si="336"/>
        <v>0</v>
      </c>
    </row>
    <row r="22" spans="1:368" ht="13.95" customHeight="1">
      <c r="A22" s="109">
        <f t="shared" si="337"/>
        <v>1</v>
      </c>
      <c r="B22" s="4015">
        <v>80</v>
      </c>
      <c r="C22" s="3987">
        <v>2</v>
      </c>
      <c r="D22" s="3988">
        <v>1</v>
      </c>
      <c r="E22" s="3989">
        <v>9</v>
      </c>
      <c r="F22" s="3989">
        <v>1000</v>
      </c>
      <c r="G22" s="3989">
        <v>1074</v>
      </c>
      <c r="H22" s="3989">
        <v>1074</v>
      </c>
      <c r="I22" s="3989"/>
      <c r="J22" s="4016">
        <f>IF(C22="",0,HLOOKUP(C22,'Part V-Utility Allowances'!$I$11:$M$22,12))</f>
        <v>151</v>
      </c>
      <c r="K22" s="3991"/>
      <c r="L22" s="567">
        <f t="shared" si="0"/>
        <v>923</v>
      </c>
      <c r="M22" s="567">
        <f t="shared" si="1"/>
        <v>8307</v>
      </c>
      <c r="N22" s="4013" t="s">
        <v>2889</v>
      </c>
      <c r="O22" s="3992" t="s">
        <v>7081</v>
      </c>
      <c r="P22" s="3992" t="s">
        <v>2237</v>
      </c>
      <c r="Q22" s="3993" t="s">
        <v>2889</v>
      </c>
      <c r="R22" s="3994"/>
      <c r="S22" s="3995"/>
      <c r="T22" s="3996"/>
      <c r="U22" s="3997"/>
      <c r="V22" s="3997"/>
      <c r="W22" s="3998"/>
      <c r="X22" s="443" t="str">
        <f t="shared" si="2"/>
        <v/>
      </c>
      <c r="Y22" s="443" t="str">
        <f t="shared" si="3"/>
        <v/>
      </c>
      <c r="Z22" s="443">
        <f t="shared" si="4"/>
        <v>9</v>
      </c>
      <c r="AA22" s="443" t="str">
        <f t="shared" si="5"/>
        <v/>
      </c>
      <c r="AB22" s="443" t="str">
        <f t="shared" si="6"/>
        <v/>
      </c>
      <c r="AC22" s="443" t="str">
        <f t="shared" si="7"/>
        <v/>
      </c>
      <c r="AD22" s="443" t="str">
        <f t="shared" si="8"/>
        <v/>
      </c>
      <c r="AE22" s="443" t="str">
        <f t="shared" si="9"/>
        <v/>
      </c>
      <c r="AF22" s="443" t="str">
        <f t="shared" si="10"/>
        <v/>
      </c>
      <c r="AG22" s="443" t="str">
        <f t="shared" si="11"/>
        <v/>
      </c>
      <c r="AH22" s="443" t="str">
        <f t="shared" si="12"/>
        <v/>
      </c>
      <c r="AI22" s="443" t="str">
        <f t="shared" si="13"/>
        <v/>
      </c>
      <c r="AJ22" s="443" t="str">
        <f t="shared" si="14"/>
        <v/>
      </c>
      <c r="AK22" s="443" t="str">
        <f t="shared" si="15"/>
        <v/>
      </c>
      <c r="AL22" s="443" t="str">
        <f t="shared" si="16"/>
        <v/>
      </c>
      <c r="AM22" s="443" t="str">
        <f t="shared" si="17"/>
        <v/>
      </c>
      <c r="AN22" s="443" t="str">
        <f t="shared" si="18"/>
        <v/>
      </c>
      <c r="AO22" s="443" t="str">
        <f t="shared" si="19"/>
        <v/>
      </c>
      <c r="AP22" s="443" t="str">
        <f t="shared" si="20"/>
        <v/>
      </c>
      <c r="AQ22" s="443" t="str">
        <f t="shared" si="21"/>
        <v/>
      </c>
      <c r="AR22" s="443" t="str">
        <f t="shared" si="22"/>
        <v/>
      </c>
      <c r="AS22" s="443" t="str">
        <f t="shared" si="23"/>
        <v/>
      </c>
      <c r="AT22" s="443" t="str">
        <f t="shared" si="24"/>
        <v/>
      </c>
      <c r="AU22" s="443" t="str">
        <f t="shared" si="25"/>
        <v/>
      </c>
      <c r="AV22" s="443" t="str">
        <f t="shared" si="26"/>
        <v/>
      </c>
      <c r="AW22" s="443" t="str">
        <f t="shared" si="27"/>
        <v/>
      </c>
      <c r="AX22" s="443" t="str">
        <f t="shared" si="28"/>
        <v/>
      </c>
      <c r="AY22" s="443" t="str">
        <f t="shared" si="29"/>
        <v/>
      </c>
      <c r="AZ22" s="443" t="str">
        <f t="shared" si="30"/>
        <v/>
      </c>
      <c r="BA22" s="443" t="str">
        <f t="shared" si="31"/>
        <v/>
      </c>
      <c r="BB22" s="443" t="str">
        <f t="shared" si="32"/>
        <v/>
      </c>
      <c r="BC22" s="443" t="str">
        <f t="shared" si="33"/>
        <v/>
      </c>
      <c r="BD22" s="443" t="str">
        <f t="shared" si="34"/>
        <v/>
      </c>
      <c r="BE22" s="443" t="str">
        <f t="shared" si="35"/>
        <v/>
      </c>
      <c r="BF22" s="443" t="str">
        <f t="shared" si="36"/>
        <v/>
      </c>
      <c r="BG22" s="443" t="str">
        <f t="shared" si="37"/>
        <v/>
      </c>
      <c r="BH22" s="443" t="str">
        <f t="shared" si="38"/>
        <v/>
      </c>
      <c r="BI22" s="443" t="str">
        <f t="shared" si="39"/>
        <v/>
      </c>
      <c r="BJ22" s="443" t="str">
        <f t="shared" si="40"/>
        <v/>
      </c>
      <c r="BK22" s="443" t="str">
        <f t="shared" si="41"/>
        <v/>
      </c>
      <c r="BL22" s="443" t="str">
        <f t="shared" si="42"/>
        <v/>
      </c>
      <c r="BM22" s="443" t="str">
        <f t="shared" si="43"/>
        <v/>
      </c>
      <c r="BN22" s="443" t="str">
        <f t="shared" si="44"/>
        <v/>
      </c>
      <c r="BO22" s="443" t="str">
        <f t="shared" si="45"/>
        <v/>
      </c>
      <c r="BP22" s="443" t="str">
        <f t="shared" si="46"/>
        <v/>
      </c>
      <c r="BQ22" s="443" t="str">
        <f t="shared" si="47"/>
        <v/>
      </c>
      <c r="BR22" s="443" t="str">
        <f t="shared" si="48"/>
        <v/>
      </c>
      <c r="BS22" s="443" t="str">
        <f t="shared" si="49"/>
        <v/>
      </c>
      <c r="BT22" s="443" t="str">
        <f t="shared" si="50"/>
        <v/>
      </c>
      <c r="BU22" s="443" t="str">
        <f t="shared" si="51"/>
        <v/>
      </c>
      <c r="BV22" s="443" t="str">
        <f t="shared" si="52"/>
        <v/>
      </c>
      <c r="BW22" s="443" t="str">
        <f t="shared" si="53"/>
        <v/>
      </c>
      <c r="BX22" s="443" t="str">
        <f t="shared" si="54"/>
        <v/>
      </c>
      <c r="BY22" s="443" t="str">
        <f t="shared" si="55"/>
        <v/>
      </c>
      <c r="BZ22" s="443" t="str">
        <f t="shared" si="56"/>
        <v/>
      </c>
      <c r="CA22" s="443" t="str">
        <f t="shared" si="57"/>
        <v/>
      </c>
      <c r="CB22" s="443" t="str">
        <f t="shared" si="58"/>
        <v/>
      </c>
      <c r="CC22" s="443" t="str">
        <f t="shared" si="59"/>
        <v/>
      </c>
      <c r="CD22" s="443" t="str">
        <f t="shared" si="60"/>
        <v/>
      </c>
      <c r="CE22" s="443" t="str">
        <f t="shared" si="61"/>
        <v/>
      </c>
      <c r="CF22" s="443" t="str">
        <f t="shared" si="62"/>
        <v/>
      </c>
      <c r="CG22" s="443" t="str">
        <f t="shared" si="63"/>
        <v/>
      </c>
      <c r="CH22" s="443" t="str">
        <f t="shared" si="64"/>
        <v/>
      </c>
      <c r="CI22" s="443" t="str">
        <f t="shared" si="65"/>
        <v/>
      </c>
      <c r="CJ22" s="443" t="str">
        <f t="shared" si="66"/>
        <v/>
      </c>
      <c r="CK22" s="443" t="str">
        <f t="shared" si="67"/>
        <v/>
      </c>
      <c r="CL22" s="443" t="str">
        <f t="shared" si="68"/>
        <v/>
      </c>
      <c r="CM22" s="443" t="str">
        <f t="shared" si="69"/>
        <v/>
      </c>
      <c r="CN22" s="443" t="str">
        <f t="shared" si="70"/>
        <v/>
      </c>
      <c r="CO22" s="443" t="str">
        <f t="shared" si="71"/>
        <v/>
      </c>
      <c r="CP22" s="443" t="str">
        <f t="shared" si="72"/>
        <v/>
      </c>
      <c r="CQ22" s="443" t="str">
        <f t="shared" si="73"/>
        <v/>
      </c>
      <c r="CR22" s="443" t="str">
        <f t="shared" si="74"/>
        <v/>
      </c>
      <c r="CS22" s="443" t="str">
        <f t="shared" si="75"/>
        <v/>
      </c>
      <c r="CT22" s="443" t="str">
        <f t="shared" si="76"/>
        <v/>
      </c>
      <c r="CU22" s="443" t="str">
        <f t="shared" si="77"/>
        <v/>
      </c>
      <c r="CV22" s="443" t="str">
        <f t="shared" si="78"/>
        <v/>
      </c>
      <c r="CW22" s="443" t="str">
        <f t="shared" si="79"/>
        <v/>
      </c>
      <c r="CX22" s="443" t="str">
        <f t="shared" si="80"/>
        <v/>
      </c>
      <c r="CY22" s="443" t="str">
        <f t="shared" si="81"/>
        <v/>
      </c>
      <c r="CZ22" s="443" t="str">
        <f t="shared" si="82"/>
        <v/>
      </c>
      <c r="DA22" s="443" t="str">
        <f t="shared" si="83"/>
        <v/>
      </c>
      <c r="DB22" s="443" t="str">
        <f t="shared" si="84"/>
        <v/>
      </c>
      <c r="DC22" s="443" t="str">
        <f t="shared" si="85"/>
        <v/>
      </c>
      <c r="DD22" s="443" t="str">
        <f t="shared" si="86"/>
        <v/>
      </c>
      <c r="DE22" s="443" t="str">
        <f t="shared" si="87"/>
        <v/>
      </c>
      <c r="DF22" s="443" t="str">
        <f t="shared" si="88"/>
        <v/>
      </c>
      <c r="DG22" s="443" t="str">
        <f t="shared" si="89"/>
        <v/>
      </c>
      <c r="DH22" s="443" t="str">
        <f t="shared" si="90"/>
        <v/>
      </c>
      <c r="DI22" s="443" t="str">
        <f t="shared" si="91"/>
        <v/>
      </c>
      <c r="DJ22" s="443" t="str">
        <f t="shared" si="92"/>
        <v/>
      </c>
      <c r="DK22" s="443" t="str">
        <f t="shared" si="93"/>
        <v/>
      </c>
      <c r="DL22" s="443" t="str">
        <f t="shared" si="94"/>
        <v/>
      </c>
      <c r="DM22" s="443" t="str">
        <f t="shared" si="95"/>
        <v/>
      </c>
      <c r="DN22" s="443" t="str">
        <f t="shared" si="96"/>
        <v/>
      </c>
      <c r="DO22" s="443" t="str">
        <f t="shared" si="97"/>
        <v/>
      </c>
      <c r="DP22" s="443" t="str">
        <f t="shared" si="98"/>
        <v/>
      </c>
      <c r="DQ22" s="443" t="str">
        <f t="shared" si="99"/>
        <v/>
      </c>
      <c r="DR22" s="443" t="str">
        <f t="shared" si="100"/>
        <v/>
      </c>
      <c r="DS22" s="443" t="str">
        <f t="shared" si="101"/>
        <v/>
      </c>
      <c r="DT22" s="443" t="str">
        <f t="shared" si="102"/>
        <v/>
      </c>
      <c r="DU22" s="443" t="str">
        <f t="shared" si="103"/>
        <v/>
      </c>
      <c r="DV22" s="443" t="str">
        <f t="shared" si="104"/>
        <v/>
      </c>
      <c r="DW22" s="443" t="str">
        <f t="shared" si="105"/>
        <v/>
      </c>
      <c r="DX22" s="443" t="str">
        <f t="shared" si="106"/>
        <v/>
      </c>
      <c r="DY22" s="443" t="str">
        <f t="shared" si="107"/>
        <v/>
      </c>
      <c r="DZ22" s="443" t="str">
        <f t="shared" si="108"/>
        <v/>
      </c>
      <c r="EA22" s="443" t="str">
        <f t="shared" si="109"/>
        <v/>
      </c>
      <c r="EB22" s="443" t="str">
        <f t="shared" si="110"/>
        <v/>
      </c>
      <c r="EC22" s="443" t="str">
        <f t="shared" si="111"/>
        <v/>
      </c>
      <c r="ED22" s="443" t="str">
        <f t="shared" si="112"/>
        <v/>
      </c>
      <c r="EE22" s="443" t="str">
        <f t="shared" si="113"/>
        <v/>
      </c>
      <c r="EF22" s="443" t="str">
        <f t="shared" si="114"/>
        <v/>
      </c>
      <c r="EG22" s="443" t="str">
        <f t="shared" si="115"/>
        <v/>
      </c>
      <c r="EH22" s="443" t="str">
        <f t="shared" si="116"/>
        <v/>
      </c>
      <c r="EI22" s="443" t="str">
        <f t="shared" si="117"/>
        <v/>
      </c>
      <c r="EJ22" s="443" t="str">
        <f t="shared" si="118"/>
        <v/>
      </c>
      <c r="EK22" s="443">
        <f t="shared" si="119"/>
        <v>9000</v>
      </c>
      <c r="EL22" s="443" t="str">
        <f t="shared" si="120"/>
        <v/>
      </c>
      <c r="EM22" s="443" t="str">
        <f t="shared" si="121"/>
        <v/>
      </c>
      <c r="EN22" s="443" t="str">
        <f t="shared" si="122"/>
        <v/>
      </c>
      <c r="EO22" s="443" t="str">
        <f t="shared" si="123"/>
        <v/>
      </c>
      <c r="EP22" s="443" t="str">
        <f t="shared" si="124"/>
        <v/>
      </c>
      <c r="EQ22" s="443" t="str">
        <f t="shared" si="125"/>
        <v/>
      </c>
      <c r="ER22" s="443" t="str">
        <f t="shared" si="126"/>
        <v/>
      </c>
      <c r="ES22" s="443" t="str">
        <f t="shared" si="127"/>
        <v/>
      </c>
      <c r="ET22" s="443" t="str">
        <f t="shared" si="128"/>
        <v/>
      </c>
      <c r="EU22" s="443" t="str">
        <f t="shared" si="129"/>
        <v/>
      </c>
      <c r="EV22" s="443" t="str">
        <f t="shared" si="130"/>
        <v/>
      </c>
      <c r="EW22" s="443" t="str">
        <f t="shared" si="131"/>
        <v/>
      </c>
      <c r="EX22" s="443" t="str">
        <f t="shared" si="132"/>
        <v/>
      </c>
      <c r="EY22" s="443" t="str">
        <f t="shared" si="133"/>
        <v/>
      </c>
      <c r="EZ22" s="443" t="str">
        <f t="shared" si="134"/>
        <v/>
      </c>
      <c r="FA22" s="443" t="str">
        <f t="shared" si="135"/>
        <v/>
      </c>
      <c r="FB22" s="443" t="str">
        <f t="shared" si="136"/>
        <v/>
      </c>
      <c r="FC22" s="443" t="str">
        <f t="shared" si="137"/>
        <v/>
      </c>
      <c r="FD22" s="443" t="str">
        <f t="shared" si="138"/>
        <v/>
      </c>
      <c r="FE22" s="443" t="str">
        <f t="shared" si="139"/>
        <v/>
      </c>
      <c r="FF22" s="443" t="str">
        <f t="shared" si="140"/>
        <v/>
      </c>
      <c r="FG22" s="443" t="str">
        <f t="shared" si="141"/>
        <v/>
      </c>
      <c r="FH22" s="443" t="str">
        <f t="shared" si="142"/>
        <v/>
      </c>
      <c r="FI22" s="443" t="str">
        <f t="shared" si="143"/>
        <v/>
      </c>
      <c r="FJ22" s="443" t="str">
        <f t="shared" si="144"/>
        <v/>
      </c>
      <c r="FK22" s="443" t="str">
        <f t="shared" si="145"/>
        <v/>
      </c>
      <c r="FL22" s="443" t="str">
        <f t="shared" si="146"/>
        <v/>
      </c>
      <c r="FM22" s="443" t="str">
        <f t="shared" si="147"/>
        <v/>
      </c>
      <c r="FN22" s="443" t="str">
        <f t="shared" si="148"/>
        <v/>
      </c>
      <c r="FO22" s="443" t="str">
        <f t="shared" si="149"/>
        <v/>
      </c>
      <c r="FP22" s="443" t="str">
        <f t="shared" si="150"/>
        <v/>
      </c>
      <c r="FQ22" s="443" t="str">
        <f t="shared" si="151"/>
        <v/>
      </c>
      <c r="FR22" s="443" t="str">
        <f t="shared" si="152"/>
        <v/>
      </c>
      <c r="FS22" s="443" t="str">
        <f t="shared" si="153"/>
        <v/>
      </c>
      <c r="FT22" s="443" t="str">
        <f t="shared" si="154"/>
        <v/>
      </c>
      <c r="FU22" s="443" t="str">
        <f t="shared" si="155"/>
        <v/>
      </c>
      <c r="FV22" s="443" t="str">
        <f t="shared" si="156"/>
        <v/>
      </c>
      <c r="FW22" s="443" t="str">
        <f t="shared" si="157"/>
        <v/>
      </c>
      <c r="FX22" s="443" t="str">
        <f t="shared" si="158"/>
        <v/>
      </c>
      <c r="FY22" s="443" t="str">
        <f t="shared" si="159"/>
        <v/>
      </c>
      <c r="FZ22" s="443" t="str">
        <f t="shared" si="160"/>
        <v/>
      </c>
      <c r="GA22" s="443" t="str">
        <f t="shared" si="161"/>
        <v/>
      </c>
      <c r="GB22" s="443" t="str">
        <f t="shared" si="162"/>
        <v/>
      </c>
      <c r="GC22" s="443" t="str">
        <f t="shared" si="163"/>
        <v/>
      </c>
      <c r="GD22" s="443" t="str">
        <f t="shared" si="164"/>
        <v/>
      </c>
      <c r="GE22" s="443" t="str">
        <f t="shared" si="165"/>
        <v/>
      </c>
      <c r="GF22" s="443" t="str">
        <f t="shared" si="166"/>
        <v/>
      </c>
      <c r="GG22" s="443" t="str">
        <f t="shared" si="167"/>
        <v/>
      </c>
      <c r="GH22" s="443" t="str">
        <f t="shared" si="168"/>
        <v/>
      </c>
      <c r="GI22" s="443">
        <f t="shared" si="169"/>
        <v>9</v>
      </c>
      <c r="GJ22" s="443" t="str">
        <f t="shared" si="170"/>
        <v/>
      </c>
      <c r="GK22" s="443" t="str">
        <f t="shared" si="171"/>
        <v/>
      </c>
      <c r="GL22" s="443" t="str">
        <f t="shared" si="172"/>
        <v/>
      </c>
      <c r="GM22" s="443" t="str">
        <f t="shared" si="173"/>
        <v/>
      </c>
      <c r="GN22" s="443" t="str">
        <f t="shared" si="174"/>
        <v/>
      </c>
      <c r="GO22" s="443" t="str">
        <f t="shared" si="175"/>
        <v/>
      </c>
      <c r="GP22" s="443" t="str">
        <f t="shared" si="176"/>
        <v/>
      </c>
      <c r="GQ22" s="443" t="str">
        <f t="shared" si="177"/>
        <v/>
      </c>
      <c r="GR22" s="443" t="str">
        <f t="shared" si="178"/>
        <v/>
      </c>
      <c r="GS22" s="443" t="str">
        <f t="shared" si="179"/>
        <v/>
      </c>
      <c r="GT22" s="443" t="str">
        <f t="shared" si="180"/>
        <v/>
      </c>
      <c r="GU22" s="443" t="str">
        <f t="shared" si="181"/>
        <v/>
      </c>
      <c r="GV22" s="443" t="str">
        <f t="shared" si="182"/>
        <v/>
      </c>
      <c r="GW22" s="443" t="str">
        <f t="shared" si="183"/>
        <v/>
      </c>
      <c r="GX22" s="443" t="str">
        <f t="shared" si="184"/>
        <v/>
      </c>
      <c r="GY22" s="443" t="str">
        <f t="shared" si="185"/>
        <v/>
      </c>
      <c r="GZ22" s="443" t="str">
        <f t="shared" si="186"/>
        <v/>
      </c>
      <c r="HA22" s="443" t="str">
        <f t="shared" si="187"/>
        <v/>
      </c>
      <c r="HB22" s="443" t="str">
        <f t="shared" si="188"/>
        <v/>
      </c>
      <c r="HC22" s="443" t="str">
        <f t="shared" si="189"/>
        <v/>
      </c>
      <c r="HD22" s="443" t="str">
        <f t="shared" si="190"/>
        <v/>
      </c>
      <c r="HE22" s="443" t="str">
        <f t="shared" si="191"/>
        <v/>
      </c>
      <c r="HF22" s="443" t="str">
        <f t="shared" si="192"/>
        <v/>
      </c>
      <c r="HG22" s="443" t="str">
        <f t="shared" si="193"/>
        <v/>
      </c>
      <c r="HH22" s="443" t="str">
        <f t="shared" si="194"/>
        <v/>
      </c>
      <c r="HI22" s="443" t="str">
        <f t="shared" si="195"/>
        <v/>
      </c>
      <c r="HJ22" s="443" t="str">
        <f t="shared" si="196"/>
        <v/>
      </c>
      <c r="HK22" s="443" t="str">
        <f t="shared" si="197"/>
        <v/>
      </c>
      <c r="HL22" s="443" t="str">
        <f t="shared" si="198"/>
        <v/>
      </c>
      <c r="HM22" s="443" t="str">
        <f t="shared" si="199"/>
        <v/>
      </c>
      <c r="HN22" s="443" t="str">
        <f t="shared" si="200"/>
        <v/>
      </c>
      <c r="HO22" s="443" t="str">
        <f t="shared" si="201"/>
        <v/>
      </c>
      <c r="HP22" s="443" t="str">
        <f t="shared" si="202"/>
        <v/>
      </c>
      <c r="HQ22" s="443" t="str">
        <f t="shared" si="203"/>
        <v/>
      </c>
      <c r="HR22" s="443" t="str">
        <f t="shared" si="204"/>
        <v/>
      </c>
      <c r="HS22" s="443" t="str">
        <f t="shared" si="205"/>
        <v/>
      </c>
      <c r="HT22" s="443" t="str">
        <f t="shared" si="206"/>
        <v/>
      </c>
      <c r="HU22" s="443" t="str">
        <f t="shared" si="207"/>
        <v/>
      </c>
      <c r="HV22" s="443" t="str">
        <f t="shared" si="208"/>
        <v/>
      </c>
      <c r="HW22" s="443" t="str">
        <f t="shared" si="209"/>
        <v/>
      </c>
      <c r="HX22" s="443" t="str">
        <f t="shared" si="210"/>
        <v/>
      </c>
      <c r="HY22" s="443" t="str">
        <f t="shared" si="211"/>
        <v/>
      </c>
      <c r="HZ22" s="2247" t="str">
        <f t="shared" si="212"/>
        <v/>
      </c>
      <c r="IA22" s="2247" t="str">
        <f t="shared" si="213"/>
        <v/>
      </c>
      <c r="IB22" s="2247">
        <f t="shared" si="214"/>
        <v>9</v>
      </c>
      <c r="IC22" s="2247" t="str">
        <f t="shared" si="215"/>
        <v/>
      </c>
      <c r="ID22" s="2247" t="str">
        <f t="shared" si="216"/>
        <v/>
      </c>
      <c r="IE22" s="2247" t="str">
        <f t="shared" si="217"/>
        <v/>
      </c>
      <c r="IF22" s="2247" t="str">
        <f t="shared" si="218"/>
        <v/>
      </c>
      <c r="IG22" s="2247" t="str">
        <f t="shared" si="219"/>
        <v/>
      </c>
      <c r="IH22" s="2247" t="str">
        <f t="shared" si="220"/>
        <v/>
      </c>
      <c r="II22" s="2247" t="str">
        <f t="shared" si="221"/>
        <v/>
      </c>
      <c r="IJ22" s="2247" t="str">
        <f t="shared" si="222"/>
        <v/>
      </c>
      <c r="IK22" s="2247" t="str">
        <f t="shared" si="223"/>
        <v/>
      </c>
      <c r="IL22" s="2247" t="str">
        <f t="shared" si="224"/>
        <v/>
      </c>
      <c r="IM22" s="2247" t="str">
        <f t="shared" si="225"/>
        <v/>
      </c>
      <c r="IN22" s="2247" t="str">
        <f t="shared" si="226"/>
        <v/>
      </c>
      <c r="IO22" s="2247" t="str">
        <f t="shared" si="227"/>
        <v/>
      </c>
      <c r="IP22" s="2247" t="str">
        <f t="shared" si="228"/>
        <v/>
      </c>
      <c r="IQ22" s="2247" t="str">
        <f t="shared" si="229"/>
        <v/>
      </c>
      <c r="IR22" s="2247" t="str">
        <f t="shared" si="230"/>
        <v/>
      </c>
      <c r="IS22" s="2247" t="str">
        <f t="shared" si="231"/>
        <v/>
      </c>
      <c r="IT22" s="2247" t="str">
        <f t="shared" si="232"/>
        <v/>
      </c>
      <c r="IU22" s="2247" t="str">
        <f t="shared" si="233"/>
        <v/>
      </c>
      <c r="IV22" s="2247" t="str">
        <f t="shared" si="234"/>
        <v/>
      </c>
      <c r="IW22" s="2247" t="str">
        <f t="shared" si="235"/>
        <v/>
      </c>
      <c r="IX22" s="2247" t="str">
        <f t="shared" si="236"/>
        <v/>
      </c>
      <c r="IY22" s="2247" t="str">
        <f t="shared" si="237"/>
        <v/>
      </c>
      <c r="IZ22" s="2247" t="str">
        <f t="shared" si="238"/>
        <v/>
      </c>
      <c r="JA22" s="2247" t="str">
        <f t="shared" si="239"/>
        <v/>
      </c>
      <c r="JB22" s="2247" t="str">
        <f t="shared" si="240"/>
        <v/>
      </c>
      <c r="JC22" s="2247" t="str">
        <f t="shared" si="241"/>
        <v/>
      </c>
      <c r="JD22" s="2247" t="str">
        <f t="shared" si="242"/>
        <v/>
      </c>
      <c r="JE22" s="2247" t="str">
        <f t="shared" si="243"/>
        <v/>
      </c>
      <c r="JF22" s="2247" t="str">
        <f t="shared" si="244"/>
        <v/>
      </c>
      <c r="JG22" s="2247" t="str">
        <f t="shared" si="245"/>
        <v/>
      </c>
      <c r="JH22" s="2247" t="str">
        <f t="shared" si="246"/>
        <v/>
      </c>
      <c r="JI22" s="2247" t="str">
        <f t="shared" si="247"/>
        <v/>
      </c>
      <c r="JJ22" s="2247" t="str">
        <f t="shared" si="248"/>
        <v/>
      </c>
      <c r="JK22" s="2247" t="str">
        <f t="shared" si="249"/>
        <v/>
      </c>
      <c r="JL22" s="2247" t="str">
        <f t="shared" si="250"/>
        <v/>
      </c>
      <c r="JM22" s="2247" t="str">
        <f t="shared" si="251"/>
        <v/>
      </c>
      <c r="JN22" s="2247" t="str">
        <f t="shared" si="252"/>
        <v/>
      </c>
      <c r="JO22" s="2247" t="str">
        <f t="shared" si="253"/>
        <v/>
      </c>
      <c r="JP22" s="2247" t="str">
        <f t="shared" si="254"/>
        <v/>
      </c>
      <c r="JQ22" s="2247" t="str">
        <f t="shared" si="255"/>
        <v/>
      </c>
      <c r="JR22" s="2247" t="str">
        <f t="shared" si="256"/>
        <v/>
      </c>
      <c r="JS22" s="2247" t="str">
        <f t="shared" si="257"/>
        <v/>
      </c>
      <c r="JT22" s="2247" t="str">
        <f t="shared" si="258"/>
        <v/>
      </c>
      <c r="JU22" s="2247" t="str">
        <f t="shared" si="259"/>
        <v/>
      </c>
      <c r="JV22" s="2247" t="str">
        <f t="shared" si="260"/>
        <v/>
      </c>
      <c r="JW22" s="2247" t="str">
        <f t="shared" si="261"/>
        <v/>
      </c>
      <c r="JX22" s="2247" t="str">
        <f t="shared" si="262"/>
        <v/>
      </c>
      <c r="JY22" s="2247" t="str">
        <f t="shared" si="263"/>
        <v/>
      </c>
      <c r="JZ22" s="2247" t="str">
        <f t="shared" si="264"/>
        <v/>
      </c>
      <c r="KA22" s="2247" t="str">
        <f t="shared" si="265"/>
        <v/>
      </c>
      <c r="KB22" s="2247" t="str">
        <f t="shared" si="266"/>
        <v/>
      </c>
      <c r="KC22" s="2247" t="str">
        <f t="shared" si="267"/>
        <v/>
      </c>
      <c r="KD22" s="2247" t="str">
        <f t="shared" si="268"/>
        <v/>
      </c>
      <c r="KE22" s="2247" t="str">
        <f t="shared" si="269"/>
        <v/>
      </c>
      <c r="KF22" s="2247" t="str">
        <f t="shared" si="270"/>
        <v/>
      </c>
      <c r="KG22" s="2247" t="str">
        <f t="shared" si="271"/>
        <v/>
      </c>
      <c r="KH22" s="2247" t="str">
        <f t="shared" si="272"/>
        <v/>
      </c>
      <c r="KI22" s="2247" t="str">
        <f t="shared" si="273"/>
        <v/>
      </c>
      <c r="KJ22" s="2247" t="str">
        <f t="shared" si="274"/>
        <v/>
      </c>
      <c r="KK22" s="2247" t="str">
        <f t="shared" si="275"/>
        <v/>
      </c>
      <c r="KL22" s="2247" t="str">
        <f t="shared" si="276"/>
        <v/>
      </c>
      <c r="KM22" s="2247" t="str">
        <f t="shared" si="277"/>
        <v/>
      </c>
      <c r="KN22" s="2247" t="str">
        <f t="shared" si="278"/>
        <v/>
      </c>
      <c r="KO22" s="2247" t="str">
        <f t="shared" si="279"/>
        <v/>
      </c>
      <c r="KP22" s="2247" t="str">
        <f t="shared" si="280"/>
        <v/>
      </c>
      <c r="KQ22" s="2247" t="str">
        <f t="shared" si="281"/>
        <v/>
      </c>
      <c r="KR22" s="2247" t="str">
        <f t="shared" si="282"/>
        <v/>
      </c>
      <c r="KS22" s="2247" t="str">
        <f t="shared" si="283"/>
        <v/>
      </c>
      <c r="KT22" s="2247" t="str">
        <f t="shared" si="284"/>
        <v/>
      </c>
      <c r="KU22" s="2247" t="str">
        <f t="shared" si="285"/>
        <v/>
      </c>
      <c r="KV22" s="2247" t="str">
        <f t="shared" si="286"/>
        <v/>
      </c>
      <c r="KW22" s="2247" t="str">
        <f t="shared" si="287"/>
        <v/>
      </c>
      <c r="KX22" s="2247" t="str">
        <f t="shared" si="288"/>
        <v/>
      </c>
      <c r="KY22" s="2247" t="str">
        <f t="shared" si="289"/>
        <v/>
      </c>
      <c r="KZ22" s="2247" t="str">
        <f t="shared" si="290"/>
        <v/>
      </c>
      <c r="LA22" s="2247" t="str">
        <f t="shared" si="291"/>
        <v/>
      </c>
      <c r="LB22" s="2247" t="str">
        <f t="shared" si="292"/>
        <v/>
      </c>
      <c r="LC22" s="2247" t="str">
        <f t="shared" si="293"/>
        <v/>
      </c>
      <c r="LD22" s="2247" t="str">
        <f t="shared" si="294"/>
        <v/>
      </c>
      <c r="LE22" s="2247" t="str">
        <f t="shared" si="295"/>
        <v/>
      </c>
      <c r="LF22" s="2247" t="str">
        <f t="shared" si="296"/>
        <v/>
      </c>
      <c r="LG22" s="2247" t="str">
        <f t="shared" si="297"/>
        <v/>
      </c>
      <c r="LH22" s="2247" t="str">
        <f t="shared" si="298"/>
        <v/>
      </c>
      <c r="LI22" s="2247">
        <f t="shared" si="299"/>
        <v>9</v>
      </c>
      <c r="LJ22" s="2247" t="str">
        <f t="shared" si="300"/>
        <v/>
      </c>
      <c r="LK22" s="2247" t="str">
        <f t="shared" si="301"/>
        <v/>
      </c>
      <c r="LL22" s="2247" t="str">
        <f t="shared" si="302"/>
        <v/>
      </c>
      <c r="LM22" s="2247" t="str">
        <f t="shared" si="303"/>
        <v/>
      </c>
      <c r="LN22" s="2247" t="str">
        <f t="shared" si="304"/>
        <v/>
      </c>
      <c r="LO22" s="2247" t="str">
        <f t="shared" si="305"/>
        <v/>
      </c>
      <c r="LP22" s="2247" t="str">
        <f t="shared" si="306"/>
        <v/>
      </c>
      <c r="LQ22" s="2248" t="str">
        <f t="shared" si="307"/>
        <v/>
      </c>
      <c r="LR22" s="2248" t="str">
        <f t="shared" si="308"/>
        <v/>
      </c>
      <c r="LS22" s="2248" t="str">
        <f t="shared" si="309"/>
        <v/>
      </c>
      <c r="LT22" s="2248" t="str">
        <f t="shared" si="310"/>
        <v/>
      </c>
      <c r="LU22" s="2248" t="str">
        <f t="shared" si="311"/>
        <v/>
      </c>
      <c r="LV22" s="443" t="str">
        <f t="shared" si="312"/>
        <v/>
      </c>
      <c r="LW22" s="443" t="str">
        <f t="shared" si="313"/>
        <v/>
      </c>
      <c r="LX22" s="443" t="str">
        <f t="shared" si="314"/>
        <v/>
      </c>
      <c r="LY22" s="443" t="str">
        <f t="shared" si="315"/>
        <v/>
      </c>
      <c r="LZ22" s="443" t="str">
        <f t="shared" si="316"/>
        <v/>
      </c>
      <c r="MA22" s="443" t="str">
        <f t="shared" si="317"/>
        <v/>
      </c>
      <c r="MB22" s="443" t="str">
        <f t="shared" si="318"/>
        <v/>
      </c>
      <c r="MC22" s="443" t="str">
        <f t="shared" si="319"/>
        <v/>
      </c>
      <c r="MD22" s="443" t="str">
        <f t="shared" si="320"/>
        <v/>
      </c>
      <c r="ME22" s="443" t="str">
        <f t="shared" si="321"/>
        <v/>
      </c>
      <c r="MF22" s="443" t="str">
        <f t="shared" si="322"/>
        <v/>
      </c>
      <c r="MG22" s="443" t="str">
        <f t="shared" si="323"/>
        <v/>
      </c>
      <c r="MH22" s="443" t="str">
        <f t="shared" si="324"/>
        <v/>
      </c>
      <c r="MI22" s="443" t="str">
        <f t="shared" si="325"/>
        <v/>
      </c>
      <c r="MJ22" s="443" t="str">
        <f t="shared" si="326"/>
        <v/>
      </c>
      <c r="MK22" s="443" t="str">
        <f t="shared" si="327"/>
        <v/>
      </c>
      <c r="ML22" s="443" t="str">
        <f t="shared" si="328"/>
        <v/>
      </c>
      <c r="MM22" s="443" t="str">
        <f t="shared" si="329"/>
        <v/>
      </c>
      <c r="MN22" s="443" t="str">
        <f t="shared" si="330"/>
        <v/>
      </c>
      <c r="MO22" s="443" t="str">
        <f t="shared" si="331"/>
        <v/>
      </c>
      <c r="MP22" s="2246">
        <f t="shared" si="338"/>
        <v>0</v>
      </c>
      <c r="MQ22" s="2246">
        <f t="shared" si="339"/>
        <v>0</v>
      </c>
      <c r="MR22" s="2246">
        <f t="shared" si="340"/>
        <v>0</v>
      </c>
      <c r="MS22" s="2246">
        <f t="shared" si="341"/>
        <v>0</v>
      </c>
      <c r="MT22" s="2246">
        <f t="shared" si="342"/>
        <v>0</v>
      </c>
      <c r="MU22" s="2246">
        <f t="shared" si="343"/>
        <v>0</v>
      </c>
      <c r="MV22" s="2246">
        <f t="shared" si="344"/>
        <v>0</v>
      </c>
      <c r="MW22" s="2246">
        <f t="shared" si="345"/>
        <v>9</v>
      </c>
      <c r="MX22" s="2246">
        <f t="shared" si="346"/>
        <v>0</v>
      </c>
      <c r="MY22" s="2246">
        <f t="shared" si="347"/>
        <v>0</v>
      </c>
      <c r="MZ22" s="2246">
        <f t="shared" si="332"/>
        <v>0</v>
      </c>
      <c r="NA22" s="2246">
        <f t="shared" si="333"/>
        <v>0</v>
      </c>
      <c r="NB22" s="2246">
        <f t="shared" si="334"/>
        <v>0</v>
      </c>
      <c r="NC22" s="2246">
        <f t="shared" si="335"/>
        <v>0</v>
      </c>
      <c r="ND22" s="2246">
        <f t="shared" si="336"/>
        <v>0</v>
      </c>
    </row>
    <row r="23" spans="1:368" ht="13.95" customHeight="1">
      <c r="A23" s="109" t="str">
        <f t="shared" si="337"/>
        <v/>
      </c>
      <c r="B23" s="4015"/>
      <c r="C23" s="3987"/>
      <c r="D23" s="3988"/>
      <c r="E23" s="3989"/>
      <c r="F23" s="3989"/>
      <c r="G23" s="3989"/>
      <c r="H23" s="3989"/>
      <c r="I23" s="3989"/>
      <c r="J23" s="4016">
        <f>IF(C23="",0,HLOOKUP(C23,'Part V-Utility Allowances'!$I$11:$M$22,12))</f>
        <v>0</v>
      </c>
      <c r="K23" s="3991"/>
      <c r="L23" s="567">
        <f t="shared" si="0"/>
        <v>0</v>
      </c>
      <c r="M23" s="567">
        <f t="shared" si="1"/>
        <v>0</v>
      </c>
      <c r="N23" s="3992"/>
      <c r="O23" s="3992"/>
      <c r="P23" s="3992"/>
      <c r="Q23" s="3993"/>
      <c r="R23" s="3994"/>
      <c r="S23" s="3995"/>
      <c r="T23" s="3996"/>
      <c r="U23" s="3997"/>
      <c r="V23" s="3997"/>
      <c r="W23" s="3998"/>
      <c r="X23" s="443" t="str">
        <f t="shared" si="2"/>
        <v/>
      </c>
      <c r="Y23" s="443" t="str">
        <f t="shared" si="3"/>
        <v/>
      </c>
      <c r="Z23" s="443" t="str">
        <f t="shared" si="4"/>
        <v/>
      </c>
      <c r="AA23" s="443" t="str">
        <f t="shared" si="5"/>
        <v/>
      </c>
      <c r="AB23" s="443" t="str">
        <f t="shared" si="6"/>
        <v/>
      </c>
      <c r="AC23" s="443" t="str">
        <f t="shared" si="7"/>
        <v/>
      </c>
      <c r="AD23" s="443" t="str">
        <f t="shared" si="8"/>
        <v/>
      </c>
      <c r="AE23" s="443" t="str">
        <f t="shared" si="9"/>
        <v/>
      </c>
      <c r="AF23" s="443" t="str">
        <f t="shared" si="10"/>
        <v/>
      </c>
      <c r="AG23" s="443" t="str">
        <f t="shared" si="11"/>
        <v/>
      </c>
      <c r="AH23" s="443" t="str">
        <f t="shared" si="12"/>
        <v/>
      </c>
      <c r="AI23" s="443" t="str">
        <f t="shared" si="13"/>
        <v/>
      </c>
      <c r="AJ23" s="443" t="str">
        <f t="shared" si="14"/>
        <v/>
      </c>
      <c r="AK23" s="443" t="str">
        <f t="shared" si="15"/>
        <v/>
      </c>
      <c r="AL23" s="443" t="str">
        <f t="shared" si="16"/>
        <v/>
      </c>
      <c r="AM23" s="443" t="str">
        <f t="shared" si="17"/>
        <v/>
      </c>
      <c r="AN23" s="443" t="str">
        <f t="shared" si="18"/>
        <v/>
      </c>
      <c r="AO23" s="443" t="str">
        <f t="shared" si="19"/>
        <v/>
      </c>
      <c r="AP23" s="443" t="str">
        <f t="shared" si="20"/>
        <v/>
      </c>
      <c r="AQ23" s="443" t="str">
        <f t="shared" si="21"/>
        <v/>
      </c>
      <c r="AR23" s="443" t="str">
        <f t="shared" si="22"/>
        <v/>
      </c>
      <c r="AS23" s="443" t="str">
        <f t="shared" si="23"/>
        <v/>
      </c>
      <c r="AT23" s="443" t="str">
        <f t="shared" si="24"/>
        <v/>
      </c>
      <c r="AU23" s="443" t="str">
        <f t="shared" si="25"/>
        <v/>
      </c>
      <c r="AV23" s="443" t="str">
        <f t="shared" si="26"/>
        <v/>
      </c>
      <c r="AW23" s="443" t="str">
        <f t="shared" si="27"/>
        <v/>
      </c>
      <c r="AX23" s="443" t="str">
        <f t="shared" si="28"/>
        <v/>
      </c>
      <c r="AY23" s="443" t="str">
        <f t="shared" si="29"/>
        <v/>
      </c>
      <c r="AZ23" s="443" t="str">
        <f t="shared" si="30"/>
        <v/>
      </c>
      <c r="BA23" s="443" t="str">
        <f t="shared" si="31"/>
        <v/>
      </c>
      <c r="BB23" s="443" t="str">
        <f t="shared" si="32"/>
        <v/>
      </c>
      <c r="BC23" s="443" t="str">
        <f t="shared" si="33"/>
        <v/>
      </c>
      <c r="BD23" s="443" t="str">
        <f t="shared" si="34"/>
        <v/>
      </c>
      <c r="BE23" s="443" t="str">
        <f t="shared" si="35"/>
        <v/>
      </c>
      <c r="BF23" s="443" t="str">
        <f t="shared" si="36"/>
        <v/>
      </c>
      <c r="BG23" s="443" t="str">
        <f t="shared" si="37"/>
        <v/>
      </c>
      <c r="BH23" s="443" t="str">
        <f t="shared" si="38"/>
        <v/>
      </c>
      <c r="BI23" s="443" t="str">
        <f t="shared" si="39"/>
        <v/>
      </c>
      <c r="BJ23" s="443" t="str">
        <f t="shared" si="40"/>
        <v/>
      </c>
      <c r="BK23" s="443" t="str">
        <f t="shared" si="41"/>
        <v/>
      </c>
      <c r="BL23" s="443" t="str">
        <f t="shared" si="42"/>
        <v/>
      </c>
      <c r="BM23" s="443" t="str">
        <f t="shared" si="43"/>
        <v/>
      </c>
      <c r="BN23" s="443" t="str">
        <f t="shared" si="44"/>
        <v/>
      </c>
      <c r="BO23" s="443" t="str">
        <f t="shared" si="45"/>
        <v/>
      </c>
      <c r="BP23" s="443" t="str">
        <f t="shared" si="46"/>
        <v/>
      </c>
      <c r="BQ23" s="443" t="str">
        <f t="shared" si="47"/>
        <v/>
      </c>
      <c r="BR23" s="443" t="str">
        <f t="shared" si="48"/>
        <v/>
      </c>
      <c r="BS23" s="443" t="str">
        <f t="shared" si="49"/>
        <v/>
      </c>
      <c r="BT23" s="443" t="str">
        <f t="shared" si="50"/>
        <v/>
      </c>
      <c r="BU23" s="443" t="str">
        <f t="shared" si="51"/>
        <v/>
      </c>
      <c r="BV23" s="443" t="str">
        <f t="shared" si="52"/>
        <v/>
      </c>
      <c r="BW23" s="443" t="str">
        <f t="shared" si="53"/>
        <v/>
      </c>
      <c r="BX23" s="443" t="str">
        <f t="shared" si="54"/>
        <v/>
      </c>
      <c r="BY23" s="443" t="str">
        <f t="shared" si="55"/>
        <v/>
      </c>
      <c r="BZ23" s="443" t="str">
        <f t="shared" si="56"/>
        <v/>
      </c>
      <c r="CA23" s="443" t="str">
        <f t="shared" si="57"/>
        <v/>
      </c>
      <c r="CB23" s="443" t="str">
        <f t="shared" si="58"/>
        <v/>
      </c>
      <c r="CC23" s="443" t="str">
        <f t="shared" si="59"/>
        <v/>
      </c>
      <c r="CD23" s="443" t="str">
        <f t="shared" si="60"/>
        <v/>
      </c>
      <c r="CE23" s="443" t="str">
        <f t="shared" si="61"/>
        <v/>
      </c>
      <c r="CF23" s="443" t="str">
        <f t="shared" si="62"/>
        <v/>
      </c>
      <c r="CG23" s="443" t="str">
        <f t="shared" si="63"/>
        <v/>
      </c>
      <c r="CH23" s="443" t="str">
        <f t="shared" si="64"/>
        <v/>
      </c>
      <c r="CI23" s="443" t="str">
        <f t="shared" si="65"/>
        <v/>
      </c>
      <c r="CJ23" s="443" t="str">
        <f t="shared" si="66"/>
        <v/>
      </c>
      <c r="CK23" s="443" t="str">
        <f t="shared" si="67"/>
        <v/>
      </c>
      <c r="CL23" s="443" t="str">
        <f t="shared" si="68"/>
        <v/>
      </c>
      <c r="CM23" s="443" t="str">
        <f t="shared" si="69"/>
        <v/>
      </c>
      <c r="CN23" s="443" t="str">
        <f t="shared" si="70"/>
        <v/>
      </c>
      <c r="CO23" s="443" t="str">
        <f t="shared" si="71"/>
        <v/>
      </c>
      <c r="CP23" s="443" t="str">
        <f t="shared" si="72"/>
        <v/>
      </c>
      <c r="CQ23" s="443" t="str">
        <f t="shared" si="73"/>
        <v/>
      </c>
      <c r="CR23" s="443" t="str">
        <f t="shared" si="74"/>
        <v/>
      </c>
      <c r="CS23" s="443" t="str">
        <f t="shared" si="75"/>
        <v/>
      </c>
      <c r="CT23" s="443" t="str">
        <f t="shared" si="76"/>
        <v/>
      </c>
      <c r="CU23" s="443" t="str">
        <f t="shared" si="77"/>
        <v/>
      </c>
      <c r="CV23" s="443" t="str">
        <f t="shared" si="78"/>
        <v/>
      </c>
      <c r="CW23" s="443" t="str">
        <f t="shared" si="79"/>
        <v/>
      </c>
      <c r="CX23" s="443" t="str">
        <f t="shared" si="80"/>
        <v/>
      </c>
      <c r="CY23" s="443" t="str">
        <f t="shared" si="81"/>
        <v/>
      </c>
      <c r="CZ23" s="443" t="str">
        <f t="shared" si="82"/>
        <v/>
      </c>
      <c r="DA23" s="443" t="str">
        <f t="shared" si="83"/>
        <v/>
      </c>
      <c r="DB23" s="443" t="str">
        <f t="shared" si="84"/>
        <v/>
      </c>
      <c r="DC23" s="443" t="str">
        <f t="shared" si="85"/>
        <v/>
      </c>
      <c r="DD23" s="443" t="str">
        <f t="shared" si="86"/>
        <v/>
      </c>
      <c r="DE23" s="443" t="str">
        <f t="shared" si="87"/>
        <v/>
      </c>
      <c r="DF23" s="443" t="str">
        <f t="shared" si="88"/>
        <v/>
      </c>
      <c r="DG23" s="443" t="str">
        <f t="shared" si="89"/>
        <v/>
      </c>
      <c r="DH23" s="443" t="str">
        <f t="shared" si="90"/>
        <v/>
      </c>
      <c r="DI23" s="443" t="str">
        <f t="shared" si="91"/>
        <v/>
      </c>
      <c r="DJ23" s="443" t="str">
        <f t="shared" si="92"/>
        <v/>
      </c>
      <c r="DK23" s="443" t="str">
        <f t="shared" si="93"/>
        <v/>
      </c>
      <c r="DL23" s="443" t="str">
        <f t="shared" si="94"/>
        <v/>
      </c>
      <c r="DM23" s="443" t="str">
        <f t="shared" si="95"/>
        <v/>
      </c>
      <c r="DN23" s="443" t="str">
        <f t="shared" si="96"/>
        <v/>
      </c>
      <c r="DO23" s="443" t="str">
        <f t="shared" si="97"/>
        <v/>
      </c>
      <c r="DP23" s="443" t="str">
        <f t="shared" si="98"/>
        <v/>
      </c>
      <c r="DQ23" s="443" t="str">
        <f t="shared" si="99"/>
        <v/>
      </c>
      <c r="DR23" s="443" t="str">
        <f t="shared" si="100"/>
        <v/>
      </c>
      <c r="DS23" s="443" t="str">
        <f t="shared" si="101"/>
        <v/>
      </c>
      <c r="DT23" s="443" t="str">
        <f t="shared" si="102"/>
        <v/>
      </c>
      <c r="DU23" s="443" t="str">
        <f t="shared" si="103"/>
        <v/>
      </c>
      <c r="DV23" s="443" t="str">
        <f t="shared" si="104"/>
        <v/>
      </c>
      <c r="DW23" s="443" t="str">
        <f t="shared" si="105"/>
        <v/>
      </c>
      <c r="DX23" s="443" t="str">
        <f t="shared" si="106"/>
        <v/>
      </c>
      <c r="DY23" s="443" t="str">
        <f t="shared" si="107"/>
        <v/>
      </c>
      <c r="DZ23" s="443" t="str">
        <f t="shared" si="108"/>
        <v/>
      </c>
      <c r="EA23" s="443" t="str">
        <f t="shared" si="109"/>
        <v/>
      </c>
      <c r="EB23" s="443" t="str">
        <f t="shared" si="110"/>
        <v/>
      </c>
      <c r="EC23" s="443" t="str">
        <f t="shared" si="111"/>
        <v/>
      </c>
      <c r="ED23" s="443" t="str">
        <f t="shared" si="112"/>
        <v/>
      </c>
      <c r="EE23" s="443" t="str">
        <f t="shared" si="113"/>
        <v/>
      </c>
      <c r="EF23" s="443" t="str">
        <f t="shared" si="114"/>
        <v/>
      </c>
      <c r="EG23" s="443" t="str">
        <f t="shared" si="115"/>
        <v/>
      </c>
      <c r="EH23" s="443" t="str">
        <f t="shared" si="116"/>
        <v/>
      </c>
      <c r="EI23" s="443" t="str">
        <f t="shared" si="117"/>
        <v/>
      </c>
      <c r="EJ23" s="443" t="str">
        <f t="shared" si="118"/>
        <v/>
      </c>
      <c r="EK23" s="443" t="str">
        <f t="shared" si="119"/>
        <v/>
      </c>
      <c r="EL23" s="443" t="str">
        <f t="shared" si="120"/>
        <v/>
      </c>
      <c r="EM23" s="443" t="str">
        <f t="shared" si="121"/>
        <v/>
      </c>
      <c r="EN23" s="443" t="str">
        <f t="shared" si="122"/>
        <v/>
      </c>
      <c r="EO23" s="443" t="str">
        <f t="shared" si="123"/>
        <v/>
      </c>
      <c r="EP23" s="443" t="str">
        <f t="shared" si="124"/>
        <v/>
      </c>
      <c r="EQ23" s="443" t="str">
        <f t="shared" si="125"/>
        <v/>
      </c>
      <c r="ER23" s="443" t="str">
        <f t="shared" si="126"/>
        <v/>
      </c>
      <c r="ES23" s="443" t="str">
        <f t="shared" si="127"/>
        <v/>
      </c>
      <c r="ET23" s="443" t="str">
        <f t="shared" si="128"/>
        <v/>
      </c>
      <c r="EU23" s="443" t="str">
        <f t="shared" si="129"/>
        <v/>
      </c>
      <c r="EV23" s="443" t="str">
        <f t="shared" si="130"/>
        <v/>
      </c>
      <c r="EW23" s="443" t="str">
        <f t="shared" si="131"/>
        <v/>
      </c>
      <c r="EX23" s="443" t="str">
        <f t="shared" si="132"/>
        <v/>
      </c>
      <c r="EY23" s="443" t="str">
        <f t="shared" si="133"/>
        <v/>
      </c>
      <c r="EZ23" s="443" t="str">
        <f t="shared" si="134"/>
        <v/>
      </c>
      <c r="FA23" s="443" t="str">
        <f t="shared" si="135"/>
        <v/>
      </c>
      <c r="FB23" s="443" t="str">
        <f t="shared" si="136"/>
        <v/>
      </c>
      <c r="FC23" s="443" t="str">
        <f t="shared" si="137"/>
        <v/>
      </c>
      <c r="FD23" s="443" t="str">
        <f t="shared" si="138"/>
        <v/>
      </c>
      <c r="FE23" s="443" t="str">
        <f t="shared" si="139"/>
        <v/>
      </c>
      <c r="FF23" s="443" t="str">
        <f t="shared" si="140"/>
        <v/>
      </c>
      <c r="FG23" s="443" t="str">
        <f t="shared" si="141"/>
        <v/>
      </c>
      <c r="FH23" s="443" t="str">
        <f t="shared" si="142"/>
        <v/>
      </c>
      <c r="FI23" s="443" t="str">
        <f t="shared" si="143"/>
        <v/>
      </c>
      <c r="FJ23" s="443" t="str">
        <f t="shared" si="144"/>
        <v/>
      </c>
      <c r="FK23" s="443" t="str">
        <f t="shared" si="145"/>
        <v/>
      </c>
      <c r="FL23" s="443" t="str">
        <f t="shared" si="146"/>
        <v/>
      </c>
      <c r="FM23" s="443" t="str">
        <f t="shared" si="147"/>
        <v/>
      </c>
      <c r="FN23" s="443" t="str">
        <f t="shared" si="148"/>
        <v/>
      </c>
      <c r="FO23" s="443" t="str">
        <f t="shared" si="149"/>
        <v/>
      </c>
      <c r="FP23" s="443" t="str">
        <f t="shared" si="150"/>
        <v/>
      </c>
      <c r="FQ23" s="443" t="str">
        <f t="shared" si="151"/>
        <v/>
      </c>
      <c r="FR23" s="443" t="str">
        <f t="shared" si="152"/>
        <v/>
      </c>
      <c r="FS23" s="443" t="str">
        <f t="shared" si="153"/>
        <v/>
      </c>
      <c r="FT23" s="443" t="str">
        <f t="shared" si="154"/>
        <v/>
      </c>
      <c r="FU23" s="443" t="str">
        <f t="shared" si="155"/>
        <v/>
      </c>
      <c r="FV23" s="443" t="str">
        <f t="shared" si="156"/>
        <v/>
      </c>
      <c r="FW23" s="443" t="str">
        <f t="shared" si="157"/>
        <v/>
      </c>
      <c r="FX23" s="443" t="str">
        <f t="shared" si="158"/>
        <v/>
      </c>
      <c r="FY23" s="443" t="str">
        <f t="shared" si="159"/>
        <v/>
      </c>
      <c r="FZ23" s="443" t="str">
        <f t="shared" si="160"/>
        <v/>
      </c>
      <c r="GA23" s="443" t="str">
        <f t="shared" si="161"/>
        <v/>
      </c>
      <c r="GB23" s="443" t="str">
        <f t="shared" si="162"/>
        <v/>
      </c>
      <c r="GC23" s="443" t="str">
        <f t="shared" si="163"/>
        <v/>
      </c>
      <c r="GD23" s="443" t="str">
        <f t="shared" si="164"/>
        <v/>
      </c>
      <c r="GE23" s="443" t="str">
        <f t="shared" si="165"/>
        <v/>
      </c>
      <c r="GF23" s="443" t="str">
        <f t="shared" si="166"/>
        <v/>
      </c>
      <c r="GG23" s="443" t="str">
        <f t="shared" si="167"/>
        <v/>
      </c>
      <c r="GH23" s="443" t="str">
        <f t="shared" si="168"/>
        <v/>
      </c>
      <c r="GI23" s="443" t="str">
        <f t="shared" si="169"/>
        <v/>
      </c>
      <c r="GJ23" s="443" t="str">
        <f t="shared" si="170"/>
        <v/>
      </c>
      <c r="GK23" s="443" t="str">
        <f t="shared" si="171"/>
        <v/>
      </c>
      <c r="GL23" s="443" t="str">
        <f t="shared" si="172"/>
        <v/>
      </c>
      <c r="GM23" s="443" t="str">
        <f t="shared" si="173"/>
        <v/>
      </c>
      <c r="GN23" s="443" t="str">
        <f t="shared" si="174"/>
        <v/>
      </c>
      <c r="GO23" s="443" t="str">
        <f t="shared" si="175"/>
        <v/>
      </c>
      <c r="GP23" s="443" t="str">
        <f t="shared" si="176"/>
        <v/>
      </c>
      <c r="GQ23" s="443" t="str">
        <f t="shared" si="177"/>
        <v/>
      </c>
      <c r="GR23" s="443" t="str">
        <f t="shared" si="178"/>
        <v/>
      </c>
      <c r="GS23" s="443" t="str">
        <f t="shared" si="179"/>
        <v/>
      </c>
      <c r="GT23" s="443" t="str">
        <f t="shared" si="180"/>
        <v/>
      </c>
      <c r="GU23" s="443" t="str">
        <f t="shared" si="181"/>
        <v/>
      </c>
      <c r="GV23" s="443" t="str">
        <f t="shared" si="182"/>
        <v/>
      </c>
      <c r="GW23" s="443" t="str">
        <f t="shared" si="183"/>
        <v/>
      </c>
      <c r="GX23" s="443" t="str">
        <f t="shared" si="184"/>
        <v/>
      </c>
      <c r="GY23" s="443" t="str">
        <f t="shared" si="185"/>
        <v/>
      </c>
      <c r="GZ23" s="443" t="str">
        <f t="shared" si="186"/>
        <v/>
      </c>
      <c r="HA23" s="443" t="str">
        <f t="shared" si="187"/>
        <v/>
      </c>
      <c r="HB23" s="443" t="str">
        <f t="shared" si="188"/>
        <v/>
      </c>
      <c r="HC23" s="443" t="str">
        <f t="shared" si="189"/>
        <v/>
      </c>
      <c r="HD23" s="443" t="str">
        <f t="shared" si="190"/>
        <v/>
      </c>
      <c r="HE23" s="443" t="str">
        <f t="shared" si="191"/>
        <v/>
      </c>
      <c r="HF23" s="443" t="str">
        <f t="shared" si="192"/>
        <v/>
      </c>
      <c r="HG23" s="443" t="str">
        <f t="shared" si="193"/>
        <v/>
      </c>
      <c r="HH23" s="443" t="str">
        <f t="shared" si="194"/>
        <v/>
      </c>
      <c r="HI23" s="443" t="str">
        <f t="shared" si="195"/>
        <v/>
      </c>
      <c r="HJ23" s="443" t="str">
        <f t="shared" si="196"/>
        <v/>
      </c>
      <c r="HK23" s="443" t="str">
        <f t="shared" si="197"/>
        <v/>
      </c>
      <c r="HL23" s="443" t="str">
        <f t="shared" si="198"/>
        <v/>
      </c>
      <c r="HM23" s="443" t="str">
        <f t="shared" si="199"/>
        <v/>
      </c>
      <c r="HN23" s="443" t="str">
        <f t="shared" si="200"/>
        <v/>
      </c>
      <c r="HO23" s="443" t="str">
        <f t="shared" si="201"/>
        <v/>
      </c>
      <c r="HP23" s="443" t="str">
        <f t="shared" si="202"/>
        <v/>
      </c>
      <c r="HQ23" s="443" t="str">
        <f t="shared" si="203"/>
        <v/>
      </c>
      <c r="HR23" s="443" t="str">
        <f t="shared" si="204"/>
        <v/>
      </c>
      <c r="HS23" s="443" t="str">
        <f t="shared" si="205"/>
        <v/>
      </c>
      <c r="HT23" s="443" t="str">
        <f t="shared" si="206"/>
        <v/>
      </c>
      <c r="HU23" s="443" t="str">
        <f t="shared" si="207"/>
        <v/>
      </c>
      <c r="HV23" s="443" t="str">
        <f t="shared" si="208"/>
        <v/>
      </c>
      <c r="HW23" s="443" t="str">
        <f t="shared" si="209"/>
        <v/>
      </c>
      <c r="HX23" s="443" t="str">
        <f t="shared" si="210"/>
        <v/>
      </c>
      <c r="HY23" s="443" t="str">
        <f t="shared" si="211"/>
        <v/>
      </c>
      <c r="HZ23" s="2247" t="str">
        <f t="shared" si="212"/>
        <v/>
      </c>
      <c r="IA23" s="2247" t="str">
        <f t="shared" si="213"/>
        <v/>
      </c>
      <c r="IB23" s="2247" t="str">
        <f t="shared" si="214"/>
        <v/>
      </c>
      <c r="IC23" s="2247" t="str">
        <f t="shared" si="215"/>
        <v/>
      </c>
      <c r="ID23" s="2247" t="str">
        <f t="shared" si="216"/>
        <v/>
      </c>
      <c r="IE23" s="2247" t="str">
        <f t="shared" si="217"/>
        <v/>
      </c>
      <c r="IF23" s="2247" t="str">
        <f t="shared" si="218"/>
        <v/>
      </c>
      <c r="IG23" s="2247" t="str">
        <f t="shared" si="219"/>
        <v/>
      </c>
      <c r="IH23" s="2247" t="str">
        <f t="shared" si="220"/>
        <v/>
      </c>
      <c r="II23" s="2247" t="str">
        <f t="shared" si="221"/>
        <v/>
      </c>
      <c r="IJ23" s="2247" t="str">
        <f t="shared" si="222"/>
        <v/>
      </c>
      <c r="IK23" s="2247" t="str">
        <f t="shared" si="223"/>
        <v/>
      </c>
      <c r="IL23" s="2247" t="str">
        <f t="shared" si="224"/>
        <v/>
      </c>
      <c r="IM23" s="2247" t="str">
        <f t="shared" si="225"/>
        <v/>
      </c>
      <c r="IN23" s="2247" t="str">
        <f t="shared" si="226"/>
        <v/>
      </c>
      <c r="IO23" s="2247" t="str">
        <f t="shared" si="227"/>
        <v/>
      </c>
      <c r="IP23" s="2247" t="str">
        <f t="shared" si="228"/>
        <v/>
      </c>
      <c r="IQ23" s="2247" t="str">
        <f t="shared" si="229"/>
        <v/>
      </c>
      <c r="IR23" s="2247" t="str">
        <f t="shared" si="230"/>
        <v/>
      </c>
      <c r="IS23" s="2247" t="str">
        <f t="shared" si="231"/>
        <v/>
      </c>
      <c r="IT23" s="2247" t="str">
        <f t="shared" si="232"/>
        <v/>
      </c>
      <c r="IU23" s="2247" t="str">
        <f t="shared" si="233"/>
        <v/>
      </c>
      <c r="IV23" s="2247" t="str">
        <f t="shared" si="234"/>
        <v/>
      </c>
      <c r="IW23" s="2247" t="str">
        <f t="shared" si="235"/>
        <v/>
      </c>
      <c r="IX23" s="2247" t="str">
        <f t="shared" si="236"/>
        <v/>
      </c>
      <c r="IY23" s="2247" t="str">
        <f t="shared" si="237"/>
        <v/>
      </c>
      <c r="IZ23" s="2247" t="str">
        <f t="shared" si="238"/>
        <v/>
      </c>
      <c r="JA23" s="2247" t="str">
        <f t="shared" si="239"/>
        <v/>
      </c>
      <c r="JB23" s="2247" t="str">
        <f t="shared" si="240"/>
        <v/>
      </c>
      <c r="JC23" s="2247" t="str">
        <f t="shared" si="241"/>
        <v/>
      </c>
      <c r="JD23" s="2247" t="str">
        <f t="shared" si="242"/>
        <v/>
      </c>
      <c r="JE23" s="2247" t="str">
        <f t="shared" si="243"/>
        <v/>
      </c>
      <c r="JF23" s="2247" t="str">
        <f t="shared" si="244"/>
        <v/>
      </c>
      <c r="JG23" s="2247" t="str">
        <f t="shared" si="245"/>
        <v/>
      </c>
      <c r="JH23" s="2247" t="str">
        <f t="shared" si="246"/>
        <v/>
      </c>
      <c r="JI23" s="2247" t="str">
        <f t="shared" si="247"/>
        <v/>
      </c>
      <c r="JJ23" s="2247" t="str">
        <f t="shared" si="248"/>
        <v/>
      </c>
      <c r="JK23" s="2247" t="str">
        <f t="shared" si="249"/>
        <v/>
      </c>
      <c r="JL23" s="2247" t="str">
        <f t="shared" si="250"/>
        <v/>
      </c>
      <c r="JM23" s="2247" t="str">
        <f t="shared" si="251"/>
        <v/>
      </c>
      <c r="JN23" s="2247" t="str">
        <f t="shared" si="252"/>
        <v/>
      </c>
      <c r="JO23" s="2247" t="str">
        <f t="shared" si="253"/>
        <v/>
      </c>
      <c r="JP23" s="2247" t="str">
        <f t="shared" si="254"/>
        <v/>
      </c>
      <c r="JQ23" s="2247" t="str">
        <f t="shared" si="255"/>
        <v/>
      </c>
      <c r="JR23" s="2247" t="str">
        <f t="shared" si="256"/>
        <v/>
      </c>
      <c r="JS23" s="2247" t="str">
        <f t="shared" si="257"/>
        <v/>
      </c>
      <c r="JT23" s="2247" t="str">
        <f t="shared" si="258"/>
        <v/>
      </c>
      <c r="JU23" s="2247" t="str">
        <f t="shared" si="259"/>
        <v/>
      </c>
      <c r="JV23" s="2247" t="str">
        <f t="shared" si="260"/>
        <v/>
      </c>
      <c r="JW23" s="2247" t="str">
        <f t="shared" si="261"/>
        <v/>
      </c>
      <c r="JX23" s="2247" t="str">
        <f t="shared" si="262"/>
        <v/>
      </c>
      <c r="JY23" s="2247" t="str">
        <f t="shared" si="263"/>
        <v/>
      </c>
      <c r="JZ23" s="2247" t="str">
        <f t="shared" si="264"/>
        <v/>
      </c>
      <c r="KA23" s="2247" t="str">
        <f t="shared" si="265"/>
        <v/>
      </c>
      <c r="KB23" s="2247" t="str">
        <f t="shared" si="266"/>
        <v/>
      </c>
      <c r="KC23" s="2247" t="str">
        <f t="shared" si="267"/>
        <v/>
      </c>
      <c r="KD23" s="2247" t="str">
        <f t="shared" si="268"/>
        <v/>
      </c>
      <c r="KE23" s="2247" t="str">
        <f t="shared" si="269"/>
        <v/>
      </c>
      <c r="KF23" s="2247" t="str">
        <f t="shared" si="270"/>
        <v/>
      </c>
      <c r="KG23" s="2247" t="str">
        <f t="shared" si="271"/>
        <v/>
      </c>
      <c r="KH23" s="2247" t="str">
        <f t="shared" si="272"/>
        <v/>
      </c>
      <c r="KI23" s="2247" t="str">
        <f t="shared" si="273"/>
        <v/>
      </c>
      <c r="KJ23" s="2247" t="str">
        <f t="shared" si="274"/>
        <v/>
      </c>
      <c r="KK23" s="2247" t="str">
        <f t="shared" si="275"/>
        <v/>
      </c>
      <c r="KL23" s="2247" t="str">
        <f t="shared" si="276"/>
        <v/>
      </c>
      <c r="KM23" s="2247" t="str">
        <f t="shared" si="277"/>
        <v/>
      </c>
      <c r="KN23" s="2247" t="str">
        <f t="shared" si="278"/>
        <v/>
      </c>
      <c r="KO23" s="2247" t="str">
        <f t="shared" si="279"/>
        <v/>
      </c>
      <c r="KP23" s="2247" t="str">
        <f t="shared" si="280"/>
        <v/>
      </c>
      <c r="KQ23" s="2247" t="str">
        <f t="shared" si="281"/>
        <v/>
      </c>
      <c r="KR23" s="2247" t="str">
        <f t="shared" si="282"/>
        <v/>
      </c>
      <c r="KS23" s="2247" t="str">
        <f t="shared" si="283"/>
        <v/>
      </c>
      <c r="KT23" s="2247" t="str">
        <f t="shared" si="284"/>
        <v/>
      </c>
      <c r="KU23" s="2247" t="str">
        <f t="shared" si="285"/>
        <v/>
      </c>
      <c r="KV23" s="2247" t="str">
        <f t="shared" si="286"/>
        <v/>
      </c>
      <c r="KW23" s="2247" t="str">
        <f t="shared" si="287"/>
        <v/>
      </c>
      <c r="KX23" s="2247" t="str">
        <f t="shared" si="288"/>
        <v/>
      </c>
      <c r="KY23" s="2247" t="str">
        <f t="shared" si="289"/>
        <v/>
      </c>
      <c r="KZ23" s="2247" t="str">
        <f t="shared" si="290"/>
        <v/>
      </c>
      <c r="LA23" s="2247" t="str">
        <f t="shared" si="291"/>
        <v/>
      </c>
      <c r="LB23" s="2247" t="str">
        <f t="shared" si="292"/>
        <v/>
      </c>
      <c r="LC23" s="2247" t="str">
        <f t="shared" si="293"/>
        <v/>
      </c>
      <c r="LD23" s="2247" t="str">
        <f t="shared" si="294"/>
        <v/>
      </c>
      <c r="LE23" s="2247" t="str">
        <f t="shared" si="295"/>
        <v/>
      </c>
      <c r="LF23" s="2247" t="str">
        <f t="shared" si="296"/>
        <v/>
      </c>
      <c r="LG23" s="2247" t="str">
        <f t="shared" si="297"/>
        <v/>
      </c>
      <c r="LH23" s="2247" t="str">
        <f t="shared" si="298"/>
        <v/>
      </c>
      <c r="LI23" s="2247" t="str">
        <f t="shared" si="299"/>
        <v/>
      </c>
      <c r="LJ23" s="2247" t="str">
        <f t="shared" si="300"/>
        <v/>
      </c>
      <c r="LK23" s="2247" t="str">
        <f t="shared" si="301"/>
        <v/>
      </c>
      <c r="LL23" s="2247" t="str">
        <f t="shared" si="302"/>
        <v/>
      </c>
      <c r="LM23" s="2247" t="str">
        <f t="shared" si="303"/>
        <v/>
      </c>
      <c r="LN23" s="2247" t="str">
        <f t="shared" si="304"/>
        <v/>
      </c>
      <c r="LO23" s="2247" t="str">
        <f t="shared" si="305"/>
        <v/>
      </c>
      <c r="LP23" s="2247" t="str">
        <f t="shared" si="306"/>
        <v/>
      </c>
      <c r="LQ23" s="2248" t="str">
        <f t="shared" si="307"/>
        <v/>
      </c>
      <c r="LR23" s="2248" t="str">
        <f t="shared" si="308"/>
        <v/>
      </c>
      <c r="LS23" s="2248" t="str">
        <f t="shared" si="309"/>
        <v/>
      </c>
      <c r="LT23" s="2248" t="str">
        <f t="shared" si="310"/>
        <v/>
      </c>
      <c r="LU23" s="2248" t="str">
        <f t="shared" si="311"/>
        <v/>
      </c>
      <c r="LV23" s="443" t="str">
        <f t="shared" si="312"/>
        <v/>
      </c>
      <c r="LW23" s="443" t="str">
        <f t="shared" si="313"/>
        <v/>
      </c>
      <c r="LX23" s="443" t="str">
        <f t="shared" si="314"/>
        <v/>
      </c>
      <c r="LY23" s="443" t="str">
        <f t="shared" si="315"/>
        <v/>
      </c>
      <c r="LZ23" s="443" t="str">
        <f t="shared" si="316"/>
        <v/>
      </c>
      <c r="MA23" s="443" t="str">
        <f t="shared" si="317"/>
        <v/>
      </c>
      <c r="MB23" s="443" t="str">
        <f t="shared" si="318"/>
        <v/>
      </c>
      <c r="MC23" s="443" t="str">
        <f t="shared" si="319"/>
        <v/>
      </c>
      <c r="MD23" s="443" t="str">
        <f t="shared" si="320"/>
        <v/>
      </c>
      <c r="ME23" s="443" t="str">
        <f t="shared" si="321"/>
        <v/>
      </c>
      <c r="MF23" s="443" t="str">
        <f t="shared" si="322"/>
        <v/>
      </c>
      <c r="MG23" s="443" t="str">
        <f t="shared" si="323"/>
        <v/>
      </c>
      <c r="MH23" s="443" t="str">
        <f t="shared" si="324"/>
        <v/>
      </c>
      <c r="MI23" s="443" t="str">
        <f t="shared" si="325"/>
        <v/>
      </c>
      <c r="MJ23" s="443" t="str">
        <f t="shared" si="326"/>
        <v/>
      </c>
      <c r="MK23" s="443" t="str">
        <f t="shared" si="327"/>
        <v/>
      </c>
      <c r="ML23" s="443" t="str">
        <f t="shared" si="328"/>
        <v/>
      </c>
      <c r="MM23" s="443" t="str">
        <f t="shared" si="329"/>
        <v/>
      </c>
      <c r="MN23" s="443" t="str">
        <f t="shared" si="330"/>
        <v/>
      </c>
      <c r="MO23" s="443" t="str">
        <f t="shared" si="331"/>
        <v/>
      </c>
      <c r="MP23" s="2246">
        <f t="shared" si="338"/>
        <v>0</v>
      </c>
      <c r="MQ23" s="2246">
        <f t="shared" si="339"/>
        <v>0</v>
      </c>
      <c r="MR23" s="2246">
        <f t="shared" si="340"/>
        <v>0</v>
      </c>
      <c r="MS23" s="2246">
        <f t="shared" si="341"/>
        <v>0</v>
      </c>
      <c r="MT23" s="2246">
        <f t="shared" si="342"/>
        <v>0</v>
      </c>
      <c r="MU23" s="2246">
        <f t="shared" si="343"/>
        <v>0</v>
      </c>
      <c r="MV23" s="2246">
        <f t="shared" si="344"/>
        <v>0</v>
      </c>
      <c r="MW23" s="2246">
        <f t="shared" si="345"/>
        <v>0</v>
      </c>
      <c r="MX23" s="2246">
        <f t="shared" si="346"/>
        <v>0</v>
      </c>
      <c r="MY23" s="2246">
        <f t="shared" si="347"/>
        <v>0</v>
      </c>
      <c r="MZ23" s="2246">
        <f t="shared" si="332"/>
        <v>0</v>
      </c>
      <c r="NA23" s="2246">
        <f t="shared" si="333"/>
        <v>0</v>
      </c>
      <c r="NB23" s="2246">
        <f t="shared" si="334"/>
        <v>0</v>
      </c>
      <c r="NC23" s="2246">
        <f t="shared" si="335"/>
        <v>0</v>
      </c>
      <c r="ND23" s="2246">
        <f t="shared" si="336"/>
        <v>0</v>
      </c>
    </row>
    <row r="24" spans="1:368" ht="13.95" customHeight="1">
      <c r="A24" s="109" t="str">
        <f t="shared" si="337"/>
        <v/>
      </c>
      <c r="B24" s="4015"/>
      <c r="C24" s="3987"/>
      <c r="D24" s="3988"/>
      <c r="E24" s="3989"/>
      <c r="F24" s="3989"/>
      <c r="G24" s="3989"/>
      <c r="H24" s="3989"/>
      <c r="I24" s="3989"/>
      <c r="J24" s="4016">
        <f>IF(C24="",0,HLOOKUP(C24,'Part V-Utility Allowances'!$I$11:$M$22,12))</f>
        <v>0</v>
      </c>
      <c r="K24" s="3991"/>
      <c r="L24" s="567">
        <f t="shared" si="0"/>
        <v>0</v>
      </c>
      <c r="M24" s="567">
        <f t="shared" si="1"/>
        <v>0</v>
      </c>
      <c r="N24" s="3992"/>
      <c r="O24" s="3992"/>
      <c r="P24" s="3992"/>
      <c r="Q24" s="3993"/>
      <c r="R24" s="3994"/>
      <c r="S24" s="3995"/>
      <c r="T24" s="3996"/>
      <c r="U24" s="3997"/>
      <c r="V24" s="3997"/>
      <c r="W24" s="3998"/>
      <c r="X24" s="443" t="str">
        <f t="shared" si="2"/>
        <v/>
      </c>
      <c r="Y24" s="443" t="str">
        <f t="shared" si="3"/>
        <v/>
      </c>
      <c r="Z24" s="443" t="str">
        <f t="shared" si="4"/>
        <v/>
      </c>
      <c r="AA24" s="443" t="str">
        <f t="shared" si="5"/>
        <v/>
      </c>
      <c r="AB24" s="443" t="str">
        <f t="shared" si="6"/>
        <v/>
      </c>
      <c r="AC24" s="443" t="str">
        <f t="shared" si="7"/>
        <v/>
      </c>
      <c r="AD24" s="443" t="str">
        <f t="shared" si="8"/>
        <v/>
      </c>
      <c r="AE24" s="443" t="str">
        <f t="shared" si="9"/>
        <v/>
      </c>
      <c r="AF24" s="443" t="str">
        <f t="shared" si="10"/>
        <v/>
      </c>
      <c r="AG24" s="443" t="str">
        <f t="shared" si="11"/>
        <v/>
      </c>
      <c r="AH24" s="443" t="str">
        <f t="shared" si="12"/>
        <v/>
      </c>
      <c r="AI24" s="443" t="str">
        <f t="shared" si="13"/>
        <v/>
      </c>
      <c r="AJ24" s="443" t="str">
        <f t="shared" si="14"/>
        <v/>
      </c>
      <c r="AK24" s="443" t="str">
        <f t="shared" si="15"/>
        <v/>
      </c>
      <c r="AL24" s="443" t="str">
        <f t="shared" si="16"/>
        <v/>
      </c>
      <c r="AM24" s="443" t="str">
        <f t="shared" si="17"/>
        <v/>
      </c>
      <c r="AN24" s="443" t="str">
        <f t="shared" si="18"/>
        <v/>
      </c>
      <c r="AO24" s="443" t="str">
        <f t="shared" si="19"/>
        <v/>
      </c>
      <c r="AP24" s="443" t="str">
        <f t="shared" si="20"/>
        <v/>
      </c>
      <c r="AQ24" s="443" t="str">
        <f t="shared" si="21"/>
        <v/>
      </c>
      <c r="AR24" s="443" t="str">
        <f t="shared" si="22"/>
        <v/>
      </c>
      <c r="AS24" s="443" t="str">
        <f t="shared" si="23"/>
        <v/>
      </c>
      <c r="AT24" s="443" t="str">
        <f t="shared" si="24"/>
        <v/>
      </c>
      <c r="AU24" s="443" t="str">
        <f t="shared" si="25"/>
        <v/>
      </c>
      <c r="AV24" s="443" t="str">
        <f t="shared" si="26"/>
        <v/>
      </c>
      <c r="AW24" s="443" t="str">
        <f t="shared" si="27"/>
        <v/>
      </c>
      <c r="AX24" s="443" t="str">
        <f t="shared" si="28"/>
        <v/>
      </c>
      <c r="AY24" s="443" t="str">
        <f t="shared" si="29"/>
        <v/>
      </c>
      <c r="AZ24" s="443" t="str">
        <f t="shared" si="30"/>
        <v/>
      </c>
      <c r="BA24" s="443" t="str">
        <f t="shared" si="31"/>
        <v/>
      </c>
      <c r="BB24" s="443" t="str">
        <f t="shared" si="32"/>
        <v/>
      </c>
      <c r="BC24" s="443" t="str">
        <f t="shared" si="33"/>
        <v/>
      </c>
      <c r="BD24" s="443" t="str">
        <f t="shared" si="34"/>
        <v/>
      </c>
      <c r="BE24" s="443" t="str">
        <f t="shared" si="35"/>
        <v/>
      </c>
      <c r="BF24" s="443" t="str">
        <f t="shared" si="36"/>
        <v/>
      </c>
      <c r="BG24" s="443" t="str">
        <f t="shared" si="37"/>
        <v/>
      </c>
      <c r="BH24" s="443" t="str">
        <f t="shared" si="38"/>
        <v/>
      </c>
      <c r="BI24" s="443" t="str">
        <f t="shared" si="39"/>
        <v/>
      </c>
      <c r="BJ24" s="443" t="str">
        <f t="shared" si="40"/>
        <v/>
      </c>
      <c r="BK24" s="443" t="str">
        <f t="shared" si="41"/>
        <v/>
      </c>
      <c r="BL24" s="443" t="str">
        <f t="shared" si="42"/>
        <v/>
      </c>
      <c r="BM24" s="443" t="str">
        <f t="shared" si="43"/>
        <v/>
      </c>
      <c r="BN24" s="443" t="str">
        <f t="shared" si="44"/>
        <v/>
      </c>
      <c r="BO24" s="443" t="str">
        <f t="shared" si="45"/>
        <v/>
      </c>
      <c r="BP24" s="443" t="str">
        <f t="shared" si="46"/>
        <v/>
      </c>
      <c r="BQ24" s="443" t="str">
        <f t="shared" si="47"/>
        <v/>
      </c>
      <c r="BR24" s="443" t="str">
        <f t="shared" si="48"/>
        <v/>
      </c>
      <c r="BS24" s="443" t="str">
        <f t="shared" si="49"/>
        <v/>
      </c>
      <c r="BT24" s="443" t="str">
        <f t="shared" si="50"/>
        <v/>
      </c>
      <c r="BU24" s="443" t="str">
        <f t="shared" si="51"/>
        <v/>
      </c>
      <c r="BV24" s="443" t="str">
        <f t="shared" si="52"/>
        <v/>
      </c>
      <c r="BW24" s="443" t="str">
        <f t="shared" si="53"/>
        <v/>
      </c>
      <c r="BX24" s="443" t="str">
        <f t="shared" si="54"/>
        <v/>
      </c>
      <c r="BY24" s="443" t="str">
        <f t="shared" si="55"/>
        <v/>
      </c>
      <c r="BZ24" s="443" t="str">
        <f t="shared" si="56"/>
        <v/>
      </c>
      <c r="CA24" s="443" t="str">
        <f t="shared" si="57"/>
        <v/>
      </c>
      <c r="CB24" s="443" t="str">
        <f t="shared" si="58"/>
        <v/>
      </c>
      <c r="CC24" s="443" t="str">
        <f t="shared" si="59"/>
        <v/>
      </c>
      <c r="CD24" s="443" t="str">
        <f t="shared" si="60"/>
        <v/>
      </c>
      <c r="CE24" s="443" t="str">
        <f t="shared" si="61"/>
        <v/>
      </c>
      <c r="CF24" s="443" t="str">
        <f t="shared" si="62"/>
        <v/>
      </c>
      <c r="CG24" s="443" t="str">
        <f t="shared" si="63"/>
        <v/>
      </c>
      <c r="CH24" s="443" t="str">
        <f t="shared" si="64"/>
        <v/>
      </c>
      <c r="CI24" s="443" t="str">
        <f t="shared" si="65"/>
        <v/>
      </c>
      <c r="CJ24" s="443" t="str">
        <f t="shared" si="66"/>
        <v/>
      </c>
      <c r="CK24" s="443" t="str">
        <f t="shared" si="67"/>
        <v/>
      </c>
      <c r="CL24" s="443" t="str">
        <f t="shared" si="68"/>
        <v/>
      </c>
      <c r="CM24" s="443" t="str">
        <f t="shared" si="69"/>
        <v/>
      </c>
      <c r="CN24" s="443" t="str">
        <f t="shared" si="70"/>
        <v/>
      </c>
      <c r="CO24" s="443" t="str">
        <f t="shared" si="71"/>
        <v/>
      </c>
      <c r="CP24" s="443" t="str">
        <f t="shared" si="72"/>
        <v/>
      </c>
      <c r="CQ24" s="443" t="str">
        <f t="shared" si="73"/>
        <v/>
      </c>
      <c r="CR24" s="443" t="str">
        <f t="shared" si="74"/>
        <v/>
      </c>
      <c r="CS24" s="443" t="str">
        <f t="shared" si="75"/>
        <v/>
      </c>
      <c r="CT24" s="443" t="str">
        <f t="shared" si="76"/>
        <v/>
      </c>
      <c r="CU24" s="443" t="str">
        <f t="shared" si="77"/>
        <v/>
      </c>
      <c r="CV24" s="443" t="str">
        <f t="shared" si="78"/>
        <v/>
      </c>
      <c r="CW24" s="443" t="str">
        <f t="shared" si="79"/>
        <v/>
      </c>
      <c r="CX24" s="443" t="str">
        <f t="shared" si="80"/>
        <v/>
      </c>
      <c r="CY24" s="443" t="str">
        <f t="shared" si="81"/>
        <v/>
      </c>
      <c r="CZ24" s="443" t="str">
        <f t="shared" si="82"/>
        <v/>
      </c>
      <c r="DA24" s="443" t="str">
        <f t="shared" si="83"/>
        <v/>
      </c>
      <c r="DB24" s="443" t="str">
        <f t="shared" si="84"/>
        <v/>
      </c>
      <c r="DC24" s="443" t="str">
        <f t="shared" si="85"/>
        <v/>
      </c>
      <c r="DD24" s="443" t="str">
        <f t="shared" si="86"/>
        <v/>
      </c>
      <c r="DE24" s="443" t="str">
        <f t="shared" si="87"/>
        <v/>
      </c>
      <c r="DF24" s="443" t="str">
        <f t="shared" si="88"/>
        <v/>
      </c>
      <c r="DG24" s="443" t="str">
        <f t="shared" si="89"/>
        <v/>
      </c>
      <c r="DH24" s="443" t="str">
        <f t="shared" si="90"/>
        <v/>
      </c>
      <c r="DI24" s="443" t="str">
        <f t="shared" si="91"/>
        <v/>
      </c>
      <c r="DJ24" s="443" t="str">
        <f t="shared" si="92"/>
        <v/>
      </c>
      <c r="DK24" s="443" t="str">
        <f t="shared" si="93"/>
        <v/>
      </c>
      <c r="DL24" s="443" t="str">
        <f t="shared" si="94"/>
        <v/>
      </c>
      <c r="DM24" s="443" t="str">
        <f t="shared" si="95"/>
        <v/>
      </c>
      <c r="DN24" s="443" t="str">
        <f t="shared" si="96"/>
        <v/>
      </c>
      <c r="DO24" s="443" t="str">
        <f t="shared" si="97"/>
        <v/>
      </c>
      <c r="DP24" s="443" t="str">
        <f t="shared" si="98"/>
        <v/>
      </c>
      <c r="DQ24" s="443" t="str">
        <f t="shared" si="99"/>
        <v/>
      </c>
      <c r="DR24" s="443" t="str">
        <f t="shared" si="100"/>
        <v/>
      </c>
      <c r="DS24" s="443" t="str">
        <f t="shared" si="101"/>
        <v/>
      </c>
      <c r="DT24" s="443" t="str">
        <f t="shared" si="102"/>
        <v/>
      </c>
      <c r="DU24" s="443" t="str">
        <f t="shared" si="103"/>
        <v/>
      </c>
      <c r="DV24" s="443" t="str">
        <f t="shared" si="104"/>
        <v/>
      </c>
      <c r="DW24" s="443" t="str">
        <f t="shared" si="105"/>
        <v/>
      </c>
      <c r="DX24" s="443" t="str">
        <f t="shared" si="106"/>
        <v/>
      </c>
      <c r="DY24" s="443" t="str">
        <f t="shared" si="107"/>
        <v/>
      </c>
      <c r="DZ24" s="443" t="str">
        <f t="shared" si="108"/>
        <v/>
      </c>
      <c r="EA24" s="443" t="str">
        <f t="shared" si="109"/>
        <v/>
      </c>
      <c r="EB24" s="443" t="str">
        <f t="shared" si="110"/>
        <v/>
      </c>
      <c r="EC24" s="443" t="str">
        <f t="shared" si="111"/>
        <v/>
      </c>
      <c r="ED24" s="443" t="str">
        <f t="shared" si="112"/>
        <v/>
      </c>
      <c r="EE24" s="443" t="str">
        <f t="shared" si="113"/>
        <v/>
      </c>
      <c r="EF24" s="443" t="str">
        <f t="shared" si="114"/>
        <v/>
      </c>
      <c r="EG24" s="443" t="str">
        <f t="shared" si="115"/>
        <v/>
      </c>
      <c r="EH24" s="443" t="str">
        <f t="shared" si="116"/>
        <v/>
      </c>
      <c r="EI24" s="443" t="str">
        <f t="shared" si="117"/>
        <v/>
      </c>
      <c r="EJ24" s="443" t="str">
        <f t="shared" si="118"/>
        <v/>
      </c>
      <c r="EK24" s="443" t="str">
        <f t="shared" si="119"/>
        <v/>
      </c>
      <c r="EL24" s="443" t="str">
        <f t="shared" si="120"/>
        <v/>
      </c>
      <c r="EM24" s="443" t="str">
        <f t="shared" si="121"/>
        <v/>
      </c>
      <c r="EN24" s="443" t="str">
        <f t="shared" si="122"/>
        <v/>
      </c>
      <c r="EO24" s="443" t="str">
        <f t="shared" si="123"/>
        <v/>
      </c>
      <c r="EP24" s="443" t="str">
        <f t="shared" si="124"/>
        <v/>
      </c>
      <c r="EQ24" s="443" t="str">
        <f t="shared" si="125"/>
        <v/>
      </c>
      <c r="ER24" s="443" t="str">
        <f t="shared" si="126"/>
        <v/>
      </c>
      <c r="ES24" s="443" t="str">
        <f t="shared" si="127"/>
        <v/>
      </c>
      <c r="ET24" s="443" t="str">
        <f t="shared" si="128"/>
        <v/>
      </c>
      <c r="EU24" s="443" t="str">
        <f t="shared" si="129"/>
        <v/>
      </c>
      <c r="EV24" s="443" t="str">
        <f t="shared" si="130"/>
        <v/>
      </c>
      <c r="EW24" s="443" t="str">
        <f t="shared" si="131"/>
        <v/>
      </c>
      <c r="EX24" s="443" t="str">
        <f t="shared" si="132"/>
        <v/>
      </c>
      <c r="EY24" s="443" t="str">
        <f t="shared" si="133"/>
        <v/>
      </c>
      <c r="EZ24" s="443" t="str">
        <f t="shared" si="134"/>
        <v/>
      </c>
      <c r="FA24" s="443" t="str">
        <f t="shared" si="135"/>
        <v/>
      </c>
      <c r="FB24" s="443" t="str">
        <f t="shared" si="136"/>
        <v/>
      </c>
      <c r="FC24" s="443" t="str">
        <f t="shared" si="137"/>
        <v/>
      </c>
      <c r="FD24" s="443" t="str">
        <f t="shared" si="138"/>
        <v/>
      </c>
      <c r="FE24" s="443" t="str">
        <f t="shared" si="139"/>
        <v/>
      </c>
      <c r="FF24" s="443" t="str">
        <f t="shared" si="140"/>
        <v/>
      </c>
      <c r="FG24" s="443" t="str">
        <f t="shared" si="141"/>
        <v/>
      </c>
      <c r="FH24" s="443" t="str">
        <f t="shared" si="142"/>
        <v/>
      </c>
      <c r="FI24" s="443" t="str">
        <f t="shared" si="143"/>
        <v/>
      </c>
      <c r="FJ24" s="443" t="str">
        <f t="shared" si="144"/>
        <v/>
      </c>
      <c r="FK24" s="443" t="str">
        <f t="shared" si="145"/>
        <v/>
      </c>
      <c r="FL24" s="443" t="str">
        <f t="shared" si="146"/>
        <v/>
      </c>
      <c r="FM24" s="443" t="str">
        <f t="shared" si="147"/>
        <v/>
      </c>
      <c r="FN24" s="443" t="str">
        <f t="shared" si="148"/>
        <v/>
      </c>
      <c r="FO24" s="443" t="str">
        <f t="shared" si="149"/>
        <v/>
      </c>
      <c r="FP24" s="443" t="str">
        <f t="shared" si="150"/>
        <v/>
      </c>
      <c r="FQ24" s="443" t="str">
        <f t="shared" si="151"/>
        <v/>
      </c>
      <c r="FR24" s="443" t="str">
        <f t="shared" si="152"/>
        <v/>
      </c>
      <c r="FS24" s="443" t="str">
        <f t="shared" si="153"/>
        <v/>
      </c>
      <c r="FT24" s="443" t="str">
        <f t="shared" si="154"/>
        <v/>
      </c>
      <c r="FU24" s="443" t="str">
        <f t="shared" si="155"/>
        <v/>
      </c>
      <c r="FV24" s="443" t="str">
        <f t="shared" si="156"/>
        <v/>
      </c>
      <c r="FW24" s="443" t="str">
        <f t="shared" si="157"/>
        <v/>
      </c>
      <c r="FX24" s="443" t="str">
        <f t="shared" si="158"/>
        <v/>
      </c>
      <c r="FY24" s="443" t="str">
        <f t="shared" si="159"/>
        <v/>
      </c>
      <c r="FZ24" s="443" t="str">
        <f t="shared" si="160"/>
        <v/>
      </c>
      <c r="GA24" s="443" t="str">
        <f t="shared" si="161"/>
        <v/>
      </c>
      <c r="GB24" s="443" t="str">
        <f t="shared" si="162"/>
        <v/>
      </c>
      <c r="GC24" s="443" t="str">
        <f t="shared" si="163"/>
        <v/>
      </c>
      <c r="GD24" s="443" t="str">
        <f t="shared" si="164"/>
        <v/>
      </c>
      <c r="GE24" s="443" t="str">
        <f t="shared" si="165"/>
        <v/>
      </c>
      <c r="GF24" s="443" t="str">
        <f t="shared" si="166"/>
        <v/>
      </c>
      <c r="GG24" s="443" t="str">
        <f t="shared" si="167"/>
        <v/>
      </c>
      <c r="GH24" s="443" t="str">
        <f t="shared" si="168"/>
        <v/>
      </c>
      <c r="GI24" s="443" t="str">
        <f t="shared" si="169"/>
        <v/>
      </c>
      <c r="GJ24" s="443" t="str">
        <f t="shared" si="170"/>
        <v/>
      </c>
      <c r="GK24" s="443" t="str">
        <f t="shared" si="171"/>
        <v/>
      </c>
      <c r="GL24" s="443" t="str">
        <f t="shared" si="172"/>
        <v/>
      </c>
      <c r="GM24" s="443" t="str">
        <f t="shared" si="173"/>
        <v/>
      </c>
      <c r="GN24" s="443" t="str">
        <f t="shared" si="174"/>
        <v/>
      </c>
      <c r="GO24" s="443" t="str">
        <f t="shared" si="175"/>
        <v/>
      </c>
      <c r="GP24" s="443" t="str">
        <f t="shared" si="176"/>
        <v/>
      </c>
      <c r="GQ24" s="443" t="str">
        <f t="shared" si="177"/>
        <v/>
      </c>
      <c r="GR24" s="443" t="str">
        <f t="shared" si="178"/>
        <v/>
      </c>
      <c r="GS24" s="443" t="str">
        <f t="shared" si="179"/>
        <v/>
      </c>
      <c r="GT24" s="443" t="str">
        <f t="shared" si="180"/>
        <v/>
      </c>
      <c r="GU24" s="443" t="str">
        <f t="shared" si="181"/>
        <v/>
      </c>
      <c r="GV24" s="443" t="str">
        <f t="shared" si="182"/>
        <v/>
      </c>
      <c r="GW24" s="443" t="str">
        <f t="shared" si="183"/>
        <v/>
      </c>
      <c r="GX24" s="443" t="str">
        <f t="shared" si="184"/>
        <v/>
      </c>
      <c r="GY24" s="443" t="str">
        <f t="shared" si="185"/>
        <v/>
      </c>
      <c r="GZ24" s="443" t="str">
        <f t="shared" si="186"/>
        <v/>
      </c>
      <c r="HA24" s="443" t="str">
        <f t="shared" si="187"/>
        <v/>
      </c>
      <c r="HB24" s="443" t="str">
        <f t="shared" si="188"/>
        <v/>
      </c>
      <c r="HC24" s="443" t="str">
        <f t="shared" si="189"/>
        <v/>
      </c>
      <c r="HD24" s="443" t="str">
        <f t="shared" si="190"/>
        <v/>
      </c>
      <c r="HE24" s="443" t="str">
        <f t="shared" si="191"/>
        <v/>
      </c>
      <c r="HF24" s="443" t="str">
        <f t="shared" si="192"/>
        <v/>
      </c>
      <c r="HG24" s="443" t="str">
        <f t="shared" si="193"/>
        <v/>
      </c>
      <c r="HH24" s="443" t="str">
        <f t="shared" si="194"/>
        <v/>
      </c>
      <c r="HI24" s="443" t="str">
        <f t="shared" si="195"/>
        <v/>
      </c>
      <c r="HJ24" s="443" t="str">
        <f t="shared" si="196"/>
        <v/>
      </c>
      <c r="HK24" s="443" t="str">
        <f t="shared" si="197"/>
        <v/>
      </c>
      <c r="HL24" s="443" t="str">
        <f t="shared" si="198"/>
        <v/>
      </c>
      <c r="HM24" s="443" t="str">
        <f t="shared" si="199"/>
        <v/>
      </c>
      <c r="HN24" s="443" t="str">
        <f t="shared" si="200"/>
        <v/>
      </c>
      <c r="HO24" s="443" t="str">
        <f t="shared" si="201"/>
        <v/>
      </c>
      <c r="HP24" s="443" t="str">
        <f t="shared" si="202"/>
        <v/>
      </c>
      <c r="HQ24" s="443" t="str">
        <f t="shared" si="203"/>
        <v/>
      </c>
      <c r="HR24" s="443" t="str">
        <f t="shared" si="204"/>
        <v/>
      </c>
      <c r="HS24" s="443" t="str">
        <f t="shared" si="205"/>
        <v/>
      </c>
      <c r="HT24" s="443" t="str">
        <f t="shared" si="206"/>
        <v/>
      </c>
      <c r="HU24" s="443" t="str">
        <f t="shared" si="207"/>
        <v/>
      </c>
      <c r="HV24" s="443" t="str">
        <f t="shared" si="208"/>
        <v/>
      </c>
      <c r="HW24" s="443" t="str">
        <f t="shared" si="209"/>
        <v/>
      </c>
      <c r="HX24" s="443" t="str">
        <f t="shared" si="210"/>
        <v/>
      </c>
      <c r="HY24" s="443" t="str">
        <f t="shared" si="211"/>
        <v/>
      </c>
      <c r="HZ24" s="2247" t="str">
        <f t="shared" si="212"/>
        <v/>
      </c>
      <c r="IA24" s="2247" t="str">
        <f t="shared" si="213"/>
        <v/>
      </c>
      <c r="IB24" s="2247" t="str">
        <f t="shared" si="214"/>
        <v/>
      </c>
      <c r="IC24" s="2247" t="str">
        <f t="shared" si="215"/>
        <v/>
      </c>
      <c r="ID24" s="2247" t="str">
        <f t="shared" si="216"/>
        <v/>
      </c>
      <c r="IE24" s="2247" t="str">
        <f t="shared" si="217"/>
        <v/>
      </c>
      <c r="IF24" s="2247" t="str">
        <f t="shared" si="218"/>
        <v/>
      </c>
      <c r="IG24" s="2247" t="str">
        <f t="shared" si="219"/>
        <v/>
      </c>
      <c r="IH24" s="2247" t="str">
        <f t="shared" si="220"/>
        <v/>
      </c>
      <c r="II24" s="2247" t="str">
        <f t="shared" si="221"/>
        <v/>
      </c>
      <c r="IJ24" s="2247" t="str">
        <f t="shared" si="222"/>
        <v/>
      </c>
      <c r="IK24" s="2247" t="str">
        <f t="shared" si="223"/>
        <v/>
      </c>
      <c r="IL24" s="2247" t="str">
        <f t="shared" si="224"/>
        <v/>
      </c>
      <c r="IM24" s="2247" t="str">
        <f t="shared" si="225"/>
        <v/>
      </c>
      <c r="IN24" s="2247" t="str">
        <f t="shared" si="226"/>
        <v/>
      </c>
      <c r="IO24" s="2247" t="str">
        <f t="shared" si="227"/>
        <v/>
      </c>
      <c r="IP24" s="2247" t="str">
        <f t="shared" si="228"/>
        <v/>
      </c>
      <c r="IQ24" s="2247" t="str">
        <f t="shared" si="229"/>
        <v/>
      </c>
      <c r="IR24" s="2247" t="str">
        <f t="shared" si="230"/>
        <v/>
      </c>
      <c r="IS24" s="2247" t="str">
        <f t="shared" si="231"/>
        <v/>
      </c>
      <c r="IT24" s="2247" t="str">
        <f t="shared" si="232"/>
        <v/>
      </c>
      <c r="IU24" s="2247" t="str">
        <f t="shared" si="233"/>
        <v/>
      </c>
      <c r="IV24" s="2247" t="str">
        <f t="shared" si="234"/>
        <v/>
      </c>
      <c r="IW24" s="2247" t="str">
        <f t="shared" si="235"/>
        <v/>
      </c>
      <c r="IX24" s="2247" t="str">
        <f t="shared" si="236"/>
        <v/>
      </c>
      <c r="IY24" s="2247" t="str">
        <f t="shared" si="237"/>
        <v/>
      </c>
      <c r="IZ24" s="2247" t="str">
        <f t="shared" si="238"/>
        <v/>
      </c>
      <c r="JA24" s="2247" t="str">
        <f t="shared" si="239"/>
        <v/>
      </c>
      <c r="JB24" s="2247" t="str">
        <f t="shared" si="240"/>
        <v/>
      </c>
      <c r="JC24" s="2247" t="str">
        <f t="shared" si="241"/>
        <v/>
      </c>
      <c r="JD24" s="2247" t="str">
        <f t="shared" si="242"/>
        <v/>
      </c>
      <c r="JE24" s="2247" t="str">
        <f t="shared" si="243"/>
        <v/>
      </c>
      <c r="JF24" s="2247" t="str">
        <f t="shared" si="244"/>
        <v/>
      </c>
      <c r="JG24" s="2247" t="str">
        <f t="shared" si="245"/>
        <v/>
      </c>
      <c r="JH24" s="2247" t="str">
        <f t="shared" si="246"/>
        <v/>
      </c>
      <c r="JI24" s="2247" t="str">
        <f t="shared" si="247"/>
        <v/>
      </c>
      <c r="JJ24" s="2247" t="str">
        <f t="shared" si="248"/>
        <v/>
      </c>
      <c r="JK24" s="2247" t="str">
        <f t="shared" si="249"/>
        <v/>
      </c>
      <c r="JL24" s="2247" t="str">
        <f t="shared" si="250"/>
        <v/>
      </c>
      <c r="JM24" s="2247" t="str">
        <f t="shared" si="251"/>
        <v/>
      </c>
      <c r="JN24" s="2247" t="str">
        <f t="shared" si="252"/>
        <v/>
      </c>
      <c r="JO24" s="2247" t="str">
        <f t="shared" si="253"/>
        <v/>
      </c>
      <c r="JP24" s="2247" t="str">
        <f t="shared" si="254"/>
        <v/>
      </c>
      <c r="JQ24" s="2247" t="str">
        <f t="shared" si="255"/>
        <v/>
      </c>
      <c r="JR24" s="2247" t="str">
        <f t="shared" si="256"/>
        <v/>
      </c>
      <c r="JS24" s="2247" t="str">
        <f t="shared" si="257"/>
        <v/>
      </c>
      <c r="JT24" s="2247" t="str">
        <f t="shared" si="258"/>
        <v/>
      </c>
      <c r="JU24" s="2247" t="str">
        <f t="shared" si="259"/>
        <v/>
      </c>
      <c r="JV24" s="2247" t="str">
        <f t="shared" si="260"/>
        <v/>
      </c>
      <c r="JW24" s="2247" t="str">
        <f t="shared" si="261"/>
        <v/>
      </c>
      <c r="JX24" s="2247" t="str">
        <f t="shared" si="262"/>
        <v/>
      </c>
      <c r="JY24" s="2247" t="str">
        <f t="shared" si="263"/>
        <v/>
      </c>
      <c r="JZ24" s="2247" t="str">
        <f t="shared" si="264"/>
        <v/>
      </c>
      <c r="KA24" s="2247" t="str">
        <f t="shared" si="265"/>
        <v/>
      </c>
      <c r="KB24" s="2247" t="str">
        <f t="shared" si="266"/>
        <v/>
      </c>
      <c r="KC24" s="2247" t="str">
        <f t="shared" si="267"/>
        <v/>
      </c>
      <c r="KD24" s="2247" t="str">
        <f t="shared" si="268"/>
        <v/>
      </c>
      <c r="KE24" s="2247" t="str">
        <f t="shared" si="269"/>
        <v/>
      </c>
      <c r="KF24" s="2247" t="str">
        <f t="shared" si="270"/>
        <v/>
      </c>
      <c r="KG24" s="2247" t="str">
        <f t="shared" si="271"/>
        <v/>
      </c>
      <c r="KH24" s="2247" t="str">
        <f t="shared" si="272"/>
        <v/>
      </c>
      <c r="KI24" s="2247" t="str">
        <f t="shared" si="273"/>
        <v/>
      </c>
      <c r="KJ24" s="2247" t="str">
        <f t="shared" si="274"/>
        <v/>
      </c>
      <c r="KK24" s="2247" t="str">
        <f t="shared" si="275"/>
        <v/>
      </c>
      <c r="KL24" s="2247" t="str">
        <f t="shared" si="276"/>
        <v/>
      </c>
      <c r="KM24" s="2247" t="str">
        <f t="shared" si="277"/>
        <v/>
      </c>
      <c r="KN24" s="2247" t="str">
        <f t="shared" si="278"/>
        <v/>
      </c>
      <c r="KO24" s="2247" t="str">
        <f t="shared" si="279"/>
        <v/>
      </c>
      <c r="KP24" s="2247" t="str">
        <f t="shared" si="280"/>
        <v/>
      </c>
      <c r="KQ24" s="2247" t="str">
        <f t="shared" si="281"/>
        <v/>
      </c>
      <c r="KR24" s="2247" t="str">
        <f t="shared" si="282"/>
        <v/>
      </c>
      <c r="KS24" s="2247" t="str">
        <f t="shared" si="283"/>
        <v/>
      </c>
      <c r="KT24" s="2247" t="str">
        <f t="shared" si="284"/>
        <v/>
      </c>
      <c r="KU24" s="2247" t="str">
        <f t="shared" si="285"/>
        <v/>
      </c>
      <c r="KV24" s="2247" t="str">
        <f t="shared" si="286"/>
        <v/>
      </c>
      <c r="KW24" s="2247" t="str">
        <f t="shared" si="287"/>
        <v/>
      </c>
      <c r="KX24" s="2247" t="str">
        <f t="shared" si="288"/>
        <v/>
      </c>
      <c r="KY24" s="2247" t="str">
        <f t="shared" si="289"/>
        <v/>
      </c>
      <c r="KZ24" s="2247" t="str">
        <f t="shared" si="290"/>
        <v/>
      </c>
      <c r="LA24" s="2247" t="str">
        <f t="shared" si="291"/>
        <v/>
      </c>
      <c r="LB24" s="2247" t="str">
        <f t="shared" si="292"/>
        <v/>
      </c>
      <c r="LC24" s="2247" t="str">
        <f t="shared" si="293"/>
        <v/>
      </c>
      <c r="LD24" s="2247" t="str">
        <f t="shared" si="294"/>
        <v/>
      </c>
      <c r="LE24" s="2247" t="str">
        <f t="shared" si="295"/>
        <v/>
      </c>
      <c r="LF24" s="2247" t="str">
        <f t="shared" si="296"/>
        <v/>
      </c>
      <c r="LG24" s="2247" t="str">
        <f t="shared" si="297"/>
        <v/>
      </c>
      <c r="LH24" s="2247" t="str">
        <f t="shared" si="298"/>
        <v/>
      </c>
      <c r="LI24" s="2247" t="str">
        <f t="shared" si="299"/>
        <v/>
      </c>
      <c r="LJ24" s="2247" t="str">
        <f t="shared" si="300"/>
        <v/>
      </c>
      <c r="LK24" s="2247" t="str">
        <f t="shared" si="301"/>
        <v/>
      </c>
      <c r="LL24" s="2247" t="str">
        <f t="shared" si="302"/>
        <v/>
      </c>
      <c r="LM24" s="2247" t="str">
        <f t="shared" si="303"/>
        <v/>
      </c>
      <c r="LN24" s="2247" t="str">
        <f t="shared" si="304"/>
        <v/>
      </c>
      <c r="LO24" s="2247" t="str">
        <f t="shared" si="305"/>
        <v/>
      </c>
      <c r="LP24" s="2247" t="str">
        <f t="shared" si="306"/>
        <v/>
      </c>
      <c r="LQ24" s="2248" t="str">
        <f t="shared" si="307"/>
        <v/>
      </c>
      <c r="LR24" s="2248" t="str">
        <f t="shared" si="308"/>
        <v/>
      </c>
      <c r="LS24" s="2248" t="str">
        <f t="shared" si="309"/>
        <v/>
      </c>
      <c r="LT24" s="2248" t="str">
        <f t="shared" si="310"/>
        <v/>
      </c>
      <c r="LU24" s="2248" t="str">
        <f t="shared" si="311"/>
        <v/>
      </c>
      <c r="LV24" s="443" t="str">
        <f t="shared" si="312"/>
        <v/>
      </c>
      <c r="LW24" s="443" t="str">
        <f t="shared" si="313"/>
        <v/>
      </c>
      <c r="LX24" s="443" t="str">
        <f t="shared" si="314"/>
        <v/>
      </c>
      <c r="LY24" s="443" t="str">
        <f t="shared" si="315"/>
        <v/>
      </c>
      <c r="LZ24" s="443" t="str">
        <f t="shared" si="316"/>
        <v/>
      </c>
      <c r="MA24" s="443" t="str">
        <f t="shared" si="317"/>
        <v/>
      </c>
      <c r="MB24" s="443" t="str">
        <f t="shared" si="318"/>
        <v/>
      </c>
      <c r="MC24" s="443" t="str">
        <f t="shared" si="319"/>
        <v/>
      </c>
      <c r="MD24" s="443" t="str">
        <f t="shared" si="320"/>
        <v/>
      </c>
      <c r="ME24" s="443" t="str">
        <f t="shared" si="321"/>
        <v/>
      </c>
      <c r="MF24" s="443" t="str">
        <f t="shared" si="322"/>
        <v/>
      </c>
      <c r="MG24" s="443" t="str">
        <f t="shared" si="323"/>
        <v/>
      </c>
      <c r="MH24" s="443" t="str">
        <f t="shared" si="324"/>
        <v/>
      </c>
      <c r="MI24" s="443" t="str">
        <f t="shared" si="325"/>
        <v/>
      </c>
      <c r="MJ24" s="443" t="str">
        <f t="shared" si="326"/>
        <v/>
      </c>
      <c r="MK24" s="443" t="str">
        <f t="shared" si="327"/>
        <v/>
      </c>
      <c r="ML24" s="443" t="str">
        <f t="shared" si="328"/>
        <v/>
      </c>
      <c r="MM24" s="443" t="str">
        <f t="shared" si="329"/>
        <v/>
      </c>
      <c r="MN24" s="443" t="str">
        <f t="shared" si="330"/>
        <v/>
      </c>
      <c r="MO24" s="443" t="str">
        <f t="shared" si="331"/>
        <v/>
      </c>
      <c r="MP24" s="2246">
        <f t="shared" si="338"/>
        <v>0</v>
      </c>
      <c r="MQ24" s="2246">
        <f t="shared" si="339"/>
        <v>0</v>
      </c>
      <c r="MR24" s="2246">
        <f t="shared" si="340"/>
        <v>0</v>
      </c>
      <c r="MS24" s="2246">
        <f t="shared" si="341"/>
        <v>0</v>
      </c>
      <c r="MT24" s="2246">
        <f t="shared" si="342"/>
        <v>0</v>
      </c>
      <c r="MU24" s="2246">
        <f t="shared" si="343"/>
        <v>0</v>
      </c>
      <c r="MV24" s="2246">
        <f t="shared" si="344"/>
        <v>0</v>
      </c>
      <c r="MW24" s="2246">
        <f t="shared" si="345"/>
        <v>0</v>
      </c>
      <c r="MX24" s="2246">
        <f t="shared" si="346"/>
        <v>0</v>
      </c>
      <c r="MY24" s="2246">
        <f t="shared" si="347"/>
        <v>0</v>
      </c>
      <c r="MZ24" s="2246">
        <f t="shared" si="332"/>
        <v>0</v>
      </c>
      <c r="NA24" s="2246">
        <f t="shared" si="333"/>
        <v>0</v>
      </c>
      <c r="NB24" s="2246">
        <f t="shared" si="334"/>
        <v>0</v>
      </c>
      <c r="NC24" s="2246">
        <f t="shared" si="335"/>
        <v>0</v>
      </c>
      <c r="ND24" s="2246">
        <f t="shared" si="336"/>
        <v>0</v>
      </c>
    </row>
    <row r="25" spans="1:368" ht="13.95" customHeight="1">
      <c r="A25" s="109" t="str">
        <f t="shared" si="337"/>
        <v/>
      </c>
      <c r="B25" s="4015"/>
      <c r="C25" s="3987"/>
      <c r="D25" s="3988"/>
      <c r="E25" s="3989"/>
      <c r="F25" s="3989"/>
      <c r="G25" s="3989"/>
      <c r="H25" s="3989"/>
      <c r="I25" s="3989"/>
      <c r="J25" s="4016">
        <f>IF(C25="",0,HLOOKUP(C25,'Part V-Utility Allowances'!$I$11:$M$22,12))</f>
        <v>0</v>
      </c>
      <c r="K25" s="3991"/>
      <c r="L25" s="567">
        <f t="shared" si="0"/>
        <v>0</v>
      </c>
      <c r="M25" s="567">
        <f t="shared" si="1"/>
        <v>0</v>
      </c>
      <c r="N25" s="3992"/>
      <c r="O25" s="3992"/>
      <c r="P25" s="3992"/>
      <c r="Q25" s="3993"/>
      <c r="R25" s="3994"/>
      <c r="S25" s="3995"/>
      <c r="T25" s="3996"/>
      <c r="U25" s="3997"/>
      <c r="V25" s="3997"/>
      <c r="W25" s="3998"/>
      <c r="X25" s="443" t="str">
        <f t="shared" si="2"/>
        <v/>
      </c>
      <c r="Y25" s="443" t="str">
        <f t="shared" si="3"/>
        <v/>
      </c>
      <c r="Z25" s="443" t="str">
        <f t="shared" si="4"/>
        <v/>
      </c>
      <c r="AA25" s="443" t="str">
        <f t="shared" si="5"/>
        <v/>
      </c>
      <c r="AB25" s="443" t="str">
        <f t="shared" si="6"/>
        <v/>
      </c>
      <c r="AC25" s="443" t="str">
        <f t="shared" si="7"/>
        <v/>
      </c>
      <c r="AD25" s="443" t="str">
        <f t="shared" si="8"/>
        <v/>
      </c>
      <c r="AE25" s="443" t="str">
        <f t="shared" si="9"/>
        <v/>
      </c>
      <c r="AF25" s="443" t="str">
        <f t="shared" si="10"/>
        <v/>
      </c>
      <c r="AG25" s="443" t="str">
        <f t="shared" si="11"/>
        <v/>
      </c>
      <c r="AH25" s="443" t="str">
        <f t="shared" si="12"/>
        <v/>
      </c>
      <c r="AI25" s="443" t="str">
        <f t="shared" si="13"/>
        <v/>
      </c>
      <c r="AJ25" s="443" t="str">
        <f t="shared" si="14"/>
        <v/>
      </c>
      <c r="AK25" s="443" t="str">
        <f t="shared" si="15"/>
        <v/>
      </c>
      <c r="AL25" s="443" t="str">
        <f t="shared" si="16"/>
        <v/>
      </c>
      <c r="AM25" s="443" t="str">
        <f t="shared" si="17"/>
        <v/>
      </c>
      <c r="AN25" s="443" t="str">
        <f t="shared" si="18"/>
        <v/>
      </c>
      <c r="AO25" s="443" t="str">
        <f t="shared" si="19"/>
        <v/>
      </c>
      <c r="AP25" s="443" t="str">
        <f t="shared" si="20"/>
        <v/>
      </c>
      <c r="AQ25" s="443" t="str">
        <f t="shared" si="21"/>
        <v/>
      </c>
      <c r="AR25" s="443" t="str">
        <f t="shared" si="22"/>
        <v/>
      </c>
      <c r="AS25" s="443" t="str">
        <f t="shared" si="23"/>
        <v/>
      </c>
      <c r="AT25" s="443" t="str">
        <f t="shared" si="24"/>
        <v/>
      </c>
      <c r="AU25" s="443" t="str">
        <f t="shared" si="25"/>
        <v/>
      </c>
      <c r="AV25" s="443" t="str">
        <f t="shared" si="26"/>
        <v/>
      </c>
      <c r="AW25" s="443" t="str">
        <f t="shared" si="27"/>
        <v/>
      </c>
      <c r="AX25" s="443" t="str">
        <f t="shared" si="28"/>
        <v/>
      </c>
      <c r="AY25" s="443" t="str">
        <f t="shared" si="29"/>
        <v/>
      </c>
      <c r="AZ25" s="443" t="str">
        <f t="shared" si="30"/>
        <v/>
      </c>
      <c r="BA25" s="443" t="str">
        <f t="shared" si="31"/>
        <v/>
      </c>
      <c r="BB25" s="443" t="str">
        <f t="shared" si="32"/>
        <v/>
      </c>
      <c r="BC25" s="443" t="str">
        <f t="shared" si="33"/>
        <v/>
      </c>
      <c r="BD25" s="443" t="str">
        <f t="shared" si="34"/>
        <v/>
      </c>
      <c r="BE25" s="443" t="str">
        <f t="shared" si="35"/>
        <v/>
      </c>
      <c r="BF25" s="443" t="str">
        <f t="shared" si="36"/>
        <v/>
      </c>
      <c r="BG25" s="443" t="str">
        <f t="shared" si="37"/>
        <v/>
      </c>
      <c r="BH25" s="443" t="str">
        <f t="shared" si="38"/>
        <v/>
      </c>
      <c r="BI25" s="443" t="str">
        <f t="shared" si="39"/>
        <v/>
      </c>
      <c r="BJ25" s="443" t="str">
        <f t="shared" si="40"/>
        <v/>
      </c>
      <c r="BK25" s="443" t="str">
        <f t="shared" si="41"/>
        <v/>
      </c>
      <c r="BL25" s="443" t="str">
        <f t="shared" si="42"/>
        <v/>
      </c>
      <c r="BM25" s="443" t="str">
        <f t="shared" si="43"/>
        <v/>
      </c>
      <c r="BN25" s="443" t="str">
        <f t="shared" si="44"/>
        <v/>
      </c>
      <c r="BO25" s="443" t="str">
        <f t="shared" si="45"/>
        <v/>
      </c>
      <c r="BP25" s="443" t="str">
        <f t="shared" si="46"/>
        <v/>
      </c>
      <c r="BQ25" s="443" t="str">
        <f t="shared" si="47"/>
        <v/>
      </c>
      <c r="BR25" s="443" t="str">
        <f t="shared" si="48"/>
        <v/>
      </c>
      <c r="BS25" s="443" t="str">
        <f t="shared" si="49"/>
        <v/>
      </c>
      <c r="BT25" s="443" t="str">
        <f t="shared" si="50"/>
        <v/>
      </c>
      <c r="BU25" s="443" t="str">
        <f t="shared" si="51"/>
        <v/>
      </c>
      <c r="BV25" s="443" t="str">
        <f t="shared" si="52"/>
        <v/>
      </c>
      <c r="BW25" s="443" t="str">
        <f t="shared" si="53"/>
        <v/>
      </c>
      <c r="BX25" s="443" t="str">
        <f t="shared" si="54"/>
        <v/>
      </c>
      <c r="BY25" s="443" t="str">
        <f t="shared" si="55"/>
        <v/>
      </c>
      <c r="BZ25" s="443" t="str">
        <f t="shared" si="56"/>
        <v/>
      </c>
      <c r="CA25" s="443" t="str">
        <f t="shared" si="57"/>
        <v/>
      </c>
      <c r="CB25" s="443" t="str">
        <f t="shared" si="58"/>
        <v/>
      </c>
      <c r="CC25" s="443" t="str">
        <f t="shared" si="59"/>
        <v/>
      </c>
      <c r="CD25" s="443" t="str">
        <f t="shared" si="60"/>
        <v/>
      </c>
      <c r="CE25" s="443" t="str">
        <f t="shared" si="61"/>
        <v/>
      </c>
      <c r="CF25" s="443" t="str">
        <f t="shared" si="62"/>
        <v/>
      </c>
      <c r="CG25" s="443" t="str">
        <f t="shared" si="63"/>
        <v/>
      </c>
      <c r="CH25" s="443" t="str">
        <f t="shared" si="64"/>
        <v/>
      </c>
      <c r="CI25" s="443" t="str">
        <f t="shared" si="65"/>
        <v/>
      </c>
      <c r="CJ25" s="443" t="str">
        <f t="shared" si="66"/>
        <v/>
      </c>
      <c r="CK25" s="443" t="str">
        <f t="shared" si="67"/>
        <v/>
      </c>
      <c r="CL25" s="443" t="str">
        <f t="shared" si="68"/>
        <v/>
      </c>
      <c r="CM25" s="443" t="str">
        <f t="shared" si="69"/>
        <v/>
      </c>
      <c r="CN25" s="443" t="str">
        <f t="shared" si="70"/>
        <v/>
      </c>
      <c r="CO25" s="443" t="str">
        <f t="shared" si="71"/>
        <v/>
      </c>
      <c r="CP25" s="443" t="str">
        <f t="shared" si="72"/>
        <v/>
      </c>
      <c r="CQ25" s="443" t="str">
        <f t="shared" si="73"/>
        <v/>
      </c>
      <c r="CR25" s="443" t="str">
        <f t="shared" si="74"/>
        <v/>
      </c>
      <c r="CS25" s="443" t="str">
        <f t="shared" si="75"/>
        <v/>
      </c>
      <c r="CT25" s="443" t="str">
        <f t="shared" si="76"/>
        <v/>
      </c>
      <c r="CU25" s="443" t="str">
        <f t="shared" si="77"/>
        <v/>
      </c>
      <c r="CV25" s="443" t="str">
        <f t="shared" si="78"/>
        <v/>
      </c>
      <c r="CW25" s="443" t="str">
        <f t="shared" si="79"/>
        <v/>
      </c>
      <c r="CX25" s="443" t="str">
        <f t="shared" si="80"/>
        <v/>
      </c>
      <c r="CY25" s="443" t="str">
        <f t="shared" si="81"/>
        <v/>
      </c>
      <c r="CZ25" s="443" t="str">
        <f t="shared" si="82"/>
        <v/>
      </c>
      <c r="DA25" s="443" t="str">
        <f t="shared" si="83"/>
        <v/>
      </c>
      <c r="DB25" s="443" t="str">
        <f t="shared" si="84"/>
        <v/>
      </c>
      <c r="DC25" s="443" t="str">
        <f t="shared" si="85"/>
        <v/>
      </c>
      <c r="DD25" s="443" t="str">
        <f t="shared" si="86"/>
        <v/>
      </c>
      <c r="DE25" s="443" t="str">
        <f t="shared" si="87"/>
        <v/>
      </c>
      <c r="DF25" s="443" t="str">
        <f t="shared" si="88"/>
        <v/>
      </c>
      <c r="DG25" s="443" t="str">
        <f t="shared" si="89"/>
        <v/>
      </c>
      <c r="DH25" s="443" t="str">
        <f t="shared" si="90"/>
        <v/>
      </c>
      <c r="DI25" s="443" t="str">
        <f t="shared" si="91"/>
        <v/>
      </c>
      <c r="DJ25" s="443" t="str">
        <f t="shared" si="92"/>
        <v/>
      </c>
      <c r="DK25" s="443" t="str">
        <f t="shared" si="93"/>
        <v/>
      </c>
      <c r="DL25" s="443" t="str">
        <f t="shared" si="94"/>
        <v/>
      </c>
      <c r="DM25" s="443" t="str">
        <f t="shared" si="95"/>
        <v/>
      </c>
      <c r="DN25" s="443" t="str">
        <f t="shared" si="96"/>
        <v/>
      </c>
      <c r="DO25" s="443" t="str">
        <f t="shared" si="97"/>
        <v/>
      </c>
      <c r="DP25" s="443" t="str">
        <f t="shared" si="98"/>
        <v/>
      </c>
      <c r="DQ25" s="443" t="str">
        <f t="shared" si="99"/>
        <v/>
      </c>
      <c r="DR25" s="443" t="str">
        <f t="shared" si="100"/>
        <v/>
      </c>
      <c r="DS25" s="443" t="str">
        <f t="shared" si="101"/>
        <v/>
      </c>
      <c r="DT25" s="443" t="str">
        <f t="shared" si="102"/>
        <v/>
      </c>
      <c r="DU25" s="443" t="str">
        <f t="shared" si="103"/>
        <v/>
      </c>
      <c r="DV25" s="443" t="str">
        <f t="shared" si="104"/>
        <v/>
      </c>
      <c r="DW25" s="443" t="str">
        <f t="shared" si="105"/>
        <v/>
      </c>
      <c r="DX25" s="443" t="str">
        <f t="shared" si="106"/>
        <v/>
      </c>
      <c r="DY25" s="443" t="str">
        <f t="shared" si="107"/>
        <v/>
      </c>
      <c r="DZ25" s="443" t="str">
        <f t="shared" si="108"/>
        <v/>
      </c>
      <c r="EA25" s="443" t="str">
        <f t="shared" si="109"/>
        <v/>
      </c>
      <c r="EB25" s="443" t="str">
        <f t="shared" si="110"/>
        <v/>
      </c>
      <c r="EC25" s="443" t="str">
        <f t="shared" si="111"/>
        <v/>
      </c>
      <c r="ED25" s="443" t="str">
        <f t="shared" si="112"/>
        <v/>
      </c>
      <c r="EE25" s="443" t="str">
        <f t="shared" si="113"/>
        <v/>
      </c>
      <c r="EF25" s="443" t="str">
        <f t="shared" si="114"/>
        <v/>
      </c>
      <c r="EG25" s="443" t="str">
        <f t="shared" si="115"/>
        <v/>
      </c>
      <c r="EH25" s="443" t="str">
        <f t="shared" si="116"/>
        <v/>
      </c>
      <c r="EI25" s="443" t="str">
        <f t="shared" si="117"/>
        <v/>
      </c>
      <c r="EJ25" s="443" t="str">
        <f t="shared" si="118"/>
        <v/>
      </c>
      <c r="EK25" s="443" t="str">
        <f t="shared" si="119"/>
        <v/>
      </c>
      <c r="EL25" s="443" t="str">
        <f t="shared" si="120"/>
        <v/>
      </c>
      <c r="EM25" s="443" t="str">
        <f t="shared" si="121"/>
        <v/>
      </c>
      <c r="EN25" s="443" t="str">
        <f t="shared" si="122"/>
        <v/>
      </c>
      <c r="EO25" s="443" t="str">
        <f t="shared" si="123"/>
        <v/>
      </c>
      <c r="EP25" s="443" t="str">
        <f t="shared" si="124"/>
        <v/>
      </c>
      <c r="EQ25" s="443" t="str">
        <f t="shared" si="125"/>
        <v/>
      </c>
      <c r="ER25" s="443" t="str">
        <f t="shared" si="126"/>
        <v/>
      </c>
      <c r="ES25" s="443" t="str">
        <f t="shared" si="127"/>
        <v/>
      </c>
      <c r="ET25" s="443" t="str">
        <f t="shared" si="128"/>
        <v/>
      </c>
      <c r="EU25" s="443" t="str">
        <f t="shared" si="129"/>
        <v/>
      </c>
      <c r="EV25" s="443" t="str">
        <f t="shared" si="130"/>
        <v/>
      </c>
      <c r="EW25" s="443" t="str">
        <f t="shared" si="131"/>
        <v/>
      </c>
      <c r="EX25" s="443" t="str">
        <f t="shared" si="132"/>
        <v/>
      </c>
      <c r="EY25" s="443" t="str">
        <f t="shared" si="133"/>
        <v/>
      </c>
      <c r="EZ25" s="443" t="str">
        <f t="shared" si="134"/>
        <v/>
      </c>
      <c r="FA25" s="443" t="str">
        <f t="shared" si="135"/>
        <v/>
      </c>
      <c r="FB25" s="443" t="str">
        <f t="shared" si="136"/>
        <v/>
      </c>
      <c r="FC25" s="443" t="str">
        <f t="shared" si="137"/>
        <v/>
      </c>
      <c r="FD25" s="443" t="str">
        <f t="shared" si="138"/>
        <v/>
      </c>
      <c r="FE25" s="443" t="str">
        <f t="shared" si="139"/>
        <v/>
      </c>
      <c r="FF25" s="443" t="str">
        <f t="shared" si="140"/>
        <v/>
      </c>
      <c r="FG25" s="443" t="str">
        <f t="shared" si="141"/>
        <v/>
      </c>
      <c r="FH25" s="443" t="str">
        <f t="shared" si="142"/>
        <v/>
      </c>
      <c r="FI25" s="443" t="str">
        <f t="shared" si="143"/>
        <v/>
      </c>
      <c r="FJ25" s="443" t="str">
        <f t="shared" si="144"/>
        <v/>
      </c>
      <c r="FK25" s="443" t="str">
        <f t="shared" si="145"/>
        <v/>
      </c>
      <c r="FL25" s="443" t="str">
        <f t="shared" si="146"/>
        <v/>
      </c>
      <c r="FM25" s="443" t="str">
        <f t="shared" si="147"/>
        <v/>
      </c>
      <c r="FN25" s="443" t="str">
        <f t="shared" si="148"/>
        <v/>
      </c>
      <c r="FO25" s="443" t="str">
        <f t="shared" si="149"/>
        <v/>
      </c>
      <c r="FP25" s="443" t="str">
        <f t="shared" si="150"/>
        <v/>
      </c>
      <c r="FQ25" s="443" t="str">
        <f t="shared" si="151"/>
        <v/>
      </c>
      <c r="FR25" s="443" t="str">
        <f t="shared" si="152"/>
        <v/>
      </c>
      <c r="FS25" s="443" t="str">
        <f t="shared" si="153"/>
        <v/>
      </c>
      <c r="FT25" s="443" t="str">
        <f t="shared" si="154"/>
        <v/>
      </c>
      <c r="FU25" s="443" t="str">
        <f t="shared" si="155"/>
        <v/>
      </c>
      <c r="FV25" s="443" t="str">
        <f t="shared" si="156"/>
        <v/>
      </c>
      <c r="FW25" s="443" t="str">
        <f t="shared" si="157"/>
        <v/>
      </c>
      <c r="FX25" s="443" t="str">
        <f t="shared" si="158"/>
        <v/>
      </c>
      <c r="FY25" s="443" t="str">
        <f t="shared" si="159"/>
        <v/>
      </c>
      <c r="FZ25" s="443" t="str">
        <f t="shared" si="160"/>
        <v/>
      </c>
      <c r="GA25" s="443" t="str">
        <f t="shared" si="161"/>
        <v/>
      </c>
      <c r="GB25" s="443" t="str">
        <f t="shared" si="162"/>
        <v/>
      </c>
      <c r="GC25" s="443" t="str">
        <f t="shared" si="163"/>
        <v/>
      </c>
      <c r="GD25" s="443" t="str">
        <f t="shared" si="164"/>
        <v/>
      </c>
      <c r="GE25" s="443" t="str">
        <f t="shared" si="165"/>
        <v/>
      </c>
      <c r="GF25" s="443" t="str">
        <f t="shared" si="166"/>
        <v/>
      </c>
      <c r="GG25" s="443" t="str">
        <f t="shared" si="167"/>
        <v/>
      </c>
      <c r="GH25" s="443" t="str">
        <f t="shared" si="168"/>
        <v/>
      </c>
      <c r="GI25" s="443" t="str">
        <f t="shared" si="169"/>
        <v/>
      </c>
      <c r="GJ25" s="443" t="str">
        <f t="shared" si="170"/>
        <v/>
      </c>
      <c r="GK25" s="443" t="str">
        <f t="shared" si="171"/>
        <v/>
      </c>
      <c r="GL25" s="443" t="str">
        <f t="shared" si="172"/>
        <v/>
      </c>
      <c r="GM25" s="443" t="str">
        <f t="shared" si="173"/>
        <v/>
      </c>
      <c r="GN25" s="443" t="str">
        <f t="shared" si="174"/>
        <v/>
      </c>
      <c r="GO25" s="443" t="str">
        <f t="shared" si="175"/>
        <v/>
      </c>
      <c r="GP25" s="443" t="str">
        <f t="shared" si="176"/>
        <v/>
      </c>
      <c r="GQ25" s="443" t="str">
        <f t="shared" si="177"/>
        <v/>
      </c>
      <c r="GR25" s="443" t="str">
        <f t="shared" si="178"/>
        <v/>
      </c>
      <c r="GS25" s="443" t="str">
        <f t="shared" si="179"/>
        <v/>
      </c>
      <c r="GT25" s="443" t="str">
        <f t="shared" si="180"/>
        <v/>
      </c>
      <c r="GU25" s="443" t="str">
        <f t="shared" si="181"/>
        <v/>
      </c>
      <c r="GV25" s="443" t="str">
        <f t="shared" si="182"/>
        <v/>
      </c>
      <c r="GW25" s="443" t="str">
        <f t="shared" si="183"/>
        <v/>
      </c>
      <c r="GX25" s="443" t="str">
        <f t="shared" si="184"/>
        <v/>
      </c>
      <c r="GY25" s="443" t="str">
        <f t="shared" si="185"/>
        <v/>
      </c>
      <c r="GZ25" s="443" t="str">
        <f t="shared" si="186"/>
        <v/>
      </c>
      <c r="HA25" s="443" t="str">
        <f t="shared" si="187"/>
        <v/>
      </c>
      <c r="HB25" s="443" t="str">
        <f t="shared" si="188"/>
        <v/>
      </c>
      <c r="HC25" s="443" t="str">
        <f t="shared" si="189"/>
        <v/>
      </c>
      <c r="HD25" s="443" t="str">
        <f t="shared" si="190"/>
        <v/>
      </c>
      <c r="HE25" s="443" t="str">
        <f t="shared" si="191"/>
        <v/>
      </c>
      <c r="HF25" s="443" t="str">
        <f t="shared" si="192"/>
        <v/>
      </c>
      <c r="HG25" s="443" t="str">
        <f t="shared" si="193"/>
        <v/>
      </c>
      <c r="HH25" s="443" t="str">
        <f t="shared" si="194"/>
        <v/>
      </c>
      <c r="HI25" s="443" t="str">
        <f t="shared" si="195"/>
        <v/>
      </c>
      <c r="HJ25" s="443" t="str">
        <f t="shared" si="196"/>
        <v/>
      </c>
      <c r="HK25" s="443" t="str">
        <f t="shared" si="197"/>
        <v/>
      </c>
      <c r="HL25" s="443" t="str">
        <f t="shared" si="198"/>
        <v/>
      </c>
      <c r="HM25" s="443" t="str">
        <f t="shared" si="199"/>
        <v/>
      </c>
      <c r="HN25" s="443" t="str">
        <f t="shared" si="200"/>
        <v/>
      </c>
      <c r="HO25" s="443" t="str">
        <f t="shared" si="201"/>
        <v/>
      </c>
      <c r="HP25" s="443" t="str">
        <f t="shared" si="202"/>
        <v/>
      </c>
      <c r="HQ25" s="443" t="str">
        <f t="shared" si="203"/>
        <v/>
      </c>
      <c r="HR25" s="443" t="str">
        <f t="shared" si="204"/>
        <v/>
      </c>
      <c r="HS25" s="443" t="str">
        <f t="shared" si="205"/>
        <v/>
      </c>
      <c r="HT25" s="443" t="str">
        <f t="shared" si="206"/>
        <v/>
      </c>
      <c r="HU25" s="443" t="str">
        <f t="shared" si="207"/>
        <v/>
      </c>
      <c r="HV25" s="443" t="str">
        <f t="shared" si="208"/>
        <v/>
      </c>
      <c r="HW25" s="443" t="str">
        <f t="shared" si="209"/>
        <v/>
      </c>
      <c r="HX25" s="443" t="str">
        <f t="shared" si="210"/>
        <v/>
      </c>
      <c r="HY25" s="443" t="str">
        <f t="shared" si="211"/>
        <v/>
      </c>
      <c r="HZ25" s="2247" t="str">
        <f t="shared" si="212"/>
        <v/>
      </c>
      <c r="IA25" s="2247" t="str">
        <f t="shared" si="213"/>
        <v/>
      </c>
      <c r="IB25" s="2247" t="str">
        <f t="shared" si="214"/>
        <v/>
      </c>
      <c r="IC25" s="2247" t="str">
        <f t="shared" si="215"/>
        <v/>
      </c>
      <c r="ID25" s="2247" t="str">
        <f t="shared" si="216"/>
        <v/>
      </c>
      <c r="IE25" s="2247" t="str">
        <f t="shared" si="217"/>
        <v/>
      </c>
      <c r="IF25" s="2247" t="str">
        <f t="shared" si="218"/>
        <v/>
      </c>
      <c r="IG25" s="2247" t="str">
        <f t="shared" si="219"/>
        <v/>
      </c>
      <c r="IH25" s="2247" t="str">
        <f t="shared" si="220"/>
        <v/>
      </c>
      <c r="II25" s="2247" t="str">
        <f t="shared" si="221"/>
        <v/>
      </c>
      <c r="IJ25" s="2247" t="str">
        <f t="shared" si="222"/>
        <v/>
      </c>
      <c r="IK25" s="2247" t="str">
        <f t="shared" si="223"/>
        <v/>
      </c>
      <c r="IL25" s="2247" t="str">
        <f t="shared" si="224"/>
        <v/>
      </c>
      <c r="IM25" s="2247" t="str">
        <f t="shared" si="225"/>
        <v/>
      </c>
      <c r="IN25" s="2247" t="str">
        <f t="shared" si="226"/>
        <v/>
      </c>
      <c r="IO25" s="2247" t="str">
        <f t="shared" si="227"/>
        <v/>
      </c>
      <c r="IP25" s="2247" t="str">
        <f t="shared" si="228"/>
        <v/>
      </c>
      <c r="IQ25" s="2247" t="str">
        <f t="shared" si="229"/>
        <v/>
      </c>
      <c r="IR25" s="2247" t="str">
        <f t="shared" si="230"/>
        <v/>
      </c>
      <c r="IS25" s="2247" t="str">
        <f t="shared" si="231"/>
        <v/>
      </c>
      <c r="IT25" s="2247" t="str">
        <f t="shared" si="232"/>
        <v/>
      </c>
      <c r="IU25" s="2247" t="str">
        <f t="shared" si="233"/>
        <v/>
      </c>
      <c r="IV25" s="2247" t="str">
        <f t="shared" si="234"/>
        <v/>
      </c>
      <c r="IW25" s="2247" t="str">
        <f t="shared" si="235"/>
        <v/>
      </c>
      <c r="IX25" s="2247" t="str">
        <f t="shared" si="236"/>
        <v/>
      </c>
      <c r="IY25" s="2247" t="str">
        <f t="shared" si="237"/>
        <v/>
      </c>
      <c r="IZ25" s="2247" t="str">
        <f t="shared" si="238"/>
        <v/>
      </c>
      <c r="JA25" s="2247" t="str">
        <f t="shared" si="239"/>
        <v/>
      </c>
      <c r="JB25" s="2247" t="str">
        <f t="shared" si="240"/>
        <v/>
      </c>
      <c r="JC25" s="2247" t="str">
        <f t="shared" si="241"/>
        <v/>
      </c>
      <c r="JD25" s="2247" t="str">
        <f t="shared" si="242"/>
        <v/>
      </c>
      <c r="JE25" s="2247" t="str">
        <f t="shared" si="243"/>
        <v/>
      </c>
      <c r="JF25" s="2247" t="str">
        <f t="shared" si="244"/>
        <v/>
      </c>
      <c r="JG25" s="2247" t="str">
        <f t="shared" si="245"/>
        <v/>
      </c>
      <c r="JH25" s="2247" t="str">
        <f t="shared" si="246"/>
        <v/>
      </c>
      <c r="JI25" s="2247" t="str">
        <f t="shared" si="247"/>
        <v/>
      </c>
      <c r="JJ25" s="2247" t="str">
        <f t="shared" si="248"/>
        <v/>
      </c>
      <c r="JK25" s="2247" t="str">
        <f t="shared" si="249"/>
        <v/>
      </c>
      <c r="JL25" s="2247" t="str">
        <f t="shared" si="250"/>
        <v/>
      </c>
      <c r="JM25" s="2247" t="str">
        <f t="shared" si="251"/>
        <v/>
      </c>
      <c r="JN25" s="2247" t="str">
        <f t="shared" si="252"/>
        <v/>
      </c>
      <c r="JO25" s="2247" t="str">
        <f t="shared" si="253"/>
        <v/>
      </c>
      <c r="JP25" s="2247" t="str">
        <f t="shared" si="254"/>
        <v/>
      </c>
      <c r="JQ25" s="2247" t="str">
        <f t="shared" si="255"/>
        <v/>
      </c>
      <c r="JR25" s="2247" t="str">
        <f t="shared" si="256"/>
        <v/>
      </c>
      <c r="JS25" s="2247" t="str">
        <f t="shared" si="257"/>
        <v/>
      </c>
      <c r="JT25" s="2247" t="str">
        <f t="shared" si="258"/>
        <v/>
      </c>
      <c r="JU25" s="2247" t="str">
        <f t="shared" si="259"/>
        <v/>
      </c>
      <c r="JV25" s="2247" t="str">
        <f t="shared" si="260"/>
        <v/>
      </c>
      <c r="JW25" s="2247" t="str">
        <f t="shared" si="261"/>
        <v/>
      </c>
      <c r="JX25" s="2247" t="str">
        <f t="shared" si="262"/>
        <v/>
      </c>
      <c r="JY25" s="2247" t="str">
        <f t="shared" si="263"/>
        <v/>
      </c>
      <c r="JZ25" s="2247" t="str">
        <f t="shared" si="264"/>
        <v/>
      </c>
      <c r="KA25" s="2247" t="str">
        <f t="shared" si="265"/>
        <v/>
      </c>
      <c r="KB25" s="2247" t="str">
        <f t="shared" si="266"/>
        <v/>
      </c>
      <c r="KC25" s="2247" t="str">
        <f t="shared" si="267"/>
        <v/>
      </c>
      <c r="KD25" s="2247" t="str">
        <f t="shared" si="268"/>
        <v/>
      </c>
      <c r="KE25" s="2247" t="str">
        <f t="shared" si="269"/>
        <v/>
      </c>
      <c r="KF25" s="2247" t="str">
        <f t="shared" si="270"/>
        <v/>
      </c>
      <c r="KG25" s="2247" t="str">
        <f t="shared" si="271"/>
        <v/>
      </c>
      <c r="KH25" s="2247" t="str">
        <f t="shared" si="272"/>
        <v/>
      </c>
      <c r="KI25" s="2247" t="str">
        <f t="shared" si="273"/>
        <v/>
      </c>
      <c r="KJ25" s="2247" t="str">
        <f t="shared" si="274"/>
        <v/>
      </c>
      <c r="KK25" s="2247" t="str">
        <f t="shared" si="275"/>
        <v/>
      </c>
      <c r="KL25" s="2247" t="str">
        <f t="shared" si="276"/>
        <v/>
      </c>
      <c r="KM25" s="2247" t="str">
        <f t="shared" si="277"/>
        <v/>
      </c>
      <c r="KN25" s="2247" t="str">
        <f t="shared" si="278"/>
        <v/>
      </c>
      <c r="KO25" s="2247" t="str">
        <f t="shared" si="279"/>
        <v/>
      </c>
      <c r="KP25" s="2247" t="str">
        <f t="shared" si="280"/>
        <v/>
      </c>
      <c r="KQ25" s="2247" t="str">
        <f t="shared" si="281"/>
        <v/>
      </c>
      <c r="KR25" s="2247" t="str">
        <f t="shared" si="282"/>
        <v/>
      </c>
      <c r="KS25" s="2247" t="str">
        <f t="shared" si="283"/>
        <v/>
      </c>
      <c r="KT25" s="2247" t="str">
        <f t="shared" si="284"/>
        <v/>
      </c>
      <c r="KU25" s="2247" t="str">
        <f t="shared" si="285"/>
        <v/>
      </c>
      <c r="KV25" s="2247" t="str">
        <f t="shared" si="286"/>
        <v/>
      </c>
      <c r="KW25" s="2247" t="str">
        <f t="shared" si="287"/>
        <v/>
      </c>
      <c r="KX25" s="2247" t="str">
        <f t="shared" si="288"/>
        <v/>
      </c>
      <c r="KY25" s="2247" t="str">
        <f t="shared" si="289"/>
        <v/>
      </c>
      <c r="KZ25" s="2247" t="str">
        <f t="shared" si="290"/>
        <v/>
      </c>
      <c r="LA25" s="2247" t="str">
        <f t="shared" si="291"/>
        <v/>
      </c>
      <c r="LB25" s="2247" t="str">
        <f t="shared" si="292"/>
        <v/>
      </c>
      <c r="LC25" s="2247" t="str">
        <f t="shared" si="293"/>
        <v/>
      </c>
      <c r="LD25" s="2247" t="str">
        <f t="shared" si="294"/>
        <v/>
      </c>
      <c r="LE25" s="2247" t="str">
        <f t="shared" si="295"/>
        <v/>
      </c>
      <c r="LF25" s="2247" t="str">
        <f t="shared" si="296"/>
        <v/>
      </c>
      <c r="LG25" s="2247" t="str">
        <f t="shared" si="297"/>
        <v/>
      </c>
      <c r="LH25" s="2247" t="str">
        <f t="shared" si="298"/>
        <v/>
      </c>
      <c r="LI25" s="2247" t="str">
        <f t="shared" si="299"/>
        <v/>
      </c>
      <c r="LJ25" s="2247" t="str">
        <f t="shared" si="300"/>
        <v/>
      </c>
      <c r="LK25" s="2247" t="str">
        <f t="shared" si="301"/>
        <v/>
      </c>
      <c r="LL25" s="2247" t="str">
        <f t="shared" si="302"/>
        <v/>
      </c>
      <c r="LM25" s="2247" t="str">
        <f t="shared" si="303"/>
        <v/>
      </c>
      <c r="LN25" s="2247" t="str">
        <f t="shared" si="304"/>
        <v/>
      </c>
      <c r="LO25" s="2247" t="str">
        <f t="shared" si="305"/>
        <v/>
      </c>
      <c r="LP25" s="2247" t="str">
        <f t="shared" si="306"/>
        <v/>
      </c>
      <c r="LQ25" s="2248" t="str">
        <f t="shared" si="307"/>
        <v/>
      </c>
      <c r="LR25" s="2248" t="str">
        <f t="shared" si="308"/>
        <v/>
      </c>
      <c r="LS25" s="2248" t="str">
        <f t="shared" si="309"/>
        <v/>
      </c>
      <c r="LT25" s="2248" t="str">
        <f t="shared" si="310"/>
        <v/>
      </c>
      <c r="LU25" s="2248" t="str">
        <f t="shared" si="311"/>
        <v/>
      </c>
      <c r="LV25" s="443" t="str">
        <f t="shared" si="312"/>
        <v/>
      </c>
      <c r="LW25" s="443" t="str">
        <f t="shared" si="313"/>
        <v/>
      </c>
      <c r="LX25" s="443" t="str">
        <f t="shared" si="314"/>
        <v/>
      </c>
      <c r="LY25" s="443" t="str">
        <f t="shared" si="315"/>
        <v/>
      </c>
      <c r="LZ25" s="443" t="str">
        <f t="shared" si="316"/>
        <v/>
      </c>
      <c r="MA25" s="443" t="str">
        <f t="shared" si="317"/>
        <v/>
      </c>
      <c r="MB25" s="443" t="str">
        <f t="shared" si="318"/>
        <v/>
      </c>
      <c r="MC25" s="443" t="str">
        <f t="shared" si="319"/>
        <v/>
      </c>
      <c r="MD25" s="443" t="str">
        <f t="shared" si="320"/>
        <v/>
      </c>
      <c r="ME25" s="443" t="str">
        <f t="shared" si="321"/>
        <v/>
      </c>
      <c r="MF25" s="443" t="str">
        <f t="shared" si="322"/>
        <v/>
      </c>
      <c r="MG25" s="443" t="str">
        <f t="shared" si="323"/>
        <v/>
      </c>
      <c r="MH25" s="443" t="str">
        <f t="shared" si="324"/>
        <v/>
      </c>
      <c r="MI25" s="443" t="str">
        <f t="shared" si="325"/>
        <v/>
      </c>
      <c r="MJ25" s="443" t="str">
        <f t="shared" si="326"/>
        <v/>
      </c>
      <c r="MK25" s="443" t="str">
        <f t="shared" si="327"/>
        <v/>
      </c>
      <c r="ML25" s="443" t="str">
        <f t="shared" si="328"/>
        <v/>
      </c>
      <c r="MM25" s="443" t="str">
        <f t="shared" si="329"/>
        <v/>
      </c>
      <c r="MN25" s="443" t="str">
        <f t="shared" si="330"/>
        <v/>
      </c>
      <c r="MO25" s="443" t="str">
        <f t="shared" si="331"/>
        <v/>
      </c>
      <c r="MP25" s="2246">
        <f t="shared" si="338"/>
        <v>0</v>
      </c>
      <c r="MQ25" s="2246">
        <f t="shared" si="339"/>
        <v>0</v>
      </c>
      <c r="MR25" s="2246">
        <f t="shared" si="340"/>
        <v>0</v>
      </c>
      <c r="MS25" s="2246">
        <f t="shared" si="341"/>
        <v>0</v>
      </c>
      <c r="MT25" s="2246">
        <f t="shared" si="342"/>
        <v>0</v>
      </c>
      <c r="MU25" s="2246">
        <f t="shared" si="343"/>
        <v>0</v>
      </c>
      <c r="MV25" s="2246">
        <f t="shared" si="344"/>
        <v>0</v>
      </c>
      <c r="MW25" s="2246">
        <f t="shared" si="345"/>
        <v>0</v>
      </c>
      <c r="MX25" s="2246">
        <f t="shared" si="346"/>
        <v>0</v>
      </c>
      <c r="MY25" s="2246">
        <f t="shared" si="347"/>
        <v>0</v>
      </c>
      <c r="MZ25" s="2246">
        <f t="shared" si="332"/>
        <v>0</v>
      </c>
      <c r="NA25" s="2246">
        <f t="shared" si="333"/>
        <v>0</v>
      </c>
      <c r="NB25" s="2246">
        <f t="shared" si="334"/>
        <v>0</v>
      </c>
      <c r="NC25" s="2246">
        <f t="shared" si="335"/>
        <v>0</v>
      </c>
      <c r="ND25" s="2246">
        <f t="shared" si="336"/>
        <v>0</v>
      </c>
    </row>
    <row r="26" spans="1:368" ht="13.95" customHeight="1">
      <c r="A26" s="109" t="str">
        <f t="shared" si="337"/>
        <v/>
      </c>
      <c r="B26" s="4015"/>
      <c r="C26" s="3987"/>
      <c r="D26" s="3988"/>
      <c r="E26" s="3989"/>
      <c r="F26" s="3989"/>
      <c r="G26" s="3989"/>
      <c r="H26" s="3989"/>
      <c r="I26" s="3989"/>
      <c r="J26" s="4016">
        <f>IF(C26="",0,HLOOKUP(C26,'Part V-Utility Allowances'!$I$11:$M$22,12))</f>
        <v>0</v>
      </c>
      <c r="K26" s="3991"/>
      <c r="L26" s="567">
        <f t="shared" si="0"/>
        <v>0</v>
      </c>
      <c r="M26" s="567">
        <f t="shared" si="1"/>
        <v>0</v>
      </c>
      <c r="N26" s="3992"/>
      <c r="O26" s="3992"/>
      <c r="P26" s="3992"/>
      <c r="Q26" s="3993"/>
      <c r="R26" s="3994"/>
      <c r="S26" s="3995"/>
      <c r="T26" s="3996"/>
      <c r="U26" s="3997"/>
      <c r="V26" s="3997"/>
      <c r="W26" s="3998"/>
      <c r="X26" s="443" t="str">
        <f t="shared" si="2"/>
        <v/>
      </c>
      <c r="Y26" s="443" t="str">
        <f t="shared" si="3"/>
        <v/>
      </c>
      <c r="Z26" s="443" t="str">
        <f t="shared" si="4"/>
        <v/>
      </c>
      <c r="AA26" s="443" t="str">
        <f t="shared" si="5"/>
        <v/>
      </c>
      <c r="AB26" s="443" t="str">
        <f t="shared" si="6"/>
        <v/>
      </c>
      <c r="AC26" s="443" t="str">
        <f t="shared" si="7"/>
        <v/>
      </c>
      <c r="AD26" s="443" t="str">
        <f t="shared" si="8"/>
        <v/>
      </c>
      <c r="AE26" s="443" t="str">
        <f t="shared" si="9"/>
        <v/>
      </c>
      <c r="AF26" s="443" t="str">
        <f t="shared" si="10"/>
        <v/>
      </c>
      <c r="AG26" s="443" t="str">
        <f t="shared" si="11"/>
        <v/>
      </c>
      <c r="AH26" s="443" t="str">
        <f t="shared" si="12"/>
        <v/>
      </c>
      <c r="AI26" s="443" t="str">
        <f t="shared" si="13"/>
        <v/>
      </c>
      <c r="AJ26" s="443" t="str">
        <f t="shared" si="14"/>
        <v/>
      </c>
      <c r="AK26" s="443" t="str">
        <f t="shared" si="15"/>
        <v/>
      </c>
      <c r="AL26" s="443" t="str">
        <f t="shared" si="16"/>
        <v/>
      </c>
      <c r="AM26" s="443" t="str">
        <f t="shared" si="17"/>
        <v/>
      </c>
      <c r="AN26" s="443" t="str">
        <f t="shared" si="18"/>
        <v/>
      </c>
      <c r="AO26" s="443" t="str">
        <f t="shared" si="19"/>
        <v/>
      </c>
      <c r="AP26" s="443" t="str">
        <f t="shared" si="20"/>
        <v/>
      </c>
      <c r="AQ26" s="443" t="str">
        <f t="shared" si="21"/>
        <v/>
      </c>
      <c r="AR26" s="443" t="str">
        <f t="shared" si="22"/>
        <v/>
      </c>
      <c r="AS26" s="443" t="str">
        <f t="shared" si="23"/>
        <v/>
      </c>
      <c r="AT26" s="443" t="str">
        <f t="shared" si="24"/>
        <v/>
      </c>
      <c r="AU26" s="443" t="str">
        <f t="shared" si="25"/>
        <v/>
      </c>
      <c r="AV26" s="443" t="str">
        <f t="shared" si="26"/>
        <v/>
      </c>
      <c r="AW26" s="443" t="str">
        <f t="shared" si="27"/>
        <v/>
      </c>
      <c r="AX26" s="443" t="str">
        <f t="shared" si="28"/>
        <v/>
      </c>
      <c r="AY26" s="443" t="str">
        <f t="shared" si="29"/>
        <v/>
      </c>
      <c r="AZ26" s="443" t="str">
        <f t="shared" si="30"/>
        <v/>
      </c>
      <c r="BA26" s="443" t="str">
        <f t="shared" si="31"/>
        <v/>
      </c>
      <c r="BB26" s="443" t="str">
        <f t="shared" si="32"/>
        <v/>
      </c>
      <c r="BC26" s="443" t="str">
        <f t="shared" si="33"/>
        <v/>
      </c>
      <c r="BD26" s="443" t="str">
        <f t="shared" si="34"/>
        <v/>
      </c>
      <c r="BE26" s="443" t="str">
        <f t="shared" si="35"/>
        <v/>
      </c>
      <c r="BF26" s="443" t="str">
        <f t="shared" si="36"/>
        <v/>
      </c>
      <c r="BG26" s="443" t="str">
        <f t="shared" si="37"/>
        <v/>
      </c>
      <c r="BH26" s="443" t="str">
        <f t="shared" si="38"/>
        <v/>
      </c>
      <c r="BI26" s="443" t="str">
        <f t="shared" si="39"/>
        <v/>
      </c>
      <c r="BJ26" s="443" t="str">
        <f t="shared" si="40"/>
        <v/>
      </c>
      <c r="BK26" s="443" t="str">
        <f t="shared" si="41"/>
        <v/>
      </c>
      <c r="BL26" s="443" t="str">
        <f t="shared" si="42"/>
        <v/>
      </c>
      <c r="BM26" s="443" t="str">
        <f t="shared" si="43"/>
        <v/>
      </c>
      <c r="BN26" s="443" t="str">
        <f t="shared" si="44"/>
        <v/>
      </c>
      <c r="BO26" s="443" t="str">
        <f t="shared" si="45"/>
        <v/>
      </c>
      <c r="BP26" s="443" t="str">
        <f t="shared" si="46"/>
        <v/>
      </c>
      <c r="BQ26" s="443" t="str">
        <f t="shared" si="47"/>
        <v/>
      </c>
      <c r="BR26" s="443" t="str">
        <f t="shared" si="48"/>
        <v/>
      </c>
      <c r="BS26" s="443" t="str">
        <f t="shared" si="49"/>
        <v/>
      </c>
      <c r="BT26" s="443" t="str">
        <f t="shared" si="50"/>
        <v/>
      </c>
      <c r="BU26" s="443" t="str">
        <f t="shared" si="51"/>
        <v/>
      </c>
      <c r="BV26" s="443" t="str">
        <f t="shared" si="52"/>
        <v/>
      </c>
      <c r="BW26" s="443" t="str">
        <f t="shared" si="53"/>
        <v/>
      </c>
      <c r="BX26" s="443" t="str">
        <f t="shared" si="54"/>
        <v/>
      </c>
      <c r="BY26" s="443" t="str">
        <f t="shared" si="55"/>
        <v/>
      </c>
      <c r="BZ26" s="443" t="str">
        <f t="shared" si="56"/>
        <v/>
      </c>
      <c r="CA26" s="443" t="str">
        <f t="shared" si="57"/>
        <v/>
      </c>
      <c r="CB26" s="443" t="str">
        <f t="shared" si="58"/>
        <v/>
      </c>
      <c r="CC26" s="443" t="str">
        <f t="shared" si="59"/>
        <v/>
      </c>
      <c r="CD26" s="443" t="str">
        <f t="shared" si="60"/>
        <v/>
      </c>
      <c r="CE26" s="443" t="str">
        <f t="shared" si="61"/>
        <v/>
      </c>
      <c r="CF26" s="443" t="str">
        <f t="shared" si="62"/>
        <v/>
      </c>
      <c r="CG26" s="443" t="str">
        <f t="shared" si="63"/>
        <v/>
      </c>
      <c r="CH26" s="443" t="str">
        <f t="shared" si="64"/>
        <v/>
      </c>
      <c r="CI26" s="443" t="str">
        <f t="shared" si="65"/>
        <v/>
      </c>
      <c r="CJ26" s="443" t="str">
        <f t="shared" si="66"/>
        <v/>
      </c>
      <c r="CK26" s="443" t="str">
        <f t="shared" si="67"/>
        <v/>
      </c>
      <c r="CL26" s="443" t="str">
        <f t="shared" si="68"/>
        <v/>
      </c>
      <c r="CM26" s="443" t="str">
        <f t="shared" si="69"/>
        <v/>
      </c>
      <c r="CN26" s="443" t="str">
        <f t="shared" si="70"/>
        <v/>
      </c>
      <c r="CO26" s="443" t="str">
        <f t="shared" si="71"/>
        <v/>
      </c>
      <c r="CP26" s="443" t="str">
        <f t="shared" si="72"/>
        <v/>
      </c>
      <c r="CQ26" s="443" t="str">
        <f t="shared" si="73"/>
        <v/>
      </c>
      <c r="CR26" s="443" t="str">
        <f t="shared" si="74"/>
        <v/>
      </c>
      <c r="CS26" s="443" t="str">
        <f t="shared" si="75"/>
        <v/>
      </c>
      <c r="CT26" s="443" t="str">
        <f t="shared" si="76"/>
        <v/>
      </c>
      <c r="CU26" s="443" t="str">
        <f t="shared" si="77"/>
        <v/>
      </c>
      <c r="CV26" s="443" t="str">
        <f t="shared" si="78"/>
        <v/>
      </c>
      <c r="CW26" s="443" t="str">
        <f t="shared" si="79"/>
        <v/>
      </c>
      <c r="CX26" s="443" t="str">
        <f t="shared" si="80"/>
        <v/>
      </c>
      <c r="CY26" s="443" t="str">
        <f t="shared" si="81"/>
        <v/>
      </c>
      <c r="CZ26" s="443" t="str">
        <f t="shared" si="82"/>
        <v/>
      </c>
      <c r="DA26" s="443" t="str">
        <f t="shared" si="83"/>
        <v/>
      </c>
      <c r="DB26" s="443" t="str">
        <f t="shared" si="84"/>
        <v/>
      </c>
      <c r="DC26" s="443" t="str">
        <f t="shared" si="85"/>
        <v/>
      </c>
      <c r="DD26" s="443" t="str">
        <f t="shared" si="86"/>
        <v/>
      </c>
      <c r="DE26" s="443" t="str">
        <f t="shared" si="87"/>
        <v/>
      </c>
      <c r="DF26" s="443" t="str">
        <f t="shared" si="88"/>
        <v/>
      </c>
      <c r="DG26" s="443" t="str">
        <f t="shared" si="89"/>
        <v/>
      </c>
      <c r="DH26" s="443" t="str">
        <f t="shared" si="90"/>
        <v/>
      </c>
      <c r="DI26" s="443" t="str">
        <f t="shared" si="91"/>
        <v/>
      </c>
      <c r="DJ26" s="443" t="str">
        <f t="shared" si="92"/>
        <v/>
      </c>
      <c r="DK26" s="443" t="str">
        <f t="shared" si="93"/>
        <v/>
      </c>
      <c r="DL26" s="443" t="str">
        <f t="shared" si="94"/>
        <v/>
      </c>
      <c r="DM26" s="443" t="str">
        <f t="shared" si="95"/>
        <v/>
      </c>
      <c r="DN26" s="443" t="str">
        <f t="shared" si="96"/>
        <v/>
      </c>
      <c r="DO26" s="443" t="str">
        <f t="shared" si="97"/>
        <v/>
      </c>
      <c r="DP26" s="443" t="str">
        <f t="shared" si="98"/>
        <v/>
      </c>
      <c r="DQ26" s="443" t="str">
        <f t="shared" si="99"/>
        <v/>
      </c>
      <c r="DR26" s="443" t="str">
        <f t="shared" si="100"/>
        <v/>
      </c>
      <c r="DS26" s="443" t="str">
        <f t="shared" si="101"/>
        <v/>
      </c>
      <c r="DT26" s="443" t="str">
        <f t="shared" si="102"/>
        <v/>
      </c>
      <c r="DU26" s="443" t="str">
        <f t="shared" si="103"/>
        <v/>
      </c>
      <c r="DV26" s="443" t="str">
        <f t="shared" si="104"/>
        <v/>
      </c>
      <c r="DW26" s="443" t="str">
        <f t="shared" si="105"/>
        <v/>
      </c>
      <c r="DX26" s="443" t="str">
        <f t="shared" si="106"/>
        <v/>
      </c>
      <c r="DY26" s="443" t="str">
        <f t="shared" si="107"/>
        <v/>
      </c>
      <c r="DZ26" s="443" t="str">
        <f t="shared" si="108"/>
        <v/>
      </c>
      <c r="EA26" s="443" t="str">
        <f t="shared" si="109"/>
        <v/>
      </c>
      <c r="EB26" s="443" t="str">
        <f t="shared" si="110"/>
        <v/>
      </c>
      <c r="EC26" s="443" t="str">
        <f t="shared" si="111"/>
        <v/>
      </c>
      <c r="ED26" s="443" t="str">
        <f t="shared" si="112"/>
        <v/>
      </c>
      <c r="EE26" s="443" t="str">
        <f t="shared" si="113"/>
        <v/>
      </c>
      <c r="EF26" s="443" t="str">
        <f t="shared" si="114"/>
        <v/>
      </c>
      <c r="EG26" s="443" t="str">
        <f t="shared" si="115"/>
        <v/>
      </c>
      <c r="EH26" s="443" t="str">
        <f t="shared" si="116"/>
        <v/>
      </c>
      <c r="EI26" s="443" t="str">
        <f t="shared" si="117"/>
        <v/>
      </c>
      <c r="EJ26" s="443" t="str">
        <f t="shared" si="118"/>
        <v/>
      </c>
      <c r="EK26" s="443" t="str">
        <f t="shared" si="119"/>
        <v/>
      </c>
      <c r="EL26" s="443" t="str">
        <f t="shared" si="120"/>
        <v/>
      </c>
      <c r="EM26" s="443" t="str">
        <f t="shared" si="121"/>
        <v/>
      </c>
      <c r="EN26" s="443" t="str">
        <f t="shared" si="122"/>
        <v/>
      </c>
      <c r="EO26" s="443" t="str">
        <f t="shared" si="123"/>
        <v/>
      </c>
      <c r="EP26" s="443" t="str">
        <f t="shared" si="124"/>
        <v/>
      </c>
      <c r="EQ26" s="443" t="str">
        <f t="shared" si="125"/>
        <v/>
      </c>
      <c r="ER26" s="443" t="str">
        <f t="shared" si="126"/>
        <v/>
      </c>
      <c r="ES26" s="443" t="str">
        <f t="shared" si="127"/>
        <v/>
      </c>
      <c r="ET26" s="443" t="str">
        <f t="shared" si="128"/>
        <v/>
      </c>
      <c r="EU26" s="443" t="str">
        <f t="shared" si="129"/>
        <v/>
      </c>
      <c r="EV26" s="443" t="str">
        <f t="shared" si="130"/>
        <v/>
      </c>
      <c r="EW26" s="443" t="str">
        <f t="shared" si="131"/>
        <v/>
      </c>
      <c r="EX26" s="443" t="str">
        <f t="shared" si="132"/>
        <v/>
      </c>
      <c r="EY26" s="443" t="str">
        <f t="shared" si="133"/>
        <v/>
      </c>
      <c r="EZ26" s="443" t="str">
        <f t="shared" si="134"/>
        <v/>
      </c>
      <c r="FA26" s="443" t="str">
        <f t="shared" si="135"/>
        <v/>
      </c>
      <c r="FB26" s="443" t="str">
        <f t="shared" si="136"/>
        <v/>
      </c>
      <c r="FC26" s="443" t="str">
        <f t="shared" si="137"/>
        <v/>
      </c>
      <c r="FD26" s="443" t="str">
        <f t="shared" si="138"/>
        <v/>
      </c>
      <c r="FE26" s="443" t="str">
        <f t="shared" si="139"/>
        <v/>
      </c>
      <c r="FF26" s="443" t="str">
        <f t="shared" si="140"/>
        <v/>
      </c>
      <c r="FG26" s="443" t="str">
        <f t="shared" si="141"/>
        <v/>
      </c>
      <c r="FH26" s="443" t="str">
        <f t="shared" si="142"/>
        <v/>
      </c>
      <c r="FI26" s="443" t="str">
        <f t="shared" si="143"/>
        <v/>
      </c>
      <c r="FJ26" s="443" t="str">
        <f t="shared" si="144"/>
        <v/>
      </c>
      <c r="FK26" s="443" t="str">
        <f t="shared" si="145"/>
        <v/>
      </c>
      <c r="FL26" s="443" t="str">
        <f t="shared" si="146"/>
        <v/>
      </c>
      <c r="FM26" s="443" t="str">
        <f t="shared" si="147"/>
        <v/>
      </c>
      <c r="FN26" s="443" t="str">
        <f t="shared" si="148"/>
        <v/>
      </c>
      <c r="FO26" s="443" t="str">
        <f t="shared" si="149"/>
        <v/>
      </c>
      <c r="FP26" s="443" t="str">
        <f t="shared" si="150"/>
        <v/>
      </c>
      <c r="FQ26" s="443" t="str">
        <f t="shared" si="151"/>
        <v/>
      </c>
      <c r="FR26" s="443" t="str">
        <f t="shared" si="152"/>
        <v/>
      </c>
      <c r="FS26" s="443" t="str">
        <f t="shared" si="153"/>
        <v/>
      </c>
      <c r="FT26" s="443" t="str">
        <f t="shared" si="154"/>
        <v/>
      </c>
      <c r="FU26" s="443" t="str">
        <f t="shared" si="155"/>
        <v/>
      </c>
      <c r="FV26" s="443" t="str">
        <f t="shared" si="156"/>
        <v/>
      </c>
      <c r="FW26" s="443" t="str">
        <f t="shared" si="157"/>
        <v/>
      </c>
      <c r="FX26" s="443" t="str">
        <f t="shared" si="158"/>
        <v/>
      </c>
      <c r="FY26" s="443" t="str">
        <f t="shared" si="159"/>
        <v/>
      </c>
      <c r="FZ26" s="443" t="str">
        <f t="shared" si="160"/>
        <v/>
      </c>
      <c r="GA26" s="443" t="str">
        <f t="shared" si="161"/>
        <v/>
      </c>
      <c r="GB26" s="443" t="str">
        <f t="shared" si="162"/>
        <v/>
      </c>
      <c r="GC26" s="443" t="str">
        <f t="shared" si="163"/>
        <v/>
      </c>
      <c r="GD26" s="443" t="str">
        <f t="shared" si="164"/>
        <v/>
      </c>
      <c r="GE26" s="443" t="str">
        <f t="shared" si="165"/>
        <v/>
      </c>
      <c r="GF26" s="443" t="str">
        <f t="shared" si="166"/>
        <v/>
      </c>
      <c r="GG26" s="443" t="str">
        <f t="shared" si="167"/>
        <v/>
      </c>
      <c r="GH26" s="443" t="str">
        <f t="shared" si="168"/>
        <v/>
      </c>
      <c r="GI26" s="443" t="str">
        <f t="shared" si="169"/>
        <v/>
      </c>
      <c r="GJ26" s="443" t="str">
        <f t="shared" si="170"/>
        <v/>
      </c>
      <c r="GK26" s="443" t="str">
        <f t="shared" si="171"/>
        <v/>
      </c>
      <c r="GL26" s="443" t="str">
        <f t="shared" si="172"/>
        <v/>
      </c>
      <c r="GM26" s="443" t="str">
        <f t="shared" si="173"/>
        <v/>
      </c>
      <c r="GN26" s="443" t="str">
        <f t="shared" si="174"/>
        <v/>
      </c>
      <c r="GO26" s="443" t="str">
        <f t="shared" si="175"/>
        <v/>
      </c>
      <c r="GP26" s="443" t="str">
        <f t="shared" si="176"/>
        <v/>
      </c>
      <c r="GQ26" s="443" t="str">
        <f t="shared" si="177"/>
        <v/>
      </c>
      <c r="GR26" s="443" t="str">
        <f t="shared" si="178"/>
        <v/>
      </c>
      <c r="GS26" s="443" t="str">
        <f t="shared" si="179"/>
        <v/>
      </c>
      <c r="GT26" s="443" t="str">
        <f t="shared" si="180"/>
        <v/>
      </c>
      <c r="GU26" s="443" t="str">
        <f t="shared" si="181"/>
        <v/>
      </c>
      <c r="GV26" s="443" t="str">
        <f t="shared" si="182"/>
        <v/>
      </c>
      <c r="GW26" s="443" t="str">
        <f t="shared" si="183"/>
        <v/>
      </c>
      <c r="GX26" s="443" t="str">
        <f t="shared" si="184"/>
        <v/>
      </c>
      <c r="GY26" s="443" t="str">
        <f t="shared" si="185"/>
        <v/>
      </c>
      <c r="GZ26" s="443" t="str">
        <f t="shared" si="186"/>
        <v/>
      </c>
      <c r="HA26" s="443" t="str">
        <f t="shared" si="187"/>
        <v/>
      </c>
      <c r="HB26" s="443" t="str">
        <f t="shared" si="188"/>
        <v/>
      </c>
      <c r="HC26" s="443" t="str">
        <f t="shared" si="189"/>
        <v/>
      </c>
      <c r="HD26" s="443" t="str">
        <f t="shared" si="190"/>
        <v/>
      </c>
      <c r="HE26" s="443" t="str">
        <f t="shared" si="191"/>
        <v/>
      </c>
      <c r="HF26" s="443" t="str">
        <f t="shared" si="192"/>
        <v/>
      </c>
      <c r="HG26" s="443" t="str">
        <f t="shared" si="193"/>
        <v/>
      </c>
      <c r="HH26" s="443" t="str">
        <f t="shared" si="194"/>
        <v/>
      </c>
      <c r="HI26" s="443" t="str">
        <f t="shared" si="195"/>
        <v/>
      </c>
      <c r="HJ26" s="443" t="str">
        <f t="shared" si="196"/>
        <v/>
      </c>
      <c r="HK26" s="443" t="str">
        <f t="shared" si="197"/>
        <v/>
      </c>
      <c r="HL26" s="443" t="str">
        <f t="shared" si="198"/>
        <v/>
      </c>
      <c r="HM26" s="443" t="str">
        <f t="shared" si="199"/>
        <v/>
      </c>
      <c r="HN26" s="443" t="str">
        <f t="shared" si="200"/>
        <v/>
      </c>
      <c r="HO26" s="443" t="str">
        <f t="shared" si="201"/>
        <v/>
      </c>
      <c r="HP26" s="443" t="str">
        <f t="shared" si="202"/>
        <v/>
      </c>
      <c r="HQ26" s="443" t="str">
        <f t="shared" si="203"/>
        <v/>
      </c>
      <c r="HR26" s="443" t="str">
        <f t="shared" si="204"/>
        <v/>
      </c>
      <c r="HS26" s="443" t="str">
        <f t="shared" si="205"/>
        <v/>
      </c>
      <c r="HT26" s="443" t="str">
        <f t="shared" si="206"/>
        <v/>
      </c>
      <c r="HU26" s="443" t="str">
        <f t="shared" si="207"/>
        <v/>
      </c>
      <c r="HV26" s="443" t="str">
        <f t="shared" si="208"/>
        <v/>
      </c>
      <c r="HW26" s="443" t="str">
        <f t="shared" si="209"/>
        <v/>
      </c>
      <c r="HX26" s="443" t="str">
        <f t="shared" si="210"/>
        <v/>
      </c>
      <c r="HY26" s="443" t="str">
        <f t="shared" si="211"/>
        <v/>
      </c>
      <c r="HZ26" s="2247" t="str">
        <f t="shared" si="212"/>
        <v/>
      </c>
      <c r="IA26" s="2247" t="str">
        <f t="shared" si="213"/>
        <v/>
      </c>
      <c r="IB26" s="2247" t="str">
        <f t="shared" si="214"/>
        <v/>
      </c>
      <c r="IC26" s="2247" t="str">
        <f t="shared" si="215"/>
        <v/>
      </c>
      <c r="ID26" s="2247" t="str">
        <f t="shared" si="216"/>
        <v/>
      </c>
      <c r="IE26" s="2247" t="str">
        <f t="shared" si="217"/>
        <v/>
      </c>
      <c r="IF26" s="2247" t="str">
        <f t="shared" si="218"/>
        <v/>
      </c>
      <c r="IG26" s="2247" t="str">
        <f t="shared" si="219"/>
        <v/>
      </c>
      <c r="IH26" s="2247" t="str">
        <f t="shared" si="220"/>
        <v/>
      </c>
      <c r="II26" s="2247" t="str">
        <f t="shared" si="221"/>
        <v/>
      </c>
      <c r="IJ26" s="2247" t="str">
        <f t="shared" si="222"/>
        <v/>
      </c>
      <c r="IK26" s="2247" t="str">
        <f t="shared" si="223"/>
        <v/>
      </c>
      <c r="IL26" s="2247" t="str">
        <f t="shared" si="224"/>
        <v/>
      </c>
      <c r="IM26" s="2247" t="str">
        <f t="shared" si="225"/>
        <v/>
      </c>
      <c r="IN26" s="2247" t="str">
        <f t="shared" si="226"/>
        <v/>
      </c>
      <c r="IO26" s="2247" t="str">
        <f t="shared" si="227"/>
        <v/>
      </c>
      <c r="IP26" s="2247" t="str">
        <f t="shared" si="228"/>
        <v/>
      </c>
      <c r="IQ26" s="2247" t="str">
        <f t="shared" si="229"/>
        <v/>
      </c>
      <c r="IR26" s="2247" t="str">
        <f t="shared" si="230"/>
        <v/>
      </c>
      <c r="IS26" s="2247" t="str">
        <f t="shared" si="231"/>
        <v/>
      </c>
      <c r="IT26" s="2247" t="str">
        <f t="shared" si="232"/>
        <v/>
      </c>
      <c r="IU26" s="2247" t="str">
        <f t="shared" si="233"/>
        <v/>
      </c>
      <c r="IV26" s="2247" t="str">
        <f t="shared" si="234"/>
        <v/>
      </c>
      <c r="IW26" s="2247" t="str">
        <f t="shared" si="235"/>
        <v/>
      </c>
      <c r="IX26" s="2247" t="str">
        <f t="shared" si="236"/>
        <v/>
      </c>
      <c r="IY26" s="2247" t="str">
        <f t="shared" si="237"/>
        <v/>
      </c>
      <c r="IZ26" s="2247" t="str">
        <f t="shared" si="238"/>
        <v/>
      </c>
      <c r="JA26" s="2247" t="str">
        <f t="shared" si="239"/>
        <v/>
      </c>
      <c r="JB26" s="2247" t="str">
        <f t="shared" si="240"/>
        <v/>
      </c>
      <c r="JC26" s="2247" t="str">
        <f t="shared" si="241"/>
        <v/>
      </c>
      <c r="JD26" s="2247" t="str">
        <f t="shared" si="242"/>
        <v/>
      </c>
      <c r="JE26" s="2247" t="str">
        <f t="shared" si="243"/>
        <v/>
      </c>
      <c r="JF26" s="2247" t="str">
        <f t="shared" si="244"/>
        <v/>
      </c>
      <c r="JG26" s="2247" t="str">
        <f t="shared" si="245"/>
        <v/>
      </c>
      <c r="JH26" s="2247" t="str">
        <f t="shared" si="246"/>
        <v/>
      </c>
      <c r="JI26" s="2247" t="str">
        <f t="shared" si="247"/>
        <v/>
      </c>
      <c r="JJ26" s="2247" t="str">
        <f t="shared" si="248"/>
        <v/>
      </c>
      <c r="JK26" s="2247" t="str">
        <f t="shared" si="249"/>
        <v/>
      </c>
      <c r="JL26" s="2247" t="str">
        <f t="shared" si="250"/>
        <v/>
      </c>
      <c r="JM26" s="2247" t="str">
        <f t="shared" si="251"/>
        <v/>
      </c>
      <c r="JN26" s="2247" t="str">
        <f t="shared" si="252"/>
        <v/>
      </c>
      <c r="JO26" s="2247" t="str">
        <f t="shared" si="253"/>
        <v/>
      </c>
      <c r="JP26" s="2247" t="str">
        <f t="shared" si="254"/>
        <v/>
      </c>
      <c r="JQ26" s="2247" t="str">
        <f t="shared" si="255"/>
        <v/>
      </c>
      <c r="JR26" s="2247" t="str">
        <f t="shared" si="256"/>
        <v/>
      </c>
      <c r="JS26" s="2247" t="str">
        <f t="shared" si="257"/>
        <v/>
      </c>
      <c r="JT26" s="2247" t="str">
        <f t="shared" si="258"/>
        <v/>
      </c>
      <c r="JU26" s="2247" t="str">
        <f t="shared" si="259"/>
        <v/>
      </c>
      <c r="JV26" s="2247" t="str">
        <f t="shared" si="260"/>
        <v/>
      </c>
      <c r="JW26" s="2247" t="str">
        <f t="shared" si="261"/>
        <v/>
      </c>
      <c r="JX26" s="2247" t="str">
        <f t="shared" si="262"/>
        <v/>
      </c>
      <c r="JY26" s="2247" t="str">
        <f t="shared" si="263"/>
        <v/>
      </c>
      <c r="JZ26" s="2247" t="str">
        <f t="shared" si="264"/>
        <v/>
      </c>
      <c r="KA26" s="2247" t="str">
        <f t="shared" si="265"/>
        <v/>
      </c>
      <c r="KB26" s="2247" t="str">
        <f t="shared" si="266"/>
        <v/>
      </c>
      <c r="KC26" s="2247" t="str">
        <f t="shared" si="267"/>
        <v/>
      </c>
      <c r="KD26" s="2247" t="str">
        <f t="shared" si="268"/>
        <v/>
      </c>
      <c r="KE26" s="2247" t="str">
        <f t="shared" si="269"/>
        <v/>
      </c>
      <c r="KF26" s="2247" t="str">
        <f t="shared" si="270"/>
        <v/>
      </c>
      <c r="KG26" s="2247" t="str">
        <f t="shared" si="271"/>
        <v/>
      </c>
      <c r="KH26" s="2247" t="str">
        <f t="shared" si="272"/>
        <v/>
      </c>
      <c r="KI26" s="2247" t="str">
        <f t="shared" si="273"/>
        <v/>
      </c>
      <c r="KJ26" s="2247" t="str">
        <f t="shared" si="274"/>
        <v/>
      </c>
      <c r="KK26" s="2247" t="str">
        <f t="shared" si="275"/>
        <v/>
      </c>
      <c r="KL26" s="2247" t="str">
        <f t="shared" si="276"/>
        <v/>
      </c>
      <c r="KM26" s="2247" t="str">
        <f t="shared" si="277"/>
        <v/>
      </c>
      <c r="KN26" s="2247" t="str">
        <f t="shared" si="278"/>
        <v/>
      </c>
      <c r="KO26" s="2247" t="str">
        <f t="shared" si="279"/>
        <v/>
      </c>
      <c r="KP26" s="2247" t="str">
        <f t="shared" si="280"/>
        <v/>
      </c>
      <c r="KQ26" s="2247" t="str">
        <f t="shared" si="281"/>
        <v/>
      </c>
      <c r="KR26" s="2247" t="str">
        <f t="shared" si="282"/>
        <v/>
      </c>
      <c r="KS26" s="2247" t="str">
        <f t="shared" si="283"/>
        <v/>
      </c>
      <c r="KT26" s="2247" t="str">
        <f t="shared" si="284"/>
        <v/>
      </c>
      <c r="KU26" s="2247" t="str">
        <f t="shared" si="285"/>
        <v/>
      </c>
      <c r="KV26" s="2247" t="str">
        <f t="shared" si="286"/>
        <v/>
      </c>
      <c r="KW26" s="2247" t="str">
        <f t="shared" si="287"/>
        <v/>
      </c>
      <c r="KX26" s="2247" t="str">
        <f t="shared" si="288"/>
        <v/>
      </c>
      <c r="KY26" s="2247" t="str">
        <f t="shared" si="289"/>
        <v/>
      </c>
      <c r="KZ26" s="2247" t="str">
        <f t="shared" si="290"/>
        <v/>
      </c>
      <c r="LA26" s="2247" t="str">
        <f t="shared" si="291"/>
        <v/>
      </c>
      <c r="LB26" s="2247" t="str">
        <f t="shared" si="292"/>
        <v/>
      </c>
      <c r="LC26" s="2247" t="str">
        <f t="shared" si="293"/>
        <v/>
      </c>
      <c r="LD26" s="2247" t="str">
        <f t="shared" si="294"/>
        <v/>
      </c>
      <c r="LE26" s="2247" t="str">
        <f t="shared" si="295"/>
        <v/>
      </c>
      <c r="LF26" s="2247" t="str">
        <f t="shared" si="296"/>
        <v/>
      </c>
      <c r="LG26" s="2247" t="str">
        <f t="shared" si="297"/>
        <v/>
      </c>
      <c r="LH26" s="2247" t="str">
        <f t="shared" si="298"/>
        <v/>
      </c>
      <c r="LI26" s="2247" t="str">
        <f t="shared" si="299"/>
        <v/>
      </c>
      <c r="LJ26" s="2247" t="str">
        <f t="shared" si="300"/>
        <v/>
      </c>
      <c r="LK26" s="2247" t="str">
        <f t="shared" si="301"/>
        <v/>
      </c>
      <c r="LL26" s="2247" t="str">
        <f t="shared" si="302"/>
        <v/>
      </c>
      <c r="LM26" s="2247" t="str">
        <f t="shared" si="303"/>
        <v/>
      </c>
      <c r="LN26" s="2247" t="str">
        <f t="shared" si="304"/>
        <v/>
      </c>
      <c r="LO26" s="2247" t="str">
        <f t="shared" si="305"/>
        <v/>
      </c>
      <c r="LP26" s="2247" t="str">
        <f t="shared" si="306"/>
        <v/>
      </c>
      <c r="LQ26" s="2248" t="str">
        <f t="shared" si="307"/>
        <v/>
      </c>
      <c r="LR26" s="2248" t="str">
        <f t="shared" si="308"/>
        <v/>
      </c>
      <c r="LS26" s="2248" t="str">
        <f t="shared" si="309"/>
        <v/>
      </c>
      <c r="LT26" s="2248" t="str">
        <f t="shared" si="310"/>
        <v/>
      </c>
      <c r="LU26" s="2248" t="str">
        <f t="shared" si="311"/>
        <v/>
      </c>
      <c r="LV26" s="443" t="str">
        <f t="shared" si="312"/>
        <v/>
      </c>
      <c r="LW26" s="443" t="str">
        <f t="shared" si="313"/>
        <v/>
      </c>
      <c r="LX26" s="443" t="str">
        <f t="shared" si="314"/>
        <v/>
      </c>
      <c r="LY26" s="443" t="str">
        <f t="shared" si="315"/>
        <v/>
      </c>
      <c r="LZ26" s="443" t="str">
        <f t="shared" si="316"/>
        <v/>
      </c>
      <c r="MA26" s="443" t="str">
        <f t="shared" si="317"/>
        <v/>
      </c>
      <c r="MB26" s="443" t="str">
        <f t="shared" si="318"/>
        <v/>
      </c>
      <c r="MC26" s="443" t="str">
        <f t="shared" si="319"/>
        <v/>
      </c>
      <c r="MD26" s="443" t="str">
        <f t="shared" si="320"/>
        <v/>
      </c>
      <c r="ME26" s="443" t="str">
        <f t="shared" si="321"/>
        <v/>
      </c>
      <c r="MF26" s="443" t="str">
        <f t="shared" si="322"/>
        <v/>
      </c>
      <c r="MG26" s="443" t="str">
        <f t="shared" si="323"/>
        <v/>
      </c>
      <c r="MH26" s="443" t="str">
        <f t="shared" si="324"/>
        <v/>
      </c>
      <c r="MI26" s="443" t="str">
        <f t="shared" si="325"/>
        <v/>
      </c>
      <c r="MJ26" s="443" t="str">
        <f t="shared" si="326"/>
        <v/>
      </c>
      <c r="MK26" s="443" t="str">
        <f t="shared" si="327"/>
        <v/>
      </c>
      <c r="ML26" s="443" t="str">
        <f t="shared" si="328"/>
        <v/>
      </c>
      <c r="MM26" s="443" t="str">
        <f t="shared" si="329"/>
        <v/>
      </c>
      <c r="MN26" s="443" t="str">
        <f t="shared" si="330"/>
        <v/>
      </c>
      <c r="MO26" s="443" t="str">
        <f t="shared" si="331"/>
        <v/>
      </c>
      <c r="MP26" s="2246">
        <f t="shared" si="338"/>
        <v>0</v>
      </c>
      <c r="MQ26" s="2246">
        <f t="shared" si="339"/>
        <v>0</v>
      </c>
      <c r="MR26" s="2246">
        <f t="shared" si="340"/>
        <v>0</v>
      </c>
      <c r="MS26" s="2246">
        <f t="shared" si="341"/>
        <v>0</v>
      </c>
      <c r="MT26" s="2246">
        <f t="shared" si="342"/>
        <v>0</v>
      </c>
      <c r="MU26" s="2246">
        <f t="shared" si="343"/>
        <v>0</v>
      </c>
      <c r="MV26" s="2246">
        <f t="shared" si="344"/>
        <v>0</v>
      </c>
      <c r="MW26" s="2246">
        <f t="shared" si="345"/>
        <v>0</v>
      </c>
      <c r="MX26" s="2246">
        <f t="shared" si="346"/>
        <v>0</v>
      </c>
      <c r="MY26" s="2246">
        <f t="shared" si="347"/>
        <v>0</v>
      </c>
      <c r="MZ26" s="2246">
        <f t="shared" si="332"/>
        <v>0</v>
      </c>
      <c r="NA26" s="2246">
        <f t="shared" si="333"/>
        <v>0</v>
      </c>
      <c r="NB26" s="2246">
        <f t="shared" si="334"/>
        <v>0</v>
      </c>
      <c r="NC26" s="2246">
        <f t="shared" si="335"/>
        <v>0</v>
      </c>
      <c r="ND26" s="2246">
        <f t="shared" si="336"/>
        <v>0</v>
      </c>
    </row>
    <row r="27" spans="1:368" ht="13.95" customHeight="1">
      <c r="A27" s="109" t="str">
        <f t="shared" si="337"/>
        <v/>
      </c>
      <c r="B27" s="4015"/>
      <c r="C27" s="3987"/>
      <c r="D27" s="3988"/>
      <c r="E27" s="3989"/>
      <c r="F27" s="3989"/>
      <c r="G27" s="3989"/>
      <c r="H27" s="3989"/>
      <c r="I27" s="3989"/>
      <c r="J27" s="4016">
        <f>IF(C27="",0,HLOOKUP(C27,'Part V-Utility Allowances'!$I$11:$M$22,12))</f>
        <v>0</v>
      </c>
      <c r="K27" s="3991"/>
      <c r="L27" s="567">
        <f t="shared" si="0"/>
        <v>0</v>
      </c>
      <c r="M27" s="567">
        <f t="shared" si="1"/>
        <v>0</v>
      </c>
      <c r="N27" s="3992"/>
      <c r="O27" s="3992"/>
      <c r="P27" s="3992"/>
      <c r="Q27" s="3993"/>
      <c r="R27" s="3994"/>
      <c r="S27" s="3995"/>
      <c r="T27" s="3996"/>
      <c r="U27" s="3997"/>
      <c r="V27" s="3997"/>
      <c r="W27" s="3998"/>
      <c r="X27" s="443" t="str">
        <f t="shared" si="2"/>
        <v/>
      </c>
      <c r="Y27" s="443" t="str">
        <f t="shared" si="3"/>
        <v/>
      </c>
      <c r="Z27" s="443" t="str">
        <f t="shared" si="4"/>
        <v/>
      </c>
      <c r="AA27" s="443" t="str">
        <f t="shared" si="5"/>
        <v/>
      </c>
      <c r="AB27" s="443" t="str">
        <f t="shared" si="6"/>
        <v/>
      </c>
      <c r="AC27" s="443" t="str">
        <f t="shared" si="7"/>
        <v/>
      </c>
      <c r="AD27" s="443" t="str">
        <f t="shared" si="8"/>
        <v/>
      </c>
      <c r="AE27" s="443" t="str">
        <f t="shared" si="9"/>
        <v/>
      </c>
      <c r="AF27" s="443" t="str">
        <f t="shared" si="10"/>
        <v/>
      </c>
      <c r="AG27" s="443" t="str">
        <f t="shared" si="11"/>
        <v/>
      </c>
      <c r="AH27" s="443" t="str">
        <f t="shared" si="12"/>
        <v/>
      </c>
      <c r="AI27" s="443" t="str">
        <f t="shared" si="13"/>
        <v/>
      </c>
      <c r="AJ27" s="443" t="str">
        <f t="shared" si="14"/>
        <v/>
      </c>
      <c r="AK27" s="443" t="str">
        <f t="shared" si="15"/>
        <v/>
      </c>
      <c r="AL27" s="443" t="str">
        <f t="shared" si="16"/>
        <v/>
      </c>
      <c r="AM27" s="443" t="str">
        <f t="shared" si="17"/>
        <v/>
      </c>
      <c r="AN27" s="443" t="str">
        <f t="shared" si="18"/>
        <v/>
      </c>
      <c r="AO27" s="443" t="str">
        <f t="shared" si="19"/>
        <v/>
      </c>
      <c r="AP27" s="443" t="str">
        <f t="shared" si="20"/>
        <v/>
      </c>
      <c r="AQ27" s="443" t="str">
        <f t="shared" si="21"/>
        <v/>
      </c>
      <c r="AR27" s="443" t="str">
        <f t="shared" si="22"/>
        <v/>
      </c>
      <c r="AS27" s="443" t="str">
        <f t="shared" si="23"/>
        <v/>
      </c>
      <c r="AT27" s="443" t="str">
        <f t="shared" si="24"/>
        <v/>
      </c>
      <c r="AU27" s="443" t="str">
        <f t="shared" si="25"/>
        <v/>
      </c>
      <c r="AV27" s="443" t="str">
        <f t="shared" si="26"/>
        <v/>
      </c>
      <c r="AW27" s="443" t="str">
        <f t="shared" si="27"/>
        <v/>
      </c>
      <c r="AX27" s="443" t="str">
        <f t="shared" si="28"/>
        <v/>
      </c>
      <c r="AY27" s="443" t="str">
        <f t="shared" si="29"/>
        <v/>
      </c>
      <c r="AZ27" s="443" t="str">
        <f t="shared" si="30"/>
        <v/>
      </c>
      <c r="BA27" s="443" t="str">
        <f t="shared" si="31"/>
        <v/>
      </c>
      <c r="BB27" s="443" t="str">
        <f t="shared" si="32"/>
        <v/>
      </c>
      <c r="BC27" s="443" t="str">
        <f t="shared" si="33"/>
        <v/>
      </c>
      <c r="BD27" s="443" t="str">
        <f t="shared" si="34"/>
        <v/>
      </c>
      <c r="BE27" s="443" t="str">
        <f t="shared" si="35"/>
        <v/>
      </c>
      <c r="BF27" s="443" t="str">
        <f t="shared" si="36"/>
        <v/>
      </c>
      <c r="BG27" s="443" t="str">
        <f t="shared" si="37"/>
        <v/>
      </c>
      <c r="BH27" s="443" t="str">
        <f t="shared" si="38"/>
        <v/>
      </c>
      <c r="BI27" s="443" t="str">
        <f t="shared" si="39"/>
        <v/>
      </c>
      <c r="BJ27" s="443" t="str">
        <f t="shared" si="40"/>
        <v/>
      </c>
      <c r="BK27" s="443" t="str">
        <f t="shared" si="41"/>
        <v/>
      </c>
      <c r="BL27" s="443" t="str">
        <f t="shared" si="42"/>
        <v/>
      </c>
      <c r="BM27" s="443" t="str">
        <f t="shared" si="43"/>
        <v/>
      </c>
      <c r="BN27" s="443" t="str">
        <f t="shared" si="44"/>
        <v/>
      </c>
      <c r="BO27" s="443" t="str">
        <f t="shared" si="45"/>
        <v/>
      </c>
      <c r="BP27" s="443" t="str">
        <f t="shared" si="46"/>
        <v/>
      </c>
      <c r="BQ27" s="443" t="str">
        <f t="shared" si="47"/>
        <v/>
      </c>
      <c r="BR27" s="443" t="str">
        <f t="shared" si="48"/>
        <v/>
      </c>
      <c r="BS27" s="443" t="str">
        <f t="shared" si="49"/>
        <v/>
      </c>
      <c r="BT27" s="443" t="str">
        <f t="shared" si="50"/>
        <v/>
      </c>
      <c r="BU27" s="443" t="str">
        <f t="shared" si="51"/>
        <v/>
      </c>
      <c r="BV27" s="443" t="str">
        <f t="shared" si="52"/>
        <v/>
      </c>
      <c r="BW27" s="443" t="str">
        <f t="shared" si="53"/>
        <v/>
      </c>
      <c r="BX27" s="443" t="str">
        <f t="shared" si="54"/>
        <v/>
      </c>
      <c r="BY27" s="443" t="str">
        <f t="shared" si="55"/>
        <v/>
      </c>
      <c r="BZ27" s="443" t="str">
        <f t="shared" si="56"/>
        <v/>
      </c>
      <c r="CA27" s="443" t="str">
        <f t="shared" si="57"/>
        <v/>
      </c>
      <c r="CB27" s="443" t="str">
        <f t="shared" si="58"/>
        <v/>
      </c>
      <c r="CC27" s="443" t="str">
        <f t="shared" si="59"/>
        <v/>
      </c>
      <c r="CD27" s="443" t="str">
        <f t="shared" si="60"/>
        <v/>
      </c>
      <c r="CE27" s="443" t="str">
        <f t="shared" si="61"/>
        <v/>
      </c>
      <c r="CF27" s="443" t="str">
        <f t="shared" si="62"/>
        <v/>
      </c>
      <c r="CG27" s="443" t="str">
        <f t="shared" si="63"/>
        <v/>
      </c>
      <c r="CH27" s="443" t="str">
        <f t="shared" si="64"/>
        <v/>
      </c>
      <c r="CI27" s="443" t="str">
        <f t="shared" si="65"/>
        <v/>
      </c>
      <c r="CJ27" s="443" t="str">
        <f t="shared" si="66"/>
        <v/>
      </c>
      <c r="CK27" s="443" t="str">
        <f t="shared" si="67"/>
        <v/>
      </c>
      <c r="CL27" s="443" t="str">
        <f t="shared" si="68"/>
        <v/>
      </c>
      <c r="CM27" s="443" t="str">
        <f t="shared" si="69"/>
        <v/>
      </c>
      <c r="CN27" s="443" t="str">
        <f t="shared" si="70"/>
        <v/>
      </c>
      <c r="CO27" s="443" t="str">
        <f t="shared" si="71"/>
        <v/>
      </c>
      <c r="CP27" s="443" t="str">
        <f t="shared" si="72"/>
        <v/>
      </c>
      <c r="CQ27" s="443" t="str">
        <f t="shared" si="73"/>
        <v/>
      </c>
      <c r="CR27" s="443" t="str">
        <f t="shared" si="74"/>
        <v/>
      </c>
      <c r="CS27" s="443" t="str">
        <f t="shared" si="75"/>
        <v/>
      </c>
      <c r="CT27" s="443" t="str">
        <f t="shared" si="76"/>
        <v/>
      </c>
      <c r="CU27" s="443" t="str">
        <f t="shared" si="77"/>
        <v/>
      </c>
      <c r="CV27" s="443" t="str">
        <f t="shared" si="78"/>
        <v/>
      </c>
      <c r="CW27" s="443" t="str">
        <f t="shared" si="79"/>
        <v/>
      </c>
      <c r="CX27" s="443" t="str">
        <f t="shared" si="80"/>
        <v/>
      </c>
      <c r="CY27" s="443" t="str">
        <f t="shared" si="81"/>
        <v/>
      </c>
      <c r="CZ27" s="443" t="str">
        <f t="shared" si="82"/>
        <v/>
      </c>
      <c r="DA27" s="443" t="str">
        <f t="shared" si="83"/>
        <v/>
      </c>
      <c r="DB27" s="443" t="str">
        <f t="shared" si="84"/>
        <v/>
      </c>
      <c r="DC27" s="443" t="str">
        <f t="shared" si="85"/>
        <v/>
      </c>
      <c r="DD27" s="443" t="str">
        <f t="shared" si="86"/>
        <v/>
      </c>
      <c r="DE27" s="443" t="str">
        <f t="shared" si="87"/>
        <v/>
      </c>
      <c r="DF27" s="443" t="str">
        <f t="shared" si="88"/>
        <v/>
      </c>
      <c r="DG27" s="443" t="str">
        <f t="shared" si="89"/>
        <v/>
      </c>
      <c r="DH27" s="443" t="str">
        <f t="shared" si="90"/>
        <v/>
      </c>
      <c r="DI27" s="443" t="str">
        <f t="shared" si="91"/>
        <v/>
      </c>
      <c r="DJ27" s="443" t="str">
        <f t="shared" si="92"/>
        <v/>
      </c>
      <c r="DK27" s="443" t="str">
        <f t="shared" si="93"/>
        <v/>
      </c>
      <c r="DL27" s="443" t="str">
        <f t="shared" si="94"/>
        <v/>
      </c>
      <c r="DM27" s="443" t="str">
        <f t="shared" si="95"/>
        <v/>
      </c>
      <c r="DN27" s="443" t="str">
        <f t="shared" si="96"/>
        <v/>
      </c>
      <c r="DO27" s="443" t="str">
        <f t="shared" si="97"/>
        <v/>
      </c>
      <c r="DP27" s="443" t="str">
        <f t="shared" si="98"/>
        <v/>
      </c>
      <c r="DQ27" s="443" t="str">
        <f t="shared" si="99"/>
        <v/>
      </c>
      <c r="DR27" s="443" t="str">
        <f t="shared" si="100"/>
        <v/>
      </c>
      <c r="DS27" s="443" t="str">
        <f t="shared" si="101"/>
        <v/>
      </c>
      <c r="DT27" s="443" t="str">
        <f t="shared" si="102"/>
        <v/>
      </c>
      <c r="DU27" s="443" t="str">
        <f t="shared" si="103"/>
        <v/>
      </c>
      <c r="DV27" s="443" t="str">
        <f t="shared" si="104"/>
        <v/>
      </c>
      <c r="DW27" s="443" t="str">
        <f t="shared" si="105"/>
        <v/>
      </c>
      <c r="DX27" s="443" t="str">
        <f t="shared" si="106"/>
        <v/>
      </c>
      <c r="DY27" s="443" t="str">
        <f t="shared" si="107"/>
        <v/>
      </c>
      <c r="DZ27" s="443" t="str">
        <f t="shared" si="108"/>
        <v/>
      </c>
      <c r="EA27" s="443" t="str">
        <f t="shared" si="109"/>
        <v/>
      </c>
      <c r="EB27" s="443" t="str">
        <f t="shared" si="110"/>
        <v/>
      </c>
      <c r="EC27" s="443" t="str">
        <f t="shared" si="111"/>
        <v/>
      </c>
      <c r="ED27" s="443" t="str">
        <f t="shared" si="112"/>
        <v/>
      </c>
      <c r="EE27" s="443" t="str">
        <f t="shared" si="113"/>
        <v/>
      </c>
      <c r="EF27" s="443" t="str">
        <f t="shared" si="114"/>
        <v/>
      </c>
      <c r="EG27" s="443" t="str">
        <f t="shared" si="115"/>
        <v/>
      </c>
      <c r="EH27" s="443" t="str">
        <f t="shared" si="116"/>
        <v/>
      </c>
      <c r="EI27" s="443" t="str">
        <f t="shared" si="117"/>
        <v/>
      </c>
      <c r="EJ27" s="443" t="str">
        <f t="shared" si="118"/>
        <v/>
      </c>
      <c r="EK27" s="443" t="str">
        <f t="shared" si="119"/>
        <v/>
      </c>
      <c r="EL27" s="443" t="str">
        <f t="shared" si="120"/>
        <v/>
      </c>
      <c r="EM27" s="443" t="str">
        <f t="shared" si="121"/>
        <v/>
      </c>
      <c r="EN27" s="443" t="str">
        <f t="shared" si="122"/>
        <v/>
      </c>
      <c r="EO27" s="443" t="str">
        <f t="shared" si="123"/>
        <v/>
      </c>
      <c r="EP27" s="443" t="str">
        <f t="shared" si="124"/>
        <v/>
      </c>
      <c r="EQ27" s="443" t="str">
        <f t="shared" si="125"/>
        <v/>
      </c>
      <c r="ER27" s="443" t="str">
        <f t="shared" si="126"/>
        <v/>
      </c>
      <c r="ES27" s="443" t="str">
        <f t="shared" si="127"/>
        <v/>
      </c>
      <c r="ET27" s="443" t="str">
        <f t="shared" si="128"/>
        <v/>
      </c>
      <c r="EU27" s="443" t="str">
        <f t="shared" si="129"/>
        <v/>
      </c>
      <c r="EV27" s="443" t="str">
        <f t="shared" si="130"/>
        <v/>
      </c>
      <c r="EW27" s="443" t="str">
        <f t="shared" si="131"/>
        <v/>
      </c>
      <c r="EX27" s="443" t="str">
        <f t="shared" si="132"/>
        <v/>
      </c>
      <c r="EY27" s="443" t="str">
        <f t="shared" si="133"/>
        <v/>
      </c>
      <c r="EZ27" s="443" t="str">
        <f t="shared" si="134"/>
        <v/>
      </c>
      <c r="FA27" s="443" t="str">
        <f t="shared" si="135"/>
        <v/>
      </c>
      <c r="FB27" s="443" t="str">
        <f t="shared" si="136"/>
        <v/>
      </c>
      <c r="FC27" s="443" t="str">
        <f t="shared" si="137"/>
        <v/>
      </c>
      <c r="FD27" s="443" t="str">
        <f t="shared" si="138"/>
        <v/>
      </c>
      <c r="FE27" s="443" t="str">
        <f t="shared" si="139"/>
        <v/>
      </c>
      <c r="FF27" s="443" t="str">
        <f t="shared" si="140"/>
        <v/>
      </c>
      <c r="FG27" s="443" t="str">
        <f t="shared" si="141"/>
        <v/>
      </c>
      <c r="FH27" s="443" t="str">
        <f t="shared" si="142"/>
        <v/>
      </c>
      <c r="FI27" s="443" t="str">
        <f t="shared" si="143"/>
        <v/>
      </c>
      <c r="FJ27" s="443" t="str">
        <f t="shared" si="144"/>
        <v/>
      </c>
      <c r="FK27" s="443" t="str">
        <f t="shared" si="145"/>
        <v/>
      </c>
      <c r="FL27" s="443" t="str">
        <f t="shared" si="146"/>
        <v/>
      </c>
      <c r="FM27" s="443" t="str">
        <f t="shared" si="147"/>
        <v/>
      </c>
      <c r="FN27" s="443" t="str">
        <f t="shared" si="148"/>
        <v/>
      </c>
      <c r="FO27" s="443" t="str">
        <f t="shared" si="149"/>
        <v/>
      </c>
      <c r="FP27" s="443" t="str">
        <f t="shared" si="150"/>
        <v/>
      </c>
      <c r="FQ27" s="443" t="str">
        <f t="shared" si="151"/>
        <v/>
      </c>
      <c r="FR27" s="443" t="str">
        <f t="shared" si="152"/>
        <v/>
      </c>
      <c r="FS27" s="443" t="str">
        <f t="shared" si="153"/>
        <v/>
      </c>
      <c r="FT27" s="443" t="str">
        <f t="shared" si="154"/>
        <v/>
      </c>
      <c r="FU27" s="443" t="str">
        <f t="shared" si="155"/>
        <v/>
      </c>
      <c r="FV27" s="443" t="str">
        <f t="shared" si="156"/>
        <v/>
      </c>
      <c r="FW27" s="443" t="str">
        <f t="shared" si="157"/>
        <v/>
      </c>
      <c r="FX27" s="443" t="str">
        <f t="shared" si="158"/>
        <v/>
      </c>
      <c r="FY27" s="443" t="str">
        <f t="shared" si="159"/>
        <v/>
      </c>
      <c r="FZ27" s="443" t="str">
        <f t="shared" si="160"/>
        <v/>
      </c>
      <c r="GA27" s="443" t="str">
        <f t="shared" si="161"/>
        <v/>
      </c>
      <c r="GB27" s="443" t="str">
        <f t="shared" si="162"/>
        <v/>
      </c>
      <c r="GC27" s="443" t="str">
        <f t="shared" si="163"/>
        <v/>
      </c>
      <c r="GD27" s="443" t="str">
        <f t="shared" si="164"/>
        <v/>
      </c>
      <c r="GE27" s="443" t="str">
        <f t="shared" si="165"/>
        <v/>
      </c>
      <c r="GF27" s="443" t="str">
        <f t="shared" si="166"/>
        <v/>
      </c>
      <c r="GG27" s="443" t="str">
        <f t="shared" si="167"/>
        <v/>
      </c>
      <c r="GH27" s="443" t="str">
        <f t="shared" si="168"/>
        <v/>
      </c>
      <c r="GI27" s="443" t="str">
        <f t="shared" si="169"/>
        <v/>
      </c>
      <c r="GJ27" s="443" t="str">
        <f t="shared" si="170"/>
        <v/>
      </c>
      <c r="GK27" s="443" t="str">
        <f t="shared" si="171"/>
        <v/>
      </c>
      <c r="GL27" s="443" t="str">
        <f t="shared" si="172"/>
        <v/>
      </c>
      <c r="GM27" s="443" t="str">
        <f t="shared" si="173"/>
        <v/>
      </c>
      <c r="GN27" s="443" t="str">
        <f t="shared" si="174"/>
        <v/>
      </c>
      <c r="GO27" s="443" t="str">
        <f t="shared" si="175"/>
        <v/>
      </c>
      <c r="GP27" s="443" t="str">
        <f t="shared" si="176"/>
        <v/>
      </c>
      <c r="GQ27" s="443" t="str">
        <f t="shared" si="177"/>
        <v/>
      </c>
      <c r="GR27" s="443" t="str">
        <f t="shared" si="178"/>
        <v/>
      </c>
      <c r="GS27" s="443" t="str">
        <f t="shared" si="179"/>
        <v/>
      </c>
      <c r="GT27" s="443" t="str">
        <f t="shared" si="180"/>
        <v/>
      </c>
      <c r="GU27" s="443" t="str">
        <f t="shared" si="181"/>
        <v/>
      </c>
      <c r="GV27" s="443" t="str">
        <f t="shared" si="182"/>
        <v/>
      </c>
      <c r="GW27" s="443" t="str">
        <f t="shared" si="183"/>
        <v/>
      </c>
      <c r="GX27" s="443" t="str">
        <f t="shared" si="184"/>
        <v/>
      </c>
      <c r="GY27" s="443" t="str">
        <f t="shared" si="185"/>
        <v/>
      </c>
      <c r="GZ27" s="443" t="str">
        <f t="shared" si="186"/>
        <v/>
      </c>
      <c r="HA27" s="443" t="str">
        <f t="shared" si="187"/>
        <v/>
      </c>
      <c r="HB27" s="443" t="str">
        <f t="shared" si="188"/>
        <v/>
      </c>
      <c r="HC27" s="443" t="str">
        <f t="shared" si="189"/>
        <v/>
      </c>
      <c r="HD27" s="443" t="str">
        <f t="shared" si="190"/>
        <v/>
      </c>
      <c r="HE27" s="443" t="str">
        <f t="shared" si="191"/>
        <v/>
      </c>
      <c r="HF27" s="443" t="str">
        <f t="shared" si="192"/>
        <v/>
      </c>
      <c r="HG27" s="443" t="str">
        <f t="shared" si="193"/>
        <v/>
      </c>
      <c r="HH27" s="443" t="str">
        <f t="shared" si="194"/>
        <v/>
      </c>
      <c r="HI27" s="443" t="str">
        <f t="shared" si="195"/>
        <v/>
      </c>
      <c r="HJ27" s="443" t="str">
        <f t="shared" si="196"/>
        <v/>
      </c>
      <c r="HK27" s="443" t="str">
        <f t="shared" si="197"/>
        <v/>
      </c>
      <c r="HL27" s="443" t="str">
        <f t="shared" si="198"/>
        <v/>
      </c>
      <c r="HM27" s="443" t="str">
        <f t="shared" si="199"/>
        <v/>
      </c>
      <c r="HN27" s="443" t="str">
        <f t="shared" si="200"/>
        <v/>
      </c>
      <c r="HO27" s="443" t="str">
        <f t="shared" si="201"/>
        <v/>
      </c>
      <c r="HP27" s="443" t="str">
        <f t="shared" si="202"/>
        <v/>
      </c>
      <c r="HQ27" s="443" t="str">
        <f t="shared" si="203"/>
        <v/>
      </c>
      <c r="HR27" s="443" t="str">
        <f t="shared" si="204"/>
        <v/>
      </c>
      <c r="HS27" s="443" t="str">
        <f t="shared" si="205"/>
        <v/>
      </c>
      <c r="HT27" s="443" t="str">
        <f t="shared" si="206"/>
        <v/>
      </c>
      <c r="HU27" s="443" t="str">
        <f t="shared" si="207"/>
        <v/>
      </c>
      <c r="HV27" s="443" t="str">
        <f t="shared" si="208"/>
        <v/>
      </c>
      <c r="HW27" s="443" t="str">
        <f t="shared" si="209"/>
        <v/>
      </c>
      <c r="HX27" s="443" t="str">
        <f t="shared" si="210"/>
        <v/>
      </c>
      <c r="HY27" s="443" t="str">
        <f t="shared" si="211"/>
        <v/>
      </c>
      <c r="HZ27" s="2247" t="str">
        <f t="shared" si="212"/>
        <v/>
      </c>
      <c r="IA27" s="2247" t="str">
        <f t="shared" si="213"/>
        <v/>
      </c>
      <c r="IB27" s="2247" t="str">
        <f t="shared" si="214"/>
        <v/>
      </c>
      <c r="IC27" s="2247" t="str">
        <f t="shared" si="215"/>
        <v/>
      </c>
      <c r="ID27" s="2247" t="str">
        <f t="shared" si="216"/>
        <v/>
      </c>
      <c r="IE27" s="2247" t="str">
        <f t="shared" si="217"/>
        <v/>
      </c>
      <c r="IF27" s="2247" t="str">
        <f t="shared" si="218"/>
        <v/>
      </c>
      <c r="IG27" s="2247" t="str">
        <f t="shared" si="219"/>
        <v/>
      </c>
      <c r="IH27" s="2247" t="str">
        <f t="shared" si="220"/>
        <v/>
      </c>
      <c r="II27" s="2247" t="str">
        <f t="shared" si="221"/>
        <v/>
      </c>
      <c r="IJ27" s="2247" t="str">
        <f t="shared" si="222"/>
        <v/>
      </c>
      <c r="IK27" s="2247" t="str">
        <f t="shared" si="223"/>
        <v/>
      </c>
      <c r="IL27" s="2247" t="str">
        <f t="shared" si="224"/>
        <v/>
      </c>
      <c r="IM27" s="2247" t="str">
        <f t="shared" si="225"/>
        <v/>
      </c>
      <c r="IN27" s="2247" t="str">
        <f t="shared" si="226"/>
        <v/>
      </c>
      <c r="IO27" s="2247" t="str">
        <f t="shared" si="227"/>
        <v/>
      </c>
      <c r="IP27" s="2247" t="str">
        <f t="shared" si="228"/>
        <v/>
      </c>
      <c r="IQ27" s="2247" t="str">
        <f t="shared" si="229"/>
        <v/>
      </c>
      <c r="IR27" s="2247" t="str">
        <f t="shared" si="230"/>
        <v/>
      </c>
      <c r="IS27" s="2247" t="str">
        <f t="shared" si="231"/>
        <v/>
      </c>
      <c r="IT27" s="2247" t="str">
        <f t="shared" si="232"/>
        <v/>
      </c>
      <c r="IU27" s="2247" t="str">
        <f t="shared" si="233"/>
        <v/>
      </c>
      <c r="IV27" s="2247" t="str">
        <f t="shared" si="234"/>
        <v/>
      </c>
      <c r="IW27" s="2247" t="str">
        <f t="shared" si="235"/>
        <v/>
      </c>
      <c r="IX27" s="2247" t="str">
        <f t="shared" si="236"/>
        <v/>
      </c>
      <c r="IY27" s="2247" t="str">
        <f t="shared" si="237"/>
        <v/>
      </c>
      <c r="IZ27" s="2247" t="str">
        <f t="shared" si="238"/>
        <v/>
      </c>
      <c r="JA27" s="2247" t="str">
        <f t="shared" si="239"/>
        <v/>
      </c>
      <c r="JB27" s="2247" t="str">
        <f t="shared" si="240"/>
        <v/>
      </c>
      <c r="JC27" s="2247" t="str">
        <f t="shared" si="241"/>
        <v/>
      </c>
      <c r="JD27" s="2247" t="str">
        <f t="shared" si="242"/>
        <v/>
      </c>
      <c r="JE27" s="2247" t="str">
        <f t="shared" si="243"/>
        <v/>
      </c>
      <c r="JF27" s="2247" t="str">
        <f t="shared" si="244"/>
        <v/>
      </c>
      <c r="JG27" s="2247" t="str">
        <f t="shared" si="245"/>
        <v/>
      </c>
      <c r="JH27" s="2247" t="str">
        <f t="shared" si="246"/>
        <v/>
      </c>
      <c r="JI27" s="2247" t="str">
        <f t="shared" si="247"/>
        <v/>
      </c>
      <c r="JJ27" s="2247" t="str">
        <f t="shared" si="248"/>
        <v/>
      </c>
      <c r="JK27" s="2247" t="str">
        <f t="shared" si="249"/>
        <v/>
      </c>
      <c r="JL27" s="2247" t="str">
        <f t="shared" si="250"/>
        <v/>
      </c>
      <c r="JM27" s="2247" t="str">
        <f t="shared" si="251"/>
        <v/>
      </c>
      <c r="JN27" s="2247" t="str">
        <f t="shared" si="252"/>
        <v/>
      </c>
      <c r="JO27" s="2247" t="str">
        <f t="shared" si="253"/>
        <v/>
      </c>
      <c r="JP27" s="2247" t="str">
        <f t="shared" si="254"/>
        <v/>
      </c>
      <c r="JQ27" s="2247" t="str">
        <f t="shared" si="255"/>
        <v/>
      </c>
      <c r="JR27" s="2247" t="str">
        <f t="shared" si="256"/>
        <v/>
      </c>
      <c r="JS27" s="2247" t="str">
        <f t="shared" si="257"/>
        <v/>
      </c>
      <c r="JT27" s="2247" t="str">
        <f t="shared" si="258"/>
        <v/>
      </c>
      <c r="JU27" s="2247" t="str">
        <f t="shared" si="259"/>
        <v/>
      </c>
      <c r="JV27" s="2247" t="str">
        <f t="shared" si="260"/>
        <v/>
      </c>
      <c r="JW27" s="2247" t="str">
        <f t="shared" si="261"/>
        <v/>
      </c>
      <c r="JX27" s="2247" t="str">
        <f t="shared" si="262"/>
        <v/>
      </c>
      <c r="JY27" s="2247" t="str">
        <f t="shared" si="263"/>
        <v/>
      </c>
      <c r="JZ27" s="2247" t="str">
        <f t="shared" si="264"/>
        <v/>
      </c>
      <c r="KA27" s="2247" t="str">
        <f t="shared" si="265"/>
        <v/>
      </c>
      <c r="KB27" s="2247" t="str">
        <f t="shared" si="266"/>
        <v/>
      </c>
      <c r="KC27" s="2247" t="str">
        <f t="shared" si="267"/>
        <v/>
      </c>
      <c r="KD27" s="2247" t="str">
        <f t="shared" si="268"/>
        <v/>
      </c>
      <c r="KE27" s="2247" t="str">
        <f t="shared" si="269"/>
        <v/>
      </c>
      <c r="KF27" s="2247" t="str">
        <f t="shared" si="270"/>
        <v/>
      </c>
      <c r="KG27" s="2247" t="str">
        <f t="shared" si="271"/>
        <v/>
      </c>
      <c r="KH27" s="2247" t="str">
        <f t="shared" si="272"/>
        <v/>
      </c>
      <c r="KI27" s="2247" t="str">
        <f t="shared" si="273"/>
        <v/>
      </c>
      <c r="KJ27" s="2247" t="str">
        <f t="shared" si="274"/>
        <v/>
      </c>
      <c r="KK27" s="2247" t="str">
        <f t="shared" si="275"/>
        <v/>
      </c>
      <c r="KL27" s="2247" t="str">
        <f t="shared" si="276"/>
        <v/>
      </c>
      <c r="KM27" s="2247" t="str">
        <f t="shared" si="277"/>
        <v/>
      </c>
      <c r="KN27" s="2247" t="str">
        <f t="shared" si="278"/>
        <v/>
      </c>
      <c r="KO27" s="2247" t="str">
        <f t="shared" si="279"/>
        <v/>
      </c>
      <c r="KP27" s="2247" t="str">
        <f t="shared" si="280"/>
        <v/>
      </c>
      <c r="KQ27" s="2247" t="str">
        <f t="shared" si="281"/>
        <v/>
      </c>
      <c r="KR27" s="2247" t="str">
        <f t="shared" si="282"/>
        <v/>
      </c>
      <c r="KS27" s="2247" t="str">
        <f t="shared" si="283"/>
        <v/>
      </c>
      <c r="KT27" s="2247" t="str">
        <f t="shared" si="284"/>
        <v/>
      </c>
      <c r="KU27" s="2247" t="str">
        <f t="shared" si="285"/>
        <v/>
      </c>
      <c r="KV27" s="2247" t="str">
        <f t="shared" si="286"/>
        <v/>
      </c>
      <c r="KW27" s="2247" t="str">
        <f t="shared" si="287"/>
        <v/>
      </c>
      <c r="KX27" s="2247" t="str">
        <f t="shared" si="288"/>
        <v/>
      </c>
      <c r="KY27" s="2247" t="str">
        <f t="shared" si="289"/>
        <v/>
      </c>
      <c r="KZ27" s="2247" t="str">
        <f t="shared" si="290"/>
        <v/>
      </c>
      <c r="LA27" s="2247" t="str">
        <f t="shared" si="291"/>
        <v/>
      </c>
      <c r="LB27" s="2247" t="str">
        <f t="shared" si="292"/>
        <v/>
      </c>
      <c r="LC27" s="2247" t="str">
        <f t="shared" si="293"/>
        <v/>
      </c>
      <c r="LD27" s="2247" t="str">
        <f t="shared" si="294"/>
        <v/>
      </c>
      <c r="LE27" s="2247" t="str">
        <f t="shared" si="295"/>
        <v/>
      </c>
      <c r="LF27" s="2247" t="str">
        <f t="shared" si="296"/>
        <v/>
      </c>
      <c r="LG27" s="2247" t="str">
        <f t="shared" si="297"/>
        <v/>
      </c>
      <c r="LH27" s="2247" t="str">
        <f t="shared" si="298"/>
        <v/>
      </c>
      <c r="LI27" s="2247" t="str">
        <f t="shared" si="299"/>
        <v/>
      </c>
      <c r="LJ27" s="2247" t="str">
        <f t="shared" si="300"/>
        <v/>
      </c>
      <c r="LK27" s="2247" t="str">
        <f t="shared" si="301"/>
        <v/>
      </c>
      <c r="LL27" s="2247" t="str">
        <f t="shared" si="302"/>
        <v/>
      </c>
      <c r="LM27" s="2247" t="str">
        <f t="shared" si="303"/>
        <v/>
      </c>
      <c r="LN27" s="2247" t="str">
        <f t="shared" si="304"/>
        <v/>
      </c>
      <c r="LO27" s="2247" t="str">
        <f t="shared" si="305"/>
        <v/>
      </c>
      <c r="LP27" s="2247" t="str">
        <f t="shared" si="306"/>
        <v/>
      </c>
      <c r="LQ27" s="2248" t="str">
        <f t="shared" si="307"/>
        <v/>
      </c>
      <c r="LR27" s="2248" t="str">
        <f t="shared" si="308"/>
        <v/>
      </c>
      <c r="LS27" s="2248" t="str">
        <f t="shared" si="309"/>
        <v/>
      </c>
      <c r="LT27" s="2248" t="str">
        <f t="shared" si="310"/>
        <v/>
      </c>
      <c r="LU27" s="2248" t="str">
        <f t="shared" si="311"/>
        <v/>
      </c>
      <c r="LV27" s="443" t="str">
        <f t="shared" si="312"/>
        <v/>
      </c>
      <c r="LW27" s="443" t="str">
        <f t="shared" si="313"/>
        <v/>
      </c>
      <c r="LX27" s="443" t="str">
        <f t="shared" si="314"/>
        <v/>
      </c>
      <c r="LY27" s="443" t="str">
        <f t="shared" si="315"/>
        <v/>
      </c>
      <c r="LZ27" s="443" t="str">
        <f t="shared" si="316"/>
        <v/>
      </c>
      <c r="MA27" s="443" t="str">
        <f t="shared" si="317"/>
        <v/>
      </c>
      <c r="MB27" s="443" t="str">
        <f t="shared" si="318"/>
        <v/>
      </c>
      <c r="MC27" s="443" t="str">
        <f t="shared" si="319"/>
        <v/>
      </c>
      <c r="MD27" s="443" t="str">
        <f t="shared" si="320"/>
        <v/>
      </c>
      <c r="ME27" s="443" t="str">
        <f t="shared" si="321"/>
        <v/>
      </c>
      <c r="MF27" s="443" t="str">
        <f t="shared" si="322"/>
        <v/>
      </c>
      <c r="MG27" s="443" t="str">
        <f t="shared" si="323"/>
        <v/>
      </c>
      <c r="MH27" s="443" t="str">
        <f t="shared" si="324"/>
        <v/>
      </c>
      <c r="MI27" s="443" t="str">
        <f t="shared" si="325"/>
        <v/>
      </c>
      <c r="MJ27" s="443" t="str">
        <f t="shared" si="326"/>
        <v/>
      </c>
      <c r="MK27" s="443" t="str">
        <f t="shared" si="327"/>
        <v/>
      </c>
      <c r="ML27" s="443" t="str">
        <f t="shared" si="328"/>
        <v/>
      </c>
      <c r="MM27" s="443" t="str">
        <f t="shared" si="329"/>
        <v/>
      </c>
      <c r="MN27" s="443" t="str">
        <f t="shared" si="330"/>
        <v/>
      </c>
      <c r="MO27" s="443" t="str">
        <f t="shared" si="331"/>
        <v/>
      </c>
      <c r="MP27" s="2246">
        <f t="shared" si="338"/>
        <v>0</v>
      </c>
      <c r="MQ27" s="2246">
        <f t="shared" si="339"/>
        <v>0</v>
      </c>
      <c r="MR27" s="2246">
        <f t="shared" si="340"/>
        <v>0</v>
      </c>
      <c r="MS27" s="2246">
        <f t="shared" si="341"/>
        <v>0</v>
      </c>
      <c r="MT27" s="2246">
        <f t="shared" si="342"/>
        <v>0</v>
      </c>
      <c r="MU27" s="2246">
        <f t="shared" si="343"/>
        <v>0</v>
      </c>
      <c r="MV27" s="2246">
        <f t="shared" si="344"/>
        <v>0</v>
      </c>
      <c r="MW27" s="2246">
        <f t="shared" si="345"/>
        <v>0</v>
      </c>
      <c r="MX27" s="2246">
        <f t="shared" si="346"/>
        <v>0</v>
      </c>
      <c r="MY27" s="2246">
        <f t="shared" si="347"/>
        <v>0</v>
      </c>
      <c r="MZ27" s="2246">
        <f t="shared" si="332"/>
        <v>0</v>
      </c>
      <c r="NA27" s="2246">
        <f t="shared" si="333"/>
        <v>0</v>
      </c>
      <c r="NB27" s="2246">
        <f t="shared" si="334"/>
        <v>0</v>
      </c>
      <c r="NC27" s="2246">
        <f t="shared" si="335"/>
        <v>0</v>
      </c>
      <c r="ND27" s="2246">
        <f t="shared" si="336"/>
        <v>0</v>
      </c>
    </row>
    <row r="28" spans="1:368" ht="13.95" customHeight="1">
      <c r="A28" s="109" t="str">
        <f t="shared" si="337"/>
        <v/>
      </c>
      <c r="B28" s="4015"/>
      <c r="C28" s="3987"/>
      <c r="D28" s="3988"/>
      <c r="E28" s="3989"/>
      <c r="F28" s="3989"/>
      <c r="G28" s="3989"/>
      <c r="H28" s="3989"/>
      <c r="I28" s="3989"/>
      <c r="J28" s="4016">
        <f>IF(C28="",0,HLOOKUP(C28,'Part V-Utility Allowances'!$I$11:$M$22,12))</f>
        <v>0</v>
      </c>
      <c r="K28" s="3991"/>
      <c r="L28" s="567">
        <f t="shared" si="0"/>
        <v>0</v>
      </c>
      <c r="M28" s="567">
        <f t="shared" si="1"/>
        <v>0</v>
      </c>
      <c r="N28" s="3992"/>
      <c r="O28" s="3992"/>
      <c r="P28" s="3992"/>
      <c r="Q28" s="3993"/>
      <c r="R28" s="3994"/>
      <c r="S28" s="3995"/>
      <c r="T28" s="3996"/>
      <c r="U28" s="3997"/>
      <c r="V28" s="3997"/>
      <c r="W28" s="3998"/>
      <c r="X28" s="443" t="str">
        <f t="shared" si="2"/>
        <v/>
      </c>
      <c r="Y28" s="443" t="str">
        <f t="shared" si="3"/>
        <v/>
      </c>
      <c r="Z28" s="443" t="str">
        <f t="shared" si="4"/>
        <v/>
      </c>
      <c r="AA28" s="443" t="str">
        <f t="shared" si="5"/>
        <v/>
      </c>
      <c r="AB28" s="443" t="str">
        <f t="shared" si="6"/>
        <v/>
      </c>
      <c r="AC28" s="443" t="str">
        <f t="shared" si="7"/>
        <v/>
      </c>
      <c r="AD28" s="443" t="str">
        <f t="shared" si="8"/>
        <v/>
      </c>
      <c r="AE28" s="443" t="str">
        <f t="shared" si="9"/>
        <v/>
      </c>
      <c r="AF28" s="443" t="str">
        <f t="shared" si="10"/>
        <v/>
      </c>
      <c r="AG28" s="443" t="str">
        <f t="shared" si="11"/>
        <v/>
      </c>
      <c r="AH28" s="443" t="str">
        <f t="shared" si="12"/>
        <v/>
      </c>
      <c r="AI28" s="443" t="str">
        <f t="shared" si="13"/>
        <v/>
      </c>
      <c r="AJ28" s="443" t="str">
        <f t="shared" si="14"/>
        <v/>
      </c>
      <c r="AK28" s="443" t="str">
        <f t="shared" si="15"/>
        <v/>
      </c>
      <c r="AL28" s="443" t="str">
        <f t="shared" si="16"/>
        <v/>
      </c>
      <c r="AM28" s="443" t="str">
        <f t="shared" si="17"/>
        <v/>
      </c>
      <c r="AN28" s="443" t="str">
        <f t="shared" si="18"/>
        <v/>
      </c>
      <c r="AO28" s="443" t="str">
        <f t="shared" si="19"/>
        <v/>
      </c>
      <c r="AP28" s="443" t="str">
        <f t="shared" si="20"/>
        <v/>
      </c>
      <c r="AQ28" s="443" t="str">
        <f t="shared" si="21"/>
        <v/>
      </c>
      <c r="AR28" s="443" t="str">
        <f t="shared" si="22"/>
        <v/>
      </c>
      <c r="AS28" s="443" t="str">
        <f t="shared" si="23"/>
        <v/>
      </c>
      <c r="AT28" s="443" t="str">
        <f t="shared" si="24"/>
        <v/>
      </c>
      <c r="AU28" s="443" t="str">
        <f t="shared" si="25"/>
        <v/>
      </c>
      <c r="AV28" s="443" t="str">
        <f t="shared" si="26"/>
        <v/>
      </c>
      <c r="AW28" s="443" t="str">
        <f t="shared" si="27"/>
        <v/>
      </c>
      <c r="AX28" s="443" t="str">
        <f t="shared" si="28"/>
        <v/>
      </c>
      <c r="AY28" s="443" t="str">
        <f t="shared" si="29"/>
        <v/>
      </c>
      <c r="AZ28" s="443" t="str">
        <f t="shared" si="30"/>
        <v/>
      </c>
      <c r="BA28" s="443" t="str">
        <f t="shared" si="31"/>
        <v/>
      </c>
      <c r="BB28" s="443" t="str">
        <f t="shared" si="32"/>
        <v/>
      </c>
      <c r="BC28" s="443" t="str">
        <f t="shared" si="33"/>
        <v/>
      </c>
      <c r="BD28" s="443" t="str">
        <f t="shared" si="34"/>
        <v/>
      </c>
      <c r="BE28" s="443" t="str">
        <f t="shared" si="35"/>
        <v/>
      </c>
      <c r="BF28" s="443" t="str">
        <f t="shared" si="36"/>
        <v/>
      </c>
      <c r="BG28" s="443" t="str">
        <f t="shared" si="37"/>
        <v/>
      </c>
      <c r="BH28" s="443" t="str">
        <f t="shared" si="38"/>
        <v/>
      </c>
      <c r="BI28" s="443" t="str">
        <f t="shared" si="39"/>
        <v/>
      </c>
      <c r="BJ28" s="443" t="str">
        <f t="shared" si="40"/>
        <v/>
      </c>
      <c r="BK28" s="443" t="str">
        <f t="shared" si="41"/>
        <v/>
      </c>
      <c r="BL28" s="443" t="str">
        <f t="shared" si="42"/>
        <v/>
      </c>
      <c r="BM28" s="443" t="str">
        <f t="shared" si="43"/>
        <v/>
      </c>
      <c r="BN28" s="443" t="str">
        <f t="shared" si="44"/>
        <v/>
      </c>
      <c r="BO28" s="443" t="str">
        <f t="shared" si="45"/>
        <v/>
      </c>
      <c r="BP28" s="443" t="str">
        <f t="shared" si="46"/>
        <v/>
      </c>
      <c r="BQ28" s="443" t="str">
        <f t="shared" si="47"/>
        <v/>
      </c>
      <c r="BR28" s="443" t="str">
        <f t="shared" si="48"/>
        <v/>
      </c>
      <c r="BS28" s="443" t="str">
        <f t="shared" si="49"/>
        <v/>
      </c>
      <c r="BT28" s="443" t="str">
        <f t="shared" si="50"/>
        <v/>
      </c>
      <c r="BU28" s="443" t="str">
        <f t="shared" si="51"/>
        <v/>
      </c>
      <c r="BV28" s="443" t="str">
        <f t="shared" si="52"/>
        <v/>
      </c>
      <c r="BW28" s="443" t="str">
        <f t="shared" si="53"/>
        <v/>
      </c>
      <c r="BX28" s="443" t="str">
        <f t="shared" si="54"/>
        <v/>
      </c>
      <c r="BY28" s="443" t="str">
        <f t="shared" si="55"/>
        <v/>
      </c>
      <c r="BZ28" s="443" t="str">
        <f t="shared" si="56"/>
        <v/>
      </c>
      <c r="CA28" s="443" t="str">
        <f t="shared" si="57"/>
        <v/>
      </c>
      <c r="CB28" s="443" t="str">
        <f t="shared" si="58"/>
        <v/>
      </c>
      <c r="CC28" s="443" t="str">
        <f t="shared" si="59"/>
        <v/>
      </c>
      <c r="CD28" s="443" t="str">
        <f t="shared" si="60"/>
        <v/>
      </c>
      <c r="CE28" s="443" t="str">
        <f t="shared" si="61"/>
        <v/>
      </c>
      <c r="CF28" s="443" t="str">
        <f t="shared" si="62"/>
        <v/>
      </c>
      <c r="CG28" s="443" t="str">
        <f t="shared" si="63"/>
        <v/>
      </c>
      <c r="CH28" s="443" t="str">
        <f t="shared" si="64"/>
        <v/>
      </c>
      <c r="CI28" s="443" t="str">
        <f t="shared" si="65"/>
        <v/>
      </c>
      <c r="CJ28" s="443" t="str">
        <f t="shared" si="66"/>
        <v/>
      </c>
      <c r="CK28" s="443" t="str">
        <f t="shared" si="67"/>
        <v/>
      </c>
      <c r="CL28" s="443" t="str">
        <f t="shared" si="68"/>
        <v/>
      </c>
      <c r="CM28" s="443" t="str">
        <f t="shared" si="69"/>
        <v/>
      </c>
      <c r="CN28" s="443" t="str">
        <f t="shared" si="70"/>
        <v/>
      </c>
      <c r="CO28" s="443" t="str">
        <f t="shared" si="71"/>
        <v/>
      </c>
      <c r="CP28" s="443" t="str">
        <f t="shared" si="72"/>
        <v/>
      </c>
      <c r="CQ28" s="443" t="str">
        <f t="shared" si="73"/>
        <v/>
      </c>
      <c r="CR28" s="443" t="str">
        <f t="shared" si="74"/>
        <v/>
      </c>
      <c r="CS28" s="443" t="str">
        <f t="shared" si="75"/>
        <v/>
      </c>
      <c r="CT28" s="443" t="str">
        <f t="shared" si="76"/>
        <v/>
      </c>
      <c r="CU28" s="443" t="str">
        <f t="shared" si="77"/>
        <v/>
      </c>
      <c r="CV28" s="443" t="str">
        <f t="shared" si="78"/>
        <v/>
      </c>
      <c r="CW28" s="443" t="str">
        <f t="shared" si="79"/>
        <v/>
      </c>
      <c r="CX28" s="443" t="str">
        <f t="shared" si="80"/>
        <v/>
      </c>
      <c r="CY28" s="443" t="str">
        <f t="shared" si="81"/>
        <v/>
      </c>
      <c r="CZ28" s="443" t="str">
        <f t="shared" si="82"/>
        <v/>
      </c>
      <c r="DA28" s="443" t="str">
        <f t="shared" si="83"/>
        <v/>
      </c>
      <c r="DB28" s="443" t="str">
        <f t="shared" si="84"/>
        <v/>
      </c>
      <c r="DC28" s="443" t="str">
        <f t="shared" si="85"/>
        <v/>
      </c>
      <c r="DD28" s="443" t="str">
        <f t="shared" si="86"/>
        <v/>
      </c>
      <c r="DE28" s="443" t="str">
        <f t="shared" si="87"/>
        <v/>
      </c>
      <c r="DF28" s="443" t="str">
        <f t="shared" si="88"/>
        <v/>
      </c>
      <c r="DG28" s="443" t="str">
        <f t="shared" si="89"/>
        <v/>
      </c>
      <c r="DH28" s="443" t="str">
        <f t="shared" si="90"/>
        <v/>
      </c>
      <c r="DI28" s="443" t="str">
        <f t="shared" si="91"/>
        <v/>
      </c>
      <c r="DJ28" s="443" t="str">
        <f t="shared" si="92"/>
        <v/>
      </c>
      <c r="DK28" s="443" t="str">
        <f t="shared" si="93"/>
        <v/>
      </c>
      <c r="DL28" s="443" t="str">
        <f t="shared" si="94"/>
        <v/>
      </c>
      <c r="DM28" s="443" t="str">
        <f t="shared" si="95"/>
        <v/>
      </c>
      <c r="DN28" s="443" t="str">
        <f t="shared" si="96"/>
        <v/>
      </c>
      <c r="DO28" s="443" t="str">
        <f t="shared" si="97"/>
        <v/>
      </c>
      <c r="DP28" s="443" t="str">
        <f t="shared" si="98"/>
        <v/>
      </c>
      <c r="DQ28" s="443" t="str">
        <f t="shared" si="99"/>
        <v/>
      </c>
      <c r="DR28" s="443" t="str">
        <f t="shared" si="100"/>
        <v/>
      </c>
      <c r="DS28" s="443" t="str">
        <f t="shared" si="101"/>
        <v/>
      </c>
      <c r="DT28" s="443" t="str">
        <f t="shared" si="102"/>
        <v/>
      </c>
      <c r="DU28" s="443" t="str">
        <f t="shared" si="103"/>
        <v/>
      </c>
      <c r="DV28" s="443" t="str">
        <f t="shared" si="104"/>
        <v/>
      </c>
      <c r="DW28" s="443" t="str">
        <f t="shared" si="105"/>
        <v/>
      </c>
      <c r="DX28" s="443" t="str">
        <f t="shared" si="106"/>
        <v/>
      </c>
      <c r="DY28" s="443" t="str">
        <f t="shared" si="107"/>
        <v/>
      </c>
      <c r="DZ28" s="443" t="str">
        <f t="shared" si="108"/>
        <v/>
      </c>
      <c r="EA28" s="443" t="str">
        <f t="shared" si="109"/>
        <v/>
      </c>
      <c r="EB28" s="443" t="str">
        <f t="shared" si="110"/>
        <v/>
      </c>
      <c r="EC28" s="443" t="str">
        <f t="shared" si="111"/>
        <v/>
      </c>
      <c r="ED28" s="443" t="str">
        <f t="shared" si="112"/>
        <v/>
      </c>
      <c r="EE28" s="443" t="str">
        <f t="shared" si="113"/>
        <v/>
      </c>
      <c r="EF28" s="443" t="str">
        <f t="shared" si="114"/>
        <v/>
      </c>
      <c r="EG28" s="443" t="str">
        <f t="shared" si="115"/>
        <v/>
      </c>
      <c r="EH28" s="443" t="str">
        <f t="shared" si="116"/>
        <v/>
      </c>
      <c r="EI28" s="443" t="str">
        <f t="shared" si="117"/>
        <v/>
      </c>
      <c r="EJ28" s="443" t="str">
        <f t="shared" si="118"/>
        <v/>
      </c>
      <c r="EK28" s="443" t="str">
        <f t="shared" si="119"/>
        <v/>
      </c>
      <c r="EL28" s="443" t="str">
        <f t="shared" si="120"/>
        <v/>
      </c>
      <c r="EM28" s="443" t="str">
        <f t="shared" si="121"/>
        <v/>
      </c>
      <c r="EN28" s="443" t="str">
        <f t="shared" si="122"/>
        <v/>
      </c>
      <c r="EO28" s="443" t="str">
        <f t="shared" si="123"/>
        <v/>
      </c>
      <c r="EP28" s="443" t="str">
        <f t="shared" si="124"/>
        <v/>
      </c>
      <c r="EQ28" s="443" t="str">
        <f t="shared" si="125"/>
        <v/>
      </c>
      <c r="ER28" s="443" t="str">
        <f t="shared" si="126"/>
        <v/>
      </c>
      <c r="ES28" s="443" t="str">
        <f t="shared" si="127"/>
        <v/>
      </c>
      <c r="ET28" s="443" t="str">
        <f t="shared" si="128"/>
        <v/>
      </c>
      <c r="EU28" s="443" t="str">
        <f t="shared" si="129"/>
        <v/>
      </c>
      <c r="EV28" s="443" t="str">
        <f t="shared" si="130"/>
        <v/>
      </c>
      <c r="EW28" s="443" t="str">
        <f t="shared" si="131"/>
        <v/>
      </c>
      <c r="EX28" s="443" t="str">
        <f t="shared" si="132"/>
        <v/>
      </c>
      <c r="EY28" s="443" t="str">
        <f t="shared" si="133"/>
        <v/>
      </c>
      <c r="EZ28" s="443" t="str">
        <f t="shared" si="134"/>
        <v/>
      </c>
      <c r="FA28" s="443" t="str">
        <f t="shared" si="135"/>
        <v/>
      </c>
      <c r="FB28" s="443" t="str">
        <f t="shared" si="136"/>
        <v/>
      </c>
      <c r="FC28" s="443" t="str">
        <f t="shared" si="137"/>
        <v/>
      </c>
      <c r="FD28" s="443" t="str">
        <f t="shared" si="138"/>
        <v/>
      </c>
      <c r="FE28" s="443" t="str">
        <f t="shared" si="139"/>
        <v/>
      </c>
      <c r="FF28" s="443" t="str">
        <f t="shared" si="140"/>
        <v/>
      </c>
      <c r="FG28" s="443" t="str">
        <f t="shared" si="141"/>
        <v/>
      </c>
      <c r="FH28" s="443" t="str">
        <f t="shared" si="142"/>
        <v/>
      </c>
      <c r="FI28" s="443" t="str">
        <f t="shared" si="143"/>
        <v/>
      </c>
      <c r="FJ28" s="443" t="str">
        <f t="shared" si="144"/>
        <v/>
      </c>
      <c r="FK28" s="443" t="str">
        <f t="shared" si="145"/>
        <v/>
      </c>
      <c r="FL28" s="443" t="str">
        <f t="shared" si="146"/>
        <v/>
      </c>
      <c r="FM28" s="443" t="str">
        <f t="shared" si="147"/>
        <v/>
      </c>
      <c r="FN28" s="443" t="str">
        <f t="shared" si="148"/>
        <v/>
      </c>
      <c r="FO28" s="443" t="str">
        <f t="shared" si="149"/>
        <v/>
      </c>
      <c r="FP28" s="443" t="str">
        <f t="shared" si="150"/>
        <v/>
      </c>
      <c r="FQ28" s="443" t="str">
        <f t="shared" si="151"/>
        <v/>
      </c>
      <c r="FR28" s="443" t="str">
        <f t="shared" si="152"/>
        <v/>
      </c>
      <c r="FS28" s="443" t="str">
        <f t="shared" si="153"/>
        <v/>
      </c>
      <c r="FT28" s="443" t="str">
        <f t="shared" si="154"/>
        <v/>
      </c>
      <c r="FU28" s="443" t="str">
        <f t="shared" si="155"/>
        <v/>
      </c>
      <c r="FV28" s="443" t="str">
        <f t="shared" si="156"/>
        <v/>
      </c>
      <c r="FW28" s="443" t="str">
        <f t="shared" si="157"/>
        <v/>
      </c>
      <c r="FX28" s="443" t="str">
        <f t="shared" si="158"/>
        <v/>
      </c>
      <c r="FY28" s="443" t="str">
        <f t="shared" si="159"/>
        <v/>
      </c>
      <c r="FZ28" s="443" t="str">
        <f t="shared" si="160"/>
        <v/>
      </c>
      <c r="GA28" s="443" t="str">
        <f t="shared" si="161"/>
        <v/>
      </c>
      <c r="GB28" s="443" t="str">
        <f t="shared" si="162"/>
        <v/>
      </c>
      <c r="GC28" s="443" t="str">
        <f t="shared" si="163"/>
        <v/>
      </c>
      <c r="GD28" s="443" t="str">
        <f t="shared" si="164"/>
        <v/>
      </c>
      <c r="GE28" s="443" t="str">
        <f t="shared" si="165"/>
        <v/>
      </c>
      <c r="GF28" s="443" t="str">
        <f t="shared" si="166"/>
        <v/>
      </c>
      <c r="GG28" s="443" t="str">
        <f t="shared" si="167"/>
        <v/>
      </c>
      <c r="GH28" s="443" t="str">
        <f t="shared" si="168"/>
        <v/>
      </c>
      <c r="GI28" s="443" t="str">
        <f t="shared" si="169"/>
        <v/>
      </c>
      <c r="GJ28" s="443" t="str">
        <f t="shared" si="170"/>
        <v/>
      </c>
      <c r="GK28" s="443" t="str">
        <f t="shared" si="171"/>
        <v/>
      </c>
      <c r="GL28" s="443" t="str">
        <f t="shared" si="172"/>
        <v/>
      </c>
      <c r="GM28" s="443" t="str">
        <f t="shared" si="173"/>
        <v/>
      </c>
      <c r="GN28" s="443" t="str">
        <f t="shared" si="174"/>
        <v/>
      </c>
      <c r="GO28" s="443" t="str">
        <f t="shared" si="175"/>
        <v/>
      </c>
      <c r="GP28" s="443" t="str">
        <f t="shared" si="176"/>
        <v/>
      </c>
      <c r="GQ28" s="443" t="str">
        <f t="shared" si="177"/>
        <v/>
      </c>
      <c r="GR28" s="443" t="str">
        <f t="shared" si="178"/>
        <v/>
      </c>
      <c r="GS28" s="443" t="str">
        <f t="shared" si="179"/>
        <v/>
      </c>
      <c r="GT28" s="443" t="str">
        <f t="shared" si="180"/>
        <v/>
      </c>
      <c r="GU28" s="443" t="str">
        <f t="shared" si="181"/>
        <v/>
      </c>
      <c r="GV28" s="443" t="str">
        <f t="shared" si="182"/>
        <v/>
      </c>
      <c r="GW28" s="443" t="str">
        <f t="shared" si="183"/>
        <v/>
      </c>
      <c r="GX28" s="443" t="str">
        <f t="shared" si="184"/>
        <v/>
      </c>
      <c r="GY28" s="443" t="str">
        <f t="shared" si="185"/>
        <v/>
      </c>
      <c r="GZ28" s="443" t="str">
        <f t="shared" si="186"/>
        <v/>
      </c>
      <c r="HA28" s="443" t="str">
        <f t="shared" si="187"/>
        <v/>
      </c>
      <c r="HB28" s="443" t="str">
        <f t="shared" si="188"/>
        <v/>
      </c>
      <c r="HC28" s="443" t="str">
        <f t="shared" si="189"/>
        <v/>
      </c>
      <c r="HD28" s="443" t="str">
        <f t="shared" si="190"/>
        <v/>
      </c>
      <c r="HE28" s="443" t="str">
        <f t="shared" si="191"/>
        <v/>
      </c>
      <c r="HF28" s="443" t="str">
        <f t="shared" si="192"/>
        <v/>
      </c>
      <c r="HG28" s="443" t="str">
        <f t="shared" si="193"/>
        <v/>
      </c>
      <c r="HH28" s="443" t="str">
        <f t="shared" si="194"/>
        <v/>
      </c>
      <c r="HI28" s="443" t="str">
        <f t="shared" si="195"/>
        <v/>
      </c>
      <c r="HJ28" s="443" t="str">
        <f t="shared" si="196"/>
        <v/>
      </c>
      <c r="HK28" s="443" t="str">
        <f t="shared" si="197"/>
        <v/>
      </c>
      <c r="HL28" s="443" t="str">
        <f t="shared" si="198"/>
        <v/>
      </c>
      <c r="HM28" s="443" t="str">
        <f t="shared" si="199"/>
        <v/>
      </c>
      <c r="HN28" s="443" t="str">
        <f t="shared" si="200"/>
        <v/>
      </c>
      <c r="HO28" s="443" t="str">
        <f t="shared" si="201"/>
        <v/>
      </c>
      <c r="HP28" s="443" t="str">
        <f t="shared" si="202"/>
        <v/>
      </c>
      <c r="HQ28" s="443" t="str">
        <f t="shared" si="203"/>
        <v/>
      </c>
      <c r="HR28" s="443" t="str">
        <f t="shared" si="204"/>
        <v/>
      </c>
      <c r="HS28" s="443" t="str">
        <f t="shared" si="205"/>
        <v/>
      </c>
      <c r="HT28" s="443" t="str">
        <f t="shared" si="206"/>
        <v/>
      </c>
      <c r="HU28" s="443" t="str">
        <f t="shared" si="207"/>
        <v/>
      </c>
      <c r="HV28" s="443" t="str">
        <f t="shared" si="208"/>
        <v/>
      </c>
      <c r="HW28" s="443" t="str">
        <f t="shared" si="209"/>
        <v/>
      </c>
      <c r="HX28" s="443" t="str">
        <f t="shared" si="210"/>
        <v/>
      </c>
      <c r="HY28" s="443" t="str">
        <f t="shared" si="211"/>
        <v/>
      </c>
      <c r="HZ28" s="2247" t="str">
        <f t="shared" si="212"/>
        <v/>
      </c>
      <c r="IA28" s="2247" t="str">
        <f t="shared" si="213"/>
        <v/>
      </c>
      <c r="IB28" s="2247" t="str">
        <f t="shared" si="214"/>
        <v/>
      </c>
      <c r="IC28" s="2247" t="str">
        <f t="shared" si="215"/>
        <v/>
      </c>
      <c r="ID28" s="2247" t="str">
        <f t="shared" si="216"/>
        <v/>
      </c>
      <c r="IE28" s="2247" t="str">
        <f t="shared" si="217"/>
        <v/>
      </c>
      <c r="IF28" s="2247" t="str">
        <f t="shared" si="218"/>
        <v/>
      </c>
      <c r="IG28" s="2247" t="str">
        <f t="shared" si="219"/>
        <v/>
      </c>
      <c r="IH28" s="2247" t="str">
        <f t="shared" si="220"/>
        <v/>
      </c>
      <c r="II28" s="2247" t="str">
        <f t="shared" si="221"/>
        <v/>
      </c>
      <c r="IJ28" s="2247" t="str">
        <f t="shared" si="222"/>
        <v/>
      </c>
      <c r="IK28" s="2247" t="str">
        <f t="shared" si="223"/>
        <v/>
      </c>
      <c r="IL28" s="2247" t="str">
        <f t="shared" si="224"/>
        <v/>
      </c>
      <c r="IM28" s="2247" t="str">
        <f t="shared" si="225"/>
        <v/>
      </c>
      <c r="IN28" s="2247" t="str">
        <f t="shared" si="226"/>
        <v/>
      </c>
      <c r="IO28" s="2247" t="str">
        <f t="shared" si="227"/>
        <v/>
      </c>
      <c r="IP28" s="2247" t="str">
        <f t="shared" si="228"/>
        <v/>
      </c>
      <c r="IQ28" s="2247" t="str">
        <f t="shared" si="229"/>
        <v/>
      </c>
      <c r="IR28" s="2247" t="str">
        <f t="shared" si="230"/>
        <v/>
      </c>
      <c r="IS28" s="2247" t="str">
        <f t="shared" si="231"/>
        <v/>
      </c>
      <c r="IT28" s="2247" t="str">
        <f t="shared" si="232"/>
        <v/>
      </c>
      <c r="IU28" s="2247" t="str">
        <f t="shared" si="233"/>
        <v/>
      </c>
      <c r="IV28" s="2247" t="str">
        <f t="shared" si="234"/>
        <v/>
      </c>
      <c r="IW28" s="2247" t="str">
        <f t="shared" si="235"/>
        <v/>
      </c>
      <c r="IX28" s="2247" t="str">
        <f t="shared" si="236"/>
        <v/>
      </c>
      <c r="IY28" s="2247" t="str">
        <f t="shared" si="237"/>
        <v/>
      </c>
      <c r="IZ28" s="2247" t="str">
        <f t="shared" si="238"/>
        <v/>
      </c>
      <c r="JA28" s="2247" t="str">
        <f t="shared" si="239"/>
        <v/>
      </c>
      <c r="JB28" s="2247" t="str">
        <f t="shared" si="240"/>
        <v/>
      </c>
      <c r="JC28" s="2247" t="str">
        <f t="shared" si="241"/>
        <v/>
      </c>
      <c r="JD28" s="2247" t="str">
        <f t="shared" si="242"/>
        <v/>
      </c>
      <c r="JE28" s="2247" t="str">
        <f t="shared" si="243"/>
        <v/>
      </c>
      <c r="JF28" s="2247" t="str">
        <f t="shared" si="244"/>
        <v/>
      </c>
      <c r="JG28" s="2247" t="str">
        <f t="shared" si="245"/>
        <v/>
      </c>
      <c r="JH28" s="2247" t="str">
        <f t="shared" si="246"/>
        <v/>
      </c>
      <c r="JI28" s="2247" t="str">
        <f t="shared" si="247"/>
        <v/>
      </c>
      <c r="JJ28" s="2247" t="str">
        <f t="shared" si="248"/>
        <v/>
      </c>
      <c r="JK28" s="2247" t="str">
        <f t="shared" si="249"/>
        <v/>
      </c>
      <c r="JL28" s="2247" t="str">
        <f t="shared" si="250"/>
        <v/>
      </c>
      <c r="JM28" s="2247" t="str">
        <f t="shared" si="251"/>
        <v/>
      </c>
      <c r="JN28" s="2247" t="str">
        <f t="shared" si="252"/>
        <v/>
      </c>
      <c r="JO28" s="2247" t="str">
        <f t="shared" si="253"/>
        <v/>
      </c>
      <c r="JP28" s="2247" t="str">
        <f t="shared" si="254"/>
        <v/>
      </c>
      <c r="JQ28" s="2247" t="str">
        <f t="shared" si="255"/>
        <v/>
      </c>
      <c r="JR28" s="2247" t="str">
        <f t="shared" si="256"/>
        <v/>
      </c>
      <c r="JS28" s="2247" t="str">
        <f t="shared" si="257"/>
        <v/>
      </c>
      <c r="JT28" s="2247" t="str">
        <f t="shared" si="258"/>
        <v/>
      </c>
      <c r="JU28" s="2247" t="str">
        <f t="shared" si="259"/>
        <v/>
      </c>
      <c r="JV28" s="2247" t="str">
        <f t="shared" si="260"/>
        <v/>
      </c>
      <c r="JW28" s="2247" t="str">
        <f t="shared" si="261"/>
        <v/>
      </c>
      <c r="JX28" s="2247" t="str">
        <f t="shared" si="262"/>
        <v/>
      </c>
      <c r="JY28" s="2247" t="str">
        <f t="shared" si="263"/>
        <v/>
      </c>
      <c r="JZ28" s="2247" t="str">
        <f t="shared" si="264"/>
        <v/>
      </c>
      <c r="KA28" s="2247" t="str">
        <f t="shared" si="265"/>
        <v/>
      </c>
      <c r="KB28" s="2247" t="str">
        <f t="shared" si="266"/>
        <v/>
      </c>
      <c r="KC28" s="2247" t="str">
        <f t="shared" si="267"/>
        <v/>
      </c>
      <c r="KD28" s="2247" t="str">
        <f t="shared" si="268"/>
        <v/>
      </c>
      <c r="KE28" s="2247" t="str">
        <f t="shared" si="269"/>
        <v/>
      </c>
      <c r="KF28" s="2247" t="str">
        <f t="shared" si="270"/>
        <v/>
      </c>
      <c r="KG28" s="2247" t="str">
        <f t="shared" si="271"/>
        <v/>
      </c>
      <c r="KH28" s="2247" t="str">
        <f t="shared" si="272"/>
        <v/>
      </c>
      <c r="KI28" s="2247" t="str">
        <f t="shared" si="273"/>
        <v/>
      </c>
      <c r="KJ28" s="2247" t="str">
        <f t="shared" si="274"/>
        <v/>
      </c>
      <c r="KK28" s="2247" t="str">
        <f t="shared" si="275"/>
        <v/>
      </c>
      <c r="KL28" s="2247" t="str">
        <f t="shared" si="276"/>
        <v/>
      </c>
      <c r="KM28" s="2247" t="str">
        <f t="shared" si="277"/>
        <v/>
      </c>
      <c r="KN28" s="2247" t="str">
        <f t="shared" si="278"/>
        <v/>
      </c>
      <c r="KO28" s="2247" t="str">
        <f t="shared" si="279"/>
        <v/>
      </c>
      <c r="KP28" s="2247" t="str">
        <f t="shared" si="280"/>
        <v/>
      </c>
      <c r="KQ28" s="2247" t="str">
        <f t="shared" si="281"/>
        <v/>
      </c>
      <c r="KR28" s="2247" t="str">
        <f t="shared" si="282"/>
        <v/>
      </c>
      <c r="KS28" s="2247" t="str">
        <f t="shared" si="283"/>
        <v/>
      </c>
      <c r="KT28" s="2247" t="str">
        <f t="shared" si="284"/>
        <v/>
      </c>
      <c r="KU28" s="2247" t="str">
        <f t="shared" si="285"/>
        <v/>
      </c>
      <c r="KV28" s="2247" t="str">
        <f t="shared" si="286"/>
        <v/>
      </c>
      <c r="KW28" s="2247" t="str">
        <f t="shared" si="287"/>
        <v/>
      </c>
      <c r="KX28" s="2247" t="str">
        <f t="shared" si="288"/>
        <v/>
      </c>
      <c r="KY28" s="2247" t="str">
        <f t="shared" si="289"/>
        <v/>
      </c>
      <c r="KZ28" s="2247" t="str">
        <f t="shared" si="290"/>
        <v/>
      </c>
      <c r="LA28" s="2247" t="str">
        <f t="shared" si="291"/>
        <v/>
      </c>
      <c r="LB28" s="2247" t="str">
        <f t="shared" si="292"/>
        <v/>
      </c>
      <c r="LC28" s="2247" t="str">
        <f t="shared" si="293"/>
        <v/>
      </c>
      <c r="LD28" s="2247" t="str">
        <f t="shared" si="294"/>
        <v/>
      </c>
      <c r="LE28" s="2247" t="str">
        <f t="shared" si="295"/>
        <v/>
      </c>
      <c r="LF28" s="2247" t="str">
        <f t="shared" si="296"/>
        <v/>
      </c>
      <c r="LG28" s="2247" t="str">
        <f t="shared" si="297"/>
        <v/>
      </c>
      <c r="LH28" s="2247" t="str">
        <f t="shared" si="298"/>
        <v/>
      </c>
      <c r="LI28" s="2247" t="str">
        <f t="shared" si="299"/>
        <v/>
      </c>
      <c r="LJ28" s="2247" t="str">
        <f t="shared" si="300"/>
        <v/>
      </c>
      <c r="LK28" s="2247" t="str">
        <f t="shared" si="301"/>
        <v/>
      </c>
      <c r="LL28" s="2247" t="str">
        <f t="shared" si="302"/>
        <v/>
      </c>
      <c r="LM28" s="2247" t="str">
        <f t="shared" si="303"/>
        <v/>
      </c>
      <c r="LN28" s="2247" t="str">
        <f t="shared" si="304"/>
        <v/>
      </c>
      <c r="LO28" s="2247" t="str">
        <f t="shared" si="305"/>
        <v/>
      </c>
      <c r="LP28" s="2247" t="str">
        <f t="shared" si="306"/>
        <v/>
      </c>
      <c r="LQ28" s="2248" t="str">
        <f t="shared" si="307"/>
        <v/>
      </c>
      <c r="LR28" s="2248" t="str">
        <f t="shared" si="308"/>
        <v/>
      </c>
      <c r="LS28" s="2248" t="str">
        <f t="shared" si="309"/>
        <v/>
      </c>
      <c r="LT28" s="2248" t="str">
        <f t="shared" si="310"/>
        <v/>
      </c>
      <c r="LU28" s="2248" t="str">
        <f t="shared" si="311"/>
        <v/>
      </c>
      <c r="LV28" s="443" t="str">
        <f t="shared" si="312"/>
        <v/>
      </c>
      <c r="LW28" s="443" t="str">
        <f t="shared" si="313"/>
        <v/>
      </c>
      <c r="LX28" s="443" t="str">
        <f t="shared" si="314"/>
        <v/>
      </c>
      <c r="LY28" s="443" t="str">
        <f t="shared" si="315"/>
        <v/>
      </c>
      <c r="LZ28" s="443" t="str">
        <f t="shared" si="316"/>
        <v/>
      </c>
      <c r="MA28" s="443" t="str">
        <f t="shared" si="317"/>
        <v/>
      </c>
      <c r="MB28" s="443" t="str">
        <f t="shared" si="318"/>
        <v/>
      </c>
      <c r="MC28" s="443" t="str">
        <f t="shared" si="319"/>
        <v/>
      </c>
      <c r="MD28" s="443" t="str">
        <f t="shared" si="320"/>
        <v/>
      </c>
      <c r="ME28" s="443" t="str">
        <f t="shared" si="321"/>
        <v/>
      </c>
      <c r="MF28" s="443" t="str">
        <f t="shared" si="322"/>
        <v/>
      </c>
      <c r="MG28" s="443" t="str">
        <f t="shared" si="323"/>
        <v/>
      </c>
      <c r="MH28" s="443" t="str">
        <f t="shared" si="324"/>
        <v/>
      </c>
      <c r="MI28" s="443" t="str">
        <f t="shared" si="325"/>
        <v/>
      </c>
      <c r="MJ28" s="443" t="str">
        <f t="shared" si="326"/>
        <v/>
      </c>
      <c r="MK28" s="443" t="str">
        <f t="shared" si="327"/>
        <v/>
      </c>
      <c r="ML28" s="443" t="str">
        <f t="shared" si="328"/>
        <v/>
      </c>
      <c r="MM28" s="443" t="str">
        <f t="shared" si="329"/>
        <v/>
      </c>
      <c r="MN28" s="443" t="str">
        <f t="shared" si="330"/>
        <v/>
      </c>
      <c r="MO28" s="443" t="str">
        <f t="shared" si="331"/>
        <v/>
      </c>
      <c r="MP28" s="2246">
        <f t="shared" si="338"/>
        <v>0</v>
      </c>
      <c r="MQ28" s="2246">
        <f t="shared" si="339"/>
        <v>0</v>
      </c>
      <c r="MR28" s="2246">
        <f t="shared" si="340"/>
        <v>0</v>
      </c>
      <c r="MS28" s="2246">
        <f t="shared" si="341"/>
        <v>0</v>
      </c>
      <c r="MT28" s="2246">
        <f t="shared" si="342"/>
        <v>0</v>
      </c>
      <c r="MU28" s="2246">
        <f t="shared" si="343"/>
        <v>0</v>
      </c>
      <c r="MV28" s="2246">
        <f t="shared" si="344"/>
        <v>0</v>
      </c>
      <c r="MW28" s="2246">
        <f t="shared" si="345"/>
        <v>0</v>
      </c>
      <c r="MX28" s="2246">
        <f t="shared" si="346"/>
        <v>0</v>
      </c>
      <c r="MY28" s="2246">
        <f t="shared" si="347"/>
        <v>0</v>
      </c>
      <c r="MZ28" s="2246">
        <f t="shared" si="332"/>
        <v>0</v>
      </c>
      <c r="NA28" s="2246">
        <f t="shared" si="333"/>
        <v>0</v>
      </c>
      <c r="NB28" s="2246">
        <f t="shared" si="334"/>
        <v>0</v>
      </c>
      <c r="NC28" s="2246">
        <f t="shared" si="335"/>
        <v>0</v>
      </c>
      <c r="ND28" s="2246">
        <f t="shared" si="336"/>
        <v>0</v>
      </c>
    </row>
    <row r="29" spans="1:368" ht="13.95" customHeight="1">
      <c r="A29" s="109" t="str">
        <f t="shared" si="337"/>
        <v/>
      </c>
      <c r="B29" s="4015"/>
      <c r="C29" s="3987"/>
      <c r="D29" s="3988"/>
      <c r="E29" s="3989"/>
      <c r="F29" s="3989"/>
      <c r="G29" s="3989"/>
      <c r="H29" s="3989"/>
      <c r="I29" s="3989"/>
      <c r="J29" s="4016">
        <f>IF(C29="",0,HLOOKUP(C29,'Part V-Utility Allowances'!$I$11:$M$22,12))</f>
        <v>0</v>
      </c>
      <c r="K29" s="3991"/>
      <c r="L29" s="567">
        <f t="shared" si="0"/>
        <v>0</v>
      </c>
      <c r="M29" s="567">
        <f t="shared" si="1"/>
        <v>0</v>
      </c>
      <c r="N29" s="3992"/>
      <c r="O29" s="3992"/>
      <c r="P29" s="3992"/>
      <c r="Q29" s="3993"/>
      <c r="R29" s="3994"/>
      <c r="S29" s="3995"/>
      <c r="T29" s="3996"/>
      <c r="U29" s="3997"/>
      <c r="V29" s="3997"/>
      <c r="W29" s="3998"/>
      <c r="X29" s="443" t="str">
        <f t="shared" si="2"/>
        <v/>
      </c>
      <c r="Y29" s="443" t="str">
        <f t="shared" si="3"/>
        <v/>
      </c>
      <c r="Z29" s="443" t="str">
        <f t="shared" si="4"/>
        <v/>
      </c>
      <c r="AA29" s="443" t="str">
        <f t="shared" si="5"/>
        <v/>
      </c>
      <c r="AB29" s="443" t="str">
        <f t="shared" si="6"/>
        <v/>
      </c>
      <c r="AC29" s="443" t="str">
        <f t="shared" si="7"/>
        <v/>
      </c>
      <c r="AD29" s="443" t="str">
        <f t="shared" si="8"/>
        <v/>
      </c>
      <c r="AE29" s="443" t="str">
        <f t="shared" si="9"/>
        <v/>
      </c>
      <c r="AF29" s="443" t="str">
        <f t="shared" si="10"/>
        <v/>
      </c>
      <c r="AG29" s="443" t="str">
        <f t="shared" si="11"/>
        <v/>
      </c>
      <c r="AH29" s="443" t="str">
        <f t="shared" si="12"/>
        <v/>
      </c>
      <c r="AI29" s="443" t="str">
        <f t="shared" si="13"/>
        <v/>
      </c>
      <c r="AJ29" s="443" t="str">
        <f t="shared" si="14"/>
        <v/>
      </c>
      <c r="AK29" s="443" t="str">
        <f t="shared" si="15"/>
        <v/>
      </c>
      <c r="AL29" s="443" t="str">
        <f t="shared" si="16"/>
        <v/>
      </c>
      <c r="AM29" s="443" t="str">
        <f t="shared" si="17"/>
        <v/>
      </c>
      <c r="AN29" s="443" t="str">
        <f t="shared" si="18"/>
        <v/>
      </c>
      <c r="AO29" s="443" t="str">
        <f t="shared" si="19"/>
        <v/>
      </c>
      <c r="AP29" s="443" t="str">
        <f t="shared" si="20"/>
        <v/>
      </c>
      <c r="AQ29" s="443" t="str">
        <f t="shared" si="21"/>
        <v/>
      </c>
      <c r="AR29" s="443" t="str">
        <f t="shared" si="22"/>
        <v/>
      </c>
      <c r="AS29" s="443" t="str">
        <f t="shared" si="23"/>
        <v/>
      </c>
      <c r="AT29" s="443" t="str">
        <f t="shared" si="24"/>
        <v/>
      </c>
      <c r="AU29" s="443" t="str">
        <f t="shared" si="25"/>
        <v/>
      </c>
      <c r="AV29" s="443" t="str">
        <f t="shared" si="26"/>
        <v/>
      </c>
      <c r="AW29" s="443" t="str">
        <f t="shared" si="27"/>
        <v/>
      </c>
      <c r="AX29" s="443" t="str">
        <f t="shared" si="28"/>
        <v/>
      </c>
      <c r="AY29" s="443" t="str">
        <f t="shared" si="29"/>
        <v/>
      </c>
      <c r="AZ29" s="443" t="str">
        <f t="shared" si="30"/>
        <v/>
      </c>
      <c r="BA29" s="443" t="str">
        <f t="shared" si="31"/>
        <v/>
      </c>
      <c r="BB29" s="443" t="str">
        <f t="shared" si="32"/>
        <v/>
      </c>
      <c r="BC29" s="443" t="str">
        <f t="shared" si="33"/>
        <v/>
      </c>
      <c r="BD29" s="443" t="str">
        <f t="shared" si="34"/>
        <v/>
      </c>
      <c r="BE29" s="443" t="str">
        <f t="shared" si="35"/>
        <v/>
      </c>
      <c r="BF29" s="443" t="str">
        <f t="shared" si="36"/>
        <v/>
      </c>
      <c r="BG29" s="443" t="str">
        <f t="shared" si="37"/>
        <v/>
      </c>
      <c r="BH29" s="443" t="str">
        <f t="shared" si="38"/>
        <v/>
      </c>
      <c r="BI29" s="443" t="str">
        <f t="shared" si="39"/>
        <v/>
      </c>
      <c r="BJ29" s="443" t="str">
        <f t="shared" si="40"/>
        <v/>
      </c>
      <c r="BK29" s="443" t="str">
        <f t="shared" si="41"/>
        <v/>
      </c>
      <c r="BL29" s="443" t="str">
        <f t="shared" si="42"/>
        <v/>
      </c>
      <c r="BM29" s="443" t="str">
        <f t="shared" si="43"/>
        <v/>
      </c>
      <c r="BN29" s="443" t="str">
        <f t="shared" si="44"/>
        <v/>
      </c>
      <c r="BO29" s="443" t="str">
        <f t="shared" si="45"/>
        <v/>
      </c>
      <c r="BP29" s="443" t="str">
        <f t="shared" si="46"/>
        <v/>
      </c>
      <c r="BQ29" s="443" t="str">
        <f t="shared" si="47"/>
        <v/>
      </c>
      <c r="BR29" s="443" t="str">
        <f t="shared" si="48"/>
        <v/>
      </c>
      <c r="BS29" s="443" t="str">
        <f t="shared" si="49"/>
        <v/>
      </c>
      <c r="BT29" s="443" t="str">
        <f t="shared" si="50"/>
        <v/>
      </c>
      <c r="BU29" s="443" t="str">
        <f t="shared" si="51"/>
        <v/>
      </c>
      <c r="BV29" s="443" t="str">
        <f t="shared" si="52"/>
        <v/>
      </c>
      <c r="BW29" s="443" t="str">
        <f t="shared" si="53"/>
        <v/>
      </c>
      <c r="BX29" s="443" t="str">
        <f t="shared" si="54"/>
        <v/>
      </c>
      <c r="BY29" s="443" t="str">
        <f t="shared" si="55"/>
        <v/>
      </c>
      <c r="BZ29" s="443" t="str">
        <f t="shared" si="56"/>
        <v/>
      </c>
      <c r="CA29" s="443" t="str">
        <f t="shared" si="57"/>
        <v/>
      </c>
      <c r="CB29" s="443" t="str">
        <f t="shared" si="58"/>
        <v/>
      </c>
      <c r="CC29" s="443" t="str">
        <f t="shared" si="59"/>
        <v/>
      </c>
      <c r="CD29" s="443" t="str">
        <f t="shared" si="60"/>
        <v/>
      </c>
      <c r="CE29" s="443" t="str">
        <f t="shared" si="61"/>
        <v/>
      </c>
      <c r="CF29" s="443" t="str">
        <f t="shared" si="62"/>
        <v/>
      </c>
      <c r="CG29" s="443" t="str">
        <f t="shared" si="63"/>
        <v/>
      </c>
      <c r="CH29" s="443" t="str">
        <f t="shared" si="64"/>
        <v/>
      </c>
      <c r="CI29" s="443" t="str">
        <f t="shared" si="65"/>
        <v/>
      </c>
      <c r="CJ29" s="443" t="str">
        <f t="shared" si="66"/>
        <v/>
      </c>
      <c r="CK29" s="443" t="str">
        <f t="shared" si="67"/>
        <v/>
      </c>
      <c r="CL29" s="443" t="str">
        <f t="shared" si="68"/>
        <v/>
      </c>
      <c r="CM29" s="443" t="str">
        <f t="shared" si="69"/>
        <v/>
      </c>
      <c r="CN29" s="443" t="str">
        <f t="shared" si="70"/>
        <v/>
      </c>
      <c r="CO29" s="443" t="str">
        <f t="shared" si="71"/>
        <v/>
      </c>
      <c r="CP29" s="443" t="str">
        <f t="shared" si="72"/>
        <v/>
      </c>
      <c r="CQ29" s="443" t="str">
        <f t="shared" si="73"/>
        <v/>
      </c>
      <c r="CR29" s="443" t="str">
        <f t="shared" si="74"/>
        <v/>
      </c>
      <c r="CS29" s="443" t="str">
        <f t="shared" si="75"/>
        <v/>
      </c>
      <c r="CT29" s="443" t="str">
        <f t="shared" si="76"/>
        <v/>
      </c>
      <c r="CU29" s="443" t="str">
        <f t="shared" si="77"/>
        <v/>
      </c>
      <c r="CV29" s="443" t="str">
        <f t="shared" si="78"/>
        <v/>
      </c>
      <c r="CW29" s="443" t="str">
        <f t="shared" si="79"/>
        <v/>
      </c>
      <c r="CX29" s="443" t="str">
        <f t="shared" si="80"/>
        <v/>
      </c>
      <c r="CY29" s="443" t="str">
        <f t="shared" si="81"/>
        <v/>
      </c>
      <c r="CZ29" s="443" t="str">
        <f t="shared" si="82"/>
        <v/>
      </c>
      <c r="DA29" s="443" t="str">
        <f t="shared" si="83"/>
        <v/>
      </c>
      <c r="DB29" s="443" t="str">
        <f t="shared" si="84"/>
        <v/>
      </c>
      <c r="DC29" s="443" t="str">
        <f t="shared" si="85"/>
        <v/>
      </c>
      <c r="DD29" s="443" t="str">
        <f t="shared" si="86"/>
        <v/>
      </c>
      <c r="DE29" s="443" t="str">
        <f t="shared" si="87"/>
        <v/>
      </c>
      <c r="DF29" s="443" t="str">
        <f t="shared" si="88"/>
        <v/>
      </c>
      <c r="DG29" s="443" t="str">
        <f t="shared" si="89"/>
        <v/>
      </c>
      <c r="DH29" s="443" t="str">
        <f t="shared" si="90"/>
        <v/>
      </c>
      <c r="DI29" s="443" t="str">
        <f t="shared" si="91"/>
        <v/>
      </c>
      <c r="DJ29" s="443" t="str">
        <f t="shared" si="92"/>
        <v/>
      </c>
      <c r="DK29" s="443" t="str">
        <f t="shared" si="93"/>
        <v/>
      </c>
      <c r="DL29" s="443" t="str">
        <f t="shared" si="94"/>
        <v/>
      </c>
      <c r="DM29" s="443" t="str">
        <f t="shared" si="95"/>
        <v/>
      </c>
      <c r="DN29" s="443" t="str">
        <f t="shared" si="96"/>
        <v/>
      </c>
      <c r="DO29" s="443" t="str">
        <f t="shared" si="97"/>
        <v/>
      </c>
      <c r="DP29" s="443" t="str">
        <f t="shared" si="98"/>
        <v/>
      </c>
      <c r="DQ29" s="443" t="str">
        <f t="shared" si="99"/>
        <v/>
      </c>
      <c r="DR29" s="443" t="str">
        <f t="shared" si="100"/>
        <v/>
      </c>
      <c r="DS29" s="443" t="str">
        <f t="shared" si="101"/>
        <v/>
      </c>
      <c r="DT29" s="443" t="str">
        <f t="shared" si="102"/>
        <v/>
      </c>
      <c r="DU29" s="443" t="str">
        <f t="shared" si="103"/>
        <v/>
      </c>
      <c r="DV29" s="443" t="str">
        <f t="shared" si="104"/>
        <v/>
      </c>
      <c r="DW29" s="443" t="str">
        <f t="shared" si="105"/>
        <v/>
      </c>
      <c r="DX29" s="443" t="str">
        <f t="shared" si="106"/>
        <v/>
      </c>
      <c r="DY29" s="443" t="str">
        <f t="shared" si="107"/>
        <v/>
      </c>
      <c r="DZ29" s="443" t="str">
        <f t="shared" si="108"/>
        <v/>
      </c>
      <c r="EA29" s="443" t="str">
        <f t="shared" si="109"/>
        <v/>
      </c>
      <c r="EB29" s="443" t="str">
        <f t="shared" si="110"/>
        <v/>
      </c>
      <c r="EC29" s="443" t="str">
        <f t="shared" si="111"/>
        <v/>
      </c>
      <c r="ED29" s="443" t="str">
        <f t="shared" si="112"/>
        <v/>
      </c>
      <c r="EE29" s="443" t="str">
        <f t="shared" si="113"/>
        <v/>
      </c>
      <c r="EF29" s="443" t="str">
        <f t="shared" si="114"/>
        <v/>
      </c>
      <c r="EG29" s="443" t="str">
        <f t="shared" si="115"/>
        <v/>
      </c>
      <c r="EH29" s="443" t="str">
        <f t="shared" si="116"/>
        <v/>
      </c>
      <c r="EI29" s="443" t="str">
        <f t="shared" si="117"/>
        <v/>
      </c>
      <c r="EJ29" s="443" t="str">
        <f t="shared" si="118"/>
        <v/>
      </c>
      <c r="EK29" s="443" t="str">
        <f t="shared" si="119"/>
        <v/>
      </c>
      <c r="EL29" s="443" t="str">
        <f t="shared" si="120"/>
        <v/>
      </c>
      <c r="EM29" s="443" t="str">
        <f t="shared" si="121"/>
        <v/>
      </c>
      <c r="EN29" s="443" t="str">
        <f t="shared" si="122"/>
        <v/>
      </c>
      <c r="EO29" s="443" t="str">
        <f t="shared" si="123"/>
        <v/>
      </c>
      <c r="EP29" s="443" t="str">
        <f t="shared" si="124"/>
        <v/>
      </c>
      <c r="EQ29" s="443" t="str">
        <f t="shared" si="125"/>
        <v/>
      </c>
      <c r="ER29" s="443" t="str">
        <f t="shared" si="126"/>
        <v/>
      </c>
      <c r="ES29" s="443" t="str">
        <f t="shared" si="127"/>
        <v/>
      </c>
      <c r="ET29" s="443" t="str">
        <f t="shared" si="128"/>
        <v/>
      </c>
      <c r="EU29" s="443" t="str">
        <f t="shared" si="129"/>
        <v/>
      </c>
      <c r="EV29" s="443" t="str">
        <f t="shared" si="130"/>
        <v/>
      </c>
      <c r="EW29" s="443" t="str">
        <f t="shared" si="131"/>
        <v/>
      </c>
      <c r="EX29" s="443" t="str">
        <f t="shared" si="132"/>
        <v/>
      </c>
      <c r="EY29" s="443" t="str">
        <f t="shared" si="133"/>
        <v/>
      </c>
      <c r="EZ29" s="443" t="str">
        <f t="shared" si="134"/>
        <v/>
      </c>
      <c r="FA29" s="443" t="str">
        <f t="shared" si="135"/>
        <v/>
      </c>
      <c r="FB29" s="443" t="str">
        <f t="shared" si="136"/>
        <v/>
      </c>
      <c r="FC29" s="443" t="str">
        <f t="shared" si="137"/>
        <v/>
      </c>
      <c r="FD29" s="443" t="str">
        <f t="shared" si="138"/>
        <v/>
      </c>
      <c r="FE29" s="443" t="str">
        <f t="shared" si="139"/>
        <v/>
      </c>
      <c r="FF29" s="443" t="str">
        <f t="shared" si="140"/>
        <v/>
      </c>
      <c r="FG29" s="443" t="str">
        <f t="shared" si="141"/>
        <v/>
      </c>
      <c r="FH29" s="443" t="str">
        <f t="shared" si="142"/>
        <v/>
      </c>
      <c r="FI29" s="443" t="str">
        <f t="shared" si="143"/>
        <v/>
      </c>
      <c r="FJ29" s="443" t="str">
        <f t="shared" si="144"/>
        <v/>
      </c>
      <c r="FK29" s="443" t="str">
        <f t="shared" si="145"/>
        <v/>
      </c>
      <c r="FL29" s="443" t="str">
        <f t="shared" si="146"/>
        <v/>
      </c>
      <c r="FM29" s="443" t="str">
        <f t="shared" si="147"/>
        <v/>
      </c>
      <c r="FN29" s="443" t="str">
        <f t="shared" si="148"/>
        <v/>
      </c>
      <c r="FO29" s="443" t="str">
        <f t="shared" si="149"/>
        <v/>
      </c>
      <c r="FP29" s="443" t="str">
        <f t="shared" si="150"/>
        <v/>
      </c>
      <c r="FQ29" s="443" t="str">
        <f t="shared" si="151"/>
        <v/>
      </c>
      <c r="FR29" s="443" t="str">
        <f t="shared" si="152"/>
        <v/>
      </c>
      <c r="FS29" s="443" t="str">
        <f t="shared" si="153"/>
        <v/>
      </c>
      <c r="FT29" s="443" t="str">
        <f t="shared" si="154"/>
        <v/>
      </c>
      <c r="FU29" s="443" t="str">
        <f t="shared" si="155"/>
        <v/>
      </c>
      <c r="FV29" s="443" t="str">
        <f t="shared" si="156"/>
        <v/>
      </c>
      <c r="FW29" s="443" t="str">
        <f t="shared" si="157"/>
        <v/>
      </c>
      <c r="FX29" s="443" t="str">
        <f t="shared" si="158"/>
        <v/>
      </c>
      <c r="FY29" s="443" t="str">
        <f t="shared" si="159"/>
        <v/>
      </c>
      <c r="FZ29" s="443" t="str">
        <f t="shared" si="160"/>
        <v/>
      </c>
      <c r="GA29" s="443" t="str">
        <f t="shared" si="161"/>
        <v/>
      </c>
      <c r="GB29" s="443" t="str">
        <f t="shared" si="162"/>
        <v/>
      </c>
      <c r="GC29" s="443" t="str">
        <f t="shared" si="163"/>
        <v/>
      </c>
      <c r="GD29" s="443" t="str">
        <f t="shared" si="164"/>
        <v/>
      </c>
      <c r="GE29" s="443" t="str">
        <f t="shared" si="165"/>
        <v/>
      </c>
      <c r="GF29" s="443" t="str">
        <f t="shared" si="166"/>
        <v/>
      </c>
      <c r="GG29" s="443" t="str">
        <f t="shared" si="167"/>
        <v/>
      </c>
      <c r="GH29" s="443" t="str">
        <f t="shared" si="168"/>
        <v/>
      </c>
      <c r="GI29" s="443" t="str">
        <f t="shared" si="169"/>
        <v/>
      </c>
      <c r="GJ29" s="443" t="str">
        <f t="shared" si="170"/>
        <v/>
      </c>
      <c r="GK29" s="443" t="str">
        <f t="shared" si="171"/>
        <v/>
      </c>
      <c r="GL29" s="443" t="str">
        <f t="shared" si="172"/>
        <v/>
      </c>
      <c r="GM29" s="443" t="str">
        <f t="shared" si="173"/>
        <v/>
      </c>
      <c r="GN29" s="443" t="str">
        <f t="shared" si="174"/>
        <v/>
      </c>
      <c r="GO29" s="443" t="str">
        <f t="shared" si="175"/>
        <v/>
      </c>
      <c r="GP29" s="443" t="str">
        <f t="shared" si="176"/>
        <v/>
      </c>
      <c r="GQ29" s="443" t="str">
        <f t="shared" si="177"/>
        <v/>
      </c>
      <c r="GR29" s="443" t="str">
        <f t="shared" si="178"/>
        <v/>
      </c>
      <c r="GS29" s="443" t="str">
        <f t="shared" si="179"/>
        <v/>
      </c>
      <c r="GT29" s="443" t="str">
        <f t="shared" si="180"/>
        <v/>
      </c>
      <c r="GU29" s="443" t="str">
        <f t="shared" si="181"/>
        <v/>
      </c>
      <c r="GV29" s="443" t="str">
        <f t="shared" si="182"/>
        <v/>
      </c>
      <c r="GW29" s="443" t="str">
        <f t="shared" si="183"/>
        <v/>
      </c>
      <c r="GX29" s="443" t="str">
        <f t="shared" si="184"/>
        <v/>
      </c>
      <c r="GY29" s="443" t="str">
        <f t="shared" si="185"/>
        <v/>
      </c>
      <c r="GZ29" s="443" t="str">
        <f t="shared" si="186"/>
        <v/>
      </c>
      <c r="HA29" s="443" t="str">
        <f t="shared" si="187"/>
        <v/>
      </c>
      <c r="HB29" s="443" t="str">
        <f t="shared" si="188"/>
        <v/>
      </c>
      <c r="HC29" s="443" t="str">
        <f t="shared" si="189"/>
        <v/>
      </c>
      <c r="HD29" s="443" t="str">
        <f t="shared" si="190"/>
        <v/>
      </c>
      <c r="HE29" s="443" t="str">
        <f t="shared" si="191"/>
        <v/>
      </c>
      <c r="HF29" s="443" t="str">
        <f t="shared" si="192"/>
        <v/>
      </c>
      <c r="HG29" s="443" t="str">
        <f t="shared" si="193"/>
        <v/>
      </c>
      <c r="HH29" s="443" t="str">
        <f t="shared" si="194"/>
        <v/>
      </c>
      <c r="HI29" s="443" t="str">
        <f t="shared" si="195"/>
        <v/>
      </c>
      <c r="HJ29" s="443" t="str">
        <f t="shared" si="196"/>
        <v/>
      </c>
      <c r="HK29" s="443" t="str">
        <f t="shared" si="197"/>
        <v/>
      </c>
      <c r="HL29" s="443" t="str">
        <f t="shared" si="198"/>
        <v/>
      </c>
      <c r="HM29" s="443" t="str">
        <f t="shared" si="199"/>
        <v/>
      </c>
      <c r="HN29" s="443" t="str">
        <f t="shared" si="200"/>
        <v/>
      </c>
      <c r="HO29" s="443" t="str">
        <f t="shared" si="201"/>
        <v/>
      </c>
      <c r="HP29" s="443" t="str">
        <f t="shared" si="202"/>
        <v/>
      </c>
      <c r="HQ29" s="443" t="str">
        <f t="shared" si="203"/>
        <v/>
      </c>
      <c r="HR29" s="443" t="str">
        <f t="shared" si="204"/>
        <v/>
      </c>
      <c r="HS29" s="443" t="str">
        <f t="shared" si="205"/>
        <v/>
      </c>
      <c r="HT29" s="443" t="str">
        <f t="shared" si="206"/>
        <v/>
      </c>
      <c r="HU29" s="443" t="str">
        <f t="shared" si="207"/>
        <v/>
      </c>
      <c r="HV29" s="443" t="str">
        <f t="shared" si="208"/>
        <v/>
      </c>
      <c r="HW29" s="443" t="str">
        <f t="shared" si="209"/>
        <v/>
      </c>
      <c r="HX29" s="443" t="str">
        <f t="shared" si="210"/>
        <v/>
      </c>
      <c r="HY29" s="443" t="str">
        <f t="shared" si="211"/>
        <v/>
      </c>
      <c r="HZ29" s="2247" t="str">
        <f t="shared" si="212"/>
        <v/>
      </c>
      <c r="IA29" s="2247" t="str">
        <f t="shared" si="213"/>
        <v/>
      </c>
      <c r="IB29" s="2247" t="str">
        <f t="shared" si="214"/>
        <v/>
      </c>
      <c r="IC29" s="2247" t="str">
        <f t="shared" si="215"/>
        <v/>
      </c>
      <c r="ID29" s="2247" t="str">
        <f t="shared" si="216"/>
        <v/>
      </c>
      <c r="IE29" s="2247" t="str">
        <f t="shared" si="217"/>
        <v/>
      </c>
      <c r="IF29" s="2247" t="str">
        <f t="shared" si="218"/>
        <v/>
      </c>
      <c r="IG29" s="2247" t="str">
        <f t="shared" si="219"/>
        <v/>
      </c>
      <c r="IH29" s="2247" t="str">
        <f t="shared" si="220"/>
        <v/>
      </c>
      <c r="II29" s="2247" t="str">
        <f t="shared" si="221"/>
        <v/>
      </c>
      <c r="IJ29" s="2247" t="str">
        <f t="shared" si="222"/>
        <v/>
      </c>
      <c r="IK29" s="2247" t="str">
        <f t="shared" si="223"/>
        <v/>
      </c>
      <c r="IL29" s="2247" t="str">
        <f t="shared" si="224"/>
        <v/>
      </c>
      <c r="IM29" s="2247" t="str">
        <f t="shared" si="225"/>
        <v/>
      </c>
      <c r="IN29" s="2247" t="str">
        <f t="shared" si="226"/>
        <v/>
      </c>
      <c r="IO29" s="2247" t="str">
        <f t="shared" si="227"/>
        <v/>
      </c>
      <c r="IP29" s="2247" t="str">
        <f t="shared" si="228"/>
        <v/>
      </c>
      <c r="IQ29" s="2247" t="str">
        <f t="shared" si="229"/>
        <v/>
      </c>
      <c r="IR29" s="2247" t="str">
        <f t="shared" si="230"/>
        <v/>
      </c>
      <c r="IS29" s="2247" t="str">
        <f t="shared" si="231"/>
        <v/>
      </c>
      <c r="IT29" s="2247" t="str">
        <f t="shared" si="232"/>
        <v/>
      </c>
      <c r="IU29" s="2247" t="str">
        <f t="shared" si="233"/>
        <v/>
      </c>
      <c r="IV29" s="2247" t="str">
        <f t="shared" si="234"/>
        <v/>
      </c>
      <c r="IW29" s="2247" t="str">
        <f t="shared" si="235"/>
        <v/>
      </c>
      <c r="IX29" s="2247" t="str">
        <f t="shared" si="236"/>
        <v/>
      </c>
      <c r="IY29" s="2247" t="str">
        <f t="shared" si="237"/>
        <v/>
      </c>
      <c r="IZ29" s="2247" t="str">
        <f t="shared" si="238"/>
        <v/>
      </c>
      <c r="JA29" s="2247" t="str">
        <f t="shared" si="239"/>
        <v/>
      </c>
      <c r="JB29" s="2247" t="str">
        <f t="shared" si="240"/>
        <v/>
      </c>
      <c r="JC29" s="2247" t="str">
        <f t="shared" si="241"/>
        <v/>
      </c>
      <c r="JD29" s="2247" t="str">
        <f t="shared" si="242"/>
        <v/>
      </c>
      <c r="JE29" s="2247" t="str">
        <f t="shared" si="243"/>
        <v/>
      </c>
      <c r="JF29" s="2247" t="str">
        <f t="shared" si="244"/>
        <v/>
      </c>
      <c r="JG29" s="2247" t="str">
        <f t="shared" si="245"/>
        <v/>
      </c>
      <c r="JH29" s="2247" t="str">
        <f t="shared" si="246"/>
        <v/>
      </c>
      <c r="JI29" s="2247" t="str">
        <f t="shared" si="247"/>
        <v/>
      </c>
      <c r="JJ29" s="2247" t="str">
        <f t="shared" si="248"/>
        <v/>
      </c>
      <c r="JK29" s="2247" t="str">
        <f t="shared" si="249"/>
        <v/>
      </c>
      <c r="JL29" s="2247" t="str">
        <f t="shared" si="250"/>
        <v/>
      </c>
      <c r="JM29" s="2247" t="str">
        <f t="shared" si="251"/>
        <v/>
      </c>
      <c r="JN29" s="2247" t="str">
        <f t="shared" si="252"/>
        <v/>
      </c>
      <c r="JO29" s="2247" t="str">
        <f t="shared" si="253"/>
        <v/>
      </c>
      <c r="JP29" s="2247" t="str">
        <f t="shared" si="254"/>
        <v/>
      </c>
      <c r="JQ29" s="2247" t="str">
        <f t="shared" si="255"/>
        <v/>
      </c>
      <c r="JR29" s="2247" t="str">
        <f t="shared" si="256"/>
        <v/>
      </c>
      <c r="JS29" s="2247" t="str">
        <f t="shared" si="257"/>
        <v/>
      </c>
      <c r="JT29" s="2247" t="str">
        <f t="shared" si="258"/>
        <v/>
      </c>
      <c r="JU29" s="2247" t="str">
        <f t="shared" si="259"/>
        <v/>
      </c>
      <c r="JV29" s="2247" t="str">
        <f t="shared" si="260"/>
        <v/>
      </c>
      <c r="JW29" s="2247" t="str">
        <f t="shared" si="261"/>
        <v/>
      </c>
      <c r="JX29" s="2247" t="str">
        <f t="shared" si="262"/>
        <v/>
      </c>
      <c r="JY29" s="2247" t="str">
        <f t="shared" si="263"/>
        <v/>
      </c>
      <c r="JZ29" s="2247" t="str">
        <f t="shared" si="264"/>
        <v/>
      </c>
      <c r="KA29" s="2247" t="str">
        <f t="shared" si="265"/>
        <v/>
      </c>
      <c r="KB29" s="2247" t="str">
        <f t="shared" si="266"/>
        <v/>
      </c>
      <c r="KC29" s="2247" t="str">
        <f t="shared" si="267"/>
        <v/>
      </c>
      <c r="KD29" s="2247" t="str">
        <f t="shared" si="268"/>
        <v/>
      </c>
      <c r="KE29" s="2247" t="str">
        <f t="shared" si="269"/>
        <v/>
      </c>
      <c r="KF29" s="2247" t="str">
        <f t="shared" si="270"/>
        <v/>
      </c>
      <c r="KG29" s="2247" t="str">
        <f t="shared" si="271"/>
        <v/>
      </c>
      <c r="KH29" s="2247" t="str">
        <f t="shared" si="272"/>
        <v/>
      </c>
      <c r="KI29" s="2247" t="str">
        <f t="shared" si="273"/>
        <v/>
      </c>
      <c r="KJ29" s="2247" t="str">
        <f t="shared" si="274"/>
        <v/>
      </c>
      <c r="KK29" s="2247" t="str">
        <f t="shared" si="275"/>
        <v/>
      </c>
      <c r="KL29" s="2247" t="str">
        <f t="shared" si="276"/>
        <v/>
      </c>
      <c r="KM29" s="2247" t="str">
        <f t="shared" si="277"/>
        <v/>
      </c>
      <c r="KN29" s="2247" t="str">
        <f t="shared" si="278"/>
        <v/>
      </c>
      <c r="KO29" s="2247" t="str">
        <f t="shared" si="279"/>
        <v/>
      </c>
      <c r="KP29" s="2247" t="str">
        <f t="shared" si="280"/>
        <v/>
      </c>
      <c r="KQ29" s="2247" t="str">
        <f t="shared" si="281"/>
        <v/>
      </c>
      <c r="KR29" s="2247" t="str">
        <f t="shared" si="282"/>
        <v/>
      </c>
      <c r="KS29" s="2247" t="str">
        <f t="shared" si="283"/>
        <v/>
      </c>
      <c r="KT29" s="2247" t="str">
        <f t="shared" si="284"/>
        <v/>
      </c>
      <c r="KU29" s="2247" t="str">
        <f t="shared" si="285"/>
        <v/>
      </c>
      <c r="KV29" s="2247" t="str">
        <f t="shared" si="286"/>
        <v/>
      </c>
      <c r="KW29" s="2247" t="str">
        <f t="shared" si="287"/>
        <v/>
      </c>
      <c r="KX29" s="2247" t="str">
        <f t="shared" si="288"/>
        <v/>
      </c>
      <c r="KY29" s="2247" t="str">
        <f t="shared" si="289"/>
        <v/>
      </c>
      <c r="KZ29" s="2247" t="str">
        <f t="shared" si="290"/>
        <v/>
      </c>
      <c r="LA29" s="2247" t="str">
        <f t="shared" si="291"/>
        <v/>
      </c>
      <c r="LB29" s="2247" t="str">
        <f t="shared" si="292"/>
        <v/>
      </c>
      <c r="LC29" s="2247" t="str">
        <f t="shared" si="293"/>
        <v/>
      </c>
      <c r="LD29" s="2247" t="str">
        <f t="shared" si="294"/>
        <v/>
      </c>
      <c r="LE29" s="2247" t="str">
        <f t="shared" si="295"/>
        <v/>
      </c>
      <c r="LF29" s="2247" t="str">
        <f t="shared" si="296"/>
        <v/>
      </c>
      <c r="LG29" s="2247" t="str">
        <f t="shared" si="297"/>
        <v/>
      </c>
      <c r="LH29" s="2247" t="str">
        <f t="shared" si="298"/>
        <v/>
      </c>
      <c r="LI29" s="2247" t="str">
        <f t="shared" si="299"/>
        <v/>
      </c>
      <c r="LJ29" s="2247" t="str">
        <f t="shared" si="300"/>
        <v/>
      </c>
      <c r="LK29" s="2247" t="str">
        <f t="shared" si="301"/>
        <v/>
      </c>
      <c r="LL29" s="2247" t="str">
        <f t="shared" si="302"/>
        <v/>
      </c>
      <c r="LM29" s="2247" t="str">
        <f t="shared" si="303"/>
        <v/>
      </c>
      <c r="LN29" s="2247" t="str">
        <f t="shared" si="304"/>
        <v/>
      </c>
      <c r="LO29" s="2247" t="str">
        <f t="shared" si="305"/>
        <v/>
      </c>
      <c r="LP29" s="2247" t="str">
        <f t="shared" si="306"/>
        <v/>
      </c>
      <c r="LQ29" s="2248" t="str">
        <f t="shared" si="307"/>
        <v/>
      </c>
      <c r="LR29" s="2248" t="str">
        <f t="shared" si="308"/>
        <v/>
      </c>
      <c r="LS29" s="2248" t="str">
        <f t="shared" si="309"/>
        <v/>
      </c>
      <c r="LT29" s="2248" t="str">
        <f t="shared" si="310"/>
        <v/>
      </c>
      <c r="LU29" s="2248" t="str">
        <f t="shared" si="311"/>
        <v/>
      </c>
      <c r="LV29" s="443" t="str">
        <f t="shared" si="312"/>
        <v/>
      </c>
      <c r="LW29" s="443" t="str">
        <f t="shared" si="313"/>
        <v/>
      </c>
      <c r="LX29" s="443" t="str">
        <f t="shared" si="314"/>
        <v/>
      </c>
      <c r="LY29" s="443" t="str">
        <f t="shared" si="315"/>
        <v/>
      </c>
      <c r="LZ29" s="443" t="str">
        <f t="shared" si="316"/>
        <v/>
      </c>
      <c r="MA29" s="443" t="str">
        <f t="shared" si="317"/>
        <v/>
      </c>
      <c r="MB29" s="443" t="str">
        <f t="shared" si="318"/>
        <v/>
      </c>
      <c r="MC29" s="443" t="str">
        <f t="shared" si="319"/>
        <v/>
      </c>
      <c r="MD29" s="443" t="str">
        <f t="shared" si="320"/>
        <v/>
      </c>
      <c r="ME29" s="443" t="str">
        <f t="shared" si="321"/>
        <v/>
      </c>
      <c r="MF29" s="443" t="str">
        <f t="shared" si="322"/>
        <v/>
      </c>
      <c r="MG29" s="443" t="str">
        <f t="shared" si="323"/>
        <v/>
      </c>
      <c r="MH29" s="443" t="str">
        <f t="shared" si="324"/>
        <v/>
      </c>
      <c r="MI29" s="443" t="str">
        <f t="shared" si="325"/>
        <v/>
      </c>
      <c r="MJ29" s="443" t="str">
        <f t="shared" si="326"/>
        <v/>
      </c>
      <c r="MK29" s="443" t="str">
        <f t="shared" si="327"/>
        <v/>
      </c>
      <c r="ML29" s="443" t="str">
        <f t="shared" si="328"/>
        <v/>
      </c>
      <c r="MM29" s="443" t="str">
        <f t="shared" si="329"/>
        <v/>
      </c>
      <c r="MN29" s="443" t="str">
        <f t="shared" si="330"/>
        <v/>
      </c>
      <c r="MO29" s="443" t="str">
        <f t="shared" si="331"/>
        <v/>
      </c>
      <c r="MP29" s="2246">
        <f t="shared" si="338"/>
        <v>0</v>
      </c>
      <c r="MQ29" s="2246">
        <f t="shared" si="339"/>
        <v>0</v>
      </c>
      <c r="MR29" s="2246">
        <f t="shared" si="340"/>
        <v>0</v>
      </c>
      <c r="MS29" s="2246">
        <f t="shared" si="341"/>
        <v>0</v>
      </c>
      <c r="MT29" s="2246">
        <f t="shared" si="342"/>
        <v>0</v>
      </c>
      <c r="MU29" s="2246">
        <f t="shared" si="343"/>
        <v>0</v>
      </c>
      <c r="MV29" s="2246">
        <f t="shared" si="344"/>
        <v>0</v>
      </c>
      <c r="MW29" s="2246">
        <f t="shared" si="345"/>
        <v>0</v>
      </c>
      <c r="MX29" s="2246">
        <f t="shared" si="346"/>
        <v>0</v>
      </c>
      <c r="MY29" s="2246">
        <f t="shared" si="347"/>
        <v>0</v>
      </c>
      <c r="MZ29" s="2246">
        <f t="shared" si="332"/>
        <v>0</v>
      </c>
      <c r="NA29" s="2246">
        <f t="shared" si="333"/>
        <v>0</v>
      </c>
      <c r="NB29" s="2246">
        <f t="shared" si="334"/>
        <v>0</v>
      </c>
      <c r="NC29" s="2246">
        <f t="shared" si="335"/>
        <v>0</v>
      </c>
      <c r="ND29" s="2246">
        <f t="shared" si="336"/>
        <v>0</v>
      </c>
    </row>
    <row r="30" spans="1:368" ht="13.95" customHeight="1">
      <c r="A30" s="109" t="str">
        <f t="shared" si="337"/>
        <v/>
      </c>
      <c r="B30" s="4015"/>
      <c r="C30" s="3987"/>
      <c r="D30" s="3988"/>
      <c r="E30" s="3989"/>
      <c r="F30" s="3989"/>
      <c r="G30" s="3989"/>
      <c r="H30" s="3989"/>
      <c r="I30" s="3989"/>
      <c r="J30" s="4016">
        <f>IF(C30="",0,HLOOKUP(C30,'Part V-Utility Allowances'!$I$11:$M$22,12))</f>
        <v>0</v>
      </c>
      <c r="K30" s="3991"/>
      <c r="L30" s="567">
        <f t="shared" si="0"/>
        <v>0</v>
      </c>
      <c r="M30" s="567">
        <f t="shared" si="1"/>
        <v>0</v>
      </c>
      <c r="N30" s="3992"/>
      <c r="O30" s="3992"/>
      <c r="P30" s="3992"/>
      <c r="Q30" s="3993"/>
      <c r="R30" s="3994"/>
      <c r="S30" s="3995"/>
      <c r="T30" s="3996"/>
      <c r="U30" s="3997"/>
      <c r="V30" s="3997"/>
      <c r="W30" s="3998"/>
      <c r="X30" s="443" t="str">
        <f t="shared" si="2"/>
        <v/>
      </c>
      <c r="Y30" s="443" t="str">
        <f t="shared" si="3"/>
        <v/>
      </c>
      <c r="Z30" s="443" t="str">
        <f t="shared" si="4"/>
        <v/>
      </c>
      <c r="AA30" s="443" t="str">
        <f t="shared" si="5"/>
        <v/>
      </c>
      <c r="AB30" s="443" t="str">
        <f t="shared" si="6"/>
        <v/>
      </c>
      <c r="AC30" s="443" t="str">
        <f t="shared" si="7"/>
        <v/>
      </c>
      <c r="AD30" s="443" t="str">
        <f t="shared" si="8"/>
        <v/>
      </c>
      <c r="AE30" s="443" t="str">
        <f t="shared" si="9"/>
        <v/>
      </c>
      <c r="AF30" s="443" t="str">
        <f t="shared" si="10"/>
        <v/>
      </c>
      <c r="AG30" s="443" t="str">
        <f t="shared" si="11"/>
        <v/>
      </c>
      <c r="AH30" s="443" t="str">
        <f t="shared" si="12"/>
        <v/>
      </c>
      <c r="AI30" s="443" t="str">
        <f t="shared" si="13"/>
        <v/>
      </c>
      <c r="AJ30" s="443" t="str">
        <f t="shared" si="14"/>
        <v/>
      </c>
      <c r="AK30" s="443" t="str">
        <f t="shared" si="15"/>
        <v/>
      </c>
      <c r="AL30" s="443" t="str">
        <f t="shared" si="16"/>
        <v/>
      </c>
      <c r="AM30" s="443" t="str">
        <f t="shared" si="17"/>
        <v/>
      </c>
      <c r="AN30" s="443" t="str">
        <f t="shared" si="18"/>
        <v/>
      </c>
      <c r="AO30" s="443" t="str">
        <f t="shared" si="19"/>
        <v/>
      </c>
      <c r="AP30" s="443" t="str">
        <f t="shared" si="20"/>
        <v/>
      </c>
      <c r="AQ30" s="443" t="str">
        <f t="shared" si="21"/>
        <v/>
      </c>
      <c r="AR30" s="443" t="str">
        <f t="shared" si="22"/>
        <v/>
      </c>
      <c r="AS30" s="443" t="str">
        <f t="shared" si="23"/>
        <v/>
      </c>
      <c r="AT30" s="443" t="str">
        <f t="shared" si="24"/>
        <v/>
      </c>
      <c r="AU30" s="443" t="str">
        <f t="shared" si="25"/>
        <v/>
      </c>
      <c r="AV30" s="443" t="str">
        <f t="shared" si="26"/>
        <v/>
      </c>
      <c r="AW30" s="443" t="str">
        <f t="shared" si="27"/>
        <v/>
      </c>
      <c r="AX30" s="443" t="str">
        <f t="shared" si="28"/>
        <v/>
      </c>
      <c r="AY30" s="443" t="str">
        <f t="shared" si="29"/>
        <v/>
      </c>
      <c r="AZ30" s="443" t="str">
        <f t="shared" si="30"/>
        <v/>
      </c>
      <c r="BA30" s="443" t="str">
        <f t="shared" si="31"/>
        <v/>
      </c>
      <c r="BB30" s="443" t="str">
        <f t="shared" si="32"/>
        <v/>
      </c>
      <c r="BC30" s="443" t="str">
        <f t="shared" si="33"/>
        <v/>
      </c>
      <c r="BD30" s="443" t="str">
        <f t="shared" si="34"/>
        <v/>
      </c>
      <c r="BE30" s="443" t="str">
        <f t="shared" si="35"/>
        <v/>
      </c>
      <c r="BF30" s="443" t="str">
        <f t="shared" si="36"/>
        <v/>
      </c>
      <c r="BG30" s="443" t="str">
        <f t="shared" si="37"/>
        <v/>
      </c>
      <c r="BH30" s="443" t="str">
        <f t="shared" si="38"/>
        <v/>
      </c>
      <c r="BI30" s="443" t="str">
        <f t="shared" si="39"/>
        <v/>
      </c>
      <c r="BJ30" s="443" t="str">
        <f t="shared" si="40"/>
        <v/>
      </c>
      <c r="BK30" s="443" t="str">
        <f t="shared" si="41"/>
        <v/>
      </c>
      <c r="BL30" s="443" t="str">
        <f t="shared" si="42"/>
        <v/>
      </c>
      <c r="BM30" s="443" t="str">
        <f t="shared" si="43"/>
        <v/>
      </c>
      <c r="BN30" s="443" t="str">
        <f t="shared" si="44"/>
        <v/>
      </c>
      <c r="BO30" s="443" t="str">
        <f t="shared" si="45"/>
        <v/>
      </c>
      <c r="BP30" s="443" t="str">
        <f t="shared" si="46"/>
        <v/>
      </c>
      <c r="BQ30" s="443" t="str">
        <f t="shared" si="47"/>
        <v/>
      </c>
      <c r="BR30" s="443" t="str">
        <f t="shared" si="48"/>
        <v/>
      </c>
      <c r="BS30" s="443" t="str">
        <f t="shared" si="49"/>
        <v/>
      </c>
      <c r="BT30" s="443" t="str">
        <f t="shared" si="50"/>
        <v/>
      </c>
      <c r="BU30" s="443" t="str">
        <f t="shared" si="51"/>
        <v/>
      </c>
      <c r="BV30" s="443" t="str">
        <f t="shared" si="52"/>
        <v/>
      </c>
      <c r="BW30" s="443" t="str">
        <f t="shared" si="53"/>
        <v/>
      </c>
      <c r="BX30" s="443" t="str">
        <f t="shared" si="54"/>
        <v/>
      </c>
      <c r="BY30" s="443" t="str">
        <f t="shared" si="55"/>
        <v/>
      </c>
      <c r="BZ30" s="443" t="str">
        <f t="shared" si="56"/>
        <v/>
      </c>
      <c r="CA30" s="443" t="str">
        <f t="shared" si="57"/>
        <v/>
      </c>
      <c r="CB30" s="443" t="str">
        <f t="shared" si="58"/>
        <v/>
      </c>
      <c r="CC30" s="443" t="str">
        <f t="shared" si="59"/>
        <v/>
      </c>
      <c r="CD30" s="443" t="str">
        <f t="shared" si="60"/>
        <v/>
      </c>
      <c r="CE30" s="443" t="str">
        <f t="shared" si="61"/>
        <v/>
      </c>
      <c r="CF30" s="443" t="str">
        <f t="shared" si="62"/>
        <v/>
      </c>
      <c r="CG30" s="443" t="str">
        <f t="shared" si="63"/>
        <v/>
      </c>
      <c r="CH30" s="443" t="str">
        <f t="shared" si="64"/>
        <v/>
      </c>
      <c r="CI30" s="443" t="str">
        <f t="shared" si="65"/>
        <v/>
      </c>
      <c r="CJ30" s="443" t="str">
        <f t="shared" si="66"/>
        <v/>
      </c>
      <c r="CK30" s="443" t="str">
        <f t="shared" si="67"/>
        <v/>
      </c>
      <c r="CL30" s="443" t="str">
        <f t="shared" si="68"/>
        <v/>
      </c>
      <c r="CM30" s="443" t="str">
        <f t="shared" si="69"/>
        <v/>
      </c>
      <c r="CN30" s="443" t="str">
        <f t="shared" si="70"/>
        <v/>
      </c>
      <c r="CO30" s="443" t="str">
        <f t="shared" si="71"/>
        <v/>
      </c>
      <c r="CP30" s="443" t="str">
        <f t="shared" si="72"/>
        <v/>
      </c>
      <c r="CQ30" s="443" t="str">
        <f t="shared" si="73"/>
        <v/>
      </c>
      <c r="CR30" s="443" t="str">
        <f t="shared" si="74"/>
        <v/>
      </c>
      <c r="CS30" s="443" t="str">
        <f t="shared" si="75"/>
        <v/>
      </c>
      <c r="CT30" s="443" t="str">
        <f t="shared" si="76"/>
        <v/>
      </c>
      <c r="CU30" s="443" t="str">
        <f t="shared" si="77"/>
        <v/>
      </c>
      <c r="CV30" s="443" t="str">
        <f t="shared" si="78"/>
        <v/>
      </c>
      <c r="CW30" s="443" t="str">
        <f t="shared" si="79"/>
        <v/>
      </c>
      <c r="CX30" s="443" t="str">
        <f t="shared" si="80"/>
        <v/>
      </c>
      <c r="CY30" s="443" t="str">
        <f t="shared" si="81"/>
        <v/>
      </c>
      <c r="CZ30" s="443" t="str">
        <f t="shared" si="82"/>
        <v/>
      </c>
      <c r="DA30" s="443" t="str">
        <f t="shared" si="83"/>
        <v/>
      </c>
      <c r="DB30" s="443" t="str">
        <f t="shared" si="84"/>
        <v/>
      </c>
      <c r="DC30" s="443" t="str">
        <f t="shared" si="85"/>
        <v/>
      </c>
      <c r="DD30" s="443" t="str">
        <f t="shared" si="86"/>
        <v/>
      </c>
      <c r="DE30" s="443" t="str">
        <f t="shared" si="87"/>
        <v/>
      </c>
      <c r="DF30" s="443" t="str">
        <f t="shared" si="88"/>
        <v/>
      </c>
      <c r="DG30" s="443" t="str">
        <f t="shared" si="89"/>
        <v/>
      </c>
      <c r="DH30" s="443" t="str">
        <f t="shared" si="90"/>
        <v/>
      </c>
      <c r="DI30" s="443" t="str">
        <f t="shared" si="91"/>
        <v/>
      </c>
      <c r="DJ30" s="443" t="str">
        <f t="shared" si="92"/>
        <v/>
      </c>
      <c r="DK30" s="443" t="str">
        <f t="shared" si="93"/>
        <v/>
      </c>
      <c r="DL30" s="443" t="str">
        <f t="shared" si="94"/>
        <v/>
      </c>
      <c r="DM30" s="443" t="str">
        <f t="shared" si="95"/>
        <v/>
      </c>
      <c r="DN30" s="443" t="str">
        <f t="shared" si="96"/>
        <v/>
      </c>
      <c r="DO30" s="443" t="str">
        <f t="shared" si="97"/>
        <v/>
      </c>
      <c r="DP30" s="443" t="str">
        <f t="shared" si="98"/>
        <v/>
      </c>
      <c r="DQ30" s="443" t="str">
        <f t="shared" si="99"/>
        <v/>
      </c>
      <c r="DR30" s="443" t="str">
        <f t="shared" si="100"/>
        <v/>
      </c>
      <c r="DS30" s="443" t="str">
        <f t="shared" si="101"/>
        <v/>
      </c>
      <c r="DT30" s="443" t="str">
        <f t="shared" si="102"/>
        <v/>
      </c>
      <c r="DU30" s="443" t="str">
        <f t="shared" si="103"/>
        <v/>
      </c>
      <c r="DV30" s="443" t="str">
        <f t="shared" si="104"/>
        <v/>
      </c>
      <c r="DW30" s="443" t="str">
        <f t="shared" si="105"/>
        <v/>
      </c>
      <c r="DX30" s="443" t="str">
        <f t="shared" si="106"/>
        <v/>
      </c>
      <c r="DY30" s="443" t="str">
        <f t="shared" si="107"/>
        <v/>
      </c>
      <c r="DZ30" s="443" t="str">
        <f t="shared" si="108"/>
        <v/>
      </c>
      <c r="EA30" s="443" t="str">
        <f t="shared" si="109"/>
        <v/>
      </c>
      <c r="EB30" s="443" t="str">
        <f t="shared" si="110"/>
        <v/>
      </c>
      <c r="EC30" s="443" t="str">
        <f t="shared" si="111"/>
        <v/>
      </c>
      <c r="ED30" s="443" t="str">
        <f t="shared" si="112"/>
        <v/>
      </c>
      <c r="EE30" s="443" t="str">
        <f t="shared" si="113"/>
        <v/>
      </c>
      <c r="EF30" s="443" t="str">
        <f t="shared" si="114"/>
        <v/>
      </c>
      <c r="EG30" s="443" t="str">
        <f t="shared" si="115"/>
        <v/>
      </c>
      <c r="EH30" s="443" t="str">
        <f t="shared" si="116"/>
        <v/>
      </c>
      <c r="EI30" s="443" t="str">
        <f t="shared" si="117"/>
        <v/>
      </c>
      <c r="EJ30" s="443" t="str">
        <f t="shared" si="118"/>
        <v/>
      </c>
      <c r="EK30" s="443" t="str">
        <f t="shared" si="119"/>
        <v/>
      </c>
      <c r="EL30" s="443" t="str">
        <f t="shared" si="120"/>
        <v/>
      </c>
      <c r="EM30" s="443" t="str">
        <f t="shared" si="121"/>
        <v/>
      </c>
      <c r="EN30" s="443" t="str">
        <f t="shared" si="122"/>
        <v/>
      </c>
      <c r="EO30" s="443" t="str">
        <f t="shared" si="123"/>
        <v/>
      </c>
      <c r="EP30" s="443" t="str">
        <f t="shared" si="124"/>
        <v/>
      </c>
      <c r="EQ30" s="443" t="str">
        <f t="shared" si="125"/>
        <v/>
      </c>
      <c r="ER30" s="443" t="str">
        <f t="shared" si="126"/>
        <v/>
      </c>
      <c r="ES30" s="443" t="str">
        <f t="shared" si="127"/>
        <v/>
      </c>
      <c r="ET30" s="443" t="str">
        <f t="shared" si="128"/>
        <v/>
      </c>
      <c r="EU30" s="443" t="str">
        <f t="shared" si="129"/>
        <v/>
      </c>
      <c r="EV30" s="443" t="str">
        <f t="shared" si="130"/>
        <v/>
      </c>
      <c r="EW30" s="443" t="str">
        <f t="shared" si="131"/>
        <v/>
      </c>
      <c r="EX30" s="443" t="str">
        <f t="shared" si="132"/>
        <v/>
      </c>
      <c r="EY30" s="443" t="str">
        <f t="shared" si="133"/>
        <v/>
      </c>
      <c r="EZ30" s="443" t="str">
        <f t="shared" si="134"/>
        <v/>
      </c>
      <c r="FA30" s="443" t="str">
        <f t="shared" si="135"/>
        <v/>
      </c>
      <c r="FB30" s="443" t="str">
        <f t="shared" si="136"/>
        <v/>
      </c>
      <c r="FC30" s="443" t="str">
        <f t="shared" si="137"/>
        <v/>
      </c>
      <c r="FD30" s="443" t="str">
        <f t="shared" si="138"/>
        <v/>
      </c>
      <c r="FE30" s="443" t="str">
        <f t="shared" si="139"/>
        <v/>
      </c>
      <c r="FF30" s="443" t="str">
        <f t="shared" si="140"/>
        <v/>
      </c>
      <c r="FG30" s="443" t="str">
        <f t="shared" si="141"/>
        <v/>
      </c>
      <c r="FH30" s="443" t="str">
        <f t="shared" si="142"/>
        <v/>
      </c>
      <c r="FI30" s="443" t="str">
        <f t="shared" si="143"/>
        <v/>
      </c>
      <c r="FJ30" s="443" t="str">
        <f t="shared" si="144"/>
        <v/>
      </c>
      <c r="FK30" s="443" t="str">
        <f t="shared" si="145"/>
        <v/>
      </c>
      <c r="FL30" s="443" t="str">
        <f t="shared" si="146"/>
        <v/>
      </c>
      <c r="FM30" s="443" t="str">
        <f t="shared" si="147"/>
        <v/>
      </c>
      <c r="FN30" s="443" t="str">
        <f t="shared" si="148"/>
        <v/>
      </c>
      <c r="FO30" s="443" t="str">
        <f t="shared" si="149"/>
        <v/>
      </c>
      <c r="FP30" s="443" t="str">
        <f t="shared" si="150"/>
        <v/>
      </c>
      <c r="FQ30" s="443" t="str">
        <f t="shared" si="151"/>
        <v/>
      </c>
      <c r="FR30" s="443" t="str">
        <f t="shared" si="152"/>
        <v/>
      </c>
      <c r="FS30" s="443" t="str">
        <f t="shared" si="153"/>
        <v/>
      </c>
      <c r="FT30" s="443" t="str">
        <f t="shared" si="154"/>
        <v/>
      </c>
      <c r="FU30" s="443" t="str">
        <f t="shared" si="155"/>
        <v/>
      </c>
      <c r="FV30" s="443" t="str">
        <f t="shared" si="156"/>
        <v/>
      </c>
      <c r="FW30" s="443" t="str">
        <f t="shared" si="157"/>
        <v/>
      </c>
      <c r="FX30" s="443" t="str">
        <f t="shared" si="158"/>
        <v/>
      </c>
      <c r="FY30" s="443" t="str">
        <f t="shared" si="159"/>
        <v/>
      </c>
      <c r="FZ30" s="443" t="str">
        <f t="shared" si="160"/>
        <v/>
      </c>
      <c r="GA30" s="443" t="str">
        <f t="shared" si="161"/>
        <v/>
      </c>
      <c r="GB30" s="443" t="str">
        <f t="shared" si="162"/>
        <v/>
      </c>
      <c r="GC30" s="443" t="str">
        <f t="shared" si="163"/>
        <v/>
      </c>
      <c r="GD30" s="443" t="str">
        <f t="shared" si="164"/>
        <v/>
      </c>
      <c r="GE30" s="443" t="str">
        <f t="shared" si="165"/>
        <v/>
      </c>
      <c r="GF30" s="443" t="str">
        <f t="shared" si="166"/>
        <v/>
      </c>
      <c r="GG30" s="443" t="str">
        <f t="shared" si="167"/>
        <v/>
      </c>
      <c r="GH30" s="443" t="str">
        <f t="shared" si="168"/>
        <v/>
      </c>
      <c r="GI30" s="443" t="str">
        <f t="shared" si="169"/>
        <v/>
      </c>
      <c r="GJ30" s="443" t="str">
        <f t="shared" si="170"/>
        <v/>
      </c>
      <c r="GK30" s="443" t="str">
        <f t="shared" si="171"/>
        <v/>
      </c>
      <c r="GL30" s="443" t="str">
        <f t="shared" si="172"/>
        <v/>
      </c>
      <c r="GM30" s="443" t="str">
        <f t="shared" si="173"/>
        <v/>
      </c>
      <c r="GN30" s="443" t="str">
        <f t="shared" si="174"/>
        <v/>
      </c>
      <c r="GO30" s="443" t="str">
        <f t="shared" si="175"/>
        <v/>
      </c>
      <c r="GP30" s="443" t="str">
        <f t="shared" si="176"/>
        <v/>
      </c>
      <c r="GQ30" s="443" t="str">
        <f t="shared" si="177"/>
        <v/>
      </c>
      <c r="GR30" s="443" t="str">
        <f t="shared" si="178"/>
        <v/>
      </c>
      <c r="GS30" s="443" t="str">
        <f t="shared" si="179"/>
        <v/>
      </c>
      <c r="GT30" s="443" t="str">
        <f t="shared" si="180"/>
        <v/>
      </c>
      <c r="GU30" s="443" t="str">
        <f t="shared" si="181"/>
        <v/>
      </c>
      <c r="GV30" s="443" t="str">
        <f t="shared" si="182"/>
        <v/>
      </c>
      <c r="GW30" s="443" t="str">
        <f t="shared" si="183"/>
        <v/>
      </c>
      <c r="GX30" s="443" t="str">
        <f t="shared" si="184"/>
        <v/>
      </c>
      <c r="GY30" s="443" t="str">
        <f t="shared" si="185"/>
        <v/>
      </c>
      <c r="GZ30" s="443" t="str">
        <f t="shared" si="186"/>
        <v/>
      </c>
      <c r="HA30" s="443" t="str">
        <f t="shared" si="187"/>
        <v/>
      </c>
      <c r="HB30" s="443" t="str">
        <f t="shared" si="188"/>
        <v/>
      </c>
      <c r="HC30" s="443" t="str">
        <f t="shared" si="189"/>
        <v/>
      </c>
      <c r="HD30" s="443" t="str">
        <f t="shared" si="190"/>
        <v/>
      </c>
      <c r="HE30" s="443" t="str">
        <f t="shared" si="191"/>
        <v/>
      </c>
      <c r="HF30" s="443" t="str">
        <f t="shared" si="192"/>
        <v/>
      </c>
      <c r="HG30" s="443" t="str">
        <f t="shared" si="193"/>
        <v/>
      </c>
      <c r="HH30" s="443" t="str">
        <f t="shared" si="194"/>
        <v/>
      </c>
      <c r="HI30" s="443" t="str">
        <f t="shared" si="195"/>
        <v/>
      </c>
      <c r="HJ30" s="443" t="str">
        <f t="shared" si="196"/>
        <v/>
      </c>
      <c r="HK30" s="443" t="str">
        <f t="shared" si="197"/>
        <v/>
      </c>
      <c r="HL30" s="443" t="str">
        <f t="shared" si="198"/>
        <v/>
      </c>
      <c r="HM30" s="443" t="str">
        <f t="shared" si="199"/>
        <v/>
      </c>
      <c r="HN30" s="443" t="str">
        <f t="shared" si="200"/>
        <v/>
      </c>
      <c r="HO30" s="443" t="str">
        <f t="shared" si="201"/>
        <v/>
      </c>
      <c r="HP30" s="443" t="str">
        <f t="shared" si="202"/>
        <v/>
      </c>
      <c r="HQ30" s="443" t="str">
        <f t="shared" si="203"/>
        <v/>
      </c>
      <c r="HR30" s="443" t="str">
        <f t="shared" si="204"/>
        <v/>
      </c>
      <c r="HS30" s="443" t="str">
        <f t="shared" si="205"/>
        <v/>
      </c>
      <c r="HT30" s="443" t="str">
        <f t="shared" si="206"/>
        <v/>
      </c>
      <c r="HU30" s="443" t="str">
        <f t="shared" si="207"/>
        <v/>
      </c>
      <c r="HV30" s="443" t="str">
        <f t="shared" si="208"/>
        <v/>
      </c>
      <c r="HW30" s="443" t="str">
        <f t="shared" si="209"/>
        <v/>
      </c>
      <c r="HX30" s="443" t="str">
        <f t="shared" si="210"/>
        <v/>
      </c>
      <c r="HY30" s="443" t="str">
        <f t="shared" si="211"/>
        <v/>
      </c>
      <c r="HZ30" s="2247" t="str">
        <f t="shared" si="212"/>
        <v/>
      </c>
      <c r="IA30" s="2247" t="str">
        <f t="shared" si="213"/>
        <v/>
      </c>
      <c r="IB30" s="2247" t="str">
        <f t="shared" si="214"/>
        <v/>
      </c>
      <c r="IC30" s="2247" t="str">
        <f t="shared" si="215"/>
        <v/>
      </c>
      <c r="ID30" s="2247" t="str">
        <f t="shared" si="216"/>
        <v/>
      </c>
      <c r="IE30" s="2247" t="str">
        <f t="shared" si="217"/>
        <v/>
      </c>
      <c r="IF30" s="2247" t="str">
        <f t="shared" si="218"/>
        <v/>
      </c>
      <c r="IG30" s="2247" t="str">
        <f t="shared" si="219"/>
        <v/>
      </c>
      <c r="IH30" s="2247" t="str">
        <f t="shared" si="220"/>
        <v/>
      </c>
      <c r="II30" s="2247" t="str">
        <f t="shared" si="221"/>
        <v/>
      </c>
      <c r="IJ30" s="2247" t="str">
        <f t="shared" si="222"/>
        <v/>
      </c>
      <c r="IK30" s="2247" t="str">
        <f t="shared" si="223"/>
        <v/>
      </c>
      <c r="IL30" s="2247" t="str">
        <f t="shared" si="224"/>
        <v/>
      </c>
      <c r="IM30" s="2247" t="str">
        <f t="shared" si="225"/>
        <v/>
      </c>
      <c r="IN30" s="2247" t="str">
        <f t="shared" si="226"/>
        <v/>
      </c>
      <c r="IO30" s="2247" t="str">
        <f t="shared" si="227"/>
        <v/>
      </c>
      <c r="IP30" s="2247" t="str">
        <f t="shared" si="228"/>
        <v/>
      </c>
      <c r="IQ30" s="2247" t="str">
        <f t="shared" si="229"/>
        <v/>
      </c>
      <c r="IR30" s="2247" t="str">
        <f t="shared" si="230"/>
        <v/>
      </c>
      <c r="IS30" s="2247" t="str">
        <f t="shared" si="231"/>
        <v/>
      </c>
      <c r="IT30" s="2247" t="str">
        <f t="shared" si="232"/>
        <v/>
      </c>
      <c r="IU30" s="2247" t="str">
        <f t="shared" si="233"/>
        <v/>
      </c>
      <c r="IV30" s="2247" t="str">
        <f t="shared" si="234"/>
        <v/>
      </c>
      <c r="IW30" s="2247" t="str">
        <f t="shared" si="235"/>
        <v/>
      </c>
      <c r="IX30" s="2247" t="str">
        <f t="shared" si="236"/>
        <v/>
      </c>
      <c r="IY30" s="2247" t="str">
        <f t="shared" si="237"/>
        <v/>
      </c>
      <c r="IZ30" s="2247" t="str">
        <f t="shared" si="238"/>
        <v/>
      </c>
      <c r="JA30" s="2247" t="str">
        <f t="shared" si="239"/>
        <v/>
      </c>
      <c r="JB30" s="2247" t="str">
        <f t="shared" si="240"/>
        <v/>
      </c>
      <c r="JC30" s="2247" t="str">
        <f t="shared" si="241"/>
        <v/>
      </c>
      <c r="JD30" s="2247" t="str">
        <f t="shared" si="242"/>
        <v/>
      </c>
      <c r="JE30" s="2247" t="str">
        <f t="shared" si="243"/>
        <v/>
      </c>
      <c r="JF30" s="2247" t="str">
        <f t="shared" si="244"/>
        <v/>
      </c>
      <c r="JG30" s="2247" t="str">
        <f t="shared" si="245"/>
        <v/>
      </c>
      <c r="JH30" s="2247" t="str">
        <f t="shared" si="246"/>
        <v/>
      </c>
      <c r="JI30" s="2247" t="str">
        <f t="shared" si="247"/>
        <v/>
      </c>
      <c r="JJ30" s="2247" t="str">
        <f t="shared" si="248"/>
        <v/>
      </c>
      <c r="JK30" s="2247" t="str">
        <f t="shared" si="249"/>
        <v/>
      </c>
      <c r="JL30" s="2247" t="str">
        <f t="shared" si="250"/>
        <v/>
      </c>
      <c r="JM30" s="2247" t="str">
        <f t="shared" si="251"/>
        <v/>
      </c>
      <c r="JN30" s="2247" t="str">
        <f t="shared" si="252"/>
        <v/>
      </c>
      <c r="JO30" s="2247" t="str">
        <f t="shared" si="253"/>
        <v/>
      </c>
      <c r="JP30" s="2247" t="str">
        <f t="shared" si="254"/>
        <v/>
      </c>
      <c r="JQ30" s="2247" t="str">
        <f t="shared" si="255"/>
        <v/>
      </c>
      <c r="JR30" s="2247" t="str">
        <f t="shared" si="256"/>
        <v/>
      </c>
      <c r="JS30" s="2247" t="str">
        <f t="shared" si="257"/>
        <v/>
      </c>
      <c r="JT30" s="2247" t="str">
        <f t="shared" si="258"/>
        <v/>
      </c>
      <c r="JU30" s="2247" t="str">
        <f t="shared" si="259"/>
        <v/>
      </c>
      <c r="JV30" s="2247" t="str">
        <f t="shared" si="260"/>
        <v/>
      </c>
      <c r="JW30" s="2247" t="str">
        <f t="shared" si="261"/>
        <v/>
      </c>
      <c r="JX30" s="2247" t="str">
        <f t="shared" si="262"/>
        <v/>
      </c>
      <c r="JY30" s="2247" t="str">
        <f t="shared" si="263"/>
        <v/>
      </c>
      <c r="JZ30" s="2247" t="str">
        <f t="shared" si="264"/>
        <v/>
      </c>
      <c r="KA30" s="2247" t="str">
        <f t="shared" si="265"/>
        <v/>
      </c>
      <c r="KB30" s="2247" t="str">
        <f t="shared" si="266"/>
        <v/>
      </c>
      <c r="KC30" s="2247" t="str">
        <f t="shared" si="267"/>
        <v/>
      </c>
      <c r="KD30" s="2247" t="str">
        <f t="shared" si="268"/>
        <v/>
      </c>
      <c r="KE30" s="2247" t="str">
        <f t="shared" si="269"/>
        <v/>
      </c>
      <c r="KF30" s="2247" t="str">
        <f t="shared" si="270"/>
        <v/>
      </c>
      <c r="KG30" s="2247" t="str">
        <f t="shared" si="271"/>
        <v/>
      </c>
      <c r="KH30" s="2247" t="str">
        <f t="shared" si="272"/>
        <v/>
      </c>
      <c r="KI30" s="2247" t="str">
        <f t="shared" si="273"/>
        <v/>
      </c>
      <c r="KJ30" s="2247" t="str">
        <f t="shared" si="274"/>
        <v/>
      </c>
      <c r="KK30" s="2247" t="str">
        <f t="shared" si="275"/>
        <v/>
      </c>
      <c r="KL30" s="2247" t="str">
        <f t="shared" si="276"/>
        <v/>
      </c>
      <c r="KM30" s="2247" t="str">
        <f t="shared" si="277"/>
        <v/>
      </c>
      <c r="KN30" s="2247" t="str">
        <f t="shared" si="278"/>
        <v/>
      </c>
      <c r="KO30" s="2247" t="str">
        <f t="shared" si="279"/>
        <v/>
      </c>
      <c r="KP30" s="2247" t="str">
        <f t="shared" si="280"/>
        <v/>
      </c>
      <c r="KQ30" s="2247" t="str">
        <f t="shared" si="281"/>
        <v/>
      </c>
      <c r="KR30" s="2247" t="str">
        <f t="shared" si="282"/>
        <v/>
      </c>
      <c r="KS30" s="2247" t="str">
        <f t="shared" si="283"/>
        <v/>
      </c>
      <c r="KT30" s="2247" t="str">
        <f t="shared" si="284"/>
        <v/>
      </c>
      <c r="KU30" s="2247" t="str">
        <f t="shared" si="285"/>
        <v/>
      </c>
      <c r="KV30" s="2247" t="str">
        <f t="shared" si="286"/>
        <v/>
      </c>
      <c r="KW30" s="2247" t="str">
        <f t="shared" si="287"/>
        <v/>
      </c>
      <c r="KX30" s="2247" t="str">
        <f t="shared" si="288"/>
        <v/>
      </c>
      <c r="KY30" s="2247" t="str">
        <f t="shared" si="289"/>
        <v/>
      </c>
      <c r="KZ30" s="2247" t="str">
        <f t="shared" si="290"/>
        <v/>
      </c>
      <c r="LA30" s="2247" t="str">
        <f t="shared" si="291"/>
        <v/>
      </c>
      <c r="LB30" s="2247" t="str">
        <f t="shared" si="292"/>
        <v/>
      </c>
      <c r="LC30" s="2247" t="str">
        <f t="shared" si="293"/>
        <v/>
      </c>
      <c r="LD30" s="2247" t="str">
        <f t="shared" si="294"/>
        <v/>
      </c>
      <c r="LE30" s="2247" t="str">
        <f t="shared" si="295"/>
        <v/>
      </c>
      <c r="LF30" s="2247" t="str">
        <f t="shared" si="296"/>
        <v/>
      </c>
      <c r="LG30" s="2247" t="str">
        <f t="shared" si="297"/>
        <v/>
      </c>
      <c r="LH30" s="2247" t="str">
        <f t="shared" si="298"/>
        <v/>
      </c>
      <c r="LI30" s="2247" t="str">
        <f t="shared" si="299"/>
        <v/>
      </c>
      <c r="LJ30" s="2247" t="str">
        <f t="shared" si="300"/>
        <v/>
      </c>
      <c r="LK30" s="2247" t="str">
        <f t="shared" si="301"/>
        <v/>
      </c>
      <c r="LL30" s="2247" t="str">
        <f t="shared" si="302"/>
        <v/>
      </c>
      <c r="LM30" s="2247" t="str">
        <f t="shared" si="303"/>
        <v/>
      </c>
      <c r="LN30" s="2247" t="str">
        <f t="shared" si="304"/>
        <v/>
      </c>
      <c r="LO30" s="2247" t="str">
        <f t="shared" si="305"/>
        <v/>
      </c>
      <c r="LP30" s="2247" t="str">
        <f t="shared" si="306"/>
        <v/>
      </c>
      <c r="LQ30" s="2248" t="str">
        <f t="shared" si="307"/>
        <v/>
      </c>
      <c r="LR30" s="2248" t="str">
        <f t="shared" si="308"/>
        <v/>
      </c>
      <c r="LS30" s="2248" t="str">
        <f t="shared" si="309"/>
        <v/>
      </c>
      <c r="LT30" s="2248" t="str">
        <f t="shared" si="310"/>
        <v/>
      </c>
      <c r="LU30" s="2248" t="str">
        <f t="shared" si="311"/>
        <v/>
      </c>
      <c r="LV30" s="443" t="str">
        <f t="shared" si="312"/>
        <v/>
      </c>
      <c r="LW30" s="443" t="str">
        <f t="shared" si="313"/>
        <v/>
      </c>
      <c r="LX30" s="443" t="str">
        <f t="shared" si="314"/>
        <v/>
      </c>
      <c r="LY30" s="443" t="str">
        <f t="shared" si="315"/>
        <v/>
      </c>
      <c r="LZ30" s="443" t="str">
        <f t="shared" si="316"/>
        <v/>
      </c>
      <c r="MA30" s="443" t="str">
        <f t="shared" si="317"/>
        <v/>
      </c>
      <c r="MB30" s="443" t="str">
        <f t="shared" si="318"/>
        <v/>
      </c>
      <c r="MC30" s="443" t="str">
        <f t="shared" si="319"/>
        <v/>
      </c>
      <c r="MD30" s="443" t="str">
        <f t="shared" si="320"/>
        <v/>
      </c>
      <c r="ME30" s="443" t="str">
        <f t="shared" si="321"/>
        <v/>
      </c>
      <c r="MF30" s="443" t="str">
        <f t="shared" si="322"/>
        <v/>
      </c>
      <c r="MG30" s="443" t="str">
        <f t="shared" si="323"/>
        <v/>
      </c>
      <c r="MH30" s="443" t="str">
        <f t="shared" si="324"/>
        <v/>
      </c>
      <c r="MI30" s="443" t="str">
        <f t="shared" si="325"/>
        <v/>
      </c>
      <c r="MJ30" s="443" t="str">
        <f t="shared" si="326"/>
        <v/>
      </c>
      <c r="MK30" s="443" t="str">
        <f t="shared" si="327"/>
        <v/>
      </c>
      <c r="ML30" s="443" t="str">
        <f t="shared" si="328"/>
        <v/>
      </c>
      <c r="MM30" s="443" t="str">
        <f t="shared" si="329"/>
        <v/>
      </c>
      <c r="MN30" s="443" t="str">
        <f t="shared" si="330"/>
        <v/>
      </c>
      <c r="MO30" s="443" t="str">
        <f t="shared" si="331"/>
        <v/>
      </c>
      <c r="MP30" s="2246">
        <f t="shared" si="338"/>
        <v>0</v>
      </c>
      <c r="MQ30" s="2246">
        <f t="shared" si="339"/>
        <v>0</v>
      </c>
      <c r="MR30" s="2246">
        <f t="shared" si="340"/>
        <v>0</v>
      </c>
      <c r="MS30" s="2246">
        <f t="shared" si="341"/>
        <v>0</v>
      </c>
      <c r="MT30" s="2246">
        <f t="shared" si="342"/>
        <v>0</v>
      </c>
      <c r="MU30" s="2246">
        <f t="shared" si="343"/>
        <v>0</v>
      </c>
      <c r="MV30" s="2246">
        <f t="shared" si="344"/>
        <v>0</v>
      </c>
      <c r="MW30" s="2246">
        <f t="shared" si="345"/>
        <v>0</v>
      </c>
      <c r="MX30" s="2246">
        <f t="shared" si="346"/>
        <v>0</v>
      </c>
      <c r="MY30" s="2246">
        <f t="shared" si="347"/>
        <v>0</v>
      </c>
      <c r="MZ30" s="2246">
        <f t="shared" si="332"/>
        <v>0</v>
      </c>
      <c r="NA30" s="2246">
        <f t="shared" si="333"/>
        <v>0</v>
      </c>
      <c r="NB30" s="2246">
        <f t="shared" si="334"/>
        <v>0</v>
      </c>
      <c r="NC30" s="2246">
        <f t="shared" si="335"/>
        <v>0</v>
      </c>
      <c r="ND30" s="2246">
        <f t="shared" si="336"/>
        <v>0</v>
      </c>
    </row>
    <row r="31" spans="1:368" ht="13.95" customHeight="1">
      <c r="A31" s="109" t="str">
        <f t="shared" si="337"/>
        <v/>
      </c>
      <c r="B31" s="4015"/>
      <c r="C31" s="3987"/>
      <c r="D31" s="3988"/>
      <c r="E31" s="3989"/>
      <c r="F31" s="3989"/>
      <c r="G31" s="3989"/>
      <c r="H31" s="3989"/>
      <c r="I31" s="3989"/>
      <c r="J31" s="4016">
        <f>IF(C31="",0,HLOOKUP(C31,'Part V-Utility Allowances'!$I$11:$M$22,12))</f>
        <v>0</v>
      </c>
      <c r="K31" s="3991"/>
      <c r="L31" s="567">
        <f t="shared" si="0"/>
        <v>0</v>
      </c>
      <c r="M31" s="567">
        <f t="shared" si="1"/>
        <v>0</v>
      </c>
      <c r="N31" s="3992"/>
      <c r="O31" s="3992"/>
      <c r="P31" s="3992"/>
      <c r="Q31" s="3993"/>
      <c r="R31" s="3994"/>
      <c r="S31" s="3995"/>
      <c r="T31" s="3996"/>
      <c r="U31" s="3997"/>
      <c r="V31" s="3997"/>
      <c r="W31" s="3998"/>
      <c r="X31" s="443" t="str">
        <f t="shared" si="2"/>
        <v/>
      </c>
      <c r="Y31" s="443" t="str">
        <f t="shared" si="3"/>
        <v/>
      </c>
      <c r="Z31" s="443" t="str">
        <f t="shared" si="4"/>
        <v/>
      </c>
      <c r="AA31" s="443" t="str">
        <f t="shared" si="5"/>
        <v/>
      </c>
      <c r="AB31" s="443" t="str">
        <f t="shared" si="6"/>
        <v/>
      </c>
      <c r="AC31" s="443" t="str">
        <f t="shared" si="7"/>
        <v/>
      </c>
      <c r="AD31" s="443" t="str">
        <f t="shared" si="8"/>
        <v/>
      </c>
      <c r="AE31" s="443" t="str">
        <f t="shared" si="9"/>
        <v/>
      </c>
      <c r="AF31" s="443" t="str">
        <f t="shared" si="10"/>
        <v/>
      </c>
      <c r="AG31" s="443" t="str">
        <f t="shared" si="11"/>
        <v/>
      </c>
      <c r="AH31" s="443" t="str">
        <f t="shared" si="12"/>
        <v/>
      </c>
      <c r="AI31" s="443" t="str">
        <f t="shared" si="13"/>
        <v/>
      </c>
      <c r="AJ31" s="443" t="str">
        <f t="shared" si="14"/>
        <v/>
      </c>
      <c r="AK31" s="443" t="str">
        <f t="shared" si="15"/>
        <v/>
      </c>
      <c r="AL31" s="443" t="str">
        <f t="shared" si="16"/>
        <v/>
      </c>
      <c r="AM31" s="443" t="str">
        <f t="shared" si="17"/>
        <v/>
      </c>
      <c r="AN31" s="443" t="str">
        <f t="shared" si="18"/>
        <v/>
      </c>
      <c r="AO31" s="443" t="str">
        <f t="shared" si="19"/>
        <v/>
      </c>
      <c r="AP31" s="443" t="str">
        <f t="shared" si="20"/>
        <v/>
      </c>
      <c r="AQ31" s="443" t="str">
        <f t="shared" si="21"/>
        <v/>
      </c>
      <c r="AR31" s="443" t="str">
        <f t="shared" si="22"/>
        <v/>
      </c>
      <c r="AS31" s="443" t="str">
        <f t="shared" si="23"/>
        <v/>
      </c>
      <c r="AT31" s="443" t="str">
        <f t="shared" si="24"/>
        <v/>
      </c>
      <c r="AU31" s="443" t="str">
        <f t="shared" si="25"/>
        <v/>
      </c>
      <c r="AV31" s="443" t="str">
        <f t="shared" si="26"/>
        <v/>
      </c>
      <c r="AW31" s="443" t="str">
        <f t="shared" si="27"/>
        <v/>
      </c>
      <c r="AX31" s="443" t="str">
        <f t="shared" si="28"/>
        <v/>
      </c>
      <c r="AY31" s="443" t="str">
        <f t="shared" si="29"/>
        <v/>
      </c>
      <c r="AZ31" s="443" t="str">
        <f t="shared" si="30"/>
        <v/>
      </c>
      <c r="BA31" s="443" t="str">
        <f t="shared" si="31"/>
        <v/>
      </c>
      <c r="BB31" s="443" t="str">
        <f t="shared" si="32"/>
        <v/>
      </c>
      <c r="BC31" s="443" t="str">
        <f t="shared" si="33"/>
        <v/>
      </c>
      <c r="BD31" s="443" t="str">
        <f t="shared" si="34"/>
        <v/>
      </c>
      <c r="BE31" s="443" t="str">
        <f t="shared" si="35"/>
        <v/>
      </c>
      <c r="BF31" s="443" t="str">
        <f t="shared" si="36"/>
        <v/>
      </c>
      <c r="BG31" s="443" t="str">
        <f t="shared" si="37"/>
        <v/>
      </c>
      <c r="BH31" s="443" t="str">
        <f t="shared" si="38"/>
        <v/>
      </c>
      <c r="BI31" s="443" t="str">
        <f t="shared" si="39"/>
        <v/>
      </c>
      <c r="BJ31" s="443" t="str">
        <f t="shared" si="40"/>
        <v/>
      </c>
      <c r="BK31" s="443" t="str">
        <f t="shared" si="41"/>
        <v/>
      </c>
      <c r="BL31" s="443" t="str">
        <f t="shared" si="42"/>
        <v/>
      </c>
      <c r="BM31" s="443" t="str">
        <f t="shared" si="43"/>
        <v/>
      </c>
      <c r="BN31" s="443" t="str">
        <f t="shared" si="44"/>
        <v/>
      </c>
      <c r="BO31" s="443" t="str">
        <f t="shared" si="45"/>
        <v/>
      </c>
      <c r="BP31" s="443" t="str">
        <f t="shared" si="46"/>
        <v/>
      </c>
      <c r="BQ31" s="443" t="str">
        <f t="shared" si="47"/>
        <v/>
      </c>
      <c r="BR31" s="443" t="str">
        <f t="shared" si="48"/>
        <v/>
      </c>
      <c r="BS31" s="443" t="str">
        <f t="shared" si="49"/>
        <v/>
      </c>
      <c r="BT31" s="443" t="str">
        <f t="shared" si="50"/>
        <v/>
      </c>
      <c r="BU31" s="443" t="str">
        <f t="shared" si="51"/>
        <v/>
      </c>
      <c r="BV31" s="443" t="str">
        <f t="shared" si="52"/>
        <v/>
      </c>
      <c r="BW31" s="443" t="str">
        <f t="shared" si="53"/>
        <v/>
      </c>
      <c r="BX31" s="443" t="str">
        <f t="shared" si="54"/>
        <v/>
      </c>
      <c r="BY31" s="443" t="str">
        <f t="shared" si="55"/>
        <v/>
      </c>
      <c r="BZ31" s="443" t="str">
        <f t="shared" si="56"/>
        <v/>
      </c>
      <c r="CA31" s="443" t="str">
        <f t="shared" si="57"/>
        <v/>
      </c>
      <c r="CB31" s="443" t="str">
        <f t="shared" si="58"/>
        <v/>
      </c>
      <c r="CC31" s="443" t="str">
        <f t="shared" si="59"/>
        <v/>
      </c>
      <c r="CD31" s="443" t="str">
        <f t="shared" si="60"/>
        <v/>
      </c>
      <c r="CE31" s="443" t="str">
        <f t="shared" si="61"/>
        <v/>
      </c>
      <c r="CF31" s="443" t="str">
        <f t="shared" si="62"/>
        <v/>
      </c>
      <c r="CG31" s="443" t="str">
        <f t="shared" si="63"/>
        <v/>
      </c>
      <c r="CH31" s="443" t="str">
        <f t="shared" si="64"/>
        <v/>
      </c>
      <c r="CI31" s="443" t="str">
        <f t="shared" si="65"/>
        <v/>
      </c>
      <c r="CJ31" s="443" t="str">
        <f t="shared" si="66"/>
        <v/>
      </c>
      <c r="CK31" s="443" t="str">
        <f t="shared" si="67"/>
        <v/>
      </c>
      <c r="CL31" s="443" t="str">
        <f t="shared" si="68"/>
        <v/>
      </c>
      <c r="CM31" s="443" t="str">
        <f t="shared" si="69"/>
        <v/>
      </c>
      <c r="CN31" s="443" t="str">
        <f t="shared" si="70"/>
        <v/>
      </c>
      <c r="CO31" s="443" t="str">
        <f t="shared" si="71"/>
        <v/>
      </c>
      <c r="CP31" s="443" t="str">
        <f t="shared" si="72"/>
        <v/>
      </c>
      <c r="CQ31" s="443" t="str">
        <f t="shared" si="73"/>
        <v/>
      </c>
      <c r="CR31" s="443" t="str">
        <f t="shared" si="74"/>
        <v/>
      </c>
      <c r="CS31" s="443" t="str">
        <f t="shared" si="75"/>
        <v/>
      </c>
      <c r="CT31" s="443" t="str">
        <f t="shared" si="76"/>
        <v/>
      </c>
      <c r="CU31" s="443" t="str">
        <f t="shared" si="77"/>
        <v/>
      </c>
      <c r="CV31" s="443" t="str">
        <f t="shared" si="78"/>
        <v/>
      </c>
      <c r="CW31" s="443" t="str">
        <f t="shared" si="79"/>
        <v/>
      </c>
      <c r="CX31" s="443" t="str">
        <f t="shared" si="80"/>
        <v/>
      </c>
      <c r="CY31" s="443" t="str">
        <f t="shared" si="81"/>
        <v/>
      </c>
      <c r="CZ31" s="443" t="str">
        <f t="shared" si="82"/>
        <v/>
      </c>
      <c r="DA31" s="443" t="str">
        <f t="shared" si="83"/>
        <v/>
      </c>
      <c r="DB31" s="443" t="str">
        <f t="shared" si="84"/>
        <v/>
      </c>
      <c r="DC31" s="443" t="str">
        <f t="shared" si="85"/>
        <v/>
      </c>
      <c r="DD31" s="443" t="str">
        <f t="shared" si="86"/>
        <v/>
      </c>
      <c r="DE31" s="443" t="str">
        <f t="shared" si="87"/>
        <v/>
      </c>
      <c r="DF31" s="443" t="str">
        <f t="shared" si="88"/>
        <v/>
      </c>
      <c r="DG31" s="443" t="str">
        <f t="shared" si="89"/>
        <v/>
      </c>
      <c r="DH31" s="443" t="str">
        <f t="shared" si="90"/>
        <v/>
      </c>
      <c r="DI31" s="443" t="str">
        <f t="shared" si="91"/>
        <v/>
      </c>
      <c r="DJ31" s="443" t="str">
        <f t="shared" si="92"/>
        <v/>
      </c>
      <c r="DK31" s="443" t="str">
        <f t="shared" si="93"/>
        <v/>
      </c>
      <c r="DL31" s="443" t="str">
        <f t="shared" si="94"/>
        <v/>
      </c>
      <c r="DM31" s="443" t="str">
        <f t="shared" si="95"/>
        <v/>
      </c>
      <c r="DN31" s="443" t="str">
        <f t="shared" si="96"/>
        <v/>
      </c>
      <c r="DO31" s="443" t="str">
        <f t="shared" si="97"/>
        <v/>
      </c>
      <c r="DP31" s="443" t="str">
        <f t="shared" si="98"/>
        <v/>
      </c>
      <c r="DQ31" s="443" t="str">
        <f t="shared" si="99"/>
        <v/>
      </c>
      <c r="DR31" s="443" t="str">
        <f t="shared" si="100"/>
        <v/>
      </c>
      <c r="DS31" s="443" t="str">
        <f t="shared" si="101"/>
        <v/>
      </c>
      <c r="DT31" s="443" t="str">
        <f t="shared" si="102"/>
        <v/>
      </c>
      <c r="DU31" s="443" t="str">
        <f t="shared" si="103"/>
        <v/>
      </c>
      <c r="DV31" s="443" t="str">
        <f t="shared" si="104"/>
        <v/>
      </c>
      <c r="DW31" s="443" t="str">
        <f t="shared" si="105"/>
        <v/>
      </c>
      <c r="DX31" s="443" t="str">
        <f t="shared" si="106"/>
        <v/>
      </c>
      <c r="DY31" s="443" t="str">
        <f t="shared" si="107"/>
        <v/>
      </c>
      <c r="DZ31" s="443" t="str">
        <f t="shared" si="108"/>
        <v/>
      </c>
      <c r="EA31" s="443" t="str">
        <f t="shared" si="109"/>
        <v/>
      </c>
      <c r="EB31" s="443" t="str">
        <f t="shared" si="110"/>
        <v/>
      </c>
      <c r="EC31" s="443" t="str">
        <f t="shared" si="111"/>
        <v/>
      </c>
      <c r="ED31" s="443" t="str">
        <f t="shared" si="112"/>
        <v/>
      </c>
      <c r="EE31" s="443" t="str">
        <f t="shared" si="113"/>
        <v/>
      </c>
      <c r="EF31" s="443" t="str">
        <f t="shared" si="114"/>
        <v/>
      </c>
      <c r="EG31" s="443" t="str">
        <f t="shared" si="115"/>
        <v/>
      </c>
      <c r="EH31" s="443" t="str">
        <f t="shared" si="116"/>
        <v/>
      </c>
      <c r="EI31" s="443" t="str">
        <f t="shared" si="117"/>
        <v/>
      </c>
      <c r="EJ31" s="443" t="str">
        <f t="shared" si="118"/>
        <v/>
      </c>
      <c r="EK31" s="443" t="str">
        <f t="shared" si="119"/>
        <v/>
      </c>
      <c r="EL31" s="443" t="str">
        <f t="shared" si="120"/>
        <v/>
      </c>
      <c r="EM31" s="443" t="str">
        <f t="shared" si="121"/>
        <v/>
      </c>
      <c r="EN31" s="443" t="str">
        <f t="shared" si="122"/>
        <v/>
      </c>
      <c r="EO31" s="443" t="str">
        <f t="shared" si="123"/>
        <v/>
      </c>
      <c r="EP31" s="443" t="str">
        <f t="shared" si="124"/>
        <v/>
      </c>
      <c r="EQ31" s="443" t="str">
        <f t="shared" si="125"/>
        <v/>
      </c>
      <c r="ER31" s="443" t="str">
        <f t="shared" si="126"/>
        <v/>
      </c>
      <c r="ES31" s="443" t="str">
        <f t="shared" si="127"/>
        <v/>
      </c>
      <c r="ET31" s="443" t="str">
        <f t="shared" si="128"/>
        <v/>
      </c>
      <c r="EU31" s="443" t="str">
        <f t="shared" si="129"/>
        <v/>
      </c>
      <c r="EV31" s="443" t="str">
        <f t="shared" si="130"/>
        <v/>
      </c>
      <c r="EW31" s="443" t="str">
        <f t="shared" si="131"/>
        <v/>
      </c>
      <c r="EX31" s="443" t="str">
        <f t="shared" si="132"/>
        <v/>
      </c>
      <c r="EY31" s="443" t="str">
        <f t="shared" si="133"/>
        <v/>
      </c>
      <c r="EZ31" s="443" t="str">
        <f t="shared" si="134"/>
        <v/>
      </c>
      <c r="FA31" s="443" t="str">
        <f t="shared" si="135"/>
        <v/>
      </c>
      <c r="FB31" s="443" t="str">
        <f t="shared" si="136"/>
        <v/>
      </c>
      <c r="FC31" s="443" t="str">
        <f t="shared" si="137"/>
        <v/>
      </c>
      <c r="FD31" s="443" t="str">
        <f t="shared" si="138"/>
        <v/>
      </c>
      <c r="FE31" s="443" t="str">
        <f t="shared" si="139"/>
        <v/>
      </c>
      <c r="FF31" s="443" t="str">
        <f t="shared" si="140"/>
        <v/>
      </c>
      <c r="FG31" s="443" t="str">
        <f t="shared" si="141"/>
        <v/>
      </c>
      <c r="FH31" s="443" t="str">
        <f t="shared" si="142"/>
        <v/>
      </c>
      <c r="FI31" s="443" t="str">
        <f t="shared" si="143"/>
        <v/>
      </c>
      <c r="FJ31" s="443" t="str">
        <f t="shared" si="144"/>
        <v/>
      </c>
      <c r="FK31" s="443" t="str">
        <f t="shared" si="145"/>
        <v/>
      </c>
      <c r="FL31" s="443" t="str">
        <f t="shared" si="146"/>
        <v/>
      </c>
      <c r="FM31" s="443" t="str">
        <f t="shared" si="147"/>
        <v/>
      </c>
      <c r="FN31" s="443" t="str">
        <f t="shared" si="148"/>
        <v/>
      </c>
      <c r="FO31" s="443" t="str">
        <f t="shared" si="149"/>
        <v/>
      </c>
      <c r="FP31" s="443" t="str">
        <f t="shared" si="150"/>
        <v/>
      </c>
      <c r="FQ31" s="443" t="str">
        <f t="shared" si="151"/>
        <v/>
      </c>
      <c r="FR31" s="443" t="str">
        <f t="shared" si="152"/>
        <v/>
      </c>
      <c r="FS31" s="443" t="str">
        <f t="shared" si="153"/>
        <v/>
      </c>
      <c r="FT31" s="443" t="str">
        <f t="shared" si="154"/>
        <v/>
      </c>
      <c r="FU31" s="443" t="str">
        <f t="shared" si="155"/>
        <v/>
      </c>
      <c r="FV31" s="443" t="str">
        <f t="shared" si="156"/>
        <v/>
      </c>
      <c r="FW31" s="443" t="str">
        <f t="shared" si="157"/>
        <v/>
      </c>
      <c r="FX31" s="443" t="str">
        <f t="shared" si="158"/>
        <v/>
      </c>
      <c r="FY31" s="443" t="str">
        <f t="shared" si="159"/>
        <v/>
      </c>
      <c r="FZ31" s="443" t="str">
        <f t="shared" si="160"/>
        <v/>
      </c>
      <c r="GA31" s="443" t="str">
        <f t="shared" si="161"/>
        <v/>
      </c>
      <c r="GB31" s="443" t="str">
        <f t="shared" si="162"/>
        <v/>
      </c>
      <c r="GC31" s="443" t="str">
        <f t="shared" si="163"/>
        <v/>
      </c>
      <c r="GD31" s="443" t="str">
        <f t="shared" si="164"/>
        <v/>
      </c>
      <c r="GE31" s="443" t="str">
        <f t="shared" si="165"/>
        <v/>
      </c>
      <c r="GF31" s="443" t="str">
        <f t="shared" si="166"/>
        <v/>
      </c>
      <c r="GG31" s="443" t="str">
        <f t="shared" si="167"/>
        <v/>
      </c>
      <c r="GH31" s="443" t="str">
        <f t="shared" si="168"/>
        <v/>
      </c>
      <c r="GI31" s="443" t="str">
        <f t="shared" si="169"/>
        <v/>
      </c>
      <c r="GJ31" s="443" t="str">
        <f t="shared" si="170"/>
        <v/>
      </c>
      <c r="GK31" s="443" t="str">
        <f t="shared" si="171"/>
        <v/>
      </c>
      <c r="GL31" s="443" t="str">
        <f t="shared" si="172"/>
        <v/>
      </c>
      <c r="GM31" s="443" t="str">
        <f t="shared" si="173"/>
        <v/>
      </c>
      <c r="GN31" s="443" t="str">
        <f t="shared" si="174"/>
        <v/>
      </c>
      <c r="GO31" s="443" t="str">
        <f t="shared" si="175"/>
        <v/>
      </c>
      <c r="GP31" s="443" t="str">
        <f t="shared" si="176"/>
        <v/>
      </c>
      <c r="GQ31" s="443" t="str">
        <f t="shared" si="177"/>
        <v/>
      </c>
      <c r="GR31" s="443" t="str">
        <f t="shared" si="178"/>
        <v/>
      </c>
      <c r="GS31" s="443" t="str">
        <f t="shared" si="179"/>
        <v/>
      </c>
      <c r="GT31" s="443" t="str">
        <f t="shared" si="180"/>
        <v/>
      </c>
      <c r="GU31" s="443" t="str">
        <f t="shared" si="181"/>
        <v/>
      </c>
      <c r="GV31" s="443" t="str">
        <f t="shared" si="182"/>
        <v/>
      </c>
      <c r="GW31" s="443" t="str">
        <f t="shared" si="183"/>
        <v/>
      </c>
      <c r="GX31" s="443" t="str">
        <f t="shared" si="184"/>
        <v/>
      </c>
      <c r="GY31" s="443" t="str">
        <f t="shared" si="185"/>
        <v/>
      </c>
      <c r="GZ31" s="443" t="str">
        <f t="shared" si="186"/>
        <v/>
      </c>
      <c r="HA31" s="443" t="str">
        <f t="shared" si="187"/>
        <v/>
      </c>
      <c r="HB31" s="443" t="str">
        <f t="shared" si="188"/>
        <v/>
      </c>
      <c r="HC31" s="443" t="str">
        <f t="shared" si="189"/>
        <v/>
      </c>
      <c r="HD31" s="443" t="str">
        <f t="shared" si="190"/>
        <v/>
      </c>
      <c r="HE31" s="443" t="str">
        <f t="shared" si="191"/>
        <v/>
      </c>
      <c r="HF31" s="443" t="str">
        <f t="shared" si="192"/>
        <v/>
      </c>
      <c r="HG31" s="443" t="str">
        <f t="shared" si="193"/>
        <v/>
      </c>
      <c r="HH31" s="443" t="str">
        <f t="shared" si="194"/>
        <v/>
      </c>
      <c r="HI31" s="443" t="str">
        <f t="shared" si="195"/>
        <v/>
      </c>
      <c r="HJ31" s="443" t="str">
        <f t="shared" si="196"/>
        <v/>
      </c>
      <c r="HK31" s="443" t="str">
        <f t="shared" si="197"/>
        <v/>
      </c>
      <c r="HL31" s="443" t="str">
        <f t="shared" si="198"/>
        <v/>
      </c>
      <c r="HM31" s="443" t="str">
        <f t="shared" si="199"/>
        <v/>
      </c>
      <c r="HN31" s="443" t="str">
        <f t="shared" si="200"/>
        <v/>
      </c>
      <c r="HO31" s="443" t="str">
        <f t="shared" si="201"/>
        <v/>
      </c>
      <c r="HP31" s="443" t="str">
        <f t="shared" si="202"/>
        <v/>
      </c>
      <c r="HQ31" s="443" t="str">
        <f t="shared" si="203"/>
        <v/>
      </c>
      <c r="HR31" s="443" t="str">
        <f t="shared" si="204"/>
        <v/>
      </c>
      <c r="HS31" s="443" t="str">
        <f t="shared" si="205"/>
        <v/>
      </c>
      <c r="HT31" s="443" t="str">
        <f t="shared" si="206"/>
        <v/>
      </c>
      <c r="HU31" s="443" t="str">
        <f t="shared" si="207"/>
        <v/>
      </c>
      <c r="HV31" s="443" t="str">
        <f t="shared" si="208"/>
        <v/>
      </c>
      <c r="HW31" s="443" t="str">
        <f t="shared" si="209"/>
        <v/>
      </c>
      <c r="HX31" s="443" t="str">
        <f t="shared" si="210"/>
        <v/>
      </c>
      <c r="HY31" s="443" t="str">
        <f t="shared" si="211"/>
        <v/>
      </c>
      <c r="HZ31" s="2247" t="str">
        <f t="shared" si="212"/>
        <v/>
      </c>
      <c r="IA31" s="2247" t="str">
        <f t="shared" si="213"/>
        <v/>
      </c>
      <c r="IB31" s="2247" t="str">
        <f t="shared" si="214"/>
        <v/>
      </c>
      <c r="IC31" s="2247" t="str">
        <f t="shared" si="215"/>
        <v/>
      </c>
      <c r="ID31" s="2247" t="str">
        <f t="shared" si="216"/>
        <v/>
      </c>
      <c r="IE31" s="2247" t="str">
        <f t="shared" si="217"/>
        <v/>
      </c>
      <c r="IF31" s="2247" t="str">
        <f t="shared" si="218"/>
        <v/>
      </c>
      <c r="IG31" s="2247" t="str">
        <f t="shared" si="219"/>
        <v/>
      </c>
      <c r="IH31" s="2247" t="str">
        <f t="shared" si="220"/>
        <v/>
      </c>
      <c r="II31" s="2247" t="str">
        <f t="shared" si="221"/>
        <v/>
      </c>
      <c r="IJ31" s="2247" t="str">
        <f t="shared" si="222"/>
        <v/>
      </c>
      <c r="IK31" s="2247" t="str">
        <f t="shared" si="223"/>
        <v/>
      </c>
      <c r="IL31" s="2247" t="str">
        <f t="shared" si="224"/>
        <v/>
      </c>
      <c r="IM31" s="2247" t="str">
        <f t="shared" si="225"/>
        <v/>
      </c>
      <c r="IN31" s="2247" t="str">
        <f t="shared" si="226"/>
        <v/>
      </c>
      <c r="IO31" s="2247" t="str">
        <f t="shared" si="227"/>
        <v/>
      </c>
      <c r="IP31" s="2247" t="str">
        <f t="shared" si="228"/>
        <v/>
      </c>
      <c r="IQ31" s="2247" t="str">
        <f t="shared" si="229"/>
        <v/>
      </c>
      <c r="IR31" s="2247" t="str">
        <f t="shared" si="230"/>
        <v/>
      </c>
      <c r="IS31" s="2247" t="str">
        <f t="shared" si="231"/>
        <v/>
      </c>
      <c r="IT31" s="2247" t="str">
        <f t="shared" si="232"/>
        <v/>
      </c>
      <c r="IU31" s="2247" t="str">
        <f t="shared" si="233"/>
        <v/>
      </c>
      <c r="IV31" s="2247" t="str">
        <f t="shared" si="234"/>
        <v/>
      </c>
      <c r="IW31" s="2247" t="str">
        <f t="shared" si="235"/>
        <v/>
      </c>
      <c r="IX31" s="2247" t="str">
        <f t="shared" si="236"/>
        <v/>
      </c>
      <c r="IY31" s="2247" t="str">
        <f t="shared" si="237"/>
        <v/>
      </c>
      <c r="IZ31" s="2247" t="str">
        <f t="shared" si="238"/>
        <v/>
      </c>
      <c r="JA31" s="2247" t="str">
        <f t="shared" si="239"/>
        <v/>
      </c>
      <c r="JB31" s="2247" t="str">
        <f t="shared" si="240"/>
        <v/>
      </c>
      <c r="JC31" s="2247" t="str">
        <f t="shared" si="241"/>
        <v/>
      </c>
      <c r="JD31" s="2247" t="str">
        <f t="shared" si="242"/>
        <v/>
      </c>
      <c r="JE31" s="2247" t="str">
        <f t="shared" si="243"/>
        <v/>
      </c>
      <c r="JF31" s="2247" t="str">
        <f t="shared" si="244"/>
        <v/>
      </c>
      <c r="JG31" s="2247" t="str">
        <f t="shared" si="245"/>
        <v/>
      </c>
      <c r="JH31" s="2247" t="str">
        <f t="shared" si="246"/>
        <v/>
      </c>
      <c r="JI31" s="2247" t="str">
        <f t="shared" si="247"/>
        <v/>
      </c>
      <c r="JJ31" s="2247" t="str">
        <f t="shared" si="248"/>
        <v/>
      </c>
      <c r="JK31" s="2247" t="str">
        <f t="shared" si="249"/>
        <v/>
      </c>
      <c r="JL31" s="2247" t="str">
        <f t="shared" si="250"/>
        <v/>
      </c>
      <c r="JM31" s="2247" t="str">
        <f t="shared" si="251"/>
        <v/>
      </c>
      <c r="JN31" s="2247" t="str">
        <f t="shared" si="252"/>
        <v/>
      </c>
      <c r="JO31" s="2247" t="str">
        <f t="shared" si="253"/>
        <v/>
      </c>
      <c r="JP31" s="2247" t="str">
        <f t="shared" si="254"/>
        <v/>
      </c>
      <c r="JQ31" s="2247" t="str">
        <f t="shared" si="255"/>
        <v/>
      </c>
      <c r="JR31" s="2247" t="str">
        <f t="shared" si="256"/>
        <v/>
      </c>
      <c r="JS31" s="2247" t="str">
        <f t="shared" si="257"/>
        <v/>
      </c>
      <c r="JT31" s="2247" t="str">
        <f t="shared" si="258"/>
        <v/>
      </c>
      <c r="JU31" s="2247" t="str">
        <f t="shared" si="259"/>
        <v/>
      </c>
      <c r="JV31" s="2247" t="str">
        <f t="shared" si="260"/>
        <v/>
      </c>
      <c r="JW31" s="2247" t="str">
        <f t="shared" si="261"/>
        <v/>
      </c>
      <c r="JX31" s="2247" t="str">
        <f t="shared" si="262"/>
        <v/>
      </c>
      <c r="JY31" s="2247" t="str">
        <f t="shared" si="263"/>
        <v/>
      </c>
      <c r="JZ31" s="2247" t="str">
        <f t="shared" si="264"/>
        <v/>
      </c>
      <c r="KA31" s="2247" t="str">
        <f t="shared" si="265"/>
        <v/>
      </c>
      <c r="KB31" s="2247" t="str">
        <f t="shared" si="266"/>
        <v/>
      </c>
      <c r="KC31" s="2247" t="str">
        <f t="shared" si="267"/>
        <v/>
      </c>
      <c r="KD31" s="2247" t="str">
        <f t="shared" si="268"/>
        <v/>
      </c>
      <c r="KE31" s="2247" t="str">
        <f t="shared" si="269"/>
        <v/>
      </c>
      <c r="KF31" s="2247" t="str">
        <f t="shared" si="270"/>
        <v/>
      </c>
      <c r="KG31" s="2247" t="str">
        <f t="shared" si="271"/>
        <v/>
      </c>
      <c r="KH31" s="2247" t="str">
        <f t="shared" si="272"/>
        <v/>
      </c>
      <c r="KI31" s="2247" t="str">
        <f t="shared" si="273"/>
        <v/>
      </c>
      <c r="KJ31" s="2247" t="str">
        <f t="shared" si="274"/>
        <v/>
      </c>
      <c r="KK31" s="2247" t="str">
        <f t="shared" si="275"/>
        <v/>
      </c>
      <c r="KL31" s="2247" t="str">
        <f t="shared" si="276"/>
        <v/>
      </c>
      <c r="KM31" s="2247" t="str">
        <f t="shared" si="277"/>
        <v/>
      </c>
      <c r="KN31" s="2247" t="str">
        <f t="shared" si="278"/>
        <v/>
      </c>
      <c r="KO31" s="2247" t="str">
        <f t="shared" si="279"/>
        <v/>
      </c>
      <c r="KP31" s="2247" t="str">
        <f t="shared" si="280"/>
        <v/>
      </c>
      <c r="KQ31" s="2247" t="str">
        <f t="shared" si="281"/>
        <v/>
      </c>
      <c r="KR31" s="2247" t="str">
        <f t="shared" si="282"/>
        <v/>
      </c>
      <c r="KS31" s="2247" t="str">
        <f t="shared" si="283"/>
        <v/>
      </c>
      <c r="KT31" s="2247" t="str">
        <f t="shared" si="284"/>
        <v/>
      </c>
      <c r="KU31" s="2247" t="str">
        <f t="shared" si="285"/>
        <v/>
      </c>
      <c r="KV31" s="2247" t="str">
        <f t="shared" si="286"/>
        <v/>
      </c>
      <c r="KW31" s="2247" t="str">
        <f t="shared" si="287"/>
        <v/>
      </c>
      <c r="KX31" s="2247" t="str">
        <f t="shared" si="288"/>
        <v/>
      </c>
      <c r="KY31" s="2247" t="str">
        <f t="shared" si="289"/>
        <v/>
      </c>
      <c r="KZ31" s="2247" t="str">
        <f t="shared" si="290"/>
        <v/>
      </c>
      <c r="LA31" s="2247" t="str">
        <f t="shared" si="291"/>
        <v/>
      </c>
      <c r="LB31" s="2247" t="str">
        <f t="shared" si="292"/>
        <v/>
      </c>
      <c r="LC31" s="2247" t="str">
        <f t="shared" si="293"/>
        <v/>
      </c>
      <c r="LD31" s="2247" t="str">
        <f t="shared" si="294"/>
        <v/>
      </c>
      <c r="LE31" s="2247" t="str">
        <f t="shared" si="295"/>
        <v/>
      </c>
      <c r="LF31" s="2247" t="str">
        <f t="shared" si="296"/>
        <v/>
      </c>
      <c r="LG31" s="2247" t="str">
        <f t="shared" si="297"/>
        <v/>
      </c>
      <c r="LH31" s="2247" t="str">
        <f t="shared" si="298"/>
        <v/>
      </c>
      <c r="LI31" s="2247" t="str">
        <f t="shared" si="299"/>
        <v/>
      </c>
      <c r="LJ31" s="2247" t="str">
        <f t="shared" si="300"/>
        <v/>
      </c>
      <c r="LK31" s="2247" t="str">
        <f t="shared" si="301"/>
        <v/>
      </c>
      <c r="LL31" s="2247" t="str">
        <f t="shared" si="302"/>
        <v/>
      </c>
      <c r="LM31" s="2247" t="str">
        <f t="shared" si="303"/>
        <v/>
      </c>
      <c r="LN31" s="2247" t="str">
        <f t="shared" si="304"/>
        <v/>
      </c>
      <c r="LO31" s="2247" t="str">
        <f t="shared" si="305"/>
        <v/>
      </c>
      <c r="LP31" s="2247" t="str">
        <f t="shared" si="306"/>
        <v/>
      </c>
      <c r="LQ31" s="2248" t="str">
        <f t="shared" si="307"/>
        <v/>
      </c>
      <c r="LR31" s="2248" t="str">
        <f t="shared" si="308"/>
        <v/>
      </c>
      <c r="LS31" s="2248" t="str">
        <f t="shared" si="309"/>
        <v/>
      </c>
      <c r="LT31" s="2248" t="str">
        <f t="shared" si="310"/>
        <v/>
      </c>
      <c r="LU31" s="2248" t="str">
        <f t="shared" si="311"/>
        <v/>
      </c>
      <c r="LV31" s="443" t="str">
        <f t="shared" si="312"/>
        <v/>
      </c>
      <c r="LW31" s="443" t="str">
        <f t="shared" si="313"/>
        <v/>
      </c>
      <c r="LX31" s="443" t="str">
        <f t="shared" si="314"/>
        <v/>
      </c>
      <c r="LY31" s="443" t="str">
        <f t="shared" si="315"/>
        <v/>
      </c>
      <c r="LZ31" s="443" t="str">
        <f t="shared" si="316"/>
        <v/>
      </c>
      <c r="MA31" s="443" t="str">
        <f t="shared" si="317"/>
        <v/>
      </c>
      <c r="MB31" s="443" t="str">
        <f t="shared" si="318"/>
        <v/>
      </c>
      <c r="MC31" s="443" t="str">
        <f t="shared" si="319"/>
        <v/>
      </c>
      <c r="MD31" s="443" t="str">
        <f t="shared" si="320"/>
        <v/>
      </c>
      <c r="ME31" s="443" t="str">
        <f t="shared" si="321"/>
        <v/>
      </c>
      <c r="MF31" s="443" t="str">
        <f t="shared" si="322"/>
        <v/>
      </c>
      <c r="MG31" s="443" t="str">
        <f t="shared" si="323"/>
        <v/>
      </c>
      <c r="MH31" s="443" t="str">
        <f t="shared" si="324"/>
        <v/>
      </c>
      <c r="MI31" s="443" t="str">
        <f t="shared" si="325"/>
        <v/>
      </c>
      <c r="MJ31" s="443" t="str">
        <f t="shared" si="326"/>
        <v/>
      </c>
      <c r="MK31" s="443" t="str">
        <f t="shared" si="327"/>
        <v/>
      </c>
      <c r="ML31" s="443" t="str">
        <f t="shared" si="328"/>
        <v/>
      </c>
      <c r="MM31" s="443" t="str">
        <f t="shared" si="329"/>
        <v/>
      </c>
      <c r="MN31" s="443" t="str">
        <f t="shared" si="330"/>
        <v/>
      </c>
      <c r="MO31" s="443" t="str">
        <f t="shared" si="331"/>
        <v/>
      </c>
      <c r="MP31" s="2246">
        <f t="shared" si="338"/>
        <v>0</v>
      </c>
      <c r="MQ31" s="2246">
        <f t="shared" si="339"/>
        <v>0</v>
      </c>
      <c r="MR31" s="2246">
        <f t="shared" si="340"/>
        <v>0</v>
      </c>
      <c r="MS31" s="2246">
        <f t="shared" si="341"/>
        <v>0</v>
      </c>
      <c r="MT31" s="2246">
        <f t="shared" si="342"/>
        <v>0</v>
      </c>
      <c r="MU31" s="2246">
        <f t="shared" si="343"/>
        <v>0</v>
      </c>
      <c r="MV31" s="2246">
        <f t="shared" si="344"/>
        <v>0</v>
      </c>
      <c r="MW31" s="2246">
        <f t="shared" si="345"/>
        <v>0</v>
      </c>
      <c r="MX31" s="2246">
        <f t="shared" si="346"/>
        <v>0</v>
      </c>
      <c r="MY31" s="2246">
        <f t="shared" si="347"/>
        <v>0</v>
      </c>
      <c r="MZ31" s="2246">
        <f t="shared" si="332"/>
        <v>0</v>
      </c>
      <c r="NA31" s="2246">
        <f t="shared" si="333"/>
        <v>0</v>
      </c>
      <c r="NB31" s="2246">
        <f t="shared" si="334"/>
        <v>0</v>
      </c>
      <c r="NC31" s="2246">
        <f t="shared" si="335"/>
        <v>0</v>
      </c>
      <c r="ND31" s="2246">
        <f t="shared" si="336"/>
        <v>0</v>
      </c>
    </row>
    <row r="32" spans="1:368" ht="13.95" customHeight="1">
      <c r="A32" s="109" t="str">
        <f t="shared" si="337"/>
        <v/>
      </c>
      <c r="B32" s="4015"/>
      <c r="C32" s="3987"/>
      <c r="D32" s="3988"/>
      <c r="E32" s="3989"/>
      <c r="F32" s="3989"/>
      <c r="G32" s="3989"/>
      <c r="H32" s="3989"/>
      <c r="I32" s="3989"/>
      <c r="J32" s="4016">
        <f>IF(C32="",0,HLOOKUP(C32,'Part V-Utility Allowances'!$I$11:$M$22,12))</f>
        <v>0</v>
      </c>
      <c r="K32" s="3991"/>
      <c r="L32" s="567">
        <f t="shared" si="0"/>
        <v>0</v>
      </c>
      <c r="M32" s="567">
        <f t="shared" si="1"/>
        <v>0</v>
      </c>
      <c r="N32" s="3992"/>
      <c r="O32" s="3992"/>
      <c r="P32" s="3992"/>
      <c r="Q32" s="3993"/>
      <c r="R32" s="3994"/>
      <c r="S32" s="3995"/>
      <c r="T32" s="3996"/>
      <c r="U32" s="3997"/>
      <c r="V32" s="3997"/>
      <c r="W32" s="3998"/>
      <c r="X32" s="443" t="str">
        <f t="shared" si="2"/>
        <v/>
      </c>
      <c r="Y32" s="443" t="str">
        <f t="shared" si="3"/>
        <v/>
      </c>
      <c r="Z32" s="443" t="str">
        <f t="shared" si="4"/>
        <v/>
      </c>
      <c r="AA32" s="443" t="str">
        <f t="shared" si="5"/>
        <v/>
      </c>
      <c r="AB32" s="443" t="str">
        <f t="shared" si="6"/>
        <v/>
      </c>
      <c r="AC32" s="443" t="str">
        <f t="shared" si="7"/>
        <v/>
      </c>
      <c r="AD32" s="443" t="str">
        <f t="shared" si="8"/>
        <v/>
      </c>
      <c r="AE32" s="443" t="str">
        <f t="shared" si="9"/>
        <v/>
      </c>
      <c r="AF32" s="443" t="str">
        <f t="shared" si="10"/>
        <v/>
      </c>
      <c r="AG32" s="443" t="str">
        <f t="shared" si="11"/>
        <v/>
      </c>
      <c r="AH32" s="443" t="str">
        <f t="shared" si="12"/>
        <v/>
      </c>
      <c r="AI32" s="443" t="str">
        <f t="shared" si="13"/>
        <v/>
      </c>
      <c r="AJ32" s="443" t="str">
        <f t="shared" si="14"/>
        <v/>
      </c>
      <c r="AK32" s="443" t="str">
        <f t="shared" si="15"/>
        <v/>
      </c>
      <c r="AL32" s="443" t="str">
        <f t="shared" si="16"/>
        <v/>
      </c>
      <c r="AM32" s="443" t="str">
        <f t="shared" si="17"/>
        <v/>
      </c>
      <c r="AN32" s="443" t="str">
        <f t="shared" si="18"/>
        <v/>
      </c>
      <c r="AO32" s="443" t="str">
        <f t="shared" si="19"/>
        <v/>
      </c>
      <c r="AP32" s="443" t="str">
        <f t="shared" si="20"/>
        <v/>
      </c>
      <c r="AQ32" s="443" t="str">
        <f t="shared" si="21"/>
        <v/>
      </c>
      <c r="AR32" s="443" t="str">
        <f t="shared" si="22"/>
        <v/>
      </c>
      <c r="AS32" s="443" t="str">
        <f t="shared" si="23"/>
        <v/>
      </c>
      <c r="AT32" s="443" t="str">
        <f t="shared" si="24"/>
        <v/>
      </c>
      <c r="AU32" s="443" t="str">
        <f t="shared" si="25"/>
        <v/>
      </c>
      <c r="AV32" s="443" t="str">
        <f t="shared" si="26"/>
        <v/>
      </c>
      <c r="AW32" s="443" t="str">
        <f t="shared" si="27"/>
        <v/>
      </c>
      <c r="AX32" s="443" t="str">
        <f t="shared" si="28"/>
        <v/>
      </c>
      <c r="AY32" s="443" t="str">
        <f t="shared" si="29"/>
        <v/>
      </c>
      <c r="AZ32" s="443" t="str">
        <f t="shared" si="30"/>
        <v/>
      </c>
      <c r="BA32" s="443" t="str">
        <f t="shared" si="31"/>
        <v/>
      </c>
      <c r="BB32" s="443" t="str">
        <f t="shared" si="32"/>
        <v/>
      </c>
      <c r="BC32" s="443" t="str">
        <f t="shared" si="33"/>
        <v/>
      </c>
      <c r="BD32" s="443" t="str">
        <f t="shared" si="34"/>
        <v/>
      </c>
      <c r="BE32" s="443" t="str">
        <f t="shared" si="35"/>
        <v/>
      </c>
      <c r="BF32" s="443" t="str">
        <f t="shared" si="36"/>
        <v/>
      </c>
      <c r="BG32" s="443" t="str">
        <f t="shared" si="37"/>
        <v/>
      </c>
      <c r="BH32" s="443" t="str">
        <f t="shared" si="38"/>
        <v/>
      </c>
      <c r="BI32" s="443" t="str">
        <f t="shared" si="39"/>
        <v/>
      </c>
      <c r="BJ32" s="443" t="str">
        <f t="shared" si="40"/>
        <v/>
      </c>
      <c r="BK32" s="443" t="str">
        <f t="shared" si="41"/>
        <v/>
      </c>
      <c r="BL32" s="443" t="str">
        <f t="shared" si="42"/>
        <v/>
      </c>
      <c r="BM32" s="443" t="str">
        <f t="shared" si="43"/>
        <v/>
      </c>
      <c r="BN32" s="443" t="str">
        <f t="shared" si="44"/>
        <v/>
      </c>
      <c r="BO32" s="443" t="str">
        <f t="shared" si="45"/>
        <v/>
      </c>
      <c r="BP32" s="443" t="str">
        <f t="shared" si="46"/>
        <v/>
      </c>
      <c r="BQ32" s="443" t="str">
        <f t="shared" si="47"/>
        <v/>
      </c>
      <c r="BR32" s="443" t="str">
        <f t="shared" si="48"/>
        <v/>
      </c>
      <c r="BS32" s="443" t="str">
        <f t="shared" si="49"/>
        <v/>
      </c>
      <c r="BT32" s="443" t="str">
        <f t="shared" si="50"/>
        <v/>
      </c>
      <c r="BU32" s="443" t="str">
        <f t="shared" si="51"/>
        <v/>
      </c>
      <c r="BV32" s="443" t="str">
        <f t="shared" si="52"/>
        <v/>
      </c>
      <c r="BW32" s="443" t="str">
        <f t="shared" si="53"/>
        <v/>
      </c>
      <c r="BX32" s="443" t="str">
        <f t="shared" si="54"/>
        <v/>
      </c>
      <c r="BY32" s="443" t="str">
        <f t="shared" si="55"/>
        <v/>
      </c>
      <c r="BZ32" s="443" t="str">
        <f t="shared" si="56"/>
        <v/>
      </c>
      <c r="CA32" s="443" t="str">
        <f t="shared" si="57"/>
        <v/>
      </c>
      <c r="CB32" s="443" t="str">
        <f t="shared" si="58"/>
        <v/>
      </c>
      <c r="CC32" s="443" t="str">
        <f t="shared" si="59"/>
        <v/>
      </c>
      <c r="CD32" s="443" t="str">
        <f t="shared" si="60"/>
        <v/>
      </c>
      <c r="CE32" s="443" t="str">
        <f t="shared" si="61"/>
        <v/>
      </c>
      <c r="CF32" s="443" t="str">
        <f t="shared" si="62"/>
        <v/>
      </c>
      <c r="CG32" s="443" t="str">
        <f t="shared" si="63"/>
        <v/>
      </c>
      <c r="CH32" s="443" t="str">
        <f t="shared" si="64"/>
        <v/>
      </c>
      <c r="CI32" s="443" t="str">
        <f t="shared" si="65"/>
        <v/>
      </c>
      <c r="CJ32" s="443" t="str">
        <f t="shared" si="66"/>
        <v/>
      </c>
      <c r="CK32" s="443" t="str">
        <f t="shared" si="67"/>
        <v/>
      </c>
      <c r="CL32" s="443" t="str">
        <f t="shared" si="68"/>
        <v/>
      </c>
      <c r="CM32" s="443" t="str">
        <f t="shared" si="69"/>
        <v/>
      </c>
      <c r="CN32" s="443" t="str">
        <f t="shared" si="70"/>
        <v/>
      </c>
      <c r="CO32" s="443" t="str">
        <f t="shared" si="71"/>
        <v/>
      </c>
      <c r="CP32" s="443" t="str">
        <f t="shared" si="72"/>
        <v/>
      </c>
      <c r="CQ32" s="443" t="str">
        <f t="shared" si="73"/>
        <v/>
      </c>
      <c r="CR32" s="443" t="str">
        <f t="shared" si="74"/>
        <v/>
      </c>
      <c r="CS32" s="443" t="str">
        <f t="shared" si="75"/>
        <v/>
      </c>
      <c r="CT32" s="443" t="str">
        <f t="shared" si="76"/>
        <v/>
      </c>
      <c r="CU32" s="443" t="str">
        <f t="shared" si="77"/>
        <v/>
      </c>
      <c r="CV32" s="443" t="str">
        <f t="shared" si="78"/>
        <v/>
      </c>
      <c r="CW32" s="443" t="str">
        <f t="shared" si="79"/>
        <v/>
      </c>
      <c r="CX32" s="443" t="str">
        <f t="shared" si="80"/>
        <v/>
      </c>
      <c r="CY32" s="443" t="str">
        <f t="shared" si="81"/>
        <v/>
      </c>
      <c r="CZ32" s="443" t="str">
        <f t="shared" si="82"/>
        <v/>
      </c>
      <c r="DA32" s="443" t="str">
        <f t="shared" si="83"/>
        <v/>
      </c>
      <c r="DB32" s="443" t="str">
        <f t="shared" si="84"/>
        <v/>
      </c>
      <c r="DC32" s="443" t="str">
        <f t="shared" si="85"/>
        <v/>
      </c>
      <c r="DD32" s="443" t="str">
        <f t="shared" si="86"/>
        <v/>
      </c>
      <c r="DE32" s="443" t="str">
        <f t="shared" si="87"/>
        <v/>
      </c>
      <c r="DF32" s="443" t="str">
        <f t="shared" si="88"/>
        <v/>
      </c>
      <c r="DG32" s="443" t="str">
        <f t="shared" si="89"/>
        <v/>
      </c>
      <c r="DH32" s="443" t="str">
        <f t="shared" si="90"/>
        <v/>
      </c>
      <c r="DI32" s="443" t="str">
        <f t="shared" si="91"/>
        <v/>
      </c>
      <c r="DJ32" s="443" t="str">
        <f t="shared" si="92"/>
        <v/>
      </c>
      <c r="DK32" s="443" t="str">
        <f t="shared" si="93"/>
        <v/>
      </c>
      <c r="DL32" s="443" t="str">
        <f t="shared" si="94"/>
        <v/>
      </c>
      <c r="DM32" s="443" t="str">
        <f t="shared" si="95"/>
        <v/>
      </c>
      <c r="DN32" s="443" t="str">
        <f t="shared" si="96"/>
        <v/>
      </c>
      <c r="DO32" s="443" t="str">
        <f t="shared" si="97"/>
        <v/>
      </c>
      <c r="DP32" s="443" t="str">
        <f t="shared" si="98"/>
        <v/>
      </c>
      <c r="DQ32" s="443" t="str">
        <f t="shared" si="99"/>
        <v/>
      </c>
      <c r="DR32" s="443" t="str">
        <f t="shared" si="100"/>
        <v/>
      </c>
      <c r="DS32" s="443" t="str">
        <f t="shared" si="101"/>
        <v/>
      </c>
      <c r="DT32" s="443" t="str">
        <f t="shared" si="102"/>
        <v/>
      </c>
      <c r="DU32" s="443" t="str">
        <f t="shared" si="103"/>
        <v/>
      </c>
      <c r="DV32" s="443" t="str">
        <f t="shared" si="104"/>
        <v/>
      </c>
      <c r="DW32" s="443" t="str">
        <f t="shared" si="105"/>
        <v/>
      </c>
      <c r="DX32" s="443" t="str">
        <f t="shared" si="106"/>
        <v/>
      </c>
      <c r="DY32" s="443" t="str">
        <f t="shared" si="107"/>
        <v/>
      </c>
      <c r="DZ32" s="443" t="str">
        <f t="shared" si="108"/>
        <v/>
      </c>
      <c r="EA32" s="443" t="str">
        <f t="shared" si="109"/>
        <v/>
      </c>
      <c r="EB32" s="443" t="str">
        <f t="shared" si="110"/>
        <v/>
      </c>
      <c r="EC32" s="443" t="str">
        <f t="shared" si="111"/>
        <v/>
      </c>
      <c r="ED32" s="443" t="str">
        <f t="shared" si="112"/>
        <v/>
      </c>
      <c r="EE32" s="443" t="str">
        <f t="shared" si="113"/>
        <v/>
      </c>
      <c r="EF32" s="443" t="str">
        <f t="shared" si="114"/>
        <v/>
      </c>
      <c r="EG32" s="443" t="str">
        <f t="shared" si="115"/>
        <v/>
      </c>
      <c r="EH32" s="443" t="str">
        <f t="shared" si="116"/>
        <v/>
      </c>
      <c r="EI32" s="443" t="str">
        <f t="shared" si="117"/>
        <v/>
      </c>
      <c r="EJ32" s="443" t="str">
        <f t="shared" si="118"/>
        <v/>
      </c>
      <c r="EK32" s="443" t="str">
        <f t="shared" si="119"/>
        <v/>
      </c>
      <c r="EL32" s="443" t="str">
        <f t="shared" si="120"/>
        <v/>
      </c>
      <c r="EM32" s="443" t="str">
        <f t="shared" si="121"/>
        <v/>
      </c>
      <c r="EN32" s="443" t="str">
        <f t="shared" si="122"/>
        <v/>
      </c>
      <c r="EO32" s="443" t="str">
        <f t="shared" si="123"/>
        <v/>
      </c>
      <c r="EP32" s="443" t="str">
        <f t="shared" si="124"/>
        <v/>
      </c>
      <c r="EQ32" s="443" t="str">
        <f t="shared" si="125"/>
        <v/>
      </c>
      <c r="ER32" s="443" t="str">
        <f t="shared" si="126"/>
        <v/>
      </c>
      <c r="ES32" s="443" t="str">
        <f t="shared" si="127"/>
        <v/>
      </c>
      <c r="ET32" s="443" t="str">
        <f t="shared" si="128"/>
        <v/>
      </c>
      <c r="EU32" s="443" t="str">
        <f t="shared" si="129"/>
        <v/>
      </c>
      <c r="EV32" s="443" t="str">
        <f t="shared" si="130"/>
        <v/>
      </c>
      <c r="EW32" s="443" t="str">
        <f t="shared" si="131"/>
        <v/>
      </c>
      <c r="EX32" s="443" t="str">
        <f t="shared" si="132"/>
        <v/>
      </c>
      <c r="EY32" s="443" t="str">
        <f t="shared" si="133"/>
        <v/>
      </c>
      <c r="EZ32" s="443" t="str">
        <f t="shared" si="134"/>
        <v/>
      </c>
      <c r="FA32" s="443" t="str">
        <f t="shared" si="135"/>
        <v/>
      </c>
      <c r="FB32" s="443" t="str">
        <f t="shared" si="136"/>
        <v/>
      </c>
      <c r="FC32" s="443" t="str">
        <f t="shared" si="137"/>
        <v/>
      </c>
      <c r="FD32" s="443" t="str">
        <f t="shared" si="138"/>
        <v/>
      </c>
      <c r="FE32" s="443" t="str">
        <f t="shared" si="139"/>
        <v/>
      </c>
      <c r="FF32" s="443" t="str">
        <f t="shared" si="140"/>
        <v/>
      </c>
      <c r="FG32" s="443" t="str">
        <f t="shared" si="141"/>
        <v/>
      </c>
      <c r="FH32" s="443" t="str">
        <f t="shared" si="142"/>
        <v/>
      </c>
      <c r="FI32" s="443" t="str">
        <f t="shared" si="143"/>
        <v/>
      </c>
      <c r="FJ32" s="443" t="str">
        <f t="shared" si="144"/>
        <v/>
      </c>
      <c r="FK32" s="443" t="str">
        <f t="shared" si="145"/>
        <v/>
      </c>
      <c r="FL32" s="443" t="str">
        <f t="shared" si="146"/>
        <v/>
      </c>
      <c r="FM32" s="443" t="str">
        <f t="shared" si="147"/>
        <v/>
      </c>
      <c r="FN32" s="443" t="str">
        <f t="shared" si="148"/>
        <v/>
      </c>
      <c r="FO32" s="443" t="str">
        <f t="shared" si="149"/>
        <v/>
      </c>
      <c r="FP32" s="443" t="str">
        <f t="shared" si="150"/>
        <v/>
      </c>
      <c r="FQ32" s="443" t="str">
        <f t="shared" si="151"/>
        <v/>
      </c>
      <c r="FR32" s="443" t="str">
        <f t="shared" si="152"/>
        <v/>
      </c>
      <c r="FS32" s="443" t="str">
        <f t="shared" si="153"/>
        <v/>
      </c>
      <c r="FT32" s="443" t="str">
        <f t="shared" si="154"/>
        <v/>
      </c>
      <c r="FU32" s="443" t="str">
        <f t="shared" si="155"/>
        <v/>
      </c>
      <c r="FV32" s="443" t="str">
        <f t="shared" si="156"/>
        <v/>
      </c>
      <c r="FW32" s="443" t="str">
        <f t="shared" si="157"/>
        <v/>
      </c>
      <c r="FX32" s="443" t="str">
        <f t="shared" si="158"/>
        <v/>
      </c>
      <c r="FY32" s="443" t="str">
        <f t="shared" si="159"/>
        <v/>
      </c>
      <c r="FZ32" s="443" t="str">
        <f t="shared" si="160"/>
        <v/>
      </c>
      <c r="GA32" s="443" t="str">
        <f t="shared" si="161"/>
        <v/>
      </c>
      <c r="GB32" s="443" t="str">
        <f t="shared" si="162"/>
        <v/>
      </c>
      <c r="GC32" s="443" t="str">
        <f t="shared" si="163"/>
        <v/>
      </c>
      <c r="GD32" s="443" t="str">
        <f t="shared" si="164"/>
        <v/>
      </c>
      <c r="GE32" s="443" t="str">
        <f t="shared" si="165"/>
        <v/>
      </c>
      <c r="GF32" s="443" t="str">
        <f t="shared" si="166"/>
        <v/>
      </c>
      <c r="GG32" s="443" t="str">
        <f t="shared" si="167"/>
        <v/>
      </c>
      <c r="GH32" s="443" t="str">
        <f t="shared" si="168"/>
        <v/>
      </c>
      <c r="GI32" s="443" t="str">
        <f t="shared" si="169"/>
        <v/>
      </c>
      <c r="GJ32" s="443" t="str">
        <f t="shared" si="170"/>
        <v/>
      </c>
      <c r="GK32" s="443" t="str">
        <f t="shared" si="171"/>
        <v/>
      </c>
      <c r="GL32" s="443" t="str">
        <f t="shared" si="172"/>
        <v/>
      </c>
      <c r="GM32" s="443" t="str">
        <f t="shared" si="173"/>
        <v/>
      </c>
      <c r="GN32" s="443" t="str">
        <f t="shared" si="174"/>
        <v/>
      </c>
      <c r="GO32" s="443" t="str">
        <f t="shared" si="175"/>
        <v/>
      </c>
      <c r="GP32" s="443" t="str">
        <f t="shared" si="176"/>
        <v/>
      </c>
      <c r="GQ32" s="443" t="str">
        <f t="shared" si="177"/>
        <v/>
      </c>
      <c r="GR32" s="443" t="str">
        <f t="shared" si="178"/>
        <v/>
      </c>
      <c r="GS32" s="443" t="str">
        <f t="shared" si="179"/>
        <v/>
      </c>
      <c r="GT32" s="443" t="str">
        <f t="shared" si="180"/>
        <v/>
      </c>
      <c r="GU32" s="443" t="str">
        <f t="shared" si="181"/>
        <v/>
      </c>
      <c r="GV32" s="443" t="str">
        <f t="shared" si="182"/>
        <v/>
      </c>
      <c r="GW32" s="443" t="str">
        <f t="shared" si="183"/>
        <v/>
      </c>
      <c r="GX32" s="443" t="str">
        <f t="shared" si="184"/>
        <v/>
      </c>
      <c r="GY32" s="443" t="str">
        <f t="shared" si="185"/>
        <v/>
      </c>
      <c r="GZ32" s="443" t="str">
        <f t="shared" si="186"/>
        <v/>
      </c>
      <c r="HA32" s="443" t="str">
        <f t="shared" si="187"/>
        <v/>
      </c>
      <c r="HB32" s="443" t="str">
        <f t="shared" si="188"/>
        <v/>
      </c>
      <c r="HC32" s="443" t="str">
        <f t="shared" si="189"/>
        <v/>
      </c>
      <c r="HD32" s="443" t="str">
        <f t="shared" si="190"/>
        <v/>
      </c>
      <c r="HE32" s="443" t="str">
        <f t="shared" si="191"/>
        <v/>
      </c>
      <c r="HF32" s="443" t="str">
        <f t="shared" si="192"/>
        <v/>
      </c>
      <c r="HG32" s="443" t="str">
        <f t="shared" si="193"/>
        <v/>
      </c>
      <c r="HH32" s="443" t="str">
        <f t="shared" si="194"/>
        <v/>
      </c>
      <c r="HI32" s="443" t="str">
        <f t="shared" si="195"/>
        <v/>
      </c>
      <c r="HJ32" s="443" t="str">
        <f t="shared" si="196"/>
        <v/>
      </c>
      <c r="HK32" s="443" t="str">
        <f t="shared" si="197"/>
        <v/>
      </c>
      <c r="HL32" s="443" t="str">
        <f t="shared" si="198"/>
        <v/>
      </c>
      <c r="HM32" s="443" t="str">
        <f t="shared" si="199"/>
        <v/>
      </c>
      <c r="HN32" s="443" t="str">
        <f t="shared" si="200"/>
        <v/>
      </c>
      <c r="HO32" s="443" t="str">
        <f t="shared" si="201"/>
        <v/>
      </c>
      <c r="HP32" s="443" t="str">
        <f t="shared" si="202"/>
        <v/>
      </c>
      <c r="HQ32" s="443" t="str">
        <f t="shared" si="203"/>
        <v/>
      </c>
      <c r="HR32" s="443" t="str">
        <f t="shared" si="204"/>
        <v/>
      </c>
      <c r="HS32" s="443" t="str">
        <f t="shared" si="205"/>
        <v/>
      </c>
      <c r="HT32" s="443" t="str">
        <f t="shared" si="206"/>
        <v/>
      </c>
      <c r="HU32" s="443" t="str">
        <f t="shared" si="207"/>
        <v/>
      </c>
      <c r="HV32" s="443" t="str">
        <f t="shared" si="208"/>
        <v/>
      </c>
      <c r="HW32" s="443" t="str">
        <f t="shared" si="209"/>
        <v/>
      </c>
      <c r="HX32" s="443" t="str">
        <f t="shared" si="210"/>
        <v/>
      </c>
      <c r="HY32" s="443" t="str">
        <f t="shared" si="211"/>
        <v/>
      </c>
      <c r="HZ32" s="2247" t="str">
        <f t="shared" si="212"/>
        <v/>
      </c>
      <c r="IA32" s="2247" t="str">
        <f t="shared" si="213"/>
        <v/>
      </c>
      <c r="IB32" s="2247" t="str">
        <f t="shared" si="214"/>
        <v/>
      </c>
      <c r="IC32" s="2247" t="str">
        <f t="shared" si="215"/>
        <v/>
      </c>
      <c r="ID32" s="2247" t="str">
        <f t="shared" si="216"/>
        <v/>
      </c>
      <c r="IE32" s="2247" t="str">
        <f t="shared" si="217"/>
        <v/>
      </c>
      <c r="IF32" s="2247" t="str">
        <f t="shared" si="218"/>
        <v/>
      </c>
      <c r="IG32" s="2247" t="str">
        <f t="shared" si="219"/>
        <v/>
      </c>
      <c r="IH32" s="2247" t="str">
        <f t="shared" si="220"/>
        <v/>
      </c>
      <c r="II32" s="2247" t="str">
        <f t="shared" si="221"/>
        <v/>
      </c>
      <c r="IJ32" s="2247" t="str">
        <f t="shared" si="222"/>
        <v/>
      </c>
      <c r="IK32" s="2247" t="str">
        <f t="shared" si="223"/>
        <v/>
      </c>
      <c r="IL32" s="2247" t="str">
        <f t="shared" si="224"/>
        <v/>
      </c>
      <c r="IM32" s="2247" t="str">
        <f t="shared" si="225"/>
        <v/>
      </c>
      <c r="IN32" s="2247" t="str">
        <f t="shared" si="226"/>
        <v/>
      </c>
      <c r="IO32" s="2247" t="str">
        <f t="shared" si="227"/>
        <v/>
      </c>
      <c r="IP32" s="2247" t="str">
        <f t="shared" si="228"/>
        <v/>
      </c>
      <c r="IQ32" s="2247" t="str">
        <f t="shared" si="229"/>
        <v/>
      </c>
      <c r="IR32" s="2247" t="str">
        <f t="shared" si="230"/>
        <v/>
      </c>
      <c r="IS32" s="2247" t="str">
        <f t="shared" si="231"/>
        <v/>
      </c>
      <c r="IT32" s="2247" t="str">
        <f t="shared" si="232"/>
        <v/>
      </c>
      <c r="IU32" s="2247" t="str">
        <f t="shared" si="233"/>
        <v/>
      </c>
      <c r="IV32" s="2247" t="str">
        <f t="shared" si="234"/>
        <v/>
      </c>
      <c r="IW32" s="2247" t="str">
        <f t="shared" si="235"/>
        <v/>
      </c>
      <c r="IX32" s="2247" t="str">
        <f t="shared" si="236"/>
        <v/>
      </c>
      <c r="IY32" s="2247" t="str">
        <f t="shared" si="237"/>
        <v/>
      </c>
      <c r="IZ32" s="2247" t="str">
        <f t="shared" si="238"/>
        <v/>
      </c>
      <c r="JA32" s="2247" t="str">
        <f t="shared" si="239"/>
        <v/>
      </c>
      <c r="JB32" s="2247" t="str">
        <f t="shared" si="240"/>
        <v/>
      </c>
      <c r="JC32" s="2247" t="str">
        <f t="shared" si="241"/>
        <v/>
      </c>
      <c r="JD32" s="2247" t="str">
        <f t="shared" si="242"/>
        <v/>
      </c>
      <c r="JE32" s="2247" t="str">
        <f t="shared" si="243"/>
        <v/>
      </c>
      <c r="JF32" s="2247" t="str">
        <f t="shared" si="244"/>
        <v/>
      </c>
      <c r="JG32" s="2247" t="str">
        <f t="shared" si="245"/>
        <v/>
      </c>
      <c r="JH32" s="2247" t="str">
        <f t="shared" si="246"/>
        <v/>
      </c>
      <c r="JI32" s="2247" t="str">
        <f t="shared" si="247"/>
        <v/>
      </c>
      <c r="JJ32" s="2247" t="str">
        <f t="shared" si="248"/>
        <v/>
      </c>
      <c r="JK32" s="2247" t="str">
        <f t="shared" si="249"/>
        <v/>
      </c>
      <c r="JL32" s="2247" t="str">
        <f t="shared" si="250"/>
        <v/>
      </c>
      <c r="JM32" s="2247" t="str">
        <f t="shared" si="251"/>
        <v/>
      </c>
      <c r="JN32" s="2247" t="str">
        <f t="shared" si="252"/>
        <v/>
      </c>
      <c r="JO32" s="2247" t="str">
        <f t="shared" si="253"/>
        <v/>
      </c>
      <c r="JP32" s="2247" t="str">
        <f t="shared" si="254"/>
        <v/>
      </c>
      <c r="JQ32" s="2247" t="str">
        <f t="shared" si="255"/>
        <v/>
      </c>
      <c r="JR32" s="2247" t="str">
        <f t="shared" si="256"/>
        <v/>
      </c>
      <c r="JS32" s="2247" t="str">
        <f t="shared" si="257"/>
        <v/>
      </c>
      <c r="JT32" s="2247" t="str">
        <f t="shared" si="258"/>
        <v/>
      </c>
      <c r="JU32" s="2247" t="str">
        <f t="shared" si="259"/>
        <v/>
      </c>
      <c r="JV32" s="2247" t="str">
        <f t="shared" si="260"/>
        <v/>
      </c>
      <c r="JW32" s="2247" t="str">
        <f t="shared" si="261"/>
        <v/>
      </c>
      <c r="JX32" s="2247" t="str">
        <f t="shared" si="262"/>
        <v/>
      </c>
      <c r="JY32" s="2247" t="str">
        <f t="shared" si="263"/>
        <v/>
      </c>
      <c r="JZ32" s="2247" t="str">
        <f t="shared" si="264"/>
        <v/>
      </c>
      <c r="KA32" s="2247" t="str">
        <f t="shared" si="265"/>
        <v/>
      </c>
      <c r="KB32" s="2247" t="str">
        <f t="shared" si="266"/>
        <v/>
      </c>
      <c r="KC32" s="2247" t="str">
        <f t="shared" si="267"/>
        <v/>
      </c>
      <c r="KD32" s="2247" t="str">
        <f t="shared" si="268"/>
        <v/>
      </c>
      <c r="KE32" s="2247" t="str">
        <f t="shared" si="269"/>
        <v/>
      </c>
      <c r="KF32" s="2247" t="str">
        <f t="shared" si="270"/>
        <v/>
      </c>
      <c r="KG32" s="2247" t="str">
        <f t="shared" si="271"/>
        <v/>
      </c>
      <c r="KH32" s="2247" t="str">
        <f t="shared" si="272"/>
        <v/>
      </c>
      <c r="KI32" s="2247" t="str">
        <f t="shared" si="273"/>
        <v/>
      </c>
      <c r="KJ32" s="2247" t="str">
        <f t="shared" si="274"/>
        <v/>
      </c>
      <c r="KK32" s="2247" t="str">
        <f t="shared" si="275"/>
        <v/>
      </c>
      <c r="KL32" s="2247" t="str">
        <f t="shared" si="276"/>
        <v/>
      </c>
      <c r="KM32" s="2247" t="str">
        <f t="shared" si="277"/>
        <v/>
      </c>
      <c r="KN32" s="2247" t="str">
        <f t="shared" si="278"/>
        <v/>
      </c>
      <c r="KO32" s="2247" t="str">
        <f t="shared" si="279"/>
        <v/>
      </c>
      <c r="KP32" s="2247" t="str">
        <f t="shared" si="280"/>
        <v/>
      </c>
      <c r="KQ32" s="2247" t="str">
        <f t="shared" si="281"/>
        <v/>
      </c>
      <c r="KR32" s="2247" t="str">
        <f t="shared" si="282"/>
        <v/>
      </c>
      <c r="KS32" s="2247" t="str">
        <f t="shared" si="283"/>
        <v/>
      </c>
      <c r="KT32" s="2247" t="str">
        <f t="shared" si="284"/>
        <v/>
      </c>
      <c r="KU32" s="2247" t="str">
        <f t="shared" si="285"/>
        <v/>
      </c>
      <c r="KV32" s="2247" t="str">
        <f t="shared" si="286"/>
        <v/>
      </c>
      <c r="KW32" s="2247" t="str">
        <f t="shared" si="287"/>
        <v/>
      </c>
      <c r="KX32" s="2247" t="str">
        <f t="shared" si="288"/>
        <v/>
      </c>
      <c r="KY32" s="2247" t="str">
        <f t="shared" si="289"/>
        <v/>
      </c>
      <c r="KZ32" s="2247" t="str">
        <f t="shared" si="290"/>
        <v/>
      </c>
      <c r="LA32" s="2247" t="str">
        <f t="shared" si="291"/>
        <v/>
      </c>
      <c r="LB32" s="2247" t="str">
        <f t="shared" si="292"/>
        <v/>
      </c>
      <c r="LC32" s="2247" t="str">
        <f t="shared" si="293"/>
        <v/>
      </c>
      <c r="LD32" s="2247" t="str">
        <f t="shared" si="294"/>
        <v/>
      </c>
      <c r="LE32" s="2247" t="str">
        <f t="shared" si="295"/>
        <v/>
      </c>
      <c r="LF32" s="2247" t="str">
        <f t="shared" si="296"/>
        <v/>
      </c>
      <c r="LG32" s="2247" t="str">
        <f t="shared" si="297"/>
        <v/>
      </c>
      <c r="LH32" s="2247" t="str">
        <f t="shared" si="298"/>
        <v/>
      </c>
      <c r="LI32" s="2247" t="str">
        <f t="shared" si="299"/>
        <v/>
      </c>
      <c r="LJ32" s="2247" t="str">
        <f t="shared" si="300"/>
        <v/>
      </c>
      <c r="LK32" s="2247" t="str">
        <f t="shared" si="301"/>
        <v/>
      </c>
      <c r="LL32" s="2247" t="str">
        <f t="shared" si="302"/>
        <v/>
      </c>
      <c r="LM32" s="2247" t="str">
        <f t="shared" si="303"/>
        <v/>
      </c>
      <c r="LN32" s="2247" t="str">
        <f t="shared" si="304"/>
        <v/>
      </c>
      <c r="LO32" s="2247" t="str">
        <f t="shared" si="305"/>
        <v/>
      </c>
      <c r="LP32" s="2247" t="str">
        <f t="shared" si="306"/>
        <v/>
      </c>
      <c r="LQ32" s="2248" t="str">
        <f t="shared" si="307"/>
        <v/>
      </c>
      <c r="LR32" s="2248" t="str">
        <f t="shared" si="308"/>
        <v/>
      </c>
      <c r="LS32" s="2248" t="str">
        <f t="shared" si="309"/>
        <v/>
      </c>
      <c r="LT32" s="2248" t="str">
        <f t="shared" si="310"/>
        <v/>
      </c>
      <c r="LU32" s="2248" t="str">
        <f t="shared" si="311"/>
        <v/>
      </c>
      <c r="LV32" s="443" t="str">
        <f t="shared" si="312"/>
        <v/>
      </c>
      <c r="LW32" s="443" t="str">
        <f t="shared" si="313"/>
        <v/>
      </c>
      <c r="LX32" s="443" t="str">
        <f t="shared" si="314"/>
        <v/>
      </c>
      <c r="LY32" s="443" t="str">
        <f t="shared" si="315"/>
        <v/>
      </c>
      <c r="LZ32" s="443" t="str">
        <f t="shared" si="316"/>
        <v/>
      </c>
      <c r="MA32" s="443" t="str">
        <f t="shared" si="317"/>
        <v/>
      </c>
      <c r="MB32" s="443" t="str">
        <f t="shared" si="318"/>
        <v/>
      </c>
      <c r="MC32" s="443" t="str">
        <f t="shared" si="319"/>
        <v/>
      </c>
      <c r="MD32" s="443" t="str">
        <f t="shared" si="320"/>
        <v/>
      </c>
      <c r="ME32" s="443" t="str">
        <f t="shared" si="321"/>
        <v/>
      </c>
      <c r="MF32" s="443" t="str">
        <f t="shared" si="322"/>
        <v/>
      </c>
      <c r="MG32" s="443" t="str">
        <f t="shared" si="323"/>
        <v/>
      </c>
      <c r="MH32" s="443" t="str">
        <f t="shared" si="324"/>
        <v/>
      </c>
      <c r="MI32" s="443" t="str">
        <f t="shared" si="325"/>
        <v/>
      </c>
      <c r="MJ32" s="443" t="str">
        <f t="shared" si="326"/>
        <v/>
      </c>
      <c r="MK32" s="443" t="str">
        <f t="shared" si="327"/>
        <v/>
      </c>
      <c r="ML32" s="443" t="str">
        <f t="shared" si="328"/>
        <v/>
      </c>
      <c r="MM32" s="443" t="str">
        <f t="shared" si="329"/>
        <v/>
      </c>
      <c r="MN32" s="443" t="str">
        <f t="shared" si="330"/>
        <v/>
      </c>
      <c r="MO32" s="443" t="str">
        <f t="shared" si="331"/>
        <v/>
      </c>
      <c r="MP32" s="2246">
        <f t="shared" si="338"/>
        <v>0</v>
      </c>
      <c r="MQ32" s="2246">
        <f t="shared" si="339"/>
        <v>0</v>
      </c>
      <c r="MR32" s="2246">
        <f t="shared" si="340"/>
        <v>0</v>
      </c>
      <c r="MS32" s="2246">
        <f t="shared" si="341"/>
        <v>0</v>
      </c>
      <c r="MT32" s="2246">
        <f t="shared" si="342"/>
        <v>0</v>
      </c>
      <c r="MU32" s="2246">
        <f t="shared" si="343"/>
        <v>0</v>
      </c>
      <c r="MV32" s="2246">
        <f t="shared" si="344"/>
        <v>0</v>
      </c>
      <c r="MW32" s="2246">
        <f t="shared" si="345"/>
        <v>0</v>
      </c>
      <c r="MX32" s="2246">
        <f t="shared" si="346"/>
        <v>0</v>
      </c>
      <c r="MY32" s="2246">
        <f t="shared" si="347"/>
        <v>0</v>
      </c>
      <c r="MZ32" s="2246">
        <f t="shared" si="332"/>
        <v>0</v>
      </c>
      <c r="NA32" s="2246">
        <f t="shared" si="333"/>
        <v>0</v>
      </c>
      <c r="NB32" s="2246">
        <f t="shared" si="334"/>
        <v>0</v>
      </c>
      <c r="NC32" s="2246">
        <f t="shared" si="335"/>
        <v>0</v>
      </c>
      <c r="ND32" s="2246">
        <f t="shared" si="336"/>
        <v>0</v>
      </c>
    </row>
    <row r="33" spans="1:369" ht="13.95" customHeight="1">
      <c r="A33" s="109" t="str">
        <f t="shared" si="337"/>
        <v/>
      </c>
      <c r="B33" s="4015"/>
      <c r="C33" s="3987"/>
      <c r="D33" s="3988"/>
      <c r="E33" s="3989"/>
      <c r="F33" s="3989"/>
      <c r="G33" s="3989"/>
      <c r="H33" s="3989"/>
      <c r="I33" s="3989"/>
      <c r="J33" s="4016">
        <f>IF(C33="",0,HLOOKUP(C33,'Part V-Utility Allowances'!$I$11:$M$22,12))</f>
        <v>0</v>
      </c>
      <c r="K33" s="3991"/>
      <c r="L33" s="567">
        <f t="shared" si="0"/>
        <v>0</v>
      </c>
      <c r="M33" s="567">
        <f t="shared" si="1"/>
        <v>0</v>
      </c>
      <c r="N33" s="3992"/>
      <c r="O33" s="3992"/>
      <c r="P33" s="3992"/>
      <c r="Q33" s="3993"/>
      <c r="R33" s="3994"/>
      <c r="S33" s="3995"/>
      <c r="T33" s="3996"/>
      <c r="U33" s="3997"/>
      <c r="V33" s="3997"/>
      <c r="W33" s="3998"/>
      <c r="X33" s="443" t="str">
        <f t="shared" si="2"/>
        <v/>
      </c>
      <c r="Y33" s="443" t="str">
        <f t="shared" si="3"/>
        <v/>
      </c>
      <c r="Z33" s="443" t="str">
        <f t="shared" si="4"/>
        <v/>
      </c>
      <c r="AA33" s="443" t="str">
        <f t="shared" si="5"/>
        <v/>
      </c>
      <c r="AB33" s="443" t="str">
        <f t="shared" si="6"/>
        <v/>
      </c>
      <c r="AC33" s="443" t="str">
        <f t="shared" si="7"/>
        <v/>
      </c>
      <c r="AD33" s="443" t="str">
        <f t="shared" si="8"/>
        <v/>
      </c>
      <c r="AE33" s="443" t="str">
        <f t="shared" si="9"/>
        <v/>
      </c>
      <c r="AF33" s="443" t="str">
        <f t="shared" si="10"/>
        <v/>
      </c>
      <c r="AG33" s="443" t="str">
        <f t="shared" si="11"/>
        <v/>
      </c>
      <c r="AH33" s="443" t="str">
        <f t="shared" si="12"/>
        <v/>
      </c>
      <c r="AI33" s="443" t="str">
        <f t="shared" si="13"/>
        <v/>
      </c>
      <c r="AJ33" s="443" t="str">
        <f t="shared" si="14"/>
        <v/>
      </c>
      <c r="AK33" s="443" t="str">
        <f t="shared" si="15"/>
        <v/>
      </c>
      <c r="AL33" s="443" t="str">
        <f t="shared" si="16"/>
        <v/>
      </c>
      <c r="AM33" s="443" t="str">
        <f t="shared" si="17"/>
        <v/>
      </c>
      <c r="AN33" s="443" t="str">
        <f t="shared" si="18"/>
        <v/>
      </c>
      <c r="AO33" s="443" t="str">
        <f t="shared" si="19"/>
        <v/>
      </c>
      <c r="AP33" s="443" t="str">
        <f t="shared" si="20"/>
        <v/>
      </c>
      <c r="AQ33" s="443" t="str">
        <f t="shared" si="21"/>
        <v/>
      </c>
      <c r="AR33" s="443" t="str">
        <f t="shared" si="22"/>
        <v/>
      </c>
      <c r="AS33" s="443" t="str">
        <f t="shared" si="23"/>
        <v/>
      </c>
      <c r="AT33" s="443" t="str">
        <f t="shared" si="24"/>
        <v/>
      </c>
      <c r="AU33" s="443" t="str">
        <f t="shared" si="25"/>
        <v/>
      </c>
      <c r="AV33" s="443" t="str">
        <f t="shared" si="26"/>
        <v/>
      </c>
      <c r="AW33" s="443" t="str">
        <f t="shared" si="27"/>
        <v/>
      </c>
      <c r="AX33" s="443" t="str">
        <f t="shared" si="28"/>
        <v/>
      </c>
      <c r="AY33" s="443" t="str">
        <f t="shared" si="29"/>
        <v/>
      </c>
      <c r="AZ33" s="443" t="str">
        <f t="shared" si="30"/>
        <v/>
      </c>
      <c r="BA33" s="443" t="str">
        <f t="shared" si="31"/>
        <v/>
      </c>
      <c r="BB33" s="443" t="str">
        <f t="shared" si="32"/>
        <v/>
      </c>
      <c r="BC33" s="443" t="str">
        <f t="shared" si="33"/>
        <v/>
      </c>
      <c r="BD33" s="443" t="str">
        <f t="shared" si="34"/>
        <v/>
      </c>
      <c r="BE33" s="443" t="str">
        <f t="shared" si="35"/>
        <v/>
      </c>
      <c r="BF33" s="443" t="str">
        <f t="shared" si="36"/>
        <v/>
      </c>
      <c r="BG33" s="443" t="str">
        <f t="shared" si="37"/>
        <v/>
      </c>
      <c r="BH33" s="443" t="str">
        <f t="shared" si="38"/>
        <v/>
      </c>
      <c r="BI33" s="443" t="str">
        <f t="shared" si="39"/>
        <v/>
      </c>
      <c r="BJ33" s="443" t="str">
        <f t="shared" si="40"/>
        <v/>
      </c>
      <c r="BK33" s="443" t="str">
        <f t="shared" si="41"/>
        <v/>
      </c>
      <c r="BL33" s="443" t="str">
        <f t="shared" si="42"/>
        <v/>
      </c>
      <c r="BM33" s="443" t="str">
        <f t="shared" si="43"/>
        <v/>
      </c>
      <c r="BN33" s="443" t="str">
        <f t="shared" si="44"/>
        <v/>
      </c>
      <c r="BO33" s="443" t="str">
        <f t="shared" si="45"/>
        <v/>
      </c>
      <c r="BP33" s="443" t="str">
        <f t="shared" si="46"/>
        <v/>
      </c>
      <c r="BQ33" s="443" t="str">
        <f t="shared" si="47"/>
        <v/>
      </c>
      <c r="BR33" s="443" t="str">
        <f t="shared" si="48"/>
        <v/>
      </c>
      <c r="BS33" s="443" t="str">
        <f t="shared" si="49"/>
        <v/>
      </c>
      <c r="BT33" s="443" t="str">
        <f t="shared" si="50"/>
        <v/>
      </c>
      <c r="BU33" s="443" t="str">
        <f t="shared" si="51"/>
        <v/>
      </c>
      <c r="BV33" s="443" t="str">
        <f t="shared" si="52"/>
        <v/>
      </c>
      <c r="BW33" s="443" t="str">
        <f t="shared" si="53"/>
        <v/>
      </c>
      <c r="BX33" s="443" t="str">
        <f t="shared" si="54"/>
        <v/>
      </c>
      <c r="BY33" s="443" t="str">
        <f t="shared" si="55"/>
        <v/>
      </c>
      <c r="BZ33" s="443" t="str">
        <f t="shared" si="56"/>
        <v/>
      </c>
      <c r="CA33" s="443" t="str">
        <f t="shared" si="57"/>
        <v/>
      </c>
      <c r="CB33" s="443" t="str">
        <f t="shared" si="58"/>
        <v/>
      </c>
      <c r="CC33" s="443" t="str">
        <f t="shared" si="59"/>
        <v/>
      </c>
      <c r="CD33" s="443" t="str">
        <f t="shared" si="60"/>
        <v/>
      </c>
      <c r="CE33" s="443" t="str">
        <f t="shared" si="61"/>
        <v/>
      </c>
      <c r="CF33" s="443" t="str">
        <f t="shared" si="62"/>
        <v/>
      </c>
      <c r="CG33" s="443" t="str">
        <f t="shared" si="63"/>
        <v/>
      </c>
      <c r="CH33" s="443" t="str">
        <f t="shared" si="64"/>
        <v/>
      </c>
      <c r="CI33" s="443" t="str">
        <f t="shared" si="65"/>
        <v/>
      </c>
      <c r="CJ33" s="443" t="str">
        <f t="shared" si="66"/>
        <v/>
      </c>
      <c r="CK33" s="443" t="str">
        <f t="shared" si="67"/>
        <v/>
      </c>
      <c r="CL33" s="443" t="str">
        <f t="shared" si="68"/>
        <v/>
      </c>
      <c r="CM33" s="443" t="str">
        <f t="shared" si="69"/>
        <v/>
      </c>
      <c r="CN33" s="443" t="str">
        <f t="shared" si="70"/>
        <v/>
      </c>
      <c r="CO33" s="443" t="str">
        <f t="shared" si="71"/>
        <v/>
      </c>
      <c r="CP33" s="443" t="str">
        <f t="shared" si="72"/>
        <v/>
      </c>
      <c r="CQ33" s="443" t="str">
        <f t="shared" si="73"/>
        <v/>
      </c>
      <c r="CR33" s="443" t="str">
        <f t="shared" si="74"/>
        <v/>
      </c>
      <c r="CS33" s="443" t="str">
        <f t="shared" si="75"/>
        <v/>
      </c>
      <c r="CT33" s="443" t="str">
        <f t="shared" si="76"/>
        <v/>
      </c>
      <c r="CU33" s="443" t="str">
        <f t="shared" si="77"/>
        <v/>
      </c>
      <c r="CV33" s="443" t="str">
        <f t="shared" si="78"/>
        <v/>
      </c>
      <c r="CW33" s="443" t="str">
        <f t="shared" si="79"/>
        <v/>
      </c>
      <c r="CX33" s="443" t="str">
        <f t="shared" si="80"/>
        <v/>
      </c>
      <c r="CY33" s="443" t="str">
        <f t="shared" si="81"/>
        <v/>
      </c>
      <c r="CZ33" s="443" t="str">
        <f t="shared" si="82"/>
        <v/>
      </c>
      <c r="DA33" s="443" t="str">
        <f t="shared" si="83"/>
        <v/>
      </c>
      <c r="DB33" s="443" t="str">
        <f t="shared" si="84"/>
        <v/>
      </c>
      <c r="DC33" s="443" t="str">
        <f t="shared" si="85"/>
        <v/>
      </c>
      <c r="DD33" s="443" t="str">
        <f t="shared" si="86"/>
        <v/>
      </c>
      <c r="DE33" s="443" t="str">
        <f t="shared" si="87"/>
        <v/>
      </c>
      <c r="DF33" s="443" t="str">
        <f t="shared" si="88"/>
        <v/>
      </c>
      <c r="DG33" s="443" t="str">
        <f t="shared" si="89"/>
        <v/>
      </c>
      <c r="DH33" s="443" t="str">
        <f t="shared" si="90"/>
        <v/>
      </c>
      <c r="DI33" s="443" t="str">
        <f t="shared" si="91"/>
        <v/>
      </c>
      <c r="DJ33" s="443" t="str">
        <f t="shared" si="92"/>
        <v/>
      </c>
      <c r="DK33" s="443" t="str">
        <f t="shared" si="93"/>
        <v/>
      </c>
      <c r="DL33" s="443" t="str">
        <f t="shared" si="94"/>
        <v/>
      </c>
      <c r="DM33" s="443" t="str">
        <f t="shared" si="95"/>
        <v/>
      </c>
      <c r="DN33" s="443" t="str">
        <f t="shared" si="96"/>
        <v/>
      </c>
      <c r="DO33" s="443" t="str">
        <f t="shared" si="97"/>
        <v/>
      </c>
      <c r="DP33" s="443" t="str">
        <f t="shared" si="98"/>
        <v/>
      </c>
      <c r="DQ33" s="443" t="str">
        <f t="shared" si="99"/>
        <v/>
      </c>
      <c r="DR33" s="443" t="str">
        <f t="shared" si="100"/>
        <v/>
      </c>
      <c r="DS33" s="443" t="str">
        <f t="shared" si="101"/>
        <v/>
      </c>
      <c r="DT33" s="443" t="str">
        <f t="shared" si="102"/>
        <v/>
      </c>
      <c r="DU33" s="443" t="str">
        <f t="shared" si="103"/>
        <v/>
      </c>
      <c r="DV33" s="443" t="str">
        <f t="shared" si="104"/>
        <v/>
      </c>
      <c r="DW33" s="443" t="str">
        <f t="shared" si="105"/>
        <v/>
      </c>
      <c r="DX33" s="443" t="str">
        <f t="shared" si="106"/>
        <v/>
      </c>
      <c r="DY33" s="443" t="str">
        <f t="shared" si="107"/>
        <v/>
      </c>
      <c r="DZ33" s="443" t="str">
        <f t="shared" si="108"/>
        <v/>
      </c>
      <c r="EA33" s="443" t="str">
        <f t="shared" si="109"/>
        <v/>
      </c>
      <c r="EB33" s="443" t="str">
        <f t="shared" si="110"/>
        <v/>
      </c>
      <c r="EC33" s="443" t="str">
        <f t="shared" si="111"/>
        <v/>
      </c>
      <c r="ED33" s="443" t="str">
        <f t="shared" si="112"/>
        <v/>
      </c>
      <c r="EE33" s="443" t="str">
        <f t="shared" si="113"/>
        <v/>
      </c>
      <c r="EF33" s="443" t="str">
        <f t="shared" si="114"/>
        <v/>
      </c>
      <c r="EG33" s="443" t="str">
        <f t="shared" si="115"/>
        <v/>
      </c>
      <c r="EH33" s="443" t="str">
        <f t="shared" si="116"/>
        <v/>
      </c>
      <c r="EI33" s="443" t="str">
        <f t="shared" si="117"/>
        <v/>
      </c>
      <c r="EJ33" s="443" t="str">
        <f t="shared" si="118"/>
        <v/>
      </c>
      <c r="EK33" s="443" t="str">
        <f t="shared" si="119"/>
        <v/>
      </c>
      <c r="EL33" s="443" t="str">
        <f t="shared" si="120"/>
        <v/>
      </c>
      <c r="EM33" s="443" t="str">
        <f t="shared" si="121"/>
        <v/>
      </c>
      <c r="EN33" s="443" t="str">
        <f t="shared" si="122"/>
        <v/>
      </c>
      <c r="EO33" s="443" t="str">
        <f t="shared" si="123"/>
        <v/>
      </c>
      <c r="EP33" s="443" t="str">
        <f t="shared" si="124"/>
        <v/>
      </c>
      <c r="EQ33" s="443" t="str">
        <f t="shared" si="125"/>
        <v/>
      </c>
      <c r="ER33" s="443" t="str">
        <f t="shared" si="126"/>
        <v/>
      </c>
      <c r="ES33" s="443" t="str">
        <f t="shared" si="127"/>
        <v/>
      </c>
      <c r="ET33" s="443" t="str">
        <f t="shared" si="128"/>
        <v/>
      </c>
      <c r="EU33" s="443" t="str">
        <f t="shared" si="129"/>
        <v/>
      </c>
      <c r="EV33" s="443" t="str">
        <f t="shared" si="130"/>
        <v/>
      </c>
      <c r="EW33" s="443" t="str">
        <f t="shared" si="131"/>
        <v/>
      </c>
      <c r="EX33" s="443" t="str">
        <f t="shared" si="132"/>
        <v/>
      </c>
      <c r="EY33" s="443" t="str">
        <f t="shared" si="133"/>
        <v/>
      </c>
      <c r="EZ33" s="443" t="str">
        <f t="shared" si="134"/>
        <v/>
      </c>
      <c r="FA33" s="443" t="str">
        <f t="shared" si="135"/>
        <v/>
      </c>
      <c r="FB33" s="443" t="str">
        <f t="shared" si="136"/>
        <v/>
      </c>
      <c r="FC33" s="443" t="str">
        <f t="shared" si="137"/>
        <v/>
      </c>
      <c r="FD33" s="443" t="str">
        <f t="shared" si="138"/>
        <v/>
      </c>
      <c r="FE33" s="443" t="str">
        <f t="shared" si="139"/>
        <v/>
      </c>
      <c r="FF33" s="443" t="str">
        <f t="shared" si="140"/>
        <v/>
      </c>
      <c r="FG33" s="443" t="str">
        <f t="shared" si="141"/>
        <v/>
      </c>
      <c r="FH33" s="443" t="str">
        <f t="shared" si="142"/>
        <v/>
      </c>
      <c r="FI33" s="443" t="str">
        <f t="shared" si="143"/>
        <v/>
      </c>
      <c r="FJ33" s="443" t="str">
        <f t="shared" si="144"/>
        <v/>
      </c>
      <c r="FK33" s="443" t="str">
        <f t="shared" si="145"/>
        <v/>
      </c>
      <c r="FL33" s="443" t="str">
        <f t="shared" si="146"/>
        <v/>
      </c>
      <c r="FM33" s="443" t="str">
        <f t="shared" si="147"/>
        <v/>
      </c>
      <c r="FN33" s="443" t="str">
        <f t="shared" si="148"/>
        <v/>
      </c>
      <c r="FO33" s="443" t="str">
        <f t="shared" si="149"/>
        <v/>
      </c>
      <c r="FP33" s="443" t="str">
        <f t="shared" si="150"/>
        <v/>
      </c>
      <c r="FQ33" s="443" t="str">
        <f t="shared" si="151"/>
        <v/>
      </c>
      <c r="FR33" s="443" t="str">
        <f t="shared" si="152"/>
        <v/>
      </c>
      <c r="FS33" s="443" t="str">
        <f t="shared" si="153"/>
        <v/>
      </c>
      <c r="FT33" s="443" t="str">
        <f t="shared" si="154"/>
        <v/>
      </c>
      <c r="FU33" s="443" t="str">
        <f t="shared" si="155"/>
        <v/>
      </c>
      <c r="FV33" s="443" t="str">
        <f t="shared" si="156"/>
        <v/>
      </c>
      <c r="FW33" s="443" t="str">
        <f t="shared" si="157"/>
        <v/>
      </c>
      <c r="FX33" s="443" t="str">
        <f t="shared" si="158"/>
        <v/>
      </c>
      <c r="FY33" s="443" t="str">
        <f t="shared" si="159"/>
        <v/>
      </c>
      <c r="FZ33" s="443" t="str">
        <f t="shared" si="160"/>
        <v/>
      </c>
      <c r="GA33" s="443" t="str">
        <f t="shared" si="161"/>
        <v/>
      </c>
      <c r="GB33" s="443" t="str">
        <f t="shared" si="162"/>
        <v/>
      </c>
      <c r="GC33" s="443" t="str">
        <f t="shared" si="163"/>
        <v/>
      </c>
      <c r="GD33" s="443" t="str">
        <f t="shared" si="164"/>
        <v/>
      </c>
      <c r="GE33" s="443" t="str">
        <f t="shared" si="165"/>
        <v/>
      </c>
      <c r="GF33" s="443" t="str">
        <f t="shared" si="166"/>
        <v/>
      </c>
      <c r="GG33" s="443" t="str">
        <f t="shared" si="167"/>
        <v/>
      </c>
      <c r="GH33" s="443" t="str">
        <f t="shared" si="168"/>
        <v/>
      </c>
      <c r="GI33" s="443" t="str">
        <f t="shared" si="169"/>
        <v/>
      </c>
      <c r="GJ33" s="443" t="str">
        <f t="shared" si="170"/>
        <v/>
      </c>
      <c r="GK33" s="443" t="str">
        <f t="shared" si="171"/>
        <v/>
      </c>
      <c r="GL33" s="443" t="str">
        <f t="shared" si="172"/>
        <v/>
      </c>
      <c r="GM33" s="443" t="str">
        <f t="shared" si="173"/>
        <v/>
      </c>
      <c r="GN33" s="443" t="str">
        <f t="shared" si="174"/>
        <v/>
      </c>
      <c r="GO33" s="443" t="str">
        <f t="shared" si="175"/>
        <v/>
      </c>
      <c r="GP33" s="443" t="str">
        <f t="shared" si="176"/>
        <v/>
      </c>
      <c r="GQ33" s="443" t="str">
        <f t="shared" si="177"/>
        <v/>
      </c>
      <c r="GR33" s="443" t="str">
        <f t="shared" si="178"/>
        <v/>
      </c>
      <c r="GS33" s="443" t="str">
        <f t="shared" si="179"/>
        <v/>
      </c>
      <c r="GT33" s="443" t="str">
        <f t="shared" si="180"/>
        <v/>
      </c>
      <c r="GU33" s="443" t="str">
        <f t="shared" si="181"/>
        <v/>
      </c>
      <c r="GV33" s="443" t="str">
        <f t="shared" si="182"/>
        <v/>
      </c>
      <c r="GW33" s="443" t="str">
        <f t="shared" si="183"/>
        <v/>
      </c>
      <c r="GX33" s="443" t="str">
        <f t="shared" si="184"/>
        <v/>
      </c>
      <c r="GY33" s="443" t="str">
        <f t="shared" si="185"/>
        <v/>
      </c>
      <c r="GZ33" s="443" t="str">
        <f t="shared" si="186"/>
        <v/>
      </c>
      <c r="HA33" s="443" t="str">
        <f t="shared" si="187"/>
        <v/>
      </c>
      <c r="HB33" s="443" t="str">
        <f t="shared" si="188"/>
        <v/>
      </c>
      <c r="HC33" s="443" t="str">
        <f t="shared" si="189"/>
        <v/>
      </c>
      <c r="HD33" s="443" t="str">
        <f t="shared" si="190"/>
        <v/>
      </c>
      <c r="HE33" s="443" t="str">
        <f t="shared" si="191"/>
        <v/>
      </c>
      <c r="HF33" s="443" t="str">
        <f t="shared" si="192"/>
        <v/>
      </c>
      <c r="HG33" s="443" t="str">
        <f t="shared" si="193"/>
        <v/>
      </c>
      <c r="HH33" s="443" t="str">
        <f t="shared" si="194"/>
        <v/>
      </c>
      <c r="HI33" s="443" t="str">
        <f t="shared" si="195"/>
        <v/>
      </c>
      <c r="HJ33" s="443" t="str">
        <f t="shared" si="196"/>
        <v/>
      </c>
      <c r="HK33" s="443" t="str">
        <f t="shared" si="197"/>
        <v/>
      </c>
      <c r="HL33" s="443" t="str">
        <f t="shared" si="198"/>
        <v/>
      </c>
      <c r="HM33" s="443" t="str">
        <f t="shared" si="199"/>
        <v/>
      </c>
      <c r="HN33" s="443" t="str">
        <f t="shared" si="200"/>
        <v/>
      </c>
      <c r="HO33" s="443" t="str">
        <f t="shared" si="201"/>
        <v/>
      </c>
      <c r="HP33" s="443" t="str">
        <f t="shared" si="202"/>
        <v/>
      </c>
      <c r="HQ33" s="443" t="str">
        <f t="shared" si="203"/>
        <v/>
      </c>
      <c r="HR33" s="443" t="str">
        <f t="shared" si="204"/>
        <v/>
      </c>
      <c r="HS33" s="443" t="str">
        <f t="shared" si="205"/>
        <v/>
      </c>
      <c r="HT33" s="443" t="str">
        <f t="shared" si="206"/>
        <v/>
      </c>
      <c r="HU33" s="443" t="str">
        <f t="shared" si="207"/>
        <v/>
      </c>
      <c r="HV33" s="443" t="str">
        <f t="shared" si="208"/>
        <v/>
      </c>
      <c r="HW33" s="443" t="str">
        <f t="shared" si="209"/>
        <v/>
      </c>
      <c r="HX33" s="443" t="str">
        <f t="shared" si="210"/>
        <v/>
      </c>
      <c r="HY33" s="443" t="str">
        <f t="shared" si="211"/>
        <v/>
      </c>
      <c r="HZ33" s="2247" t="str">
        <f t="shared" si="212"/>
        <v/>
      </c>
      <c r="IA33" s="2247" t="str">
        <f t="shared" si="213"/>
        <v/>
      </c>
      <c r="IB33" s="2247" t="str">
        <f t="shared" si="214"/>
        <v/>
      </c>
      <c r="IC33" s="2247" t="str">
        <f t="shared" si="215"/>
        <v/>
      </c>
      <c r="ID33" s="2247" t="str">
        <f t="shared" si="216"/>
        <v/>
      </c>
      <c r="IE33" s="2247" t="str">
        <f t="shared" si="217"/>
        <v/>
      </c>
      <c r="IF33" s="2247" t="str">
        <f t="shared" si="218"/>
        <v/>
      </c>
      <c r="IG33" s="2247" t="str">
        <f t="shared" si="219"/>
        <v/>
      </c>
      <c r="IH33" s="2247" t="str">
        <f t="shared" si="220"/>
        <v/>
      </c>
      <c r="II33" s="2247" t="str">
        <f t="shared" si="221"/>
        <v/>
      </c>
      <c r="IJ33" s="2247" t="str">
        <f t="shared" si="222"/>
        <v/>
      </c>
      <c r="IK33" s="2247" t="str">
        <f t="shared" si="223"/>
        <v/>
      </c>
      <c r="IL33" s="2247" t="str">
        <f t="shared" si="224"/>
        <v/>
      </c>
      <c r="IM33" s="2247" t="str">
        <f t="shared" si="225"/>
        <v/>
      </c>
      <c r="IN33" s="2247" t="str">
        <f t="shared" si="226"/>
        <v/>
      </c>
      <c r="IO33" s="2247" t="str">
        <f t="shared" si="227"/>
        <v/>
      </c>
      <c r="IP33" s="2247" t="str">
        <f t="shared" si="228"/>
        <v/>
      </c>
      <c r="IQ33" s="2247" t="str">
        <f t="shared" si="229"/>
        <v/>
      </c>
      <c r="IR33" s="2247" t="str">
        <f t="shared" si="230"/>
        <v/>
      </c>
      <c r="IS33" s="2247" t="str">
        <f t="shared" si="231"/>
        <v/>
      </c>
      <c r="IT33" s="2247" t="str">
        <f t="shared" si="232"/>
        <v/>
      </c>
      <c r="IU33" s="2247" t="str">
        <f t="shared" si="233"/>
        <v/>
      </c>
      <c r="IV33" s="2247" t="str">
        <f t="shared" si="234"/>
        <v/>
      </c>
      <c r="IW33" s="2247" t="str">
        <f t="shared" si="235"/>
        <v/>
      </c>
      <c r="IX33" s="2247" t="str">
        <f t="shared" si="236"/>
        <v/>
      </c>
      <c r="IY33" s="2247" t="str">
        <f t="shared" si="237"/>
        <v/>
      </c>
      <c r="IZ33" s="2247" t="str">
        <f t="shared" si="238"/>
        <v/>
      </c>
      <c r="JA33" s="2247" t="str">
        <f t="shared" si="239"/>
        <v/>
      </c>
      <c r="JB33" s="2247" t="str">
        <f t="shared" si="240"/>
        <v/>
      </c>
      <c r="JC33" s="2247" t="str">
        <f t="shared" si="241"/>
        <v/>
      </c>
      <c r="JD33" s="2247" t="str">
        <f t="shared" si="242"/>
        <v/>
      </c>
      <c r="JE33" s="2247" t="str">
        <f t="shared" si="243"/>
        <v/>
      </c>
      <c r="JF33" s="2247" t="str">
        <f t="shared" si="244"/>
        <v/>
      </c>
      <c r="JG33" s="2247" t="str">
        <f t="shared" si="245"/>
        <v/>
      </c>
      <c r="JH33" s="2247" t="str">
        <f t="shared" si="246"/>
        <v/>
      </c>
      <c r="JI33" s="2247" t="str">
        <f t="shared" si="247"/>
        <v/>
      </c>
      <c r="JJ33" s="2247" t="str">
        <f t="shared" si="248"/>
        <v/>
      </c>
      <c r="JK33" s="2247" t="str">
        <f t="shared" si="249"/>
        <v/>
      </c>
      <c r="JL33" s="2247" t="str">
        <f t="shared" si="250"/>
        <v/>
      </c>
      <c r="JM33" s="2247" t="str">
        <f t="shared" si="251"/>
        <v/>
      </c>
      <c r="JN33" s="2247" t="str">
        <f t="shared" si="252"/>
        <v/>
      </c>
      <c r="JO33" s="2247" t="str">
        <f t="shared" si="253"/>
        <v/>
      </c>
      <c r="JP33" s="2247" t="str">
        <f t="shared" si="254"/>
        <v/>
      </c>
      <c r="JQ33" s="2247" t="str">
        <f t="shared" si="255"/>
        <v/>
      </c>
      <c r="JR33" s="2247" t="str">
        <f t="shared" si="256"/>
        <v/>
      </c>
      <c r="JS33" s="2247" t="str">
        <f t="shared" si="257"/>
        <v/>
      </c>
      <c r="JT33" s="2247" t="str">
        <f t="shared" si="258"/>
        <v/>
      </c>
      <c r="JU33" s="2247" t="str">
        <f t="shared" si="259"/>
        <v/>
      </c>
      <c r="JV33" s="2247" t="str">
        <f t="shared" si="260"/>
        <v/>
      </c>
      <c r="JW33" s="2247" t="str">
        <f t="shared" si="261"/>
        <v/>
      </c>
      <c r="JX33" s="2247" t="str">
        <f t="shared" si="262"/>
        <v/>
      </c>
      <c r="JY33" s="2247" t="str">
        <f t="shared" si="263"/>
        <v/>
      </c>
      <c r="JZ33" s="2247" t="str">
        <f t="shared" si="264"/>
        <v/>
      </c>
      <c r="KA33" s="2247" t="str">
        <f t="shared" si="265"/>
        <v/>
      </c>
      <c r="KB33" s="2247" t="str">
        <f t="shared" si="266"/>
        <v/>
      </c>
      <c r="KC33" s="2247" t="str">
        <f t="shared" si="267"/>
        <v/>
      </c>
      <c r="KD33" s="2247" t="str">
        <f t="shared" si="268"/>
        <v/>
      </c>
      <c r="KE33" s="2247" t="str">
        <f t="shared" si="269"/>
        <v/>
      </c>
      <c r="KF33" s="2247" t="str">
        <f t="shared" si="270"/>
        <v/>
      </c>
      <c r="KG33" s="2247" t="str">
        <f t="shared" si="271"/>
        <v/>
      </c>
      <c r="KH33" s="2247" t="str">
        <f t="shared" si="272"/>
        <v/>
      </c>
      <c r="KI33" s="2247" t="str">
        <f t="shared" si="273"/>
        <v/>
      </c>
      <c r="KJ33" s="2247" t="str">
        <f t="shared" si="274"/>
        <v/>
      </c>
      <c r="KK33" s="2247" t="str">
        <f t="shared" si="275"/>
        <v/>
      </c>
      <c r="KL33" s="2247" t="str">
        <f t="shared" si="276"/>
        <v/>
      </c>
      <c r="KM33" s="2247" t="str">
        <f t="shared" si="277"/>
        <v/>
      </c>
      <c r="KN33" s="2247" t="str">
        <f t="shared" si="278"/>
        <v/>
      </c>
      <c r="KO33" s="2247" t="str">
        <f t="shared" si="279"/>
        <v/>
      </c>
      <c r="KP33" s="2247" t="str">
        <f t="shared" si="280"/>
        <v/>
      </c>
      <c r="KQ33" s="2247" t="str">
        <f t="shared" si="281"/>
        <v/>
      </c>
      <c r="KR33" s="2247" t="str">
        <f t="shared" si="282"/>
        <v/>
      </c>
      <c r="KS33" s="2247" t="str">
        <f t="shared" si="283"/>
        <v/>
      </c>
      <c r="KT33" s="2247" t="str">
        <f t="shared" si="284"/>
        <v/>
      </c>
      <c r="KU33" s="2247" t="str">
        <f t="shared" si="285"/>
        <v/>
      </c>
      <c r="KV33" s="2247" t="str">
        <f t="shared" si="286"/>
        <v/>
      </c>
      <c r="KW33" s="2247" t="str">
        <f t="shared" si="287"/>
        <v/>
      </c>
      <c r="KX33" s="2247" t="str">
        <f t="shared" si="288"/>
        <v/>
      </c>
      <c r="KY33" s="2247" t="str">
        <f t="shared" si="289"/>
        <v/>
      </c>
      <c r="KZ33" s="2247" t="str">
        <f t="shared" si="290"/>
        <v/>
      </c>
      <c r="LA33" s="2247" t="str">
        <f t="shared" si="291"/>
        <v/>
      </c>
      <c r="LB33" s="2247" t="str">
        <f t="shared" si="292"/>
        <v/>
      </c>
      <c r="LC33" s="2247" t="str">
        <f t="shared" si="293"/>
        <v/>
      </c>
      <c r="LD33" s="2247" t="str">
        <f t="shared" si="294"/>
        <v/>
      </c>
      <c r="LE33" s="2247" t="str">
        <f t="shared" si="295"/>
        <v/>
      </c>
      <c r="LF33" s="2247" t="str">
        <f t="shared" si="296"/>
        <v/>
      </c>
      <c r="LG33" s="2247" t="str">
        <f t="shared" si="297"/>
        <v/>
      </c>
      <c r="LH33" s="2247" t="str">
        <f t="shared" si="298"/>
        <v/>
      </c>
      <c r="LI33" s="2247" t="str">
        <f t="shared" si="299"/>
        <v/>
      </c>
      <c r="LJ33" s="2247" t="str">
        <f t="shared" si="300"/>
        <v/>
      </c>
      <c r="LK33" s="2247" t="str">
        <f t="shared" si="301"/>
        <v/>
      </c>
      <c r="LL33" s="2247" t="str">
        <f t="shared" si="302"/>
        <v/>
      </c>
      <c r="LM33" s="2247" t="str">
        <f t="shared" si="303"/>
        <v/>
      </c>
      <c r="LN33" s="2247" t="str">
        <f t="shared" si="304"/>
        <v/>
      </c>
      <c r="LO33" s="2247" t="str">
        <f t="shared" si="305"/>
        <v/>
      </c>
      <c r="LP33" s="2247" t="str">
        <f t="shared" si="306"/>
        <v/>
      </c>
      <c r="LQ33" s="2248" t="str">
        <f t="shared" si="307"/>
        <v/>
      </c>
      <c r="LR33" s="2248" t="str">
        <f t="shared" si="308"/>
        <v/>
      </c>
      <c r="LS33" s="2248" t="str">
        <f t="shared" si="309"/>
        <v/>
      </c>
      <c r="LT33" s="2248" t="str">
        <f t="shared" si="310"/>
        <v/>
      </c>
      <c r="LU33" s="2248" t="str">
        <f t="shared" si="311"/>
        <v/>
      </c>
      <c r="LV33" s="443" t="str">
        <f t="shared" si="312"/>
        <v/>
      </c>
      <c r="LW33" s="443" t="str">
        <f t="shared" si="313"/>
        <v/>
      </c>
      <c r="LX33" s="443" t="str">
        <f t="shared" si="314"/>
        <v/>
      </c>
      <c r="LY33" s="443" t="str">
        <f t="shared" si="315"/>
        <v/>
      </c>
      <c r="LZ33" s="443" t="str">
        <f t="shared" si="316"/>
        <v/>
      </c>
      <c r="MA33" s="443" t="str">
        <f t="shared" si="317"/>
        <v/>
      </c>
      <c r="MB33" s="443" t="str">
        <f t="shared" si="318"/>
        <v/>
      </c>
      <c r="MC33" s="443" t="str">
        <f t="shared" si="319"/>
        <v/>
      </c>
      <c r="MD33" s="443" t="str">
        <f t="shared" si="320"/>
        <v/>
      </c>
      <c r="ME33" s="443" t="str">
        <f t="shared" si="321"/>
        <v/>
      </c>
      <c r="MF33" s="443" t="str">
        <f t="shared" si="322"/>
        <v/>
      </c>
      <c r="MG33" s="443" t="str">
        <f t="shared" si="323"/>
        <v/>
      </c>
      <c r="MH33" s="443" t="str">
        <f t="shared" si="324"/>
        <v/>
      </c>
      <c r="MI33" s="443" t="str">
        <f t="shared" si="325"/>
        <v/>
      </c>
      <c r="MJ33" s="443" t="str">
        <f t="shared" si="326"/>
        <v/>
      </c>
      <c r="MK33" s="443" t="str">
        <f t="shared" si="327"/>
        <v/>
      </c>
      <c r="ML33" s="443" t="str">
        <f t="shared" si="328"/>
        <v/>
      </c>
      <c r="MM33" s="443" t="str">
        <f t="shared" si="329"/>
        <v/>
      </c>
      <c r="MN33" s="443" t="str">
        <f t="shared" si="330"/>
        <v/>
      </c>
      <c r="MO33" s="443" t="str">
        <f t="shared" si="331"/>
        <v/>
      </c>
      <c r="MP33" s="2246">
        <f t="shared" si="338"/>
        <v>0</v>
      </c>
      <c r="MQ33" s="2246">
        <f t="shared" si="339"/>
        <v>0</v>
      </c>
      <c r="MR33" s="2246">
        <f t="shared" si="340"/>
        <v>0</v>
      </c>
      <c r="MS33" s="2246">
        <f t="shared" si="341"/>
        <v>0</v>
      </c>
      <c r="MT33" s="2246">
        <f t="shared" si="342"/>
        <v>0</v>
      </c>
      <c r="MU33" s="2246">
        <f t="shared" si="343"/>
        <v>0</v>
      </c>
      <c r="MV33" s="2246">
        <f t="shared" si="344"/>
        <v>0</v>
      </c>
      <c r="MW33" s="2246">
        <f t="shared" si="345"/>
        <v>0</v>
      </c>
      <c r="MX33" s="2246">
        <f t="shared" si="346"/>
        <v>0</v>
      </c>
      <c r="MY33" s="2246">
        <f t="shared" si="347"/>
        <v>0</v>
      </c>
      <c r="MZ33" s="2246">
        <f t="shared" si="332"/>
        <v>0</v>
      </c>
      <c r="NA33" s="2246">
        <f t="shared" si="333"/>
        <v>0</v>
      </c>
      <c r="NB33" s="2246">
        <f t="shared" si="334"/>
        <v>0</v>
      </c>
      <c r="NC33" s="2246">
        <f t="shared" si="335"/>
        <v>0</v>
      </c>
      <c r="ND33" s="2246">
        <f t="shared" si="336"/>
        <v>0</v>
      </c>
    </row>
    <row r="34" spans="1:369" ht="13.95" customHeight="1">
      <c r="A34" s="109" t="str">
        <f t="shared" si="337"/>
        <v/>
      </c>
      <c r="B34" s="4015"/>
      <c r="C34" s="3987"/>
      <c r="D34" s="3988"/>
      <c r="E34" s="3989"/>
      <c r="F34" s="3989"/>
      <c r="G34" s="3989"/>
      <c r="H34" s="3989"/>
      <c r="I34" s="3989"/>
      <c r="J34" s="4016">
        <f>IF(C34="",0,HLOOKUP(C34,'Part V-Utility Allowances'!$I$11:$M$22,12))</f>
        <v>0</v>
      </c>
      <c r="K34" s="3991"/>
      <c r="L34" s="567">
        <f t="shared" si="0"/>
        <v>0</v>
      </c>
      <c r="M34" s="567">
        <f t="shared" si="1"/>
        <v>0</v>
      </c>
      <c r="N34" s="3992"/>
      <c r="O34" s="3992"/>
      <c r="P34" s="3992"/>
      <c r="Q34" s="3993"/>
      <c r="R34" s="3994"/>
      <c r="S34" s="3995"/>
      <c r="T34" s="3996"/>
      <c r="U34" s="3997"/>
      <c r="V34" s="3997"/>
      <c r="W34" s="3998"/>
      <c r="X34" s="443" t="str">
        <f t="shared" si="2"/>
        <v/>
      </c>
      <c r="Y34" s="443" t="str">
        <f t="shared" si="3"/>
        <v/>
      </c>
      <c r="Z34" s="443" t="str">
        <f t="shared" si="4"/>
        <v/>
      </c>
      <c r="AA34" s="443" t="str">
        <f t="shared" si="5"/>
        <v/>
      </c>
      <c r="AB34" s="443" t="str">
        <f t="shared" si="6"/>
        <v/>
      </c>
      <c r="AC34" s="443" t="str">
        <f t="shared" si="7"/>
        <v/>
      </c>
      <c r="AD34" s="443" t="str">
        <f t="shared" si="8"/>
        <v/>
      </c>
      <c r="AE34" s="443" t="str">
        <f t="shared" si="9"/>
        <v/>
      </c>
      <c r="AF34" s="443" t="str">
        <f t="shared" si="10"/>
        <v/>
      </c>
      <c r="AG34" s="443" t="str">
        <f t="shared" si="11"/>
        <v/>
      </c>
      <c r="AH34" s="443" t="str">
        <f t="shared" si="12"/>
        <v/>
      </c>
      <c r="AI34" s="443" t="str">
        <f t="shared" si="13"/>
        <v/>
      </c>
      <c r="AJ34" s="443" t="str">
        <f t="shared" si="14"/>
        <v/>
      </c>
      <c r="AK34" s="443" t="str">
        <f t="shared" si="15"/>
        <v/>
      </c>
      <c r="AL34" s="443" t="str">
        <f t="shared" si="16"/>
        <v/>
      </c>
      <c r="AM34" s="443" t="str">
        <f t="shared" si="17"/>
        <v/>
      </c>
      <c r="AN34" s="443" t="str">
        <f t="shared" si="18"/>
        <v/>
      </c>
      <c r="AO34" s="443" t="str">
        <f t="shared" si="19"/>
        <v/>
      </c>
      <c r="AP34" s="443" t="str">
        <f t="shared" si="20"/>
        <v/>
      </c>
      <c r="AQ34" s="443" t="str">
        <f t="shared" si="21"/>
        <v/>
      </c>
      <c r="AR34" s="443" t="str">
        <f t="shared" si="22"/>
        <v/>
      </c>
      <c r="AS34" s="443" t="str">
        <f t="shared" si="23"/>
        <v/>
      </c>
      <c r="AT34" s="443" t="str">
        <f t="shared" si="24"/>
        <v/>
      </c>
      <c r="AU34" s="443" t="str">
        <f t="shared" si="25"/>
        <v/>
      </c>
      <c r="AV34" s="443" t="str">
        <f t="shared" si="26"/>
        <v/>
      </c>
      <c r="AW34" s="443" t="str">
        <f t="shared" si="27"/>
        <v/>
      </c>
      <c r="AX34" s="443" t="str">
        <f t="shared" si="28"/>
        <v/>
      </c>
      <c r="AY34" s="443" t="str">
        <f t="shared" si="29"/>
        <v/>
      </c>
      <c r="AZ34" s="443" t="str">
        <f t="shared" si="30"/>
        <v/>
      </c>
      <c r="BA34" s="443" t="str">
        <f t="shared" si="31"/>
        <v/>
      </c>
      <c r="BB34" s="443" t="str">
        <f t="shared" si="32"/>
        <v/>
      </c>
      <c r="BC34" s="443" t="str">
        <f t="shared" si="33"/>
        <v/>
      </c>
      <c r="BD34" s="443" t="str">
        <f t="shared" si="34"/>
        <v/>
      </c>
      <c r="BE34" s="443" t="str">
        <f t="shared" si="35"/>
        <v/>
      </c>
      <c r="BF34" s="443" t="str">
        <f t="shared" si="36"/>
        <v/>
      </c>
      <c r="BG34" s="443" t="str">
        <f t="shared" si="37"/>
        <v/>
      </c>
      <c r="BH34" s="443" t="str">
        <f t="shared" si="38"/>
        <v/>
      </c>
      <c r="BI34" s="443" t="str">
        <f t="shared" si="39"/>
        <v/>
      </c>
      <c r="BJ34" s="443" t="str">
        <f t="shared" si="40"/>
        <v/>
      </c>
      <c r="BK34" s="443" t="str">
        <f t="shared" si="41"/>
        <v/>
      </c>
      <c r="BL34" s="443" t="str">
        <f t="shared" si="42"/>
        <v/>
      </c>
      <c r="BM34" s="443" t="str">
        <f t="shared" si="43"/>
        <v/>
      </c>
      <c r="BN34" s="443" t="str">
        <f t="shared" si="44"/>
        <v/>
      </c>
      <c r="BO34" s="443" t="str">
        <f t="shared" si="45"/>
        <v/>
      </c>
      <c r="BP34" s="443" t="str">
        <f t="shared" si="46"/>
        <v/>
      </c>
      <c r="BQ34" s="443" t="str">
        <f t="shared" si="47"/>
        <v/>
      </c>
      <c r="BR34" s="443" t="str">
        <f t="shared" si="48"/>
        <v/>
      </c>
      <c r="BS34" s="443" t="str">
        <f t="shared" si="49"/>
        <v/>
      </c>
      <c r="BT34" s="443" t="str">
        <f t="shared" si="50"/>
        <v/>
      </c>
      <c r="BU34" s="443" t="str">
        <f t="shared" si="51"/>
        <v/>
      </c>
      <c r="BV34" s="443" t="str">
        <f t="shared" si="52"/>
        <v/>
      </c>
      <c r="BW34" s="443" t="str">
        <f t="shared" si="53"/>
        <v/>
      </c>
      <c r="BX34" s="443" t="str">
        <f t="shared" si="54"/>
        <v/>
      </c>
      <c r="BY34" s="443" t="str">
        <f t="shared" si="55"/>
        <v/>
      </c>
      <c r="BZ34" s="443" t="str">
        <f t="shared" si="56"/>
        <v/>
      </c>
      <c r="CA34" s="443" t="str">
        <f t="shared" si="57"/>
        <v/>
      </c>
      <c r="CB34" s="443" t="str">
        <f t="shared" si="58"/>
        <v/>
      </c>
      <c r="CC34" s="443" t="str">
        <f t="shared" si="59"/>
        <v/>
      </c>
      <c r="CD34" s="443" t="str">
        <f t="shared" si="60"/>
        <v/>
      </c>
      <c r="CE34" s="443" t="str">
        <f t="shared" si="61"/>
        <v/>
      </c>
      <c r="CF34" s="443" t="str">
        <f t="shared" si="62"/>
        <v/>
      </c>
      <c r="CG34" s="443" t="str">
        <f t="shared" si="63"/>
        <v/>
      </c>
      <c r="CH34" s="443" t="str">
        <f t="shared" si="64"/>
        <v/>
      </c>
      <c r="CI34" s="443" t="str">
        <f t="shared" si="65"/>
        <v/>
      </c>
      <c r="CJ34" s="443" t="str">
        <f t="shared" si="66"/>
        <v/>
      </c>
      <c r="CK34" s="443" t="str">
        <f t="shared" si="67"/>
        <v/>
      </c>
      <c r="CL34" s="443" t="str">
        <f t="shared" si="68"/>
        <v/>
      </c>
      <c r="CM34" s="443" t="str">
        <f t="shared" si="69"/>
        <v/>
      </c>
      <c r="CN34" s="443" t="str">
        <f t="shared" si="70"/>
        <v/>
      </c>
      <c r="CO34" s="443" t="str">
        <f t="shared" si="71"/>
        <v/>
      </c>
      <c r="CP34" s="443" t="str">
        <f t="shared" si="72"/>
        <v/>
      </c>
      <c r="CQ34" s="443" t="str">
        <f t="shared" si="73"/>
        <v/>
      </c>
      <c r="CR34" s="443" t="str">
        <f t="shared" si="74"/>
        <v/>
      </c>
      <c r="CS34" s="443" t="str">
        <f t="shared" si="75"/>
        <v/>
      </c>
      <c r="CT34" s="443" t="str">
        <f t="shared" si="76"/>
        <v/>
      </c>
      <c r="CU34" s="443" t="str">
        <f t="shared" si="77"/>
        <v/>
      </c>
      <c r="CV34" s="443" t="str">
        <f t="shared" si="78"/>
        <v/>
      </c>
      <c r="CW34" s="443" t="str">
        <f t="shared" si="79"/>
        <v/>
      </c>
      <c r="CX34" s="443" t="str">
        <f t="shared" si="80"/>
        <v/>
      </c>
      <c r="CY34" s="443" t="str">
        <f t="shared" si="81"/>
        <v/>
      </c>
      <c r="CZ34" s="443" t="str">
        <f t="shared" si="82"/>
        <v/>
      </c>
      <c r="DA34" s="443" t="str">
        <f t="shared" si="83"/>
        <v/>
      </c>
      <c r="DB34" s="443" t="str">
        <f t="shared" si="84"/>
        <v/>
      </c>
      <c r="DC34" s="443" t="str">
        <f t="shared" si="85"/>
        <v/>
      </c>
      <c r="DD34" s="443" t="str">
        <f t="shared" si="86"/>
        <v/>
      </c>
      <c r="DE34" s="443" t="str">
        <f t="shared" si="87"/>
        <v/>
      </c>
      <c r="DF34" s="443" t="str">
        <f t="shared" si="88"/>
        <v/>
      </c>
      <c r="DG34" s="443" t="str">
        <f t="shared" si="89"/>
        <v/>
      </c>
      <c r="DH34" s="443" t="str">
        <f t="shared" si="90"/>
        <v/>
      </c>
      <c r="DI34" s="443" t="str">
        <f t="shared" si="91"/>
        <v/>
      </c>
      <c r="DJ34" s="443" t="str">
        <f t="shared" si="92"/>
        <v/>
      </c>
      <c r="DK34" s="443" t="str">
        <f t="shared" si="93"/>
        <v/>
      </c>
      <c r="DL34" s="443" t="str">
        <f t="shared" si="94"/>
        <v/>
      </c>
      <c r="DM34" s="443" t="str">
        <f t="shared" si="95"/>
        <v/>
      </c>
      <c r="DN34" s="443" t="str">
        <f t="shared" si="96"/>
        <v/>
      </c>
      <c r="DO34" s="443" t="str">
        <f t="shared" si="97"/>
        <v/>
      </c>
      <c r="DP34" s="443" t="str">
        <f t="shared" si="98"/>
        <v/>
      </c>
      <c r="DQ34" s="443" t="str">
        <f t="shared" si="99"/>
        <v/>
      </c>
      <c r="DR34" s="443" t="str">
        <f t="shared" si="100"/>
        <v/>
      </c>
      <c r="DS34" s="443" t="str">
        <f t="shared" si="101"/>
        <v/>
      </c>
      <c r="DT34" s="443" t="str">
        <f t="shared" si="102"/>
        <v/>
      </c>
      <c r="DU34" s="443" t="str">
        <f t="shared" si="103"/>
        <v/>
      </c>
      <c r="DV34" s="443" t="str">
        <f t="shared" si="104"/>
        <v/>
      </c>
      <c r="DW34" s="443" t="str">
        <f t="shared" si="105"/>
        <v/>
      </c>
      <c r="DX34" s="443" t="str">
        <f t="shared" si="106"/>
        <v/>
      </c>
      <c r="DY34" s="443" t="str">
        <f t="shared" si="107"/>
        <v/>
      </c>
      <c r="DZ34" s="443" t="str">
        <f t="shared" si="108"/>
        <v/>
      </c>
      <c r="EA34" s="443" t="str">
        <f t="shared" si="109"/>
        <v/>
      </c>
      <c r="EB34" s="443" t="str">
        <f t="shared" si="110"/>
        <v/>
      </c>
      <c r="EC34" s="443" t="str">
        <f t="shared" si="111"/>
        <v/>
      </c>
      <c r="ED34" s="443" t="str">
        <f t="shared" si="112"/>
        <v/>
      </c>
      <c r="EE34" s="443" t="str">
        <f t="shared" si="113"/>
        <v/>
      </c>
      <c r="EF34" s="443" t="str">
        <f t="shared" si="114"/>
        <v/>
      </c>
      <c r="EG34" s="443" t="str">
        <f t="shared" si="115"/>
        <v/>
      </c>
      <c r="EH34" s="443" t="str">
        <f t="shared" si="116"/>
        <v/>
      </c>
      <c r="EI34" s="443" t="str">
        <f t="shared" si="117"/>
        <v/>
      </c>
      <c r="EJ34" s="443" t="str">
        <f t="shared" si="118"/>
        <v/>
      </c>
      <c r="EK34" s="443" t="str">
        <f t="shared" si="119"/>
        <v/>
      </c>
      <c r="EL34" s="443" t="str">
        <f t="shared" si="120"/>
        <v/>
      </c>
      <c r="EM34" s="443" t="str">
        <f t="shared" si="121"/>
        <v/>
      </c>
      <c r="EN34" s="443" t="str">
        <f t="shared" si="122"/>
        <v/>
      </c>
      <c r="EO34" s="443" t="str">
        <f t="shared" si="123"/>
        <v/>
      </c>
      <c r="EP34" s="443" t="str">
        <f t="shared" si="124"/>
        <v/>
      </c>
      <c r="EQ34" s="443" t="str">
        <f t="shared" si="125"/>
        <v/>
      </c>
      <c r="ER34" s="443" t="str">
        <f t="shared" si="126"/>
        <v/>
      </c>
      <c r="ES34" s="443" t="str">
        <f t="shared" si="127"/>
        <v/>
      </c>
      <c r="ET34" s="443" t="str">
        <f t="shared" si="128"/>
        <v/>
      </c>
      <c r="EU34" s="443" t="str">
        <f t="shared" si="129"/>
        <v/>
      </c>
      <c r="EV34" s="443" t="str">
        <f t="shared" si="130"/>
        <v/>
      </c>
      <c r="EW34" s="443" t="str">
        <f t="shared" si="131"/>
        <v/>
      </c>
      <c r="EX34" s="443" t="str">
        <f t="shared" si="132"/>
        <v/>
      </c>
      <c r="EY34" s="443" t="str">
        <f t="shared" si="133"/>
        <v/>
      </c>
      <c r="EZ34" s="443" t="str">
        <f t="shared" si="134"/>
        <v/>
      </c>
      <c r="FA34" s="443" t="str">
        <f t="shared" si="135"/>
        <v/>
      </c>
      <c r="FB34" s="443" t="str">
        <f t="shared" si="136"/>
        <v/>
      </c>
      <c r="FC34" s="443" t="str">
        <f t="shared" si="137"/>
        <v/>
      </c>
      <c r="FD34" s="443" t="str">
        <f t="shared" si="138"/>
        <v/>
      </c>
      <c r="FE34" s="443" t="str">
        <f t="shared" si="139"/>
        <v/>
      </c>
      <c r="FF34" s="443" t="str">
        <f t="shared" si="140"/>
        <v/>
      </c>
      <c r="FG34" s="443" t="str">
        <f t="shared" si="141"/>
        <v/>
      </c>
      <c r="FH34" s="443" t="str">
        <f t="shared" si="142"/>
        <v/>
      </c>
      <c r="FI34" s="443" t="str">
        <f t="shared" si="143"/>
        <v/>
      </c>
      <c r="FJ34" s="443" t="str">
        <f t="shared" si="144"/>
        <v/>
      </c>
      <c r="FK34" s="443" t="str">
        <f t="shared" si="145"/>
        <v/>
      </c>
      <c r="FL34" s="443" t="str">
        <f t="shared" si="146"/>
        <v/>
      </c>
      <c r="FM34" s="443" t="str">
        <f t="shared" si="147"/>
        <v/>
      </c>
      <c r="FN34" s="443" t="str">
        <f t="shared" si="148"/>
        <v/>
      </c>
      <c r="FO34" s="443" t="str">
        <f t="shared" si="149"/>
        <v/>
      </c>
      <c r="FP34" s="443" t="str">
        <f t="shared" si="150"/>
        <v/>
      </c>
      <c r="FQ34" s="443" t="str">
        <f t="shared" si="151"/>
        <v/>
      </c>
      <c r="FR34" s="443" t="str">
        <f t="shared" si="152"/>
        <v/>
      </c>
      <c r="FS34" s="443" t="str">
        <f t="shared" si="153"/>
        <v/>
      </c>
      <c r="FT34" s="443" t="str">
        <f t="shared" si="154"/>
        <v/>
      </c>
      <c r="FU34" s="443" t="str">
        <f t="shared" si="155"/>
        <v/>
      </c>
      <c r="FV34" s="443" t="str">
        <f t="shared" si="156"/>
        <v/>
      </c>
      <c r="FW34" s="443" t="str">
        <f t="shared" si="157"/>
        <v/>
      </c>
      <c r="FX34" s="443" t="str">
        <f t="shared" si="158"/>
        <v/>
      </c>
      <c r="FY34" s="443" t="str">
        <f t="shared" si="159"/>
        <v/>
      </c>
      <c r="FZ34" s="443" t="str">
        <f t="shared" si="160"/>
        <v/>
      </c>
      <c r="GA34" s="443" t="str">
        <f t="shared" si="161"/>
        <v/>
      </c>
      <c r="GB34" s="443" t="str">
        <f t="shared" si="162"/>
        <v/>
      </c>
      <c r="GC34" s="443" t="str">
        <f t="shared" si="163"/>
        <v/>
      </c>
      <c r="GD34" s="443" t="str">
        <f t="shared" si="164"/>
        <v/>
      </c>
      <c r="GE34" s="443" t="str">
        <f t="shared" si="165"/>
        <v/>
      </c>
      <c r="GF34" s="443" t="str">
        <f t="shared" si="166"/>
        <v/>
      </c>
      <c r="GG34" s="443" t="str">
        <f t="shared" si="167"/>
        <v/>
      </c>
      <c r="GH34" s="443" t="str">
        <f t="shared" si="168"/>
        <v/>
      </c>
      <c r="GI34" s="443" t="str">
        <f t="shared" si="169"/>
        <v/>
      </c>
      <c r="GJ34" s="443" t="str">
        <f t="shared" si="170"/>
        <v/>
      </c>
      <c r="GK34" s="443" t="str">
        <f t="shared" si="171"/>
        <v/>
      </c>
      <c r="GL34" s="443" t="str">
        <f t="shared" si="172"/>
        <v/>
      </c>
      <c r="GM34" s="443" t="str">
        <f t="shared" si="173"/>
        <v/>
      </c>
      <c r="GN34" s="443" t="str">
        <f t="shared" si="174"/>
        <v/>
      </c>
      <c r="GO34" s="443" t="str">
        <f t="shared" si="175"/>
        <v/>
      </c>
      <c r="GP34" s="443" t="str">
        <f t="shared" si="176"/>
        <v/>
      </c>
      <c r="GQ34" s="443" t="str">
        <f t="shared" si="177"/>
        <v/>
      </c>
      <c r="GR34" s="443" t="str">
        <f t="shared" si="178"/>
        <v/>
      </c>
      <c r="GS34" s="443" t="str">
        <f t="shared" si="179"/>
        <v/>
      </c>
      <c r="GT34" s="443" t="str">
        <f t="shared" si="180"/>
        <v/>
      </c>
      <c r="GU34" s="443" t="str">
        <f t="shared" si="181"/>
        <v/>
      </c>
      <c r="GV34" s="443" t="str">
        <f t="shared" si="182"/>
        <v/>
      </c>
      <c r="GW34" s="443" t="str">
        <f t="shared" si="183"/>
        <v/>
      </c>
      <c r="GX34" s="443" t="str">
        <f t="shared" si="184"/>
        <v/>
      </c>
      <c r="GY34" s="443" t="str">
        <f t="shared" si="185"/>
        <v/>
      </c>
      <c r="GZ34" s="443" t="str">
        <f t="shared" si="186"/>
        <v/>
      </c>
      <c r="HA34" s="443" t="str">
        <f t="shared" si="187"/>
        <v/>
      </c>
      <c r="HB34" s="443" t="str">
        <f t="shared" si="188"/>
        <v/>
      </c>
      <c r="HC34" s="443" t="str">
        <f t="shared" si="189"/>
        <v/>
      </c>
      <c r="HD34" s="443" t="str">
        <f t="shared" si="190"/>
        <v/>
      </c>
      <c r="HE34" s="443" t="str">
        <f t="shared" si="191"/>
        <v/>
      </c>
      <c r="HF34" s="443" t="str">
        <f t="shared" si="192"/>
        <v/>
      </c>
      <c r="HG34" s="443" t="str">
        <f t="shared" si="193"/>
        <v/>
      </c>
      <c r="HH34" s="443" t="str">
        <f t="shared" si="194"/>
        <v/>
      </c>
      <c r="HI34" s="443" t="str">
        <f t="shared" si="195"/>
        <v/>
      </c>
      <c r="HJ34" s="443" t="str">
        <f t="shared" si="196"/>
        <v/>
      </c>
      <c r="HK34" s="443" t="str">
        <f t="shared" si="197"/>
        <v/>
      </c>
      <c r="HL34" s="443" t="str">
        <f t="shared" si="198"/>
        <v/>
      </c>
      <c r="HM34" s="443" t="str">
        <f t="shared" si="199"/>
        <v/>
      </c>
      <c r="HN34" s="443" t="str">
        <f t="shared" si="200"/>
        <v/>
      </c>
      <c r="HO34" s="443" t="str">
        <f t="shared" si="201"/>
        <v/>
      </c>
      <c r="HP34" s="443" t="str">
        <f t="shared" si="202"/>
        <v/>
      </c>
      <c r="HQ34" s="443" t="str">
        <f t="shared" si="203"/>
        <v/>
      </c>
      <c r="HR34" s="443" t="str">
        <f t="shared" si="204"/>
        <v/>
      </c>
      <c r="HS34" s="443" t="str">
        <f t="shared" si="205"/>
        <v/>
      </c>
      <c r="HT34" s="443" t="str">
        <f t="shared" si="206"/>
        <v/>
      </c>
      <c r="HU34" s="443" t="str">
        <f t="shared" si="207"/>
        <v/>
      </c>
      <c r="HV34" s="443" t="str">
        <f t="shared" si="208"/>
        <v/>
      </c>
      <c r="HW34" s="443" t="str">
        <f t="shared" si="209"/>
        <v/>
      </c>
      <c r="HX34" s="443" t="str">
        <f t="shared" si="210"/>
        <v/>
      </c>
      <c r="HY34" s="443" t="str">
        <f t="shared" si="211"/>
        <v/>
      </c>
      <c r="HZ34" s="2247" t="str">
        <f t="shared" si="212"/>
        <v/>
      </c>
      <c r="IA34" s="2247" t="str">
        <f t="shared" si="213"/>
        <v/>
      </c>
      <c r="IB34" s="2247" t="str">
        <f t="shared" si="214"/>
        <v/>
      </c>
      <c r="IC34" s="2247" t="str">
        <f t="shared" si="215"/>
        <v/>
      </c>
      <c r="ID34" s="2247" t="str">
        <f t="shared" si="216"/>
        <v/>
      </c>
      <c r="IE34" s="2247" t="str">
        <f t="shared" si="217"/>
        <v/>
      </c>
      <c r="IF34" s="2247" t="str">
        <f t="shared" si="218"/>
        <v/>
      </c>
      <c r="IG34" s="2247" t="str">
        <f t="shared" si="219"/>
        <v/>
      </c>
      <c r="IH34" s="2247" t="str">
        <f t="shared" si="220"/>
        <v/>
      </c>
      <c r="II34" s="2247" t="str">
        <f t="shared" si="221"/>
        <v/>
      </c>
      <c r="IJ34" s="2247" t="str">
        <f t="shared" si="222"/>
        <v/>
      </c>
      <c r="IK34" s="2247" t="str">
        <f t="shared" si="223"/>
        <v/>
      </c>
      <c r="IL34" s="2247" t="str">
        <f t="shared" si="224"/>
        <v/>
      </c>
      <c r="IM34" s="2247" t="str">
        <f t="shared" si="225"/>
        <v/>
      </c>
      <c r="IN34" s="2247" t="str">
        <f t="shared" si="226"/>
        <v/>
      </c>
      <c r="IO34" s="2247" t="str">
        <f t="shared" si="227"/>
        <v/>
      </c>
      <c r="IP34" s="2247" t="str">
        <f t="shared" si="228"/>
        <v/>
      </c>
      <c r="IQ34" s="2247" t="str">
        <f t="shared" si="229"/>
        <v/>
      </c>
      <c r="IR34" s="2247" t="str">
        <f t="shared" si="230"/>
        <v/>
      </c>
      <c r="IS34" s="2247" t="str">
        <f t="shared" si="231"/>
        <v/>
      </c>
      <c r="IT34" s="2247" t="str">
        <f t="shared" si="232"/>
        <v/>
      </c>
      <c r="IU34" s="2247" t="str">
        <f t="shared" si="233"/>
        <v/>
      </c>
      <c r="IV34" s="2247" t="str">
        <f t="shared" si="234"/>
        <v/>
      </c>
      <c r="IW34" s="2247" t="str">
        <f t="shared" si="235"/>
        <v/>
      </c>
      <c r="IX34" s="2247" t="str">
        <f t="shared" si="236"/>
        <v/>
      </c>
      <c r="IY34" s="2247" t="str">
        <f t="shared" si="237"/>
        <v/>
      </c>
      <c r="IZ34" s="2247" t="str">
        <f t="shared" si="238"/>
        <v/>
      </c>
      <c r="JA34" s="2247" t="str">
        <f t="shared" si="239"/>
        <v/>
      </c>
      <c r="JB34" s="2247" t="str">
        <f t="shared" si="240"/>
        <v/>
      </c>
      <c r="JC34" s="2247" t="str">
        <f t="shared" si="241"/>
        <v/>
      </c>
      <c r="JD34" s="2247" t="str">
        <f t="shared" si="242"/>
        <v/>
      </c>
      <c r="JE34" s="2247" t="str">
        <f t="shared" si="243"/>
        <v/>
      </c>
      <c r="JF34" s="2247" t="str">
        <f t="shared" si="244"/>
        <v/>
      </c>
      <c r="JG34" s="2247" t="str">
        <f t="shared" si="245"/>
        <v/>
      </c>
      <c r="JH34" s="2247" t="str">
        <f t="shared" si="246"/>
        <v/>
      </c>
      <c r="JI34" s="2247" t="str">
        <f t="shared" si="247"/>
        <v/>
      </c>
      <c r="JJ34" s="2247" t="str">
        <f t="shared" si="248"/>
        <v/>
      </c>
      <c r="JK34" s="2247" t="str">
        <f t="shared" si="249"/>
        <v/>
      </c>
      <c r="JL34" s="2247" t="str">
        <f t="shared" si="250"/>
        <v/>
      </c>
      <c r="JM34" s="2247" t="str">
        <f t="shared" si="251"/>
        <v/>
      </c>
      <c r="JN34" s="2247" t="str">
        <f t="shared" si="252"/>
        <v/>
      </c>
      <c r="JO34" s="2247" t="str">
        <f t="shared" si="253"/>
        <v/>
      </c>
      <c r="JP34" s="2247" t="str">
        <f t="shared" si="254"/>
        <v/>
      </c>
      <c r="JQ34" s="2247" t="str">
        <f t="shared" si="255"/>
        <v/>
      </c>
      <c r="JR34" s="2247" t="str">
        <f t="shared" si="256"/>
        <v/>
      </c>
      <c r="JS34" s="2247" t="str">
        <f t="shared" si="257"/>
        <v/>
      </c>
      <c r="JT34" s="2247" t="str">
        <f t="shared" si="258"/>
        <v/>
      </c>
      <c r="JU34" s="2247" t="str">
        <f t="shared" si="259"/>
        <v/>
      </c>
      <c r="JV34" s="2247" t="str">
        <f t="shared" si="260"/>
        <v/>
      </c>
      <c r="JW34" s="2247" t="str">
        <f t="shared" si="261"/>
        <v/>
      </c>
      <c r="JX34" s="2247" t="str">
        <f t="shared" si="262"/>
        <v/>
      </c>
      <c r="JY34" s="2247" t="str">
        <f t="shared" si="263"/>
        <v/>
      </c>
      <c r="JZ34" s="2247" t="str">
        <f t="shared" si="264"/>
        <v/>
      </c>
      <c r="KA34" s="2247" t="str">
        <f t="shared" si="265"/>
        <v/>
      </c>
      <c r="KB34" s="2247" t="str">
        <f t="shared" si="266"/>
        <v/>
      </c>
      <c r="KC34" s="2247" t="str">
        <f t="shared" si="267"/>
        <v/>
      </c>
      <c r="KD34" s="2247" t="str">
        <f t="shared" si="268"/>
        <v/>
      </c>
      <c r="KE34" s="2247" t="str">
        <f t="shared" si="269"/>
        <v/>
      </c>
      <c r="KF34" s="2247" t="str">
        <f t="shared" si="270"/>
        <v/>
      </c>
      <c r="KG34" s="2247" t="str">
        <f t="shared" si="271"/>
        <v/>
      </c>
      <c r="KH34" s="2247" t="str">
        <f t="shared" si="272"/>
        <v/>
      </c>
      <c r="KI34" s="2247" t="str">
        <f t="shared" si="273"/>
        <v/>
      </c>
      <c r="KJ34" s="2247" t="str">
        <f t="shared" si="274"/>
        <v/>
      </c>
      <c r="KK34" s="2247" t="str">
        <f t="shared" si="275"/>
        <v/>
      </c>
      <c r="KL34" s="2247" t="str">
        <f t="shared" si="276"/>
        <v/>
      </c>
      <c r="KM34" s="2247" t="str">
        <f t="shared" si="277"/>
        <v/>
      </c>
      <c r="KN34" s="2247" t="str">
        <f t="shared" si="278"/>
        <v/>
      </c>
      <c r="KO34" s="2247" t="str">
        <f t="shared" si="279"/>
        <v/>
      </c>
      <c r="KP34" s="2247" t="str">
        <f t="shared" si="280"/>
        <v/>
      </c>
      <c r="KQ34" s="2247" t="str">
        <f t="shared" si="281"/>
        <v/>
      </c>
      <c r="KR34" s="2247" t="str">
        <f t="shared" si="282"/>
        <v/>
      </c>
      <c r="KS34" s="2247" t="str">
        <f t="shared" si="283"/>
        <v/>
      </c>
      <c r="KT34" s="2247" t="str">
        <f t="shared" si="284"/>
        <v/>
      </c>
      <c r="KU34" s="2247" t="str">
        <f t="shared" si="285"/>
        <v/>
      </c>
      <c r="KV34" s="2247" t="str">
        <f t="shared" si="286"/>
        <v/>
      </c>
      <c r="KW34" s="2247" t="str">
        <f t="shared" si="287"/>
        <v/>
      </c>
      <c r="KX34" s="2247" t="str">
        <f t="shared" si="288"/>
        <v/>
      </c>
      <c r="KY34" s="2247" t="str">
        <f t="shared" si="289"/>
        <v/>
      </c>
      <c r="KZ34" s="2247" t="str">
        <f t="shared" si="290"/>
        <v/>
      </c>
      <c r="LA34" s="2247" t="str">
        <f t="shared" si="291"/>
        <v/>
      </c>
      <c r="LB34" s="2247" t="str">
        <f t="shared" si="292"/>
        <v/>
      </c>
      <c r="LC34" s="2247" t="str">
        <f t="shared" si="293"/>
        <v/>
      </c>
      <c r="LD34" s="2247" t="str">
        <f t="shared" si="294"/>
        <v/>
      </c>
      <c r="LE34" s="2247" t="str">
        <f t="shared" si="295"/>
        <v/>
      </c>
      <c r="LF34" s="2247" t="str">
        <f t="shared" si="296"/>
        <v/>
      </c>
      <c r="LG34" s="2247" t="str">
        <f t="shared" si="297"/>
        <v/>
      </c>
      <c r="LH34" s="2247" t="str">
        <f t="shared" si="298"/>
        <v/>
      </c>
      <c r="LI34" s="2247" t="str">
        <f t="shared" si="299"/>
        <v/>
      </c>
      <c r="LJ34" s="2247" t="str">
        <f t="shared" si="300"/>
        <v/>
      </c>
      <c r="LK34" s="2247" t="str">
        <f t="shared" si="301"/>
        <v/>
      </c>
      <c r="LL34" s="2247" t="str">
        <f t="shared" si="302"/>
        <v/>
      </c>
      <c r="LM34" s="2247" t="str">
        <f t="shared" si="303"/>
        <v/>
      </c>
      <c r="LN34" s="2247" t="str">
        <f t="shared" si="304"/>
        <v/>
      </c>
      <c r="LO34" s="2247" t="str">
        <f t="shared" si="305"/>
        <v/>
      </c>
      <c r="LP34" s="2247" t="str">
        <f t="shared" si="306"/>
        <v/>
      </c>
      <c r="LQ34" s="2248" t="str">
        <f t="shared" si="307"/>
        <v/>
      </c>
      <c r="LR34" s="2248" t="str">
        <f t="shared" si="308"/>
        <v/>
      </c>
      <c r="LS34" s="2248" t="str">
        <f t="shared" si="309"/>
        <v/>
      </c>
      <c r="LT34" s="2248" t="str">
        <f t="shared" si="310"/>
        <v/>
      </c>
      <c r="LU34" s="2248" t="str">
        <f t="shared" si="311"/>
        <v/>
      </c>
      <c r="LV34" s="443" t="str">
        <f t="shared" si="312"/>
        <v/>
      </c>
      <c r="LW34" s="443" t="str">
        <f t="shared" si="313"/>
        <v/>
      </c>
      <c r="LX34" s="443" t="str">
        <f t="shared" si="314"/>
        <v/>
      </c>
      <c r="LY34" s="443" t="str">
        <f t="shared" si="315"/>
        <v/>
      </c>
      <c r="LZ34" s="443" t="str">
        <f t="shared" si="316"/>
        <v/>
      </c>
      <c r="MA34" s="443" t="str">
        <f t="shared" si="317"/>
        <v/>
      </c>
      <c r="MB34" s="443" t="str">
        <f t="shared" si="318"/>
        <v/>
      </c>
      <c r="MC34" s="443" t="str">
        <f t="shared" si="319"/>
        <v/>
      </c>
      <c r="MD34" s="443" t="str">
        <f t="shared" si="320"/>
        <v/>
      </c>
      <c r="ME34" s="443" t="str">
        <f t="shared" si="321"/>
        <v/>
      </c>
      <c r="MF34" s="443" t="str">
        <f t="shared" si="322"/>
        <v/>
      </c>
      <c r="MG34" s="443" t="str">
        <f t="shared" si="323"/>
        <v/>
      </c>
      <c r="MH34" s="443" t="str">
        <f t="shared" si="324"/>
        <v/>
      </c>
      <c r="MI34" s="443" t="str">
        <f t="shared" si="325"/>
        <v/>
      </c>
      <c r="MJ34" s="443" t="str">
        <f t="shared" si="326"/>
        <v/>
      </c>
      <c r="MK34" s="443" t="str">
        <f t="shared" si="327"/>
        <v/>
      </c>
      <c r="ML34" s="443" t="str">
        <f t="shared" si="328"/>
        <v/>
      </c>
      <c r="MM34" s="443" t="str">
        <f t="shared" si="329"/>
        <v/>
      </c>
      <c r="MN34" s="443" t="str">
        <f t="shared" si="330"/>
        <v/>
      </c>
      <c r="MO34" s="443" t="str">
        <f t="shared" si="331"/>
        <v/>
      </c>
      <c r="MP34" s="2246">
        <f t="shared" si="338"/>
        <v>0</v>
      </c>
      <c r="MQ34" s="2246">
        <f t="shared" si="339"/>
        <v>0</v>
      </c>
      <c r="MR34" s="2246">
        <f t="shared" si="340"/>
        <v>0</v>
      </c>
      <c r="MS34" s="2246">
        <f t="shared" si="341"/>
        <v>0</v>
      </c>
      <c r="MT34" s="2246">
        <f t="shared" si="342"/>
        <v>0</v>
      </c>
      <c r="MU34" s="2246">
        <f t="shared" si="343"/>
        <v>0</v>
      </c>
      <c r="MV34" s="2246">
        <f t="shared" si="344"/>
        <v>0</v>
      </c>
      <c r="MW34" s="2246">
        <f t="shared" si="345"/>
        <v>0</v>
      </c>
      <c r="MX34" s="2246">
        <f t="shared" si="346"/>
        <v>0</v>
      </c>
      <c r="MY34" s="2246">
        <f t="shared" si="347"/>
        <v>0</v>
      </c>
      <c r="MZ34" s="2246">
        <f t="shared" si="332"/>
        <v>0</v>
      </c>
      <c r="NA34" s="2246">
        <f t="shared" si="333"/>
        <v>0</v>
      </c>
      <c r="NB34" s="2246">
        <f t="shared" si="334"/>
        <v>0</v>
      </c>
      <c r="NC34" s="2246">
        <f t="shared" si="335"/>
        <v>0</v>
      </c>
      <c r="ND34" s="2246">
        <f t="shared" si="336"/>
        <v>0</v>
      </c>
    </row>
    <row r="35" spans="1:369" ht="13.95" customHeight="1">
      <c r="A35" s="109" t="str">
        <f t="shared" si="337"/>
        <v/>
      </c>
      <c r="B35" s="4015"/>
      <c r="C35" s="3987"/>
      <c r="D35" s="3988"/>
      <c r="E35" s="3989"/>
      <c r="F35" s="3989"/>
      <c r="G35" s="3989"/>
      <c r="H35" s="3989"/>
      <c r="I35" s="3989"/>
      <c r="J35" s="4016">
        <f>IF(C35="",0,HLOOKUP(C35,'Part V-Utility Allowances'!$I$11:$M$22,12))</f>
        <v>0</v>
      </c>
      <c r="K35" s="3991"/>
      <c r="L35" s="567">
        <f t="shared" si="0"/>
        <v>0</v>
      </c>
      <c r="M35" s="567">
        <f t="shared" si="1"/>
        <v>0</v>
      </c>
      <c r="N35" s="3992"/>
      <c r="O35" s="3992"/>
      <c r="P35" s="3992"/>
      <c r="Q35" s="3993"/>
      <c r="R35" s="3994"/>
      <c r="S35" s="3995"/>
      <c r="T35" s="3996"/>
      <c r="U35" s="3997"/>
      <c r="V35" s="3997"/>
      <c r="W35" s="3998"/>
      <c r="X35" s="443" t="str">
        <f t="shared" si="2"/>
        <v/>
      </c>
      <c r="Y35" s="443" t="str">
        <f t="shared" si="3"/>
        <v/>
      </c>
      <c r="Z35" s="443" t="str">
        <f t="shared" si="4"/>
        <v/>
      </c>
      <c r="AA35" s="443" t="str">
        <f t="shared" si="5"/>
        <v/>
      </c>
      <c r="AB35" s="443" t="str">
        <f t="shared" si="6"/>
        <v/>
      </c>
      <c r="AC35" s="443" t="str">
        <f t="shared" si="7"/>
        <v/>
      </c>
      <c r="AD35" s="443" t="str">
        <f t="shared" si="8"/>
        <v/>
      </c>
      <c r="AE35" s="443" t="str">
        <f t="shared" si="9"/>
        <v/>
      </c>
      <c r="AF35" s="443" t="str">
        <f t="shared" si="10"/>
        <v/>
      </c>
      <c r="AG35" s="443" t="str">
        <f t="shared" si="11"/>
        <v/>
      </c>
      <c r="AH35" s="443" t="str">
        <f t="shared" si="12"/>
        <v/>
      </c>
      <c r="AI35" s="443" t="str">
        <f t="shared" si="13"/>
        <v/>
      </c>
      <c r="AJ35" s="443" t="str">
        <f t="shared" si="14"/>
        <v/>
      </c>
      <c r="AK35" s="443" t="str">
        <f t="shared" si="15"/>
        <v/>
      </c>
      <c r="AL35" s="443" t="str">
        <f t="shared" si="16"/>
        <v/>
      </c>
      <c r="AM35" s="443" t="str">
        <f t="shared" si="17"/>
        <v/>
      </c>
      <c r="AN35" s="443" t="str">
        <f t="shared" si="18"/>
        <v/>
      </c>
      <c r="AO35" s="443" t="str">
        <f t="shared" si="19"/>
        <v/>
      </c>
      <c r="AP35" s="443" t="str">
        <f t="shared" si="20"/>
        <v/>
      </c>
      <c r="AQ35" s="443" t="str">
        <f t="shared" si="21"/>
        <v/>
      </c>
      <c r="AR35" s="443" t="str">
        <f t="shared" si="22"/>
        <v/>
      </c>
      <c r="AS35" s="443" t="str">
        <f t="shared" si="23"/>
        <v/>
      </c>
      <c r="AT35" s="443" t="str">
        <f t="shared" si="24"/>
        <v/>
      </c>
      <c r="AU35" s="443" t="str">
        <f t="shared" si="25"/>
        <v/>
      </c>
      <c r="AV35" s="443" t="str">
        <f t="shared" si="26"/>
        <v/>
      </c>
      <c r="AW35" s="443" t="str">
        <f t="shared" si="27"/>
        <v/>
      </c>
      <c r="AX35" s="443" t="str">
        <f t="shared" si="28"/>
        <v/>
      </c>
      <c r="AY35" s="443" t="str">
        <f t="shared" si="29"/>
        <v/>
      </c>
      <c r="AZ35" s="443" t="str">
        <f t="shared" si="30"/>
        <v/>
      </c>
      <c r="BA35" s="443" t="str">
        <f t="shared" si="31"/>
        <v/>
      </c>
      <c r="BB35" s="443" t="str">
        <f t="shared" si="32"/>
        <v/>
      </c>
      <c r="BC35" s="443" t="str">
        <f t="shared" si="33"/>
        <v/>
      </c>
      <c r="BD35" s="443" t="str">
        <f t="shared" si="34"/>
        <v/>
      </c>
      <c r="BE35" s="443" t="str">
        <f t="shared" si="35"/>
        <v/>
      </c>
      <c r="BF35" s="443" t="str">
        <f t="shared" si="36"/>
        <v/>
      </c>
      <c r="BG35" s="443" t="str">
        <f t="shared" si="37"/>
        <v/>
      </c>
      <c r="BH35" s="443" t="str">
        <f t="shared" si="38"/>
        <v/>
      </c>
      <c r="BI35" s="443" t="str">
        <f t="shared" si="39"/>
        <v/>
      </c>
      <c r="BJ35" s="443" t="str">
        <f t="shared" si="40"/>
        <v/>
      </c>
      <c r="BK35" s="443" t="str">
        <f t="shared" si="41"/>
        <v/>
      </c>
      <c r="BL35" s="443" t="str">
        <f t="shared" si="42"/>
        <v/>
      </c>
      <c r="BM35" s="443" t="str">
        <f t="shared" si="43"/>
        <v/>
      </c>
      <c r="BN35" s="443" t="str">
        <f t="shared" si="44"/>
        <v/>
      </c>
      <c r="BO35" s="443" t="str">
        <f t="shared" si="45"/>
        <v/>
      </c>
      <c r="BP35" s="443" t="str">
        <f t="shared" si="46"/>
        <v/>
      </c>
      <c r="BQ35" s="443" t="str">
        <f t="shared" si="47"/>
        <v/>
      </c>
      <c r="BR35" s="443" t="str">
        <f t="shared" si="48"/>
        <v/>
      </c>
      <c r="BS35" s="443" t="str">
        <f t="shared" si="49"/>
        <v/>
      </c>
      <c r="BT35" s="443" t="str">
        <f t="shared" si="50"/>
        <v/>
      </c>
      <c r="BU35" s="443" t="str">
        <f t="shared" si="51"/>
        <v/>
      </c>
      <c r="BV35" s="443" t="str">
        <f t="shared" si="52"/>
        <v/>
      </c>
      <c r="BW35" s="443" t="str">
        <f t="shared" si="53"/>
        <v/>
      </c>
      <c r="BX35" s="443" t="str">
        <f t="shared" si="54"/>
        <v/>
      </c>
      <c r="BY35" s="443" t="str">
        <f t="shared" si="55"/>
        <v/>
      </c>
      <c r="BZ35" s="443" t="str">
        <f t="shared" si="56"/>
        <v/>
      </c>
      <c r="CA35" s="443" t="str">
        <f t="shared" si="57"/>
        <v/>
      </c>
      <c r="CB35" s="443" t="str">
        <f t="shared" si="58"/>
        <v/>
      </c>
      <c r="CC35" s="443" t="str">
        <f t="shared" si="59"/>
        <v/>
      </c>
      <c r="CD35" s="443" t="str">
        <f t="shared" si="60"/>
        <v/>
      </c>
      <c r="CE35" s="443" t="str">
        <f t="shared" si="61"/>
        <v/>
      </c>
      <c r="CF35" s="443" t="str">
        <f t="shared" si="62"/>
        <v/>
      </c>
      <c r="CG35" s="443" t="str">
        <f t="shared" si="63"/>
        <v/>
      </c>
      <c r="CH35" s="443" t="str">
        <f t="shared" si="64"/>
        <v/>
      </c>
      <c r="CI35" s="443" t="str">
        <f t="shared" si="65"/>
        <v/>
      </c>
      <c r="CJ35" s="443" t="str">
        <f t="shared" si="66"/>
        <v/>
      </c>
      <c r="CK35" s="443" t="str">
        <f t="shared" si="67"/>
        <v/>
      </c>
      <c r="CL35" s="443" t="str">
        <f t="shared" si="68"/>
        <v/>
      </c>
      <c r="CM35" s="443" t="str">
        <f t="shared" si="69"/>
        <v/>
      </c>
      <c r="CN35" s="443" t="str">
        <f t="shared" si="70"/>
        <v/>
      </c>
      <c r="CO35" s="443" t="str">
        <f t="shared" si="71"/>
        <v/>
      </c>
      <c r="CP35" s="443" t="str">
        <f t="shared" si="72"/>
        <v/>
      </c>
      <c r="CQ35" s="443" t="str">
        <f t="shared" si="73"/>
        <v/>
      </c>
      <c r="CR35" s="443" t="str">
        <f t="shared" si="74"/>
        <v/>
      </c>
      <c r="CS35" s="443" t="str">
        <f t="shared" si="75"/>
        <v/>
      </c>
      <c r="CT35" s="443" t="str">
        <f t="shared" si="76"/>
        <v/>
      </c>
      <c r="CU35" s="443" t="str">
        <f t="shared" si="77"/>
        <v/>
      </c>
      <c r="CV35" s="443" t="str">
        <f t="shared" si="78"/>
        <v/>
      </c>
      <c r="CW35" s="443" t="str">
        <f t="shared" si="79"/>
        <v/>
      </c>
      <c r="CX35" s="443" t="str">
        <f t="shared" si="80"/>
        <v/>
      </c>
      <c r="CY35" s="443" t="str">
        <f t="shared" si="81"/>
        <v/>
      </c>
      <c r="CZ35" s="443" t="str">
        <f t="shared" si="82"/>
        <v/>
      </c>
      <c r="DA35" s="443" t="str">
        <f t="shared" si="83"/>
        <v/>
      </c>
      <c r="DB35" s="443" t="str">
        <f t="shared" si="84"/>
        <v/>
      </c>
      <c r="DC35" s="443" t="str">
        <f t="shared" si="85"/>
        <v/>
      </c>
      <c r="DD35" s="443" t="str">
        <f t="shared" si="86"/>
        <v/>
      </c>
      <c r="DE35" s="443" t="str">
        <f t="shared" si="87"/>
        <v/>
      </c>
      <c r="DF35" s="443" t="str">
        <f t="shared" si="88"/>
        <v/>
      </c>
      <c r="DG35" s="443" t="str">
        <f t="shared" si="89"/>
        <v/>
      </c>
      <c r="DH35" s="443" t="str">
        <f t="shared" si="90"/>
        <v/>
      </c>
      <c r="DI35" s="443" t="str">
        <f t="shared" si="91"/>
        <v/>
      </c>
      <c r="DJ35" s="443" t="str">
        <f t="shared" si="92"/>
        <v/>
      </c>
      <c r="DK35" s="443" t="str">
        <f t="shared" si="93"/>
        <v/>
      </c>
      <c r="DL35" s="443" t="str">
        <f t="shared" si="94"/>
        <v/>
      </c>
      <c r="DM35" s="443" t="str">
        <f t="shared" si="95"/>
        <v/>
      </c>
      <c r="DN35" s="443" t="str">
        <f t="shared" si="96"/>
        <v/>
      </c>
      <c r="DO35" s="443" t="str">
        <f t="shared" si="97"/>
        <v/>
      </c>
      <c r="DP35" s="443" t="str">
        <f t="shared" si="98"/>
        <v/>
      </c>
      <c r="DQ35" s="443" t="str">
        <f t="shared" si="99"/>
        <v/>
      </c>
      <c r="DR35" s="443" t="str">
        <f t="shared" si="100"/>
        <v/>
      </c>
      <c r="DS35" s="443" t="str">
        <f t="shared" si="101"/>
        <v/>
      </c>
      <c r="DT35" s="443" t="str">
        <f t="shared" si="102"/>
        <v/>
      </c>
      <c r="DU35" s="443" t="str">
        <f t="shared" si="103"/>
        <v/>
      </c>
      <c r="DV35" s="443" t="str">
        <f t="shared" si="104"/>
        <v/>
      </c>
      <c r="DW35" s="443" t="str">
        <f t="shared" si="105"/>
        <v/>
      </c>
      <c r="DX35" s="443" t="str">
        <f t="shared" si="106"/>
        <v/>
      </c>
      <c r="DY35" s="443" t="str">
        <f t="shared" si="107"/>
        <v/>
      </c>
      <c r="DZ35" s="443" t="str">
        <f t="shared" si="108"/>
        <v/>
      </c>
      <c r="EA35" s="443" t="str">
        <f t="shared" si="109"/>
        <v/>
      </c>
      <c r="EB35" s="443" t="str">
        <f t="shared" si="110"/>
        <v/>
      </c>
      <c r="EC35" s="443" t="str">
        <f t="shared" si="111"/>
        <v/>
      </c>
      <c r="ED35" s="443" t="str">
        <f t="shared" si="112"/>
        <v/>
      </c>
      <c r="EE35" s="443" t="str">
        <f t="shared" si="113"/>
        <v/>
      </c>
      <c r="EF35" s="443" t="str">
        <f t="shared" si="114"/>
        <v/>
      </c>
      <c r="EG35" s="443" t="str">
        <f t="shared" si="115"/>
        <v/>
      </c>
      <c r="EH35" s="443" t="str">
        <f t="shared" si="116"/>
        <v/>
      </c>
      <c r="EI35" s="443" t="str">
        <f t="shared" si="117"/>
        <v/>
      </c>
      <c r="EJ35" s="443" t="str">
        <f t="shared" si="118"/>
        <v/>
      </c>
      <c r="EK35" s="443" t="str">
        <f t="shared" si="119"/>
        <v/>
      </c>
      <c r="EL35" s="443" t="str">
        <f t="shared" si="120"/>
        <v/>
      </c>
      <c r="EM35" s="443" t="str">
        <f t="shared" si="121"/>
        <v/>
      </c>
      <c r="EN35" s="443" t="str">
        <f t="shared" si="122"/>
        <v/>
      </c>
      <c r="EO35" s="443" t="str">
        <f t="shared" si="123"/>
        <v/>
      </c>
      <c r="EP35" s="443" t="str">
        <f t="shared" si="124"/>
        <v/>
      </c>
      <c r="EQ35" s="443" t="str">
        <f t="shared" si="125"/>
        <v/>
      </c>
      <c r="ER35" s="443" t="str">
        <f t="shared" si="126"/>
        <v/>
      </c>
      <c r="ES35" s="443" t="str">
        <f t="shared" si="127"/>
        <v/>
      </c>
      <c r="ET35" s="443" t="str">
        <f t="shared" si="128"/>
        <v/>
      </c>
      <c r="EU35" s="443" t="str">
        <f t="shared" si="129"/>
        <v/>
      </c>
      <c r="EV35" s="443" t="str">
        <f t="shared" si="130"/>
        <v/>
      </c>
      <c r="EW35" s="443" t="str">
        <f t="shared" si="131"/>
        <v/>
      </c>
      <c r="EX35" s="443" t="str">
        <f t="shared" si="132"/>
        <v/>
      </c>
      <c r="EY35" s="443" t="str">
        <f t="shared" si="133"/>
        <v/>
      </c>
      <c r="EZ35" s="443" t="str">
        <f t="shared" si="134"/>
        <v/>
      </c>
      <c r="FA35" s="443" t="str">
        <f t="shared" si="135"/>
        <v/>
      </c>
      <c r="FB35" s="443" t="str">
        <f t="shared" si="136"/>
        <v/>
      </c>
      <c r="FC35" s="443" t="str">
        <f t="shared" si="137"/>
        <v/>
      </c>
      <c r="FD35" s="443" t="str">
        <f t="shared" si="138"/>
        <v/>
      </c>
      <c r="FE35" s="443" t="str">
        <f t="shared" si="139"/>
        <v/>
      </c>
      <c r="FF35" s="443" t="str">
        <f t="shared" si="140"/>
        <v/>
      </c>
      <c r="FG35" s="443" t="str">
        <f t="shared" si="141"/>
        <v/>
      </c>
      <c r="FH35" s="443" t="str">
        <f t="shared" si="142"/>
        <v/>
      </c>
      <c r="FI35" s="443" t="str">
        <f t="shared" si="143"/>
        <v/>
      </c>
      <c r="FJ35" s="443" t="str">
        <f t="shared" si="144"/>
        <v/>
      </c>
      <c r="FK35" s="443" t="str">
        <f t="shared" si="145"/>
        <v/>
      </c>
      <c r="FL35" s="443" t="str">
        <f t="shared" si="146"/>
        <v/>
      </c>
      <c r="FM35" s="443" t="str">
        <f t="shared" si="147"/>
        <v/>
      </c>
      <c r="FN35" s="443" t="str">
        <f t="shared" si="148"/>
        <v/>
      </c>
      <c r="FO35" s="443" t="str">
        <f t="shared" si="149"/>
        <v/>
      </c>
      <c r="FP35" s="443" t="str">
        <f t="shared" si="150"/>
        <v/>
      </c>
      <c r="FQ35" s="443" t="str">
        <f t="shared" si="151"/>
        <v/>
      </c>
      <c r="FR35" s="443" t="str">
        <f t="shared" si="152"/>
        <v/>
      </c>
      <c r="FS35" s="443" t="str">
        <f t="shared" si="153"/>
        <v/>
      </c>
      <c r="FT35" s="443" t="str">
        <f t="shared" si="154"/>
        <v/>
      </c>
      <c r="FU35" s="443" t="str">
        <f t="shared" si="155"/>
        <v/>
      </c>
      <c r="FV35" s="443" t="str">
        <f t="shared" si="156"/>
        <v/>
      </c>
      <c r="FW35" s="443" t="str">
        <f t="shared" si="157"/>
        <v/>
      </c>
      <c r="FX35" s="443" t="str">
        <f t="shared" si="158"/>
        <v/>
      </c>
      <c r="FY35" s="443" t="str">
        <f t="shared" si="159"/>
        <v/>
      </c>
      <c r="FZ35" s="443" t="str">
        <f t="shared" si="160"/>
        <v/>
      </c>
      <c r="GA35" s="443" t="str">
        <f t="shared" si="161"/>
        <v/>
      </c>
      <c r="GB35" s="443" t="str">
        <f t="shared" si="162"/>
        <v/>
      </c>
      <c r="GC35" s="443" t="str">
        <f t="shared" si="163"/>
        <v/>
      </c>
      <c r="GD35" s="443" t="str">
        <f t="shared" si="164"/>
        <v/>
      </c>
      <c r="GE35" s="443" t="str">
        <f t="shared" si="165"/>
        <v/>
      </c>
      <c r="GF35" s="443" t="str">
        <f t="shared" si="166"/>
        <v/>
      </c>
      <c r="GG35" s="443" t="str">
        <f t="shared" si="167"/>
        <v/>
      </c>
      <c r="GH35" s="443" t="str">
        <f t="shared" si="168"/>
        <v/>
      </c>
      <c r="GI35" s="443" t="str">
        <f t="shared" si="169"/>
        <v/>
      </c>
      <c r="GJ35" s="443" t="str">
        <f t="shared" si="170"/>
        <v/>
      </c>
      <c r="GK35" s="443" t="str">
        <f t="shared" si="171"/>
        <v/>
      </c>
      <c r="GL35" s="443" t="str">
        <f t="shared" si="172"/>
        <v/>
      </c>
      <c r="GM35" s="443" t="str">
        <f t="shared" si="173"/>
        <v/>
      </c>
      <c r="GN35" s="443" t="str">
        <f t="shared" si="174"/>
        <v/>
      </c>
      <c r="GO35" s="443" t="str">
        <f t="shared" si="175"/>
        <v/>
      </c>
      <c r="GP35" s="443" t="str">
        <f t="shared" si="176"/>
        <v/>
      </c>
      <c r="GQ35" s="443" t="str">
        <f t="shared" si="177"/>
        <v/>
      </c>
      <c r="GR35" s="443" t="str">
        <f t="shared" si="178"/>
        <v/>
      </c>
      <c r="GS35" s="443" t="str">
        <f t="shared" si="179"/>
        <v/>
      </c>
      <c r="GT35" s="443" t="str">
        <f t="shared" si="180"/>
        <v/>
      </c>
      <c r="GU35" s="443" t="str">
        <f t="shared" si="181"/>
        <v/>
      </c>
      <c r="GV35" s="443" t="str">
        <f t="shared" si="182"/>
        <v/>
      </c>
      <c r="GW35" s="443" t="str">
        <f t="shared" si="183"/>
        <v/>
      </c>
      <c r="GX35" s="443" t="str">
        <f t="shared" si="184"/>
        <v/>
      </c>
      <c r="GY35" s="443" t="str">
        <f t="shared" si="185"/>
        <v/>
      </c>
      <c r="GZ35" s="443" t="str">
        <f t="shared" si="186"/>
        <v/>
      </c>
      <c r="HA35" s="443" t="str">
        <f t="shared" si="187"/>
        <v/>
      </c>
      <c r="HB35" s="443" t="str">
        <f t="shared" si="188"/>
        <v/>
      </c>
      <c r="HC35" s="443" t="str">
        <f t="shared" si="189"/>
        <v/>
      </c>
      <c r="HD35" s="443" t="str">
        <f t="shared" si="190"/>
        <v/>
      </c>
      <c r="HE35" s="443" t="str">
        <f t="shared" si="191"/>
        <v/>
      </c>
      <c r="HF35" s="443" t="str">
        <f t="shared" si="192"/>
        <v/>
      </c>
      <c r="HG35" s="443" t="str">
        <f t="shared" si="193"/>
        <v/>
      </c>
      <c r="HH35" s="443" t="str">
        <f t="shared" si="194"/>
        <v/>
      </c>
      <c r="HI35" s="443" t="str">
        <f t="shared" si="195"/>
        <v/>
      </c>
      <c r="HJ35" s="443" t="str">
        <f t="shared" si="196"/>
        <v/>
      </c>
      <c r="HK35" s="443" t="str">
        <f t="shared" si="197"/>
        <v/>
      </c>
      <c r="HL35" s="443" t="str">
        <f t="shared" si="198"/>
        <v/>
      </c>
      <c r="HM35" s="443" t="str">
        <f t="shared" si="199"/>
        <v/>
      </c>
      <c r="HN35" s="443" t="str">
        <f t="shared" si="200"/>
        <v/>
      </c>
      <c r="HO35" s="443" t="str">
        <f t="shared" si="201"/>
        <v/>
      </c>
      <c r="HP35" s="443" t="str">
        <f t="shared" si="202"/>
        <v/>
      </c>
      <c r="HQ35" s="443" t="str">
        <f t="shared" si="203"/>
        <v/>
      </c>
      <c r="HR35" s="443" t="str">
        <f t="shared" si="204"/>
        <v/>
      </c>
      <c r="HS35" s="443" t="str">
        <f t="shared" si="205"/>
        <v/>
      </c>
      <c r="HT35" s="443" t="str">
        <f t="shared" si="206"/>
        <v/>
      </c>
      <c r="HU35" s="443" t="str">
        <f t="shared" si="207"/>
        <v/>
      </c>
      <c r="HV35" s="443" t="str">
        <f t="shared" si="208"/>
        <v/>
      </c>
      <c r="HW35" s="443" t="str">
        <f t="shared" si="209"/>
        <v/>
      </c>
      <c r="HX35" s="443" t="str">
        <f t="shared" si="210"/>
        <v/>
      </c>
      <c r="HY35" s="443" t="str">
        <f t="shared" si="211"/>
        <v/>
      </c>
      <c r="HZ35" s="2247" t="str">
        <f t="shared" si="212"/>
        <v/>
      </c>
      <c r="IA35" s="2247" t="str">
        <f t="shared" si="213"/>
        <v/>
      </c>
      <c r="IB35" s="2247" t="str">
        <f t="shared" si="214"/>
        <v/>
      </c>
      <c r="IC35" s="2247" t="str">
        <f t="shared" si="215"/>
        <v/>
      </c>
      <c r="ID35" s="2247" t="str">
        <f t="shared" si="216"/>
        <v/>
      </c>
      <c r="IE35" s="2247" t="str">
        <f t="shared" si="217"/>
        <v/>
      </c>
      <c r="IF35" s="2247" t="str">
        <f t="shared" si="218"/>
        <v/>
      </c>
      <c r="IG35" s="2247" t="str">
        <f t="shared" si="219"/>
        <v/>
      </c>
      <c r="IH35" s="2247" t="str">
        <f t="shared" si="220"/>
        <v/>
      </c>
      <c r="II35" s="2247" t="str">
        <f t="shared" si="221"/>
        <v/>
      </c>
      <c r="IJ35" s="2247" t="str">
        <f t="shared" si="222"/>
        <v/>
      </c>
      <c r="IK35" s="2247" t="str">
        <f t="shared" si="223"/>
        <v/>
      </c>
      <c r="IL35" s="2247" t="str">
        <f t="shared" si="224"/>
        <v/>
      </c>
      <c r="IM35" s="2247" t="str">
        <f t="shared" si="225"/>
        <v/>
      </c>
      <c r="IN35" s="2247" t="str">
        <f t="shared" si="226"/>
        <v/>
      </c>
      <c r="IO35" s="2247" t="str">
        <f t="shared" si="227"/>
        <v/>
      </c>
      <c r="IP35" s="2247" t="str">
        <f t="shared" si="228"/>
        <v/>
      </c>
      <c r="IQ35" s="2247" t="str">
        <f t="shared" si="229"/>
        <v/>
      </c>
      <c r="IR35" s="2247" t="str">
        <f t="shared" si="230"/>
        <v/>
      </c>
      <c r="IS35" s="2247" t="str">
        <f t="shared" si="231"/>
        <v/>
      </c>
      <c r="IT35" s="2247" t="str">
        <f t="shared" si="232"/>
        <v/>
      </c>
      <c r="IU35" s="2247" t="str">
        <f t="shared" si="233"/>
        <v/>
      </c>
      <c r="IV35" s="2247" t="str">
        <f t="shared" si="234"/>
        <v/>
      </c>
      <c r="IW35" s="2247" t="str">
        <f t="shared" si="235"/>
        <v/>
      </c>
      <c r="IX35" s="2247" t="str">
        <f t="shared" si="236"/>
        <v/>
      </c>
      <c r="IY35" s="2247" t="str">
        <f t="shared" si="237"/>
        <v/>
      </c>
      <c r="IZ35" s="2247" t="str">
        <f t="shared" si="238"/>
        <v/>
      </c>
      <c r="JA35" s="2247" t="str">
        <f t="shared" si="239"/>
        <v/>
      </c>
      <c r="JB35" s="2247" t="str">
        <f t="shared" si="240"/>
        <v/>
      </c>
      <c r="JC35" s="2247" t="str">
        <f t="shared" si="241"/>
        <v/>
      </c>
      <c r="JD35" s="2247" t="str">
        <f t="shared" si="242"/>
        <v/>
      </c>
      <c r="JE35" s="2247" t="str">
        <f t="shared" si="243"/>
        <v/>
      </c>
      <c r="JF35" s="2247" t="str">
        <f t="shared" si="244"/>
        <v/>
      </c>
      <c r="JG35" s="2247" t="str">
        <f t="shared" si="245"/>
        <v/>
      </c>
      <c r="JH35" s="2247" t="str">
        <f t="shared" si="246"/>
        <v/>
      </c>
      <c r="JI35" s="2247" t="str">
        <f t="shared" si="247"/>
        <v/>
      </c>
      <c r="JJ35" s="2247" t="str">
        <f t="shared" si="248"/>
        <v/>
      </c>
      <c r="JK35" s="2247" t="str">
        <f t="shared" si="249"/>
        <v/>
      </c>
      <c r="JL35" s="2247" t="str">
        <f t="shared" si="250"/>
        <v/>
      </c>
      <c r="JM35" s="2247" t="str">
        <f t="shared" si="251"/>
        <v/>
      </c>
      <c r="JN35" s="2247" t="str">
        <f t="shared" si="252"/>
        <v/>
      </c>
      <c r="JO35" s="2247" t="str">
        <f t="shared" si="253"/>
        <v/>
      </c>
      <c r="JP35" s="2247" t="str">
        <f t="shared" si="254"/>
        <v/>
      </c>
      <c r="JQ35" s="2247" t="str">
        <f t="shared" si="255"/>
        <v/>
      </c>
      <c r="JR35" s="2247" t="str">
        <f t="shared" si="256"/>
        <v/>
      </c>
      <c r="JS35" s="2247" t="str">
        <f t="shared" si="257"/>
        <v/>
      </c>
      <c r="JT35" s="2247" t="str">
        <f t="shared" si="258"/>
        <v/>
      </c>
      <c r="JU35" s="2247" t="str">
        <f t="shared" si="259"/>
        <v/>
      </c>
      <c r="JV35" s="2247" t="str">
        <f t="shared" si="260"/>
        <v/>
      </c>
      <c r="JW35" s="2247" t="str">
        <f t="shared" si="261"/>
        <v/>
      </c>
      <c r="JX35" s="2247" t="str">
        <f t="shared" si="262"/>
        <v/>
      </c>
      <c r="JY35" s="2247" t="str">
        <f t="shared" si="263"/>
        <v/>
      </c>
      <c r="JZ35" s="2247" t="str">
        <f t="shared" si="264"/>
        <v/>
      </c>
      <c r="KA35" s="2247" t="str">
        <f t="shared" si="265"/>
        <v/>
      </c>
      <c r="KB35" s="2247" t="str">
        <f t="shared" si="266"/>
        <v/>
      </c>
      <c r="KC35" s="2247" t="str">
        <f t="shared" si="267"/>
        <v/>
      </c>
      <c r="KD35" s="2247" t="str">
        <f t="shared" si="268"/>
        <v/>
      </c>
      <c r="KE35" s="2247" t="str">
        <f t="shared" si="269"/>
        <v/>
      </c>
      <c r="KF35" s="2247" t="str">
        <f t="shared" si="270"/>
        <v/>
      </c>
      <c r="KG35" s="2247" t="str">
        <f t="shared" si="271"/>
        <v/>
      </c>
      <c r="KH35" s="2247" t="str">
        <f t="shared" si="272"/>
        <v/>
      </c>
      <c r="KI35" s="2247" t="str">
        <f t="shared" si="273"/>
        <v/>
      </c>
      <c r="KJ35" s="2247" t="str">
        <f t="shared" si="274"/>
        <v/>
      </c>
      <c r="KK35" s="2247" t="str">
        <f t="shared" si="275"/>
        <v/>
      </c>
      <c r="KL35" s="2247" t="str">
        <f t="shared" si="276"/>
        <v/>
      </c>
      <c r="KM35" s="2247" t="str">
        <f t="shared" si="277"/>
        <v/>
      </c>
      <c r="KN35" s="2247" t="str">
        <f t="shared" si="278"/>
        <v/>
      </c>
      <c r="KO35" s="2247" t="str">
        <f t="shared" si="279"/>
        <v/>
      </c>
      <c r="KP35" s="2247" t="str">
        <f t="shared" si="280"/>
        <v/>
      </c>
      <c r="KQ35" s="2247" t="str">
        <f t="shared" si="281"/>
        <v/>
      </c>
      <c r="KR35" s="2247" t="str">
        <f t="shared" si="282"/>
        <v/>
      </c>
      <c r="KS35" s="2247" t="str">
        <f t="shared" si="283"/>
        <v/>
      </c>
      <c r="KT35" s="2247" t="str">
        <f t="shared" si="284"/>
        <v/>
      </c>
      <c r="KU35" s="2247" t="str">
        <f t="shared" si="285"/>
        <v/>
      </c>
      <c r="KV35" s="2247" t="str">
        <f t="shared" si="286"/>
        <v/>
      </c>
      <c r="KW35" s="2247" t="str">
        <f t="shared" si="287"/>
        <v/>
      </c>
      <c r="KX35" s="2247" t="str">
        <f t="shared" si="288"/>
        <v/>
      </c>
      <c r="KY35" s="2247" t="str">
        <f t="shared" si="289"/>
        <v/>
      </c>
      <c r="KZ35" s="2247" t="str">
        <f t="shared" si="290"/>
        <v/>
      </c>
      <c r="LA35" s="2247" t="str">
        <f t="shared" si="291"/>
        <v/>
      </c>
      <c r="LB35" s="2247" t="str">
        <f t="shared" si="292"/>
        <v/>
      </c>
      <c r="LC35" s="2247" t="str">
        <f t="shared" si="293"/>
        <v/>
      </c>
      <c r="LD35" s="2247" t="str">
        <f t="shared" si="294"/>
        <v/>
      </c>
      <c r="LE35" s="2247" t="str">
        <f t="shared" si="295"/>
        <v/>
      </c>
      <c r="LF35" s="2247" t="str">
        <f t="shared" si="296"/>
        <v/>
      </c>
      <c r="LG35" s="2247" t="str">
        <f t="shared" si="297"/>
        <v/>
      </c>
      <c r="LH35" s="2247" t="str">
        <f t="shared" si="298"/>
        <v/>
      </c>
      <c r="LI35" s="2247" t="str">
        <f t="shared" si="299"/>
        <v/>
      </c>
      <c r="LJ35" s="2247" t="str">
        <f t="shared" si="300"/>
        <v/>
      </c>
      <c r="LK35" s="2247" t="str">
        <f t="shared" si="301"/>
        <v/>
      </c>
      <c r="LL35" s="2247" t="str">
        <f t="shared" si="302"/>
        <v/>
      </c>
      <c r="LM35" s="2247" t="str">
        <f t="shared" si="303"/>
        <v/>
      </c>
      <c r="LN35" s="2247" t="str">
        <f t="shared" si="304"/>
        <v/>
      </c>
      <c r="LO35" s="2247" t="str">
        <f t="shared" si="305"/>
        <v/>
      </c>
      <c r="LP35" s="2247" t="str">
        <f t="shared" si="306"/>
        <v/>
      </c>
      <c r="LQ35" s="2248" t="str">
        <f t="shared" si="307"/>
        <v/>
      </c>
      <c r="LR35" s="2248" t="str">
        <f t="shared" si="308"/>
        <v/>
      </c>
      <c r="LS35" s="2248" t="str">
        <f t="shared" si="309"/>
        <v/>
      </c>
      <c r="LT35" s="2248" t="str">
        <f t="shared" si="310"/>
        <v/>
      </c>
      <c r="LU35" s="2248" t="str">
        <f t="shared" si="311"/>
        <v/>
      </c>
      <c r="LV35" s="443" t="str">
        <f t="shared" si="312"/>
        <v/>
      </c>
      <c r="LW35" s="443" t="str">
        <f t="shared" si="313"/>
        <v/>
      </c>
      <c r="LX35" s="443" t="str">
        <f t="shared" si="314"/>
        <v/>
      </c>
      <c r="LY35" s="443" t="str">
        <f t="shared" si="315"/>
        <v/>
      </c>
      <c r="LZ35" s="443" t="str">
        <f t="shared" si="316"/>
        <v/>
      </c>
      <c r="MA35" s="443" t="str">
        <f t="shared" si="317"/>
        <v/>
      </c>
      <c r="MB35" s="443" t="str">
        <f t="shared" si="318"/>
        <v/>
      </c>
      <c r="MC35" s="443" t="str">
        <f t="shared" si="319"/>
        <v/>
      </c>
      <c r="MD35" s="443" t="str">
        <f t="shared" si="320"/>
        <v/>
      </c>
      <c r="ME35" s="443" t="str">
        <f t="shared" si="321"/>
        <v/>
      </c>
      <c r="MF35" s="443" t="str">
        <f t="shared" si="322"/>
        <v/>
      </c>
      <c r="MG35" s="443" t="str">
        <f t="shared" si="323"/>
        <v/>
      </c>
      <c r="MH35" s="443" t="str">
        <f t="shared" si="324"/>
        <v/>
      </c>
      <c r="MI35" s="443" t="str">
        <f t="shared" si="325"/>
        <v/>
      </c>
      <c r="MJ35" s="443" t="str">
        <f t="shared" si="326"/>
        <v/>
      </c>
      <c r="MK35" s="443" t="str">
        <f t="shared" si="327"/>
        <v/>
      </c>
      <c r="ML35" s="443" t="str">
        <f t="shared" si="328"/>
        <v/>
      </c>
      <c r="MM35" s="443" t="str">
        <f t="shared" si="329"/>
        <v/>
      </c>
      <c r="MN35" s="443" t="str">
        <f t="shared" si="330"/>
        <v/>
      </c>
      <c r="MO35" s="443" t="str">
        <f t="shared" si="331"/>
        <v/>
      </c>
      <c r="MP35" s="2246">
        <f t="shared" si="338"/>
        <v>0</v>
      </c>
      <c r="MQ35" s="2246">
        <f t="shared" si="339"/>
        <v>0</v>
      </c>
      <c r="MR35" s="2246">
        <f t="shared" si="340"/>
        <v>0</v>
      </c>
      <c r="MS35" s="2246">
        <f t="shared" si="341"/>
        <v>0</v>
      </c>
      <c r="MT35" s="2246">
        <f t="shared" si="342"/>
        <v>0</v>
      </c>
      <c r="MU35" s="2246">
        <f t="shared" si="343"/>
        <v>0</v>
      </c>
      <c r="MV35" s="2246">
        <f t="shared" si="344"/>
        <v>0</v>
      </c>
      <c r="MW35" s="2246">
        <f t="shared" si="345"/>
        <v>0</v>
      </c>
      <c r="MX35" s="2246">
        <f t="shared" si="346"/>
        <v>0</v>
      </c>
      <c r="MY35" s="2246">
        <f t="shared" si="347"/>
        <v>0</v>
      </c>
      <c r="MZ35" s="2246">
        <f t="shared" si="332"/>
        <v>0</v>
      </c>
      <c r="NA35" s="2246">
        <f t="shared" si="333"/>
        <v>0</v>
      </c>
      <c r="NB35" s="2246">
        <f t="shared" si="334"/>
        <v>0</v>
      </c>
      <c r="NC35" s="2246">
        <f t="shared" si="335"/>
        <v>0</v>
      </c>
      <c r="ND35" s="2246">
        <f t="shared" si="336"/>
        <v>0</v>
      </c>
    </row>
    <row r="36" spans="1:369" ht="13.95" customHeight="1">
      <c r="A36" s="109" t="str">
        <f t="shared" si="337"/>
        <v/>
      </c>
      <c r="B36" s="4015"/>
      <c r="C36" s="3987"/>
      <c r="D36" s="3988"/>
      <c r="E36" s="3989"/>
      <c r="F36" s="3989"/>
      <c r="G36" s="3989"/>
      <c r="H36" s="3989"/>
      <c r="I36" s="3989"/>
      <c r="J36" s="4016">
        <f>IF(C36="",0,HLOOKUP(C36,'Part V-Utility Allowances'!$I$11:$M$22,12))</f>
        <v>0</v>
      </c>
      <c r="K36" s="3991"/>
      <c r="L36" s="567">
        <f t="shared" si="0"/>
        <v>0</v>
      </c>
      <c r="M36" s="567">
        <f t="shared" si="1"/>
        <v>0</v>
      </c>
      <c r="N36" s="3992"/>
      <c r="O36" s="3992"/>
      <c r="P36" s="3992"/>
      <c r="Q36" s="3993"/>
      <c r="R36" s="3994"/>
      <c r="S36" s="3995"/>
      <c r="T36" s="3996"/>
      <c r="U36" s="3997"/>
      <c r="V36" s="3997"/>
      <c r="W36" s="3998"/>
      <c r="X36" s="443" t="str">
        <f t="shared" si="2"/>
        <v/>
      </c>
      <c r="Y36" s="443" t="str">
        <f t="shared" si="3"/>
        <v/>
      </c>
      <c r="Z36" s="443" t="str">
        <f t="shared" si="4"/>
        <v/>
      </c>
      <c r="AA36" s="443" t="str">
        <f t="shared" si="5"/>
        <v/>
      </c>
      <c r="AB36" s="443" t="str">
        <f t="shared" si="6"/>
        <v/>
      </c>
      <c r="AC36" s="443" t="str">
        <f t="shared" si="7"/>
        <v/>
      </c>
      <c r="AD36" s="443" t="str">
        <f t="shared" si="8"/>
        <v/>
      </c>
      <c r="AE36" s="443" t="str">
        <f t="shared" si="9"/>
        <v/>
      </c>
      <c r="AF36" s="443" t="str">
        <f t="shared" si="10"/>
        <v/>
      </c>
      <c r="AG36" s="443" t="str">
        <f t="shared" si="11"/>
        <v/>
      </c>
      <c r="AH36" s="443" t="str">
        <f t="shared" si="12"/>
        <v/>
      </c>
      <c r="AI36" s="443" t="str">
        <f t="shared" si="13"/>
        <v/>
      </c>
      <c r="AJ36" s="443" t="str">
        <f t="shared" si="14"/>
        <v/>
      </c>
      <c r="AK36" s="443" t="str">
        <f t="shared" si="15"/>
        <v/>
      </c>
      <c r="AL36" s="443" t="str">
        <f t="shared" si="16"/>
        <v/>
      </c>
      <c r="AM36" s="443" t="str">
        <f t="shared" si="17"/>
        <v/>
      </c>
      <c r="AN36" s="443" t="str">
        <f t="shared" si="18"/>
        <v/>
      </c>
      <c r="AO36" s="443" t="str">
        <f t="shared" si="19"/>
        <v/>
      </c>
      <c r="AP36" s="443" t="str">
        <f t="shared" si="20"/>
        <v/>
      </c>
      <c r="AQ36" s="443" t="str">
        <f t="shared" si="21"/>
        <v/>
      </c>
      <c r="AR36" s="443" t="str">
        <f t="shared" si="22"/>
        <v/>
      </c>
      <c r="AS36" s="443" t="str">
        <f t="shared" si="23"/>
        <v/>
      </c>
      <c r="AT36" s="443" t="str">
        <f t="shared" si="24"/>
        <v/>
      </c>
      <c r="AU36" s="443" t="str">
        <f t="shared" si="25"/>
        <v/>
      </c>
      <c r="AV36" s="443" t="str">
        <f t="shared" si="26"/>
        <v/>
      </c>
      <c r="AW36" s="443" t="str">
        <f t="shared" si="27"/>
        <v/>
      </c>
      <c r="AX36" s="443" t="str">
        <f t="shared" si="28"/>
        <v/>
      </c>
      <c r="AY36" s="443" t="str">
        <f t="shared" si="29"/>
        <v/>
      </c>
      <c r="AZ36" s="443" t="str">
        <f t="shared" si="30"/>
        <v/>
      </c>
      <c r="BA36" s="443" t="str">
        <f t="shared" si="31"/>
        <v/>
      </c>
      <c r="BB36" s="443" t="str">
        <f t="shared" si="32"/>
        <v/>
      </c>
      <c r="BC36" s="443" t="str">
        <f t="shared" si="33"/>
        <v/>
      </c>
      <c r="BD36" s="443" t="str">
        <f t="shared" si="34"/>
        <v/>
      </c>
      <c r="BE36" s="443" t="str">
        <f t="shared" si="35"/>
        <v/>
      </c>
      <c r="BF36" s="443" t="str">
        <f t="shared" si="36"/>
        <v/>
      </c>
      <c r="BG36" s="443" t="str">
        <f t="shared" si="37"/>
        <v/>
      </c>
      <c r="BH36" s="443" t="str">
        <f t="shared" si="38"/>
        <v/>
      </c>
      <c r="BI36" s="443" t="str">
        <f t="shared" si="39"/>
        <v/>
      </c>
      <c r="BJ36" s="443" t="str">
        <f t="shared" si="40"/>
        <v/>
      </c>
      <c r="BK36" s="443" t="str">
        <f t="shared" si="41"/>
        <v/>
      </c>
      <c r="BL36" s="443" t="str">
        <f t="shared" si="42"/>
        <v/>
      </c>
      <c r="BM36" s="443" t="str">
        <f t="shared" si="43"/>
        <v/>
      </c>
      <c r="BN36" s="443" t="str">
        <f t="shared" si="44"/>
        <v/>
      </c>
      <c r="BO36" s="443" t="str">
        <f t="shared" si="45"/>
        <v/>
      </c>
      <c r="BP36" s="443" t="str">
        <f t="shared" si="46"/>
        <v/>
      </c>
      <c r="BQ36" s="443" t="str">
        <f t="shared" si="47"/>
        <v/>
      </c>
      <c r="BR36" s="443" t="str">
        <f t="shared" si="48"/>
        <v/>
      </c>
      <c r="BS36" s="443" t="str">
        <f t="shared" si="49"/>
        <v/>
      </c>
      <c r="BT36" s="443" t="str">
        <f t="shared" si="50"/>
        <v/>
      </c>
      <c r="BU36" s="443" t="str">
        <f t="shared" si="51"/>
        <v/>
      </c>
      <c r="BV36" s="443" t="str">
        <f t="shared" si="52"/>
        <v/>
      </c>
      <c r="BW36" s="443" t="str">
        <f t="shared" si="53"/>
        <v/>
      </c>
      <c r="BX36" s="443" t="str">
        <f t="shared" si="54"/>
        <v/>
      </c>
      <c r="BY36" s="443" t="str">
        <f t="shared" si="55"/>
        <v/>
      </c>
      <c r="BZ36" s="443" t="str">
        <f t="shared" si="56"/>
        <v/>
      </c>
      <c r="CA36" s="443" t="str">
        <f t="shared" si="57"/>
        <v/>
      </c>
      <c r="CB36" s="443" t="str">
        <f t="shared" si="58"/>
        <v/>
      </c>
      <c r="CC36" s="443" t="str">
        <f t="shared" si="59"/>
        <v/>
      </c>
      <c r="CD36" s="443" t="str">
        <f t="shared" si="60"/>
        <v/>
      </c>
      <c r="CE36" s="443" t="str">
        <f t="shared" si="61"/>
        <v/>
      </c>
      <c r="CF36" s="443" t="str">
        <f t="shared" si="62"/>
        <v/>
      </c>
      <c r="CG36" s="443" t="str">
        <f t="shared" si="63"/>
        <v/>
      </c>
      <c r="CH36" s="443" t="str">
        <f t="shared" si="64"/>
        <v/>
      </c>
      <c r="CI36" s="443" t="str">
        <f t="shared" si="65"/>
        <v/>
      </c>
      <c r="CJ36" s="443" t="str">
        <f t="shared" si="66"/>
        <v/>
      </c>
      <c r="CK36" s="443" t="str">
        <f t="shared" si="67"/>
        <v/>
      </c>
      <c r="CL36" s="443" t="str">
        <f t="shared" si="68"/>
        <v/>
      </c>
      <c r="CM36" s="443" t="str">
        <f t="shared" si="69"/>
        <v/>
      </c>
      <c r="CN36" s="443" t="str">
        <f t="shared" si="70"/>
        <v/>
      </c>
      <c r="CO36" s="443" t="str">
        <f t="shared" si="71"/>
        <v/>
      </c>
      <c r="CP36" s="443" t="str">
        <f t="shared" si="72"/>
        <v/>
      </c>
      <c r="CQ36" s="443" t="str">
        <f t="shared" si="73"/>
        <v/>
      </c>
      <c r="CR36" s="443" t="str">
        <f t="shared" si="74"/>
        <v/>
      </c>
      <c r="CS36" s="443" t="str">
        <f t="shared" si="75"/>
        <v/>
      </c>
      <c r="CT36" s="443" t="str">
        <f t="shared" si="76"/>
        <v/>
      </c>
      <c r="CU36" s="443" t="str">
        <f t="shared" si="77"/>
        <v/>
      </c>
      <c r="CV36" s="443" t="str">
        <f t="shared" si="78"/>
        <v/>
      </c>
      <c r="CW36" s="443" t="str">
        <f t="shared" si="79"/>
        <v/>
      </c>
      <c r="CX36" s="443" t="str">
        <f t="shared" si="80"/>
        <v/>
      </c>
      <c r="CY36" s="443" t="str">
        <f t="shared" si="81"/>
        <v/>
      </c>
      <c r="CZ36" s="443" t="str">
        <f t="shared" si="82"/>
        <v/>
      </c>
      <c r="DA36" s="443" t="str">
        <f t="shared" si="83"/>
        <v/>
      </c>
      <c r="DB36" s="443" t="str">
        <f t="shared" si="84"/>
        <v/>
      </c>
      <c r="DC36" s="443" t="str">
        <f t="shared" si="85"/>
        <v/>
      </c>
      <c r="DD36" s="443" t="str">
        <f t="shared" si="86"/>
        <v/>
      </c>
      <c r="DE36" s="443" t="str">
        <f t="shared" si="87"/>
        <v/>
      </c>
      <c r="DF36" s="443" t="str">
        <f t="shared" si="88"/>
        <v/>
      </c>
      <c r="DG36" s="443" t="str">
        <f t="shared" si="89"/>
        <v/>
      </c>
      <c r="DH36" s="443" t="str">
        <f t="shared" si="90"/>
        <v/>
      </c>
      <c r="DI36" s="443" t="str">
        <f t="shared" si="91"/>
        <v/>
      </c>
      <c r="DJ36" s="443" t="str">
        <f t="shared" si="92"/>
        <v/>
      </c>
      <c r="DK36" s="443" t="str">
        <f t="shared" si="93"/>
        <v/>
      </c>
      <c r="DL36" s="443" t="str">
        <f t="shared" si="94"/>
        <v/>
      </c>
      <c r="DM36" s="443" t="str">
        <f t="shared" si="95"/>
        <v/>
      </c>
      <c r="DN36" s="443" t="str">
        <f t="shared" si="96"/>
        <v/>
      </c>
      <c r="DO36" s="443" t="str">
        <f t="shared" si="97"/>
        <v/>
      </c>
      <c r="DP36" s="443" t="str">
        <f t="shared" si="98"/>
        <v/>
      </c>
      <c r="DQ36" s="443" t="str">
        <f t="shared" si="99"/>
        <v/>
      </c>
      <c r="DR36" s="443" t="str">
        <f t="shared" si="100"/>
        <v/>
      </c>
      <c r="DS36" s="443" t="str">
        <f t="shared" si="101"/>
        <v/>
      </c>
      <c r="DT36" s="443" t="str">
        <f t="shared" si="102"/>
        <v/>
      </c>
      <c r="DU36" s="443" t="str">
        <f t="shared" si="103"/>
        <v/>
      </c>
      <c r="DV36" s="443" t="str">
        <f t="shared" si="104"/>
        <v/>
      </c>
      <c r="DW36" s="443" t="str">
        <f t="shared" si="105"/>
        <v/>
      </c>
      <c r="DX36" s="443" t="str">
        <f t="shared" si="106"/>
        <v/>
      </c>
      <c r="DY36" s="443" t="str">
        <f t="shared" si="107"/>
        <v/>
      </c>
      <c r="DZ36" s="443" t="str">
        <f t="shared" si="108"/>
        <v/>
      </c>
      <c r="EA36" s="443" t="str">
        <f t="shared" si="109"/>
        <v/>
      </c>
      <c r="EB36" s="443" t="str">
        <f t="shared" si="110"/>
        <v/>
      </c>
      <c r="EC36" s="443" t="str">
        <f t="shared" si="111"/>
        <v/>
      </c>
      <c r="ED36" s="443" t="str">
        <f t="shared" si="112"/>
        <v/>
      </c>
      <c r="EE36" s="443" t="str">
        <f t="shared" si="113"/>
        <v/>
      </c>
      <c r="EF36" s="443" t="str">
        <f t="shared" si="114"/>
        <v/>
      </c>
      <c r="EG36" s="443" t="str">
        <f t="shared" si="115"/>
        <v/>
      </c>
      <c r="EH36" s="443" t="str">
        <f t="shared" si="116"/>
        <v/>
      </c>
      <c r="EI36" s="443" t="str">
        <f t="shared" si="117"/>
        <v/>
      </c>
      <c r="EJ36" s="443" t="str">
        <f t="shared" si="118"/>
        <v/>
      </c>
      <c r="EK36" s="443" t="str">
        <f t="shared" si="119"/>
        <v/>
      </c>
      <c r="EL36" s="443" t="str">
        <f t="shared" si="120"/>
        <v/>
      </c>
      <c r="EM36" s="443" t="str">
        <f t="shared" si="121"/>
        <v/>
      </c>
      <c r="EN36" s="443" t="str">
        <f t="shared" si="122"/>
        <v/>
      </c>
      <c r="EO36" s="443" t="str">
        <f t="shared" si="123"/>
        <v/>
      </c>
      <c r="EP36" s="443" t="str">
        <f t="shared" si="124"/>
        <v/>
      </c>
      <c r="EQ36" s="443" t="str">
        <f t="shared" si="125"/>
        <v/>
      </c>
      <c r="ER36" s="443" t="str">
        <f t="shared" si="126"/>
        <v/>
      </c>
      <c r="ES36" s="443" t="str">
        <f t="shared" si="127"/>
        <v/>
      </c>
      <c r="ET36" s="443" t="str">
        <f t="shared" si="128"/>
        <v/>
      </c>
      <c r="EU36" s="443" t="str">
        <f t="shared" si="129"/>
        <v/>
      </c>
      <c r="EV36" s="443" t="str">
        <f t="shared" si="130"/>
        <v/>
      </c>
      <c r="EW36" s="443" t="str">
        <f t="shared" si="131"/>
        <v/>
      </c>
      <c r="EX36" s="443" t="str">
        <f t="shared" si="132"/>
        <v/>
      </c>
      <c r="EY36" s="443" t="str">
        <f t="shared" si="133"/>
        <v/>
      </c>
      <c r="EZ36" s="443" t="str">
        <f t="shared" si="134"/>
        <v/>
      </c>
      <c r="FA36" s="443" t="str">
        <f t="shared" si="135"/>
        <v/>
      </c>
      <c r="FB36" s="443" t="str">
        <f t="shared" si="136"/>
        <v/>
      </c>
      <c r="FC36" s="443" t="str">
        <f t="shared" si="137"/>
        <v/>
      </c>
      <c r="FD36" s="443" t="str">
        <f t="shared" si="138"/>
        <v/>
      </c>
      <c r="FE36" s="443" t="str">
        <f t="shared" si="139"/>
        <v/>
      </c>
      <c r="FF36" s="443" t="str">
        <f t="shared" si="140"/>
        <v/>
      </c>
      <c r="FG36" s="443" t="str">
        <f t="shared" si="141"/>
        <v/>
      </c>
      <c r="FH36" s="443" t="str">
        <f t="shared" si="142"/>
        <v/>
      </c>
      <c r="FI36" s="443" t="str">
        <f t="shared" si="143"/>
        <v/>
      </c>
      <c r="FJ36" s="443" t="str">
        <f t="shared" si="144"/>
        <v/>
      </c>
      <c r="FK36" s="443" t="str">
        <f t="shared" si="145"/>
        <v/>
      </c>
      <c r="FL36" s="443" t="str">
        <f t="shared" si="146"/>
        <v/>
      </c>
      <c r="FM36" s="443" t="str">
        <f t="shared" si="147"/>
        <v/>
      </c>
      <c r="FN36" s="443" t="str">
        <f t="shared" si="148"/>
        <v/>
      </c>
      <c r="FO36" s="443" t="str">
        <f t="shared" si="149"/>
        <v/>
      </c>
      <c r="FP36" s="443" t="str">
        <f t="shared" si="150"/>
        <v/>
      </c>
      <c r="FQ36" s="443" t="str">
        <f t="shared" si="151"/>
        <v/>
      </c>
      <c r="FR36" s="443" t="str">
        <f t="shared" si="152"/>
        <v/>
      </c>
      <c r="FS36" s="443" t="str">
        <f t="shared" si="153"/>
        <v/>
      </c>
      <c r="FT36" s="443" t="str">
        <f t="shared" si="154"/>
        <v/>
      </c>
      <c r="FU36" s="443" t="str">
        <f t="shared" si="155"/>
        <v/>
      </c>
      <c r="FV36" s="443" t="str">
        <f t="shared" si="156"/>
        <v/>
      </c>
      <c r="FW36" s="443" t="str">
        <f t="shared" si="157"/>
        <v/>
      </c>
      <c r="FX36" s="443" t="str">
        <f t="shared" si="158"/>
        <v/>
      </c>
      <c r="FY36" s="443" t="str">
        <f t="shared" si="159"/>
        <v/>
      </c>
      <c r="FZ36" s="443" t="str">
        <f t="shared" si="160"/>
        <v/>
      </c>
      <c r="GA36" s="443" t="str">
        <f t="shared" si="161"/>
        <v/>
      </c>
      <c r="GB36" s="443" t="str">
        <f t="shared" si="162"/>
        <v/>
      </c>
      <c r="GC36" s="443" t="str">
        <f t="shared" si="163"/>
        <v/>
      </c>
      <c r="GD36" s="443" t="str">
        <f t="shared" si="164"/>
        <v/>
      </c>
      <c r="GE36" s="443" t="str">
        <f t="shared" si="165"/>
        <v/>
      </c>
      <c r="GF36" s="443" t="str">
        <f t="shared" si="166"/>
        <v/>
      </c>
      <c r="GG36" s="443" t="str">
        <f t="shared" si="167"/>
        <v/>
      </c>
      <c r="GH36" s="443" t="str">
        <f t="shared" si="168"/>
        <v/>
      </c>
      <c r="GI36" s="443" t="str">
        <f t="shared" si="169"/>
        <v/>
      </c>
      <c r="GJ36" s="443" t="str">
        <f t="shared" si="170"/>
        <v/>
      </c>
      <c r="GK36" s="443" t="str">
        <f t="shared" si="171"/>
        <v/>
      </c>
      <c r="GL36" s="443" t="str">
        <f t="shared" si="172"/>
        <v/>
      </c>
      <c r="GM36" s="443" t="str">
        <f t="shared" si="173"/>
        <v/>
      </c>
      <c r="GN36" s="443" t="str">
        <f t="shared" si="174"/>
        <v/>
      </c>
      <c r="GO36" s="443" t="str">
        <f t="shared" si="175"/>
        <v/>
      </c>
      <c r="GP36" s="443" t="str">
        <f t="shared" si="176"/>
        <v/>
      </c>
      <c r="GQ36" s="443" t="str">
        <f t="shared" si="177"/>
        <v/>
      </c>
      <c r="GR36" s="443" t="str">
        <f t="shared" si="178"/>
        <v/>
      </c>
      <c r="GS36" s="443" t="str">
        <f t="shared" si="179"/>
        <v/>
      </c>
      <c r="GT36" s="443" t="str">
        <f t="shared" si="180"/>
        <v/>
      </c>
      <c r="GU36" s="443" t="str">
        <f t="shared" si="181"/>
        <v/>
      </c>
      <c r="GV36" s="443" t="str">
        <f t="shared" si="182"/>
        <v/>
      </c>
      <c r="GW36" s="443" t="str">
        <f t="shared" si="183"/>
        <v/>
      </c>
      <c r="GX36" s="443" t="str">
        <f t="shared" si="184"/>
        <v/>
      </c>
      <c r="GY36" s="443" t="str">
        <f t="shared" si="185"/>
        <v/>
      </c>
      <c r="GZ36" s="443" t="str">
        <f t="shared" si="186"/>
        <v/>
      </c>
      <c r="HA36" s="443" t="str">
        <f t="shared" si="187"/>
        <v/>
      </c>
      <c r="HB36" s="443" t="str">
        <f t="shared" si="188"/>
        <v/>
      </c>
      <c r="HC36" s="443" t="str">
        <f t="shared" si="189"/>
        <v/>
      </c>
      <c r="HD36" s="443" t="str">
        <f t="shared" si="190"/>
        <v/>
      </c>
      <c r="HE36" s="443" t="str">
        <f t="shared" si="191"/>
        <v/>
      </c>
      <c r="HF36" s="443" t="str">
        <f t="shared" si="192"/>
        <v/>
      </c>
      <c r="HG36" s="443" t="str">
        <f t="shared" si="193"/>
        <v/>
      </c>
      <c r="HH36" s="443" t="str">
        <f t="shared" si="194"/>
        <v/>
      </c>
      <c r="HI36" s="443" t="str">
        <f t="shared" si="195"/>
        <v/>
      </c>
      <c r="HJ36" s="443" t="str">
        <f t="shared" si="196"/>
        <v/>
      </c>
      <c r="HK36" s="443" t="str">
        <f t="shared" si="197"/>
        <v/>
      </c>
      <c r="HL36" s="443" t="str">
        <f t="shared" si="198"/>
        <v/>
      </c>
      <c r="HM36" s="443" t="str">
        <f t="shared" si="199"/>
        <v/>
      </c>
      <c r="HN36" s="443" t="str">
        <f t="shared" si="200"/>
        <v/>
      </c>
      <c r="HO36" s="443" t="str">
        <f t="shared" si="201"/>
        <v/>
      </c>
      <c r="HP36" s="443" t="str">
        <f t="shared" si="202"/>
        <v/>
      </c>
      <c r="HQ36" s="443" t="str">
        <f t="shared" si="203"/>
        <v/>
      </c>
      <c r="HR36" s="443" t="str">
        <f t="shared" si="204"/>
        <v/>
      </c>
      <c r="HS36" s="443" t="str">
        <f t="shared" si="205"/>
        <v/>
      </c>
      <c r="HT36" s="443" t="str">
        <f t="shared" si="206"/>
        <v/>
      </c>
      <c r="HU36" s="443" t="str">
        <f t="shared" si="207"/>
        <v/>
      </c>
      <c r="HV36" s="443" t="str">
        <f t="shared" si="208"/>
        <v/>
      </c>
      <c r="HW36" s="443" t="str">
        <f t="shared" si="209"/>
        <v/>
      </c>
      <c r="HX36" s="443" t="str">
        <f t="shared" si="210"/>
        <v/>
      </c>
      <c r="HY36" s="443" t="str">
        <f t="shared" si="211"/>
        <v/>
      </c>
      <c r="HZ36" s="2247" t="str">
        <f t="shared" si="212"/>
        <v/>
      </c>
      <c r="IA36" s="2247" t="str">
        <f t="shared" si="213"/>
        <v/>
      </c>
      <c r="IB36" s="2247" t="str">
        <f t="shared" si="214"/>
        <v/>
      </c>
      <c r="IC36" s="2247" t="str">
        <f t="shared" si="215"/>
        <v/>
      </c>
      <c r="ID36" s="2247" t="str">
        <f t="shared" si="216"/>
        <v/>
      </c>
      <c r="IE36" s="2247" t="str">
        <f t="shared" si="217"/>
        <v/>
      </c>
      <c r="IF36" s="2247" t="str">
        <f t="shared" si="218"/>
        <v/>
      </c>
      <c r="IG36" s="2247" t="str">
        <f t="shared" si="219"/>
        <v/>
      </c>
      <c r="IH36" s="2247" t="str">
        <f t="shared" si="220"/>
        <v/>
      </c>
      <c r="II36" s="2247" t="str">
        <f t="shared" si="221"/>
        <v/>
      </c>
      <c r="IJ36" s="2247" t="str">
        <f t="shared" si="222"/>
        <v/>
      </c>
      <c r="IK36" s="2247" t="str">
        <f t="shared" si="223"/>
        <v/>
      </c>
      <c r="IL36" s="2247" t="str">
        <f t="shared" si="224"/>
        <v/>
      </c>
      <c r="IM36" s="2247" t="str">
        <f t="shared" si="225"/>
        <v/>
      </c>
      <c r="IN36" s="2247" t="str">
        <f t="shared" si="226"/>
        <v/>
      </c>
      <c r="IO36" s="2247" t="str">
        <f t="shared" si="227"/>
        <v/>
      </c>
      <c r="IP36" s="2247" t="str">
        <f t="shared" si="228"/>
        <v/>
      </c>
      <c r="IQ36" s="2247" t="str">
        <f t="shared" si="229"/>
        <v/>
      </c>
      <c r="IR36" s="2247" t="str">
        <f t="shared" si="230"/>
        <v/>
      </c>
      <c r="IS36" s="2247" t="str">
        <f t="shared" si="231"/>
        <v/>
      </c>
      <c r="IT36" s="2247" t="str">
        <f t="shared" si="232"/>
        <v/>
      </c>
      <c r="IU36" s="2247" t="str">
        <f t="shared" si="233"/>
        <v/>
      </c>
      <c r="IV36" s="2247" t="str">
        <f t="shared" si="234"/>
        <v/>
      </c>
      <c r="IW36" s="2247" t="str">
        <f t="shared" si="235"/>
        <v/>
      </c>
      <c r="IX36" s="2247" t="str">
        <f t="shared" si="236"/>
        <v/>
      </c>
      <c r="IY36" s="2247" t="str">
        <f t="shared" si="237"/>
        <v/>
      </c>
      <c r="IZ36" s="2247" t="str">
        <f t="shared" si="238"/>
        <v/>
      </c>
      <c r="JA36" s="2247" t="str">
        <f t="shared" si="239"/>
        <v/>
      </c>
      <c r="JB36" s="2247" t="str">
        <f t="shared" si="240"/>
        <v/>
      </c>
      <c r="JC36" s="2247" t="str">
        <f t="shared" si="241"/>
        <v/>
      </c>
      <c r="JD36" s="2247" t="str">
        <f t="shared" si="242"/>
        <v/>
      </c>
      <c r="JE36" s="2247" t="str">
        <f t="shared" si="243"/>
        <v/>
      </c>
      <c r="JF36" s="2247" t="str">
        <f t="shared" si="244"/>
        <v/>
      </c>
      <c r="JG36" s="2247" t="str">
        <f t="shared" si="245"/>
        <v/>
      </c>
      <c r="JH36" s="2247" t="str">
        <f t="shared" si="246"/>
        <v/>
      </c>
      <c r="JI36" s="2247" t="str">
        <f t="shared" si="247"/>
        <v/>
      </c>
      <c r="JJ36" s="2247" t="str">
        <f t="shared" si="248"/>
        <v/>
      </c>
      <c r="JK36" s="2247" t="str">
        <f t="shared" si="249"/>
        <v/>
      </c>
      <c r="JL36" s="2247" t="str">
        <f t="shared" si="250"/>
        <v/>
      </c>
      <c r="JM36" s="2247" t="str">
        <f t="shared" si="251"/>
        <v/>
      </c>
      <c r="JN36" s="2247" t="str">
        <f t="shared" si="252"/>
        <v/>
      </c>
      <c r="JO36" s="2247" t="str">
        <f t="shared" si="253"/>
        <v/>
      </c>
      <c r="JP36" s="2247" t="str">
        <f t="shared" si="254"/>
        <v/>
      </c>
      <c r="JQ36" s="2247" t="str">
        <f t="shared" si="255"/>
        <v/>
      </c>
      <c r="JR36" s="2247" t="str">
        <f t="shared" si="256"/>
        <v/>
      </c>
      <c r="JS36" s="2247" t="str">
        <f t="shared" si="257"/>
        <v/>
      </c>
      <c r="JT36" s="2247" t="str">
        <f t="shared" si="258"/>
        <v/>
      </c>
      <c r="JU36" s="2247" t="str">
        <f t="shared" si="259"/>
        <v/>
      </c>
      <c r="JV36" s="2247" t="str">
        <f t="shared" si="260"/>
        <v/>
      </c>
      <c r="JW36" s="2247" t="str">
        <f t="shared" si="261"/>
        <v/>
      </c>
      <c r="JX36" s="2247" t="str">
        <f t="shared" si="262"/>
        <v/>
      </c>
      <c r="JY36" s="2247" t="str">
        <f t="shared" si="263"/>
        <v/>
      </c>
      <c r="JZ36" s="2247" t="str">
        <f t="shared" si="264"/>
        <v/>
      </c>
      <c r="KA36" s="2247" t="str">
        <f t="shared" si="265"/>
        <v/>
      </c>
      <c r="KB36" s="2247" t="str">
        <f t="shared" si="266"/>
        <v/>
      </c>
      <c r="KC36" s="2247" t="str">
        <f t="shared" si="267"/>
        <v/>
      </c>
      <c r="KD36" s="2247" t="str">
        <f t="shared" si="268"/>
        <v/>
      </c>
      <c r="KE36" s="2247" t="str">
        <f t="shared" si="269"/>
        <v/>
      </c>
      <c r="KF36" s="2247" t="str">
        <f t="shared" si="270"/>
        <v/>
      </c>
      <c r="KG36" s="2247" t="str">
        <f t="shared" si="271"/>
        <v/>
      </c>
      <c r="KH36" s="2247" t="str">
        <f t="shared" si="272"/>
        <v/>
      </c>
      <c r="KI36" s="2247" t="str">
        <f t="shared" si="273"/>
        <v/>
      </c>
      <c r="KJ36" s="2247" t="str">
        <f t="shared" si="274"/>
        <v/>
      </c>
      <c r="KK36" s="2247" t="str">
        <f t="shared" si="275"/>
        <v/>
      </c>
      <c r="KL36" s="2247" t="str">
        <f t="shared" si="276"/>
        <v/>
      </c>
      <c r="KM36" s="2247" t="str">
        <f t="shared" si="277"/>
        <v/>
      </c>
      <c r="KN36" s="2247" t="str">
        <f t="shared" si="278"/>
        <v/>
      </c>
      <c r="KO36" s="2247" t="str">
        <f t="shared" si="279"/>
        <v/>
      </c>
      <c r="KP36" s="2247" t="str">
        <f t="shared" si="280"/>
        <v/>
      </c>
      <c r="KQ36" s="2247" t="str">
        <f t="shared" si="281"/>
        <v/>
      </c>
      <c r="KR36" s="2247" t="str">
        <f t="shared" si="282"/>
        <v/>
      </c>
      <c r="KS36" s="2247" t="str">
        <f t="shared" si="283"/>
        <v/>
      </c>
      <c r="KT36" s="2247" t="str">
        <f t="shared" si="284"/>
        <v/>
      </c>
      <c r="KU36" s="2247" t="str">
        <f t="shared" si="285"/>
        <v/>
      </c>
      <c r="KV36" s="2247" t="str">
        <f t="shared" si="286"/>
        <v/>
      </c>
      <c r="KW36" s="2247" t="str">
        <f t="shared" si="287"/>
        <v/>
      </c>
      <c r="KX36" s="2247" t="str">
        <f t="shared" si="288"/>
        <v/>
      </c>
      <c r="KY36" s="2247" t="str">
        <f t="shared" si="289"/>
        <v/>
      </c>
      <c r="KZ36" s="2247" t="str">
        <f t="shared" si="290"/>
        <v/>
      </c>
      <c r="LA36" s="2247" t="str">
        <f t="shared" si="291"/>
        <v/>
      </c>
      <c r="LB36" s="2247" t="str">
        <f t="shared" si="292"/>
        <v/>
      </c>
      <c r="LC36" s="2247" t="str">
        <f t="shared" si="293"/>
        <v/>
      </c>
      <c r="LD36" s="2247" t="str">
        <f t="shared" si="294"/>
        <v/>
      </c>
      <c r="LE36" s="2247" t="str">
        <f t="shared" si="295"/>
        <v/>
      </c>
      <c r="LF36" s="2247" t="str">
        <f t="shared" si="296"/>
        <v/>
      </c>
      <c r="LG36" s="2247" t="str">
        <f t="shared" si="297"/>
        <v/>
      </c>
      <c r="LH36" s="2247" t="str">
        <f t="shared" si="298"/>
        <v/>
      </c>
      <c r="LI36" s="2247" t="str">
        <f t="shared" si="299"/>
        <v/>
      </c>
      <c r="LJ36" s="2247" t="str">
        <f t="shared" si="300"/>
        <v/>
      </c>
      <c r="LK36" s="2247" t="str">
        <f t="shared" si="301"/>
        <v/>
      </c>
      <c r="LL36" s="2247" t="str">
        <f t="shared" si="302"/>
        <v/>
      </c>
      <c r="LM36" s="2247" t="str">
        <f t="shared" si="303"/>
        <v/>
      </c>
      <c r="LN36" s="2247" t="str">
        <f t="shared" si="304"/>
        <v/>
      </c>
      <c r="LO36" s="2247" t="str">
        <f t="shared" si="305"/>
        <v/>
      </c>
      <c r="LP36" s="2247" t="str">
        <f t="shared" si="306"/>
        <v/>
      </c>
      <c r="LQ36" s="2248" t="str">
        <f t="shared" si="307"/>
        <v/>
      </c>
      <c r="LR36" s="2248" t="str">
        <f t="shared" si="308"/>
        <v/>
      </c>
      <c r="LS36" s="2248" t="str">
        <f t="shared" si="309"/>
        <v/>
      </c>
      <c r="LT36" s="2248" t="str">
        <f t="shared" si="310"/>
        <v/>
      </c>
      <c r="LU36" s="2248" t="str">
        <f t="shared" si="311"/>
        <v/>
      </c>
      <c r="LV36" s="443" t="str">
        <f t="shared" si="312"/>
        <v/>
      </c>
      <c r="LW36" s="443" t="str">
        <f t="shared" si="313"/>
        <v/>
      </c>
      <c r="LX36" s="443" t="str">
        <f t="shared" si="314"/>
        <v/>
      </c>
      <c r="LY36" s="443" t="str">
        <f t="shared" si="315"/>
        <v/>
      </c>
      <c r="LZ36" s="443" t="str">
        <f t="shared" si="316"/>
        <v/>
      </c>
      <c r="MA36" s="443" t="str">
        <f t="shared" si="317"/>
        <v/>
      </c>
      <c r="MB36" s="443" t="str">
        <f t="shared" si="318"/>
        <v/>
      </c>
      <c r="MC36" s="443" t="str">
        <f t="shared" si="319"/>
        <v/>
      </c>
      <c r="MD36" s="443" t="str">
        <f t="shared" si="320"/>
        <v/>
      </c>
      <c r="ME36" s="443" t="str">
        <f t="shared" si="321"/>
        <v/>
      </c>
      <c r="MF36" s="443" t="str">
        <f t="shared" si="322"/>
        <v/>
      </c>
      <c r="MG36" s="443" t="str">
        <f t="shared" si="323"/>
        <v/>
      </c>
      <c r="MH36" s="443" t="str">
        <f t="shared" si="324"/>
        <v/>
      </c>
      <c r="MI36" s="443" t="str">
        <f t="shared" si="325"/>
        <v/>
      </c>
      <c r="MJ36" s="443" t="str">
        <f t="shared" si="326"/>
        <v/>
      </c>
      <c r="MK36" s="443" t="str">
        <f t="shared" si="327"/>
        <v/>
      </c>
      <c r="ML36" s="443" t="str">
        <f t="shared" si="328"/>
        <v/>
      </c>
      <c r="MM36" s="443" t="str">
        <f t="shared" si="329"/>
        <v/>
      </c>
      <c r="MN36" s="443" t="str">
        <f t="shared" si="330"/>
        <v/>
      </c>
      <c r="MO36" s="443" t="str">
        <f t="shared" si="331"/>
        <v/>
      </c>
      <c r="MP36" s="2246">
        <f t="shared" si="338"/>
        <v>0</v>
      </c>
      <c r="MQ36" s="2246">
        <f t="shared" si="339"/>
        <v>0</v>
      </c>
      <c r="MR36" s="2246">
        <f t="shared" si="340"/>
        <v>0</v>
      </c>
      <c r="MS36" s="2246">
        <f t="shared" si="341"/>
        <v>0</v>
      </c>
      <c r="MT36" s="2246">
        <f t="shared" si="342"/>
        <v>0</v>
      </c>
      <c r="MU36" s="2246">
        <f t="shared" si="343"/>
        <v>0</v>
      </c>
      <c r="MV36" s="2246">
        <f t="shared" si="344"/>
        <v>0</v>
      </c>
      <c r="MW36" s="2246">
        <f t="shared" si="345"/>
        <v>0</v>
      </c>
      <c r="MX36" s="2246">
        <f t="shared" si="346"/>
        <v>0</v>
      </c>
      <c r="MY36" s="2246">
        <f t="shared" si="347"/>
        <v>0</v>
      </c>
      <c r="MZ36" s="2246">
        <f t="shared" si="332"/>
        <v>0</v>
      </c>
      <c r="NA36" s="2246">
        <f t="shared" si="333"/>
        <v>0</v>
      </c>
      <c r="NB36" s="2246">
        <f t="shared" si="334"/>
        <v>0</v>
      </c>
      <c r="NC36" s="2246">
        <f t="shared" si="335"/>
        <v>0</v>
      </c>
      <c r="ND36" s="2246">
        <f t="shared" si="336"/>
        <v>0</v>
      </c>
    </row>
    <row r="37" spans="1:369" ht="13.95" customHeight="1">
      <c r="A37" s="109" t="str">
        <f t="shared" si="337"/>
        <v/>
      </c>
      <c r="B37" s="4015"/>
      <c r="C37" s="3987"/>
      <c r="D37" s="3988"/>
      <c r="E37" s="3989"/>
      <c r="F37" s="3989"/>
      <c r="G37" s="3989"/>
      <c r="H37" s="3989"/>
      <c r="I37" s="3989"/>
      <c r="J37" s="4016">
        <f>IF(C37="",0,HLOOKUP(C37,'Part V-Utility Allowances'!$I$11:$M$22,12))</f>
        <v>0</v>
      </c>
      <c r="K37" s="3991"/>
      <c r="L37" s="567">
        <f t="shared" si="0"/>
        <v>0</v>
      </c>
      <c r="M37" s="567">
        <f t="shared" si="1"/>
        <v>0</v>
      </c>
      <c r="N37" s="3992"/>
      <c r="O37" s="3992"/>
      <c r="P37" s="3992"/>
      <c r="Q37" s="3993"/>
      <c r="R37" s="3994"/>
      <c r="S37" s="3995"/>
      <c r="T37" s="3996"/>
      <c r="U37" s="3997"/>
      <c r="V37" s="3997"/>
      <c r="W37" s="3998"/>
      <c r="X37" s="443" t="str">
        <f t="shared" si="2"/>
        <v/>
      </c>
      <c r="Y37" s="443" t="str">
        <f t="shared" si="3"/>
        <v/>
      </c>
      <c r="Z37" s="443" t="str">
        <f t="shared" si="4"/>
        <v/>
      </c>
      <c r="AA37" s="443" t="str">
        <f t="shared" si="5"/>
        <v/>
      </c>
      <c r="AB37" s="443" t="str">
        <f t="shared" si="6"/>
        <v/>
      </c>
      <c r="AC37" s="443" t="str">
        <f t="shared" si="7"/>
        <v/>
      </c>
      <c r="AD37" s="443" t="str">
        <f t="shared" si="8"/>
        <v/>
      </c>
      <c r="AE37" s="443" t="str">
        <f t="shared" si="9"/>
        <v/>
      </c>
      <c r="AF37" s="443" t="str">
        <f t="shared" si="10"/>
        <v/>
      </c>
      <c r="AG37" s="443" t="str">
        <f t="shared" si="11"/>
        <v/>
      </c>
      <c r="AH37" s="443" t="str">
        <f t="shared" si="12"/>
        <v/>
      </c>
      <c r="AI37" s="443" t="str">
        <f t="shared" si="13"/>
        <v/>
      </c>
      <c r="AJ37" s="443" t="str">
        <f t="shared" si="14"/>
        <v/>
      </c>
      <c r="AK37" s="443" t="str">
        <f t="shared" si="15"/>
        <v/>
      </c>
      <c r="AL37" s="443" t="str">
        <f t="shared" si="16"/>
        <v/>
      </c>
      <c r="AM37" s="443" t="str">
        <f t="shared" si="17"/>
        <v/>
      </c>
      <c r="AN37" s="443" t="str">
        <f t="shared" si="18"/>
        <v/>
      </c>
      <c r="AO37" s="443" t="str">
        <f t="shared" si="19"/>
        <v/>
      </c>
      <c r="AP37" s="443" t="str">
        <f t="shared" si="20"/>
        <v/>
      </c>
      <c r="AQ37" s="443" t="str">
        <f t="shared" si="21"/>
        <v/>
      </c>
      <c r="AR37" s="443" t="str">
        <f t="shared" si="22"/>
        <v/>
      </c>
      <c r="AS37" s="443" t="str">
        <f t="shared" si="23"/>
        <v/>
      </c>
      <c r="AT37" s="443" t="str">
        <f t="shared" si="24"/>
        <v/>
      </c>
      <c r="AU37" s="443" t="str">
        <f t="shared" si="25"/>
        <v/>
      </c>
      <c r="AV37" s="443" t="str">
        <f t="shared" si="26"/>
        <v/>
      </c>
      <c r="AW37" s="443" t="str">
        <f t="shared" si="27"/>
        <v/>
      </c>
      <c r="AX37" s="443" t="str">
        <f t="shared" si="28"/>
        <v/>
      </c>
      <c r="AY37" s="443" t="str">
        <f t="shared" si="29"/>
        <v/>
      </c>
      <c r="AZ37" s="443" t="str">
        <f t="shared" si="30"/>
        <v/>
      </c>
      <c r="BA37" s="443" t="str">
        <f t="shared" si="31"/>
        <v/>
      </c>
      <c r="BB37" s="443" t="str">
        <f t="shared" si="32"/>
        <v/>
      </c>
      <c r="BC37" s="443" t="str">
        <f t="shared" si="33"/>
        <v/>
      </c>
      <c r="BD37" s="443" t="str">
        <f t="shared" si="34"/>
        <v/>
      </c>
      <c r="BE37" s="443" t="str">
        <f t="shared" si="35"/>
        <v/>
      </c>
      <c r="BF37" s="443" t="str">
        <f t="shared" si="36"/>
        <v/>
      </c>
      <c r="BG37" s="443" t="str">
        <f t="shared" si="37"/>
        <v/>
      </c>
      <c r="BH37" s="443" t="str">
        <f t="shared" si="38"/>
        <v/>
      </c>
      <c r="BI37" s="443" t="str">
        <f t="shared" si="39"/>
        <v/>
      </c>
      <c r="BJ37" s="443" t="str">
        <f t="shared" si="40"/>
        <v/>
      </c>
      <c r="BK37" s="443" t="str">
        <f t="shared" si="41"/>
        <v/>
      </c>
      <c r="BL37" s="443" t="str">
        <f t="shared" si="42"/>
        <v/>
      </c>
      <c r="BM37" s="443" t="str">
        <f t="shared" si="43"/>
        <v/>
      </c>
      <c r="BN37" s="443" t="str">
        <f t="shared" si="44"/>
        <v/>
      </c>
      <c r="BO37" s="443" t="str">
        <f t="shared" si="45"/>
        <v/>
      </c>
      <c r="BP37" s="443" t="str">
        <f t="shared" si="46"/>
        <v/>
      </c>
      <c r="BQ37" s="443" t="str">
        <f t="shared" si="47"/>
        <v/>
      </c>
      <c r="BR37" s="443" t="str">
        <f t="shared" si="48"/>
        <v/>
      </c>
      <c r="BS37" s="443" t="str">
        <f t="shared" si="49"/>
        <v/>
      </c>
      <c r="BT37" s="443" t="str">
        <f t="shared" si="50"/>
        <v/>
      </c>
      <c r="BU37" s="443" t="str">
        <f t="shared" si="51"/>
        <v/>
      </c>
      <c r="BV37" s="443" t="str">
        <f t="shared" si="52"/>
        <v/>
      </c>
      <c r="BW37" s="443" t="str">
        <f t="shared" si="53"/>
        <v/>
      </c>
      <c r="BX37" s="443" t="str">
        <f t="shared" si="54"/>
        <v/>
      </c>
      <c r="BY37" s="443" t="str">
        <f t="shared" si="55"/>
        <v/>
      </c>
      <c r="BZ37" s="443" t="str">
        <f t="shared" si="56"/>
        <v/>
      </c>
      <c r="CA37" s="443" t="str">
        <f t="shared" si="57"/>
        <v/>
      </c>
      <c r="CB37" s="443" t="str">
        <f t="shared" si="58"/>
        <v/>
      </c>
      <c r="CC37" s="443" t="str">
        <f t="shared" si="59"/>
        <v/>
      </c>
      <c r="CD37" s="443" t="str">
        <f t="shared" si="60"/>
        <v/>
      </c>
      <c r="CE37" s="443" t="str">
        <f t="shared" si="61"/>
        <v/>
      </c>
      <c r="CF37" s="443" t="str">
        <f t="shared" si="62"/>
        <v/>
      </c>
      <c r="CG37" s="443" t="str">
        <f t="shared" si="63"/>
        <v/>
      </c>
      <c r="CH37" s="443" t="str">
        <f t="shared" si="64"/>
        <v/>
      </c>
      <c r="CI37" s="443" t="str">
        <f t="shared" si="65"/>
        <v/>
      </c>
      <c r="CJ37" s="443" t="str">
        <f t="shared" si="66"/>
        <v/>
      </c>
      <c r="CK37" s="443" t="str">
        <f t="shared" si="67"/>
        <v/>
      </c>
      <c r="CL37" s="443" t="str">
        <f t="shared" si="68"/>
        <v/>
      </c>
      <c r="CM37" s="443" t="str">
        <f t="shared" si="69"/>
        <v/>
      </c>
      <c r="CN37" s="443" t="str">
        <f t="shared" si="70"/>
        <v/>
      </c>
      <c r="CO37" s="443" t="str">
        <f t="shared" si="71"/>
        <v/>
      </c>
      <c r="CP37" s="443" t="str">
        <f t="shared" si="72"/>
        <v/>
      </c>
      <c r="CQ37" s="443" t="str">
        <f t="shared" si="73"/>
        <v/>
      </c>
      <c r="CR37" s="443" t="str">
        <f t="shared" si="74"/>
        <v/>
      </c>
      <c r="CS37" s="443" t="str">
        <f t="shared" si="75"/>
        <v/>
      </c>
      <c r="CT37" s="443" t="str">
        <f t="shared" si="76"/>
        <v/>
      </c>
      <c r="CU37" s="443" t="str">
        <f t="shared" si="77"/>
        <v/>
      </c>
      <c r="CV37" s="443" t="str">
        <f t="shared" si="78"/>
        <v/>
      </c>
      <c r="CW37" s="443" t="str">
        <f t="shared" si="79"/>
        <v/>
      </c>
      <c r="CX37" s="443" t="str">
        <f t="shared" si="80"/>
        <v/>
      </c>
      <c r="CY37" s="443" t="str">
        <f t="shared" si="81"/>
        <v/>
      </c>
      <c r="CZ37" s="443" t="str">
        <f t="shared" si="82"/>
        <v/>
      </c>
      <c r="DA37" s="443" t="str">
        <f t="shared" si="83"/>
        <v/>
      </c>
      <c r="DB37" s="443" t="str">
        <f t="shared" si="84"/>
        <v/>
      </c>
      <c r="DC37" s="443" t="str">
        <f t="shared" si="85"/>
        <v/>
      </c>
      <c r="DD37" s="443" t="str">
        <f t="shared" si="86"/>
        <v/>
      </c>
      <c r="DE37" s="443" t="str">
        <f t="shared" si="87"/>
        <v/>
      </c>
      <c r="DF37" s="443" t="str">
        <f t="shared" si="88"/>
        <v/>
      </c>
      <c r="DG37" s="443" t="str">
        <f t="shared" si="89"/>
        <v/>
      </c>
      <c r="DH37" s="443" t="str">
        <f t="shared" si="90"/>
        <v/>
      </c>
      <c r="DI37" s="443" t="str">
        <f t="shared" si="91"/>
        <v/>
      </c>
      <c r="DJ37" s="443" t="str">
        <f t="shared" si="92"/>
        <v/>
      </c>
      <c r="DK37" s="443" t="str">
        <f t="shared" si="93"/>
        <v/>
      </c>
      <c r="DL37" s="443" t="str">
        <f t="shared" si="94"/>
        <v/>
      </c>
      <c r="DM37" s="443" t="str">
        <f t="shared" si="95"/>
        <v/>
      </c>
      <c r="DN37" s="443" t="str">
        <f t="shared" si="96"/>
        <v/>
      </c>
      <c r="DO37" s="443" t="str">
        <f t="shared" si="97"/>
        <v/>
      </c>
      <c r="DP37" s="443" t="str">
        <f t="shared" si="98"/>
        <v/>
      </c>
      <c r="DQ37" s="443" t="str">
        <f t="shared" si="99"/>
        <v/>
      </c>
      <c r="DR37" s="443" t="str">
        <f t="shared" si="100"/>
        <v/>
      </c>
      <c r="DS37" s="443" t="str">
        <f t="shared" si="101"/>
        <v/>
      </c>
      <c r="DT37" s="443" t="str">
        <f t="shared" si="102"/>
        <v/>
      </c>
      <c r="DU37" s="443" t="str">
        <f t="shared" si="103"/>
        <v/>
      </c>
      <c r="DV37" s="443" t="str">
        <f t="shared" si="104"/>
        <v/>
      </c>
      <c r="DW37" s="443" t="str">
        <f t="shared" si="105"/>
        <v/>
      </c>
      <c r="DX37" s="443" t="str">
        <f t="shared" si="106"/>
        <v/>
      </c>
      <c r="DY37" s="443" t="str">
        <f t="shared" si="107"/>
        <v/>
      </c>
      <c r="DZ37" s="443" t="str">
        <f t="shared" si="108"/>
        <v/>
      </c>
      <c r="EA37" s="443" t="str">
        <f t="shared" si="109"/>
        <v/>
      </c>
      <c r="EB37" s="443" t="str">
        <f t="shared" si="110"/>
        <v/>
      </c>
      <c r="EC37" s="443" t="str">
        <f t="shared" si="111"/>
        <v/>
      </c>
      <c r="ED37" s="443" t="str">
        <f t="shared" si="112"/>
        <v/>
      </c>
      <c r="EE37" s="443" t="str">
        <f t="shared" si="113"/>
        <v/>
      </c>
      <c r="EF37" s="443" t="str">
        <f t="shared" si="114"/>
        <v/>
      </c>
      <c r="EG37" s="443" t="str">
        <f t="shared" si="115"/>
        <v/>
      </c>
      <c r="EH37" s="443" t="str">
        <f t="shared" si="116"/>
        <v/>
      </c>
      <c r="EI37" s="443" t="str">
        <f t="shared" si="117"/>
        <v/>
      </c>
      <c r="EJ37" s="443" t="str">
        <f t="shared" si="118"/>
        <v/>
      </c>
      <c r="EK37" s="443" t="str">
        <f t="shared" si="119"/>
        <v/>
      </c>
      <c r="EL37" s="443" t="str">
        <f t="shared" si="120"/>
        <v/>
      </c>
      <c r="EM37" s="443" t="str">
        <f t="shared" si="121"/>
        <v/>
      </c>
      <c r="EN37" s="443" t="str">
        <f t="shared" si="122"/>
        <v/>
      </c>
      <c r="EO37" s="443" t="str">
        <f t="shared" si="123"/>
        <v/>
      </c>
      <c r="EP37" s="443" t="str">
        <f t="shared" si="124"/>
        <v/>
      </c>
      <c r="EQ37" s="443" t="str">
        <f t="shared" si="125"/>
        <v/>
      </c>
      <c r="ER37" s="443" t="str">
        <f t="shared" si="126"/>
        <v/>
      </c>
      <c r="ES37" s="443" t="str">
        <f t="shared" si="127"/>
        <v/>
      </c>
      <c r="ET37" s="443" t="str">
        <f t="shared" si="128"/>
        <v/>
      </c>
      <c r="EU37" s="443" t="str">
        <f t="shared" si="129"/>
        <v/>
      </c>
      <c r="EV37" s="443" t="str">
        <f t="shared" si="130"/>
        <v/>
      </c>
      <c r="EW37" s="443" t="str">
        <f t="shared" si="131"/>
        <v/>
      </c>
      <c r="EX37" s="443" t="str">
        <f t="shared" si="132"/>
        <v/>
      </c>
      <c r="EY37" s="443" t="str">
        <f t="shared" si="133"/>
        <v/>
      </c>
      <c r="EZ37" s="443" t="str">
        <f t="shared" si="134"/>
        <v/>
      </c>
      <c r="FA37" s="443" t="str">
        <f t="shared" si="135"/>
        <v/>
      </c>
      <c r="FB37" s="443" t="str">
        <f t="shared" si="136"/>
        <v/>
      </c>
      <c r="FC37" s="443" t="str">
        <f t="shared" si="137"/>
        <v/>
      </c>
      <c r="FD37" s="443" t="str">
        <f t="shared" si="138"/>
        <v/>
      </c>
      <c r="FE37" s="443" t="str">
        <f t="shared" si="139"/>
        <v/>
      </c>
      <c r="FF37" s="443" t="str">
        <f t="shared" si="140"/>
        <v/>
      </c>
      <c r="FG37" s="443" t="str">
        <f t="shared" si="141"/>
        <v/>
      </c>
      <c r="FH37" s="443" t="str">
        <f t="shared" si="142"/>
        <v/>
      </c>
      <c r="FI37" s="443" t="str">
        <f t="shared" si="143"/>
        <v/>
      </c>
      <c r="FJ37" s="443" t="str">
        <f t="shared" si="144"/>
        <v/>
      </c>
      <c r="FK37" s="443" t="str">
        <f t="shared" si="145"/>
        <v/>
      </c>
      <c r="FL37" s="443" t="str">
        <f t="shared" si="146"/>
        <v/>
      </c>
      <c r="FM37" s="443" t="str">
        <f t="shared" si="147"/>
        <v/>
      </c>
      <c r="FN37" s="443" t="str">
        <f t="shared" si="148"/>
        <v/>
      </c>
      <c r="FO37" s="443" t="str">
        <f t="shared" si="149"/>
        <v/>
      </c>
      <c r="FP37" s="443" t="str">
        <f t="shared" si="150"/>
        <v/>
      </c>
      <c r="FQ37" s="443" t="str">
        <f t="shared" si="151"/>
        <v/>
      </c>
      <c r="FR37" s="443" t="str">
        <f t="shared" si="152"/>
        <v/>
      </c>
      <c r="FS37" s="443" t="str">
        <f t="shared" si="153"/>
        <v/>
      </c>
      <c r="FT37" s="443" t="str">
        <f t="shared" si="154"/>
        <v/>
      </c>
      <c r="FU37" s="443" t="str">
        <f t="shared" si="155"/>
        <v/>
      </c>
      <c r="FV37" s="443" t="str">
        <f t="shared" si="156"/>
        <v/>
      </c>
      <c r="FW37" s="443" t="str">
        <f t="shared" si="157"/>
        <v/>
      </c>
      <c r="FX37" s="443" t="str">
        <f t="shared" si="158"/>
        <v/>
      </c>
      <c r="FY37" s="443" t="str">
        <f t="shared" si="159"/>
        <v/>
      </c>
      <c r="FZ37" s="443" t="str">
        <f t="shared" si="160"/>
        <v/>
      </c>
      <c r="GA37" s="443" t="str">
        <f t="shared" si="161"/>
        <v/>
      </c>
      <c r="GB37" s="443" t="str">
        <f t="shared" si="162"/>
        <v/>
      </c>
      <c r="GC37" s="443" t="str">
        <f t="shared" si="163"/>
        <v/>
      </c>
      <c r="GD37" s="443" t="str">
        <f t="shared" si="164"/>
        <v/>
      </c>
      <c r="GE37" s="443" t="str">
        <f t="shared" si="165"/>
        <v/>
      </c>
      <c r="GF37" s="443" t="str">
        <f t="shared" si="166"/>
        <v/>
      </c>
      <c r="GG37" s="443" t="str">
        <f t="shared" si="167"/>
        <v/>
      </c>
      <c r="GH37" s="443" t="str">
        <f t="shared" si="168"/>
        <v/>
      </c>
      <c r="GI37" s="443" t="str">
        <f t="shared" si="169"/>
        <v/>
      </c>
      <c r="GJ37" s="443" t="str">
        <f t="shared" si="170"/>
        <v/>
      </c>
      <c r="GK37" s="443" t="str">
        <f t="shared" si="171"/>
        <v/>
      </c>
      <c r="GL37" s="443" t="str">
        <f t="shared" si="172"/>
        <v/>
      </c>
      <c r="GM37" s="443" t="str">
        <f t="shared" si="173"/>
        <v/>
      </c>
      <c r="GN37" s="443" t="str">
        <f t="shared" si="174"/>
        <v/>
      </c>
      <c r="GO37" s="443" t="str">
        <f t="shared" si="175"/>
        <v/>
      </c>
      <c r="GP37" s="443" t="str">
        <f t="shared" si="176"/>
        <v/>
      </c>
      <c r="GQ37" s="443" t="str">
        <f t="shared" si="177"/>
        <v/>
      </c>
      <c r="GR37" s="443" t="str">
        <f t="shared" si="178"/>
        <v/>
      </c>
      <c r="GS37" s="443" t="str">
        <f t="shared" si="179"/>
        <v/>
      </c>
      <c r="GT37" s="443" t="str">
        <f t="shared" si="180"/>
        <v/>
      </c>
      <c r="GU37" s="443" t="str">
        <f t="shared" si="181"/>
        <v/>
      </c>
      <c r="GV37" s="443" t="str">
        <f t="shared" si="182"/>
        <v/>
      </c>
      <c r="GW37" s="443" t="str">
        <f t="shared" si="183"/>
        <v/>
      </c>
      <c r="GX37" s="443" t="str">
        <f t="shared" si="184"/>
        <v/>
      </c>
      <c r="GY37" s="443" t="str">
        <f t="shared" si="185"/>
        <v/>
      </c>
      <c r="GZ37" s="443" t="str">
        <f t="shared" si="186"/>
        <v/>
      </c>
      <c r="HA37" s="443" t="str">
        <f t="shared" si="187"/>
        <v/>
      </c>
      <c r="HB37" s="443" t="str">
        <f t="shared" si="188"/>
        <v/>
      </c>
      <c r="HC37" s="443" t="str">
        <f t="shared" si="189"/>
        <v/>
      </c>
      <c r="HD37" s="443" t="str">
        <f t="shared" si="190"/>
        <v/>
      </c>
      <c r="HE37" s="443" t="str">
        <f t="shared" si="191"/>
        <v/>
      </c>
      <c r="HF37" s="443" t="str">
        <f t="shared" si="192"/>
        <v/>
      </c>
      <c r="HG37" s="443" t="str">
        <f t="shared" si="193"/>
        <v/>
      </c>
      <c r="HH37" s="443" t="str">
        <f t="shared" si="194"/>
        <v/>
      </c>
      <c r="HI37" s="443" t="str">
        <f t="shared" si="195"/>
        <v/>
      </c>
      <c r="HJ37" s="443" t="str">
        <f t="shared" si="196"/>
        <v/>
      </c>
      <c r="HK37" s="443" t="str">
        <f t="shared" si="197"/>
        <v/>
      </c>
      <c r="HL37" s="443" t="str">
        <f t="shared" si="198"/>
        <v/>
      </c>
      <c r="HM37" s="443" t="str">
        <f t="shared" si="199"/>
        <v/>
      </c>
      <c r="HN37" s="443" t="str">
        <f t="shared" si="200"/>
        <v/>
      </c>
      <c r="HO37" s="443" t="str">
        <f t="shared" si="201"/>
        <v/>
      </c>
      <c r="HP37" s="443" t="str">
        <f t="shared" si="202"/>
        <v/>
      </c>
      <c r="HQ37" s="443" t="str">
        <f t="shared" si="203"/>
        <v/>
      </c>
      <c r="HR37" s="443" t="str">
        <f t="shared" si="204"/>
        <v/>
      </c>
      <c r="HS37" s="443" t="str">
        <f t="shared" si="205"/>
        <v/>
      </c>
      <c r="HT37" s="443" t="str">
        <f t="shared" si="206"/>
        <v/>
      </c>
      <c r="HU37" s="443" t="str">
        <f t="shared" si="207"/>
        <v/>
      </c>
      <c r="HV37" s="443" t="str">
        <f t="shared" si="208"/>
        <v/>
      </c>
      <c r="HW37" s="443" t="str">
        <f t="shared" si="209"/>
        <v/>
      </c>
      <c r="HX37" s="443" t="str">
        <f t="shared" si="210"/>
        <v/>
      </c>
      <c r="HY37" s="443" t="str">
        <f t="shared" si="211"/>
        <v/>
      </c>
      <c r="HZ37" s="2247" t="str">
        <f t="shared" si="212"/>
        <v/>
      </c>
      <c r="IA37" s="2247" t="str">
        <f t="shared" si="213"/>
        <v/>
      </c>
      <c r="IB37" s="2247" t="str">
        <f t="shared" si="214"/>
        <v/>
      </c>
      <c r="IC37" s="2247" t="str">
        <f t="shared" si="215"/>
        <v/>
      </c>
      <c r="ID37" s="2247" t="str">
        <f t="shared" si="216"/>
        <v/>
      </c>
      <c r="IE37" s="2247" t="str">
        <f t="shared" si="217"/>
        <v/>
      </c>
      <c r="IF37" s="2247" t="str">
        <f t="shared" si="218"/>
        <v/>
      </c>
      <c r="IG37" s="2247" t="str">
        <f t="shared" si="219"/>
        <v/>
      </c>
      <c r="IH37" s="2247" t="str">
        <f t="shared" si="220"/>
        <v/>
      </c>
      <c r="II37" s="2247" t="str">
        <f t="shared" si="221"/>
        <v/>
      </c>
      <c r="IJ37" s="2247" t="str">
        <f t="shared" si="222"/>
        <v/>
      </c>
      <c r="IK37" s="2247" t="str">
        <f t="shared" si="223"/>
        <v/>
      </c>
      <c r="IL37" s="2247" t="str">
        <f t="shared" si="224"/>
        <v/>
      </c>
      <c r="IM37" s="2247" t="str">
        <f t="shared" si="225"/>
        <v/>
      </c>
      <c r="IN37" s="2247" t="str">
        <f t="shared" si="226"/>
        <v/>
      </c>
      <c r="IO37" s="2247" t="str">
        <f t="shared" si="227"/>
        <v/>
      </c>
      <c r="IP37" s="2247" t="str">
        <f t="shared" si="228"/>
        <v/>
      </c>
      <c r="IQ37" s="2247" t="str">
        <f t="shared" si="229"/>
        <v/>
      </c>
      <c r="IR37" s="2247" t="str">
        <f t="shared" si="230"/>
        <v/>
      </c>
      <c r="IS37" s="2247" t="str">
        <f t="shared" si="231"/>
        <v/>
      </c>
      <c r="IT37" s="2247" t="str">
        <f t="shared" si="232"/>
        <v/>
      </c>
      <c r="IU37" s="2247" t="str">
        <f t="shared" si="233"/>
        <v/>
      </c>
      <c r="IV37" s="2247" t="str">
        <f t="shared" si="234"/>
        <v/>
      </c>
      <c r="IW37" s="2247" t="str">
        <f t="shared" si="235"/>
        <v/>
      </c>
      <c r="IX37" s="2247" t="str">
        <f t="shared" si="236"/>
        <v/>
      </c>
      <c r="IY37" s="2247" t="str">
        <f t="shared" si="237"/>
        <v/>
      </c>
      <c r="IZ37" s="2247" t="str">
        <f t="shared" si="238"/>
        <v/>
      </c>
      <c r="JA37" s="2247" t="str">
        <f t="shared" si="239"/>
        <v/>
      </c>
      <c r="JB37" s="2247" t="str">
        <f t="shared" si="240"/>
        <v/>
      </c>
      <c r="JC37" s="2247" t="str">
        <f t="shared" si="241"/>
        <v/>
      </c>
      <c r="JD37" s="2247" t="str">
        <f t="shared" si="242"/>
        <v/>
      </c>
      <c r="JE37" s="2247" t="str">
        <f t="shared" si="243"/>
        <v/>
      </c>
      <c r="JF37" s="2247" t="str">
        <f t="shared" si="244"/>
        <v/>
      </c>
      <c r="JG37" s="2247" t="str">
        <f t="shared" si="245"/>
        <v/>
      </c>
      <c r="JH37" s="2247" t="str">
        <f t="shared" si="246"/>
        <v/>
      </c>
      <c r="JI37" s="2247" t="str">
        <f t="shared" si="247"/>
        <v/>
      </c>
      <c r="JJ37" s="2247" t="str">
        <f t="shared" si="248"/>
        <v/>
      </c>
      <c r="JK37" s="2247" t="str">
        <f t="shared" si="249"/>
        <v/>
      </c>
      <c r="JL37" s="2247" t="str">
        <f t="shared" si="250"/>
        <v/>
      </c>
      <c r="JM37" s="2247" t="str">
        <f t="shared" si="251"/>
        <v/>
      </c>
      <c r="JN37" s="2247" t="str">
        <f t="shared" si="252"/>
        <v/>
      </c>
      <c r="JO37" s="2247" t="str">
        <f t="shared" si="253"/>
        <v/>
      </c>
      <c r="JP37" s="2247" t="str">
        <f t="shared" si="254"/>
        <v/>
      </c>
      <c r="JQ37" s="2247" t="str">
        <f t="shared" si="255"/>
        <v/>
      </c>
      <c r="JR37" s="2247" t="str">
        <f t="shared" si="256"/>
        <v/>
      </c>
      <c r="JS37" s="2247" t="str">
        <f t="shared" si="257"/>
        <v/>
      </c>
      <c r="JT37" s="2247" t="str">
        <f t="shared" si="258"/>
        <v/>
      </c>
      <c r="JU37" s="2247" t="str">
        <f t="shared" si="259"/>
        <v/>
      </c>
      <c r="JV37" s="2247" t="str">
        <f t="shared" si="260"/>
        <v/>
      </c>
      <c r="JW37" s="2247" t="str">
        <f t="shared" si="261"/>
        <v/>
      </c>
      <c r="JX37" s="2247" t="str">
        <f t="shared" si="262"/>
        <v/>
      </c>
      <c r="JY37" s="2247" t="str">
        <f t="shared" si="263"/>
        <v/>
      </c>
      <c r="JZ37" s="2247" t="str">
        <f t="shared" si="264"/>
        <v/>
      </c>
      <c r="KA37" s="2247" t="str">
        <f t="shared" si="265"/>
        <v/>
      </c>
      <c r="KB37" s="2247" t="str">
        <f t="shared" si="266"/>
        <v/>
      </c>
      <c r="KC37" s="2247" t="str">
        <f t="shared" si="267"/>
        <v/>
      </c>
      <c r="KD37" s="2247" t="str">
        <f t="shared" si="268"/>
        <v/>
      </c>
      <c r="KE37" s="2247" t="str">
        <f t="shared" si="269"/>
        <v/>
      </c>
      <c r="KF37" s="2247" t="str">
        <f t="shared" si="270"/>
        <v/>
      </c>
      <c r="KG37" s="2247" t="str">
        <f t="shared" si="271"/>
        <v/>
      </c>
      <c r="KH37" s="2247" t="str">
        <f t="shared" si="272"/>
        <v/>
      </c>
      <c r="KI37" s="2247" t="str">
        <f t="shared" si="273"/>
        <v/>
      </c>
      <c r="KJ37" s="2247" t="str">
        <f t="shared" si="274"/>
        <v/>
      </c>
      <c r="KK37" s="2247" t="str">
        <f t="shared" si="275"/>
        <v/>
      </c>
      <c r="KL37" s="2247" t="str">
        <f t="shared" si="276"/>
        <v/>
      </c>
      <c r="KM37" s="2247" t="str">
        <f t="shared" si="277"/>
        <v/>
      </c>
      <c r="KN37" s="2247" t="str">
        <f t="shared" si="278"/>
        <v/>
      </c>
      <c r="KO37" s="2247" t="str">
        <f t="shared" si="279"/>
        <v/>
      </c>
      <c r="KP37" s="2247" t="str">
        <f t="shared" si="280"/>
        <v/>
      </c>
      <c r="KQ37" s="2247" t="str">
        <f t="shared" si="281"/>
        <v/>
      </c>
      <c r="KR37" s="2247" t="str">
        <f t="shared" si="282"/>
        <v/>
      </c>
      <c r="KS37" s="2247" t="str">
        <f t="shared" si="283"/>
        <v/>
      </c>
      <c r="KT37" s="2247" t="str">
        <f t="shared" si="284"/>
        <v/>
      </c>
      <c r="KU37" s="2247" t="str">
        <f t="shared" si="285"/>
        <v/>
      </c>
      <c r="KV37" s="2247" t="str">
        <f t="shared" si="286"/>
        <v/>
      </c>
      <c r="KW37" s="2247" t="str">
        <f t="shared" si="287"/>
        <v/>
      </c>
      <c r="KX37" s="2247" t="str">
        <f t="shared" si="288"/>
        <v/>
      </c>
      <c r="KY37" s="2247" t="str">
        <f t="shared" si="289"/>
        <v/>
      </c>
      <c r="KZ37" s="2247" t="str">
        <f t="shared" si="290"/>
        <v/>
      </c>
      <c r="LA37" s="2247" t="str">
        <f t="shared" si="291"/>
        <v/>
      </c>
      <c r="LB37" s="2247" t="str">
        <f t="shared" si="292"/>
        <v/>
      </c>
      <c r="LC37" s="2247" t="str">
        <f t="shared" si="293"/>
        <v/>
      </c>
      <c r="LD37" s="2247" t="str">
        <f t="shared" si="294"/>
        <v/>
      </c>
      <c r="LE37" s="2247" t="str">
        <f t="shared" si="295"/>
        <v/>
      </c>
      <c r="LF37" s="2247" t="str">
        <f t="shared" si="296"/>
        <v/>
      </c>
      <c r="LG37" s="2247" t="str">
        <f t="shared" si="297"/>
        <v/>
      </c>
      <c r="LH37" s="2247" t="str">
        <f t="shared" si="298"/>
        <v/>
      </c>
      <c r="LI37" s="2247" t="str">
        <f t="shared" si="299"/>
        <v/>
      </c>
      <c r="LJ37" s="2247" t="str">
        <f t="shared" si="300"/>
        <v/>
      </c>
      <c r="LK37" s="2247" t="str">
        <f t="shared" si="301"/>
        <v/>
      </c>
      <c r="LL37" s="2247" t="str">
        <f t="shared" si="302"/>
        <v/>
      </c>
      <c r="LM37" s="2247" t="str">
        <f t="shared" si="303"/>
        <v/>
      </c>
      <c r="LN37" s="2247" t="str">
        <f t="shared" si="304"/>
        <v/>
      </c>
      <c r="LO37" s="2247" t="str">
        <f t="shared" si="305"/>
        <v/>
      </c>
      <c r="LP37" s="2247" t="str">
        <f t="shared" si="306"/>
        <v/>
      </c>
      <c r="LQ37" s="2248" t="str">
        <f t="shared" si="307"/>
        <v/>
      </c>
      <c r="LR37" s="2248" t="str">
        <f t="shared" si="308"/>
        <v/>
      </c>
      <c r="LS37" s="2248" t="str">
        <f t="shared" si="309"/>
        <v/>
      </c>
      <c r="LT37" s="2248" t="str">
        <f t="shared" si="310"/>
        <v/>
      </c>
      <c r="LU37" s="2248" t="str">
        <f t="shared" si="311"/>
        <v/>
      </c>
      <c r="LV37" s="443" t="str">
        <f t="shared" si="312"/>
        <v/>
      </c>
      <c r="LW37" s="443" t="str">
        <f t="shared" si="313"/>
        <v/>
      </c>
      <c r="LX37" s="443" t="str">
        <f t="shared" si="314"/>
        <v/>
      </c>
      <c r="LY37" s="443" t="str">
        <f t="shared" si="315"/>
        <v/>
      </c>
      <c r="LZ37" s="443" t="str">
        <f t="shared" si="316"/>
        <v/>
      </c>
      <c r="MA37" s="443" t="str">
        <f t="shared" si="317"/>
        <v/>
      </c>
      <c r="MB37" s="443" t="str">
        <f t="shared" si="318"/>
        <v/>
      </c>
      <c r="MC37" s="443" t="str">
        <f t="shared" si="319"/>
        <v/>
      </c>
      <c r="MD37" s="443" t="str">
        <f t="shared" si="320"/>
        <v/>
      </c>
      <c r="ME37" s="443" t="str">
        <f t="shared" si="321"/>
        <v/>
      </c>
      <c r="MF37" s="443" t="str">
        <f t="shared" si="322"/>
        <v/>
      </c>
      <c r="MG37" s="443" t="str">
        <f t="shared" si="323"/>
        <v/>
      </c>
      <c r="MH37" s="443" t="str">
        <f t="shared" si="324"/>
        <v/>
      </c>
      <c r="MI37" s="443" t="str">
        <f t="shared" si="325"/>
        <v/>
      </c>
      <c r="MJ37" s="443" t="str">
        <f t="shared" si="326"/>
        <v/>
      </c>
      <c r="MK37" s="443" t="str">
        <f t="shared" si="327"/>
        <v/>
      </c>
      <c r="ML37" s="443" t="str">
        <f t="shared" si="328"/>
        <v/>
      </c>
      <c r="MM37" s="443" t="str">
        <f t="shared" si="329"/>
        <v/>
      </c>
      <c r="MN37" s="443" t="str">
        <f t="shared" si="330"/>
        <v/>
      </c>
      <c r="MO37" s="443" t="str">
        <f t="shared" si="331"/>
        <v/>
      </c>
      <c r="MP37" s="2246">
        <f t="shared" si="338"/>
        <v>0</v>
      </c>
      <c r="MQ37" s="2246">
        <f t="shared" si="339"/>
        <v>0</v>
      </c>
      <c r="MR37" s="2246">
        <f t="shared" si="340"/>
        <v>0</v>
      </c>
      <c r="MS37" s="2246">
        <f t="shared" si="341"/>
        <v>0</v>
      </c>
      <c r="MT37" s="2246">
        <f t="shared" si="342"/>
        <v>0</v>
      </c>
      <c r="MU37" s="2246">
        <f t="shared" si="343"/>
        <v>0</v>
      </c>
      <c r="MV37" s="2246">
        <f t="shared" si="344"/>
        <v>0</v>
      </c>
      <c r="MW37" s="2246">
        <f t="shared" si="345"/>
        <v>0</v>
      </c>
      <c r="MX37" s="2246">
        <f t="shared" si="346"/>
        <v>0</v>
      </c>
      <c r="MY37" s="2246">
        <f t="shared" si="347"/>
        <v>0</v>
      </c>
      <c r="MZ37" s="2246">
        <f t="shared" si="332"/>
        <v>0</v>
      </c>
      <c r="NA37" s="2246">
        <f t="shared" si="333"/>
        <v>0</v>
      </c>
      <c r="NB37" s="2246">
        <f t="shared" si="334"/>
        <v>0</v>
      </c>
      <c r="NC37" s="2246">
        <f t="shared" si="335"/>
        <v>0</v>
      </c>
      <c r="ND37" s="2246">
        <f t="shared" si="336"/>
        <v>0</v>
      </c>
    </row>
    <row r="38" spans="1:369" ht="13.95" customHeight="1">
      <c r="A38" s="109" t="str">
        <f t="shared" si="337"/>
        <v/>
      </c>
      <c r="B38" s="4015"/>
      <c r="C38" s="3987"/>
      <c r="D38" s="3988"/>
      <c r="E38" s="3989"/>
      <c r="F38" s="3989"/>
      <c r="G38" s="3989"/>
      <c r="H38" s="3989"/>
      <c r="I38" s="3989"/>
      <c r="J38" s="4016">
        <f>IF(C38="",0,HLOOKUP(C38,'Part V-Utility Allowances'!$I$11:$M$22,12))</f>
        <v>0</v>
      </c>
      <c r="K38" s="3991"/>
      <c r="L38" s="567">
        <f t="shared" si="0"/>
        <v>0</v>
      </c>
      <c r="M38" s="567">
        <f t="shared" si="1"/>
        <v>0</v>
      </c>
      <c r="N38" s="3992"/>
      <c r="O38" s="3992"/>
      <c r="P38" s="3992"/>
      <c r="Q38" s="3993"/>
      <c r="R38" s="3994"/>
      <c r="S38" s="3995"/>
      <c r="T38" s="3996"/>
      <c r="U38" s="3997"/>
      <c r="V38" s="3997"/>
      <c r="W38" s="3998"/>
      <c r="X38" s="443" t="str">
        <f t="shared" si="2"/>
        <v/>
      </c>
      <c r="Y38" s="443" t="str">
        <f t="shared" si="3"/>
        <v/>
      </c>
      <c r="Z38" s="443" t="str">
        <f t="shared" si="4"/>
        <v/>
      </c>
      <c r="AA38" s="443" t="str">
        <f t="shared" si="5"/>
        <v/>
      </c>
      <c r="AB38" s="443" t="str">
        <f t="shared" si="6"/>
        <v/>
      </c>
      <c r="AC38" s="443" t="str">
        <f t="shared" si="7"/>
        <v/>
      </c>
      <c r="AD38" s="443" t="str">
        <f t="shared" si="8"/>
        <v/>
      </c>
      <c r="AE38" s="443" t="str">
        <f t="shared" si="9"/>
        <v/>
      </c>
      <c r="AF38" s="443" t="str">
        <f t="shared" si="10"/>
        <v/>
      </c>
      <c r="AG38" s="443" t="str">
        <f t="shared" si="11"/>
        <v/>
      </c>
      <c r="AH38" s="443" t="str">
        <f t="shared" si="12"/>
        <v/>
      </c>
      <c r="AI38" s="443" t="str">
        <f t="shared" si="13"/>
        <v/>
      </c>
      <c r="AJ38" s="443" t="str">
        <f t="shared" si="14"/>
        <v/>
      </c>
      <c r="AK38" s="443" t="str">
        <f t="shared" si="15"/>
        <v/>
      </c>
      <c r="AL38" s="443" t="str">
        <f t="shared" si="16"/>
        <v/>
      </c>
      <c r="AM38" s="443" t="str">
        <f t="shared" si="17"/>
        <v/>
      </c>
      <c r="AN38" s="443" t="str">
        <f t="shared" si="18"/>
        <v/>
      </c>
      <c r="AO38" s="443" t="str">
        <f t="shared" si="19"/>
        <v/>
      </c>
      <c r="AP38" s="443" t="str">
        <f t="shared" si="20"/>
        <v/>
      </c>
      <c r="AQ38" s="443" t="str">
        <f t="shared" si="21"/>
        <v/>
      </c>
      <c r="AR38" s="443" t="str">
        <f t="shared" si="22"/>
        <v/>
      </c>
      <c r="AS38" s="443" t="str">
        <f t="shared" si="23"/>
        <v/>
      </c>
      <c r="AT38" s="443" t="str">
        <f t="shared" si="24"/>
        <v/>
      </c>
      <c r="AU38" s="443" t="str">
        <f t="shared" si="25"/>
        <v/>
      </c>
      <c r="AV38" s="443" t="str">
        <f t="shared" si="26"/>
        <v/>
      </c>
      <c r="AW38" s="443" t="str">
        <f t="shared" si="27"/>
        <v/>
      </c>
      <c r="AX38" s="443" t="str">
        <f t="shared" si="28"/>
        <v/>
      </c>
      <c r="AY38" s="443" t="str">
        <f t="shared" si="29"/>
        <v/>
      </c>
      <c r="AZ38" s="443" t="str">
        <f t="shared" si="30"/>
        <v/>
      </c>
      <c r="BA38" s="443" t="str">
        <f t="shared" si="31"/>
        <v/>
      </c>
      <c r="BB38" s="443" t="str">
        <f t="shared" si="32"/>
        <v/>
      </c>
      <c r="BC38" s="443" t="str">
        <f t="shared" si="33"/>
        <v/>
      </c>
      <c r="BD38" s="443" t="str">
        <f t="shared" si="34"/>
        <v/>
      </c>
      <c r="BE38" s="443" t="str">
        <f t="shared" si="35"/>
        <v/>
      </c>
      <c r="BF38" s="443" t="str">
        <f t="shared" si="36"/>
        <v/>
      </c>
      <c r="BG38" s="443" t="str">
        <f t="shared" si="37"/>
        <v/>
      </c>
      <c r="BH38" s="443" t="str">
        <f t="shared" si="38"/>
        <v/>
      </c>
      <c r="BI38" s="443" t="str">
        <f t="shared" si="39"/>
        <v/>
      </c>
      <c r="BJ38" s="443" t="str">
        <f t="shared" si="40"/>
        <v/>
      </c>
      <c r="BK38" s="443" t="str">
        <f t="shared" si="41"/>
        <v/>
      </c>
      <c r="BL38" s="443" t="str">
        <f t="shared" si="42"/>
        <v/>
      </c>
      <c r="BM38" s="443" t="str">
        <f t="shared" si="43"/>
        <v/>
      </c>
      <c r="BN38" s="443" t="str">
        <f t="shared" si="44"/>
        <v/>
      </c>
      <c r="BO38" s="443" t="str">
        <f t="shared" si="45"/>
        <v/>
      </c>
      <c r="BP38" s="443" t="str">
        <f t="shared" si="46"/>
        <v/>
      </c>
      <c r="BQ38" s="443" t="str">
        <f t="shared" si="47"/>
        <v/>
      </c>
      <c r="BR38" s="443" t="str">
        <f t="shared" si="48"/>
        <v/>
      </c>
      <c r="BS38" s="443" t="str">
        <f t="shared" si="49"/>
        <v/>
      </c>
      <c r="BT38" s="443" t="str">
        <f t="shared" si="50"/>
        <v/>
      </c>
      <c r="BU38" s="443" t="str">
        <f t="shared" si="51"/>
        <v/>
      </c>
      <c r="BV38" s="443" t="str">
        <f t="shared" si="52"/>
        <v/>
      </c>
      <c r="BW38" s="443" t="str">
        <f t="shared" si="53"/>
        <v/>
      </c>
      <c r="BX38" s="443" t="str">
        <f t="shared" si="54"/>
        <v/>
      </c>
      <c r="BY38" s="443" t="str">
        <f t="shared" si="55"/>
        <v/>
      </c>
      <c r="BZ38" s="443" t="str">
        <f t="shared" si="56"/>
        <v/>
      </c>
      <c r="CA38" s="443" t="str">
        <f t="shared" si="57"/>
        <v/>
      </c>
      <c r="CB38" s="443" t="str">
        <f t="shared" si="58"/>
        <v/>
      </c>
      <c r="CC38" s="443" t="str">
        <f t="shared" si="59"/>
        <v/>
      </c>
      <c r="CD38" s="443" t="str">
        <f t="shared" si="60"/>
        <v/>
      </c>
      <c r="CE38" s="443" t="str">
        <f t="shared" si="61"/>
        <v/>
      </c>
      <c r="CF38" s="443" t="str">
        <f t="shared" si="62"/>
        <v/>
      </c>
      <c r="CG38" s="443" t="str">
        <f t="shared" si="63"/>
        <v/>
      </c>
      <c r="CH38" s="443" t="str">
        <f t="shared" si="64"/>
        <v/>
      </c>
      <c r="CI38" s="443" t="str">
        <f t="shared" si="65"/>
        <v/>
      </c>
      <c r="CJ38" s="443" t="str">
        <f t="shared" si="66"/>
        <v/>
      </c>
      <c r="CK38" s="443" t="str">
        <f t="shared" si="67"/>
        <v/>
      </c>
      <c r="CL38" s="443" t="str">
        <f t="shared" si="68"/>
        <v/>
      </c>
      <c r="CM38" s="443" t="str">
        <f t="shared" si="69"/>
        <v/>
      </c>
      <c r="CN38" s="443" t="str">
        <f t="shared" si="70"/>
        <v/>
      </c>
      <c r="CO38" s="443" t="str">
        <f t="shared" si="71"/>
        <v/>
      </c>
      <c r="CP38" s="443" t="str">
        <f t="shared" si="72"/>
        <v/>
      </c>
      <c r="CQ38" s="443" t="str">
        <f t="shared" si="73"/>
        <v/>
      </c>
      <c r="CR38" s="443" t="str">
        <f t="shared" si="74"/>
        <v/>
      </c>
      <c r="CS38" s="443" t="str">
        <f t="shared" si="75"/>
        <v/>
      </c>
      <c r="CT38" s="443" t="str">
        <f t="shared" si="76"/>
        <v/>
      </c>
      <c r="CU38" s="443" t="str">
        <f t="shared" si="77"/>
        <v/>
      </c>
      <c r="CV38" s="443" t="str">
        <f t="shared" si="78"/>
        <v/>
      </c>
      <c r="CW38" s="443" t="str">
        <f t="shared" si="79"/>
        <v/>
      </c>
      <c r="CX38" s="443" t="str">
        <f t="shared" si="80"/>
        <v/>
      </c>
      <c r="CY38" s="443" t="str">
        <f t="shared" si="81"/>
        <v/>
      </c>
      <c r="CZ38" s="443" t="str">
        <f t="shared" si="82"/>
        <v/>
      </c>
      <c r="DA38" s="443" t="str">
        <f t="shared" si="83"/>
        <v/>
      </c>
      <c r="DB38" s="443" t="str">
        <f t="shared" si="84"/>
        <v/>
      </c>
      <c r="DC38" s="443" t="str">
        <f t="shared" si="85"/>
        <v/>
      </c>
      <c r="DD38" s="443" t="str">
        <f t="shared" si="86"/>
        <v/>
      </c>
      <c r="DE38" s="443" t="str">
        <f t="shared" si="87"/>
        <v/>
      </c>
      <c r="DF38" s="443" t="str">
        <f t="shared" si="88"/>
        <v/>
      </c>
      <c r="DG38" s="443" t="str">
        <f t="shared" si="89"/>
        <v/>
      </c>
      <c r="DH38" s="443" t="str">
        <f t="shared" si="90"/>
        <v/>
      </c>
      <c r="DI38" s="443" t="str">
        <f t="shared" si="91"/>
        <v/>
      </c>
      <c r="DJ38" s="443" t="str">
        <f t="shared" si="92"/>
        <v/>
      </c>
      <c r="DK38" s="443" t="str">
        <f t="shared" si="93"/>
        <v/>
      </c>
      <c r="DL38" s="443" t="str">
        <f t="shared" si="94"/>
        <v/>
      </c>
      <c r="DM38" s="443" t="str">
        <f t="shared" si="95"/>
        <v/>
      </c>
      <c r="DN38" s="443" t="str">
        <f t="shared" si="96"/>
        <v/>
      </c>
      <c r="DO38" s="443" t="str">
        <f t="shared" si="97"/>
        <v/>
      </c>
      <c r="DP38" s="443" t="str">
        <f t="shared" si="98"/>
        <v/>
      </c>
      <c r="DQ38" s="443" t="str">
        <f t="shared" si="99"/>
        <v/>
      </c>
      <c r="DR38" s="443" t="str">
        <f t="shared" si="100"/>
        <v/>
      </c>
      <c r="DS38" s="443" t="str">
        <f t="shared" si="101"/>
        <v/>
      </c>
      <c r="DT38" s="443" t="str">
        <f t="shared" si="102"/>
        <v/>
      </c>
      <c r="DU38" s="443" t="str">
        <f t="shared" si="103"/>
        <v/>
      </c>
      <c r="DV38" s="443" t="str">
        <f t="shared" si="104"/>
        <v/>
      </c>
      <c r="DW38" s="443" t="str">
        <f t="shared" si="105"/>
        <v/>
      </c>
      <c r="DX38" s="443" t="str">
        <f t="shared" si="106"/>
        <v/>
      </c>
      <c r="DY38" s="443" t="str">
        <f t="shared" si="107"/>
        <v/>
      </c>
      <c r="DZ38" s="443" t="str">
        <f t="shared" si="108"/>
        <v/>
      </c>
      <c r="EA38" s="443" t="str">
        <f t="shared" si="109"/>
        <v/>
      </c>
      <c r="EB38" s="443" t="str">
        <f t="shared" si="110"/>
        <v/>
      </c>
      <c r="EC38" s="443" t="str">
        <f t="shared" si="111"/>
        <v/>
      </c>
      <c r="ED38" s="443" t="str">
        <f t="shared" si="112"/>
        <v/>
      </c>
      <c r="EE38" s="443" t="str">
        <f t="shared" si="113"/>
        <v/>
      </c>
      <c r="EF38" s="443" t="str">
        <f t="shared" si="114"/>
        <v/>
      </c>
      <c r="EG38" s="443" t="str">
        <f t="shared" si="115"/>
        <v/>
      </c>
      <c r="EH38" s="443" t="str">
        <f t="shared" si="116"/>
        <v/>
      </c>
      <c r="EI38" s="443" t="str">
        <f t="shared" si="117"/>
        <v/>
      </c>
      <c r="EJ38" s="443" t="str">
        <f t="shared" si="118"/>
        <v/>
      </c>
      <c r="EK38" s="443" t="str">
        <f t="shared" si="119"/>
        <v/>
      </c>
      <c r="EL38" s="443" t="str">
        <f t="shared" si="120"/>
        <v/>
      </c>
      <c r="EM38" s="443" t="str">
        <f t="shared" si="121"/>
        <v/>
      </c>
      <c r="EN38" s="443" t="str">
        <f t="shared" si="122"/>
        <v/>
      </c>
      <c r="EO38" s="443" t="str">
        <f t="shared" si="123"/>
        <v/>
      </c>
      <c r="EP38" s="443" t="str">
        <f t="shared" si="124"/>
        <v/>
      </c>
      <c r="EQ38" s="443" t="str">
        <f t="shared" si="125"/>
        <v/>
      </c>
      <c r="ER38" s="443" t="str">
        <f t="shared" si="126"/>
        <v/>
      </c>
      <c r="ES38" s="443" t="str">
        <f t="shared" si="127"/>
        <v/>
      </c>
      <c r="ET38" s="443" t="str">
        <f t="shared" si="128"/>
        <v/>
      </c>
      <c r="EU38" s="443" t="str">
        <f t="shared" si="129"/>
        <v/>
      </c>
      <c r="EV38" s="443" t="str">
        <f t="shared" si="130"/>
        <v/>
      </c>
      <c r="EW38" s="443" t="str">
        <f t="shared" si="131"/>
        <v/>
      </c>
      <c r="EX38" s="443" t="str">
        <f t="shared" si="132"/>
        <v/>
      </c>
      <c r="EY38" s="443" t="str">
        <f t="shared" si="133"/>
        <v/>
      </c>
      <c r="EZ38" s="443" t="str">
        <f t="shared" si="134"/>
        <v/>
      </c>
      <c r="FA38" s="443" t="str">
        <f t="shared" si="135"/>
        <v/>
      </c>
      <c r="FB38" s="443" t="str">
        <f t="shared" si="136"/>
        <v/>
      </c>
      <c r="FC38" s="443" t="str">
        <f t="shared" si="137"/>
        <v/>
      </c>
      <c r="FD38" s="443" t="str">
        <f t="shared" si="138"/>
        <v/>
      </c>
      <c r="FE38" s="443" t="str">
        <f t="shared" si="139"/>
        <v/>
      </c>
      <c r="FF38" s="443" t="str">
        <f t="shared" si="140"/>
        <v/>
      </c>
      <c r="FG38" s="443" t="str">
        <f t="shared" si="141"/>
        <v/>
      </c>
      <c r="FH38" s="443" t="str">
        <f t="shared" si="142"/>
        <v/>
      </c>
      <c r="FI38" s="443" t="str">
        <f t="shared" si="143"/>
        <v/>
      </c>
      <c r="FJ38" s="443" t="str">
        <f t="shared" si="144"/>
        <v/>
      </c>
      <c r="FK38" s="443" t="str">
        <f t="shared" si="145"/>
        <v/>
      </c>
      <c r="FL38" s="443" t="str">
        <f t="shared" si="146"/>
        <v/>
      </c>
      <c r="FM38" s="443" t="str">
        <f t="shared" si="147"/>
        <v/>
      </c>
      <c r="FN38" s="443" t="str">
        <f t="shared" si="148"/>
        <v/>
      </c>
      <c r="FO38" s="443" t="str">
        <f t="shared" si="149"/>
        <v/>
      </c>
      <c r="FP38" s="443" t="str">
        <f t="shared" si="150"/>
        <v/>
      </c>
      <c r="FQ38" s="443" t="str">
        <f t="shared" si="151"/>
        <v/>
      </c>
      <c r="FR38" s="443" t="str">
        <f t="shared" si="152"/>
        <v/>
      </c>
      <c r="FS38" s="443" t="str">
        <f t="shared" si="153"/>
        <v/>
      </c>
      <c r="FT38" s="443" t="str">
        <f t="shared" si="154"/>
        <v/>
      </c>
      <c r="FU38" s="443" t="str">
        <f t="shared" si="155"/>
        <v/>
      </c>
      <c r="FV38" s="443" t="str">
        <f t="shared" si="156"/>
        <v/>
      </c>
      <c r="FW38" s="443" t="str">
        <f t="shared" si="157"/>
        <v/>
      </c>
      <c r="FX38" s="443" t="str">
        <f t="shared" si="158"/>
        <v/>
      </c>
      <c r="FY38" s="443" t="str">
        <f t="shared" si="159"/>
        <v/>
      </c>
      <c r="FZ38" s="443" t="str">
        <f t="shared" si="160"/>
        <v/>
      </c>
      <c r="GA38" s="443" t="str">
        <f t="shared" si="161"/>
        <v/>
      </c>
      <c r="GB38" s="443" t="str">
        <f t="shared" si="162"/>
        <v/>
      </c>
      <c r="GC38" s="443" t="str">
        <f t="shared" si="163"/>
        <v/>
      </c>
      <c r="GD38" s="443" t="str">
        <f t="shared" si="164"/>
        <v/>
      </c>
      <c r="GE38" s="443" t="str">
        <f t="shared" si="165"/>
        <v/>
      </c>
      <c r="GF38" s="443" t="str">
        <f t="shared" si="166"/>
        <v/>
      </c>
      <c r="GG38" s="443" t="str">
        <f t="shared" si="167"/>
        <v/>
      </c>
      <c r="GH38" s="443" t="str">
        <f t="shared" si="168"/>
        <v/>
      </c>
      <c r="GI38" s="443" t="str">
        <f t="shared" si="169"/>
        <v/>
      </c>
      <c r="GJ38" s="443" t="str">
        <f t="shared" si="170"/>
        <v/>
      </c>
      <c r="GK38" s="443" t="str">
        <f t="shared" si="171"/>
        <v/>
      </c>
      <c r="GL38" s="443" t="str">
        <f t="shared" si="172"/>
        <v/>
      </c>
      <c r="GM38" s="443" t="str">
        <f t="shared" si="173"/>
        <v/>
      </c>
      <c r="GN38" s="443" t="str">
        <f t="shared" si="174"/>
        <v/>
      </c>
      <c r="GO38" s="443" t="str">
        <f t="shared" si="175"/>
        <v/>
      </c>
      <c r="GP38" s="443" t="str">
        <f t="shared" si="176"/>
        <v/>
      </c>
      <c r="GQ38" s="443" t="str">
        <f t="shared" si="177"/>
        <v/>
      </c>
      <c r="GR38" s="443" t="str">
        <f t="shared" si="178"/>
        <v/>
      </c>
      <c r="GS38" s="443" t="str">
        <f t="shared" si="179"/>
        <v/>
      </c>
      <c r="GT38" s="443" t="str">
        <f t="shared" si="180"/>
        <v/>
      </c>
      <c r="GU38" s="443" t="str">
        <f t="shared" si="181"/>
        <v/>
      </c>
      <c r="GV38" s="443" t="str">
        <f t="shared" si="182"/>
        <v/>
      </c>
      <c r="GW38" s="443" t="str">
        <f t="shared" si="183"/>
        <v/>
      </c>
      <c r="GX38" s="443" t="str">
        <f t="shared" si="184"/>
        <v/>
      </c>
      <c r="GY38" s="443" t="str">
        <f t="shared" si="185"/>
        <v/>
      </c>
      <c r="GZ38" s="443" t="str">
        <f t="shared" si="186"/>
        <v/>
      </c>
      <c r="HA38" s="443" t="str">
        <f t="shared" si="187"/>
        <v/>
      </c>
      <c r="HB38" s="443" t="str">
        <f t="shared" si="188"/>
        <v/>
      </c>
      <c r="HC38" s="443" t="str">
        <f t="shared" si="189"/>
        <v/>
      </c>
      <c r="HD38" s="443" t="str">
        <f t="shared" si="190"/>
        <v/>
      </c>
      <c r="HE38" s="443" t="str">
        <f t="shared" si="191"/>
        <v/>
      </c>
      <c r="HF38" s="443" t="str">
        <f t="shared" si="192"/>
        <v/>
      </c>
      <c r="HG38" s="443" t="str">
        <f t="shared" si="193"/>
        <v/>
      </c>
      <c r="HH38" s="443" t="str">
        <f t="shared" si="194"/>
        <v/>
      </c>
      <c r="HI38" s="443" t="str">
        <f t="shared" si="195"/>
        <v/>
      </c>
      <c r="HJ38" s="443" t="str">
        <f t="shared" si="196"/>
        <v/>
      </c>
      <c r="HK38" s="443" t="str">
        <f t="shared" si="197"/>
        <v/>
      </c>
      <c r="HL38" s="443" t="str">
        <f t="shared" si="198"/>
        <v/>
      </c>
      <c r="HM38" s="443" t="str">
        <f t="shared" si="199"/>
        <v/>
      </c>
      <c r="HN38" s="443" t="str">
        <f t="shared" si="200"/>
        <v/>
      </c>
      <c r="HO38" s="443" t="str">
        <f t="shared" si="201"/>
        <v/>
      </c>
      <c r="HP38" s="443" t="str">
        <f t="shared" si="202"/>
        <v/>
      </c>
      <c r="HQ38" s="443" t="str">
        <f t="shared" si="203"/>
        <v/>
      </c>
      <c r="HR38" s="443" t="str">
        <f t="shared" si="204"/>
        <v/>
      </c>
      <c r="HS38" s="443" t="str">
        <f t="shared" si="205"/>
        <v/>
      </c>
      <c r="HT38" s="443" t="str">
        <f t="shared" si="206"/>
        <v/>
      </c>
      <c r="HU38" s="443" t="str">
        <f t="shared" si="207"/>
        <v/>
      </c>
      <c r="HV38" s="443" t="str">
        <f t="shared" si="208"/>
        <v/>
      </c>
      <c r="HW38" s="443" t="str">
        <f t="shared" si="209"/>
        <v/>
      </c>
      <c r="HX38" s="443" t="str">
        <f t="shared" si="210"/>
        <v/>
      </c>
      <c r="HY38" s="443" t="str">
        <f t="shared" si="211"/>
        <v/>
      </c>
      <c r="HZ38" s="2247" t="str">
        <f t="shared" si="212"/>
        <v/>
      </c>
      <c r="IA38" s="2247" t="str">
        <f t="shared" si="213"/>
        <v/>
      </c>
      <c r="IB38" s="2247" t="str">
        <f t="shared" si="214"/>
        <v/>
      </c>
      <c r="IC38" s="2247" t="str">
        <f t="shared" si="215"/>
        <v/>
      </c>
      <c r="ID38" s="2247" t="str">
        <f t="shared" si="216"/>
        <v/>
      </c>
      <c r="IE38" s="2247" t="str">
        <f t="shared" si="217"/>
        <v/>
      </c>
      <c r="IF38" s="2247" t="str">
        <f t="shared" si="218"/>
        <v/>
      </c>
      <c r="IG38" s="2247" t="str">
        <f t="shared" si="219"/>
        <v/>
      </c>
      <c r="IH38" s="2247" t="str">
        <f t="shared" si="220"/>
        <v/>
      </c>
      <c r="II38" s="2247" t="str">
        <f t="shared" si="221"/>
        <v/>
      </c>
      <c r="IJ38" s="2247" t="str">
        <f t="shared" si="222"/>
        <v/>
      </c>
      <c r="IK38" s="2247" t="str">
        <f t="shared" si="223"/>
        <v/>
      </c>
      <c r="IL38" s="2247" t="str">
        <f t="shared" si="224"/>
        <v/>
      </c>
      <c r="IM38" s="2247" t="str">
        <f t="shared" si="225"/>
        <v/>
      </c>
      <c r="IN38" s="2247" t="str">
        <f t="shared" si="226"/>
        <v/>
      </c>
      <c r="IO38" s="2247" t="str">
        <f t="shared" si="227"/>
        <v/>
      </c>
      <c r="IP38" s="2247" t="str">
        <f t="shared" si="228"/>
        <v/>
      </c>
      <c r="IQ38" s="2247" t="str">
        <f t="shared" si="229"/>
        <v/>
      </c>
      <c r="IR38" s="2247" t="str">
        <f t="shared" si="230"/>
        <v/>
      </c>
      <c r="IS38" s="2247" t="str">
        <f t="shared" si="231"/>
        <v/>
      </c>
      <c r="IT38" s="2247" t="str">
        <f t="shared" si="232"/>
        <v/>
      </c>
      <c r="IU38" s="2247" t="str">
        <f t="shared" si="233"/>
        <v/>
      </c>
      <c r="IV38" s="2247" t="str">
        <f t="shared" si="234"/>
        <v/>
      </c>
      <c r="IW38" s="2247" t="str">
        <f t="shared" si="235"/>
        <v/>
      </c>
      <c r="IX38" s="2247" t="str">
        <f t="shared" si="236"/>
        <v/>
      </c>
      <c r="IY38" s="2247" t="str">
        <f t="shared" si="237"/>
        <v/>
      </c>
      <c r="IZ38" s="2247" t="str">
        <f t="shared" si="238"/>
        <v/>
      </c>
      <c r="JA38" s="2247" t="str">
        <f t="shared" si="239"/>
        <v/>
      </c>
      <c r="JB38" s="2247" t="str">
        <f t="shared" si="240"/>
        <v/>
      </c>
      <c r="JC38" s="2247" t="str">
        <f t="shared" si="241"/>
        <v/>
      </c>
      <c r="JD38" s="2247" t="str">
        <f t="shared" si="242"/>
        <v/>
      </c>
      <c r="JE38" s="2247" t="str">
        <f t="shared" si="243"/>
        <v/>
      </c>
      <c r="JF38" s="2247" t="str">
        <f t="shared" si="244"/>
        <v/>
      </c>
      <c r="JG38" s="2247" t="str">
        <f t="shared" si="245"/>
        <v/>
      </c>
      <c r="JH38" s="2247" t="str">
        <f t="shared" si="246"/>
        <v/>
      </c>
      <c r="JI38" s="2247" t="str">
        <f t="shared" si="247"/>
        <v/>
      </c>
      <c r="JJ38" s="2247" t="str">
        <f t="shared" si="248"/>
        <v/>
      </c>
      <c r="JK38" s="2247" t="str">
        <f t="shared" si="249"/>
        <v/>
      </c>
      <c r="JL38" s="2247" t="str">
        <f t="shared" si="250"/>
        <v/>
      </c>
      <c r="JM38" s="2247" t="str">
        <f t="shared" si="251"/>
        <v/>
      </c>
      <c r="JN38" s="2247" t="str">
        <f t="shared" si="252"/>
        <v/>
      </c>
      <c r="JO38" s="2247" t="str">
        <f t="shared" si="253"/>
        <v/>
      </c>
      <c r="JP38" s="2247" t="str">
        <f t="shared" si="254"/>
        <v/>
      </c>
      <c r="JQ38" s="2247" t="str">
        <f t="shared" si="255"/>
        <v/>
      </c>
      <c r="JR38" s="2247" t="str">
        <f t="shared" si="256"/>
        <v/>
      </c>
      <c r="JS38" s="2247" t="str">
        <f t="shared" si="257"/>
        <v/>
      </c>
      <c r="JT38" s="2247" t="str">
        <f t="shared" si="258"/>
        <v/>
      </c>
      <c r="JU38" s="2247" t="str">
        <f t="shared" si="259"/>
        <v/>
      </c>
      <c r="JV38" s="2247" t="str">
        <f t="shared" si="260"/>
        <v/>
      </c>
      <c r="JW38" s="2247" t="str">
        <f t="shared" si="261"/>
        <v/>
      </c>
      <c r="JX38" s="2247" t="str">
        <f t="shared" si="262"/>
        <v/>
      </c>
      <c r="JY38" s="2247" t="str">
        <f t="shared" si="263"/>
        <v/>
      </c>
      <c r="JZ38" s="2247" t="str">
        <f t="shared" si="264"/>
        <v/>
      </c>
      <c r="KA38" s="2247" t="str">
        <f t="shared" si="265"/>
        <v/>
      </c>
      <c r="KB38" s="2247" t="str">
        <f t="shared" si="266"/>
        <v/>
      </c>
      <c r="KC38" s="2247" t="str">
        <f t="shared" si="267"/>
        <v/>
      </c>
      <c r="KD38" s="2247" t="str">
        <f t="shared" si="268"/>
        <v/>
      </c>
      <c r="KE38" s="2247" t="str">
        <f t="shared" si="269"/>
        <v/>
      </c>
      <c r="KF38" s="2247" t="str">
        <f t="shared" si="270"/>
        <v/>
      </c>
      <c r="KG38" s="2247" t="str">
        <f t="shared" si="271"/>
        <v/>
      </c>
      <c r="KH38" s="2247" t="str">
        <f t="shared" si="272"/>
        <v/>
      </c>
      <c r="KI38" s="2247" t="str">
        <f t="shared" si="273"/>
        <v/>
      </c>
      <c r="KJ38" s="2247" t="str">
        <f t="shared" si="274"/>
        <v/>
      </c>
      <c r="KK38" s="2247" t="str">
        <f t="shared" si="275"/>
        <v/>
      </c>
      <c r="KL38" s="2247" t="str">
        <f t="shared" si="276"/>
        <v/>
      </c>
      <c r="KM38" s="2247" t="str">
        <f t="shared" si="277"/>
        <v/>
      </c>
      <c r="KN38" s="2247" t="str">
        <f t="shared" si="278"/>
        <v/>
      </c>
      <c r="KO38" s="2247" t="str">
        <f t="shared" si="279"/>
        <v/>
      </c>
      <c r="KP38" s="2247" t="str">
        <f t="shared" si="280"/>
        <v/>
      </c>
      <c r="KQ38" s="2247" t="str">
        <f t="shared" si="281"/>
        <v/>
      </c>
      <c r="KR38" s="2247" t="str">
        <f t="shared" si="282"/>
        <v/>
      </c>
      <c r="KS38" s="2247" t="str">
        <f t="shared" si="283"/>
        <v/>
      </c>
      <c r="KT38" s="2247" t="str">
        <f t="shared" si="284"/>
        <v/>
      </c>
      <c r="KU38" s="2247" t="str">
        <f t="shared" si="285"/>
        <v/>
      </c>
      <c r="KV38" s="2247" t="str">
        <f t="shared" si="286"/>
        <v/>
      </c>
      <c r="KW38" s="2247" t="str">
        <f t="shared" si="287"/>
        <v/>
      </c>
      <c r="KX38" s="2247" t="str">
        <f t="shared" si="288"/>
        <v/>
      </c>
      <c r="KY38" s="2247" t="str">
        <f t="shared" si="289"/>
        <v/>
      </c>
      <c r="KZ38" s="2247" t="str">
        <f t="shared" si="290"/>
        <v/>
      </c>
      <c r="LA38" s="2247" t="str">
        <f t="shared" si="291"/>
        <v/>
      </c>
      <c r="LB38" s="2247" t="str">
        <f t="shared" si="292"/>
        <v/>
      </c>
      <c r="LC38" s="2247" t="str">
        <f t="shared" si="293"/>
        <v/>
      </c>
      <c r="LD38" s="2247" t="str">
        <f t="shared" si="294"/>
        <v/>
      </c>
      <c r="LE38" s="2247" t="str">
        <f t="shared" si="295"/>
        <v/>
      </c>
      <c r="LF38" s="2247" t="str">
        <f t="shared" si="296"/>
        <v/>
      </c>
      <c r="LG38" s="2247" t="str">
        <f t="shared" si="297"/>
        <v/>
      </c>
      <c r="LH38" s="2247" t="str">
        <f t="shared" si="298"/>
        <v/>
      </c>
      <c r="LI38" s="2247" t="str">
        <f t="shared" si="299"/>
        <v/>
      </c>
      <c r="LJ38" s="2247" t="str">
        <f t="shared" si="300"/>
        <v/>
      </c>
      <c r="LK38" s="2247" t="str">
        <f t="shared" si="301"/>
        <v/>
      </c>
      <c r="LL38" s="2247" t="str">
        <f t="shared" si="302"/>
        <v/>
      </c>
      <c r="LM38" s="2247" t="str">
        <f t="shared" si="303"/>
        <v/>
      </c>
      <c r="LN38" s="2247" t="str">
        <f t="shared" si="304"/>
        <v/>
      </c>
      <c r="LO38" s="2247" t="str">
        <f t="shared" si="305"/>
        <v/>
      </c>
      <c r="LP38" s="2247" t="str">
        <f t="shared" si="306"/>
        <v/>
      </c>
      <c r="LQ38" s="2248" t="str">
        <f t="shared" si="307"/>
        <v/>
      </c>
      <c r="LR38" s="2248" t="str">
        <f t="shared" si="308"/>
        <v/>
      </c>
      <c r="LS38" s="2248" t="str">
        <f t="shared" si="309"/>
        <v/>
      </c>
      <c r="LT38" s="2248" t="str">
        <f t="shared" si="310"/>
        <v/>
      </c>
      <c r="LU38" s="2248" t="str">
        <f t="shared" si="311"/>
        <v/>
      </c>
      <c r="LV38" s="443" t="str">
        <f t="shared" si="312"/>
        <v/>
      </c>
      <c r="LW38" s="443" t="str">
        <f t="shared" si="313"/>
        <v/>
      </c>
      <c r="LX38" s="443" t="str">
        <f t="shared" si="314"/>
        <v/>
      </c>
      <c r="LY38" s="443" t="str">
        <f t="shared" si="315"/>
        <v/>
      </c>
      <c r="LZ38" s="443" t="str">
        <f t="shared" si="316"/>
        <v/>
      </c>
      <c r="MA38" s="443" t="str">
        <f t="shared" si="317"/>
        <v/>
      </c>
      <c r="MB38" s="443" t="str">
        <f t="shared" si="318"/>
        <v/>
      </c>
      <c r="MC38" s="443" t="str">
        <f t="shared" si="319"/>
        <v/>
      </c>
      <c r="MD38" s="443" t="str">
        <f t="shared" si="320"/>
        <v/>
      </c>
      <c r="ME38" s="443" t="str">
        <f t="shared" si="321"/>
        <v/>
      </c>
      <c r="MF38" s="443" t="str">
        <f t="shared" si="322"/>
        <v/>
      </c>
      <c r="MG38" s="443" t="str">
        <f t="shared" si="323"/>
        <v/>
      </c>
      <c r="MH38" s="443" t="str">
        <f t="shared" si="324"/>
        <v/>
      </c>
      <c r="MI38" s="443" t="str">
        <f t="shared" si="325"/>
        <v/>
      </c>
      <c r="MJ38" s="443" t="str">
        <f t="shared" si="326"/>
        <v/>
      </c>
      <c r="MK38" s="443" t="str">
        <f t="shared" si="327"/>
        <v/>
      </c>
      <c r="ML38" s="443" t="str">
        <f t="shared" si="328"/>
        <v/>
      </c>
      <c r="MM38" s="443" t="str">
        <f t="shared" si="329"/>
        <v/>
      </c>
      <c r="MN38" s="443" t="str">
        <f t="shared" si="330"/>
        <v/>
      </c>
      <c r="MO38" s="443" t="str">
        <f t="shared" si="331"/>
        <v/>
      </c>
      <c r="MP38" s="2246">
        <f t="shared" si="338"/>
        <v>0</v>
      </c>
      <c r="MQ38" s="2246">
        <f t="shared" si="339"/>
        <v>0</v>
      </c>
      <c r="MR38" s="2246">
        <f t="shared" si="340"/>
        <v>0</v>
      </c>
      <c r="MS38" s="2246">
        <f t="shared" si="341"/>
        <v>0</v>
      </c>
      <c r="MT38" s="2246">
        <f t="shared" si="342"/>
        <v>0</v>
      </c>
      <c r="MU38" s="2246">
        <f t="shared" si="343"/>
        <v>0</v>
      </c>
      <c r="MV38" s="2246">
        <f t="shared" si="344"/>
        <v>0</v>
      </c>
      <c r="MW38" s="2246">
        <f t="shared" si="345"/>
        <v>0</v>
      </c>
      <c r="MX38" s="2246">
        <f t="shared" si="346"/>
        <v>0</v>
      </c>
      <c r="MY38" s="2246">
        <f t="shared" si="347"/>
        <v>0</v>
      </c>
      <c r="MZ38" s="2246">
        <f t="shared" si="332"/>
        <v>0</v>
      </c>
      <c r="NA38" s="2246">
        <f t="shared" si="333"/>
        <v>0</v>
      </c>
      <c r="NB38" s="2246">
        <f t="shared" si="334"/>
        <v>0</v>
      </c>
      <c r="NC38" s="2246">
        <f t="shared" si="335"/>
        <v>0</v>
      </c>
      <c r="ND38" s="2246">
        <f t="shared" si="336"/>
        <v>0</v>
      </c>
    </row>
    <row r="39" spans="1:369" ht="13.95" customHeight="1">
      <c r="A39" s="109" t="str">
        <f t="shared" si="337"/>
        <v/>
      </c>
      <c r="B39" s="4015"/>
      <c r="C39" s="3987"/>
      <c r="D39" s="3988"/>
      <c r="E39" s="3989"/>
      <c r="F39" s="3989"/>
      <c r="G39" s="3989"/>
      <c r="H39" s="3989"/>
      <c r="I39" s="3989"/>
      <c r="J39" s="4016">
        <f>IF(C39="",0,HLOOKUP(C39,'Part V-Utility Allowances'!$I$11:$M$22,12))</f>
        <v>0</v>
      </c>
      <c r="K39" s="3991"/>
      <c r="L39" s="567">
        <f t="shared" si="0"/>
        <v>0</v>
      </c>
      <c r="M39" s="567">
        <f t="shared" si="1"/>
        <v>0</v>
      </c>
      <c r="N39" s="3992"/>
      <c r="O39" s="3992"/>
      <c r="P39" s="3992"/>
      <c r="Q39" s="3993"/>
      <c r="R39" s="3994"/>
      <c r="S39" s="3995"/>
      <c r="T39" s="3996"/>
      <c r="U39" s="3997"/>
      <c r="V39" s="3997"/>
      <c r="W39" s="3998"/>
      <c r="X39" s="443" t="str">
        <f t="shared" si="2"/>
        <v/>
      </c>
      <c r="Y39" s="443" t="str">
        <f t="shared" si="3"/>
        <v/>
      </c>
      <c r="Z39" s="443" t="str">
        <f t="shared" si="4"/>
        <v/>
      </c>
      <c r="AA39" s="443" t="str">
        <f t="shared" si="5"/>
        <v/>
      </c>
      <c r="AB39" s="443" t="str">
        <f t="shared" si="6"/>
        <v/>
      </c>
      <c r="AC39" s="443" t="str">
        <f t="shared" si="7"/>
        <v/>
      </c>
      <c r="AD39" s="443" t="str">
        <f t="shared" si="8"/>
        <v/>
      </c>
      <c r="AE39" s="443" t="str">
        <f t="shared" si="9"/>
        <v/>
      </c>
      <c r="AF39" s="443" t="str">
        <f t="shared" si="10"/>
        <v/>
      </c>
      <c r="AG39" s="443" t="str">
        <f t="shared" si="11"/>
        <v/>
      </c>
      <c r="AH39" s="443" t="str">
        <f t="shared" si="12"/>
        <v/>
      </c>
      <c r="AI39" s="443" t="str">
        <f t="shared" si="13"/>
        <v/>
      </c>
      <c r="AJ39" s="443" t="str">
        <f t="shared" si="14"/>
        <v/>
      </c>
      <c r="AK39" s="443" t="str">
        <f t="shared" si="15"/>
        <v/>
      </c>
      <c r="AL39" s="443" t="str">
        <f t="shared" si="16"/>
        <v/>
      </c>
      <c r="AM39" s="443" t="str">
        <f t="shared" si="17"/>
        <v/>
      </c>
      <c r="AN39" s="443" t="str">
        <f t="shared" si="18"/>
        <v/>
      </c>
      <c r="AO39" s="443" t="str">
        <f t="shared" si="19"/>
        <v/>
      </c>
      <c r="AP39" s="443" t="str">
        <f t="shared" si="20"/>
        <v/>
      </c>
      <c r="AQ39" s="443" t="str">
        <f t="shared" si="21"/>
        <v/>
      </c>
      <c r="AR39" s="443" t="str">
        <f t="shared" si="22"/>
        <v/>
      </c>
      <c r="AS39" s="443" t="str">
        <f t="shared" si="23"/>
        <v/>
      </c>
      <c r="AT39" s="443" t="str">
        <f t="shared" si="24"/>
        <v/>
      </c>
      <c r="AU39" s="443" t="str">
        <f t="shared" si="25"/>
        <v/>
      </c>
      <c r="AV39" s="443" t="str">
        <f t="shared" si="26"/>
        <v/>
      </c>
      <c r="AW39" s="443" t="str">
        <f t="shared" si="27"/>
        <v/>
      </c>
      <c r="AX39" s="443" t="str">
        <f t="shared" si="28"/>
        <v/>
      </c>
      <c r="AY39" s="443" t="str">
        <f t="shared" si="29"/>
        <v/>
      </c>
      <c r="AZ39" s="443" t="str">
        <f t="shared" si="30"/>
        <v/>
      </c>
      <c r="BA39" s="443" t="str">
        <f t="shared" si="31"/>
        <v/>
      </c>
      <c r="BB39" s="443" t="str">
        <f t="shared" si="32"/>
        <v/>
      </c>
      <c r="BC39" s="443" t="str">
        <f t="shared" si="33"/>
        <v/>
      </c>
      <c r="BD39" s="443" t="str">
        <f t="shared" si="34"/>
        <v/>
      </c>
      <c r="BE39" s="443" t="str">
        <f t="shared" si="35"/>
        <v/>
      </c>
      <c r="BF39" s="443" t="str">
        <f t="shared" si="36"/>
        <v/>
      </c>
      <c r="BG39" s="443" t="str">
        <f t="shared" si="37"/>
        <v/>
      </c>
      <c r="BH39" s="443" t="str">
        <f t="shared" si="38"/>
        <v/>
      </c>
      <c r="BI39" s="443" t="str">
        <f t="shared" si="39"/>
        <v/>
      </c>
      <c r="BJ39" s="443" t="str">
        <f t="shared" si="40"/>
        <v/>
      </c>
      <c r="BK39" s="443" t="str">
        <f t="shared" si="41"/>
        <v/>
      </c>
      <c r="BL39" s="443" t="str">
        <f t="shared" si="42"/>
        <v/>
      </c>
      <c r="BM39" s="443" t="str">
        <f t="shared" si="43"/>
        <v/>
      </c>
      <c r="BN39" s="443" t="str">
        <f t="shared" si="44"/>
        <v/>
      </c>
      <c r="BO39" s="443" t="str">
        <f t="shared" si="45"/>
        <v/>
      </c>
      <c r="BP39" s="443" t="str">
        <f t="shared" si="46"/>
        <v/>
      </c>
      <c r="BQ39" s="443" t="str">
        <f t="shared" si="47"/>
        <v/>
      </c>
      <c r="BR39" s="443" t="str">
        <f t="shared" si="48"/>
        <v/>
      </c>
      <c r="BS39" s="443" t="str">
        <f t="shared" si="49"/>
        <v/>
      </c>
      <c r="BT39" s="443" t="str">
        <f t="shared" si="50"/>
        <v/>
      </c>
      <c r="BU39" s="443" t="str">
        <f t="shared" si="51"/>
        <v/>
      </c>
      <c r="BV39" s="443" t="str">
        <f t="shared" si="52"/>
        <v/>
      </c>
      <c r="BW39" s="443" t="str">
        <f t="shared" si="53"/>
        <v/>
      </c>
      <c r="BX39" s="443" t="str">
        <f t="shared" si="54"/>
        <v/>
      </c>
      <c r="BY39" s="443" t="str">
        <f t="shared" si="55"/>
        <v/>
      </c>
      <c r="BZ39" s="443" t="str">
        <f t="shared" si="56"/>
        <v/>
      </c>
      <c r="CA39" s="443" t="str">
        <f t="shared" si="57"/>
        <v/>
      </c>
      <c r="CB39" s="443" t="str">
        <f t="shared" si="58"/>
        <v/>
      </c>
      <c r="CC39" s="443" t="str">
        <f t="shared" si="59"/>
        <v/>
      </c>
      <c r="CD39" s="443" t="str">
        <f t="shared" si="60"/>
        <v/>
      </c>
      <c r="CE39" s="443" t="str">
        <f t="shared" si="61"/>
        <v/>
      </c>
      <c r="CF39" s="443" t="str">
        <f t="shared" si="62"/>
        <v/>
      </c>
      <c r="CG39" s="443" t="str">
        <f t="shared" si="63"/>
        <v/>
      </c>
      <c r="CH39" s="443" t="str">
        <f t="shared" si="64"/>
        <v/>
      </c>
      <c r="CI39" s="443" t="str">
        <f t="shared" si="65"/>
        <v/>
      </c>
      <c r="CJ39" s="443" t="str">
        <f t="shared" si="66"/>
        <v/>
      </c>
      <c r="CK39" s="443" t="str">
        <f t="shared" si="67"/>
        <v/>
      </c>
      <c r="CL39" s="443" t="str">
        <f t="shared" si="68"/>
        <v/>
      </c>
      <c r="CM39" s="443" t="str">
        <f t="shared" si="69"/>
        <v/>
      </c>
      <c r="CN39" s="443" t="str">
        <f t="shared" si="70"/>
        <v/>
      </c>
      <c r="CO39" s="443" t="str">
        <f t="shared" si="71"/>
        <v/>
      </c>
      <c r="CP39" s="443" t="str">
        <f t="shared" si="72"/>
        <v/>
      </c>
      <c r="CQ39" s="443" t="str">
        <f t="shared" si="73"/>
        <v/>
      </c>
      <c r="CR39" s="443" t="str">
        <f t="shared" si="74"/>
        <v/>
      </c>
      <c r="CS39" s="443" t="str">
        <f t="shared" si="75"/>
        <v/>
      </c>
      <c r="CT39" s="443" t="str">
        <f t="shared" si="76"/>
        <v/>
      </c>
      <c r="CU39" s="443" t="str">
        <f t="shared" si="77"/>
        <v/>
      </c>
      <c r="CV39" s="443" t="str">
        <f t="shared" si="78"/>
        <v/>
      </c>
      <c r="CW39" s="443" t="str">
        <f t="shared" si="79"/>
        <v/>
      </c>
      <c r="CX39" s="443" t="str">
        <f t="shared" si="80"/>
        <v/>
      </c>
      <c r="CY39" s="443" t="str">
        <f t="shared" si="81"/>
        <v/>
      </c>
      <c r="CZ39" s="443" t="str">
        <f t="shared" si="82"/>
        <v/>
      </c>
      <c r="DA39" s="443" t="str">
        <f t="shared" si="83"/>
        <v/>
      </c>
      <c r="DB39" s="443" t="str">
        <f t="shared" si="84"/>
        <v/>
      </c>
      <c r="DC39" s="443" t="str">
        <f t="shared" si="85"/>
        <v/>
      </c>
      <c r="DD39" s="443" t="str">
        <f t="shared" si="86"/>
        <v/>
      </c>
      <c r="DE39" s="443" t="str">
        <f t="shared" si="87"/>
        <v/>
      </c>
      <c r="DF39" s="443" t="str">
        <f t="shared" si="88"/>
        <v/>
      </c>
      <c r="DG39" s="443" t="str">
        <f t="shared" si="89"/>
        <v/>
      </c>
      <c r="DH39" s="443" t="str">
        <f t="shared" si="90"/>
        <v/>
      </c>
      <c r="DI39" s="443" t="str">
        <f t="shared" si="91"/>
        <v/>
      </c>
      <c r="DJ39" s="443" t="str">
        <f t="shared" si="92"/>
        <v/>
      </c>
      <c r="DK39" s="443" t="str">
        <f t="shared" si="93"/>
        <v/>
      </c>
      <c r="DL39" s="443" t="str">
        <f t="shared" si="94"/>
        <v/>
      </c>
      <c r="DM39" s="443" t="str">
        <f t="shared" si="95"/>
        <v/>
      </c>
      <c r="DN39" s="443" t="str">
        <f t="shared" si="96"/>
        <v/>
      </c>
      <c r="DO39" s="443" t="str">
        <f t="shared" si="97"/>
        <v/>
      </c>
      <c r="DP39" s="443" t="str">
        <f t="shared" si="98"/>
        <v/>
      </c>
      <c r="DQ39" s="443" t="str">
        <f t="shared" si="99"/>
        <v/>
      </c>
      <c r="DR39" s="443" t="str">
        <f t="shared" si="100"/>
        <v/>
      </c>
      <c r="DS39" s="443" t="str">
        <f t="shared" si="101"/>
        <v/>
      </c>
      <c r="DT39" s="443" t="str">
        <f t="shared" si="102"/>
        <v/>
      </c>
      <c r="DU39" s="443" t="str">
        <f t="shared" si="103"/>
        <v/>
      </c>
      <c r="DV39" s="443" t="str">
        <f t="shared" si="104"/>
        <v/>
      </c>
      <c r="DW39" s="443" t="str">
        <f t="shared" si="105"/>
        <v/>
      </c>
      <c r="DX39" s="443" t="str">
        <f t="shared" si="106"/>
        <v/>
      </c>
      <c r="DY39" s="443" t="str">
        <f t="shared" si="107"/>
        <v/>
      </c>
      <c r="DZ39" s="443" t="str">
        <f t="shared" si="108"/>
        <v/>
      </c>
      <c r="EA39" s="443" t="str">
        <f t="shared" si="109"/>
        <v/>
      </c>
      <c r="EB39" s="443" t="str">
        <f t="shared" si="110"/>
        <v/>
      </c>
      <c r="EC39" s="443" t="str">
        <f t="shared" si="111"/>
        <v/>
      </c>
      <c r="ED39" s="443" t="str">
        <f t="shared" si="112"/>
        <v/>
      </c>
      <c r="EE39" s="443" t="str">
        <f t="shared" si="113"/>
        <v/>
      </c>
      <c r="EF39" s="443" t="str">
        <f t="shared" si="114"/>
        <v/>
      </c>
      <c r="EG39" s="443" t="str">
        <f t="shared" si="115"/>
        <v/>
      </c>
      <c r="EH39" s="443" t="str">
        <f t="shared" si="116"/>
        <v/>
      </c>
      <c r="EI39" s="443" t="str">
        <f t="shared" si="117"/>
        <v/>
      </c>
      <c r="EJ39" s="443" t="str">
        <f t="shared" si="118"/>
        <v/>
      </c>
      <c r="EK39" s="443" t="str">
        <f t="shared" si="119"/>
        <v/>
      </c>
      <c r="EL39" s="443" t="str">
        <f t="shared" si="120"/>
        <v/>
      </c>
      <c r="EM39" s="443" t="str">
        <f t="shared" si="121"/>
        <v/>
      </c>
      <c r="EN39" s="443" t="str">
        <f t="shared" si="122"/>
        <v/>
      </c>
      <c r="EO39" s="443" t="str">
        <f t="shared" si="123"/>
        <v/>
      </c>
      <c r="EP39" s="443" t="str">
        <f t="shared" si="124"/>
        <v/>
      </c>
      <c r="EQ39" s="443" t="str">
        <f t="shared" si="125"/>
        <v/>
      </c>
      <c r="ER39" s="443" t="str">
        <f t="shared" si="126"/>
        <v/>
      </c>
      <c r="ES39" s="443" t="str">
        <f t="shared" si="127"/>
        <v/>
      </c>
      <c r="ET39" s="443" t="str">
        <f t="shared" si="128"/>
        <v/>
      </c>
      <c r="EU39" s="443" t="str">
        <f t="shared" si="129"/>
        <v/>
      </c>
      <c r="EV39" s="443" t="str">
        <f t="shared" si="130"/>
        <v/>
      </c>
      <c r="EW39" s="443" t="str">
        <f t="shared" si="131"/>
        <v/>
      </c>
      <c r="EX39" s="443" t="str">
        <f t="shared" si="132"/>
        <v/>
      </c>
      <c r="EY39" s="443" t="str">
        <f t="shared" si="133"/>
        <v/>
      </c>
      <c r="EZ39" s="443" t="str">
        <f t="shared" si="134"/>
        <v/>
      </c>
      <c r="FA39" s="443" t="str">
        <f t="shared" si="135"/>
        <v/>
      </c>
      <c r="FB39" s="443" t="str">
        <f t="shared" si="136"/>
        <v/>
      </c>
      <c r="FC39" s="443" t="str">
        <f t="shared" si="137"/>
        <v/>
      </c>
      <c r="FD39" s="443" t="str">
        <f t="shared" si="138"/>
        <v/>
      </c>
      <c r="FE39" s="443" t="str">
        <f t="shared" si="139"/>
        <v/>
      </c>
      <c r="FF39" s="443" t="str">
        <f t="shared" si="140"/>
        <v/>
      </c>
      <c r="FG39" s="443" t="str">
        <f t="shared" si="141"/>
        <v/>
      </c>
      <c r="FH39" s="443" t="str">
        <f t="shared" si="142"/>
        <v/>
      </c>
      <c r="FI39" s="443" t="str">
        <f t="shared" si="143"/>
        <v/>
      </c>
      <c r="FJ39" s="443" t="str">
        <f t="shared" si="144"/>
        <v/>
      </c>
      <c r="FK39" s="443" t="str">
        <f t="shared" si="145"/>
        <v/>
      </c>
      <c r="FL39" s="443" t="str">
        <f t="shared" si="146"/>
        <v/>
      </c>
      <c r="FM39" s="443" t="str">
        <f t="shared" si="147"/>
        <v/>
      </c>
      <c r="FN39" s="443" t="str">
        <f t="shared" si="148"/>
        <v/>
      </c>
      <c r="FO39" s="443" t="str">
        <f t="shared" si="149"/>
        <v/>
      </c>
      <c r="FP39" s="443" t="str">
        <f t="shared" si="150"/>
        <v/>
      </c>
      <c r="FQ39" s="443" t="str">
        <f t="shared" si="151"/>
        <v/>
      </c>
      <c r="FR39" s="443" t="str">
        <f t="shared" si="152"/>
        <v/>
      </c>
      <c r="FS39" s="443" t="str">
        <f t="shared" si="153"/>
        <v/>
      </c>
      <c r="FT39" s="443" t="str">
        <f t="shared" si="154"/>
        <v/>
      </c>
      <c r="FU39" s="443" t="str">
        <f t="shared" si="155"/>
        <v/>
      </c>
      <c r="FV39" s="443" t="str">
        <f t="shared" si="156"/>
        <v/>
      </c>
      <c r="FW39" s="443" t="str">
        <f t="shared" si="157"/>
        <v/>
      </c>
      <c r="FX39" s="443" t="str">
        <f t="shared" si="158"/>
        <v/>
      </c>
      <c r="FY39" s="443" t="str">
        <f t="shared" si="159"/>
        <v/>
      </c>
      <c r="FZ39" s="443" t="str">
        <f t="shared" si="160"/>
        <v/>
      </c>
      <c r="GA39" s="443" t="str">
        <f t="shared" si="161"/>
        <v/>
      </c>
      <c r="GB39" s="443" t="str">
        <f t="shared" si="162"/>
        <v/>
      </c>
      <c r="GC39" s="443" t="str">
        <f t="shared" si="163"/>
        <v/>
      </c>
      <c r="GD39" s="443" t="str">
        <f t="shared" si="164"/>
        <v/>
      </c>
      <c r="GE39" s="443" t="str">
        <f t="shared" si="165"/>
        <v/>
      </c>
      <c r="GF39" s="443" t="str">
        <f t="shared" si="166"/>
        <v/>
      </c>
      <c r="GG39" s="443" t="str">
        <f t="shared" si="167"/>
        <v/>
      </c>
      <c r="GH39" s="443" t="str">
        <f t="shared" si="168"/>
        <v/>
      </c>
      <c r="GI39" s="443" t="str">
        <f t="shared" si="169"/>
        <v/>
      </c>
      <c r="GJ39" s="443" t="str">
        <f t="shared" si="170"/>
        <v/>
      </c>
      <c r="GK39" s="443" t="str">
        <f t="shared" si="171"/>
        <v/>
      </c>
      <c r="GL39" s="443" t="str">
        <f t="shared" si="172"/>
        <v/>
      </c>
      <c r="GM39" s="443" t="str">
        <f t="shared" si="173"/>
        <v/>
      </c>
      <c r="GN39" s="443" t="str">
        <f t="shared" si="174"/>
        <v/>
      </c>
      <c r="GO39" s="443" t="str">
        <f t="shared" si="175"/>
        <v/>
      </c>
      <c r="GP39" s="443" t="str">
        <f t="shared" si="176"/>
        <v/>
      </c>
      <c r="GQ39" s="443" t="str">
        <f t="shared" si="177"/>
        <v/>
      </c>
      <c r="GR39" s="443" t="str">
        <f t="shared" si="178"/>
        <v/>
      </c>
      <c r="GS39" s="443" t="str">
        <f t="shared" si="179"/>
        <v/>
      </c>
      <c r="GT39" s="443" t="str">
        <f t="shared" si="180"/>
        <v/>
      </c>
      <c r="GU39" s="443" t="str">
        <f t="shared" si="181"/>
        <v/>
      </c>
      <c r="GV39" s="443" t="str">
        <f t="shared" si="182"/>
        <v/>
      </c>
      <c r="GW39" s="443" t="str">
        <f t="shared" si="183"/>
        <v/>
      </c>
      <c r="GX39" s="443" t="str">
        <f t="shared" si="184"/>
        <v/>
      </c>
      <c r="GY39" s="443" t="str">
        <f t="shared" si="185"/>
        <v/>
      </c>
      <c r="GZ39" s="443" t="str">
        <f t="shared" si="186"/>
        <v/>
      </c>
      <c r="HA39" s="443" t="str">
        <f t="shared" si="187"/>
        <v/>
      </c>
      <c r="HB39" s="443" t="str">
        <f t="shared" si="188"/>
        <v/>
      </c>
      <c r="HC39" s="443" t="str">
        <f t="shared" si="189"/>
        <v/>
      </c>
      <c r="HD39" s="443" t="str">
        <f t="shared" si="190"/>
        <v/>
      </c>
      <c r="HE39" s="443" t="str">
        <f t="shared" si="191"/>
        <v/>
      </c>
      <c r="HF39" s="443" t="str">
        <f t="shared" si="192"/>
        <v/>
      </c>
      <c r="HG39" s="443" t="str">
        <f t="shared" si="193"/>
        <v/>
      </c>
      <c r="HH39" s="443" t="str">
        <f t="shared" si="194"/>
        <v/>
      </c>
      <c r="HI39" s="443" t="str">
        <f t="shared" si="195"/>
        <v/>
      </c>
      <c r="HJ39" s="443" t="str">
        <f t="shared" si="196"/>
        <v/>
      </c>
      <c r="HK39" s="443" t="str">
        <f t="shared" si="197"/>
        <v/>
      </c>
      <c r="HL39" s="443" t="str">
        <f t="shared" si="198"/>
        <v/>
      </c>
      <c r="HM39" s="443" t="str">
        <f t="shared" si="199"/>
        <v/>
      </c>
      <c r="HN39" s="443" t="str">
        <f t="shared" si="200"/>
        <v/>
      </c>
      <c r="HO39" s="443" t="str">
        <f t="shared" si="201"/>
        <v/>
      </c>
      <c r="HP39" s="443" t="str">
        <f t="shared" si="202"/>
        <v/>
      </c>
      <c r="HQ39" s="443" t="str">
        <f t="shared" si="203"/>
        <v/>
      </c>
      <c r="HR39" s="443" t="str">
        <f t="shared" si="204"/>
        <v/>
      </c>
      <c r="HS39" s="443" t="str">
        <f t="shared" si="205"/>
        <v/>
      </c>
      <c r="HT39" s="443" t="str">
        <f t="shared" si="206"/>
        <v/>
      </c>
      <c r="HU39" s="443" t="str">
        <f t="shared" si="207"/>
        <v/>
      </c>
      <c r="HV39" s="443" t="str">
        <f t="shared" si="208"/>
        <v/>
      </c>
      <c r="HW39" s="443" t="str">
        <f t="shared" si="209"/>
        <v/>
      </c>
      <c r="HX39" s="443" t="str">
        <f t="shared" si="210"/>
        <v/>
      </c>
      <c r="HY39" s="443" t="str">
        <f t="shared" si="211"/>
        <v/>
      </c>
      <c r="HZ39" s="2247" t="str">
        <f t="shared" si="212"/>
        <v/>
      </c>
      <c r="IA39" s="2247" t="str">
        <f t="shared" si="213"/>
        <v/>
      </c>
      <c r="IB39" s="2247" t="str">
        <f t="shared" si="214"/>
        <v/>
      </c>
      <c r="IC39" s="2247" t="str">
        <f t="shared" si="215"/>
        <v/>
      </c>
      <c r="ID39" s="2247" t="str">
        <f t="shared" si="216"/>
        <v/>
      </c>
      <c r="IE39" s="2247" t="str">
        <f t="shared" si="217"/>
        <v/>
      </c>
      <c r="IF39" s="2247" t="str">
        <f t="shared" si="218"/>
        <v/>
      </c>
      <c r="IG39" s="2247" t="str">
        <f t="shared" si="219"/>
        <v/>
      </c>
      <c r="IH39" s="2247" t="str">
        <f t="shared" si="220"/>
        <v/>
      </c>
      <c r="II39" s="2247" t="str">
        <f t="shared" si="221"/>
        <v/>
      </c>
      <c r="IJ39" s="2247" t="str">
        <f t="shared" si="222"/>
        <v/>
      </c>
      <c r="IK39" s="2247" t="str">
        <f t="shared" si="223"/>
        <v/>
      </c>
      <c r="IL39" s="2247" t="str">
        <f t="shared" si="224"/>
        <v/>
      </c>
      <c r="IM39" s="2247" t="str">
        <f t="shared" si="225"/>
        <v/>
      </c>
      <c r="IN39" s="2247" t="str">
        <f t="shared" si="226"/>
        <v/>
      </c>
      <c r="IO39" s="2247" t="str">
        <f t="shared" si="227"/>
        <v/>
      </c>
      <c r="IP39" s="2247" t="str">
        <f t="shared" si="228"/>
        <v/>
      </c>
      <c r="IQ39" s="2247" t="str">
        <f t="shared" si="229"/>
        <v/>
      </c>
      <c r="IR39" s="2247" t="str">
        <f t="shared" si="230"/>
        <v/>
      </c>
      <c r="IS39" s="2247" t="str">
        <f t="shared" si="231"/>
        <v/>
      </c>
      <c r="IT39" s="2247" t="str">
        <f t="shared" si="232"/>
        <v/>
      </c>
      <c r="IU39" s="2247" t="str">
        <f t="shared" si="233"/>
        <v/>
      </c>
      <c r="IV39" s="2247" t="str">
        <f t="shared" si="234"/>
        <v/>
      </c>
      <c r="IW39" s="2247" t="str">
        <f t="shared" si="235"/>
        <v/>
      </c>
      <c r="IX39" s="2247" t="str">
        <f t="shared" si="236"/>
        <v/>
      </c>
      <c r="IY39" s="2247" t="str">
        <f t="shared" si="237"/>
        <v/>
      </c>
      <c r="IZ39" s="2247" t="str">
        <f t="shared" si="238"/>
        <v/>
      </c>
      <c r="JA39" s="2247" t="str">
        <f t="shared" si="239"/>
        <v/>
      </c>
      <c r="JB39" s="2247" t="str">
        <f t="shared" si="240"/>
        <v/>
      </c>
      <c r="JC39" s="2247" t="str">
        <f t="shared" si="241"/>
        <v/>
      </c>
      <c r="JD39" s="2247" t="str">
        <f t="shared" si="242"/>
        <v/>
      </c>
      <c r="JE39" s="2247" t="str">
        <f t="shared" si="243"/>
        <v/>
      </c>
      <c r="JF39" s="2247" t="str">
        <f t="shared" si="244"/>
        <v/>
      </c>
      <c r="JG39" s="2247" t="str">
        <f t="shared" si="245"/>
        <v/>
      </c>
      <c r="JH39" s="2247" t="str">
        <f t="shared" si="246"/>
        <v/>
      </c>
      <c r="JI39" s="2247" t="str">
        <f t="shared" si="247"/>
        <v/>
      </c>
      <c r="JJ39" s="2247" t="str">
        <f t="shared" si="248"/>
        <v/>
      </c>
      <c r="JK39" s="2247" t="str">
        <f t="shared" si="249"/>
        <v/>
      </c>
      <c r="JL39" s="2247" t="str">
        <f t="shared" si="250"/>
        <v/>
      </c>
      <c r="JM39" s="2247" t="str">
        <f t="shared" si="251"/>
        <v/>
      </c>
      <c r="JN39" s="2247" t="str">
        <f t="shared" si="252"/>
        <v/>
      </c>
      <c r="JO39" s="2247" t="str">
        <f t="shared" si="253"/>
        <v/>
      </c>
      <c r="JP39" s="2247" t="str">
        <f t="shared" si="254"/>
        <v/>
      </c>
      <c r="JQ39" s="2247" t="str">
        <f t="shared" si="255"/>
        <v/>
      </c>
      <c r="JR39" s="2247" t="str">
        <f t="shared" si="256"/>
        <v/>
      </c>
      <c r="JS39" s="2247" t="str">
        <f t="shared" si="257"/>
        <v/>
      </c>
      <c r="JT39" s="2247" t="str">
        <f t="shared" si="258"/>
        <v/>
      </c>
      <c r="JU39" s="2247" t="str">
        <f t="shared" si="259"/>
        <v/>
      </c>
      <c r="JV39" s="2247" t="str">
        <f t="shared" si="260"/>
        <v/>
      </c>
      <c r="JW39" s="2247" t="str">
        <f t="shared" si="261"/>
        <v/>
      </c>
      <c r="JX39" s="2247" t="str">
        <f t="shared" si="262"/>
        <v/>
      </c>
      <c r="JY39" s="2247" t="str">
        <f t="shared" si="263"/>
        <v/>
      </c>
      <c r="JZ39" s="2247" t="str">
        <f t="shared" si="264"/>
        <v/>
      </c>
      <c r="KA39" s="2247" t="str">
        <f t="shared" si="265"/>
        <v/>
      </c>
      <c r="KB39" s="2247" t="str">
        <f t="shared" si="266"/>
        <v/>
      </c>
      <c r="KC39" s="2247" t="str">
        <f t="shared" si="267"/>
        <v/>
      </c>
      <c r="KD39" s="2247" t="str">
        <f t="shared" si="268"/>
        <v/>
      </c>
      <c r="KE39" s="2247" t="str">
        <f t="shared" si="269"/>
        <v/>
      </c>
      <c r="KF39" s="2247" t="str">
        <f t="shared" si="270"/>
        <v/>
      </c>
      <c r="KG39" s="2247" t="str">
        <f t="shared" si="271"/>
        <v/>
      </c>
      <c r="KH39" s="2247" t="str">
        <f t="shared" si="272"/>
        <v/>
      </c>
      <c r="KI39" s="2247" t="str">
        <f t="shared" si="273"/>
        <v/>
      </c>
      <c r="KJ39" s="2247" t="str">
        <f t="shared" si="274"/>
        <v/>
      </c>
      <c r="KK39" s="2247" t="str">
        <f t="shared" si="275"/>
        <v/>
      </c>
      <c r="KL39" s="2247" t="str">
        <f t="shared" si="276"/>
        <v/>
      </c>
      <c r="KM39" s="2247" t="str">
        <f t="shared" si="277"/>
        <v/>
      </c>
      <c r="KN39" s="2247" t="str">
        <f t="shared" si="278"/>
        <v/>
      </c>
      <c r="KO39" s="2247" t="str">
        <f t="shared" si="279"/>
        <v/>
      </c>
      <c r="KP39" s="2247" t="str">
        <f t="shared" si="280"/>
        <v/>
      </c>
      <c r="KQ39" s="2247" t="str">
        <f t="shared" si="281"/>
        <v/>
      </c>
      <c r="KR39" s="2247" t="str">
        <f t="shared" si="282"/>
        <v/>
      </c>
      <c r="KS39" s="2247" t="str">
        <f t="shared" si="283"/>
        <v/>
      </c>
      <c r="KT39" s="2247" t="str">
        <f t="shared" si="284"/>
        <v/>
      </c>
      <c r="KU39" s="2247" t="str">
        <f t="shared" si="285"/>
        <v/>
      </c>
      <c r="KV39" s="2247" t="str">
        <f t="shared" si="286"/>
        <v/>
      </c>
      <c r="KW39" s="2247" t="str">
        <f t="shared" si="287"/>
        <v/>
      </c>
      <c r="KX39" s="2247" t="str">
        <f t="shared" si="288"/>
        <v/>
      </c>
      <c r="KY39" s="2247" t="str">
        <f t="shared" si="289"/>
        <v/>
      </c>
      <c r="KZ39" s="2247" t="str">
        <f t="shared" si="290"/>
        <v/>
      </c>
      <c r="LA39" s="2247" t="str">
        <f t="shared" si="291"/>
        <v/>
      </c>
      <c r="LB39" s="2247" t="str">
        <f t="shared" si="292"/>
        <v/>
      </c>
      <c r="LC39" s="2247" t="str">
        <f t="shared" si="293"/>
        <v/>
      </c>
      <c r="LD39" s="2247" t="str">
        <f t="shared" si="294"/>
        <v/>
      </c>
      <c r="LE39" s="2247" t="str">
        <f t="shared" si="295"/>
        <v/>
      </c>
      <c r="LF39" s="2247" t="str">
        <f t="shared" si="296"/>
        <v/>
      </c>
      <c r="LG39" s="2247" t="str">
        <f t="shared" si="297"/>
        <v/>
      </c>
      <c r="LH39" s="2247" t="str">
        <f t="shared" si="298"/>
        <v/>
      </c>
      <c r="LI39" s="2247" t="str">
        <f t="shared" si="299"/>
        <v/>
      </c>
      <c r="LJ39" s="2247" t="str">
        <f t="shared" si="300"/>
        <v/>
      </c>
      <c r="LK39" s="2247" t="str">
        <f t="shared" si="301"/>
        <v/>
      </c>
      <c r="LL39" s="2247" t="str">
        <f t="shared" si="302"/>
        <v/>
      </c>
      <c r="LM39" s="2247" t="str">
        <f t="shared" si="303"/>
        <v/>
      </c>
      <c r="LN39" s="2247" t="str">
        <f t="shared" si="304"/>
        <v/>
      </c>
      <c r="LO39" s="2247" t="str">
        <f t="shared" si="305"/>
        <v/>
      </c>
      <c r="LP39" s="2247" t="str">
        <f t="shared" si="306"/>
        <v/>
      </c>
      <c r="LQ39" s="2248" t="str">
        <f t="shared" si="307"/>
        <v/>
      </c>
      <c r="LR39" s="2248" t="str">
        <f t="shared" si="308"/>
        <v/>
      </c>
      <c r="LS39" s="2248" t="str">
        <f t="shared" si="309"/>
        <v/>
      </c>
      <c r="LT39" s="2248" t="str">
        <f t="shared" si="310"/>
        <v/>
      </c>
      <c r="LU39" s="2248" t="str">
        <f t="shared" si="311"/>
        <v/>
      </c>
      <c r="LV39" s="443" t="str">
        <f t="shared" si="312"/>
        <v/>
      </c>
      <c r="LW39" s="443" t="str">
        <f t="shared" si="313"/>
        <v/>
      </c>
      <c r="LX39" s="443" t="str">
        <f t="shared" si="314"/>
        <v/>
      </c>
      <c r="LY39" s="443" t="str">
        <f t="shared" si="315"/>
        <v/>
      </c>
      <c r="LZ39" s="443" t="str">
        <f t="shared" si="316"/>
        <v/>
      </c>
      <c r="MA39" s="443" t="str">
        <f t="shared" si="317"/>
        <v/>
      </c>
      <c r="MB39" s="443" t="str">
        <f t="shared" si="318"/>
        <v/>
      </c>
      <c r="MC39" s="443" t="str">
        <f t="shared" si="319"/>
        <v/>
      </c>
      <c r="MD39" s="443" t="str">
        <f t="shared" si="320"/>
        <v/>
      </c>
      <c r="ME39" s="443" t="str">
        <f t="shared" si="321"/>
        <v/>
      </c>
      <c r="MF39" s="443" t="str">
        <f t="shared" si="322"/>
        <v/>
      </c>
      <c r="MG39" s="443" t="str">
        <f t="shared" si="323"/>
        <v/>
      </c>
      <c r="MH39" s="443" t="str">
        <f t="shared" si="324"/>
        <v/>
      </c>
      <c r="MI39" s="443" t="str">
        <f t="shared" si="325"/>
        <v/>
      </c>
      <c r="MJ39" s="443" t="str">
        <f t="shared" si="326"/>
        <v/>
      </c>
      <c r="MK39" s="443" t="str">
        <f t="shared" si="327"/>
        <v/>
      </c>
      <c r="ML39" s="443" t="str">
        <f t="shared" si="328"/>
        <v/>
      </c>
      <c r="MM39" s="443" t="str">
        <f t="shared" si="329"/>
        <v/>
      </c>
      <c r="MN39" s="443" t="str">
        <f t="shared" si="330"/>
        <v/>
      </c>
      <c r="MO39" s="443" t="str">
        <f t="shared" si="331"/>
        <v/>
      </c>
      <c r="MP39" s="2246">
        <f t="shared" si="338"/>
        <v>0</v>
      </c>
      <c r="MQ39" s="2246">
        <f t="shared" si="339"/>
        <v>0</v>
      </c>
      <c r="MR39" s="2246">
        <f t="shared" si="340"/>
        <v>0</v>
      </c>
      <c r="MS39" s="2246">
        <f t="shared" si="341"/>
        <v>0</v>
      </c>
      <c r="MT39" s="2246">
        <f t="shared" si="342"/>
        <v>0</v>
      </c>
      <c r="MU39" s="2246">
        <f t="shared" si="343"/>
        <v>0</v>
      </c>
      <c r="MV39" s="2246">
        <f t="shared" si="344"/>
        <v>0</v>
      </c>
      <c r="MW39" s="2246">
        <f t="shared" si="345"/>
        <v>0</v>
      </c>
      <c r="MX39" s="2246">
        <f t="shared" si="346"/>
        <v>0</v>
      </c>
      <c r="MY39" s="2246">
        <f t="shared" si="347"/>
        <v>0</v>
      </c>
      <c r="MZ39" s="2246">
        <f t="shared" si="332"/>
        <v>0</v>
      </c>
      <c r="NA39" s="2246">
        <f t="shared" si="333"/>
        <v>0</v>
      </c>
      <c r="NB39" s="2246">
        <f t="shared" si="334"/>
        <v>0</v>
      </c>
      <c r="NC39" s="2246">
        <f t="shared" si="335"/>
        <v>0</v>
      </c>
      <c r="ND39" s="2246">
        <f t="shared" si="336"/>
        <v>0</v>
      </c>
    </row>
    <row r="40" spans="1:369" ht="13.95" customHeight="1">
      <c r="A40" s="109" t="str">
        <f t="shared" si="337"/>
        <v/>
      </c>
      <c r="B40" s="4015"/>
      <c r="C40" s="3987"/>
      <c r="D40" s="3988"/>
      <c r="E40" s="3989"/>
      <c r="F40" s="3989"/>
      <c r="G40" s="3989"/>
      <c r="H40" s="3989"/>
      <c r="I40" s="3989"/>
      <c r="J40" s="4016">
        <f>IF(C40="",0,HLOOKUP(C40,'Part V-Utility Allowances'!$I$11:$M$22,12))</f>
        <v>0</v>
      </c>
      <c r="K40" s="3991"/>
      <c r="L40" s="567">
        <f t="shared" si="0"/>
        <v>0</v>
      </c>
      <c r="M40" s="567">
        <f t="shared" si="1"/>
        <v>0</v>
      </c>
      <c r="N40" s="3992"/>
      <c r="O40" s="3992"/>
      <c r="P40" s="3992"/>
      <c r="Q40" s="3993"/>
      <c r="R40" s="3994"/>
      <c r="S40" s="3995"/>
      <c r="T40" s="3996"/>
      <c r="U40" s="3997"/>
      <c r="V40" s="3997"/>
      <c r="W40" s="3998"/>
      <c r="X40" s="443" t="str">
        <f t="shared" si="2"/>
        <v/>
      </c>
      <c r="Y40" s="443" t="str">
        <f t="shared" si="3"/>
        <v/>
      </c>
      <c r="Z40" s="443" t="str">
        <f t="shared" si="4"/>
        <v/>
      </c>
      <c r="AA40" s="443" t="str">
        <f t="shared" si="5"/>
        <v/>
      </c>
      <c r="AB40" s="443" t="str">
        <f t="shared" si="6"/>
        <v/>
      </c>
      <c r="AC40" s="443" t="str">
        <f t="shared" si="7"/>
        <v/>
      </c>
      <c r="AD40" s="443" t="str">
        <f t="shared" si="8"/>
        <v/>
      </c>
      <c r="AE40" s="443" t="str">
        <f t="shared" si="9"/>
        <v/>
      </c>
      <c r="AF40" s="443" t="str">
        <f t="shared" si="10"/>
        <v/>
      </c>
      <c r="AG40" s="443" t="str">
        <f t="shared" si="11"/>
        <v/>
      </c>
      <c r="AH40" s="443" t="str">
        <f t="shared" si="12"/>
        <v/>
      </c>
      <c r="AI40" s="443" t="str">
        <f t="shared" si="13"/>
        <v/>
      </c>
      <c r="AJ40" s="443" t="str">
        <f t="shared" si="14"/>
        <v/>
      </c>
      <c r="AK40" s="443" t="str">
        <f t="shared" si="15"/>
        <v/>
      </c>
      <c r="AL40" s="443" t="str">
        <f t="shared" si="16"/>
        <v/>
      </c>
      <c r="AM40" s="443" t="str">
        <f t="shared" si="17"/>
        <v/>
      </c>
      <c r="AN40" s="443" t="str">
        <f t="shared" si="18"/>
        <v/>
      </c>
      <c r="AO40" s="443" t="str">
        <f t="shared" si="19"/>
        <v/>
      </c>
      <c r="AP40" s="443" t="str">
        <f t="shared" si="20"/>
        <v/>
      </c>
      <c r="AQ40" s="443" t="str">
        <f t="shared" si="21"/>
        <v/>
      </c>
      <c r="AR40" s="443" t="str">
        <f t="shared" si="22"/>
        <v/>
      </c>
      <c r="AS40" s="443" t="str">
        <f t="shared" si="23"/>
        <v/>
      </c>
      <c r="AT40" s="443" t="str">
        <f t="shared" si="24"/>
        <v/>
      </c>
      <c r="AU40" s="443" t="str">
        <f t="shared" si="25"/>
        <v/>
      </c>
      <c r="AV40" s="443" t="str">
        <f t="shared" si="26"/>
        <v/>
      </c>
      <c r="AW40" s="443" t="str">
        <f t="shared" si="27"/>
        <v/>
      </c>
      <c r="AX40" s="443" t="str">
        <f t="shared" si="28"/>
        <v/>
      </c>
      <c r="AY40" s="443" t="str">
        <f t="shared" si="29"/>
        <v/>
      </c>
      <c r="AZ40" s="443" t="str">
        <f t="shared" si="30"/>
        <v/>
      </c>
      <c r="BA40" s="443" t="str">
        <f t="shared" si="31"/>
        <v/>
      </c>
      <c r="BB40" s="443" t="str">
        <f t="shared" si="32"/>
        <v/>
      </c>
      <c r="BC40" s="443" t="str">
        <f t="shared" si="33"/>
        <v/>
      </c>
      <c r="BD40" s="443" t="str">
        <f t="shared" si="34"/>
        <v/>
      </c>
      <c r="BE40" s="443" t="str">
        <f t="shared" si="35"/>
        <v/>
      </c>
      <c r="BF40" s="443" t="str">
        <f t="shared" si="36"/>
        <v/>
      </c>
      <c r="BG40" s="443" t="str">
        <f t="shared" si="37"/>
        <v/>
      </c>
      <c r="BH40" s="443" t="str">
        <f t="shared" si="38"/>
        <v/>
      </c>
      <c r="BI40" s="443" t="str">
        <f t="shared" si="39"/>
        <v/>
      </c>
      <c r="BJ40" s="443" t="str">
        <f t="shared" si="40"/>
        <v/>
      </c>
      <c r="BK40" s="443" t="str">
        <f t="shared" si="41"/>
        <v/>
      </c>
      <c r="BL40" s="443" t="str">
        <f t="shared" si="42"/>
        <v/>
      </c>
      <c r="BM40" s="443" t="str">
        <f t="shared" si="43"/>
        <v/>
      </c>
      <c r="BN40" s="443" t="str">
        <f t="shared" si="44"/>
        <v/>
      </c>
      <c r="BO40" s="443" t="str">
        <f t="shared" si="45"/>
        <v/>
      </c>
      <c r="BP40" s="443" t="str">
        <f t="shared" si="46"/>
        <v/>
      </c>
      <c r="BQ40" s="443" t="str">
        <f t="shared" si="47"/>
        <v/>
      </c>
      <c r="BR40" s="443" t="str">
        <f t="shared" si="48"/>
        <v/>
      </c>
      <c r="BS40" s="443" t="str">
        <f t="shared" si="49"/>
        <v/>
      </c>
      <c r="BT40" s="443" t="str">
        <f t="shared" si="50"/>
        <v/>
      </c>
      <c r="BU40" s="443" t="str">
        <f t="shared" si="51"/>
        <v/>
      </c>
      <c r="BV40" s="443" t="str">
        <f t="shared" si="52"/>
        <v/>
      </c>
      <c r="BW40" s="443" t="str">
        <f t="shared" si="53"/>
        <v/>
      </c>
      <c r="BX40" s="443" t="str">
        <f t="shared" si="54"/>
        <v/>
      </c>
      <c r="BY40" s="443" t="str">
        <f t="shared" si="55"/>
        <v/>
      </c>
      <c r="BZ40" s="443" t="str">
        <f t="shared" si="56"/>
        <v/>
      </c>
      <c r="CA40" s="443" t="str">
        <f t="shared" si="57"/>
        <v/>
      </c>
      <c r="CB40" s="443" t="str">
        <f t="shared" si="58"/>
        <v/>
      </c>
      <c r="CC40" s="443" t="str">
        <f t="shared" si="59"/>
        <v/>
      </c>
      <c r="CD40" s="443" t="str">
        <f t="shared" si="60"/>
        <v/>
      </c>
      <c r="CE40" s="443" t="str">
        <f t="shared" si="61"/>
        <v/>
      </c>
      <c r="CF40" s="443" t="str">
        <f t="shared" si="62"/>
        <v/>
      </c>
      <c r="CG40" s="443" t="str">
        <f t="shared" si="63"/>
        <v/>
      </c>
      <c r="CH40" s="443" t="str">
        <f t="shared" si="64"/>
        <v/>
      </c>
      <c r="CI40" s="443" t="str">
        <f t="shared" si="65"/>
        <v/>
      </c>
      <c r="CJ40" s="443" t="str">
        <f t="shared" si="66"/>
        <v/>
      </c>
      <c r="CK40" s="443" t="str">
        <f t="shared" si="67"/>
        <v/>
      </c>
      <c r="CL40" s="443" t="str">
        <f t="shared" si="68"/>
        <v/>
      </c>
      <c r="CM40" s="443" t="str">
        <f t="shared" si="69"/>
        <v/>
      </c>
      <c r="CN40" s="443" t="str">
        <f t="shared" si="70"/>
        <v/>
      </c>
      <c r="CO40" s="443" t="str">
        <f t="shared" si="71"/>
        <v/>
      </c>
      <c r="CP40" s="443" t="str">
        <f t="shared" si="72"/>
        <v/>
      </c>
      <c r="CQ40" s="443" t="str">
        <f t="shared" si="73"/>
        <v/>
      </c>
      <c r="CR40" s="443" t="str">
        <f t="shared" si="74"/>
        <v/>
      </c>
      <c r="CS40" s="443" t="str">
        <f t="shared" si="75"/>
        <v/>
      </c>
      <c r="CT40" s="443" t="str">
        <f t="shared" si="76"/>
        <v/>
      </c>
      <c r="CU40" s="443" t="str">
        <f t="shared" si="77"/>
        <v/>
      </c>
      <c r="CV40" s="443" t="str">
        <f t="shared" si="78"/>
        <v/>
      </c>
      <c r="CW40" s="443" t="str">
        <f t="shared" si="79"/>
        <v/>
      </c>
      <c r="CX40" s="443" t="str">
        <f t="shared" si="80"/>
        <v/>
      </c>
      <c r="CY40" s="443" t="str">
        <f t="shared" si="81"/>
        <v/>
      </c>
      <c r="CZ40" s="443" t="str">
        <f t="shared" si="82"/>
        <v/>
      </c>
      <c r="DA40" s="443" t="str">
        <f t="shared" si="83"/>
        <v/>
      </c>
      <c r="DB40" s="443" t="str">
        <f t="shared" si="84"/>
        <v/>
      </c>
      <c r="DC40" s="443" t="str">
        <f t="shared" si="85"/>
        <v/>
      </c>
      <c r="DD40" s="443" t="str">
        <f t="shared" si="86"/>
        <v/>
      </c>
      <c r="DE40" s="443" t="str">
        <f t="shared" si="87"/>
        <v/>
      </c>
      <c r="DF40" s="443" t="str">
        <f t="shared" si="88"/>
        <v/>
      </c>
      <c r="DG40" s="443" t="str">
        <f t="shared" si="89"/>
        <v/>
      </c>
      <c r="DH40" s="443" t="str">
        <f t="shared" si="90"/>
        <v/>
      </c>
      <c r="DI40" s="443" t="str">
        <f t="shared" si="91"/>
        <v/>
      </c>
      <c r="DJ40" s="443" t="str">
        <f t="shared" si="92"/>
        <v/>
      </c>
      <c r="DK40" s="443" t="str">
        <f t="shared" si="93"/>
        <v/>
      </c>
      <c r="DL40" s="443" t="str">
        <f t="shared" si="94"/>
        <v/>
      </c>
      <c r="DM40" s="443" t="str">
        <f t="shared" si="95"/>
        <v/>
      </c>
      <c r="DN40" s="443" t="str">
        <f t="shared" si="96"/>
        <v/>
      </c>
      <c r="DO40" s="443" t="str">
        <f t="shared" si="97"/>
        <v/>
      </c>
      <c r="DP40" s="443" t="str">
        <f t="shared" si="98"/>
        <v/>
      </c>
      <c r="DQ40" s="443" t="str">
        <f t="shared" si="99"/>
        <v/>
      </c>
      <c r="DR40" s="443" t="str">
        <f t="shared" si="100"/>
        <v/>
      </c>
      <c r="DS40" s="443" t="str">
        <f t="shared" si="101"/>
        <v/>
      </c>
      <c r="DT40" s="443" t="str">
        <f t="shared" si="102"/>
        <v/>
      </c>
      <c r="DU40" s="443" t="str">
        <f t="shared" si="103"/>
        <v/>
      </c>
      <c r="DV40" s="443" t="str">
        <f t="shared" si="104"/>
        <v/>
      </c>
      <c r="DW40" s="443" t="str">
        <f t="shared" si="105"/>
        <v/>
      </c>
      <c r="DX40" s="443" t="str">
        <f t="shared" si="106"/>
        <v/>
      </c>
      <c r="DY40" s="443" t="str">
        <f t="shared" si="107"/>
        <v/>
      </c>
      <c r="DZ40" s="443" t="str">
        <f t="shared" si="108"/>
        <v/>
      </c>
      <c r="EA40" s="443" t="str">
        <f t="shared" si="109"/>
        <v/>
      </c>
      <c r="EB40" s="443" t="str">
        <f t="shared" si="110"/>
        <v/>
      </c>
      <c r="EC40" s="443" t="str">
        <f t="shared" si="111"/>
        <v/>
      </c>
      <c r="ED40" s="443" t="str">
        <f t="shared" si="112"/>
        <v/>
      </c>
      <c r="EE40" s="443" t="str">
        <f t="shared" si="113"/>
        <v/>
      </c>
      <c r="EF40" s="443" t="str">
        <f t="shared" si="114"/>
        <v/>
      </c>
      <c r="EG40" s="443" t="str">
        <f t="shared" si="115"/>
        <v/>
      </c>
      <c r="EH40" s="443" t="str">
        <f t="shared" si="116"/>
        <v/>
      </c>
      <c r="EI40" s="443" t="str">
        <f t="shared" si="117"/>
        <v/>
      </c>
      <c r="EJ40" s="443" t="str">
        <f t="shared" si="118"/>
        <v/>
      </c>
      <c r="EK40" s="443" t="str">
        <f t="shared" si="119"/>
        <v/>
      </c>
      <c r="EL40" s="443" t="str">
        <f t="shared" si="120"/>
        <v/>
      </c>
      <c r="EM40" s="443" t="str">
        <f t="shared" si="121"/>
        <v/>
      </c>
      <c r="EN40" s="443" t="str">
        <f t="shared" si="122"/>
        <v/>
      </c>
      <c r="EO40" s="443" t="str">
        <f t="shared" si="123"/>
        <v/>
      </c>
      <c r="EP40" s="443" t="str">
        <f t="shared" si="124"/>
        <v/>
      </c>
      <c r="EQ40" s="443" t="str">
        <f t="shared" si="125"/>
        <v/>
      </c>
      <c r="ER40" s="443" t="str">
        <f t="shared" si="126"/>
        <v/>
      </c>
      <c r="ES40" s="443" t="str">
        <f t="shared" si="127"/>
        <v/>
      </c>
      <c r="ET40" s="443" t="str">
        <f t="shared" si="128"/>
        <v/>
      </c>
      <c r="EU40" s="443" t="str">
        <f t="shared" si="129"/>
        <v/>
      </c>
      <c r="EV40" s="443" t="str">
        <f t="shared" si="130"/>
        <v/>
      </c>
      <c r="EW40" s="443" t="str">
        <f t="shared" si="131"/>
        <v/>
      </c>
      <c r="EX40" s="443" t="str">
        <f t="shared" si="132"/>
        <v/>
      </c>
      <c r="EY40" s="443" t="str">
        <f t="shared" si="133"/>
        <v/>
      </c>
      <c r="EZ40" s="443" t="str">
        <f t="shared" si="134"/>
        <v/>
      </c>
      <c r="FA40" s="443" t="str">
        <f t="shared" si="135"/>
        <v/>
      </c>
      <c r="FB40" s="443" t="str">
        <f t="shared" si="136"/>
        <v/>
      </c>
      <c r="FC40" s="443" t="str">
        <f t="shared" si="137"/>
        <v/>
      </c>
      <c r="FD40" s="443" t="str">
        <f t="shared" si="138"/>
        <v/>
      </c>
      <c r="FE40" s="443" t="str">
        <f t="shared" si="139"/>
        <v/>
      </c>
      <c r="FF40" s="443" t="str">
        <f t="shared" si="140"/>
        <v/>
      </c>
      <c r="FG40" s="443" t="str">
        <f t="shared" si="141"/>
        <v/>
      </c>
      <c r="FH40" s="443" t="str">
        <f t="shared" si="142"/>
        <v/>
      </c>
      <c r="FI40" s="443" t="str">
        <f t="shared" si="143"/>
        <v/>
      </c>
      <c r="FJ40" s="443" t="str">
        <f t="shared" si="144"/>
        <v/>
      </c>
      <c r="FK40" s="443" t="str">
        <f t="shared" si="145"/>
        <v/>
      </c>
      <c r="FL40" s="443" t="str">
        <f t="shared" si="146"/>
        <v/>
      </c>
      <c r="FM40" s="443" t="str">
        <f t="shared" si="147"/>
        <v/>
      </c>
      <c r="FN40" s="443" t="str">
        <f t="shared" si="148"/>
        <v/>
      </c>
      <c r="FO40" s="443" t="str">
        <f t="shared" si="149"/>
        <v/>
      </c>
      <c r="FP40" s="443" t="str">
        <f t="shared" si="150"/>
        <v/>
      </c>
      <c r="FQ40" s="443" t="str">
        <f t="shared" si="151"/>
        <v/>
      </c>
      <c r="FR40" s="443" t="str">
        <f t="shared" si="152"/>
        <v/>
      </c>
      <c r="FS40" s="443" t="str">
        <f t="shared" si="153"/>
        <v/>
      </c>
      <c r="FT40" s="443" t="str">
        <f t="shared" si="154"/>
        <v/>
      </c>
      <c r="FU40" s="443" t="str">
        <f t="shared" si="155"/>
        <v/>
      </c>
      <c r="FV40" s="443" t="str">
        <f t="shared" si="156"/>
        <v/>
      </c>
      <c r="FW40" s="443" t="str">
        <f t="shared" si="157"/>
        <v/>
      </c>
      <c r="FX40" s="443" t="str">
        <f t="shared" si="158"/>
        <v/>
      </c>
      <c r="FY40" s="443" t="str">
        <f t="shared" si="159"/>
        <v/>
      </c>
      <c r="FZ40" s="443" t="str">
        <f t="shared" si="160"/>
        <v/>
      </c>
      <c r="GA40" s="443" t="str">
        <f t="shared" si="161"/>
        <v/>
      </c>
      <c r="GB40" s="443" t="str">
        <f t="shared" si="162"/>
        <v/>
      </c>
      <c r="GC40" s="443" t="str">
        <f t="shared" si="163"/>
        <v/>
      </c>
      <c r="GD40" s="443" t="str">
        <f t="shared" si="164"/>
        <v/>
      </c>
      <c r="GE40" s="443" t="str">
        <f t="shared" si="165"/>
        <v/>
      </c>
      <c r="GF40" s="443" t="str">
        <f t="shared" si="166"/>
        <v/>
      </c>
      <c r="GG40" s="443" t="str">
        <f t="shared" si="167"/>
        <v/>
      </c>
      <c r="GH40" s="443" t="str">
        <f t="shared" si="168"/>
        <v/>
      </c>
      <c r="GI40" s="443" t="str">
        <f t="shared" si="169"/>
        <v/>
      </c>
      <c r="GJ40" s="443" t="str">
        <f t="shared" si="170"/>
        <v/>
      </c>
      <c r="GK40" s="443" t="str">
        <f t="shared" si="171"/>
        <v/>
      </c>
      <c r="GL40" s="443" t="str">
        <f t="shared" si="172"/>
        <v/>
      </c>
      <c r="GM40" s="443" t="str">
        <f t="shared" si="173"/>
        <v/>
      </c>
      <c r="GN40" s="443" t="str">
        <f t="shared" si="174"/>
        <v/>
      </c>
      <c r="GO40" s="443" t="str">
        <f t="shared" si="175"/>
        <v/>
      </c>
      <c r="GP40" s="443" t="str">
        <f t="shared" si="176"/>
        <v/>
      </c>
      <c r="GQ40" s="443" t="str">
        <f t="shared" si="177"/>
        <v/>
      </c>
      <c r="GR40" s="443" t="str">
        <f t="shared" si="178"/>
        <v/>
      </c>
      <c r="GS40" s="443" t="str">
        <f t="shared" si="179"/>
        <v/>
      </c>
      <c r="GT40" s="443" t="str">
        <f t="shared" si="180"/>
        <v/>
      </c>
      <c r="GU40" s="443" t="str">
        <f t="shared" si="181"/>
        <v/>
      </c>
      <c r="GV40" s="443" t="str">
        <f t="shared" si="182"/>
        <v/>
      </c>
      <c r="GW40" s="443" t="str">
        <f t="shared" si="183"/>
        <v/>
      </c>
      <c r="GX40" s="443" t="str">
        <f t="shared" si="184"/>
        <v/>
      </c>
      <c r="GY40" s="443" t="str">
        <f t="shared" si="185"/>
        <v/>
      </c>
      <c r="GZ40" s="443" t="str">
        <f t="shared" si="186"/>
        <v/>
      </c>
      <c r="HA40" s="443" t="str">
        <f t="shared" si="187"/>
        <v/>
      </c>
      <c r="HB40" s="443" t="str">
        <f t="shared" si="188"/>
        <v/>
      </c>
      <c r="HC40" s="443" t="str">
        <f t="shared" si="189"/>
        <v/>
      </c>
      <c r="HD40" s="443" t="str">
        <f t="shared" si="190"/>
        <v/>
      </c>
      <c r="HE40" s="443" t="str">
        <f t="shared" si="191"/>
        <v/>
      </c>
      <c r="HF40" s="443" t="str">
        <f t="shared" si="192"/>
        <v/>
      </c>
      <c r="HG40" s="443" t="str">
        <f t="shared" si="193"/>
        <v/>
      </c>
      <c r="HH40" s="443" t="str">
        <f t="shared" si="194"/>
        <v/>
      </c>
      <c r="HI40" s="443" t="str">
        <f t="shared" si="195"/>
        <v/>
      </c>
      <c r="HJ40" s="443" t="str">
        <f t="shared" si="196"/>
        <v/>
      </c>
      <c r="HK40" s="443" t="str">
        <f t="shared" si="197"/>
        <v/>
      </c>
      <c r="HL40" s="443" t="str">
        <f t="shared" si="198"/>
        <v/>
      </c>
      <c r="HM40" s="443" t="str">
        <f t="shared" si="199"/>
        <v/>
      </c>
      <c r="HN40" s="443" t="str">
        <f t="shared" si="200"/>
        <v/>
      </c>
      <c r="HO40" s="443" t="str">
        <f t="shared" si="201"/>
        <v/>
      </c>
      <c r="HP40" s="443" t="str">
        <f t="shared" si="202"/>
        <v/>
      </c>
      <c r="HQ40" s="443" t="str">
        <f t="shared" si="203"/>
        <v/>
      </c>
      <c r="HR40" s="443" t="str">
        <f t="shared" si="204"/>
        <v/>
      </c>
      <c r="HS40" s="443" t="str">
        <f t="shared" si="205"/>
        <v/>
      </c>
      <c r="HT40" s="443" t="str">
        <f t="shared" si="206"/>
        <v/>
      </c>
      <c r="HU40" s="443" t="str">
        <f t="shared" si="207"/>
        <v/>
      </c>
      <c r="HV40" s="443" t="str">
        <f t="shared" si="208"/>
        <v/>
      </c>
      <c r="HW40" s="443" t="str">
        <f t="shared" si="209"/>
        <v/>
      </c>
      <c r="HX40" s="443" t="str">
        <f t="shared" si="210"/>
        <v/>
      </c>
      <c r="HY40" s="443" t="str">
        <f t="shared" si="211"/>
        <v/>
      </c>
      <c r="HZ40" s="2247" t="str">
        <f t="shared" si="212"/>
        <v/>
      </c>
      <c r="IA40" s="2247" t="str">
        <f t="shared" si="213"/>
        <v/>
      </c>
      <c r="IB40" s="2247" t="str">
        <f t="shared" si="214"/>
        <v/>
      </c>
      <c r="IC40" s="2247" t="str">
        <f t="shared" si="215"/>
        <v/>
      </c>
      <c r="ID40" s="2247" t="str">
        <f t="shared" si="216"/>
        <v/>
      </c>
      <c r="IE40" s="2247" t="str">
        <f t="shared" si="217"/>
        <v/>
      </c>
      <c r="IF40" s="2247" t="str">
        <f t="shared" si="218"/>
        <v/>
      </c>
      <c r="IG40" s="2247" t="str">
        <f t="shared" si="219"/>
        <v/>
      </c>
      <c r="IH40" s="2247" t="str">
        <f t="shared" si="220"/>
        <v/>
      </c>
      <c r="II40" s="2247" t="str">
        <f t="shared" si="221"/>
        <v/>
      </c>
      <c r="IJ40" s="2247" t="str">
        <f t="shared" si="222"/>
        <v/>
      </c>
      <c r="IK40" s="2247" t="str">
        <f t="shared" si="223"/>
        <v/>
      </c>
      <c r="IL40" s="2247" t="str">
        <f t="shared" si="224"/>
        <v/>
      </c>
      <c r="IM40" s="2247" t="str">
        <f t="shared" si="225"/>
        <v/>
      </c>
      <c r="IN40" s="2247" t="str">
        <f t="shared" si="226"/>
        <v/>
      </c>
      <c r="IO40" s="2247" t="str">
        <f t="shared" si="227"/>
        <v/>
      </c>
      <c r="IP40" s="2247" t="str">
        <f t="shared" si="228"/>
        <v/>
      </c>
      <c r="IQ40" s="2247" t="str">
        <f t="shared" si="229"/>
        <v/>
      </c>
      <c r="IR40" s="2247" t="str">
        <f t="shared" si="230"/>
        <v/>
      </c>
      <c r="IS40" s="2247" t="str">
        <f t="shared" si="231"/>
        <v/>
      </c>
      <c r="IT40" s="2247" t="str">
        <f t="shared" si="232"/>
        <v/>
      </c>
      <c r="IU40" s="2247" t="str">
        <f t="shared" si="233"/>
        <v/>
      </c>
      <c r="IV40" s="2247" t="str">
        <f t="shared" si="234"/>
        <v/>
      </c>
      <c r="IW40" s="2247" t="str">
        <f t="shared" si="235"/>
        <v/>
      </c>
      <c r="IX40" s="2247" t="str">
        <f t="shared" si="236"/>
        <v/>
      </c>
      <c r="IY40" s="2247" t="str">
        <f t="shared" si="237"/>
        <v/>
      </c>
      <c r="IZ40" s="2247" t="str">
        <f t="shared" si="238"/>
        <v/>
      </c>
      <c r="JA40" s="2247" t="str">
        <f t="shared" si="239"/>
        <v/>
      </c>
      <c r="JB40" s="2247" t="str">
        <f t="shared" si="240"/>
        <v/>
      </c>
      <c r="JC40" s="2247" t="str">
        <f t="shared" si="241"/>
        <v/>
      </c>
      <c r="JD40" s="2247" t="str">
        <f t="shared" si="242"/>
        <v/>
      </c>
      <c r="JE40" s="2247" t="str">
        <f t="shared" si="243"/>
        <v/>
      </c>
      <c r="JF40" s="2247" t="str">
        <f t="shared" si="244"/>
        <v/>
      </c>
      <c r="JG40" s="2247" t="str">
        <f t="shared" si="245"/>
        <v/>
      </c>
      <c r="JH40" s="2247" t="str">
        <f t="shared" si="246"/>
        <v/>
      </c>
      <c r="JI40" s="2247" t="str">
        <f t="shared" si="247"/>
        <v/>
      </c>
      <c r="JJ40" s="2247" t="str">
        <f t="shared" si="248"/>
        <v/>
      </c>
      <c r="JK40" s="2247" t="str">
        <f t="shared" si="249"/>
        <v/>
      </c>
      <c r="JL40" s="2247" t="str">
        <f t="shared" si="250"/>
        <v/>
      </c>
      <c r="JM40" s="2247" t="str">
        <f t="shared" si="251"/>
        <v/>
      </c>
      <c r="JN40" s="2247" t="str">
        <f t="shared" si="252"/>
        <v/>
      </c>
      <c r="JO40" s="2247" t="str">
        <f t="shared" si="253"/>
        <v/>
      </c>
      <c r="JP40" s="2247" t="str">
        <f t="shared" si="254"/>
        <v/>
      </c>
      <c r="JQ40" s="2247" t="str">
        <f t="shared" si="255"/>
        <v/>
      </c>
      <c r="JR40" s="2247" t="str">
        <f t="shared" si="256"/>
        <v/>
      </c>
      <c r="JS40" s="2247" t="str">
        <f t="shared" si="257"/>
        <v/>
      </c>
      <c r="JT40" s="2247" t="str">
        <f t="shared" si="258"/>
        <v/>
      </c>
      <c r="JU40" s="2247" t="str">
        <f t="shared" si="259"/>
        <v/>
      </c>
      <c r="JV40" s="2247" t="str">
        <f t="shared" si="260"/>
        <v/>
      </c>
      <c r="JW40" s="2247" t="str">
        <f t="shared" si="261"/>
        <v/>
      </c>
      <c r="JX40" s="2247" t="str">
        <f t="shared" si="262"/>
        <v/>
      </c>
      <c r="JY40" s="2247" t="str">
        <f t="shared" si="263"/>
        <v/>
      </c>
      <c r="JZ40" s="2247" t="str">
        <f t="shared" si="264"/>
        <v/>
      </c>
      <c r="KA40" s="2247" t="str">
        <f t="shared" si="265"/>
        <v/>
      </c>
      <c r="KB40" s="2247" t="str">
        <f t="shared" si="266"/>
        <v/>
      </c>
      <c r="KC40" s="2247" t="str">
        <f t="shared" si="267"/>
        <v/>
      </c>
      <c r="KD40" s="2247" t="str">
        <f t="shared" si="268"/>
        <v/>
      </c>
      <c r="KE40" s="2247" t="str">
        <f t="shared" si="269"/>
        <v/>
      </c>
      <c r="KF40" s="2247" t="str">
        <f t="shared" si="270"/>
        <v/>
      </c>
      <c r="KG40" s="2247" t="str">
        <f t="shared" si="271"/>
        <v/>
      </c>
      <c r="KH40" s="2247" t="str">
        <f t="shared" si="272"/>
        <v/>
      </c>
      <c r="KI40" s="2247" t="str">
        <f t="shared" si="273"/>
        <v/>
      </c>
      <c r="KJ40" s="2247" t="str">
        <f t="shared" si="274"/>
        <v/>
      </c>
      <c r="KK40" s="2247" t="str">
        <f t="shared" si="275"/>
        <v/>
      </c>
      <c r="KL40" s="2247" t="str">
        <f t="shared" si="276"/>
        <v/>
      </c>
      <c r="KM40" s="2247" t="str">
        <f t="shared" si="277"/>
        <v/>
      </c>
      <c r="KN40" s="2247" t="str">
        <f t="shared" si="278"/>
        <v/>
      </c>
      <c r="KO40" s="2247" t="str">
        <f t="shared" si="279"/>
        <v/>
      </c>
      <c r="KP40" s="2247" t="str">
        <f t="shared" si="280"/>
        <v/>
      </c>
      <c r="KQ40" s="2247" t="str">
        <f t="shared" si="281"/>
        <v/>
      </c>
      <c r="KR40" s="2247" t="str">
        <f t="shared" si="282"/>
        <v/>
      </c>
      <c r="KS40" s="2247" t="str">
        <f t="shared" si="283"/>
        <v/>
      </c>
      <c r="KT40" s="2247" t="str">
        <f t="shared" si="284"/>
        <v/>
      </c>
      <c r="KU40" s="2247" t="str">
        <f t="shared" si="285"/>
        <v/>
      </c>
      <c r="KV40" s="2247" t="str">
        <f t="shared" si="286"/>
        <v/>
      </c>
      <c r="KW40" s="2247" t="str">
        <f t="shared" si="287"/>
        <v/>
      </c>
      <c r="KX40" s="2247" t="str">
        <f t="shared" si="288"/>
        <v/>
      </c>
      <c r="KY40" s="2247" t="str">
        <f t="shared" si="289"/>
        <v/>
      </c>
      <c r="KZ40" s="2247" t="str">
        <f t="shared" si="290"/>
        <v/>
      </c>
      <c r="LA40" s="2247" t="str">
        <f t="shared" si="291"/>
        <v/>
      </c>
      <c r="LB40" s="2247" t="str">
        <f t="shared" si="292"/>
        <v/>
      </c>
      <c r="LC40" s="2247" t="str">
        <f t="shared" si="293"/>
        <v/>
      </c>
      <c r="LD40" s="2247" t="str">
        <f t="shared" si="294"/>
        <v/>
      </c>
      <c r="LE40" s="2247" t="str">
        <f t="shared" si="295"/>
        <v/>
      </c>
      <c r="LF40" s="2247" t="str">
        <f t="shared" si="296"/>
        <v/>
      </c>
      <c r="LG40" s="2247" t="str">
        <f t="shared" si="297"/>
        <v/>
      </c>
      <c r="LH40" s="2247" t="str">
        <f t="shared" si="298"/>
        <v/>
      </c>
      <c r="LI40" s="2247" t="str">
        <f t="shared" si="299"/>
        <v/>
      </c>
      <c r="LJ40" s="2247" t="str">
        <f t="shared" si="300"/>
        <v/>
      </c>
      <c r="LK40" s="2247" t="str">
        <f t="shared" si="301"/>
        <v/>
      </c>
      <c r="LL40" s="2247" t="str">
        <f t="shared" si="302"/>
        <v/>
      </c>
      <c r="LM40" s="2247" t="str">
        <f t="shared" si="303"/>
        <v/>
      </c>
      <c r="LN40" s="2247" t="str">
        <f t="shared" si="304"/>
        <v/>
      </c>
      <c r="LO40" s="2247" t="str">
        <f t="shared" si="305"/>
        <v/>
      </c>
      <c r="LP40" s="2247" t="str">
        <f t="shared" si="306"/>
        <v/>
      </c>
      <c r="LQ40" s="2248" t="str">
        <f t="shared" si="307"/>
        <v/>
      </c>
      <c r="LR40" s="2248" t="str">
        <f t="shared" si="308"/>
        <v/>
      </c>
      <c r="LS40" s="2248" t="str">
        <f t="shared" si="309"/>
        <v/>
      </c>
      <c r="LT40" s="2248" t="str">
        <f t="shared" si="310"/>
        <v/>
      </c>
      <c r="LU40" s="2248" t="str">
        <f t="shared" si="311"/>
        <v/>
      </c>
      <c r="LV40" s="443" t="str">
        <f t="shared" si="312"/>
        <v/>
      </c>
      <c r="LW40" s="443" t="str">
        <f t="shared" si="313"/>
        <v/>
      </c>
      <c r="LX40" s="443" t="str">
        <f t="shared" si="314"/>
        <v/>
      </c>
      <c r="LY40" s="443" t="str">
        <f t="shared" si="315"/>
        <v/>
      </c>
      <c r="LZ40" s="443" t="str">
        <f t="shared" si="316"/>
        <v/>
      </c>
      <c r="MA40" s="443" t="str">
        <f t="shared" si="317"/>
        <v/>
      </c>
      <c r="MB40" s="443" t="str">
        <f t="shared" si="318"/>
        <v/>
      </c>
      <c r="MC40" s="443" t="str">
        <f t="shared" si="319"/>
        <v/>
      </c>
      <c r="MD40" s="443" t="str">
        <f t="shared" si="320"/>
        <v/>
      </c>
      <c r="ME40" s="443" t="str">
        <f t="shared" si="321"/>
        <v/>
      </c>
      <c r="MF40" s="443" t="str">
        <f t="shared" si="322"/>
        <v/>
      </c>
      <c r="MG40" s="443" t="str">
        <f t="shared" si="323"/>
        <v/>
      </c>
      <c r="MH40" s="443" t="str">
        <f t="shared" si="324"/>
        <v/>
      </c>
      <c r="MI40" s="443" t="str">
        <f t="shared" si="325"/>
        <v/>
      </c>
      <c r="MJ40" s="443" t="str">
        <f t="shared" si="326"/>
        <v/>
      </c>
      <c r="MK40" s="443" t="str">
        <f t="shared" si="327"/>
        <v/>
      </c>
      <c r="ML40" s="443" t="str">
        <f t="shared" si="328"/>
        <v/>
      </c>
      <c r="MM40" s="443" t="str">
        <f t="shared" si="329"/>
        <v/>
      </c>
      <c r="MN40" s="443" t="str">
        <f t="shared" si="330"/>
        <v/>
      </c>
      <c r="MO40" s="443" t="str">
        <f t="shared" si="331"/>
        <v/>
      </c>
      <c r="MP40" s="2246">
        <f t="shared" si="338"/>
        <v>0</v>
      </c>
      <c r="MQ40" s="2246">
        <f t="shared" si="339"/>
        <v>0</v>
      </c>
      <c r="MR40" s="2246">
        <f t="shared" si="340"/>
        <v>0</v>
      </c>
      <c r="MS40" s="2246">
        <f t="shared" si="341"/>
        <v>0</v>
      </c>
      <c r="MT40" s="2246">
        <f t="shared" si="342"/>
        <v>0</v>
      </c>
      <c r="MU40" s="2246">
        <f t="shared" si="343"/>
        <v>0</v>
      </c>
      <c r="MV40" s="2246">
        <f t="shared" si="344"/>
        <v>0</v>
      </c>
      <c r="MW40" s="2246">
        <f t="shared" si="345"/>
        <v>0</v>
      </c>
      <c r="MX40" s="2246">
        <f t="shared" si="346"/>
        <v>0</v>
      </c>
      <c r="MY40" s="2246">
        <f t="shared" si="347"/>
        <v>0</v>
      </c>
      <c r="MZ40" s="2246">
        <f t="shared" si="332"/>
        <v>0</v>
      </c>
      <c r="NA40" s="2246">
        <f t="shared" si="333"/>
        <v>0</v>
      </c>
      <c r="NB40" s="2246">
        <f t="shared" si="334"/>
        <v>0</v>
      </c>
      <c r="NC40" s="2246">
        <f t="shared" si="335"/>
        <v>0</v>
      </c>
      <c r="ND40" s="2246">
        <f t="shared" si="336"/>
        <v>0</v>
      </c>
    </row>
    <row r="41" spans="1:369" ht="13.95" customHeight="1">
      <c r="A41" s="109" t="str">
        <f t="shared" si="337"/>
        <v/>
      </c>
      <c r="B41" s="4015"/>
      <c r="C41" s="3987"/>
      <c r="D41" s="3988"/>
      <c r="E41" s="3989"/>
      <c r="F41" s="3989"/>
      <c r="G41" s="3989"/>
      <c r="H41" s="3989"/>
      <c r="I41" s="3989"/>
      <c r="J41" s="4016">
        <f>IF(C41="",0,HLOOKUP(C41,'Part V-Utility Allowances'!$I$11:$M$22,12))</f>
        <v>0</v>
      </c>
      <c r="K41" s="3991"/>
      <c r="L41" s="567">
        <f t="shared" si="0"/>
        <v>0</v>
      </c>
      <c r="M41" s="567">
        <f t="shared" si="1"/>
        <v>0</v>
      </c>
      <c r="N41" s="3992"/>
      <c r="O41" s="3992"/>
      <c r="P41" s="3992"/>
      <c r="Q41" s="3993"/>
      <c r="R41" s="3994"/>
      <c r="S41" s="3995"/>
      <c r="T41" s="3996"/>
      <c r="U41" s="3997"/>
      <c r="V41" s="3997"/>
      <c r="W41" s="3998"/>
      <c r="X41" s="443" t="str">
        <f t="shared" si="2"/>
        <v/>
      </c>
      <c r="Y41" s="443" t="str">
        <f t="shared" si="3"/>
        <v/>
      </c>
      <c r="Z41" s="443" t="str">
        <f t="shared" si="4"/>
        <v/>
      </c>
      <c r="AA41" s="443" t="str">
        <f t="shared" si="5"/>
        <v/>
      </c>
      <c r="AB41" s="443" t="str">
        <f t="shared" si="6"/>
        <v/>
      </c>
      <c r="AC41" s="443" t="str">
        <f t="shared" si="7"/>
        <v/>
      </c>
      <c r="AD41" s="443" t="str">
        <f t="shared" si="8"/>
        <v/>
      </c>
      <c r="AE41" s="443" t="str">
        <f t="shared" si="9"/>
        <v/>
      </c>
      <c r="AF41" s="443" t="str">
        <f t="shared" si="10"/>
        <v/>
      </c>
      <c r="AG41" s="443" t="str">
        <f t="shared" si="11"/>
        <v/>
      </c>
      <c r="AH41" s="443" t="str">
        <f t="shared" si="12"/>
        <v/>
      </c>
      <c r="AI41" s="443" t="str">
        <f t="shared" si="13"/>
        <v/>
      </c>
      <c r="AJ41" s="443" t="str">
        <f t="shared" si="14"/>
        <v/>
      </c>
      <c r="AK41" s="443" t="str">
        <f t="shared" si="15"/>
        <v/>
      </c>
      <c r="AL41" s="443" t="str">
        <f t="shared" si="16"/>
        <v/>
      </c>
      <c r="AM41" s="443" t="str">
        <f t="shared" si="17"/>
        <v/>
      </c>
      <c r="AN41" s="443" t="str">
        <f t="shared" si="18"/>
        <v/>
      </c>
      <c r="AO41" s="443" t="str">
        <f t="shared" si="19"/>
        <v/>
      </c>
      <c r="AP41" s="443" t="str">
        <f t="shared" si="20"/>
        <v/>
      </c>
      <c r="AQ41" s="443" t="str">
        <f t="shared" si="21"/>
        <v/>
      </c>
      <c r="AR41" s="443" t="str">
        <f t="shared" si="22"/>
        <v/>
      </c>
      <c r="AS41" s="443" t="str">
        <f t="shared" si="23"/>
        <v/>
      </c>
      <c r="AT41" s="443" t="str">
        <f t="shared" si="24"/>
        <v/>
      </c>
      <c r="AU41" s="443" t="str">
        <f t="shared" si="25"/>
        <v/>
      </c>
      <c r="AV41" s="443" t="str">
        <f t="shared" si="26"/>
        <v/>
      </c>
      <c r="AW41" s="443" t="str">
        <f t="shared" si="27"/>
        <v/>
      </c>
      <c r="AX41" s="443" t="str">
        <f t="shared" si="28"/>
        <v/>
      </c>
      <c r="AY41" s="443" t="str">
        <f t="shared" si="29"/>
        <v/>
      </c>
      <c r="AZ41" s="443" t="str">
        <f t="shared" si="30"/>
        <v/>
      </c>
      <c r="BA41" s="443" t="str">
        <f t="shared" si="31"/>
        <v/>
      </c>
      <c r="BB41" s="443" t="str">
        <f t="shared" si="32"/>
        <v/>
      </c>
      <c r="BC41" s="443" t="str">
        <f t="shared" si="33"/>
        <v/>
      </c>
      <c r="BD41" s="443" t="str">
        <f t="shared" si="34"/>
        <v/>
      </c>
      <c r="BE41" s="443" t="str">
        <f t="shared" si="35"/>
        <v/>
      </c>
      <c r="BF41" s="443" t="str">
        <f t="shared" si="36"/>
        <v/>
      </c>
      <c r="BG41" s="443" t="str">
        <f t="shared" si="37"/>
        <v/>
      </c>
      <c r="BH41" s="443" t="str">
        <f t="shared" si="38"/>
        <v/>
      </c>
      <c r="BI41" s="443" t="str">
        <f t="shared" si="39"/>
        <v/>
      </c>
      <c r="BJ41" s="443" t="str">
        <f t="shared" si="40"/>
        <v/>
      </c>
      <c r="BK41" s="443" t="str">
        <f t="shared" si="41"/>
        <v/>
      </c>
      <c r="BL41" s="443" t="str">
        <f t="shared" si="42"/>
        <v/>
      </c>
      <c r="BM41" s="443" t="str">
        <f t="shared" si="43"/>
        <v/>
      </c>
      <c r="BN41" s="443" t="str">
        <f t="shared" si="44"/>
        <v/>
      </c>
      <c r="BO41" s="443" t="str">
        <f t="shared" si="45"/>
        <v/>
      </c>
      <c r="BP41" s="443" t="str">
        <f t="shared" si="46"/>
        <v/>
      </c>
      <c r="BQ41" s="443" t="str">
        <f t="shared" si="47"/>
        <v/>
      </c>
      <c r="BR41" s="443" t="str">
        <f t="shared" si="48"/>
        <v/>
      </c>
      <c r="BS41" s="443" t="str">
        <f t="shared" si="49"/>
        <v/>
      </c>
      <c r="BT41" s="443" t="str">
        <f t="shared" si="50"/>
        <v/>
      </c>
      <c r="BU41" s="443" t="str">
        <f t="shared" si="51"/>
        <v/>
      </c>
      <c r="BV41" s="443" t="str">
        <f t="shared" si="52"/>
        <v/>
      </c>
      <c r="BW41" s="443" t="str">
        <f t="shared" si="53"/>
        <v/>
      </c>
      <c r="BX41" s="443" t="str">
        <f t="shared" si="54"/>
        <v/>
      </c>
      <c r="BY41" s="443" t="str">
        <f t="shared" si="55"/>
        <v/>
      </c>
      <c r="BZ41" s="443" t="str">
        <f t="shared" si="56"/>
        <v/>
      </c>
      <c r="CA41" s="443" t="str">
        <f t="shared" si="57"/>
        <v/>
      </c>
      <c r="CB41" s="443" t="str">
        <f t="shared" si="58"/>
        <v/>
      </c>
      <c r="CC41" s="443" t="str">
        <f t="shared" si="59"/>
        <v/>
      </c>
      <c r="CD41" s="443" t="str">
        <f t="shared" si="60"/>
        <v/>
      </c>
      <c r="CE41" s="443" t="str">
        <f t="shared" si="61"/>
        <v/>
      </c>
      <c r="CF41" s="443" t="str">
        <f t="shared" si="62"/>
        <v/>
      </c>
      <c r="CG41" s="443" t="str">
        <f t="shared" si="63"/>
        <v/>
      </c>
      <c r="CH41" s="443" t="str">
        <f t="shared" si="64"/>
        <v/>
      </c>
      <c r="CI41" s="443" t="str">
        <f t="shared" si="65"/>
        <v/>
      </c>
      <c r="CJ41" s="443" t="str">
        <f t="shared" si="66"/>
        <v/>
      </c>
      <c r="CK41" s="443" t="str">
        <f t="shared" si="67"/>
        <v/>
      </c>
      <c r="CL41" s="443" t="str">
        <f t="shared" si="68"/>
        <v/>
      </c>
      <c r="CM41" s="443" t="str">
        <f t="shared" si="69"/>
        <v/>
      </c>
      <c r="CN41" s="443" t="str">
        <f t="shared" si="70"/>
        <v/>
      </c>
      <c r="CO41" s="443" t="str">
        <f t="shared" si="71"/>
        <v/>
      </c>
      <c r="CP41" s="443" t="str">
        <f t="shared" si="72"/>
        <v/>
      </c>
      <c r="CQ41" s="443" t="str">
        <f t="shared" si="73"/>
        <v/>
      </c>
      <c r="CR41" s="443" t="str">
        <f t="shared" si="74"/>
        <v/>
      </c>
      <c r="CS41" s="443" t="str">
        <f t="shared" si="75"/>
        <v/>
      </c>
      <c r="CT41" s="443" t="str">
        <f t="shared" si="76"/>
        <v/>
      </c>
      <c r="CU41" s="443" t="str">
        <f t="shared" si="77"/>
        <v/>
      </c>
      <c r="CV41" s="443" t="str">
        <f t="shared" si="78"/>
        <v/>
      </c>
      <c r="CW41" s="443" t="str">
        <f t="shared" si="79"/>
        <v/>
      </c>
      <c r="CX41" s="443" t="str">
        <f t="shared" si="80"/>
        <v/>
      </c>
      <c r="CY41" s="443" t="str">
        <f t="shared" si="81"/>
        <v/>
      </c>
      <c r="CZ41" s="443" t="str">
        <f t="shared" si="82"/>
        <v/>
      </c>
      <c r="DA41" s="443" t="str">
        <f t="shared" si="83"/>
        <v/>
      </c>
      <c r="DB41" s="443" t="str">
        <f t="shared" si="84"/>
        <v/>
      </c>
      <c r="DC41" s="443" t="str">
        <f t="shared" si="85"/>
        <v/>
      </c>
      <c r="DD41" s="443" t="str">
        <f t="shared" si="86"/>
        <v/>
      </c>
      <c r="DE41" s="443" t="str">
        <f t="shared" si="87"/>
        <v/>
      </c>
      <c r="DF41" s="443" t="str">
        <f t="shared" si="88"/>
        <v/>
      </c>
      <c r="DG41" s="443" t="str">
        <f t="shared" si="89"/>
        <v/>
      </c>
      <c r="DH41" s="443" t="str">
        <f t="shared" si="90"/>
        <v/>
      </c>
      <c r="DI41" s="443" t="str">
        <f t="shared" si="91"/>
        <v/>
      </c>
      <c r="DJ41" s="443" t="str">
        <f t="shared" si="92"/>
        <v/>
      </c>
      <c r="DK41" s="443" t="str">
        <f t="shared" si="93"/>
        <v/>
      </c>
      <c r="DL41" s="443" t="str">
        <f t="shared" si="94"/>
        <v/>
      </c>
      <c r="DM41" s="443" t="str">
        <f t="shared" si="95"/>
        <v/>
      </c>
      <c r="DN41" s="443" t="str">
        <f t="shared" si="96"/>
        <v/>
      </c>
      <c r="DO41" s="443" t="str">
        <f t="shared" si="97"/>
        <v/>
      </c>
      <c r="DP41" s="443" t="str">
        <f t="shared" si="98"/>
        <v/>
      </c>
      <c r="DQ41" s="443" t="str">
        <f t="shared" si="99"/>
        <v/>
      </c>
      <c r="DR41" s="443" t="str">
        <f t="shared" si="100"/>
        <v/>
      </c>
      <c r="DS41" s="443" t="str">
        <f t="shared" si="101"/>
        <v/>
      </c>
      <c r="DT41" s="443" t="str">
        <f t="shared" si="102"/>
        <v/>
      </c>
      <c r="DU41" s="443" t="str">
        <f t="shared" si="103"/>
        <v/>
      </c>
      <c r="DV41" s="443" t="str">
        <f t="shared" si="104"/>
        <v/>
      </c>
      <c r="DW41" s="443" t="str">
        <f t="shared" si="105"/>
        <v/>
      </c>
      <c r="DX41" s="443" t="str">
        <f t="shared" si="106"/>
        <v/>
      </c>
      <c r="DY41" s="443" t="str">
        <f t="shared" si="107"/>
        <v/>
      </c>
      <c r="DZ41" s="443" t="str">
        <f t="shared" si="108"/>
        <v/>
      </c>
      <c r="EA41" s="443" t="str">
        <f t="shared" si="109"/>
        <v/>
      </c>
      <c r="EB41" s="443" t="str">
        <f t="shared" si="110"/>
        <v/>
      </c>
      <c r="EC41" s="443" t="str">
        <f t="shared" si="111"/>
        <v/>
      </c>
      <c r="ED41" s="443" t="str">
        <f t="shared" si="112"/>
        <v/>
      </c>
      <c r="EE41" s="443" t="str">
        <f t="shared" si="113"/>
        <v/>
      </c>
      <c r="EF41" s="443" t="str">
        <f t="shared" si="114"/>
        <v/>
      </c>
      <c r="EG41" s="443" t="str">
        <f t="shared" si="115"/>
        <v/>
      </c>
      <c r="EH41" s="443" t="str">
        <f t="shared" si="116"/>
        <v/>
      </c>
      <c r="EI41" s="443" t="str">
        <f t="shared" si="117"/>
        <v/>
      </c>
      <c r="EJ41" s="443" t="str">
        <f t="shared" si="118"/>
        <v/>
      </c>
      <c r="EK41" s="443" t="str">
        <f t="shared" si="119"/>
        <v/>
      </c>
      <c r="EL41" s="443" t="str">
        <f t="shared" si="120"/>
        <v/>
      </c>
      <c r="EM41" s="443" t="str">
        <f t="shared" si="121"/>
        <v/>
      </c>
      <c r="EN41" s="443" t="str">
        <f t="shared" si="122"/>
        <v/>
      </c>
      <c r="EO41" s="443" t="str">
        <f t="shared" si="123"/>
        <v/>
      </c>
      <c r="EP41" s="443" t="str">
        <f t="shared" si="124"/>
        <v/>
      </c>
      <c r="EQ41" s="443" t="str">
        <f t="shared" si="125"/>
        <v/>
      </c>
      <c r="ER41" s="443" t="str">
        <f t="shared" si="126"/>
        <v/>
      </c>
      <c r="ES41" s="443" t="str">
        <f t="shared" si="127"/>
        <v/>
      </c>
      <c r="ET41" s="443" t="str">
        <f t="shared" si="128"/>
        <v/>
      </c>
      <c r="EU41" s="443" t="str">
        <f t="shared" si="129"/>
        <v/>
      </c>
      <c r="EV41" s="443" t="str">
        <f t="shared" si="130"/>
        <v/>
      </c>
      <c r="EW41" s="443" t="str">
        <f t="shared" si="131"/>
        <v/>
      </c>
      <c r="EX41" s="443" t="str">
        <f t="shared" si="132"/>
        <v/>
      </c>
      <c r="EY41" s="443" t="str">
        <f t="shared" si="133"/>
        <v/>
      </c>
      <c r="EZ41" s="443" t="str">
        <f t="shared" si="134"/>
        <v/>
      </c>
      <c r="FA41" s="443" t="str">
        <f t="shared" si="135"/>
        <v/>
      </c>
      <c r="FB41" s="443" t="str">
        <f t="shared" si="136"/>
        <v/>
      </c>
      <c r="FC41" s="443" t="str">
        <f t="shared" si="137"/>
        <v/>
      </c>
      <c r="FD41" s="443" t="str">
        <f t="shared" si="138"/>
        <v/>
      </c>
      <c r="FE41" s="443" t="str">
        <f t="shared" si="139"/>
        <v/>
      </c>
      <c r="FF41" s="443" t="str">
        <f t="shared" si="140"/>
        <v/>
      </c>
      <c r="FG41" s="443" t="str">
        <f t="shared" si="141"/>
        <v/>
      </c>
      <c r="FH41" s="443" t="str">
        <f t="shared" si="142"/>
        <v/>
      </c>
      <c r="FI41" s="443" t="str">
        <f t="shared" si="143"/>
        <v/>
      </c>
      <c r="FJ41" s="443" t="str">
        <f t="shared" si="144"/>
        <v/>
      </c>
      <c r="FK41" s="443" t="str">
        <f t="shared" si="145"/>
        <v/>
      </c>
      <c r="FL41" s="443" t="str">
        <f t="shared" si="146"/>
        <v/>
      </c>
      <c r="FM41" s="443" t="str">
        <f t="shared" si="147"/>
        <v/>
      </c>
      <c r="FN41" s="443" t="str">
        <f t="shared" si="148"/>
        <v/>
      </c>
      <c r="FO41" s="443" t="str">
        <f t="shared" si="149"/>
        <v/>
      </c>
      <c r="FP41" s="443" t="str">
        <f t="shared" si="150"/>
        <v/>
      </c>
      <c r="FQ41" s="443" t="str">
        <f t="shared" si="151"/>
        <v/>
      </c>
      <c r="FR41" s="443" t="str">
        <f t="shared" si="152"/>
        <v/>
      </c>
      <c r="FS41" s="443" t="str">
        <f t="shared" si="153"/>
        <v/>
      </c>
      <c r="FT41" s="443" t="str">
        <f t="shared" si="154"/>
        <v/>
      </c>
      <c r="FU41" s="443" t="str">
        <f t="shared" si="155"/>
        <v/>
      </c>
      <c r="FV41" s="443" t="str">
        <f t="shared" si="156"/>
        <v/>
      </c>
      <c r="FW41" s="443" t="str">
        <f t="shared" si="157"/>
        <v/>
      </c>
      <c r="FX41" s="443" t="str">
        <f t="shared" si="158"/>
        <v/>
      </c>
      <c r="FY41" s="443" t="str">
        <f t="shared" si="159"/>
        <v/>
      </c>
      <c r="FZ41" s="443" t="str">
        <f t="shared" si="160"/>
        <v/>
      </c>
      <c r="GA41" s="443" t="str">
        <f t="shared" si="161"/>
        <v/>
      </c>
      <c r="GB41" s="443" t="str">
        <f t="shared" si="162"/>
        <v/>
      </c>
      <c r="GC41" s="443" t="str">
        <f t="shared" si="163"/>
        <v/>
      </c>
      <c r="GD41" s="443" t="str">
        <f t="shared" si="164"/>
        <v/>
      </c>
      <c r="GE41" s="443" t="str">
        <f t="shared" si="165"/>
        <v/>
      </c>
      <c r="GF41" s="443" t="str">
        <f t="shared" si="166"/>
        <v/>
      </c>
      <c r="GG41" s="443" t="str">
        <f t="shared" si="167"/>
        <v/>
      </c>
      <c r="GH41" s="443" t="str">
        <f t="shared" si="168"/>
        <v/>
      </c>
      <c r="GI41" s="443" t="str">
        <f t="shared" si="169"/>
        <v/>
      </c>
      <c r="GJ41" s="443" t="str">
        <f t="shared" si="170"/>
        <v/>
      </c>
      <c r="GK41" s="443" t="str">
        <f t="shared" si="171"/>
        <v/>
      </c>
      <c r="GL41" s="443" t="str">
        <f t="shared" si="172"/>
        <v/>
      </c>
      <c r="GM41" s="443" t="str">
        <f t="shared" si="173"/>
        <v/>
      </c>
      <c r="GN41" s="443" t="str">
        <f t="shared" si="174"/>
        <v/>
      </c>
      <c r="GO41" s="443" t="str">
        <f t="shared" si="175"/>
        <v/>
      </c>
      <c r="GP41" s="443" t="str">
        <f t="shared" si="176"/>
        <v/>
      </c>
      <c r="GQ41" s="443" t="str">
        <f t="shared" si="177"/>
        <v/>
      </c>
      <c r="GR41" s="443" t="str">
        <f t="shared" si="178"/>
        <v/>
      </c>
      <c r="GS41" s="443" t="str">
        <f t="shared" si="179"/>
        <v/>
      </c>
      <c r="GT41" s="443" t="str">
        <f t="shared" si="180"/>
        <v/>
      </c>
      <c r="GU41" s="443" t="str">
        <f t="shared" si="181"/>
        <v/>
      </c>
      <c r="GV41" s="443" t="str">
        <f t="shared" si="182"/>
        <v/>
      </c>
      <c r="GW41" s="443" t="str">
        <f t="shared" si="183"/>
        <v/>
      </c>
      <c r="GX41" s="443" t="str">
        <f t="shared" si="184"/>
        <v/>
      </c>
      <c r="GY41" s="443" t="str">
        <f t="shared" si="185"/>
        <v/>
      </c>
      <c r="GZ41" s="443" t="str">
        <f t="shared" si="186"/>
        <v/>
      </c>
      <c r="HA41" s="443" t="str">
        <f t="shared" si="187"/>
        <v/>
      </c>
      <c r="HB41" s="443" t="str">
        <f t="shared" si="188"/>
        <v/>
      </c>
      <c r="HC41" s="443" t="str">
        <f t="shared" si="189"/>
        <v/>
      </c>
      <c r="HD41" s="443" t="str">
        <f t="shared" si="190"/>
        <v/>
      </c>
      <c r="HE41" s="443" t="str">
        <f t="shared" si="191"/>
        <v/>
      </c>
      <c r="HF41" s="443" t="str">
        <f t="shared" si="192"/>
        <v/>
      </c>
      <c r="HG41" s="443" t="str">
        <f t="shared" si="193"/>
        <v/>
      </c>
      <c r="HH41" s="443" t="str">
        <f t="shared" si="194"/>
        <v/>
      </c>
      <c r="HI41" s="443" t="str">
        <f t="shared" si="195"/>
        <v/>
      </c>
      <c r="HJ41" s="443" t="str">
        <f t="shared" si="196"/>
        <v/>
      </c>
      <c r="HK41" s="443" t="str">
        <f t="shared" si="197"/>
        <v/>
      </c>
      <c r="HL41" s="443" t="str">
        <f t="shared" si="198"/>
        <v/>
      </c>
      <c r="HM41" s="443" t="str">
        <f t="shared" si="199"/>
        <v/>
      </c>
      <c r="HN41" s="443" t="str">
        <f t="shared" si="200"/>
        <v/>
      </c>
      <c r="HO41" s="443" t="str">
        <f t="shared" si="201"/>
        <v/>
      </c>
      <c r="HP41" s="443" t="str">
        <f t="shared" si="202"/>
        <v/>
      </c>
      <c r="HQ41" s="443" t="str">
        <f t="shared" si="203"/>
        <v/>
      </c>
      <c r="HR41" s="443" t="str">
        <f t="shared" si="204"/>
        <v/>
      </c>
      <c r="HS41" s="443" t="str">
        <f t="shared" si="205"/>
        <v/>
      </c>
      <c r="HT41" s="443" t="str">
        <f t="shared" si="206"/>
        <v/>
      </c>
      <c r="HU41" s="443" t="str">
        <f t="shared" si="207"/>
        <v/>
      </c>
      <c r="HV41" s="443" t="str">
        <f t="shared" si="208"/>
        <v/>
      </c>
      <c r="HW41" s="443" t="str">
        <f t="shared" si="209"/>
        <v/>
      </c>
      <c r="HX41" s="443" t="str">
        <f t="shared" si="210"/>
        <v/>
      </c>
      <c r="HY41" s="443" t="str">
        <f t="shared" si="211"/>
        <v/>
      </c>
      <c r="HZ41" s="2247" t="str">
        <f t="shared" si="212"/>
        <v/>
      </c>
      <c r="IA41" s="2247" t="str">
        <f t="shared" si="213"/>
        <v/>
      </c>
      <c r="IB41" s="2247" t="str">
        <f t="shared" si="214"/>
        <v/>
      </c>
      <c r="IC41" s="2247" t="str">
        <f t="shared" si="215"/>
        <v/>
      </c>
      <c r="ID41" s="2247" t="str">
        <f t="shared" si="216"/>
        <v/>
      </c>
      <c r="IE41" s="2247" t="str">
        <f t="shared" si="217"/>
        <v/>
      </c>
      <c r="IF41" s="2247" t="str">
        <f t="shared" si="218"/>
        <v/>
      </c>
      <c r="IG41" s="2247" t="str">
        <f t="shared" si="219"/>
        <v/>
      </c>
      <c r="IH41" s="2247" t="str">
        <f t="shared" si="220"/>
        <v/>
      </c>
      <c r="II41" s="2247" t="str">
        <f t="shared" si="221"/>
        <v/>
      </c>
      <c r="IJ41" s="2247" t="str">
        <f t="shared" si="222"/>
        <v/>
      </c>
      <c r="IK41" s="2247" t="str">
        <f t="shared" si="223"/>
        <v/>
      </c>
      <c r="IL41" s="2247" t="str">
        <f t="shared" si="224"/>
        <v/>
      </c>
      <c r="IM41" s="2247" t="str">
        <f t="shared" si="225"/>
        <v/>
      </c>
      <c r="IN41" s="2247" t="str">
        <f t="shared" si="226"/>
        <v/>
      </c>
      <c r="IO41" s="2247" t="str">
        <f t="shared" si="227"/>
        <v/>
      </c>
      <c r="IP41" s="2247" t="str">
        <f t="shared" si="228"/>
        <v/>
      </c>
      <c r="IQ41" s="2247" t="str">
        <f t="shared" si="229"/>
        <v/>
      </c>
      <c r="IR41" s="2247" t="str">
        <f t="shared" si="230"/>
        <v/>
      </c>
      <c r="IS41" s="2247" t="str">
        <f t="shared" si="231"/>
        <v/>
      </c>
      <c r="IT41" s="2247" t="str">
        <f t="shared" si="232"/>
        <v/>
      </c>
      <c r="IU41" s="2247" t="str">
        <f t="shared" si="233"/>
        <v/>
      </c>
      <c r="IV41" s="2247" t="str">
        <f t="shared" si="234"/>
        <v/>
      </c>
      <c r="IW41" s="2247" t="str">
        <f t="shared" si="235"/>
        <v/>
      </c>
      <c r="IX41" s="2247" t="str">
        <f t="shared" si="236"/>
        <v/>
      </c>
      <c r="IY41" s="2247" t="str">
        <f t="shared" si="237"/>
        <v/>
      </c>
      <c r="IZ41" s="2247" t="str">
        <f t="shared" si="238"/>
        <v/>
      </c>
      <c r="JA41" s="2247" t="str">
        <f t="shared" si="239"/>
        <v/>
      </c>
      <c r="JB41" s="2247" t="str">
        <f t="shared" si="240"/>
        <v/>
      </c>
      <c r="JC41" s="2247" t="str">
        <f t="shared" si="241"/>
        <v/>
      </c>
      <c r="JD41" s="2247" t="str">
        <f t="shared" si="242"/>
        <v/>
      </c>
      <c r="JE41" s="2247" t="str">
        <f t="shared" si="243"/>
        <v/>
      </c>
      <c r="JF41" s="2247" t="str">
        <f t="shared" si="244"/>
        <v/>
      </c>
      <c r="JG41" s="2247" t="str">
        <f t="shared" si="245"/>
        <v/>
      </c>
      <c r="JH41" s="2247" t="str">
        <f t="shared" si="246"/>
        <v/>
      </c>
      <c r="JI41" s="2247" t="str">
        <f t="shared" si="247"/>
        <v/>
      </c>
      <c r="JJ41" s="2247" t="str">
        <f t="shared" si="248"/>
        <v/>
      </c>
      <c r="JK41" s="2247" t="str">
        <f t="shared" si="249"/>
        <v/>
      </c>
      <c r="JL41" s="2247" t="str">
        <f t="shared" si="250"/>
        <v/>
      </c>
      <c r="JM41" s="2247" t="str">
        <f t="shared" si="251"/>
        <v/>
      </c>
      <c r="JN41" s="2247" t="str">
        <f t="shared" si="252"/>
        <v/>
      </c>
      <c r="JO41" s="2247" t="str">
        <f t="shared" si="253"/>
        <v/>
      </c>
      <c r="JP41" s="2247" t="str">
        <f t="shared" si="254"/>
        <v/>
      </c>
      <c r="JQ41" s="2247" t="str">
        <f t="shared" si="255"/>
        <v/>
      </c>
      <c r="JR41" s="2247" t="str">
        <f t="shared" si="256"/>
        <v/>
      </c>
      <c r="JS41" s="2247" t="str">
        <f t="shared" si="257"/>
        <v/>
      </c>
      <c r="JT41" s="2247" t="str">
        <f t="shared" si="258"/>
        <v/>
      </c>
      <c r="JU41" s="2247" t="str">
        <f t="shared" si="259"/>
        <v/>
      </c>
      <c r="JV41" s="2247" t="str">
        <f t="shared" si="260"/>
        <v/>
      </c>
      <c r="JW41" s="2247" t="str">
        <f t="shared" si="261"/>
        <v/>
      </c>
      <c r="JX41" s="2247" t="str">
        <f t="shared" si="262"/>
        <v/>
      </c>
      <c r="JY41" s="2247" t="str">
        <f t="shared" si="263"/>
        <v/>
      </c>
      <c r="JZ41" s="2247" t="str">
        <f t="shared" si="264"/>
        <v/>
      </c>
      <c r="KA41" s="2247" t="str">
        <f t="shared" si="265"/>
        <v/>
      </c>
      <c r="KB41" s="2247" t="str">
        <f t="shared" si="266"/>
        <v/>
      </c>
      <c r="KC41" s="2247" t="str">
        <f t="shared" si="267"/>
        <v/>
      </c>
      <c r="KD41" s="2247" t="str">
        <f t="shared" si="268"/>
        <v/>
      </c>
      <c r="KE41" s="2247" t="str">
        <f t="shared" si="269"/>
        <v/>
      </c>
      <c r="KF41" s="2247" t="str">
        <f t="shared" si="270"/>
        <v/>
      </c>
      <c r="KG41" s="2247" t="str">
        <f t="shared" si="271"/>
        <v/>
      </c>
      <c r="KH41" s="2247" t="str">
        <f t="shared" si="272"/>
        <v/>
      </c>
      <c r="KI41" s="2247" t="str">
        <f t="shared" si="273"/>
        <v/>
      </c>
      <c r="KJ41" s="2247" t="str">
        <f t="shared" si="274"/>
        <v/>
      </c>
      <c r="KK41" s="2247" t="str">
        <f t="shared" si="275"/>
        <v/>
      </c>
      <c r="KL41" s="2247" t="str">
        <f t="shared" si="276"/>
        <v/>
      </c>
      <c r="KM41" s="2247" t="str">
        <f t="shared" si="277"/>
        <v/>
      </c>
      <c r="KN41" s="2247" t="str">
        <f t="shared" si="278"/>
        <v/>
      </c>
      <c r="KO41" s="2247" t="str">
        <f t="shared" si="279"/>
        <v/>
      </c>
      <c r="KP41" s="2247" t="str">
        <f t="shared" si="280"/>
        <v/>
      </c>
      <c r="KQ41" s="2247" t="str">
        <f t="shared" si="281"/>
        <v/>
      </c>
      <c r="KR41" s="2247" t="str">
        <f t="shared" si="282"/>
        <v/>
      </c>
      <c r="KS41" s="2247" t="str">
        <f t="shared" si="283"/>
        <v/>
      </c>
      <c r="KT41" s="2247" t="str">
        <f t="shared" si="284"/>
        <v/>
      </c>
      <c r="KU41" s="2247" t="str">
        <f t="shared" si="285"/>
        <v/>
      </c>
      <c r="KV41" s="2247" t="str">
        <f t="shared" si="286"/>
        <v/>
      </c>
      <c r="KW41" s="2247" t="str">
        <f t="shared" si="287"/>
        <v/>
      </c>
      <c r="KX41" s="2247" t="str">
        <f t="shared" si="288"/>
        <v/>
      </c>
      <c r="KY41" s="2247" t="str">
        <f t="shared" si="289"/>
        <v/>
      </c>
      <c r="KZ41" s="2247" t="str">
        <f t="shared" si="290"/>
        <v/>
      </c>
      <c r="LA41" s="2247" t="str">
        <f t="shared" si="291"/>
        <v/>
      </c>
      <c r="LB41" s="2247" t="str">
        <f t="shared" si="292"/>
        <v/>
      </c>
      <c r="LC41" s="2247" t="str">
        <f t="shared" si="293"/>
        <v/>
      </c>
      <c r="LD41" s="2247" t="str">
        <f t="shared" si="294"/>
        <v/>
      </c>
      <c r="LE41" s="2247" t="str">
        <f t="shared" si="295"/>
        <v/>
      </c>
      <c r="LF41" s="2247" t="str">
        <f t="shared" si="296"/>
        <v/>
      </c>
      <c r="LG41" s="2247" t="str">
        <f t="shared" si="297"/>
        <v/>
      </c>
      <c r="LH41" s="2247" t="str">
        <f t="shared" si="298"/>
        <v/>
      </c>
      <c r="LI41" s="2247" t="str">
        <f t="shared" si="299"/>
        <v/>
      </c>
      <c r="LJ41" s="2247" t="str">
        <f t="shared" si="300"/>
        <v/>
      </c>
      <c r="LK41" s="2247" t="str">
        <f t="shared" si="301"/>
        <v/>
      </c>
      <c r="LL41" s="2247" t="str">
        <f t="shared" si="302"/>
        <v/>
      </c>
      <c r="LM41" s="2247" t="str">
        <f t="shared" si="303"/>
        <v/>
      </c>
      <c r="LN41" s="2247" t="str">
        <f t="shared" si="304"/>
        <v/>
      </c>
      <c r="LO41" s="2247" t="str">
        <f t="shared" si="305"/>
        <v/>
      </c>
      <c r="LP41" s="2247" t="str">
        <f t="shared" si="306"/>
        <v/>
      </c>
      <c r="LQ41" s="2248" t="str">
        <f t="shared" si="307"/>
        <v/>
      </c>
      <c r="LR41" s="2248" t="str">
        <f t="shared" si="308"/>
        <v/>
      </c>
      <c r="LS41" s="2248" t="str">
        <f t="shared" si="309"/>
        <v/>
      </c>
      <c r="LT41" s="2248" t="str">
        <f t="shared" si="310"/>
        <v/>
      </c>
      <c r="LU41" s="2248" t="str">
        <f t="shared" si="311"/>
        <v/>
      </c>
      <c r="LV41" s="443" t="str">
        <f t="shared" si="312"/>
        <v/>
      </c>
      <c r="LW41" s="443" t="str">
        <f t="shared" si="313"/>
        <v/>
      </c>
      <c r="LX41" s="443" t="str">
        <f t="shared" si="314"/>
        <v/>
      </c>
      <c r="LY41" s="443" t="str">
        <f t="shared" si="315"/>
        <v/>
      </c>
      <c r="LZ41" s="443" t="str">
        <f t="shared" si="316"/>
        <v/>
      </c>
      <c r="MA41" s="443" t="str">
        <f t="shared" si="317"/>
        <v/>
      </c>
      <c r="MB41" s="443" t="str">
        <f t="shared" si="318"/>
        <v/>
      </c>
      <c r="MC41" s="443" t="str">
        <f t="shared" si="319"/>
        <v/>
      </c>
      <c r="MD41" s="443" t="str">
        <f t="shared" si="320"/>
        <v/>
      </c>
      <c r="ME41" s="443" t="str">
        <f t="shared" si="321"/>
        <v/>
      </c>
      <c r="MF41" s="443" t="str">
        <f t="shared" si="322"/>
        <v/>
      </c>
      <c r="MG41" s="443" t="str">
        <f t="shared" si="323"/>
        <v/>
      </c>
      <c r="MH41" s="443" t="str">
        <f t="shared" si="324"/>
        <v/>
      </c>
      <c r="MI41" s="443" t="str">
        <f t="shared" si="325"/>
        <v/>
      </c>
      <c r="MJ41" s="443" t="str">
        <f t="shared" si="326"/>
        <v/>
      </c>
      <c r="MK41" s="443" t="str">
        <f t="shared" si="327"/>
        <v/>
      </c>
      <c r="ML41" s="443" t="str">
        <f t="shared" si="328"/>
        <v/>
      </c>
      <c r="MM41" s="443" t="str">
        <f t="shared" si="329"/>
        <v/>
      </c>
      <c r="MN41" s="443" t="str">
        <f t="shared" si="330"/>
        <v/>
      </c>
      <c r="MO41" s="443" t="str">
        <f t="shared" si="331"/>
        <v/>
      </c>
      <c r="MP41" s="2246">
        <f t="shared" si="338"/>
        <v>0</v>
      </c>
      <c r="MQ41" s="2246">
        <f t="shared" si="339"/>
        <v>0</v>
      </c>
      <c r="MR41" s="2246">
        <f t="shared" si="340"/>
        <v>0</v>
      </c>
      <c r="MS41" s="2246">
        <f t="shared" si="341"/>
        <v>0</v>
      </c>
      <c r="MT41" s="2246">
        <f t="shared" si="342"/>
        <v>0</v>
      </c>
      <c r="MU41" s="2246">
        <f t="shared" si="343"/>
        <v>0</v>
      </c>
      <c r="MV41" s="2246">
        <f t="shared" si="344"/>
        <v>0</v>
      </c>
      <c r="MW41" s="2246">
        <f t="shared" si="345"/>
        <v>0</v>
      </c>
      <c r="MX41" s="2246">
        <f t="shared" si="346"/>
        <v>0</v>
      </c>
      <c r="MY41" s="2246">
        <f t="shared" si="347"/>
        <v>0</v>
      </c>
      <c r="MZ41" s="2246">
        <f t="shared" si="332"/>
        <v>0</v>
      </c>
      <c r="NA41" s="2246">
        <f t="shared" si="333"/>
        <v>0</v>
      </c>
      <c r="NB41" s="2246">
        <f t="shared" si="334"/>
        <v>0</v>
      </c>
      <c r="NC41" s="2246">
        <f t="shared" si="335"/>
        <v>0</v>
      </c>
      <c r="ND41" s="2246">
        <f t="shared" si="336"/>
        <v>0</v>
      </c>
    </row>
    <row r="42" spans="1:369" ht="13.95" customHeight="1">
      <c r="A42" s="109" t="str">
        <f t="shared" si="337"/>
        <v/>
      </c>
      <c r="B42" s="4015"/>
      <c r="C42" s="3987"/>
      <c r="D42" s="3988"/>
      <c r="E42" s="3989"/>
      <c r="F42" s="3989"/>
      <c r="G42" s="3989"/>
      <c r="H42" s="3989"/>
      <c r="I42" s="3989"/>
      <c r="J42" s="4016">
        <f>IF(C42="",0,HLOOKUP(C42,'Part V-Utility Allowances'!$I$11:$M$22,12))</f>
        <v>0</v>
      </c>
      <c r="K42" s="3991"/>
      <c r="L42" s="567">
        <f t="shared" si="0"/>
        <v>0</v>
      </c>
      <c r="M42" s="567">
        <f t="shared" si="1"/>
        <v>0</v>
      </c>
      <c r="N42" s="3992"/>
      <c r="O42" s="3992"/>
      <c r="P42" s="3992"/>
      <c r="Q42" s="3993"/>
      <c r="R42" s="3994"/>
      <c r="S42" s="3995"/>
      <c r="T42" s="3996"/>
      <c r="U42" s="3997"/>
      <c r="V42" s="3997"/>
      <c r="W42" s="3998"/>
      <c r="X42" s="443" t="str">
        <f t="shared" si="2"/>
        <v/>
      </c>
      <c r="Y42" s="443" t="str">
        <f t="shared" si="3"/>
        <v/>
      </c>
      <c r="Z42" s="443" t="str">
        <f t="shared" si="4"/>
        <v/>
      </c>
      <c r="AA42" s="443" t="str">
        <f t="shared" si="5"/>
        <v/>
      </c>
      <c r="AB42" s="443" t="str">
        <f t="shared" si="6"/>
        <v/>
      </c>
      <c r="AC42" s="443" t="str">
        <f t="shared" si="7"/>
        <v/>
      </c>
      <c r="AD42" s="443" t="str">
        <f t="shared" si="8"/>
        <v/>
      </c>
      <c r="AE42" s="443" t="str">
        <f t="shared" si="9"/>
        <v/>
      </c>
      <c r="AF42" s="443" t="str">
        <f t="shared" si="10"/>
        <v/>
      </c>
      <c r="AG42" s="443" t="str">
        <f t="shared" si="11"/>
        <v/>
      </c>
      <c r="AH42" s="443" t="str">
        <f t="shared" si="12"/>
        <v/>
      </c>
      <c r="AI42" s="443" t="str">
        <f t="shared" si="13"/>
        <v/>
      </c>
      <c r="AJ42" s="443" t="str">
        <f t="shared" si="14"/>
        <v/>
      </c>
      <c r="AK42" s="443" t="str">
        <f t="shared" si="15"/>
        <v/>
      </c>
      <c r="AL42" s="443" t="str">
        <f t="shared" si="16"/>
        <v/>
      </c>
      <c r="AM42" s="443" t="str">
        <f t="shared" si="17"/>
        <v/>
      </c>
      <c r="AN42" s="443" t="str">
        <f t="shared" si="18"/>
        <v/>
      </c>
      <c r="AO42" s="443" t="str">
        <f t="shared" si="19"/>
        <v/>
      </c>
      <c r="AP42" s="443" t="str">
        <f t="shared" si="20"/>
        <v/>
      </c>
      <c r="AQ42" s="443" t="str">
        <f t="shared" si="21"/>
        <v/>
      </c>
      <c r="AR42" s="443" t="str">
        <f t="shared" si="22"/>
        <v/>
      </c>
      <c r="AS42" s="443" t="str">
        <f t="shared" si="23"/>
        <v/>
      </c>
      <c r="AT42" s="443" t="str">
        <f t="shared" si="24"/>
        <v/>
      </c>
      <c r="AU42" s="443" t="str">
        <f t="shared" si="25"/>
        <v/>
      </c>
      <c r="AV42" s="443" t="str">
        <f t="shared" si="26"/>
        <v/>
      </c>
      <c r="AW42" s="443" t="str">
        <f t="shared" si="27"/>
        <v/>
      </c>
      <c r="AX42" s="443" t="str">
        <f t="shared" si="28"/>
        <v/>
      </c>
      <c r="AY42" s="443" t="str">
        <f t="shared" si="29"/>
        <v/>
      </c>
      <c r="AZ42" s="443" t="str">
        <f t="shared" si="30"/>
        <v/>
      </c>
      <c r="BA42" s="443" t="str">
        <f t="shared" si="31"/>
        <v/>
      </c>
      <c r="BB42" s="443" t="str">
        <f t="shared" si="32"/>
        <v/>
      </c>
      <c r="BC42" s="443" t="str">
        <f t="shared" si="33"/>
        <v/>
      </c>
      <c r="BD42" s="443" t="str">
        <f t="shared" si="34"/>
        <v/>
      </c>
      <c r="BE42" s="443" t="str">
        <f t="shared" si="35"/>
        <v/>
      </c>
      <c r="BF42" s="443" t="str">
        <f t="shared" si="36"/>
        <v/>
      </c>
      <c r="BG42" s="443" t="str">
        <f t="shared" si="37"/>
        <v/>
      </c>
      <c r="BH42" s="443" t="str">
        <f t="shared" si="38"/>
        <v/>
      </c>
      <c r="BI42" s="443" t="str">
        <f t="shared" si="39"/>
        <v/>
      </c>
      <c r="BJ42" s="443" t="str">
        <f t="shared" si="40"/>
        <v/>
      </c>
      <c r="BK42" s="443" t="str">
        <f t="shared" si="41"/>
        <v/>
      </c>
      <c r="BL42" s="443" t="str">
        <f t="shared" si="42"/>
        <v/>
      </c>
      <c r="BM42" s="443" t="str">
        <f t="shared" si="43"/>
        <v/>
      </c>
      <c r="BN42" s="443" t="str">
        <f t="shared" si="44"/>
        <v/>
      </c>
      <c r="BO42" s="443" t="str">
        <f t="shared" si="45"/>
        <v/>
      </c>
      <c r="BP42" s="443" t="str">
        <f t="shared" si="46"/>
        <v/>
      </c>
      <c r="BQ42" s="443" t="str">
        <f t="shared" si="47"/>
        <v/>
      </c>
      <c r="BR42" s="443" t="str">
        <f t="shared" si="48"/>
        <v/>
      </c>
      <c r="BS42" s="443" t="str">
        <f t="shared" si="49"/>
        <v/>
      </c>
      <c r="BT42" s="443" t="str">
        <f t="shared" si="50"/>
        <v/>
      </c>
      <c r="BU42" s="443" t="str">
        <f t="shared" si="51"/>
        <v/>
      </c>
      <c r="BV42" s="443" t="str">
        <f t="shared" si="52"/>
        <v/>
      </c>
      <c r="BW42" s="443" t="str">
        <f t="shared" si="53"/>
        <v/>
      </c>
      <c r="BX42" s="443" t="str">
        <f t="shared" si="54"/>
        <v/>
      </c>
      <c r="BY42" s="443" t="str">
        <f t="shared" si="55"/>
        <v/>
      </c>
      <c r="BZ42" s="443" t="str">
        <f t="shared" si="56"/>
        <v/>
      </c>
      <c r="CA42" s="443" t="str">
        <f t="shared" si="57"/>
        <v/>
      </c>
      <c r="CB42" s="443" t="str">
        <f t="shared" si="58"/>
        <v/>
      </c>
      <c r="CC42" s="443" t="str">
        <f t="shared" si="59"/>
        <v/>
      </c>
      <c r="CD42" s="443" t="str">
        <f t="shared" si="60"/>
        <v/>
      </c>
      <c r="CE42" s="443" t="str">
        <f t="shared" si="61"/>
        <v/>
      </c>
      <c r="CF42" s="443" t="str">
        <f t="shared" si="62"/>
        <v/>
      </c>
      <c r="CG42" s="443" t="str">
        <f t="shared" si="63"/>
        <v/>
      </c>
      <c r="CH42" s="443" t="str">
        <f t="shared" si="64"/>
        <v/>
      </c>
      <c r="CI42" s="443" t="str">
        <f t="shared" si="65"/>
        <v/>
      </c>
      <c r="CJ42" s="443" t="str">
        <f t="shared" si="66"/>
        <v/>
      </c>
      <c r="CK42" s="443" t="str">
        <f t="shared" si="67"/>
        <v/>
      </c>
      <c r="CL42" s="443" t="str">
        <f t="shared" si="68"/>
        <v/>
      </c>
      <c r="CM42" s="443" t="str">
        <f t="shared" si="69"/>
        <v/>
      </c>
      <c r="CN42" s="443" t="str">
        <f t="shared" si="70"/>
        <v/>
      </c>
      <c r="CO42" s="443" t="str">
        <f t="shared" si="71"/>
        <v/>
      </c>
      <c r="CP42" s="443" t="str">
        <f t="shared" si="72"/>
        <v/>
      </c>
      <c r="CQ42" s="443" t="str">
        <f t="shared" si="73"/>
        <v/>
      </c>
      <c r="CR42" s="443" t="str">
        <f t="shared" si="74"/>
        <v/>
      </c>
      <c r="CS42" s="443" t="str">
        <f t="shared" si="75"/>
        <v/>
      </c>
      <c r="CT42" s="443" t="str">
        <f t="shared" si="76"/>
        <v/>
      </c>
      <c r="CU42" s="443" t="str">
        <f t="shared" si="77"/>
        <v/>
      </c>
      <c r="CV42" s="443" t="str">
        <f t="shared" si="78"/>
        <v/>
      </c>
      <c r="CW42" s="443" t="str">
        <f t="shared" si="79"/>
        <v/>
      </c>
      <c r="CX42" s="443" t="str">
        <f t="shared" si="80"/>
        <v/>
      </c>
      <c r="CY42" s="443" t="str">
        <f t="shared" si="81"/>
        <v/>
      </c>
      <c r="CZ42" s="443" t="str">
        <f t="shared" si="82"/>
        <v/>
      </c>
      <c r="DA42" s="443" t="str">
        <f t="shared" si="83"/>
        <v/>
      </c>
      <c r="DB42" s="443" t="str">
        <f t="shared" si="84"/>
        <v/>
      </c>
      <c r="DC42" s="443" t="str">
        <f t="shared" si="85"/>
        <v/>
      </c>
      <c r="DD42" s="443" t="str">
        <f t="shared" si="86"/>
        <v/>
      </c>
      <c r="DE42" s="443" t="str">
        <f t="shared" si="87"/>
        <v/>
      </c>
      <c r="DF42" s="443" t="str">
        <f t="shared" si="88"/>
        <v/>
      </c>
      <c r="DG42" s="443" t="str">
        <f t="shared" si="89"/>
        <v/>
      </c>
      <c r="DH42" s="443" t="str">
        <f t="shared" si="90"/>
        <v/>
      </c>
      <c r="DI42" s="443" t="str">
        <f t="shared" si="91"/>
        <v/>
      </c>
      <c r="DJ42" s="443" t="str">
        <f t="shared" si="92"/>
        <v/>
      </c>
      <c r="DK42" s="443" t="str">
        <f t="shared" si="93"/>
        <v/>
      </c>
      <c r="DL42" s="443" t="str">
        <f t="shared" si="94"/>
        <v/>
      </c>
      <c r="DM42" s="443" t="str">
        <f t="shared" si="95"/>
        <v/>
      </c>
      <c r="DN42" s="443" t="str">
        <f t="shared" si="96"/>
        <v/>
      </c>
      <c r="DO42" s="443" t="str">
        <f t="shared" si="97"/>
        <v/>
      </c>
      <c r="DP42" s="443" t="str">
        <f t="shared" si="98"/>
        <v/>
      </c>
      <c r="DQ42" s="443" t="str">
        <f t="shared" si="99"/>
        <v/>
      </c>
      <c r="DR42" s="443" t="str">
        <f t="shared" si="100"/>
        <v/>
      </c>
      <c r="DS42" s="443" t="str">
        <f t="shared" si="101"/>
        <v/>
      </c>
      <c r="DT42" s="443" t="str">
        <f t="shared" si="102"/>
        <v/>
      </c>
      <c r="DU42" s="443" t="str">
        <f t="shared" si="103"/>
        <v/>
      </c>
      <c r="DV42" s="443" t="str">
        <f t="shared" si="104"/>
        <v/>
      </c>
      <c r="DW42" s="443" t="str">
        <f t="shared" si="105"/>
        <v/>
      </c>
      <c r="DX42" s="443" t="str">
        <f t="shared" si="106"/>
        <v/>
      </c>
      <c r="DY42" s="443" t="str">
        <f t="shared" si="107"/>
        <v/>
      </c>
      <c r="DZ42" s="443" t="str">
        <f t="shared" si="108"/>
        <v/>
      </c>
      <c r="EA42" s="443" t="str">
        <f t="shared" si="109"/>
        <v/>
      </c>
      <c r="EB42" s="443" t="str">
        <f t="shared" si="110"/>
        <v/>
      </c>
      <c r="EC42" s="443" t="str">
        <f t="shared" si="111"/>
        <v/>
      </c>
      <c r="ED42" s="443" t="str">
        <f t="shared" si="112"/>
        <v/>
      </c>
      <c r="EE42" s="443" t="str">
        <f t="shared" si="113"/>
        <v/>
      </c>
      <c r="EF42" s="443" t="str">
        <f t="shared" si="114"/>
        <v/>
      </c>
      <c r="EG42" s="443" t="str">
        <f t="shared" si="115"/>
        <v/>
      </c>
      <c r="EH42" s="443" t="str">
        <f t="shared" si="116"/>
        <v/>
      </c>
      <c r="EI42" s="443" t="str">
        <f t="shared" si="117"/>
        <v/>
      </c>
      <c r="EJ42" s="443" t="str">
        <f t="shared" si="118"/>
        <v/>
      </c>
      <c r="EK42" s="443" t="str">
        <f t="shared" si="119"/>
        <v/>
      </c>
      <c r="EL42" s="443" t="str">
        <f t="shared" si="120"/>
        <v/>
      </c>
      <c r="EM42" s="443" t="str">
        <f t="shared" si="121"/>
        <v/>
      </c>
      <c r="EN42" s="443" t="str">
        <f t="shared" si="122"/>
        <v/>
      </c>
      <c r="EO42" s="443" t="str">
        <f t="shared" si="123"/>
        <v/>
      </c>
      <c r="EP42" s="443" t="str">
        <f t="shared" si="124"/>
        <v/>
      </c>
      <c r="EQ42" s="443" t="str">
        <f t="shared" si="125"/>
        <v/>
      </c>
      <c r="ER42" s="443" t="str">
        <f t="shared" si="126"/>
        <v/>
      </c>
      <c r="ES42" s="443" t="str">
        <f t="shared" si="127"/>
        <v/>
      </c>
      <c r="ET42" s="443" t="str">
        <f t="shared" si="128"/>
        <v/>
      </c>
      <c r="EU42" s="443" t="str">
        <f t="shared" si="129"/>
        <v/>
      </c>
      <c r="EV42" s="443" t="str">
        <f t="shared" si="130"/>
        <v/>
      </c>
      <c r="EW42" s="443" t="str">
        <f t="shared" si="131"/>
        <v/>
      </c>
      <c r="EX42" s="443" t="str">
        <f t="shared" si="132"/>
        <v/>
      </c>
      <c r="EY42" s="443" t="str">
        <f t="shared" si="133"/>
        <v/>
      </c>
      <c r="EZ42" s="443" t="str">
        <f t="shared" si="134"/>
        <v/>
      </c>
      <c r="FA42" s="443" t="str">
        <f t="shared" si="135"/>
        <v/>
      </c>
      <c r="FB42" s="443" t="str">
        <f t="shared" si="136"/>
        <v/>
      </c>
      <c r="FC42" s="443" t="str">
        <f t="shared" si="137"/>
        <v/>
      </c>
      <c r="FD42" s="443" t="str">
        <f t="shared" si="138"/>
        <v/>
      </c>
      <c r="FE42" s="443" t="str">
        <f t="shared" si="139"/>
        <v/>
      </c>
      <c r="FF42" s="443" t="str">
        <f t="shared" si="140"/>
        <v/>
      </c>
      <c r="FG42" s="443" t="str">
        <f t="shared" si="141"/>
        <v/>
      </c>
      <c r="FH42" s="443" t="str">
        <f t="shared" si="142"/>
        <v/>
      </c>
      <c r="FI42" s="443" t="str">
        <f t="shared" si="143"/>
        <v/>
      </c>
      <c r="FJ42" s="443" t="str">
        <f t="shared" si="144"/>
        <v/>
      </c>
      <c r="FK42" s="443" t="str">
        <f t="shared" si="145"/>
        <v/>
      </c>
      <c r="FL42" s="443" t="str">
        <f t="shared" si="146"/>
        <v/>
      </c>
      <c r="FM42" s="443" t="str">
        <f t="shared" si="147"/>
        <v/>
      </c>
      <c r="FN42" s="443" t="str">
        <f t="shared" si="148"/>
        <v/>
      </c>
      <c r="FO42" s="443" t="str">
        <f t="shared" si="149"/>
        <v/>
      </c>
      <c r="FP42" s="443" t="str">
        <f t="shared" si="150"/>
        <v/>
      </c>
      <c r="FQ42" s="443" t="str">
        <f t="shared" si="151"/>
        <v/>
      </c>
      <c r="FR42" s="443" t="str">
        <f t="shared" si="152"/>
        <v/>
      </c>
      <c r="FS42" s="443" t="str">
        <f t="shared" si="153"/>
        <v/>
      </c>
      <c r="FT42" s="443" t="str">
        <f t="shared" si="154"/>
        <v/>
      </c>
      <c r="FU42" s="443" t="str">
        <f t="shared" si="155"/>
        <v/>
      </c>
      <c r="FV42" s="443" t="str">
        <f t="shared" si="156"/>
        <v/>
      </c>
      <c r="FW42" s="443" t="str">
        <f t="shared" si="157"/>
        <v/>
      </c>
      <c r="FX42" s="443" t="str">
        <f t="shared" si="158"/>
        <v/>
      </c>
      <c r="FY42" s="443" t="str">
        <f t="shared" si="159"/>
        <v/>
      </c>
      <c r="FZ42" s="443" t="str">
        <f t="shared" si="160"/>
        <v/>
      </c>
      <c r="GA42" s="443" t="str">
        <f t="shared" si="161"/>
        <v/>
      </c>
      <c r="GB42" s="443" t="str">
        <f t="shared" si="162"/>
        <v/>
      </c>
      <c r="GC42" s="443" t="str">
        <f t="shared" si="163"/>
        <v/>
      </c>
      <c r="GD42" s="443" t="str">
        <f t="shared" si="164"/>
        <v/>
      </c>
      <c r="GE42" s="443" t="str">
        <f t="shared" si="165"/>
        <v/>
      </c>
      <c r="GF42" s="443" t="str">
        <f t="shared" si="166"/>
        <v/>
      </c>
      <c r="GG42" s="443" t="str">
        <f t="shared" si="167"/>
        <v/>
      </c>
      <c r="GH42" s="443" t="str">
        <f t="shared" si="168"/>
        <v/>
      </c>
      <c r="GI42" s="443" t="str">
        <f t="shared" si="169"/>
        <v/>
      </c>
      <c r="GJ42" s="443" t="str">
        <f t="shared" si="170"/>
        <v/>
      </c>
      <c r="GK42" s="443" t="str">
        <f t="shared" si="171"/>
        <v/>
      </c>
      <c r="GL42" s="443" t="str">
        <f t="shared" si="172"/>
        <v/>
      </c>
      <c r="GM42" s="443" t="str">
        <f t="shared" si="173"/>
        <v/>
      </c>
      <c r="GN42" s="443" t="str">
        <f t="shared" si="174"/>
        <v/>
      </c>
      <c r="GO42" s="443" t="str">
        <f t="shared" si="175"/>
        <v/>
      </c>
      <c r="GP42" s="443" t="str">
        <f t="shared" si="176"/>
        <v/>
      </c>
      <c r="GQ42" s="443" t="str">
        <f t="shared" si="177"/>
        <v/>
      </c>
      <c r="GR42" s="443" t="str">
        <f t="shared" si="178"/>
        <v/>
      </c>
      <c r="GS42" s="443" t="str">
        <f t="shared" si="179"/>
        <v/>
      </c>
      <c r="GT42" s="443" t="str">
        <f t="shared" si="180"/>
        <v/>
      </c>
      <c r="GU42" s="443" t="str">
        <f t="shared" si="181"/>
        <v/>
      </c>
      <c r="GV42" s="443" t="str">
        <f t="shared" si="182"/>
        <v/>
      </c>
      <c r="GW42" s="443" t="str">
        <f t="shared" si="183"/>
        <v/>
      </c>
      <c r="GX42" s="443" t="str">
        <f t="shared" si="184"/>
        <v/>
      </c>
      <c r="GY42" s="443" t="str">
        <f t="shared" si="185"/>
        <v/>
      </c>
      <c r="GZ42" s="443" t="str">
        <f t="shared" si="186"/>
        <v/>
      </c>
      <c r="HA42" s="443" t="str">
        <f t="shared" si="187"/>
        <v/>
      </c>
      <c r="HB42" s="443" t="str">
        <f t="shared" si="188"/>
        <v/>
      </c>
      <c r="HC42" s="443" t="str">
        <f t="shared" si="189"/>
        <v/>
      </c>
      <c r="HD42" s="443" t="str">
        <f t="shared" si="190"/>
        <v/>
      </c>
      <c r="HE42" s="443" t="str">
        <f t="shared" si="191"/>
        <v/>
      </c>
      <c r="HF42" s="443" t="str">
        <f t="shared" si="192"/>
        <v/>
      </c>
      <c r="HG42" s="443" t="str">
        <f t="shared" si="193"/>
        <v/>
      </c>
      <c r="HH42" s="443" t="str">
        <f t="shared" si="194"/>
        <v/>
      </c>
      <c r="HI42" s="443" t="str">
        <f t="shared" si="195"/>
        <v/>
      </c>
      <c r="HJ42" s="443" t="str">
        <f t="shared" si="196"/>
        <v/>
      </c>
      <c r="HK42" s="443" t="str">
        <f t="shared" si="197"/>
        <v/>
      </c>
      <c r="HL42" s="443" t="str">
        <f t="shared" si="198"/>
        <v/>
      </c>
      <c r="HM42" s="443" t="str">
        <f t="shared" si="199"/>
        <v/>
      </c>
      <c r="HN42" s="443" t="str">
        <f t="shared" si="200"/>
        <v/>
      </c>
      <c r="HO42" s="443" t="str">
        <f t="shared" si="201"/>
        <v/>
      </c>
      <c r="HP42" s="443" t="str">
        <f t="shared" si="202"/>
        <v/>
      </c>
      <c r="HQ42" s="443" t="str">
        <f t="shared" si="203"/>
        <v/>
      </c>
      <c r="HR42" s="443" t="str">
        <f t="shared" si="204"/>
        <v/>
      </c>
      <c r="HS42" s="443" t="str">
        <f t="shared" si="205"/>
        <v/>
      </c>
      <c r="HT42" s="443" t="str">
        <f t="shared" si="206"/>
        <v/>
      </c>
      <c r="HU42" s="443" t="str">
        <f t="shared" si="207"/>
        <v/>
      </c>
      <c r="HV42" s="443" t="str">
        <f t="shared" si="208"/>
        <v/>
      </c>
      <c r="HW42" s="443" t="str">
        <f t="shared" si="209"/>
        <v/>
      </c>
      <c r="HX42" s="443" t="str">
        <f t="shared" si="210"/>
        <v/>
      </c>
      <c r="HY42" s="443" t="str">
        <f t="shared" si="211"/>
        <v/>
      </c>
      <c r="HZ42" s="2247" t="str">
        <f t="shared" si="212"/>
        <v/>
      </c>
      <c r="IA42" s="2247" t="str">
        <f t="shared" si="213"/>
        <v/>
      </c>
      <c r="IB42" s="2247" t="str">
        <f t="shared" si="214"/>
        <v/>
      </c>
      <c r="IC42" s="2247" t="str">
        <f t="shared" si="215"/>
        <v/>
      </c>
      <c r="ID42" s="2247" t="str">
        <f t="shared" si="216"/>
        <v/>
      </c>
      <c r="IE42" s="2247" t="str">
        <f t="shared" si="217"/>
        <v/>
      </c>
      <c r="IF42" s="2247" t="str">
        <f t="shared" si="218"/>
        <v/>
      </c>
      <c r="IG42" s="2247" t="str">
        <f t="shared" si="219"/>
        <v/>
      </c>
      <c r="IH42" s="2247" t="str">
        <f t="shared" si="220"/>
        <v/>
      </c>
      <c r="II42" s="2247" t="str">
        <f t="shared" si="221"/>
        <v/>
      </c>
      <c r="IJ42" s="2247" t="str">
        <f t="shared" si="222"/>
        <v/>
      </c>
      <c r="IK42" s="2247" t="str">
        <f t="shared" si="223"/>
        <v/>
      </c>
      <c r="IL42" s="2247" t="str">
        <f t="shared" si="224"/>
        <v/>
      </c>
      <c r="IM42" s="2247" t="str">
        <f t="shared" si="225"/>
        <v/>
      </c>
      <c r="IN42" s="2247" t="str">
        <f t="shared" si="226"/>
        <v/>
      </c>
      <c r="IO42" s="2247" t="str">
        <f t="shared" si="227"/>
        <v/>
      </c>
      <c r="IP42" s="2247" t="str">
        <f t="shared" si="228"/>
        <v/>
      </c>
      <c r="IQ42" s="2247" t="str">
        <f t="shared" si="229"/>
        <v/>
      </c>
      <c r="IR42" s="2247" t="str">
        <f t="shared" si="230"/>
        <v/>
      </c>
      <c r="IS42" s="2247" t="str">
        <f t="shared" si="231"/>
        <v/>
      </c>
      <c r="IT42" s="2247" t="str">
        <f t="shared" si="232"/>
        <v/>
      </c>
      <c r="IU42" s="2247" t="str">
        <f t="shared" si="233"/>
        <v/>
      </c>
      <c r="IV42" s="2247" t="str">
        <f t="shared" si="234"/>
        <v/>
      </c>
      <c r="IW42" s="2247" t="str">
        <f t="shared" si="235"/>
        <v/>
      </c>
      <c r="IX42" s="2247" t="str">
        <f t="shared" si="236"/>
        <v/>
      </c>
      <c r="IY42" s="2247" t="str">
        <f t="shared" si="237"/>
        <v/>
      </c>
      <c r="IZ42" s="2247" t="str">
        <f t="shared" si="238"/>
        <v/>
      </c>
      <c r="JA42" s="2247" t="str">
        <f t="shared" si="239"/>
        <v/>
      </c>
      <c r="JB42" s="2247" t="str">
        <f t="shared" si="240"/>
        <v/>
      </c>
      <c r="JC42" s="2247" t="str">
        <f t="shared" si="241"/>
        <v/>
      </c>
      <c r="JD42" s="2247" t="str">
        <f t="shared" si="242"/>
        <v/>
      </c>
      <c r="JE42" s="2247" t="str">
        <f t="shared" si="243"/>
        <v/>
      </c>
      <c r="JF42" s="2247" t="str">
        <f t="shared" si="244"/>
        <v/>
      </c>
      <c r="JG42" s="2247" t="str">
        <f t="shared" si="245"/>
        <v/>
      </c>
      <c r="JH42" s="2247" t="str">
        <f t="shared" si="246"/>
        <v/>
      </c>
      <c r="JI42" s="2247" t="str">
        <f t="shared" si="247"/>
        <v/>
      </c>
      <c r="JJ42" s="2247" t="str">
        <f t="shared" si="248"/>
        <v/>
      </c>
      <c r="JK42" s="2247" t="str">
        <f t="shared" si="249"/>
        <v/>
      </c>
      <c r="JL42" s="2247" t="str">
        <f t="shared" si="250"/>
        <v/>
      </c>
      <c r="JM42" s="2247" t="str">
        <f t="shared" si="251"/>
        <v/>
      </c>
      <c r="JN42" s="2247" t="str">
        <f t="shared" si="252"/>
        <v/>
      </c>
      <c r="JO42" s="2247" t="str">
        <f t="shared" si="253"/>
        <v/>
      </c>
      <c r="JP42" s="2247" t="str">
        <f t="shared" si="254"/>
        <v/>
      </c>
      <c r="JQ42" s="2247" t="str">
        <f t="shared" si="255"/>
        <v/>
      </c>
      <c r="JR42" s="2247" t="str">
        <f t="shared" si="256"/>
        <v/>
      </c>
      <c r="JS42" s="2247" t="str">
        <f t="shared" si="257"/>
        <v/>
      </c>
      <c r="JT42" s="2247" t="str">
        <f t="shared" si="258"/>
        <v/>
      </c>
      <c r="JU42" s="2247" t="str">
        <f t="shared" si="259"/>
        <v/>
      </c>
      <c r="JV42" s="2247" t="str">
        <f t="shared" si="260"/>
        <v/>
      </c>
      <c r="JW42" s="2247" t="str">
        <f t="shared" si="261"/>
        <v/>
      </c>
      <c r="JX42" s="2247" t="str">
        <f t="shared" si="262"/>
        <v/>
      </c>
      <c r="JY42" s="2247" t="str">
        <f t="shared" si="263"/>
        <v/>
      </c>
      <c r="JZ42" s="2247" t="str">
        <f t="shared" si="264"/>
        <v/>
      </c>
      <c r="KA42" s="2247" t="str">
        <f t="shared" si="265"/>
        <v/>
      </c>
      <c r="KB42" s="2247" t="str">
        <f t="shared" si="266"/>
        <v/>
      </c>
      <c r="KC42" s="2247" t="str">
        <f t="shared" si="267"/>
        <v/>
      </c>
      <c r="KD42" s="2247" t="str">
        <f t="shared" si="268"/>
        <v/>
      </c>
      <c r="KE42" s="2247" t="str">
        <f t="shared" si="269"/>
        <v/>
      </c>
      <c r="KF42" s="2247" t="str">
        <f t="shared" si="270"/>
        <v/>
      </c>
      <c r="KG42" s="2247" t="str">
        <f t="shared" si="271"/>
        <v/>
      </c>
      <c r="KH42" s="2247" t="str">
        <f t="shared" si="272"/>
        <v/>
      </c>
      <c r="KI42" s="2247" t="str">
        <f t="shared" si="273"/>
        <v/>
      </c>
      <c r="KJ42" s="2247" t="str">
        <f t="shared" si="274"/>
        <v/>
      </c>
      <c r="KK42" s="2247" t="str">
        <f t="shared" si="275"/>
        <v/>
      </c>
      <c r="KL42" s="2247" t="str">
        <f t="shared" si="276"/>
        <v/>
      </c>
      <c r="KM42" s="2247" t="str">
        <f t="shared" si="277"/>
        <v/>
      </c>
      <c r="KN42" s="2247" t="str">
        <f t="shared" si="278"/>
        <v/>
      </c>
      <c r="KO42" s="2247" t="str">
        <f t="shared" si="279"/>
        <v/>
      </c>
      <c r="KP42" s="2247" t="str">
        <f t="shared" si="280"/>
        <v/>
      </c>
      <c r="KQ42" s="2247" t="str">
        <f t="shared" si="281"/>
        <v/>
      </c>
      <c r="KR42" s="2247" t="str">
        <f t="shared" si="282"/>
        <v/>
      </c>
      <c r="KS42" s="2247" t="str">
        <f t="shared" si="283"/>
        <v/>
      </c>
      <c r="KT42" s="2247" t="str">
        <f t="shared" si="284"/>
        <v/>
      </c>
      <c r="KU42" s="2247" t="str">
        <f t="shared" si="285"/>
        <v/>
      </c>
      <c r="KV42" s="2247" t="str">
        <f t="shared" si="286"/>
        <v/>
      </c>
      <c r="KW42" s="2247" t="str">
        <f t="shared" si="287"/>
        <v/>
      </c>
      <c r="KX42" s="2247" t="str">
        <f t="shared" si="288"/>
        <v/>
      </c>
      <c r="KY42" s="2247" t="str">
        <f t="shared" si="289"/>
        <v/>
      </c>
      <c r="KZ42" s="2247" t="str">
        <f t="shared" si="290"/>
        <v/>
      </c>
      <c r="LA42" s="2247" t="str">
        <f t="shared" si="291"/>
        <v/>
      </c>
      <c r="LB42" s="2247" t="str">
        <f t="shared" si="292"/>
        <v/>
      </c>
      <c r="LC42" s="2247" t="str">
        <f t="shared" si="293"/>
        <v/>
      </c>
      <c r="LD42" s="2247" t="str">
        <f t="shared" si="294"/>
        <v/>
      </c>
      <c r="LE42" s="2247" t="str">
        <f t="shared" si="295"/>
        <v/>
      </c>
      <c r="LF42" s="2247" t="str">
        <f t="shared" si="296"/>
        <v/>
      </c>
      <c r="LG42" s="2247" t="str">
        <f t="shared" si="297"/>
        <v/>
      </c>
      <c r="LH42" s="2247" t="str">
        <f t="shared" si="298"/>
        <v/>
      </c>
      <c r="LI42" s="2247" t="str">
        <f t="shared" si="299"/>
        <v/>
      </c>
      <c r="LJ42" s="2247" t="str">
        <f t="shared" si="300"/>
        <v/>
      </c>
      <c r="LK42" s="2247" t="str">
        <f t="shared" si="301"/>
        <v/>
      </c>
      <c r="LL42" s="2247" t="str">
        <f t="shared" si="302"/>
        <v/>
      </c>
      <c r="LM42" s="2247" t="str">
        <f t="shared" si="303"/>
        <v/>
      </c>
      <c r="LN42" s="2247" t="str">
        <f t="shared" si="304"/>
        <v/>
      </c>
      <c r="LO42" s="2247" t="str">
        <f t="shared" si="305"/>
        <v/>
      </c>
      <c r="LP42" s="2247" t="str">
        <f t="shared" si="306"/>
        <v/>
      </c>
      <c r="LQ42" s="2248" t="str">
        <f t="shared" si="307"/>
        <v/>
      </c>
      <c r="LR42" s="2248" t="str">
        <f t="shared" si="308"/>
        <v/>
      </c>
      <c r="LS42" s="2248" t="str">
        <f t="shared" si="309"/>
        <v/>
      </c>
      <c r="LT42" s="2248" t="str">
        <f t="shared" si="310"/>
        <v/>
      </c>
      <c r="LU42" s="2248" t="str">
        <f t="shared" si="311"/>
        <v/>
      </c>
      <c r="LV42" s="443" t="str">
        <f t="shared" si="312"/>
        <v/>
      </c>
      <c r="LW42" s="443" t="str">
        <f t="shared" si="313"/>
        <v/>
      </c>
      <c r="LX42" s="443" t="str">
        <f t="shared" si="314"/>
        <v/>
      </c>
      <c r="LY42" s="443" t="str">
        <f t="shared" si="315"/>
        <v/>
      </c>
      <c r="LZ42" s="443" t="str">
        <f t="shared" si="316"/>
        <v/>
      </c>
      <c r="MA42" s="443" t="str">
        <f t="shared" si="317"/>
        <v/>
      </c>
      <c r="MB42" s="443" t="str">
        <f t="shared" si="318"/>
        <v/>
      </c>
      <c r="MC42" s="443" t="str">
        <f t="shared" si="319"/>
        <v/>
      </c>
      <c r="MD42" s="443" t="str">
        <f t="shared" si="320"/>
        <v/>
      </c>
      <c r="ME42" s="443" t="str">
        <f t="shared" si="321"/>
        <v/>
      </c>
      <c r="MF42" s="443" t="str">
        <f t="shared" si="322"/>
        <v/>
      </c>
      <c r="MG42" s="443" t="str">
        <f t="shared" si="323"/>
        <v/>
      </c>
      <c r="MH42" s="443" t="str">
        <f t="shared" si="324"/>
        <v/>
      </c>
      <c r="MI42" s="443" t="str">
        <f t="shared" si="325"/>
        <v/>
      </c>
      <c r="MJ42" s="443" t="str">
        <f t="shared" si="326"/>
        <v/>
      </c>
      <c r="MK42" s="443" t="str">
        <f t="shared" si="327"/>
        <v/>
      </c>
      <c r="ML42" s="443" t="str">
        <f t="shared" si="328"/>
        <v/>
      </c>
      <c r="MM42" s="443" t="str">
        <f t="shared" si="329"/>
        <v/>
      </c>
      <c r="MN42" s="443" t="str">
        <f t="shared" si="330"/>
        <v/>
      </c>
      <c r="MO42" s="443" t="str">
        <f t="shared" si="331"/>
        <v/>
      </c>
      <c r="MP42" s="2246">
        <f t="shared" si="338"/>
        <v>0</v>
      </c>
      <c r="MQ42" s="2246">
        <f t="shared" si="339"/>
        <v>0</v>
      </c>
      <c r="MR42" s="2246">
        <f t="shared" si="340"/>
        <v>0</v>
      </c>
      <c r="MS42" s="2246">
        <f t="shared" si="341"/>
        <v>0</v>
      </c>
      <c r="MT42" s="2246">
        <f t="shared" si="342"/>
        <v>0</v>
      </c>
      <c r="MU42" s="2246">
        <f t="shared" si="343"/>
        <v>0</v>
      </c>
      <c r="MV42" s="2246">
        <f t="shared" si="344"/>
        <v>0</v>
      </c>
      <c r="MW42" s="2246">
        <f t="shared" si="345"/>
        <v>0</v>
      </c>
      <c r="MX42" s="2246">
        <f t="shared" si="346"/>
        <v>0</v>
      </c>
      <c r="MY42" s="2246">
        <f t="shared" si="347"/>
        <v>0</v>
      </c>
      <c r="MZ42" s="2246">
        <f t="shared" si="332"/>
        <v>0</v>
      </c>
      <c r="NA42" s="2246">
        <f t="shared" si="333"/>
        <v>0</v>
      </c>
      <c r="NB42" s="2246">
        <f t="shared" si="334"/>
        <v>0</v>
      </c>
      <c r="NC42" s="2246">
        <f t="shared" si="335"/>
        <v>0</v>
      </c>
      <c r="ND42" s="2246">
        <f t="shared" si="336"/>
        <v>0</v>
      </c>
    </row>
    <row r="43" spans="1:369" ht="13.95" customHeight="1">
      <c r="A43" s="109" t="str">
        <f t="shared" si="337"/>
        <v/>
      </c>
      <c r="B43" s="4015"/>
      <c r="C43" s="3987"/>
      <c r="D43" s="3988"/>
      <c r="E43" s="3989"/>
      <c r="F43" s="3989"/>
      <c r="G43" s="3989"/>
      <c r="H43" s="3989"/>
      <c r="I43" s="3989"/>
      <c r="J43" s="4016">
        <f>IF(C43="",0,HLOOKUP(C43,'Part V-Utility Allowances'!$I$11:$M$22,12))</f>
        <v>0</v>
      </c>
      <c r="K43" s="3991"/>
      <c r="L43" s="567">
        <f t="shared" si="0"/>
        <v>0</v>
      </c>
      <c r="M43" s="567">
        <f t="shared" si="1"/>
        <v>0</v>
      </c>
      <c r="N43" s="3992"/>
      <c r="O43" s="3992"/>
      <c r="P43" s="3992"/>
      <c r="Q43" s="3993"/>
      <c r="R43" s="3994"/>
      <c r="S43" s="3995"/>
      <c r="T43" s="3996"/>
      <c r="U43" s="3997"/>
      <c r="V43" s="3997"/>
      <c r="W43" s="3998"/>
      <c r="X43" s="443" t="str">
        <f t="shared" si="2"/>
        <v/>
      </c>
      <c r="Y43" s="443" t="str">
        <f t="shared" si="3"/>
        <v/>
      </c>
      <c r="Z43" s="443" t="str">
        <f t="shared" si="4"/>
        <v/>
      </c>
      <c r="AA43" s="443" t="str">
        <f t="shared" si="5"/>
        <v/>
      </c>
      <c r="AB43" s="443" t="str">
        <f t="shared" si="6"/>
        <v/>
      </c>
      <c r="AC43" s="443" t="str">
        <f t="shared" si="7"/>
        <v/>
      </c>
      <c r="AD43" s="443" t="str">
        <f t="shared" si="8"/>
        <v/>
      </c>
      <c r="AE43" s="443" t="str">
        <f t="shared" si="9"/>
        <v/>
      </c>
      <c r="AF43" s="443" t="str">
        <f t="shared" si="10"/>
        <v/>
      </c>
      <c r="AG43" s="443" t="str">
        <f t="shared" si="11"/>
        <v/>
      </c>
      <c r="AH43" s="443" t="str">
        <f t="shared" si="12"/>
        <v/>
      </c>
      <c r="AI43" s="443" t="str">
        <f t="shared" si="13"/>
        <v/>
      </c>
      <c r="AJ43" s="443" t="str">
        <f t="shared" si="14"/>
        <v/>
      </c>
      <c r="AK43" s="443" t="str">
        <f t="shared" si="15"/>
        <v/>
      </c>
      <c r="AL43" s="443" t="str">
        <f t="shared" si="16"/>
        <v/>
      </c>
      <c r="AM43" s="443" t="str">
        <f t="shared" si="17"/>
        <v/>
      </c>
      <c r="AN43" s="443" t="str">
        <f t="shared" si="18"/>
        <v/>
      </c>
      <c r="AO43" s="443" t="str">
        <f t="shared" si="19"/>
        <v/>
      </c>
      <c r="AP43" s="443" t="str">
        <f t="shared" si="20"/>
        <v/>
      </c>
      <c r="AQ43" s="443" t="str">
        <f t="shared" si="21"/>
        <v/>
      </c>
      <c r="AR43" s="443" t="str">
        <f t="shared" si="22"/>
        <v/>
      </c>
      <c r="AS43" s="443" t="str">
        <f t="shared" si="23"/>
        <v/>
      </c>
      <c r="AT43" s="443" t="str">
        <f t="shared" si="24"/>
        <v/>
      </c>
      <c r="AU43" s="443" t="str">
        <f t="shared" si="25"/>
        <v/>
      </c>
      <c r="AV43" s="443" t="str">
        <f t="shared" si="26"/>
        <v/>
      </c>
      <c r="AW43" s="443" t="str">
        <f t="shared" si="27"/>
        <v/>
      </c>
      <c r="AX43" s="443" t="str">
        <f t="shared" si="28"/>
        <v/>
      </c>
      <c r="AY43" s="443" t="str">
        <f t="shared" si="29"/>
        <v/>
      </c>
      <c r="AZ43" s="443" t="str">
        <f t="shared" si="30"/>
        <v/>
      </c>
      <c r="BA43" s="443" t="str">
        <f t="shared" si="31"/>
        <v/>
      </c>
      <c r="BB43" s="443" t="str">
        <f t="shared" si="32"/>
        <v/>
      </c>
      <c r="BC43" s="443" t="str">
        <f t="shared" si="33"/>
        <v/>
      </c>
      <c r="BD43" s="443" t="str">
        <f t="shared" si="34"/>
        <v/>
      </c>
      <c r="BE43" s="443" t="str">
        <f t="shared" si="35"/>
        <v/>
      </c>
      <c r="BF43" s="443" t="str">
        <f t="shared" si="36"/>
        <v/>
      </c>
      <c r="BG43" s="443" t="str">
        <f t="shared" si="37"/>
        <v/>
      </c>
      <c r="BH43" s="443" t="str">
        <f t="shared" si="38"/>
        <v/>
      </c>
      <c r="BI43" s="443" t="str">
        <f t="shared" si="39"/>
        <v/>
      </c>
      <c r="BJ43" s="443" t="str">
        <f t="shared" si="40"/>
        <v/>
      </c>
      <c r="BK43" s="443" t="str">
        <f t="shared" si="41"/>
        <v/>
      </c>
      <c r="BL43" s="443" t="str">
        <f t="shared" si="42"/>
        <v/>
      </c>
      <c r="BM43" s="443" t="str">
        <f t="shared" si="43"/>
        <v/>
      </c>
      <c r="BN43" s="443" t="str">
        <f t="shared" si="44"/>
        <v/>
      </c>
      <c r="BO43" s="443" t="str">
        <f t="shared" si="45"/>
        <v/>
      </c>
      <c r="BP43" s="443" t="str">
        <f t="shared" si="46"/>
        <v/>
      </c>
      <c r="BQ43" s="443" t="str">
        <f t="shared" si="47"/>
        <v/>
      </c>
      <c r="BR43" s="443" t="str">
        <f t="shared" si="48"/>
        <v/>
      </c>
      <c r="BS43" s="443" t="str">
        <f t="shared" si="49"/>
        <v/>
      </c>
      <c r="BT43" s="443" t="str">
        <f t="shared" si="50"/>
        <v/>
      </c>
      <c r="BU43" s="443" t="str">
        <f t="shared" si="51"/>
        <v/>
      </c>
      <c r="BV43" s="443" t="str">
        <f t="shared" si="52"/>
        <v/>
      </c>
      <c r="BW43" s="443" t="str">
        <f t="shared" si="53"/>
        <v/>
      </c>
      <c r="BX43" s="443" t="str">
        <f t="shared" si="54"/>
        <v/>
      </c>
      <c r="BY43" s="443" t="str">
        <f t="shared" si="55"/>
        <v/>
      </c>
      <c r="BZ43" s="443" t="str">
        <f t="shared" si="56"/>
        <v/>
      </c>
      <c r="CA43" s="443" t="str">
        <f t="shared" si="57"/>
        <v/>
      </c>
      <c r="CB43" s="443" t="str">
        <f t="shared" si="58"/>
        <v/>
      </c>
      <c r="CC43" s="443" t="str">
        <f t="shared" si="59"/>
        <v/>
      </c>
      <c r="CD43" s="443" t="str">
        <f t="shared" si="60"/>
        <v/>
      </c>
      <c r="CE43" s="443" t="str">
        <f t="shared" si="61"/>
        <v/>
      </c>
      <c r="CF43" s="443" t="str">
        <f t="shared" si="62"/>
        <v/>
      </c>
      <c r="CG43" s="443" t="str">
        <f t="shared" si="63"/>
        <v/>
      </c>
      <c r="CH43" s="443" t="str">
        <f t="shared" si="64"/>
        <v/>
      </c>
      <c r="CI43" s="443" t="str">
        <f t="shared" si="65"/>
        <v/>
      </c>
      <c r="CJ43" s="443" t="str">
        <f t="shared" si="66"/>
        <v/>
      </c>
      <c r="CK43" s="443" t="str">
        <f t="shared" si="67"/>
        <v/>
      </c>
      <c r="CL43" s="443" t="str">
        <f t="shared" si="68"/>
        <v/>
      </c>
      <c r="CM43" s="443" t="str">
        <f t="shared" si="69"/>
        <v/>
      </c>
      <c r="CN43" s="443" t="str">
        <f t="shared" si="70"/>
        <v/>
      </c>
      <c r="CO43" s="443" t="str">
        <f t="shared" si="71"/>
        <v/>
      </c>
      <c r="CP43" s="443" t="str">
        <f t="shared" si="72"/>
        <v/>
      </c>
      <c r="CQ43" s="443" t="str">
        <f t="shared" si="73"/>
        <v/>
      </c>
      <c r="CR43" s="443" t="str">
        <f t="shared" si="74"/>
        <v/>
      </c>
      <c r="CS43" s="443" t="str">
        <f t="shared" si="75"/>
        <v/>
      </c>
      <c r="CT43" s="443" t="str">
        <f t="shared" si="76"/>
        <v/>
      </c>
      <c r="CU43" s="443" t="str">
        <f t="shared" si="77"/>
        <v/>
      </c>
      <c r="CV43" s="443" t="str">
        <f t="shared" si="78"/>
        <v/>
      </c>
      <c r="CW43" s="443" t="str">
        <f t="shared" si="79"/>
        <v/>
      </c>
      <c r="CX43" s="443" t="str">
        <f t="shared" si="80"/>
        <v/>
      </c>
      <c r="CY43" s="443" t="str">
        <f t="shared" si="81"/>
        <v/>
      </c>
      <c r="CZ43" s="443" t="str">
        <f t="shared" si="82"/>
        <v/>
      </c>
      <c r="DA43" s="443" t="str">
        <f t="shared" si="83"/>
        <v/>
      </c>
      <c r="DB43" s="443" t="str">
        <f t="shared" si="84"/>
        <v/>
      </c>
      <c r="DC43" s="443" t="str">
        <f t="shared" si="85"/>
        <v/>
      </c>
      <c r="DD43" s="443" t="str">
        <f t="shared" si="86"/>
        <v/>
      </c>
      <c r="DE43" s="443" t="str">
        <f t="shared" si="87"/>
        <v/>
      </c>
      <c r="DF43" s="443" t="str">
        <f t="shared" si="88"/>
        <v/>
      </c>
      <c r="DG43" s="443" t="str">
        <f t="shared" si="89"/>
        <v/>
      </c>
      <c r="DH43" s="443" t="str">
        <f t="shared" si="90"/>
        <v/>
      </c>
      <c r="DI43" s="443" t="str">
        <f t="shared" si="91"/>
        <v/>
      </c>
      <c r="DJ43" s="443" t="str">
        <f t="shared" si="92"/>
        <v/>
      </c>
      <c r="DK43" s="443" t="str">
        <f t="shared" si="93"/>
        <v/>
      </c>
      <c r="DL43" s="443" t="str">
        <f t="shared" si="94"/>
        <v/>
      </c>
      <c r="DM43" s="443" t="str">
        <f t="shared" si="95"/>
        <v/>
      </c>
      <c r="DN43" s="443" t="str">
        <f t="shared" si="96"/>
        <v/>
      </c>
      <c r="DO43" s="443" t="str">
        <f t="shared" si="97"/>
        <v/>
      </c>
      <c r="DP43" s="443" t="str">
        <f t="shared" si="98"/>
        <v/>
      </c>
      <c r="DQ43" s="443" t="str">
        <f t="shared" si="99"/>
        <v/>
      </c>
      <c r="DR43" s="443" t="str">
        <f t="shared" si="100"/>
        <v/>
      </c>
      <c r="DS43" s="443" t="str">
        <f t="shared" si="101"/>
        <v/>
      </c>
      <c r="DT43" s="443" t="str">
        <f t="shared" si="102"/>
        <v/>
      </c>
      <c r="DU43" s="443" t="str">
        <f t="shared" si="103"/>
        <v/>
      </c>
      <c r="DV43" s="443" t="str">
        <f t="shared" si="104"/>
        <v/>
      </c>
      <c r="DW43" s="443" t="str">
        <f t="shared" si="105"/>
        <v/>
      </c>
      <c r="DX43" s="443" t="str">
        <f t="shared" si="106"/>
        <v/>
      </c>
      <c r="DY43" s="443" t="str">
        <f t="shared" si="107"/>
        <v/>
      </c>
      <c r="DZ43" s="443" t="str">
        <f t="shared" si="108"/>
        <v/>
      </c>
      <c r="EA43" s="443" t="str">
        <f t="shared" si="109"/>
        <v/>
      </c>
      <c r="EB43" s="443" t="str">
        <f t="shared" si="110"/>
        <v/>
      </c>
      <c r="EC43" s="443" t="str">
        <f t="shared" si="111"/>
        <v/>
      </c>
      <c r="ED43" s="443" t="str">
        <f t="shared" si="112"/>
        <v/>
      </c>
      <c r="EE43" s="443" t="str">
        <f t="shared" si="113"/>
        <v/>
      </c>
      <c r="EF43" s="443" t="str">
        <f t="shared" si="114"/>
        <v/>
      </c>
      <c r="EG43" s="443" t="str">
        <f t="shared" si="115"/>
        <v/>
      </c>
      <c r="EH43" s="443" t="str">
        <f t="shared" si="116"/>
        <v/>
      </c>
      <c r="EI43" s="443" t="str">
        <f t="shared" si="117"/>
        <v/>
      </c>
      <c r="EJ43" s="443" t="str">
        <f t="shared" si="118"/>
        <v/>
      </c>
      <c r="EK43" s="443" t="str">
        <f t="shared" si="119"/>
        <v/>
      </c>
      <c r="EL43" s="443" t="str">
        <f t="shared" si="120"/>
        <v/>
      </c>
      <c r="EM43" s="443" t="str">
        <f t="shared" si="121"/>
        <v/>
      </c>
      <c r="EN43" s="443" t="str">
        <f t="shared" si="122"/>
        <v/>
      </c>
      <c r="EO43" s="443" t="str">
        <f t="shared" si="123"/>
        <v/>
      </c>
      <c r="EP43" s="443" t="str">
        <f t="shared" si="124"/>
        <v/>
      </c>
      <c r="EQ43" s="443" t="str">
        <f t="shared" si="125"/>
        <v/>
      </c>
      <c r="ER43" s="443" t="str">
        <f t="shared" si="126"/>
        <v/>
      </c>
      <c r="ES43" s="443" t="str">
        <f t="shared" si="127"/>
        <v/>
      </c>
      <c r="ET43" s="443" t="str">
        <f t="shared" si="128"/>
        <v/>
      </c>
      <c r="EU43" s="443" t="str">
        <f t="shared" si="129"/>
        <v/>
      </c>
      <c r="EV43" s="443" t="str">
        <f t="shared" si="130"/>
        <v/>
      </c>
      <c r="EW43" s="443" t="str">
        <f t="shared" si="131"/>
        <v/>
      </c>
      <c r="EX43" s="443" t="str">
        <f t="shared" si="132"/>
        <v/>
      </c>
      <c r="EY43" s="443" t="str">
        <f t="shared" si="133"/>
        <v/>
      </c>
      <c r="EZ43" s="443" t="str">
        <f t="shared" si="134"/>
        <v/>
      </c>
      <c r="FA43" s="443" t="str">
        <f t="shared" si="135"/>
        <v/>
      </c>
      <c r="FB43" s="443" t="str">
        <f t="shared" si="136"/>
        <v/>
      </c>
      <c r="FC43" s="443" t="str">
        <f t="shared" si="137"/>
        <v/>
      </c>
      <c r="FD43" s="443" t="str">
        <f t="shared" si="138"/>
        <v/>
      </c>
      <c r="FE43" s="443" t="str">
        <f t="shared" si="139"/>
        <v/>
      </c>
      <c r="FF43" s="443" t="str">
        <f t="shared" si="140"/>
        <v/>
      </c>
      <c r="FG43" s="443" t="str">
        <f t="shared" si="141"/>
        <v/>
      </c>
      <c r="FH43" s="443" t="str">
        <f t="shared" si="142"/>
        <v/>
      </c>
      <c r="FI43" s="443" t="str">
        <f t="shared" si="143"/>
        <v/>
      </c>
      <c r="FJ43" s="443" t="str">
        <f t="shared" si="144"/>
        <v/>
      </c>
      <c r="FK43" s="443" t="str">
        <f t="shared" si="145"/>
        <v/>
      </c>
      <c r="FL43" s="443" t="str">
        <f t="shared" si="146"/>
        <v/>
      </c>
      <c r="FM43" s="443" t="str">
        <f t="shared" si="147"/>
        <v/>
      </c>
      <c r="FN43" s="443" t="str">
        <f t="shared" si="148"/>
        <v/>
      </c>
      <c r="FO43" s="443" t="str">
        <f t="shared" si="149"/>
        <v/>
      </c>
      <c r="FP43" s="443" t="str">
        <f t="shared" si="150"/>
        <v/>
      </c>
      <c r="FQ43" s="443" t="str">
        <f t="shared" si="151"/>
        <v/>
      </c>
      <c r="FR43" s="443" t="str">
        <f t="shared" si="152"/>
        <v/>
      </c>
      <c r="FS43" s="443" t="str">
        <f t="shared" si="153"/>
        <v/>
      </c>
      <c r="FT43" s="443" t="str">
        <f t="shared" si="154"/>
        <v/>
      </c>
      <c r="FU43" s="443" t="str">
        <f t="shared" si="155"/>
        <v/>
      </c>
      <c r="FV43" s="443" t="str">
        <f t="shared" si="156"/>
        <v/>
      </c>
      <c r="FW43" s="443" t="str">
        <f t="shared" si="157"/>
        <v/>
      </c>
      <c r="FX43" s="443" t="str">
        <f t="shared" si="158"/>
        <v/>
      </c>
      <c r="FY43" s="443" t="str">
        <f t="shared" si="159"/>
        <v/>
      </c>
      <c r="FZ43" s="443" t="str">
        <f t="shared" si="160"/>
        <v/>
      </c>
      <c r="GA43" s="443" t="str">
        <f t="shared" si="161"/>
        <v/>
      </c>
      <c r="GB43" s="443" t="str">
        <f t="shared" si="162"/>
        <v/>
      </c>
      <c r="GC43" s="443" t="str">
        <f t="shared" si="163"/>
        <v/>
      </c>
      <c r="GD43" s="443" t="str">
        <f t="shared" si="164"/>
        <v/>
      </c>
      <c r="GE43" s="443" t="str">
        <f t="shared" si="165"/>
        <v/>
      </c>
      <c r="GF43" s="443" t="str">
        <f t="shared" si="166"/>
        <v/>
      </c>
      <c r="GG43" s="443" t="str">
        <f t="shared" si="167"/>
        <v/>
      </c>
      <c r="GH43" s="443" t="str">
        <f t="shared" si="168"/>
        <v/>
      </c>
      <c r="GI43" s="443" t="str">
        <f t="shared" si="169"/>
        <v/>
      </c>
      <c r="GJ43" s="443" t="str">
        <f t="shared" si="170"/>
        <v/>
      </c>
      <c r="GK43" s="443" t="str">
        <f t="shared" si="171"/>
        <v/>
      </c>
      <c r="GL43" s="443" t="str">
        <f t="shared" si="172"/>
        <v/>
      </c>
      <c r="GM43" s="443" t="str">
        <f t="shared" si="173"/>
        <v/>
      </c>
      <c r="GN43" s="443" t="str">
        <f t="shared" si="174"/>
        <v/>
      </c>
      <c r="GO43" s="443" t="str">
        <f t="shared" si="175"/>
        <v/>
      </c>
      <c r="GP43" s="443" t="str">
        <f t="shared" si="176"/>
        <v/>
      </c>
      <c r="GQ43" s="443" t="str">
        <f t="shared" si="177"/>
        <v/>
      </c>
      <c r="GR43" s="443" t="str">
        <f t="shared" si="178"/>
        <v/>
      </c>
      <c r="GS43" s="443" t="str">
        <f t="shared" si="179"/>
        <v/>
      </c>
      <c r="GT43" s="443" t="str">
        <f t="shared" si="180"/>
        <v/>
      </c>
      <c r="GU43" s="443" t="str">
        <f t="shared" si="181"/>
        <v/>
      </c>
      <c r="GV43" s="443" t="str">
        <f t="shared" si="182"/>
        <v/>
      </c>
      <c r="GW43" s="443" t="str">
        <f t="shared" si="183"/>
        <v/>
      </c>
      <c r="GX43" s="443" t="str">
        <f t="shared" si="184"/>
        <v/>
      </c>
      <c r="GY43" s="443" t="str">
        <f t="shared" si="185"/>
        <v/>
      </c>
      <c r="GZ43" s="443" t="str">
        <f t="shared" si="186"/>
        <v/>
      </c>
      <c r="HA43" s="443" t="str">
        <f t="shared" si="187"/>
        <v/>
      </c>
      <c r="HB43" s="443" t="str">
        <f t="shared" si="188"/>
        <v/>
      </c>
      <c r="HC43" s="443" t="str">
        <f t="shared" si="189"/>
        <v/>
      </c>
      <c r="HD43" s="443" t="str">
        <f t="shared" si="190"/>
        <v/>
      </c>
      <c r="HE43" s="443" t="str">
        <f t="shared" si="191"/>
        <v/>
      </c>
      <c r="HF43" s="443" t="str">
        <f t="shared" si="192"/>
        <v/>
      </c>
      <c r="HG43" s="443" t="str">
        <f t="shared" si="193"/>
        <v/>
      </c>
      <c r="HH43" s="443" t="str">
        <f t="shared" si="194"/>
        <v/>
      </c>
      <c r="HI43" s="443" t="str">
        <f t="shared" si="195"/>
        <v/>
      </c>
      <c r="HJ43" s="443" t="str">
        <f t="shared" si="196"/>
        <v/>
      </c>
      <c r="HK43" s="443" t="str">
        <f t="shared" si="197"/>
        <v/>
      </c>
      <c r="HL43" s="443" t="str">
        <f t="shared" si="198"/>
        <v/>
      </c>
      <c r="HM43" s="443" t="str">
        <f t="shared" si="199"/>
        <v/>
      </c>
      <c r="HN43" s="443" t="str">
        <f t="shared" si="200"/>
        <v/>
      </c>
      <c r="HO43" s="443" t="str">
        <f t="shared" si="201"/>
        <v/>
      </c>
      <c r="HP43" s="443" t="str">
        <f t="shared" si="202"/>
        <v/>
      </c>
      <c r="HQ43" s="443" t="str">
        <f t="shared" si="203"/>
        <v/>
      </c>
      <c r="HR43" s="443" t="str">
        <f t="shared" si="204"/>
        <v/>
      </c>
      <c r="HS43" s="443" t="str">
        <f t="shared" si="205"/>
        <v/>
      </c>
      <c r="HT43" s="443" t="str">
        <f t="shared" si="206"/>
        <v/>
      </c>
      <c r="HU43" s="443" t="str">
        <f t="shared" si="207"/>
        <v/>
      </c>
      <c r="HV43" s="443" t="str">
        <f t="shared" si="208"/>
        <v/>
      </c>
      <c r="HW43" s="443" t="str">
        <f t="shared" si="209"/>
        <v/>
      </c>
      <c r="HX43" s="443" t="str">
        <f t="shared" si="210"/>
        <v/>
      </c>
      <c r="HY43" s="443" t="str">
        <f t="shared" si="211"/>
        <v/>
      </c>
      <c r="HZ43" s="2247" t="str">
        <f t="shared" si="212"/>
        <v/>
      </c>
      <c r="IA43" s="2247" t="str">
        <f t="shared" si="213"/>
        <v/>
      </c>
      <c r="IB43" s="2247" t="str">
        <f t="shared" si="214"/>
        <v/>
      </c>
      <c r="IC43" s="2247" t="str">
        <f t="shared" si="215"/>
        <v/>
      </c>
      <c r="ID43" s="2247" t="str">
        <f t="shared" si="216"/>
        <v/>
      </c>
      <c r="IE43" s="2247" t="str">
        <f t="shared" si="217"/>
        <v/>
      </c>
      <c r="IF43" s="2247" t="str">
        <f t="shared" si="218"/>
        <v/>
      </c>
      <c r="IG43" s="2247" t="str">
        <f t="shared" si="219"/>
        <v/>
      </c>
      <c r="IH43" s="2247" t="str">
        <f t="shared" si="220"/>
        <v/>
      </c>
      <c r="II43" s="2247" t="str">
        <f t="shared" si="221"/>
        <v/>
      </c>
      <c r="IJ43" s="2247" t="str">
        <f t="shared" si="222"/>
        <v/>
      </c>
      <c r="IK43" s="2247" t="str">
        <f t="shared" si="223"/>
        <v/>
      </c>
      <c r="IL43" s="2247" t="str">
        <f t="shared" si="224"/>
        <v/>
      </c>
      <c r="IM43" s="2247" t="str">
        <f t="shared" si="225"/>
        <v/>
      </c>
      <c r="IN43" s="2247" t="str">
        <f t="shared" si="226"/>
        <v/>
      </c>
      <c r="IO43" s="2247" t="str">
        <f t="shared" si="227"/>
        <v/>
      </c>
      <c r="IP43" s="2247" t="str">
        <f t="shared" si="228"/>
        <v/>
      </c>
      <c r="IQ43" s="2247" t="str">
        <f t="shared" si="229"/>
        <v/>
      </c>
      <c r="IR43" s="2247" t="str">
        <f t="shared" si="230"/>
        <v/>
      </c>
      <c r="IS43" s="2247" t="str">
        <f t="shared" si="231"/>
        <v/>
      </c>
      <c r="IT43" s="2247" t="str">
        <f t="shared" si="232"/>
        <v/>
      </c>
      <c r="IU43" s="2247" t="str">
        <f t="shared" si="233"/>
        <v/>
      </c>
      <c r="IV43" s="2247" t="str">
        <f t="shared" si="234"/>
        <v/>
      </c>
      <c r="IW43" s="2247" t="str">
        <f t="shared" si="235"/>
        <v/>
      </c>
      <c r="IX43" s="2247" t="str">
        <f t="shared" si="236"/>
        <v/>
      </c>
      <c r="IY43" s="2247" t="str">
        <f t="shared" si="237"/>
        <v/>
      </c>
      <c r="IZ43" s="2247" t="str">
        <f t="shared" si="238"/>
        <v/>
      </c>
      <c r="JA43" s="2247" t="str">
        <f t="shared" si="239"/>
        <v/>
      </c>
      <c r="JB43" s="2247" t="str">
        <f t="shared" si="240"/>
        <v/>
      </c>
      <c r="JC43" s="2247" t="str">
        <f t="shared" si="241"/>
        <v/>
      </c>
      <c r="JD43" s="2247" t="str">
        <f t="shared" si="242"/>
        <v/>
      </c>
      <c r="JE43" s="2247" t="str">
        <f t="shared" si="243"/>
        <v/>
      </c>
      <c r="JF43" s="2247" t="str">
        <f t="shared" si="244"/>
        <v/>
      </c>
      <c r="JG43" s="2247" t="str">
        <f t="shared" si="245"/>
        <v/>
      </c>
      <c r="JH43" s="2247" t="str">
        <f t="shared" si="246"/>
        <v/>
      </c>
      <c r="JI43" s="2247" t="str">
        <f t="shared" si="247"/>
        <v/>
      </c>
      <c r="JJ43" s="2247" t="str">
        <f t="shared" si="248"/>
        <v/>
      </c>
      <c r="JK43" s="2247" t="str">
        <f t="shared" si="249"/>
        <v/>
      </c>
      <c r="JL43" s="2247" t="str">
        <f t="shared" si="250"/>
        <v/>
      </c>
      <c r="JM43" s="2247" t="str">
        <f t="shared" si="251"/>
        <v/>
      </c>
      <c r="JN43" s="2247" t="str">
        <f t="shared" si="252"/>
        <v/>
      </c>
      <c r="JO43" s="2247" t="str">
        <f t="shared" si="253"/>
        <v/>
      </c>
      <c r="JP43" s="2247" t="str">
        <f t="shared" si="254"/>
        <v/>
      </c>
      <c r="JQ43" s="2247" t="str">
        <f t="shared" si="255"/>
        <v/>
      </c>
      <c r="JR43" s="2247" t="str">
        <f t="shared" si="256"/>
        <v/>
      </c>
      <c r="JS43" s="2247" t="str">
        <f t="shared" si="257"/>
        <v/>
      </c>
      <c r="JT43" s="2247" t="str">
        <f t="shared" si="258"/>
        <v/>
      </c>
      <c r="JU43" s="2247" t="str">
        <f t="shared" si="259"/>
        <v/>
      </c>
      <c r="JV43" s="2247" t="str">
        <f t="shared" si="260"/>
        <v/>
      </c>
      <c r="JW43" s="2247" t="str">
        <f t="shared" si="261"/>
        <v/>
      </c>
      <c r="JX43" s="2247" t="str">
        <f t="shared" si="262"/>
        <v/>
      </c>
      <c r="JY43" s="2247" t="str">
        <f t="shared" si="263"/>
        <v/>
      </c>
      <c r="JZ43" s="2247" t="str">
        <f t="shared" si="264"/>
        <v/>
      </c>
      <c r="KA43" s="2247" t="str">
        <f t="shared" si="265"/>
        <v/>
      </c>
      <c r="KB43" s="2247" t="str">
        <f t="shared" si="266"/>
        <v/>
      </c>
      <c r="KC43" s="2247" t="str">
        <f t="shared" si="267"/>
        <v/>
      </c>
      <c r="KD43" s="2247" t="str">
        <f t="shared" si="268"/>
        <v/>
      </c>
      <c r="KE43" s="2247" t="str">
        <f t="shared" si="269"/>
        <v/>
      </c>
      <c r="KF43" s="2247" t="str">
        <f t="shared" si="270"/>
        <v/>
      </c>
      <c r="KG43" s="2247" t="str">
        <f t="shared" si="271"/>
        <v/>
      </c>
      <c r="KH43" s="2247" t="str">
        <f t="shared" si="272"/>
        <v/>
      </c>
      <c r="KI43" s="2247" t="str">
        <f t="shared" si="273"/>
        <v/>
      </c>
      <c r="KJ43" s="2247" t="str">
        <f t="shared" si="274"/>
        <v/>
      </c>
      <c r="KK43" s="2247" t="str">
        <f t="shared" si="275"/>
        <v/>
      </c>
      <c r="KL43" s="2247" t="str">
        <f t="shared" si="276"/>
        <v/>
      </c>
      <c r="KM43" s="2247" t="str">
        <f t="shared" si="277"/>
        <v/>
      </c>
      <c r="KN43" s="2247" t="str">
        <f t="shared" si="278"/>
        <v/>
      </c>
      <c r="KO43" s="2247" t="str">
        <f t="shared" si="279"/>
        <v/>
      </c>
      <c r="KP43" s="2247" t="str">
        <f t="shared" si="280"/>
        <v/>
      </c>
      <c r="KQ43" s="2247" t="str">
        <f t="shared" si="281"/>
        <v/>
      </c>
      <c r="KR43" s="2247" t="str">
        <f t="shared" si="282"/>
        <v/>
      </c>
      <c r="KS43" s="2247" t="str">
        <f t="shared" si="283"/>
        <v/>
      </c>
      <c r="KT43" s="2247" t="str">
        <f t="shared" si="284"/>
        <v/>
      </c>
      <c r="KU43" s="2247" t="str">
        <f t="shared" si="285"/>
        <v/>
      </c>
      <c r="KV43" s="2247" t="str">
        <f t="shared" si="286"/>
        <v/>
      </c>
      <c r="KW43" s="2247" t="str">
        <f t="shared" si="287"/>
        <v/>
      </c>
      <c r="KX43" s="2247" t="str">
        <f t="shared" si="288"/>
        <v/>
      </c>
      <c r="KY43" s="2247" t="str">
        <f t="shared" si="289"/>
        <v/>
      </c>
      <c r="KZ43" s="2247" t="str">
        <f t="shared" si="290"/>
        <v/>
      </c>
      <c r="LA43" s="2247" t="str">
        <f t="shared" si="291"/>
        <v/>
      </c>
      <c r="LB43" s="2247" t="str">
        <f t="shared" si="292"/>
        <v/>
      </c>
      <c r="LC43" s="2247" t="str">
        <f t="shared" si="293"/>
        <v/>
      </c>
      <c r="LD43" s="2247" t="str">
        <f t="shared" si="294"/>
        <v/>
      </c>
      <c r="LE43" s="2247" t="str">
        <f t="shared" si="295"/>
        <v/>
      </c>
      <c r="LF43" s="2247" t="str">
        <f t="shared" si="296"/>
        <v/>
      </c>
      <c r="LG43" s="2247" t="str">
        <f t="shared" si="297"/>
        <v/>
      </c>
      <c r="LH43" s="2247" t="str">
        <f t="shared" si="298"/>
        <v/>
      </c>
      <c r="LI43" s="2247" t="str">
        <f t="shared" si="299"/>
        <v/>
      </c>
      <c r="LJ43" s="2247" t="str">
        <f t="shared" si="300"/>
        <v/>
      </c>
      <c r="LK43" s="2247" t="str">
        <f t="shared" si="301"/>
        <v/>
      </c>
      <c r="LL43" s="2247" t="str">
        <f t="shared" si="302"/>
        <v/>
      </c>
      <c r="LM43" s="2247" t="str">
        <f t="shared" si="303"/>
        <v/>
      </c>
      <c r="LN43" s="2247" t="str">
        <f t="shared" si="304"/>
        <v/>
      </c>
      <c r="LO43" s="2247" t="str">
        <f t="shared" si="305"/>
        <v/>
      </c>
      <c r="LP43" s="2247" t="str">
        <f t="shared" si="306"/>
        <v/>
      </c>
      <c r="LQ43" s="2248" t="str">
        <f t="shared" si="307"/>
        <v/>
      </c>
      <c r="LR43" s="2248" t="str">
        <f t="shared" si="308"/>
        <v/>
      </c>
      <c r="LS43" s="2248" t="str">
        <f t="shared" si="309"/>
        <v/>
      </c>
      <c r="LT43" s="2248" t="str">
        <f t="shared" si="310"/>
        <v/>
      </c>
      <c r="LU43" s="2248" t="str">
        <f t="shared" si="311"/>
        <v/>
      </c>
      <c r="LV43" s="443" t="str">
        <f t="shared" si="312"/>
        <v/>
      </c>
      <c r="LW43" s="443" t="str">
        <f t="shared" si="313"/>
        <v/>
      </c>
      <c r="LX43" s="443" t="str">
        <f t="shared" si="314"/>
        <v/>
      </c>
      <c r="LY43" s="443" t="str">
        <f t="shared" si="315"/>
        <v/>
      </c>
      <c r="LZ43" s="443" t="str">
        <f t="shared" si="316"/>
        <v/>
      </c>
      <c r="MA43" s="443" t="str">
        <f t="shared" si="317"/>
        <v/>
      </c>
      <c r="MB43" s="443" t="str">
        <f t="shared" si="318"/>
        <v/>
      </c>
      <c r="MC43" s="443" t="str">
        <f t="shared" si="319"/>
        <v/>
      </c>
      <c r="MD43" s="443" t="str">
        <f t="shared" si="320"/>
        <v/>
      </c>
      <c r="ME43" s="443" t="str">
        <f t="shared" si="321"/>
        <v/>
      </c>
      <c r="MF43" s="443" t="str">
        <f t="shared" si="322"/>
        <v/>
      </c>
      <c r="MG43" s="443" t="str">
        <f t="shared" si="323"/>
        <v/>
      </c>
      <c r="MH43" s="443" t="str">
        <f t="shared" si="324"/>
        <v/>
      </c>
      <c r="MI43" s="443" t="str">
        <f t="shared" si="325"/>
        <v/>
      </c>
      <c r="MJ43" s="443" t="str">
        <f t="shared" si="326"/>
        <v/>
      </c>
      <c r="MK43" s="443" t="str">
        <f t="shared" si="327"/>
        <v/>
      </c>
      <c r="ML43" s="443" t="str">
        <f t="shared" si="328"/>
        <v/>
      </c>
      <c r="MM43" s="443" t="str">
        <f t="shared" si="329"/>
        <v/>
      </c>
      <c r="MN43" s="443" t="str">
        <f t="shared" si="330"/>
        <v/>
      </c>
      <c r="MO43" s="443" t="str">
        <f t="shared" si="331"/>
        <v/>
      </c>
      <c r="MP43" s="2246">
        <f t="shared" si="338"/>
        <v>0</v>
      </c>
      <c r="MQ43" s="2246">
        <f t="shared" si="339"/>
        <v>0</v>
      </c>
      <c r="MR43" s="2246">
        <f t="shared" si="340"/>
        <v>0</v>
      </c>
      <c r="MS43" s="2246">
        <f t="shared" si="341"/>
        <v>0</v>
      </c>
      <c r="MT43" s="2246">
        <f t="shared" si="342"/>
        <v>0</v>
      </c>
      <c r="MU43" s="2246">
        <f t="shared" si="343"/>
        <v>0</v>
      </c>
      <c r="MV43" s="2246">
        <f t="shared" si="344"/>
        <v>0</v>
      </c>
      <c r="MW43" s="2246">
        <f t="shared" si="345"/>
        <v>0</v>
      </c>
      <c r="MX43" s="2246">
        <f t="shared" si="346"/>
        <v>0</v>
      </c>
      <c r="MY43" s="2246">
        <f t="shared" si="347"/>
        <v>0</v>
      </c>
      <c r="MZ43" s="2246">
        <f t="shared" si="332"/>
        <v>0</v>
      </c>
      <c r="NA43" s="2246">
        <f t="shared" si="333"/>
        <v>0</v>
      </c>
      <c r="NB43" s="2246">
        <f t="shared" si="334"/>
        <v>0</v>
      </c>
      <c r="NC43" s="2246">
        <f t="shared" si="335"/>
        <v>0</v>
      </c>
      <c r="ND43" s="2246">
        <f t="shared" si="336"/>
        <v>0</v>
      </c>
    </row>
    <row r="44" spans="1:369" ht="13.95" customHeight="1">
      <c r="A44" s="109" t="str">
        <f t="shared" si="337"/>
        <v/>
      </c>
      <c r="B44" s="4015"/>
      <c r="C44" s="3987"/>
      <c r="D44" s="3988"/>
      <c r="E44" s="3989"/>
      <c r="F44" s="3989"/>
      <c r="G44" s="3989"/>
      <c r="H44" s="3989"/>
      <c r="I44" s="3989"/>
      <c r="J44" s="4016">
        <f>IF(C44="",0,HLOOKUP(C44,'Part V-Utility Allowances'!$I$11:$M$22,12))</f>
        <v>0</v>
      </c>
      <c r="K44" s="3991"/>
      <c r="L44" s="567">
        <f t="shared" si="0"/>
        <v>0</v>
      </c>
      <c r="M44" s="567">
        <f t="shared" si="1"/>
        <v>0</v>
      </c>
      <c r="N44" s="3992"/>
      <c r="O44" s="3992"/>
      <c r="P44" s="3992"/>
      <c r="Q44" s="3993"/>
      <c r="R44" s="3994"/>
      <c r="S44" s="3995"/>
      <c r="T44" s="3996"/>
      <c r="U44" s="3997"/>
      <c r="V44" s="3997"/>
      <c r="W44" s="3998"/>
      <c r="X44" s="443" t="str">
        <f t="shared" si="2"/>
        <v/>
      </c>
      <c r="Y44" s="443" t="str">
        <f t="shared" si="3"/>
        <v/>
      </c>
      <c r="Z44" s="443" t="str">
        <f t="shared" si="4"/>
        <v/>
      </c>
      <c r="AA44" s="443" t="str">
        <f t="shared" si="5"/>
        <v/>
      </c>
      <c r="AB44" s="443" t="str">
        <f t="shared" si="6"/>
        <v/>
      </c>
      <c r="AC44" s="443" t="str">
        <f t="shared" si="7"/>
        <v/>
      </c>
      <c r="AD44" s="443" t="str">
        <f t="shared" si="8"/>
        <v/>
      </c>
      <c r="AE44" s="443" t="str">
        <f t="shared" si="9"/>
        <v/>
      </c>
      <c r="AF44" s="443" t="str">
        <f t="shared" si="10"/>
        <v/>
      </c>
      <c r="AG44" s="443" t="str">
        <f t="shared" si="11"/>
        <v/>
      </c>
      <c r="AH44" s="443" t="str">
        <f t="shared" si="12"/>
        <v/>
      </c>
      <c r="AI44" s="443" t="str">
        <f t="shared" si="13"/>
        <v/>
      </c>
      <c r="AJ44" s="443" t="str">
        <f t="shared" si="14"/>
        <v/>
      </c>
      <c r="AK44" s="443" t="str">
        <f t="shared" si="15"/>
        <v/>
      </c>
      <c r="AL44" s="443" t="str">
        <f t="shared" si="16"/>
        <v/>
      </c>
      <c r="AM44" s="443" t="str">
        <f t="shared" si="17"/>
        <v/>
      </c>
      <c r="AN44" s="443" t="str">
        <f t="shared" si="18"/>
        <v/>
      </c>
      <c r="AO44" s="443" t="str">
        <f t="shared" si="19"/>
        <v/>
      </c>
      <c r="AP44" s="443" t="str">
        <f t="shared" si="20"/>
        <v/>
      </c>
      <c r="AQ44" s="443" t="str">
        <f t="shared" si="21"/>
        <v/>
      </c>
      <c r="AR44" s="443" t="str">
        <f t="shared" si="22"/>
        <v/>
      </c>
      <c r="AS44" s="443" t="str">
        <f t="shared" si="23"/>
        <v/>
      </c>
      <c r="AT44" s="443" t="str">
        <f t="shared" si="24"/>
        <v/>
      </c>
      <c r="AU44" s="443" t="str">
        <f t="shared" si="25"/>
        <v/>
      </c>
      <c r="AV44" s="443" t="str">
        <f t="shared" si="26"/>
        <v/>
      </c>
      <c r="AW44" s="443" t="str">
        <f t="shared" si="27"/>
        <v/>
      </c>
      <c r="AX44" s="443" t="str">
        <f t="shared" si="28"/>
        <v/>
      </c>
      <c r="AY44" s="443" t="str">
        <f t="shared" si="29"/>
        <v/>
      </c>
      <c r="AZ44" s="443" t="str">
        <f t="shared" si="30"/>
        <v/>
      </c>
      <c r="BA44" s="443" t="str">
        <f t="shared" si="31"/>
        <v/>
      </c>
      <c r="BB44" s="443" t="str">
        <f t="shared" si="32"/>
        <v/>
      </c>
      <c r="BC44" s="443" t="str">
        <f t="shared" si="33"/>
        <v/>
      </c>
      <c r="BD44" s="443" t="str">
        <f t="shared" si="34"/>
        <v/>
      </c>
      <c r="BE44" s="443" t="str">
        <f t="shared" si="35"/>
        <v/>
      </c>
      <c r="BF44" s="443" t="str">
        <f t="shared" si="36"/>
        <v/>
      </c>
      <c r="BG44" s="443" t="str">
        <f t="shared" si="37"/>
        <v/>
      </c>
      <c r="BH44" s="443" t="str">
        <f t="shared" si="38"/>
        <v/>
      </c>
      <c r="BI44" s="443" t="str">
        <f t="shared" si="39"/>
        <v/>
      </c>
      <c r="BJ44" s="443" t="str">
        <f t="shared" si="40"/>
        <v/>
      </c>
      <c r="BK44" s="443" t="str">
        <f t="shared" si="41"/>
        <v/>
      </c>
      <c r="BL44" s="443" t="str">
        <f t="shared" si="42"/>
        <v/>
      </c>
      <c r="BM44" s="443" t="str">
        <f t="shared" si="43"/>
        <v/>
      </c>
      <c r="BN44" s="443" t="str">
        <f t="shared" si="44"/>
        <v/>
      </c>
      <c r="BO44" s="443" t="str">
        <f t="shared" si="45"/>
        <v/>
      </c>
      <c r="BP44" s="443" t="str">
        <f t="shared" si="46"/>
        <v/>
      </c>
      <c r="BQ44" s="443" t="str">
        <f t="shared" si="47"/>
        <v/>
      </c>
      <c r="BR44" s="443" t="str">
        <f t="shared" si="48"/>
        <v/>
      </c>
      <c r="BS44" s="443" t="str">
        <f t="shared" si="49"/>
        <v/>
      </c>
      <c r="BT44" s="443" t="str">
        <f t="shared" si="50"/>
        <v/>
      </c>
      <c r="BU44" s="443" t="str">
        <f t="shared" si="51"/>
        <v/>
      </c>
      <c r="BV44" s="443" t="str">
        <f t="shared" si="52"/>
        <v/>
      </c>
      <c r="BW44" s="443" t="str">
        <f t="shared" si="53"/>
        <v/>
      </c>
      <c r="BX44" s="443" t="str">
        <f t="shared" si="54"/>
        <v/>
      </c>
      <c r="BY44" s="443" t="str">
        <f t="shared" si="55"/>
        <v/>
      </c>
      <c r="BZ44" s="443" t="str">
        <f t="shared" si="56"/>
        <v/>
      </c>
      <c r="CA44" s="443" t="str">
        <f t="shared" si="57"/>
        <v/>
      </c>
      <c r="CB44" s="443" t="str">
        <f t="shared" si="58"/>
        <v/>
      </c>
      <c r="CC44" s="443" t="str">
        <f t="shared" si="59"/>
        <v/>
      </c>
      <c r="CD44" s="443" t="str">
        <f t="shared" si="60"/>
        <v/>
      </c>
      <c r="CE44" s="443" t="str">
        <f t="shared" si="61"/>
        <v/>
      </c>
      <c r="CF44" s="443" t="str">
        <f t="shared" si="62"/>
        <v/>
      </c>
      <c r="CG44" s="443" t="str">
        <f t="shared" si="63"/>
        <v/>
      </c>
      <c r="CH44" s="443" t="str">
        <f t="shared" si="64"/>
        <v/>
      </c>
      <c r="CI44" s="443" t="str">
        <f t="shared" si="65"/>
        <v/>
      </c>
      <c r="CJ44" s="443" t="str">
        <f t="shared" si="66"/>
        <v/>
      </c>
      <c r="CK44" s="443" t="str">
        <f t="shared" si="67"/>
        <v/>
      </c>
      <c r="CL44" s="443" t="str">
        <f t="shared" si="68"/>
        <v/>
      </c>
      <c r="CM44" s="443" t="str">
        <f t="shared" si="69"/>
        <v/>
      </c>
      <c r="CN44" s="443" t="str">
        <f t="shared" si="70"/>
        <v/>
      </c>
      <c r="CO44" s="443" t="str">
        <f t="shared" si="71"/>
        <v/>
      </c>
      <c r="CP44" s="443" t="str">
        <f t="shared" si="72"/>
        <v/>
      </c>
      <c r="CQ44" s="443" t="str">
        <f t="shared" si="73"/>
        <v/>
      </c>
      <c r="CR44" s="443" t="str">
        <f t="shared" si="74"/>
        <v/>
      </c>
      <c r="CS44" s="443" t="str">
        <f t="shared" si="75"/>
        <v/>
      </c>
      <c r="CT44" s="443" t="str">
        <f t="shared" si="76"/>
        <v/>
      </c>
      <c r="CU44" s="443" t="str">
        <f t="shared" si="77"/>
        <v/>
      </c>
      <c r="CV44" s="443" t="str">
        <f t="shared" si="78"/>
        <v/>
      </c>
      <c r="CW44" s="443" t="str">
        <f t="shared" si="79"/>
        <v/>
      </c>
      <c r="CX44" s="443" t="str">
        <f t="shared" si="80"/>
        <v/>
      </c>
      <c r="CY44" s="443" t="str">
        <f t="shared" si="81"/>
        <v/>
      </c>
      <c r="CZ44" s="443" t="str">
        <f t="shared" si="82"/>
        <v/>
      </c>
      <c r="DA44" s="443" t="str">
        <f t="shared" si="83"/>
        <v/>
      </c>
      <c r="DB44" s="443" t="str">
        <f t="shared" si="84"/>
        <v/>
      </c>
      <c r="DC44" s="443" t="str">
        <f t="shared" si="85"/>
        <v/>
      </c>
      <c r="DD44" s="443" t="str">
        <f t="shared" si="86"/>
        <v/>
      </c>
      <c r="DE44" s="443" t="str">
        <f t="shared" si="87"/>
        <v/>
      </c>
      <c r="DF44" s="443" t="str">
        <f t="shared" si="88"/>
        <v/>
      </c>
      <c r="DG44" s="443" t="str">
        <f t="shared" si="89"/>
        <v/>
      </c>
      <c r="DH44" s="443" t="str">
        <f t="shared" si="90"/>
        <v/>
      </c>
      <c r="DI44" s="443" t="str">
        <f t="shared" si="91"/>
        <v/>
      </c>
      <c r="DJ44" s="443" t="str">
        <f t="shared" si="92"/>
        <v/>
      </c>
      <c r="DK44" s="443" t="str">
        <f t="shared" si="93"/>
        <v/>
      </c>
      <c r="DL44" s="443" t="str">
        <f t="shared" si="94"/>
        <v/>
      </c>
      <c r="DM44" s="443" t="str">
        <f t="shared" si="95"/>
        <v/>
      </c>
      <c r="DN44" s="443" t="str">
        <f t="shared" si="96"/>
        <v/>
      </c>
      <c r="DO44" s="443" t="str">
        <f t="shared" si="97"/>
        <v/>
      </c>
      <c r="DP44" s="443" t="str">
        <f t="shared" si="98"/>
        <v/>
      </c>
      <c r="DQ44" s="443" t="str">
        <f t="shared" si="99"/>
        <v/>
      </c>
      <c r="DR44" s="443" t="str">
        <f t="shared" si="100"/>
        <v/>
      </c>
      <c r="DS44" s="443" t="str">
        <f t="shared" si="101"/>
        <v/>
      </c>
      <c r="DT44" s="443" t="str">
        <f t="shared" si="102"/>
        <v/>
      </c>
      <c r="DU44" s="443" t="str">
        <f t="shared" si="103"/>
        <v/>
      </c>
      <c r="DV44" s="443" t="str">
        <f t="shared" si="104"/>
        <v/>
      </c>
      <c r="DW44" s="443" t="str">
        <f t="shared" si="105"/>
        <v/>
      </c>
      <c r="DX44" s="443" t="str">
        <f t="shared" si="106"/>
        <v/>
      </c>
      <c r="DY44" s="443" t="str">
        <f t="shared" si="107"/>
        <v/>
      </c>
      <c r="DZ44" s="443" t="str">
        <f t="shared" si="108"/>
        <v/>
      </c>
      <c r="EA44" s="443" t="str">
        <f t="shared" si="109"/>
        <v/>
      </c>
      <c r="EB44" s="443" t="str">
        <f t="shared" si="110"/>
        <v/>
      </c>
      <c r="EC44" s="443" t="str">
        <f t="shared" si="111"/>
        <v/>
      </c>
      <c r="ED44" s="443" t="str">
        <f t="shared" si="112"/>
        <v/>
      </c>
      <c r="EE44" s="443" t="str">
        <f t="shared" si="113"/>
        <v/>
      </c>
      <c r="EF44" s="443" t="str">
        <f t="shared" si="114"/>
        <v/>
      </c>
      <c r="EG44" s="443" t="str">
        <f t="shared" si="115"/>
        <v/>
      </c>
      <c r="EH44" s="443" t="str">
        <f t="shared" si="116"/>
        <v/>
      </c>
      <c r="EI44" s="443" t="str">
        <f t="shared" si="117"/>
        <v/>
      </c>
      <c r="EJ44" s="443" t="str">
        <f t="shared" si="118"/>
        <v/>
      </c>
      <c r="EK44" s="443" t="str">
        <f t="shared" si="119"/>
        <v/>
      </c>
      <c r="EL44" s="443" t="str">
        <f t="shared" si="120"/>
        <v/>
      </c>
      <c r="EM44" s="443" t="str">
        <f t="shared" si="121"/>
        <v/>
      </c>
      <c r="EN44" s="443" t="str">
        <f t="shared" si="122"/>
        <v/>
      </c>
      <c r="EO44" s="443" t="str">
        <f t="shared" si="123"/>
        <v/>
      </c>
      <c r="EP44" s="443" t="str">
        <f t="shared" si="124"/>
        <v/>
      </c>
      <c r="EQ44" s="443" t="str">
        <f t="shared" si="125"/>
        <v/>
      </c>
      <c r="ER44" s="443" t="str">
        <f t="shared" si="126"/>
        <v/>
      </c>
      <c r="ES44" s="443" t="str">
        <f t="shared" si="127"/>
        <v/>
      </c>
      <c r="ET44" s="443" t="str">
        <f t="shared" si="128"/>
        <v/>
      </c>
      <c r="EU44" s="443" t="str">
        <f t="shared" si="129"/>
        <v/>
      </c>
      <c r="EV44" s="443" t="str">
        <f t="shared" si="130"/>
        <v/>
      </c>
      <c r="EW44" s="443" t="str">
        <f t="shared" si="131"/>
        <v/>
      </c>
      <c r="EX44" s="443" t="str">
        <f t="shared" si="132"/>
        <v/>
      </c>
      <c r="EY44" s="443" t="str">
        <f t="shared" si="133"/>
        <v/>
      </c>
      <c r="EZ44" s="443" t="str">
        <f t="shared" si="134"/>
        <v/>
      </c>
      <c r="FA44" s="443" t="str">
        <f t="shared" si="135"/>
        <v/>
      </c>
      <c r="FB44" s="443" t="str">
        <f t="shared" si="136"/>
        <v/>
      </c>
      <c r="FC44" s="443" t="str">
        <f t="shared" si="137"/>
        <v/>
      </c>
      <c r="FD44" s="443" t="str">
        <f t="shared" si="138"/>
        <v/>
      </c>
      <c r="FE44" s="443" t="str">
        <f t="shared" si="139"/>
        <v/>
      </c>
      <c r="FF44" s="443" t="str">
        <f t="shared" si="140"/>
        <v/>
      </c>
      <c r="FG44" s="443" t="str">
        <f t="shared" si="141"/>
        <v/>
      </c>
      <c r="FH44" s="443" t="str">
        <f t="shared" si="142"/>
        <v/>
      </c>
      <c r="FI44" s="443" t="str">
        <f t="shared" si="143"/>
        <v/>
      </c>
      <c r="FJ44" s="443" t="str">
        <f t="shared" si="144"/>
        <v/>
      </c>
      <c r="FK44" s="443" t="str">
        <f t="shared" si="145"/>
        <v/>
      </c>
      <c r="FL44" s="443" t="str">
        <f t="shared" si="146"/>
        <v/>
      </c>
      <c r="FM44" s="443" t="str">
        <f t="shared" si="147"/>
        <v/>
      </c>
      <c r="FN44" s="443" t="str">
        <f t="shared" si="148"/>
        <v/>
      </c>
      <c r="FO44" s="443" t="str">
        <f t="shared" si="149"/>
        <v/>
      </c>
      <c r="FP44" s="443" t="str">
        <f t="shared" si="150"/>
        <v/>
      </c>
      <c r="FQ44" s="443" t="str">
        <f t="shared" si="151"/>
        <v/>
      </c>
      <c r="FR44" s="443" t="str">
        <f t="shared" si="152"/>
        <v/>
      </c>
      <c r="FS44" s="443" t="str">
        <f t="shared" si="153"/>
        <v/>
      </c>
      <c r="FT44" s="443" t="str">
        <f t="shared" si="154"/>
        <v/>
      </c>
      <c r="FU44" s="443" t="str">
        <f t="shared" si="155"/>
        <v/>
      </c>
      <c r="FV44" s="443" t="str">
        <f t="shared" si="156"/>
        <v/>
      </c>
      <c r="FW44" s="443" t="str">
        <f t="shared" si="157"/>
        <v/>
      </c>
      <c r="FX44" s="443" t="str">
        <f t="shared" si="158"/>
        <v/>
      </c>
      <c r="FY44" s="443" t="str">
        <f t="shared" si="159"/>
        <v/>
      </c>
      <c r="FZ44" s="443" t="str">
        <f t="shared" si="160"/>
        <v/>
      </c>
      <c r="GA44" s="443" t="str">
        <f t="shared" si="161"/>
        <v/>
      </c>
      <c r="GB44" s="443" t="str">
        <f t="shared" si="162"/>
        <v/>
      </c>
      <c r="GC44" s="443" t="str">
        <f t="shared" si="163"/>
        <v/>
      </c>
      <c r="GD44" s="443" t="str">
        <f t="shared" si="164"/>
        <v/>
      </c>
      <c r="GE44" s="443" t="str">
        <f t="shared" si="165"/>
        <v/>
      </c>
      <c r="GF44" s="443" t="str">
        <f t="shared" si="166"/>
        <v/>
      </c>
      <c r="GG44" s="443" t="str">
        <f t="shared" si="167"/>
        <v/>
      </c>
      <c r="GH44" s="443" t="str">
        <f t="shared" si="168"/>
        <v/>
      </c>
      <c r="GI44" s="443" t="str">
        <f t="shared" si="169"/>
        <v/>
      </c>
      <c r="GJ44" s="443" t="str">
        <f t="shared" si="170"/>
        <v/>
      </c>
      <c r="GK44" s="443" t="str">
        <f t="shared" si="171"/>
        <v/>
      </c>
      <c r="GL44" s="443" t="str">
        <f t="shared" si="172"/>
        <v/>
      </c>
      <c r="GM44" s="443" t="str">
        <f t="shared" si="173"/>
        <v/>
      </c>
      <c r="GN44" s="443" t="str">
        <f t="shared" si="174"/>
        <v/>
      </c>
      <c r="GO44" s="443" t="str">
        <f t="shared" si="175"/>
        <v/>
      </c>
      <c r="GP44" s="443" t="str">
        <f t="shared" si="176"/>
        <v/>
      </c>
      <c r="GQ44" s="443" t="str">
        <f t="shared" si="177"/>
        <v/>
      </c>
      <c r="GR44" s="443" t="str">
        <f t="shared" si="178"/>
        <v/>
      </c>
      <c r="GS44" s="443" t="str">
        <f t="shared" si="179"/>
        <v/>
      </c>
      <c r="GT44" s="443" t="str">
        <f t="shared" si="180"/>
        <v/>
      </c>
      <c r="GU44" s="443" t="str">
        <f t="shared" si="181"/>
        <v/>
      </c>
      <c r="GV44" s="443" t="str">
        <f t="shared" si="182"/>
        <v/>
      </c>
      <c r="GW44" s="443" t="str">
        <f t="shared" si="183"/>
        <v/>
      </c>
      <c r="GX44" s="443" t="str">
        <f t="shared" si="184"/>
        <v/>
      </c>
      <c r="GY44" s="443" t="str">
        <f t="shared" si="185"/>
        <v/>
      </c>
      <c r="GZ44" s="443" t="str">
        <f t="shared" si="186"/>
        <v/>
      </c>
      <c r="HA44" s="443" t="str">
        <f t="shared" si="187"/>
        <v/>
      </c>
      <c r="HB44" s="443" t="str">
        <f t="shared" si="188"/>
        <v/>
      </c>
      <c r="HC44" s="443" t="str">
        <f t="shared" si="189"/>
        <v/>
      </c>
      <c r="HD44" s="443" t="str">
        <f t="shared" si="190"/>
        <v/>
      </c>
      <c r="HE44" s="443" t="str">
        <f t="shared" si="191"/>
        <v/>
      </c>
      <c r="HF44" s="443" t="str">
        <f t="shared" si="192"/>
        <v/>
      </c>
      <c r="HG44" s="443" t="str">
        <f t="shared" si="193"/>
        <v/>
      </c>
      <c r="HH44" s="443" t="str">
        <f t="shared" si="194"/>
        <v/>
      </c>
      <c r="HI44" s="443" t="str">
        <f t="shared" si="195"/>
        <v/>
      </c>
      <c r="HJ44" s="443" t="str">
        <f t="shared" si="196"/>
        <v/>
      </c>
      <c r="HK44" s="443" t="str">
        <f t="shared" si="197"/>
        <v/>
      </c>
      <c r="HL44" s="443" t="str">
        <f t="shared" si="198"/>
        <v/>
      </c>
      <c r="HM44" s="443" t="str">
        <f t="shared" si="199"/>
        <v/>
      </c>
      <c r="HN44" s="443" t="str">
        <f t="shared" si="200"/>
        <v/>
      </c>
      <c r="HO44" s="443" t="str">
        <f t="shared" si="201"/>
        <v/>
      </c>
      <c r="HP44" s="443" t="str">
        <f t="shared" si="202"/>
        <v/>
      </c>
      <c r="HQ44" s="443" t="str">
        <f t="shared" si="203"/>
        <v/>
      </c>
      <c r="HR44" s="443" t="str">
        <f t="shared" si="204"/>
        <v/>
      </c>
      <c r="HS44" s="443" t="str">
        <f t="shared" si="205"/>
        <v/>
      </c>
      <c r="HT44" s="443" t="str">
        <f t="shared" si="206"/>
        <v/>
      </c>
      <c r="HU44" s="443" t="str">
        <f t="shared" si="207"/>
        <v/>
      </c>
      <c r="HV44" s="443" t="str">
        <f t="shared" si="208"/>
        <v/>
      </c>
      <c r="HW44" s="443" t="str">
        <f t="shared" si="209"/>
        <v/>
      </c>
      <c r="HX44" s="443" t="str">
        <f t="shared" si="210"/>
        <v/>
      </c>
      <c r="HY44" s="443" t="str">
        <f t="shared" si="211"/>
        <v/>
      </c>
      <c r="HZ44" s="2247" t="str">
        <f t="shared" si="212"/>
        <v/>
      </c>
      <c r="IA44" s="2247" t="str">
        <f t="shared" si="213"/>
        <v/>
      </c>
      <c r="IB44" s="2247" t="str">
        <f t="shared" si="214"/>
        <v/>
      </c>
      <c r="IC44" s="2247" t="str">
        <f t="shared" si="215"/>
        <v/>
      </c>
      <c r="ID44" s="2247" t="str">
        <f t="shared" si="216"/>
        <v/>
      </c>
      <c r="IE44" s="2247" t="str">
        <f t="shared" si="217"/>
        <v/>
      </c>
      <c r="IF44" s="2247" t="str">
        <f t="shared" si="218"/>
        <v/>
      </c>
      <c r="IG44" s="2247" t="str">
        <f t="shared" si="219"/>
        <v/>
      </c>
      <c r="IH44" s="2247" t="str">
        <f t="shared" si="220"/>
        <v/>
      </c>
      <c r="II44" s="2247" t="str">
        <f t="shared" si="221"/>
        <v/>
      </c>
      <c r="IJ44" s="2247" t="str">
        <f t="shared" si="222"/>
        <v/>
      </c>
      <c r="IK44" s="2247" t="str">
        <f t="shared" si="223"/>
        <v/>
      </c>
      <c r="IL44" s="2247" t="str">
        <f t="shared" si="224"/>
        <v/>
      </c>
      <c r="IM44" s="2247" t="str">
        <f t="shared" si="225"/>
        <v/>
      </c>
      <c r="IN44" s="2247" t="str">
        <f t="shared" si="226"/>
        <v/>
      </c>
      <c r="IO44" s="2247" t="str">
        <f t="shared" si="227"/>
        <v/>
      </c>
      <c r="IP44" s="2247" t="str">
        <f t="shared" si="228"/>
        <v/>
      </c>
      <c r="IQ44" s="2247" t="str">
        <f t="shared" si="229"/>
        <v/>
      </c>
      <c r="IR44" s="2247" t="str">
        <f t="shared" si="230"/>
        <v/>
      </c>
      <c r="IS44" s="2247" t="str">
        <f t="shared" si="231"/>
        <v/>
      </c>
      <c r="IT44" s="2247" t="str">
        <f t="shared" si="232"/>
        <v/>
      </c>
      <c r="IU44" s="2247" t="str">
        <f t="shared" si="233"/>
        <v/>
      </c>
      <c r="IV44" s="2247" t="str">
        <f t="shared" si="234"/>
        <v/>
      </c>
      <c r="IW44" s="2247" t="str">
        <f t="shared" si="235"/>
        <v/>
      </c>
      <c r="IX44" s="2247" t="str">
        <f t="shared" si="236"/>
        <v/>
      </c>
      <c r="IY44" s="2247" t="str">
        <f t="shared" si="237"/>
        <v/>
      </c>
      <c r="IZ44" s="2247" t="str">
        <f t="shared" si="238"/>
        <v/>
      </c>
      <c r="JA44" s="2247" t="str">
        <f t="shared" si="239"/>
        <v/>
      </c>
      <c r="JB44" s="2247" t="str">
        <f t="shared" si="240"/>
        <v/>
      </c>
      <c r="JC44" s="2247" t="str">
        <f t="shared" si="241"/>
        <v/>
      </c>
      <c r="JD44" s="2247" t="str">
        <f t="shared" si="242"/>
        <v/>
      </c>
      <c r="JE44" s="2247" t="str">
        <f t="shared" si="243"/>
        <v/>
      </c>
      <c r="JF44" s="2247" t="str">
        <f t="shared" si="244"/>
        <v/>
      </c>
      <c r="JG44" s="2247" t="str">
        <f t="shared" si="245"/>
        <v/>
      </c>
      <c r="JH44" s="2247" t="str">
        <f t="shared" si="246"/>
        <v/>
      </c>
      <c r="JI44" s="2247" t="str">
        <f t="shared" si="247"/>
        <v/>
      </c>
      <c r="JJ44" s="2247" t="str">
        <f t="shared" si="248"/>
        <v/>
      </c>
      <c r="JK44" s="2247" t="str">
        <f t="shared" si="249"/>
        <v/>
      </c>
      <c r="JL44" s="2247" t="str">
        <f t="shared" si="250"/>
        <v/>
      </c>
      <c r="JM44" s="2247" t="str">
        <f t="shared" si="251"/>
        <v/>
      </c>
      <c r="JN44" s="2247" t="str">
        <f t="shared" si="252"/>
        <v/>
      </c>
      <c r="JO44" s="2247" t="str">
        <f t="shared" si="253"/>
        <v/>
      </c>
      <c r="JP44" s="2247" t="str">
        <f t="shared" si="254"/>
        <v/>
      </c>
      <c r="JQ44" s="2247" t="str">
        <f t="shared" si="255"/>
        <v/>
      </c>
      <c r="JR44" s="2247" t="str">
        <f t="shared" si="256"/>
        <v/>
      </c>
      <c r="JS44" s="2247" t="str">
        <f t="shared" si="257"/>
        <v/>
      </c>
      <c r="JT44" s="2247" t="str">
        <f t="shared" si="258"/>
        <v/>
      </c>
      <c r="JU44" s="2247" t="str">
        <f t="shared" si="259"/>
        <v/>
      </c>
      <c r="JV44" s="2247" t="str">
        <f t="shared" si="260"/>
        <v/>
      </c>
      <c r="JW44" s="2247" t="str">
        <f t="shared" si="261"/>
        <v/>
      </c>
      <c r="JX44" s="2247" t="str">
        <f t="shared" si="262"/>
        <v/>
      </c>
      <c r="JY44" s="2247" t="str">
        <f t="shared" si="263"/>
        <v/>
      </c>
      <c r="JZ44" s="2247" t="str">
        <f t="shared" si="264"/>
        <v/>
      </c>
      <c r="KA44" s="2247" t="str">
        <f t="shared" si="265"/>
        <v/>
      </c>
      <c r="KB44" s="2247" t="str">
        <f t="shared" si="266"/>
        <v/>
      </c>
      <c r="KC44" s="2247" t="str">
        <f t="shared" si="267"/>
        <v/>
      </c>
      <c r="KD44" s="2247" t="str">
        <f t="shared" si="268"/>
        <v/>
      </c>
      <c r="KE44" s="2247" t="str">
        <f t="shared" si="269"/>
        <v/>
      </c>
      <c r="KF44" s="2247" t="str">
        <f t="shared" si="270"/>
        <v/>
      </c>
      <c r="KG44" s="2247" t="str">
        <f t="shared" si="271"/>
        <v/>
      </c>
      <c r="KH44" s="2247" t="str">
        <f t="shared" si="272"/>
        <v/>
      </c>
      <c r="KI44" s="2247" t="str">
        <f t="shared" si="273"/>
        <v/>
      </c>
      <c r="KJ44" s="2247" t="str">
        <f t="shared" si="274"/>
        <v/>
      </c>
      <c r="KK44" s="2247" t="str">
        <f t="shared" si="275"/>
        <v/>
      </c>
      <c r="KL44" s="2247" t="str">
        <f t="shared" si="276"/>
        <v/>
      </c>
      <c r="KM44" s="2247" t="str">
        <f t="shared" si="277"/>
        <v/>
      </c>
      <c r="KN44" s="2247" t="str">
        <f t="shared" si="278"/>
        <v/>
      </c>
      <c r="KO44" s="2247" t="str">
        <f t="shared" si="279"/>
        <v/>
      </c>
      <c r="KP44" s="2247" t="str">
        <f t="shared" si="280"/>
        <v/>
      </c>
      <c r="KQ44" s="2247" t="str">
        <f t="shared" si="281"/>
        <v/>
      </c>
      <c r="KR44" s="2247" t="str">
        <f t="shared" si="282"/>
        <v/>
      </c>
      <c r="KS44" s="2247" t="str">
        <f t="shared" si="283"/>
        <v/>
      </c>
      <c r="KT44" s="2247" t="str">
        <f t="shared" si="284"/>
        <v/>
      </c>
      <c r="KU44" s="2247" t="str">
        <f t="shared" si="285"/>
        <v/>
      </c>
      <c r="KV44" s="2247" t="str">
        <f t="shared" si="286"/>
        <v/>
      </c>
      <c r="KW44" s="2247" t="str">
        <f t="shared" si="287"/>
        <v/>
      </c>
      <c r="KX44" s="2247" t="str">
        <f t="shared" si="288"/>
        <v/>
      </c>
      <c r="KY44" s="2247" t="str">
        <f t="shared" si="289"/>
        <v/>
      </c>
      <c r="KZ44" s="2247" t="str">
        <f t="shared" si="290"/>
        <v/>
      </c>
      <c r="LA44" s="2247" t="str">
        <f t="shared" si="291"/>
        <v/>
      </c>
      <c r="LB44" s="2247" t="str">
        <f t="shared" si="292"/>
        <v/>
      </c>
      <c r="LC44" s="2247" t="str">
        <f t="shared" si="293"/>
        <v/>
      </c>
      <c r="LD44" s="2247" t="str">
        <f t="shared" si="294"/>
        <v/>
      </c>
      <c r="LE44" s="2247" t="str">
        <f t="shared" si="295"/>
        <v/>
      </c>
      <c r="LF44" s="2247" t="str">
        <f t="shared" si="296"/>
        <v/>
      </c>
      <c r="LG44" s="2247" t="str">
        <f t="shared" si="297"/>
        <v/>
      </c>
      <c r="LH44" s="2247" t="str">
        <f t="shared" si="298"/>
        <v/>
      </c>
      <c r="LI44" s="2247" t="str">
        <f t="shared" si="299"/>
        <v/>
      </c>
      <c r="LJ44" s="2247" t="str">
        <f t="shared" si="300"/>
        <v/>
      </c>
      <c r="LK44" s="2247" t="str">
        <f t="shared" si="301"/>
        <v/>
      </c>
      <c r="LL44" s="2247" t="str">
        <f t="shared" si="302"/>
        <v/>
      </c>
      <c r="LM44" s="2247" t="str">
        <f t="shared" si="303"/>
        <v/>
      </c>
      <c r="LN44" s="2247" t="str">
        <f t="shared" si="304"/>
        <v/>
      </c>
      <c r="LO44" s="2247" t="str">
        <f t="shared" si="305"/>
        <v/>
      </c>
      <c r="LP44" s="2247" t="str">
        <f t="shared" si="306"/>
        <v/>
      </c>
      <c r="LQ44" s="2248" t="str">
        <f t="shared" si="307"/>
        <v/>
      </c>
      <c r="LR44" s="2248" t="str">
        <f t="shared" si="308"/>
        <v/>
      </c>
      <c r="LS44" s="2248" t="str">
        <f t="shared" si="309"/>
        <v/>
      </c>
      <c r="LT44" s="2248" t="str">
        <f t="shared" si="310"/>
        <v/>
      </c>
      <c r="LU44" s="2248" t="str">
        <f t="shared" si="311"/>
        <v/>
      </c>
      <c r="LV44" s="443" t="str">
        <f t="shared" si="312"/>
        <v/>
      </c>
      <c r="LW44" s="443" t="str">
        <f t="shared" si="313"/>
        <v/>
      </c>
      <c r="LX44" s="443" t="str">
        <f t="shared" si="314"/>
        <v/>
      </c>
      <c r="LY44" s="443" t="str">
        <f t="shared" si="315"/>
        <v/>
      </c>
      <c r="LZ44" s="443" t="str">
        <f t="shared" si="316"/>
        <v/>
      </c>
      <c r="MA44" s="443" t="str">
        <f t="shared" si="317"/>
        <v/>
      </c>
      <c r="MB44" s="443" t="str">
        <f t="shared" si="318"/>
        <v/>
      </c>
      <c r="MC44" s="443" t="str">
        <f t="shared" si="319"/>
        <v/>
      </c>
      <c r="MD44" s="443" t="str">
        <f t="shared" si="320"/>
        <v/>
      </c>
      <c r="ME44" s="443" t="str">
        <f t="shared" si="321"/>
        <v/>
      </c>
      <c r="MF44" s="443" t="str">
        <f t="shared" si="322"/>
        <v/>
      </c>
      <c r="MG44" s="443" t="str">
        <f t="shared" si="323"/>
        <v/>
      </c>
      <c r="MH44" s="443" t="str">
        <f t="shared" si="324"/>
        <v/>
      </c>
      <c r="MI44" s="443" t="str">
        <f t="shared" si="325"/>
        <v/>
      </c>
      <c r="MJ44" s="443" t="str">
        <f t="shared" si="326"/>
        <v/>
      </c>
      <c r="MK44" s="443" t="str">
        <f t="shared" si="327"/>
        <v/>
      </c>
      <c r="ML44" s="443" t="str">
        <f t="shared" si="328"/>
        <v/>
      </c>
      <c r="MM44" s="443" t="str">
        <f t="shared" si="329"/>
        <v/>
      </c>
      <c r="MN44" s="443" t="str">
        <f t="shared" si="330"/>
        <v/>
      </c>
      <c r="MO44" s="443" t="str">
        <f t="shared" si="331"/>
        <v/>
      </c>
      <c r="MP44" s="2246">
        <f t="shared" si="338"/>
        <v>0</v>
      </c>
      <c r="MQ44" s="2246">
        <f t="shared" si="339"/>
        <v>0</v>
      </c>
      <c r="MR44" s="2246">
        <f t="shared" si="340"/>
        <v>0</v>
      </c>
      <c r="MS44" s="2246">
        <f t="shared" si="341"/>
        <v>0</v>
      </c>
      <c r="MT44" s="2246">
        <f t="shared" si="342"/>
        <v>0</v>
      </c>
      <c r="MU44" s="2246">
        <f t="shared" si="343"/>
        <v>0</v>
      </c>
      <c r="MV44" s="2246">
        <f t="shared" si="344"/>
        <v>0</v>
      </c>
      <c r="MW44" s="2246">
        <f t="shared" si="345"/>
        <v>0</v>
      </c>
      <c r="MX44" s="2246">
        <f t="shared" si="346"/>
        <v>0</v>
      </c>
      <c r="MY44" s="2246">
        <f t="shared" si="347"/>
        <v>0</v>
      </c>
      <c r="MZ44" s="2246">
        <f t="shared" si="332"/>
        <v>0</v>
      </c>
      <c r="NA44" s="2246">
        <f t="shared" si="333"/>
        <v>0</v>
      </c>
      <c r="NB44" s="2246">
        <f t="shared" si="334"/>
        <v>0</v>
      </c>
      <c r="NC44" s="2246">
        <f t="shared" si="335"/>
        <v>0</v>
      </c>
      <c r="ND44" s="2246">
        <f t="shared" si="336"/>
        <v>0</v>
      </c>
    </row>
    <row r="45" spans="1:369" ht="13.95" customHeight="1">
      <c r="A45" s="109" t="str">
        <f t="shared" si="337"/>
        <v/>
      </c>
      <c r="B45" s="4015"/>
      <c r="C45" s="3987"/>
      <c r="D45" s="3988"/>
      <c r="E45" s="3989"/>
      <c r="F45" s="3989"/>
      <c r="G45" s="3989"/>
      <c r="H45" s="3989"/>
      <c r="I45" s="3989"/>
      <c r="J45" s="4016">
        <f>IF(C45="",0,HLOOKUP(C45,'Part V-Utility Allowances'!$I$11:$M$22,12))</f>
        <v>0</v>
      </c>
      <c r="K45" s="3991"/>
      <c r="L45" s="567">
        <f t="shared" si="0"/>
        <v>0</v>
      </c>
      <c r="M45" s="567">
        <f t="shared" si="1"/>
        <v>0</v>
      </c>
      <c r="N45" s="3992"/>
      <c r="O45" s="3992"/>
      <c r="P45" s="3992"/>
      <c r="Q45" s="3993"/>
      <c r="R45" s="3994"/>
      <c r="S45" s="3995"/>
      <c r="T45" s="3996"/>
      <c r="U45" s="3997"/>
      <c r="V45" s="3997"/>
      <c r="W45" s="3998"/>
      <c r="X45" s="443" t="str">
        <f t="shared" si="2"/>
        <v/>
      </c>
      <c r="Y45" s="443" t="str">
        <f t="shared" si="3"/>
        <v/>
      </c>
      <c r="Z45" s="443" t="str">
        <f t="shared" si="4"/>
        <v/>
      </c>
      <c r="AA45" s="443" t="str">
        <f t="shared" si="5"/>
        <v/>
      </c>
      <c r="AB45" s="443" t="str">
        <f t="shared" si="6"/>
        <v/>
      </c>
      <c r="AC45" s="443" t="str">
        <f t="shared" si="7"/>
        <v/>
      </c>
      <c r="AD45" s="443" t="str">
        <f t="shared" si="8"/>
        <v/>
      </c>
      <c r="AE45" s="443" t="str">
        <f t="shared" si="9"/>
        <v/>
      </c>
      <c r="AF45" s="443" t="str">
        <f t="shared" si="10"/>
        <v/>
      </c>
      <c r="AG45" s="443" t="str">
        <f t="shared" si="11"/>
        <v/>
      </c>
      <c r="AH45" s="443" t="str">
        <f t="shared" si="12"/>
        <v/>
      </c>
      <c r="AI45" s="443" t="str">
        <f t="shared" si="13"/>
        <v/>
      </c>
      <c r="AJ45" s="443" t="str">
        <f t="shared" si="14"/>
        <v/>
      </c>
      <c r="AK45" s="443" t="str">
        <f t="shared" si="15"/>
        <v/>
      </c>
      <c r="AL45" s="443" t="str">
        <f t="shared" si="16"/>
        <v/>
      </c>
      <c r="AM45" s="443" t="str">
        <f t="shared" si="17"/>
        <v/>
      </c>
      <c r="AN45" s="443" t="str">
        <f t="shared" si="18"/>
        <v/>
      </c>
      <c r="AO45" s="443" t="str">
        <f t="shared" si="19"/>
        <v/>
      </c>
      <c r="AP45" s="443" t="str">
        <f t="shared" si="20"/>
        <v/>
      </c>
      <c r="AQ45" s="443" t="str">
        <f t="shared" si="21"/>
        <v/>
      </c>
      <c r="AR45" s="443" t="str">
        <f t="shared" si="22"/>
        <v/>
      </c>
      <c r="AS45" s="443" t="str">
        <f t="shared" si="23"/>
        <v/>
      </c>
      <c r="AT45" s="443" t="str">
        <f t="shared" si="24"/>
        <v/>
      </c>
      <c r="AU45" s="443" t="str">
        <f t="shared" si="25"/>
        <v/>
      </c>
      <c r="AV45" s="443" t="str">
        <f t="shared" si="26"/>
        <v/>
      </c>
      <c r="AW45" s="443" t="str">
        <f t="shared" si="27"/>
        <v/>
      </c>
      <c r="AX45" s="443" t="str">
        <f t="shared" si="28"/>
        <v/>
      </c>
      <c r="AY45" s="443" t="str">
        <f t="shared" si="29"/>
        <v/>
      </c>
      <c r="AZ45" s="443" t="str">
        <f t="shared" si="30"/>
        <v/>
      </c>
      <c r="BA45" s="443" t="str">
        <f t="shared" si="31"/>
        <v/>
      </c>
      <c r="BB45" s="443" t="str">
        <f t="shared" si="32"/>
        <v/>
      </c>
      <c r="BC45" s="443" t="str">
        <f t="shared" si="33"/>
        <v/>
      </c>
      <c r="BD45" s="443" t="str">
        <f t="shared" si="34"/>
        <v/>
      </c>
      <c r="BE45" s="443" t="str">
        <f t="shared" si="35"/>
        <v/>
      </c>
      <c r="BF45" s="443" t="str">
        <f t="shared" si="36"/>
        <v/>
      </c>
      <c r="BG45" s="443" t="str">
        <f t="shared" si="37"/>
        <v/>
      </c>
      <c r="BH45" s="443" t="str">
        <f t="shared" si="38"/>
        <v/>
      </c>
      <c r="BI45" s="443" t="str">
        <f t="shared" si="39"/>
        <v/>
      </c>
      <c r="BJ45" s="443" t="str">
        <f t="shared" si="40"/>
        <v/>
      </c>
      <c r="BK45" s="443" t="str">
        <f t="shared" si="41"/>
        <v/>
      </c>
      <c r="BL45" s="443" t="str">
        <f t="shared" si="42"/>
        <v/>
      </c>
      <c r="BM45" s="443" t="str">
        <f t="shared" si="43"/>
        <v/>
      </c>
      <c r="BN45" s="443" t="str">
        <f t="shared" si="44"/>
        <v/>
      </c>
      <c r="BO45" s="443" t="str">
        <f t="shared" si="45"/>
        <v/>
      </c>
      <c r="BP45" s="443" t="str">
        <f t="shared" si="46"/>
        <v/>
      </c>
      <c r="BQ45" s="443" t="str">
        <f t="shared" si="47"/>
        <v/>
      </c>
      <c r="BR45" s="443" t="str">
        <f t="shared" si="48"/>
        <v/>
      </c>
      <c r="BS45" s="443" t="str">
        <f t="shared" si="49"/>
        <v/>
      </c>
      <c r="BT45" s="443" t="str">
        <f t="shared" si="50"/>
        <v/>
      </c>
      <c r="BU45" s="443" t="str">
        <f t="shared" si="51"/>
        <v/>
      </c>
      <c r="BV45" s="443" t="str">
        <f t="shared" si="52"/>
        <v/>
      </c>
      <c r="BW45" s="443" t="str">
        <f t="shared" si="53"/>
        <v/>
      </c>
      <c r="BX45" s="443" t="str">
        <f t="shared" si="54"/>
        <v/>
      </c>
      <c r="BY45" s="443" t="str">
        <f t="shared" si="55"/>
        <v/>
      </c>
      <c r="BZ45" s="443" t="str">
        <f t="shared" si="56"/>
        <v/>
      </c>
      <c r="CA45" s="443" t="str">
        <f t="shared" si="57"/>
        <v/>
      </c>
      <c r="CB45" s="443" t="str">
        <f t="shared" si="58"/>
        <v/>
      </c>
      <c r="CC45" s="443" t="str">
        <f t="shared" si="59"/>
        <v/>
      </c>
      <c r="CD45" s="443" t="str">
        <f t="shared" si="60"/>
        <v/>
      </c>
      <c r="CE45" s="443" t="str">
        <f t="shared" si="61"/>
        <v/>
      </c>
      <c r="CF45" s="443" t="str">
        <f t="shared" si="62"/>
        <v/>
      </c>
      <c r="CG45" s="443" t="str">
        <f t="shared" si="63"/>
        <v/>
      </c>
      <c r="CH45" s="443" t="str">
        <f t="shared" si="64"/>
        <v/>
      </c>
      <c r="CI45" s="443" t="str">
        <f t="shared" si="65"/>
        <v/>
      </c>
      <c r="CJ45" s="443" t="str">
        <f t="shared" si="66"/>
        <v/>
      </c>
      <c r="CK45" s="443" t="str">
        <f t="shared" si="67"/>
        <v/>
      </c>
      <c r="CL45" s="443" t="str">
        <f t="shared" si="68"/>
        <v/>
      </c>
      <c r="CM45" s="443" t="str">
        <f t="shared" si="69"/>
        <v/>
      </c>
      <c r="CN45" s="443" t="str">
        <f t="shared" si="70"/>
        <v/>
      </c>
      <c r="CO45" s="443" t="str">
        <f t="shared" si="71"/>
        <v/>
      </c>
      <c r="CP45" s="443" t="str">
        <f t="shared" si="72"/>
        <v/>
      </c>
      <c r="CQ45" s="443" t="str">
        <f t="shared" si="73"/>
        <v/>
      </c>
      <c r="CR45" s="443" t="str">
        <f t="shared" si="74"/>
        <v/>
      </c>
      <c r="CS45" s="443" t="str">
        <f t="shared" si="75"/>
        <v/>
      </c>
      <c r="CT45" s="443" t="str">
        <f t="shared" si="76"/>
        <v/>
      </c>
      <c r="CU45" s="443" t="str">
        <f t="shared" si="77"/>
        <v/>
      </c>
      <c r="CV45" s="443" t="str">
        <f t="shared" si="78"/>
        <v/>
      </c>
      <c r="CW45" s="443" t="str">
        <f t="shared" si="79"/>
        <v/>
      </c>
      <c r="CX45" s="443" t="str">
        <f t="shared" si="80"/>
        <v/>
      </c>
      <c r="CY45" s="443" t="str">
        <f t="shared" si="81"/>
        <v/>
      </c>
      <c r="CZ45" s="443" t="str">
        <f t="shared" si="82"/>
        <v/>
      </c>
      <c r="DA45" s="443" t="str">
        <f t="shared" si="83"/>
        <v/>
      </c>
      <c r="DB45" s="443" t="str">
        <f t="shared" si="84"/>
        <v/>
      </c>
      <c r="DC45" s="443" t="str">
        <f t="shared" si="85"/>
        <v/>
      </c>
      <c r="DD45" s="443" t="str">
        <f t="shared" si="86"/>
        <v/>
      </c>
      <c r="DE45" s="443" t="str">
        <f t="shared" si="87"/>
        <v/>
      </c>
      <c r="DF45" s="443" t="str">
        <f t="shared" si="88"/>
        <v/>
      </c>
      <c r="DG45" s="443" t="str">
        <f t="shared" si="89"/>
        <v/>
      </c>
      <c r="DH45" s="443" t="str">
        <f t="shared" si="90"/>
        <v/>
      </c>
      <c r="DI45" s="443" t="str">
        <f t="shared" si="91"/>
        <v/>
      </c>
      <c r="DJ45" s="443" t="str">
        <f t="shared" si="92"/>
        <v/>
      </c>
      <c r="DK45" s="443" t="str">
        <f t="shared" si="93"/>
        <v/>
      </c>
      <c r="DL45" s="443" t="str">
        <f t="shared" si="94"/>
        <v/>
      </c>
      <c r="DM45" s="443" t="str">
        <f t="shared" si="95"/>
        <v/>
      </c>
      <c r="DN45" s="443" t="str">
        <f t="shared" si="96"/>
        <v/>
      </c>
      <c r="DO45" s="443" t="str">
        <f t="shared" si="97"/>
        <v/>
      </c>
      <c r="DP45" s="443" t="str">
        <f t="shared" si="98"/>
        <v/>
      </c>
      <c r="DQ45" s="443" t="str">
        <f t="shared" si="99"/>
        <v/>
      </c>
      <c r="DR45" s="443" t="str">
        <f t="shared" si="100"/>
        <v/>
      </c>
      <c r="DS45" s="443" t="str">
        <f t="shared" si="101"/>
        <v/>
      </c>
      <c r="DT45" s="443" t="str">
        <f t="shared" si="102"/>
        <v/>
      </c>
      <c r="DU45" s="443" t="str">
        <f t="shared" si="103"/>
        <v/>
      </c>
      <c r="DV45" s="443" t="str">
        <f t="shared" si="104"/>
        <v/>
      </c>
      <c r="DW45" s="443" t="str">
        <f t="shared" si="105"/>
        <v/>
      </c>
      <c r="DX45" s="443" t="str">
        <f t="shared" si="106"/>
        <v/>
      </c>
      <c r="DY45" s="443" t="str">
        <f t="shared" si="107"/>
        <v/>
      </c>
      <c r="DZ45" s="443" t="str">
        <f t="shared" si="108"/>
        <v/>
      </c>
      <c r="EA45" s="443" t="str">
        <f t="shared" si="109"/>
        <v/>
      </c>
      <c r="EB45" s="443" t="str">
        <f t="shared" si="110"/>
        <v/>
      </c>
      <c r="EC45" s="443" t="str">
        <f t="shared" si="111"/>
        <v/>
      </c>
      <c r="ED45" s="443" t="str">
        <f t="shared" si="112"/>
        <v/>
      </c>
      <c r="EE45" s="443" t="str">
        <f t="shared" si="113"/>
        <v/>
      </c>
      <c r="EF45" s="443" t="str">
        <f t="shared" si="114"/>
        <v/>
      </c>
      <c r="EG45" s="443" t="str">
        <f t="shared" si="115"/>
        <v/>
      </c>
      <c r="EH45" s="443" t="str">
        <f t="shared" si="116"/>
        <v/>
      </c>
      <c r="EI45" s="443" t="str">
        <f t="shared" si="117"/>
        <v/>
      </c>
      <c r="EJ45" s="443" t="str">
        <f t="shared" si="118"/>
        <v/>
      </c>
      <c r="EK45" s="443" t="str">
        <f t="shared" si="119"/>
        <v/>
      </c>
      <c r="EL45" s="443" t="str">
        <f t="shared" si="120"/>
        <v/>
      </c>
      <c r="EM45" s="443" t="str">
        <f t="shared" si="121"/>
        <v/>
      </c>
      <c r="EN45" s="443" t="str">
        <f t="shared" si="122"/>
        <v/>
      </c>
      <c r="EO45" s="443" t="str">
        <f t="shared" si="123"/>
        <v/>
      </c>
      <c r="EP45" s="443" t="str">
        <f t="shared" si="124"/>
        <v/>
      </c>
      <c r="EQ45" s="443" t="str">
        <f t="shared" si="125"/>
        <v/>
      </c>
      <c r="ER45" s="443" t="str">
        <f t="shared" si="126"/>
        <v/>
      </c>
      <c r="ES45" s="443" t="str">
        <f t="shared" si="127"/>
        <v/>
      </c>
      <c r="ET45" s="443" t="str">
        <f t="shared" si="128"/>
        <v/>
      </c>
      <c r="EU45" s="443" t="str">
        <f t="shared" si="129"/>
        <v/>
      </c>
      <c r="EV45" s="443" t="str">
        <f t="shared" si="130"/>
        <v/>
      </c>
      <c r="EW45" s="443" t="str">
        <f t="shared" si="131"/>
        <v/>
      </c>
      <c r="EX45" s="443" t="str">
        <f t="shared" si="132"/>
        <v/>
      </c>
      <c r="EY45" s="443" t="str">
        <f t="shared" si="133"/>
        <v/>
      </c>
      <c r="EZ45" s="443" t="str">
        <f t="shared" si="134"/>
        <v/>
      </c>
      <c r="FA45" s="443" t="str">
        <f t="shared" si="135"/>
        <v/>
      </c>
      <c r="FB45" s="443" t="str">
        <f t="shared" si="136"/>
        <v/>
      </c>
      <c r="FC45" s="443" t="str">
        <f t="shared" si="137"/>
        <v/>
      </c>
      <c r="FD45" s="443" t="str">
        <f t="shared" si="138"/>
        <v/>
      </c>
      <c r="FE45" s="443" t="str">
        <f t="shared" si="139"/>
        <v/>
      </c>
      <c r="FF45" s="443" t="str">
        <f t="shared" si="140"/>
        <v/>
      </c>
      <c r="FG45" s="443" t="str">
        <f t="shared" si="141"/>
        <v/>
      </c>
      <c r="FH45" s="443" t="str">
        <f t="shared" si="142"/>
        <v/>
      </c>
      <c r="FI45" s="443" t="str">
        <f t="shared" si="143"/>
        <v/>
      </c>
      <c r="FJ45" s="443" t="str">
        <f t="shared" si="144"/>
        <v/>
      </c>
      <c r="FK45" s="443" t="str">
        <f t="shared" si="145"/>
        <v/>
      </c>
      <c r="FL45" s="443" t="str">
        <f t="shared" si="146"/>
        <v/>
      </c>
      <c r="FM45" s="443" t="str">
        <f t="shared" si="147"/>
        <v/>
      </c>
      <c r="FN45" s="443" t="str">
        <f t="shared" si="148"/>
        <v/>
      </c>
      <c r="FO45" s="443" t="str">
        <f t="shared" si="149"/>
        <v/>
      </c>
      <c r="FP45" s="443" t="str">
        <f t="shared" si="150"/>
        <v/>
      </c>
      <c r="FQ45" s="443" t="str">
        <f t="shared" si="151"/>
        <v/>
      </c>
      <c r="FR45" s="443" t="str">
        <f t="shared" si="152"/>
        <v/>
      </c>
      <c r="FS45" s="443" t="str">
        <f t="shared" si="153"/>
        <v/>
      </c>
      <c r="FT45" s="443" t="str">
        <f t="shared" si="154"/>
        <v/>
      </c>
      <c r="FU45" s="443" t="str">
        <f t="shared" si="155"/>
        <v/>
      </c>
      <c r="FV45" s="443" t="str">
        <f t="shared" si="156"/>
        <v/>
      </c>
      <c r="FW45" s="443" t="str">
        <f t="shared" si="157"/>
        <v/>
      </c>
      <c r="FX45" s="443" t="str">
        <f t="shared" si="158"/>
        <v/>
      </c>
      <c r="FY45" s="443" t="str">
        <f t="shared" si="159"/>
        <v/>
      </c>
      <c r="FZ45" s="443" t="str">
        <f t="shared" si="160"/>
        <v/>
      </c>
      <c r="GA45" s="443" t="str">
        <f t="shared" si="161"/>
        <v/>
      </c>
      <c r="GB45" s="443" t="str">
        <f t="shared" si="162"/>
        <v/>
      </c>
      <c r="GC45" s="443" t="str">
        <f t="shared" si="163"/>
        <v/>
      </c>
      <c r="GD45" s="443" t="str">
        <f t="shared" si="164"/>
        <v/>
      </c>
      <c r="GE45" s="443" t="str">
        <f t="shared" si="165"/>
        <v/>
      </c>
      <c r="GF45" s="443" t="str">
        <f t="shared" si="166"/>
        <v/>
      </c>
      <c r="GG45" s="443" t="str">
        <f t="shared" si="167"/>
        <v/>
      </c>
      <c r="GH45" s="443" t="str">
        <f t="shared" si="168"/>
        <v/>
      </c>
      <c r="GI45" s="443" t="str">
        <f t="shared" si="169"/>
        <v/>
      </c>
      <c r="GJ45" s="443" t="str">
        <f t="shared" si="170"/>
        <v/>
      </c>
      <c r="GK45" s="443" t="str">
        <f t="shared" si="171"/>
        <v/>
      </c>
      <c r="GL45" s="443" t="str">
        <f t="shared" si="172"/>
        <v/>
      </c>
      <c r="GM45" s="443" t="str">
        <f t="shared" si="173"/>
        <v/>
      </c>
      <c r="GN45" s="443" t="str">
        <f t="shared" si="174"/>
        <v/>
      </c>
      <c r="GO45" s="443" t="str">
        <f t="shared" si="175"/>
        <v/>
      </c>
      <c r="GP45" s="443" t="str">
        <f t="shared" si="176"/>
        <v/>
      </c>
      <c r="GQ45" s="443" t="str">
        <f t="shared" si="177"/>
        <v/>
      </c>
      <c r="GR45" s="443" t="str">
        <f t="shared" si="178"/>
        <v/>
      </c>
      <c r="GS45" s="443" t="str">
        <f t="shared" si="179"/>
        <v/>
      </c>
      <c r="GT45" s="443" t="str">
        <f t="shared" si="180"/>
        <v/>
      </c>
      <c r="GU45" s="443" t="str">
        <f t="shared" si="181"/>
        <v/>
      </c>
      <c r="GV45" s="443" t="str">
        <f t="shared" si="182"/>
        <v/>
      </c>
      <c r="GW45" s="443" t="str">
        <f t="shared" si="183"/>
        <v/>
      </c>
      <c r="GX45" s="443" t="str">
        <f t="shared" si="184"/>
        <v/>
      </c>
      <c r="GY45" s="443" t="str">
        <f t="shared" si="185"/>
        <v/>
      </c>
      <c r="GZ45" s="443" t="str">
        <f t="shared" si="186"/>
        <v/>
      </c>
      <c r="HA45" s="443" t="str">
        <f t="shared" si="187"/>
        <v/>
      </c>
      <c r="HB45" s="443" t="str">
        <f t="shared" si="188"/>
        <v/>
      </c>
      <c r="HC45" s="443" t="str">
        <f t="shared" si="189"/>
        <v/>
      </c>
      <c r="HD45" s="443" t="str">
        <f t="shared" si="190"/>
        <v/>
      </c>
      <c r="HE45" s="443" t="str">
        <f t="shared" si="191"/>
        <v/>
      </c>
      <c r="HF45" s="443" t="str">
        <f t="shared" si="192"/>
        <v/>
      </c>
      <c r="HG45" s="443" t="str">
        <f t="shared" si="193"/>
        <v/>
      </c>
      <c r="HH45" s="443" t="str">
        <f t="shared" si="194"/>
        <v/>
      </c>
      <c r="HI45" s="443" t="str">
        <f t="shared" si="195"/>
        <v/>
      </c>
      <c r="HJ45" s="443" t="str">
        <f t="shared" si="196"/>
        <v/>
      </c>
      <c r="HK45" s="443" t="str">
        <f t="shared" si="197"/>
        <v/>
      </c>
      <c r="HL45" s="443" t="str">
        <f t="shared" si="198"/>
        <v/>
      </c>
      <c r="HM45" s="443" t="str">
        <f t="shared" si="199"/>
        <v/>
      </c>
      <c r="HN45" s="443" t="str">
        <f t="shared" si="200"/>
        <v/>
      </c>
      <c r="HO45" s="443" t="str">
        <f t="shared" si="201"/>
        <v/>
      </c>
      <c r="HP45" s="443" t="str">
        <f t="shared" si="202"/>
        <v/>
      </c>
      <c r="HQ45" s="443" t="str">
        <f t="shared" si="203"/>
        <v/>
      </c>
      <c r="HR45" s="443" t="str">
        <f t="shared" si="204"/>
        <v/>
      </c>
      <c r="HS45" s="443" t="str">
        <f t="shared" si="205"/>
        <v/>
      </c>
      <c r="HT45" s="443" t="str">
        <f t="shared" si="206"/>
        <v/>
      </c>
      <c r="HU45" s="443" t="str">
        <f t="shared" si="207"/>
        <v/>
      </c>
      <c r="HV45" s="443" t="str">
        <f t="shared" si="208"/>
        <v/>
      </c>
      <c r="HW45" s="443" t="str">
        <f t="shared" si="209"/>
        <v/>
      </c>
      <c r="HX45" s="443" t="str">
        <f t="shared" si="210"/>
        <v/>
      </c>
      <c r="HY45" s="443" t="str">
        <f t="shared" si="211"/>
        <v/>
      </c>
      <c r="HZ45" s="2247" t="str">
        <f t="shared" si="212"/>
        <v/>
      </c>
      <c r="IA45" s="2247" t="str">
        <f t="shared" si="213"/>
        <v/>
      </c>
      <c r="IB45" s="2247" t="str">
        <f t="shared" si="214"/>
        <v/>
      </c>
      <c r="IC45" s="2247" t="str">
        <f t="shared" si="215"/>
        <v/>
      </c>
      <c r="ID45" s="2247" t="str">
        <f t="shared" si="216"/>
        <v/>
      </c>
      <c r="IE45" s="2247" t="str">
        <f t="shared" si="217"/>
        <v/>
      </c>
      <c r="IF45" s="2247" t="str">
        <f t="shared" si="218"/>
        <v/>
      </c>
      <c r="IG45" s="2247" t="str">
        <f t="shared" si="219"/>
        <v/>
      </c>
      <c r="IH45" s="2247" t="str">
        <f t="shared" si="220"/>
        <v/>
      </c>
      <c r="II45" s="2247" t="str">
        <f t="shared" si="221"/>
        <v/>
      </c>
      <c r="IJ45" s="2247" t="str">
        <f t="shared" si="222"/>
        <v/>
      </c>
      <c r="IK45" s="2247" t="str">
        <f t="shared" si="223"/>
        <v/>
      </c>
      <c r="IL45" s="2247" t="str">
        <f t="shared" si="224"/>
        <v/>
      </c>
      <c r="IM45" s="2247" t="str">
        <f t="shared" si="225"/>
        <v/>
      </c>
      <c r="IN45" s="2247" t="str">
        <f t="shared" si="226"/>
        <v/>
      </c>
      <c r="IO45" s="2247" t="str">
        <f t="shared" si="227"/>
        <v/>
      </c>
      <c r="IP45" s="2247" t="str">
        <f t="shared" si="228"/>
        <v/>
      </c>
      <c r="IQ45" s="2247" t="str">
        <f t="shared" si="229"/>
        <v/>
      </c>
      <c r="IR45" s="2247" t="str">
        <f t="shared" si="230"/>
        <v/>
      </c>
      <c r="IS45" s="2247" t="str">
        <f t="shared" si="231"/>
        <v/>
      </c>
      <c r="IT45" s="2247" t="str">
        <f t="shared" si="232"/>
        <v/>
      </c>
      <c r="IU45" s="2247" t="str">
        <f t="shared" si="233"/>
        <v/>
      </c>
      <c r="IV45" s="2247" t="str">
        <f t="shared" si="234"/>
        <v/>
      </c>
      <c r="IW45" s="2247" t="str">
        <f t="shared" si="235"/>
        <v/>
      </c>
      <c r="IX45" s="2247" t="str">
        <f t="shared" si="236"/>
        <v/>
      </c>
      <c r="IY45" s="2247" t="str">
        <f t="shared" si="237"/>
        <v/>
      </c>
      <c r="IZ45" s="2247" t="str">
        <f t="shared" si="238"/>
        <v/>
      </c>
      <c r="JA45" s="2247" t="str">
        <f t="shared" si="239"/>
        <v/>
      </c>
      <c r="JB45" s="2247" t="str">
        <f t="shared" si="240"/>
        <v/>
      </c>
      <c r="JC45" s="2247" t="str">
        <f t="shared" si="241"/>
        <v/>
      </c>
      <c r="JD45" s="2247" t="str">
        <f t="shared" si="242"/>
        <v/>
      </c>
      <c r="JE45" s="2247" t="str">
        <f t="shared" si="243"/>
        <v/>
      </c>
      <c r="JF45" s="2247" t="str">
        <f t="shared" si="244"/>
        <v/>
      </c>
      <c r="JG45" s="2247" t="str">
        <f t="shared" si="245"/>
        <v/>
      </c>
      <c r="JH45" s="2247" t="str">
        <f t="shared" si="246"/>
        <v/>
      </c>
      <c r="JI45" s="2247" t="str">
        <f t="shared" si="247"/>
        <v/>
      </c>
      <c r="JJ45" s="2247" t="str">
        <f t="shared" si="248"/>
        <v/>
      </c>
      <c r="JK45" s="2247" t="str">
        <f t="shared" si="249"/>
        <v/>
      </c>
      <c r="JL45" s="2247" t="str">
        <f t="shared" si="250"/>
        <v/>
      </c>
      <c r="JM45" s="2247" t="str">
        <f t="shared" si="251"/>
        <v/>
      </c>
      <c r="JN45" s="2247" t="str">
        <f t="shared" si="252"/>
        <v/>
      </c>
      <c r="JO45" s="2247" t="str">
        <f t="shared" si="253"/>
        <v/>
      </c>
      <c r="JP45" s="2247" t="str">
        <f t="shared" si="254"/>
        <v/>
      </c>
      <c r="JQ45" s="2247" t="str">
        <f t="shared" si="255"/>
        <v/>
      </c>
      <c r="JR45" s="2247" t="str">
        <f t="shared" si="256"/>
        <v/>
      </c>
      <c r="JS45" s="2247" t="str">
        <f t="shared" si="257"/>
        <v/>
      </c>
      <c r="JT45" s="2247" t="str">
        <f t="shared" si="258"/>
        <v/>
      </c>
      <c r="JU45" s="2247" t="str">
        <f t="shared" si="259"/>
        <v/>
      </c>
      <c r="JV45" s="2247" t="str">
        <f t="shared" si="260"/>
        <v/>
      </c>
      <c r="JW45" s="2247" t="str">
        <f t="shared" si="261"/>
        <v/>
      </c>
      <c r="JX45" s="2247" t="str">
        <f t="shared" si="262"/>
        <v/>
      </c>
      <c r="JY45" s="2247" t="str">
        <f t="shared" si="263"/>
        <v/>
      </c>
      <c r="JZ45" s="2247" t="str">
        <f t="shared" si="264"/>
        <v/>
      </c>
      <c r="KA45" s="2247" t="str">
        <f t="shared" si="265"/>
        <v/>
      </c>
      <c r="KB45" s="2247" t="str">
        <f t="shared" si="266"/>
        <v/>
      </c>
      <c r="KC45" s="2247" t="str">
        <f t="shared" si="267"/>
        <v/>
      </c>
      <c r="KD45" s="2247" t="str">
        <f t="shared" si="268"/>
        <v/>
      </c>
      <c r="KE45" s="2247" t="str">
        <f t="shared" si="269"/>
        <v/>
      </c>
      <c r="KF45" s="2247" t="str">
        <f t="shared" si="270"/>
        <v/>
      </c>
      <c r="KG45" s="2247" t="str">
        <f t="shared" si="271"/>
        <v/>
      </c>
      <c r="KH45" s="2247" t="str">
        <f t="shared" si="272"/>
        <v/>
      </c>
      <c r="KI45" s="2247" t="str">
        <f t="shared" si="273"/>
        <v/>
      </c>
      <c r="KJ45" s="2247" t="str">
        <f t="shared" si="274"/>
        <v/>
      </c>
      <c r="KK45" s="2247" t="str">
        <f t="shared" si="275"/>
        <v/>
      </c>
      <c r="KL45" s="2247" t="str">
        <f t="shared" si="276"/>
        <v/>
      </c>
      <c r="KM45" s="2247" t="str">
        <f t="shared" si="277"/>
        <v/>
      </c>
      <c r="KN45" s="2247" t="str">
        <f t="shared" si="278"/>
        <v/>
      </c>
      <c r="KO45" s="2247" t="str">
        <f t="shared" si="279"/>
        <v/>
      </c>
      <c r="KP45" s="2247" t="str">
        <f t="shared" si="280"/>
        <v/>
      </c>
      <c r="KQ45" s="2247" t="str">
        <f t="shared" si="281"/>
        <v/>
      </c>
      <c r="KR45" s="2247" t="str">
        <f t="shared" si="282"/>
        <v/>
      </c>
      <c r="KS45" s="2247" t="str">
        <f t="shared" si="283"/>
        <v/>
      </c>
      <c r="KT45" s="2247" t="str">
        <f t="shared" si="284"/>
        <v/>
      </c>
      <c r="KU45" s="2247" t="str">
        <f t="shared" si="285"/>
        <v/>
      </c>
      <c r="KV45" s="2247" t="str">
        <f t="shared" si="286"/>
        <v/>
      </c>
      <c r="KW45" s="2247" t="str">
        <f t="shared" si="287"/>
        <v/>
      </c>
      <c r="KX45" s="2247" t="str">
        <f t="shared" si="288"/>
        <v/>
      </c>
      <c r="KY45" s="2247" t="str">
        <f t="shared" si="289"/>
        <v/>
      </c>
      <c r="KZ45" s="2247" t="str">
        <f t="shared" si="290"/>
        <v/>
      </c>
      <c r="LA45" s="2247" t="str">
        <f t="shared" si="291"/>
        <v/>
      </c>
      <c r="LB45" s="2247" t="str">
        <f t="shared" si="292"/>
        <v/>
      </c>
      <c r="LC45" s="2247" t="str">
        <f t="shared" si="293"/>
        <v/>
      </c>
      <c r="LD45" s="2247" t="str">
        <f t="shared" si="294"/>
        <v/>
      </c>
      <c r="LE45" s="2247" t="str">
        <f t="shared" si="295"/>
        <v/>
      </c>
      <c r="LF45" s="2247" t="str">
        <f t="shared" si="296"/>
        <v/>
      </c>
      <c r="LG45" s="2247" t="str">
        <f t="shared" si="297"/>
        <v/>
      </c>
      <c r="LH45" s="2247" t="str">
        <f t="shared" si="298"/>
        <v/>
      </c>
      <c r="LI45" s="2247" t="str">
        <f t="shared" si="299"/>
        <v/>
      </c>
      <c r="LJ45" s="2247" t="str">
        <f t="shared" si="300"/>
        <v/>
      </c>
      <c r="LK45" s="2247" t="str">
        <f t="shared" si="301"/>
        <v/>
      </c>
      <c r="LL45" s="2247" t="str">
        <f t="shared" si="302"/>
        <v/>
      </c>
      <c r="LM45" s="2247" t="str">
        <f t="shared" si="303"/>
        <v/>
      </c>
      <c r="LN45" s="2247" t="str">
        <f t="shared" si="304"/>
        <v/>
      </c>
      <c r="LO45" s="2247" t="str">
        <f t="shared" si="305"/>
        <v/>
      </c>
      <c r="LP45" s="2247" t="str">
        <f t="shared" si="306"/>
        <v/>
      </c>
      <c r="LQ45" s="2248" t="str">
        <f t="shared" si="307"/>
        <v/>
      </c>
      <c r="LR45" s="2248" t="str">
        <f t="shared" si="308"/>
        <v/>
      </c>
      <c r="LS45" s="2248" t="str">
        <f t="shared" si="309"/>
        <v/>
      </c>
      <c r="LT45" s="2248" t="str">
        <f t="shared" si="310"/>
        <v/>
      </c>
      <c r="LU45" s="2248" t="str">
        <f t="shared" si="311"/>
        <v/>
      </c>
      <c r="LV45" s="443" t="str">
        <f t="shared" si="312"/>
        <v/>
      </c>
      <c r="LW45" s="443" t="str">
        <f t="shared" si="313"/>
        <v/>
      </c>
      <c r="LX45" s="443" t="str">
        <f t="shared" si="314"/>
        <v/>
      </c>
      <c r="LY45" s="443" t="str">
        <f t="shared" si="315"/>
        <v/>
      </c>
      <c r="LZ45" s="443" t="str">
        <f t="shared" si="316"/>
        <v/>
      </c>
      <c r="MA45" s="443" t="str">
        <f t="shared" si="317"/>
        <v/>
      </c>
      <c r="MB45" s="443" t="str">
        <f t="shared" si="318"/>
        <v/>
      </c>
      <c r="MC45" s="443" t="str">
        <f t="shared" si="319"/>
        <v/>
      </c>
      <c r="MD45" s="443" t="str">
        <f t="shared" si="320"/>
        <v/>
      </c>
      <c r="ME45" s="443" t="str">
        <f t="shared" si="321"/>
        <v/>
      </c>
      <c r="MF45" s="443" t="str">
        <f t="shared" si="322"/>
        <v/>
      </c>
      <c r="MG45" s="443" t="str">
        <f t="shared" si="323"/>
        <v/>
      </c>
      <c r="MH45" s="443" t="str">
        <f t="shared" si="324"/>
        <v/>
      </c>
      <c r="MI45" s="443" t="str">
        <f t="shared" si="325"/>
        <v/>
      </c>
      <c r="MJ45" s="443" t="str">
        <f t="shared" si="326"/>
        <v/>
      </c>
      <c r="MK45" s="443" t="str">
        <f t="shared" si="327"/>
        <v/>
      </c>
      <c r="ML45" s="443" t="str">
        <f t="shared" si="328"/>
        <v/>
      </c>
      <c r="MM45" s="443" t="str">
        <f t="shared" si="329"/>
        <v/>
      </c>
      <c r="MN45" s="443" t="str">
        <f t="shared" si="330"/>
        <v/>
      </c>
      <c r="MO45" s="443" t="str">
        <f t="shared" si="331"/>
        <v/>
      </c>
      <c r="MP45" s="2246">
        <f t="shared" si="338"/>
        <v>0</v>
      </c>
      <c r="MQ45" s="2246">
        <f t="shared" si="339"/>
        <v>0</v>
      </c>
      <c r="MR45" s="2246">
        <f t="shared" si="340"/>
        <v>0</v>
      </c>
      <c r="MS45" s="2246">
        <f t="shared" si="341"/>
        <v>0</v>
      </c>
      <c r="MT45" s="2246">
        <f t="shared" si="342"/>
        <v>0</v>
      </c>
      <c r="MU45" s="2246">
        <f t="shared" si="343"/>
        <v>0</v>
      </c>
      <c r="MV45" s="2246">
        <f t="shared" si="344"/>
        <v>0</v>
      </c>
      <c r="MW45" s="2246">
        <f t="shared" si="345"/>
        <v>0</v>
      </c>
      <c r="MX45" s="2246">
        <f t="shared" si="346"/>
        <v>0</v>
      </c>
      <c r="MY45" s="2246">
        <f t="shared" si="347"/>
        <v>0</v>
      </c>
      <c r="MZ45" s="2246">
        <f t="shared" si="332"/>
        <v>0</v>
      </c>
      <c r="NA45" s="2246">
        <f t="shared" si="333"/>
        <v>0</v>
      </c>
      <c r="NB45" s="2246">
        <f t="shared" si="334"/>
        <v>0</v>
      </c>
      <c r="NC45" s="2246">
        <f t="shared" si="335"/>
        <v>0</v>
      </c>
      <c r="ND45" s="2246">
        <f t="shared" si="336"/>
        <v>0</v>
      </c>
    </row>
    <row r="46" spans="1:369" ht="13.95" customHeight="1">
      <c r="A46" s="109" t="str">
        <f t="shared" si="337"/>
        <v/>
      </c>
      <c r="B46" s="4015"/>
      <c r="C46" s="3987"/>
      <c r="D46" s="3988"/>
      <c r="E46" s="3989"/>
      <c r="F46" s="3989"/>
      <c r="G46" s="3989"/>
      <c r="H46" s="3989"/>
      <c r="I46" s="3989"/>
      <c r="J46" s="4016">
        <f>IF(C46="",0,HLOOKUP(C46,'Part V-Utility Allowances'!$I$11:$M$22,12))</f>
        <v>0</v>
      </c>
      <c r="K46" s="3991"/>
      <c r="L46" s="567">
        <f t="shared" si="0"/>
        <v>0</v>
      </c>
      <c r="M46" s="567">
        <f t="shared" si="1"/>
        <v>0</v>
      </c>
      <c r="N46" s="3992"/>
      <c r="O46" s="3992"/>
      <c r="P46" s="3992"/>
      <c r="Q46" s="3993"/>
      <c r="R46" s="3994"/>
      <c r="S46" s="3995"/>
      <c r="T46" s="3996"/>
      <c r="U46" s="3997"/>
      <c r="V46" s="3997"/>
      <c r="W46" s="3998"/>
      <c r="X46" s="443" t="str">
        <f t="shared" si="2"/>
        <v/>
      </c>
      <c r="Y46" s="443" t="str">
        <f t="shared" si="3"/>
        <v/>
      </c>
      <c r="Z46" s="443" t="str">
        <f t="shared" si="4"/>
        <v/>
      </c>
      <c r="AA46" s="443" t="str">
        <f t="shared" si="5"/>
        <v/>
      </c>
      <c r="AB46" s="443" t="str">
        <f t="shared" si="6"/>
        <v/>
      </c>
      <c r="AC46" s="443" t="str">
        <f t="shared" si="7"/>
        <v/>
      </c>
      <c r="AD46" s="443" t="str">
        <f t="shared" si="8"/>
        <v/>
      </c>
      <c r="AE46" s="443" t="str">
        <f t="shared" si="9"/>
        <v/>
      </c>
      <c r="AF46" s="443" t="str">
        <f t="shared" si="10"/>
        <v/>
      </c>
      <c r="AG46" s="443" t="str">
        <f t="shared" si="11"/>
        <v/>
      </c>
      <c r="AH46" s="443" t="str">
        <f t="shared" si="12"/>
        <v/>
      </c>
      <c r="AI46" s="443" t="str">
        <f t="shared" si="13"/>
        <v/>
      </c>
      <c r="AJ46" s="443" t="str">
        <f t="shared" si="14"/>
        <v/>
      </c>
      <c r="AK46" s="443" t="str">
        <f t="shared" si="15"/>
        <v/>
      </c>
      <c r="AL46" s="443" t="str">
        <f t="shared" si="16"/>
        <v/>
      </c>
      <c r="AM46" s="443" t="str">
        <f t="shared" si="17"/>
        <v/>
      </c>
      <c r="AN46" s="443" t="str">
        <f t="shared" si="18"/>
        <v/>
      </c>
      <c r="AO46" s="443" t="str">
        <f t="shared" si="19"/>
        <v/>
      </c>
      <c r="AP46" s="443" t="str">
        <f t="shared" si="20"/>
        <v/>
      </c>
      <c r="AQ46" s="443" t="str">
        <f t="shared" si="21"/>
        <v/>
      </c>
      <c r="AR46" s="443" t="str">
        <f t="shared" si="22"/>
        <v/>
      </c>
      <c r="AS46" s="443" t="str">
        <f t="shared" si="23"/>
        <v/>
      </c>
      <c r="AT46" s="443" t="str">
        <f t="shared" si="24"/>
        <v/>
      </c>
      <c r="AU46" s="443" t="str">
        <f t="shared" si="25"/>
        <v/>
      </c>
      <c r="AV46" s="443" t="str">
        <f t="shared" si="26"/>
        <v/>
      </c>
      <c r="AW46" s="443" t="str">
        <f t="shared" si="27"/>
        <v/>
      </c>
      <c r="AX46" s="443" t="str">
        <f t="shared" si="28"/>
        <v/>
      </c>
      <c r="AY46" s="443" t="str">
        <f t="shared" si="29"/>
        <v/>
      </c>
      <c r="AZ46" s="443" t="str">
        <f t="shared" si="30"/>
        <v/>
      </c>
      <c r="BA46" s="443" t="str">
        <f t="shared" si="31"/>
        <v/>
      </c>
      <c r="BB46" s="443" t="str">
        <f t="shared" si="32"/>
        <v/>
      </c>
      <c r="BC46" s="443" t="str">
        <f t="shared" si="33"/>
        <v/>
      </c>
      <c r="BD46" s="443" t="str">
        <f t="shared" si="34"/>
        <v/>
      </c>
      <c r="BE46" s="443" t="str">
        <f t="shared" si="35"/>
        <v/>
      </c>
      <c r="BF46" s="443" t="str">
        <f t="shared" si="36"/>
        <v/>
      </c>
      <c r="BG46" s="443" t="str">
        <f t="shared" si="37"/>
        <v/>
      </c>
      <c r="BH46" s="443" t="str">
        <f t="shared" si="38"/>
        <v/>
      </c>
      <c r="BI46" s="443" t="str">
        <f t="shared" si="39"/>
        <v/>
      </c>
      <c r="BJ46" s="443" t="str">
        <f t="shared" si="40"/>
        <v/>
      </c>
      <c r="BK46" s="443" t="str">
        <f t="shared" si="41"/>
        <v/>
      </c>
      <c r="BL46" s="443" t="str">
        <f t="shared" si="42"/>
        <v/>
      </c>
      <c r="BM46" s="443" t="str">
        <f t="shared" si="43"/>
        <v/>
      </c>
      <c r="BN46" s="443" t="str">
        <f t="shared" si="44"/>
        <v/>
      </c>
      <c r="BO46" s="443" t="str">
        <f t="shared" si="45"/>
        <v/>
      </c>
      <c r="BP46" s="443" t="str">
        <f t="shared" si="46"/>
        <v/>
      </c>
      <c r="BQ46" s="443" t="str">
        <f t="shared" si="47"/>
        <v/>
      </c>
      <c r="BR46" s="443" t="str">
        <f t="shared" si="48"/>
        <v/>
      </c>
      <c r="BS46" s="443" t="str">
        <f t="shared" si="49"/>
        <v/>
      </c>
      <c r="BT46" s="443" t="str">
        <f t="shared" si="50"/>
        <v/>
      </c>
      <c r="BU46" s="443" t="str">
        <f t="shared" si="51"/>
        <v/>
      </c>
      <c r="BV46" s="443" t="str">
        <f t="shared" si="52"/>
        <v/>
      </c>
      <c r="BW46" s="443" t="str">
        <f t="shared" si="53"/>
        <v/>
      </c>
      <c r="BX46" s="443" t="str">
        <f t="shared" si="54"/>
        <v/>
      </c>
      <c r="BY46" s="443" t="str">
        <f t="shared" si="55"/>
        <v/>
      </c>
      <c r="BZ46" s="443" t="str">
        <f t="shared" si="56"/>
        <v/>
      </c>
      <c r="CA46" s="443" t="str">
        <f t="shared" si="57"/>
        <v/>
      </c>
      <c r="CB46" s="443" t="str">
        <f t="shared" si="58"/>
        <v/>
      </c>
      <c r="CC46" s="443" t="str">
        <f t="shared" si="59"/>
        <v/>
      </c>
      <c r="CD46" s="443" t="str">
        <f t="shared" si="60"/>
        <v/>
      </c>
      <c r="CE46" s="443" t="str">
        <f t="shared" si="61"/>
        <v/>
      </c>
      <c r="CF46" s="443" t="str">
        <f t="shared" si="62"/>
        <v/>
      </c>
      <c r="CG46" s="443" t="str">
        <f t="shared" si="63"/>
        <v/>
      </c>
      <c r="CH46" s="443" t="str">
        <f t="shared" si="64"/>
        <v/>
      </c>
      <c r="CI46" s="443" t="str">
        <f t="shared" si="65"/>
        <v/>
      </c>
      <c r="CJ46" s="443" t="str">
        <f t="shared" si="66"/>
        <v/>
      </c>
      <c r="CK46" s="443" t="str">
        <f t="shared" si="67"/>
        <v/>
      </c>
      <c r="CL46" s="443" t="str">
        <f t="shared" si="68"/>
        <v/>
      </c>
      <c r="CM46" s="443" t="str">
        <f t="shared" si="69"/>
        <v/>
      </c>
      <c r="CN46" s="443" t="str">
        <f t="shared" si="70"/>
        <v/>
      </c>
      <c r="CO46" s="443" t="str">
        <f t="shared" si="71"/>
        <v/>
      </c>
      <c r="CP46" s="443" t="str">
        <f t="shared" si="72"/>
        <v/>
      </c>
      <c r="CQ46" s="443" t="str">
        <f t="shared" si="73"/>
        <v/>
      </c>
      <c r="CR46" s="443" t="str">
        <f t="shared" si="74"/>
        <v/>
      </c>
      <c r="CS46" s="443" t="str">
        <f t="shared" si="75"/>
        <v/>
      </c>
      <c r="CT46" s="443" t="str">
        <f t="shared" si="76"/>
        <v/>
      </c>
      <c r="CU46" s="443" t="str">
        <f t="shared" si="77"/>
        <v/>
      </c>
      <c r="CV46" s="443" t="str">
        <f t="shared" si="78"/>
        <v/>
      </c>
      <c r="CW46" s="443" t="str">
        <f t="shared" si="79"/>
        <v/>
      </c>
      <c r="CX46" s="443" t="str">
        <f t="shared" si="80"/>
        <v/>
      </c>
      <c r="CY46" s="443" t="str">
        <f t="shared" si="81"/>
        <v/>
      </c>
      <c r="CZ46" s="443" t="str">
        <f t="shared" si="82"/>
        <v/>
      </c>
      <c r="DA46" s="443" t="str">
        <f t="shared" si="83"/>
        <v/>
      </c>
      <c r="DB46" s="443" t="str">
        <f t="shared" si="84"/>
        <v/>
      </c>
      <c r="DC46" s="443" t="str">
        <f t="shared" si="85"/>
        <v/>
      </c>
      <c r="DD46" s="443" t="str">
        <f t="shared" si="86"/>
        <v/>
      </c>
      <c r="DE46" s="443" t="str">
        <f t="shared" si="87"/>
        <v/>
      </c>
      <c r="DF46" s="443" t="str">
        <f t="shared" si="88"/>
        <v/>
      </c>
      <c r="DG46" s="443" t="str">
        <f t="shared" si="89"/>
        <v/>
      </c>
      <c r="DH46" s="443" t="str">
        <f t="shared" si="90"/>
        <v/>
      </c>
      <c r="DI46" s="443" t="str">
        <f t="shared" si="91"/>
        <v/>
      </c>
      <c r="DJ46" s="443" t="str">
        <f t="shared" si="92"/>
        <v/>
      </c>
      <c r="DK46" s="443" t="str">
        <f t="shared" si="93"/>
        <v/>
      </c>
      <c r="DL46" s="443" t="str">
        <f t="shared" si="94"/>
        <v/>
      </c>
      <c r="DM46" s="443" t="str">
        <f t="shared" si="95"/>
        <v/>
      </c>
      <c r="DN46" s="443" t="str">
        <f t="shared" si="96"/>
        <v/>
      </c>
      <c r="DO46" s="443" t="str">
        <f t="shared" si="97"/>
        <v/>
      </c>
      <c r="DP46" s="443" t="str">
        <f t="shared" si="98"/>
        <v/>
      </c>
      <c r="DQ46" s="443" t="str">
        <f t="shared" si="99"/>
        <v/>
      </c>
      <c r="DR46" s="443" t="str">
        <f t="shared" si="100"/>
        <v/>
      </c>
      <c r="DS46" s="443" t="str">
        <f t="shared" si="101"/>
        <v/>
      </c>
      <c r="DT46" s="443" t="str">
        <f t="shared" si="102"/>
        <v/>
      </c>
      <c r="DU46" s="443" t="str">
        <f t="shared" si="103"/>
        <v/>
      </c>
      <c r="DV46" s="443" t="str">
        <f t="shared" si="104"/>
        <v/>
      </c>
      <c r="DW46" s="443" t="str">
        <f t="shared" si="105"/>
        <v/>
      </c>
      <c r="DX46" s="443" t="str">
        <f t="shared" si="106"/>
        <v/>
      </c>
      <c r="DY46" s="443" t="str">
        <f t="shared" si="107"/>
        <v/>
      </c>
      <c r="DZ46" s="443" t="str">
        <f t="shared" si="108"/>
        <v/>
      </c>
      <c r="EA46" s="443" t="str">
        <f t="shared" si="109"/>
        <v/>
      </c>
      <c r="EB46" s="443" t="str">
        <f t="shared" si="110"/>
        <v/>
      </c>
      <c r="EC46" s="443" t="str">
        <f t="shared" si="111"/>
        <v/>
      </c>
      <c r="ED46" s="443" t="str">
        <f t="shared" si="112"/>
        <v/>
      </c>
      <c r="EE46" s="443" t="str">
        <f t="shared" si="113"/>
        <v/>
      </c>
      <c r="EF46" s="443" t="str">
        <f t="shared" si="114"/>
        <v/>
      </c>
      <c r="EG46" s="443" t="str">
        <f t="shared" si="115"/>
        <v/>
      </c>
      <c r="EH46" s="443" t="str">
        <f t="shared" si="116"/>
        <v/>
      </c>
      <c r="EI46" s="443" t="str">
        <f t="shared" si="117"/>
        <v/>
      </c>
      <c r="EJ46" s="443" t="str">
        <f t="shared" si="118"/>
        <v/>
      </c>
      <c r="EK46" s="443" t="str">
        <f t="shared" si="119"/>
        <v/>
      </c>
      <c r="EL46" s="443" t="str">
        <f t="shared" si="120"/>
        <v/>
      </c>
      <c r="EM46" s="443" t="str">
        <f t="shared" si="121"/>
        <v/>
      </c>
      <c r="EN46" s="443" t="str">
        <f t="shared" si="122"/>
        <v/>
      </c>
      <c r="EO46" s="443" t="str">
        <f t="shared" si="123"/>
        <v/>
      </c>
      <c r="EP46" s="443" t="str">
        <f t="shared" si="124"/>
        <v/>
      </c>
      <c r="EQ46" s="443" t="str">
        <f t="shared" si="125"/>
        <v/>
      </c>
      <c r="ER46" s="443" t="str">
        <f t="shared" si="126"/>
        <v/>
      </c>
      <c r="ES46" s="443" t="str">
        <f t="shared" si="127"/>
        <v/>
      </c>
      <c r="ET46" s="443" t="str">
        <f t="shared" si="128"/>
        <v/>
      </c>
      <c r="EU46" s="443" t="str">
        <f t="shared" si="129"/>
        <v/>
      </c>
      <c r="EV46" s="443" t="str">
        <f t="shared" si="130"/>
        <v/>
      </c>
      <c r="EW46" s="443" t="str">
        <f t="shared" si="131"/>
        <v/>
      </c>
      <c r="EX46" s="443" t="str">
        <f t="shared" si="132"/>
        <v/>
      </c>
      <c r="EY46" s="443" t="str">
        <f t="shared" si="133"/>
        <v/>
      </c>
      <c r="EZ46" s="443" t="str">
        <f t="shared" si="134"/>
        <v/>
      </c>
      <c r="FA46" s="443" t="str">
        <f t="shared" si="135"/>
        <v/>
      </c>
      <c r="FB46" s="443" t="str">
        <f t="shared" si="136"/>
        <v/>
      </c>
      <c r="FC46" s="443" t="str">
        <f t="shared" si="137"/>
        <v/>
      </c>
      <c r="FD46" s="443" t="str">
        <f t="shared" si="138"/>
        <v/>
      </c>
      <c r="FE46" s="443" t="str">
        <f t="shared" si="139"/>
        <v/>
      </c>
      <c r="FF46" s="443" t="str">
        <f t="shared" si="140"/>
        <v/>
      </c>
      <c r="FG46" s="443" t="str">
        <f t="shared" si="141"/>
        <v/>
      </c>
      <c r="FH46" s="443" t="str">
        <f t="shared" si="142"/>
        <v/>
      </c>
      <c r="FI46" s="443" t="str">
        <f t="shared" si="143"/>
        <v/>
      </c>
      <c r="FJ46" s="443" t="str">
        <f t="shared" si="144"/>
        <v/>
      </c>
      <c r="FK46" s="443" t="str">
        <f t="shared" si="145"/>
        <v/>
      </c>
      <c r="FL46" s="443" t="str">
        <f t="shared" si="146"/>
        <v/>
      </c>
      <c r="FM46" s="443" t="str">
        <f t="shared" si="147"/>
        <v/>
      </c>
      <c r="FN46" s="443" t="str">
        <f t="shared" si="148"/>
        <v/>
      </c>
      <c r="FO46" s="443" t="str">
        <f t="shared" si="149"/>
        <v/>
      </c>
      <c r="FP46" s="443" t="str">
        <f t="shared" si="150"/>
        <v/>
      </c>
      <c r="FQ46" s="443" t="str">
        <f t="shared" si="151"/>
        <v/>
      </c>
      <c r="FR46" s="443" t="str">
        <f t="shared" si="152"/>
        <v/>
      </c>
      <c r="FS46" s="443" t="str">
        <f t="shared" si="153"/>
        <v/>
      </c>
      <c r="FT46" s="443" t="str">
        <f t="shared" si="154"/>
        <v/>
      </c>
      <c r="FU46" s="443" t="str">
        <f t="shared" si="155"/>
        <v/>
      </c>
      <c r="FV46" s="443" t="str">
        <f t="shared" si="156"/>
        <v/>
      </c>
      <c r="FW46" s="443" t="str">
        <f t="shared" si="157"/>
        <v/>
      </c>
      <c r="FX46" s="443" t="str">
        <f t="shared" si="158"/>
        <v/>
      </c>
      <c r="FY46" s="443" t="str">
        <f t="shared" si="159"/>
        <v/>
      </c>
      <c r="FZ46" s="443" t="str">
        <f t="shared" si="160"/>
        <v/>
      </c>
      <c r="GA46" s="443" t="str">
        <f t="shared" si="161"/>
        <v/>
      </c>
      <c r="GB46" s="443" t="str">
        <f t="shared" si="162"/>
        <v/>
      </c>
      <c r="GC46" s="443" t="str">
        <f t="shared" si="163"/>
        <v/>
      </c>
      <c r="GD46" s="443" t="str">
        <f t="shared" si="164"/>
        <v/>
      </c>
      <c r="GE46" s="443" t="str">
        <f t="shared" si="165"/>
        <v/>
      </c>
      <c r="GF46" s="443" t="str">
        <f t="shared" si="166"/>
        <v/>
      </c>
      <c r="GG46" s="443" t="str">
        <f t="shared" si="167"/>
        <v/>
      </c>
      <c r="GH46" s="443" t="str">
        <f t="shared" si="168"/>
        <v/>
      </c>
      <c r="GI46" s="443" t="str">
        <f t="shared" si="169"/>
        <v/>
      </c>
      <c r="GJ46" s="443" t="str">
        <f t="shared" si="170"/>
        <v/>
      </c>
      <c r="GK46" s="443" t="str">
        <f t="shared" si="171"/>
        <v/>
      </c>
      <c r="GL46" s="443" t="str">
        <f t="shared" si="172"/>
        <v/>
      </c>
      <c r="GM46" s="443" t="str">
        <f t="shared" si="173"/>
        <v/>
      </c>
      <c r="GN46" s="443" t="str">
        <f t="shared" si="174"/>
        <v/>
      </c>
      <c r="GO46" s="443" t="str">
        <f t="shared" si="175"/>
        <v/>
      </c>
      <c r="GP46" s="443" t="str">
        <f t="shared" si="176"/>
        <v/>
      </c>
      <c r="GQ46" s="443" t="str">
        <f t="shared" si="177"/>
        <v/>
      </c>
      <c r="GR46" s="443" t="str">
        <f t="shared" si="178"/>
        <v/>
      </c>
      <c r="GS46" s="443" t="str">
        <f t="shared" si="179"/>
        <v/>
      </c>
      <c r="GT46" s="443" t="str">
        <f t="shared" si="180"/>
        <v/>
      </c>
      <c r="GU46" s="443" t="str">
        <f t="shared" si="181"/>
        <v/>
      </c>
      <c r="GV46" s="443" t="str">
        <f t="shared" si="182"/>
        <v/>
      </c>
      <c r="GW46" s="443" t="str">
        <f t="shared" si="183"/>
        <v/>
      </c>
      <c r="GX46" s="443" t="str">
        <f t="shared" si="184"/>
        <v/>
      </c>
      <c r="GY46" s="443" t="str">
        <f t="shared" si="185"/>
        <v/>
      </c>
      <c r="GZ46" s="443" t="str">
        <f t="shared" si="186"/>
        <v/>
      </c>
      <c r="HA46" s="443" t="str">
        <f t="shared" si="187"/>
        <v/>
      </c>
      <c r="HB46" s="443" t="str">
        <f t="shared" si="188"/>
        <v/>
      </c>
      <c r="HC46" s="443" t="str">
        <f t="shared" si="189"/>
        <v/>
      </c>
      <c r="HD46" s="443" t="str">
        <f t="shared" si="190"/>
        <v/>
      </c>
      <c r="HE46" s="443" t="str">
        <f t="shared" si="191"/>
        <v/>
      </c>
      <c r="HF46" s="443" t="str">
        <f t="shared" si="192"/>
        <v/>
      </c>
      <c r="HG46" s="443" t="str">
        <f t="shared" si="193"/>
        <v/>
      </c>
      <c r="HH46" s="443" t="str">
        <f t="shared" si="194"/>
        <v/>
      </c>
      <c r="HI46" s="443" t="str">
        <f t="shared" si="195"/>
        <v/>
      </c>
      <c r="HJ46" s="443" t="str">
        <f t="shared" si="196"/>
        <v/>
      </c>
      <c r="HK46" s="443" t="str">
        <f t="shared" si="197"/>
        <v/>
      </c>
      <c r="HL46" s="443" t="str">
        <f t="shared" si="198"/>
        <v/>
      </c>
      <c r="HM46" s="443" t="str">
        <f t="shared" si="199"/>
        <v/>
      </c>
      <c r="HN46" s="443" t="str">
        <f t="shared" si="200"/>
        <v/>
      </c>
      <c r="HO46" s="443" t="str">
        <f t="shared" si="201"/>
        <v/>
      </c>
      <c r="HP46" s="443" t="str">
        <f t="shared" si="202"/>
        <v/>
      </c>
      <c r="HQ46" s="443" t="str">
        <f t="shared" si="203"/>
        <v/>
      </c>
      <c r="HR46" s="443" t="str">
        <f t="shared" si="204"/>
        <v/>
      </c>
      <c r="HS46" s="443" t="str">
        <f t="shared" si="205"/>
        <v/>
      </c>
      <c r="HT46" s="443" t="str">
        <f t="shared" si="206"/>
        <v/>
      </c>
      <c r="HU46" s="443" t="str">
        <f t="shared" si="207"/>
        <v/>
      </c>
      <c r="HV46" s="443" t="str">
        <f t="shared" si="208"/>
        <v/>
      </c>
      <c r="HW46" s="443" t="str">
        <f t="shared" si="209"/>
        <v/>
      </c>
      <c r="HX46" s="443" t="str">
        <f t="shared" si="210"/>
        <v/>
      </c>
      <c r="HY46" s="443" t="str">
        <f t="shared" si="211"/>
        <v/>
      </c>
      <c r="HZ46" s="2247" t="str">
        <f t="shared" si="212"/>
        <v/>
      </c>
      <c r="IA46" s="2247" t="str">
        <f t="shared" si="213"/>
        <v/>
      </c>
      <c r="IB46" s="2247" t="str">
        <f t="shared" si="214"/>
        <v/>
      </c>
      <c r="IC46" s="2247" t="str">
        <f t="shared" si="215"/>
        <v/>
      </c>
      <c r="ID46" s="2247" t="str">
        <f t="shared" si="216"/>
        <v/>
      </c>
      <c r="IE46" s="2247" t="str">
        <f t="shared" si="217"/>
        <v/>
      </c>
      <c r="IF46" s="2247" t="str">
        <f t="shared" si="218"/>
        <v/>
      </c>
      <c r="IG46" s="2247" t="str">
        <f t="shared" si="219"/>
        <v/>
      </c>
      <c r="IH46" s="2247" t="str">
        <f t="shared" si="220"/>
        <v/>
      </c>
      <c r="II46" s="2247" t="str">
        <f t="shared" si="221"/>
        <v/>
      </c>
      <c r="IJ46" s="2247" t="str">
        <f t="shared" si="222"/>
        <v/>
      </c>
      <c r="IK46" s="2247" t="str">
        <f t="shared" si="223"/>
        <v/>
      </c>
      <c r="IL46" s="2247" t="str">
        <f t="shared" si="224"/>
        <v/>
      </c>
      <c r="IM46" s="2247" t="str">
        <f t="shared" si="225"/>
        <v/>
      </c>
      <c r="IN46" s="2247" t="str">
        <f t="shared" si="226"/>
        <v/>
      </c>
      <c r="IO46" s="2247" t="str">
        <f t="shared" si="227"/>
        <v/>
      </c>
      <c r="IP46" s="2247" t="str">
        <f t="shared" si="228"/>
        <v/>
      </c>
      <c r="IQ46" s="2247" t="str">
        <f t="shared" si="229"/>
        <v/>
      </c>
      <c r="IR46" s="2247" t="str">
        <f t="shared" si="230"/>
        <v/>
      </c>
      <c r="IS46" s="2247" t="str">
        <f t="shared" si="231"/>
        <v/>
      </c>
      <c r="IT46" s="2247" t="str">
        <f t="shared" si="232"/>
        <v/>
      </c>
      <c r="IU46" s="2247" t="str">
        <f t="shared" si="233"/>
        <v/>
      </c>
      <c r="IV46" s="2247" t="str">
        <f t="shared" si="234"/>
        <v/>
      </c>
      <c r="IW46" s="2247" t="str">
        <f t="shared" si="235"/>
        <v/>
      </c>
      <c r="IX46" s="2247" t="str">
        <f t="shared" si="236"/>
        <v/>
      </c>
      <c r="IY46" s="2247" t="str">
        <f t="shared" si="237"/>
        <v/>
      </c>
      <c r="IZ46" s="2247" t="str">
        <f t="shared" si="238"/>
        <v/>
      </c>
      <c r="JA46" s="2247" t="str">
        <f t="shared" si="239"/>
        <v/>
      </c>
      <c r="JB46" s="2247" t="str">
        <f t="shared" si="240"/>
        <v/>
      </c>
      <c r="JC46" s="2247" t="str">
        <f t="shared" si="241"/>
        <v/>
      </c>
      <c r="JD46" s="2247" t="str">
        <f t="shared" si="242"/>
        <v/>
      </c>
      <c r="JE46" s="2247" t="str">
        <f t="shared" si="243"/>
        <v/>
      </c>
      <c r="JF46" s="2247" t="str">
        <f t="shared" si="244"/>
        <v/>
      </c>
      <c r="JG46" s="2247" t="str">
        <f t="shared" si="245"/>
        <v/>
      </c>
      <c r="JH46" s="2247" t="str">
        <f t="shared" si="246"/>
        <v/>
      </c>
      <c r="JI46" s="2247" t="str">
        <f t="shared" si="247"/>
        <v/>
      </c>
      <c r="JJ46" s="2247" t="str">
        <f t="shared" si="248"/>
        <v/>
      </c>
      <c r="JK46" s="2247" t="str">
        <f t="shared" si="249"/>
        <v/>
      </c>
      <c r="JL46" s="2247" t="str">
        <f t="shared" si="250"/>
        <v/>
      </c>
      <c r="JM46" s="2247" t="str">
        <f t="shared" si="251"/>
        <v/>
      </c>
      <c r="JN46" s="2247" t="str">
        <f t="shared" si="252"/>
        <v/>
      </c>
      <c r="JO46" s="2247" t="str">
        <f t="shared" si="253"/>
        <v/>
      </c>
      <c r="JP46" s="2247" t="str">
        <f t="shared" si="254"/>
        <v/>
      </c>
      <c r="JQ46" s="2247" t="str">
        <f t="shared" si="255"/>
        <v/>
      </c>
      <c r="JR46" s="2247" t="str">
        <f t="shared" si="256"/>
        <v/>
      </c>
      <c r="JS46" s="2247" t="str">
        <f t="shared" si="257"/>
        <v/>
      </c>
      <c r="JT46" s="2247" t="str">
        <f t="shared" si="258"/>
        <v/>
      </c>
      <c r="JU46" s="2247" t="str">
        <f t="shared" si="259"/>
        <v/>
      </c>
      <c r="JV46" s="2247" t="str">
        <f t="shared" si="260"/>
        <v/>
      </c>
      <c r="JW46" s="2247" t="str">
        <f t="shared" si="261"/>
        <v/>
      </c>
      <c r="JX46" s="2247" t="str">
        <f t="shared" si="262"/>
        <v/>
      </c>
      <c r="JY46" s="2247" t="str">
        <f t="shared" si="263"/>
        <v/>
      </c>
      <c r="JZ46" s="2247" t="str">
        <f t="shared" si="264"/>
        <v/>
      </c>
      <c r="KA46" s="2247" t="str">
        <f t="shared" si="265"/>
        <v/>
      </c>
      <c r="KB46" s="2247" t="str">
        <f t="shared" si="266"/>
        <v/>
      </c>
      <c r="KC46" s="2247" t="str">
        <f t="shared" si="267"/>
        <v/>
      </c>
      <c r="KD46" s="2247" t="str">
        <f t="shared" si="268"/>
        <v/>
      </c>
      <c r="KE46" s="2247" t="str">
        <f t="shared" si="269"/>
        <v/>
      </c>
      <c r="KF46" s="2247" t="str">
        <f t="shared" si="270"/>
        <v/>
      </c>
      <c r="KG46" s="2247" t="str">
        <f t="shared" si="271"/>
        <v/>
      </c>
      <c r="KH46" s="2247" t="str">
        <f t="shared" si="272"/>
        <v/>
      </c>
      <c r="KI46" s="2247" t="str">
        <f t="shared" si="273"/>
        <v/>
      </c>
      <c r="KJ46" s="2247" t="str">
        <f t="shared" si="274"/>
        <v/>
      </c>
      <c r="KK46" s="2247" t="str">
        <f t="shared" si="275"/>
        <v/>
      </c>
      <c r="KL46" s="2247" t="str">
        <f t="shared" si="276"/>
        <v/>
      </c>
      <c r="KM46" s="2247" t="str">
        <f t="shared" si="277"/>
        <v/>
      </c>
      <c r="KN46" s="2247" t="str">
        <f t="shared" si="278"/>
        <v/>
      </c>
      <c r="KO46" s="2247" t="str">
        <f t="shared" si="279"/>
        <v/>
      </c>
      <c r="KP46" s="2247" t="str">
        <f t="shared" si="280"/>
        <v/>
      </c>
      <c r="KQ46" s="2247" t="str">
        <f t="shared" si="281"/>
        <v/>
      </c>
      <c r="KR46" s="2247" t="str">
        <f t="shared" si="282"/>
        <v/>
      </c>
      <c r="KS46" s="2247" t="str">
        <f t="shared" si="283"/>
        <v/>
      </c>
      <c r="KT46" s="2247" t="str">
        <f t="shared" si="284"/>
        <v/>
      </c>
      <c r="KU46" s="2247" t="str">
        <f t="shared" si="285"/>
        <v/>
      </c>
      <c r="KV46" s="2247" t="str">
        <f t="shared" si="286"/>
        <v/>
      </c>
      <c r="KW46" s="2247" t="str">
        <f t="shared" si="287"/>
        <v/>
      </c>
      <c r="KX46" s="2247" t="str">
        <f t="shared" si="288"/>
        <v/>
      </c>
      <c r="KY46" s="2247" t="str">
        <f t="shared" si="289"/>
        <v/>
      </c>
      <c r="KZ46" s="2247" t="str">
        <f t="shared" si="290"/>
        <v/>
      </c>
      <c r="LA46" s="2247" t="str">
        <f t="shared" si="291"/>
        <v/>
      </c>
      <c r="LB46" s="2247" t="str">
        <f t="shared" si="292"/>
        <v/>
      </c>
      <c r="LC46" s="2247" t="str">
        <f t="shared" si="293"/>
        <v/>
      </c>
      <c r="LD46" s="2247" t="str">
        <f t="shared" si="294"/>
        <v/>
      </c>
      <c r="LE46" s="2247" t="str">
        <f t="shared" si="295"/>
        <v/>
      </c>
      <c r="LF46" s="2247" t="str">
        <f t="shared" si="296"/>
        <v/>
      </c>
      <c r="LG46" s="2247" t="str">
        <f t="shared" si="297"/>
        <v/>
      </c>
      <c r="LH46" s="2247" t="str">
        <f t="shared" si="298"/>
        <v/>
      </c>
      <c r="LI46" s="2247" t="str">
        <f t="shared" si="299"/>
        <v/>
      </c>
      <c r="LJ46" s="2247" t="str">
        <f t="shared" si="300"/>
        <v/>
      </c>
      <c r="LK46" s="2247" t="str">
        <f t="shared" si="301"/>
        <v/>
      </c>
      <c r="LL46" s="2247" t="str">
        <f t="shared" si="302"/>
        <v/>
      </c>
      <c r="LM46" s="2247" t="str">
        <f t="shared" si="303"/>
        <v/>
      </c>
      <c r="LN46" s="2247" t="str">
        <f t="shared" si="304"/>
        <v/>
      </c>
      <c r="LO46" s="2247" t="str">
        <f t="shared" si="305"/>
        <v/>
      </c>
      <c r="LP46" s="2247" t="str">
        <f t="shared" si="306"/>
        <v/>
      </c>
      <c r="LQ46" s="2248" t="str">
        <f t="shared" si="307"/>
        <v/>
      </c>
      <c r="LR46" s="2248" t="str">
        <f t="shared" si="308"/>
        <v/>
      </c>
      <c r="LS46" s="2248" t="str">
        <f t="shared" si="309"/>
        <v/>
      </c>
      <c r="LT46" s="2248" t="str">
        <f t="shared" si="310"/>
        <v/>
      </c>
      <c r="LU46" s="2248" t="str">
        <f t="shared" si="311"/>
        <v/>
      </c>
      <c r="LV46" s="443" t="str">
        <f t="shared" si="312"/>
        <v/>
      </c>
      <c r="LW46" s="443" t="str">
        <f t="shared" si="313"/>
        <v/>
      </c>
      <c r="LX46" s="443" t="str">
        <f t="shared" si="314"/>
        <v/>
      </c>
      <c r="LY46" s="443" t="str">
        <f t="shared" si="315"/>
        <v/>
      </c>
      <c r="LZ46" s="443" t="str">
        <f t="shared" si="316"/>
        <v/>
      </c>
      <c r="MA46" s="443" t="str">
        <f t="shared" si="317"/>
        <v/>
      </c>
      <c r="MB46" s="443" t="str">
        <f t="shared" si="318"/>
        <v/>
      </c>
      <c r="MC46" s="443" t="str">
        <f t="shared" si="319"/>
        <v/>
      </c>
      <c r="MD46" s="443" t="str">
        <f t="shared" si="320"/>
        <v/>
      </c>
      <c r="ME46" s="443" t="str">
        <f t="shared" si="321"/>
        <v/>
      </c>
      <c r="MF46" s="443" t="str">
        <f t="shared" si="322"/>
        <v/>
      </c>
      <c r="MG46" s="443" t="str">
        <f t="shared" si="323"/>
        <v/>
      </c>
      <c r="MH46" s="443" t="str">
        <f t="shared" si="324"/>
        <v/>
      </c>
      <c r="MI46" s="443" t="str">
        <f t="shared" si="325"/>
        <v/>
      </c>
      <c r="MJ46" s="443" t="str">
        <f t="shared" si="326"/>
        <v/>
      </c>
      <c r="MK46" s="443" t="str">
        <f t="shared" si="327"/>
        <v/>
      </c>
      <c r="ML46" s="443" t="str">
        <f t="shared" si="328"/>
        <v/>
      </c>
      <c r="MM46" s="443" t="str">
        <f t="shared" si="329"/>
        <v/>
      </c>
      <c r="MN46" s="443" t="str">
        <f t="shared" si="330"/>
        <v/>
      </c>
      <c r="MO46" s="443" t="str">
        <f t="shared" si="331"/>
        <v/>
      </c>
      <c r="MP46" s="2246">
        <f t="shared" si="338"/>
        <v>0</v>
      </c>
      <c r="MQ46" s="2246">
        <f t="shared" si="339"/>
        <v>0</v>
      </c>
      <c r="MR46" s="2246">
        <f t="shared" si="340"/>
        <v>0</v>
      </c>
      <c r="MS46" s="2246">
        <f t="shared" si="341"/>
        <v>0</v>
      </c>
      <c r="MT46" s="2246">
        <f t="shared" si="342"/>
        <v>0</v>
      </c>
      <c r="MU46" s="2246">
        <f t="shared" si="343"/>
        <v>0</v>
      </c>
      <c r="MV46" s="2246">
        <f t="shared" si="344"/>
        <v>0</v>
      </c>
      <c r="MW46" s="2246">
        <f t="shared" si="345"/>
        <v>0</v>
      </c>
      <c r="MX46" s="2246">
        <f t="shared" si="346"/>
        <v>0</v>
      </c>
      <c r="MY46" s="2246">
        <f t="shared" si="347"/>
        <v>0</v>
      </c>
      <c r="MZ46" s="2246">
        <f t="shared" si="332"/>
        <v>0</v>
      </c>
      <c r="NA46" s="2246">
        <f t="shared" si="333"/>
        <v>0</v>
      </c>
      <c r="NB46" s="2246">
        <f t="shared" si="334"/>
        <v>0</v>
      </c>
      <c r="NC46" s="2246">
        <f t="shared" si="335"/>
        <v>0</v>
      </c>
      <c r="ND46" s="2246">
        <f t="shared" si="336"/>
        <v>0</v>
      </c>
    </row>
    <row r="47" spans="1:369" ht="13.95" customHeight="1">
      <c r="A47" s="109" t="str">
        <f t="shared" si="337"/>
        <v/>
      </c>
      <c r="B47" s="4017"/>
      <c r="C47" s="4018"/>
      <c r="D47" s="4019"/>
      <c r="E47" s="4020"/>
      <c r="F47" s="4020"/>
      <c r="G47" s="4020"/>
      <c r="H47" s="4020"/>
      <c r="I47" s="4020"/>
      <c r="J47" s="4021">
        <f>IF(C47="",0,HLOOKUP(C47,'Part V-Utility Allowances'!$I$11:$M$22,12))</f>
        <v>0</v>
      </c>
      <c r="K47" s="4022"/>
      <c r="L47" s="568">
        <f t="shared" si="0"/>
        <v>0</v>
      </c>
      <c r="M47" s="568">
        <f t="shared" si="1"/>
        <v>0</v>
      </c>
      <c r="N47" s="4023"/>
      <c r="O47" s="4023"/>
      <c r="P47" s="4023"/>
      <c r="Q47" s="4024"/>
      <c r="R47" s="4025"/>
      <c r="S47" s="4026"/>
      <c r="T47" s="4027"/>
      <c r="U47" s="4028"/>
      <c r="V47" s="4028"/>
      <c r="W47" s="4029"/>
      <c r="X47" s="443" t="str">
        <f t="shared" si="2"/>
        <v/>
      </c>
      <c r="Y47" s="443" t="str">
        <f t="shared" si="3"/>
        <v/>
      </c>
      <c r="Z47" s="443" t="str">
        <f t="shared" si="4"/>
        <v/>
      </c>
      <c r="AA47" s="443" t="str">
        <f t="shared" si="5"/>
        <v/>
      </c>
      <c r="AB47" s="443" t="str">
        <f t="shared" si="6"/>
        <v/>
      </c>
      <c r="AC47" s="443" t="str">
        <f t="shared" si="7"/>
        <v/>
      </c>
      <c r="AD47" s="443" t="str">
        <f t="shared" si="8"/>
        <v/>
      </c>
      <c r="AE47" s="443" t="str">
        <f t="shared" si="9"/>
        <v/>
      </c>
      <c r="AF47" s="443" t="str">
        <f t="shared" si="10"/>
        <v/>
      </c>
      <c r="AG47" s="443" t="str">
        <f t="shared" si="11"/>
        <v/>
      </c>
      <c r="AH47" s="443" t="str">
        <f t="shared" si="12"/>
        <v/>
      </c>
      <c r="AI47" s="443" t="str">
        <f t="shared" si="13"/>
        <v/>
      </c>
      <c r="AJ47" s="443" t="str">
        <f t="shared" si="14"/>
        <v/>
      </c>
      <c r="AK47" s="443" t="str">
        <f t="shared" si="15"/>
        <v/>
      </c>
      <c r="AL47" s="443" t="str">
        <f t="shared" si="16"/>
        <v/>
      </c>
      <c r="AM47" s="443" t="str">
        <f t="shared" si="17"/>
        <v/>
      </c>
      <c r="AN47" s="443" t="str">
        <f t="shared" si="18"/>
        <v/>
      </c>
      <c r="AO47" s="443" t="str">
        <f t="shared" si="19"/>
        <v/>
      </c>
      <c r="AP47" s="443" t="str">
        <f t="shared" si="20"/>
        <v/>
      </c>
      <c r="AQ47" s="443" t="str">
        <f t="shared" si="21"/>
        <v/>
      </c>
      <c r="AR47" s="443" t="str">
        <f t="shared" si="22"/>
        <v/>
      </c>
      <c r="AS47" s="443" t="str">
        <f t="shared" si="23"/>
        <v/>
      </c>
      <c r="AT47" s="443" t="str">
        <f t="shared" si="24"/>
        <v/>
      </c>
      <c r="AU47" s="443" t="str">
        <f t="shared" si="25"/>
        <v/>
      </c>
      <c r="AV47" s="443" t="str">
        <f t="shared" si="26"/>
        <v/>
      </c>
      <c r="AW47" s="443" t="str">
        <f t="shared" si="27"/>
        <v/>
      </c>
      <c r="AX47" s="443" t="str">
        <f t="shared" si="28"/>
        <v/>
      </c>
      <c r="AY47" s="443" t="str">
        <f t="shared" si="29"/>
        <v/>
      </c>
      <c r="AZ47" s="443" t="str">
        <f t="shared" si="30"/>
        <v/>
      </c>
      <c r="BA47" s="443" t="str">
        <f t="shared" si="31"/>
        <v/>
      </c>
      <c r="BB47" s="443" t="str">
        <f t="shared" si="32"/>
        <v/>
      </c>
      <c r="BC47" s="443" t="str">
        <f t="shared" si="33"/>
        <v/>
      </c>
      <c r="BD47" s="443" t="str">
        <f t="shared" si="34"/>
        <v/>
      </c>
      <c r="BE47" s="443" t="str">
        <f t="shared" si="35"/>
        <v/>
      </c>
      <c r="BF47" s="443" t="str">
        <f t="shared" si="36"/>
        <v/>
      </c>
      <c r="BG47" s="443" t="str">
        <f t="shared" si="37"/>
        <v/>
      </c>
      <c r="BH47" s="443" t="str">
        <f t="shared" si="38"/>
        <v/>
      </c>
      <c r="BI47" s="443" t="str">
        <f t="shared" si="39"/>
        <v/>
      </c>
      <c r="BJ47" s="443" t="str">
        <f t="shared" si="40"/>
        <v/>
      </c>
      <c r="BK47" s="443" t="str">
        <f t="shared" si="41"/>
        <v/>
      </c>
      <c r="BL47" s="443" t="str">
        <f t="shared" si="42"/>
        <v/>
      </c>
      <c r="BM47" s="443" t="str">
        <f t="shared" si="43"/>
        <v/>
      </c>
      <c r="BN47" s="443" t="str">
        <f t="shared" si="44"/>
        <v/>
      </c>
      <c r="BO47" s="443" t="str">
        <f t="shared" si="45"/>
        <v/>
      </c>
      <c r="BP47" s="443" t="str">
        <f t="shared" si="46"/>
        <v/>
      </c>
      <c r="BQ47" s="443" t="str">
        <f t="shared" si="47"/>
        <v/>
      </c>
      <c r="BR47" s="443" t="str">
        <f t="shared" si="48"/>
        <v/>
      </c>
      <c r="BS47" s="443" t="str">
        <f t="shared" si="49"/>
        <v/>
      </c>
      <c r="BT47" s="443" t="str">
        <f t="shared" si="50"/>
        <v/>
      </c>
      <c r="BU47" s="443" t="str">
        <f t="shared" si="51"/>
        <v/>
      </c>
      <c r="BV47" s="443" t="str">
        <f t="shared" si="52"/>
        <v/>
      </c>
      <c r="BW47" s="443" t="str">
        <f t="shared" si="53"/>
        <v/>
      </c>
      <c r="BX47" s="443" t="str">
        <f t="shared" si="54"/>
        <v/>
      </c>
      <c r="BY47" s="443" t="str">
        <f t="shared" si="55"/>
        <v/>
      </c>
      <c r="BZ47" s="443" t="str">
        <f t="shared" si="56"/>
        <v/>
      </c>
      <c r="CA47" s="443" t="str">
        <f t="shared" si="57"/>
        <v/>
      </c>
      <c r="CB47" s="443" t="str">
        <f t="shared" si="58"/>
        <v/>
      </c>
      <c r="CC47" s="443" t="str">
        <f t="shared" si="59"/>
        <v/>
      </c>
      <c r="CD47" s="443" t="str">
        <f t="shared" si="60"/>
        <v/>
      </c>
      <c r="CE47" s="443" t="str">
        <f t="shared" si="61"/>
        <v/>
      </c>
      <c r="CF47" s="443" t="str">
        <f t="shared" si="62"/>
        <v/>
      </c>
      <c r="CG47" s="443" t="str">
        <f t="shared" si="63"/>
        <v/>
      </c>
      <c r="CH47" s="443" t="str">
        <f t="shared" si="64"/>
        <v/>
      </c>
      <c r="CI47" s="443" t="str">
        <f t="shared" si="65"/>
        <v/>
      </c>
      <c r="CJ47" s="443" t="str">
        <f t="shared" si="66"/>
        <v/>
      </c>
      <c r="CK47" s="443" t="str">
        <f t="shared" si="67"/>
        <v/>
      </c>
      <c r="CL47" s="443" t="str">
        <f t="shared" si="68"/>
        <v/>
      </c>
      <c r="CM47" s="443" t="str">
        <f t="shared" si="69"/>
        <v/>
      </c>
      <c r="CN47" s="443" t="str">
        <f t="shared" si="70"/>
        <v/>
      </c>
      <c r="CO47" s="443" t="str">
        <f t="shared" si="71"/>
        <v/>
      </c>
      <c r="CP47" s="443" t="str">
        <f t="shared" si="72"/>
        <v/>
      </c>
      <c r="CQ47" s="443" t="str">
        <f t="shared" si="73"/>
        <v/>
      </c>
      <c r="CR47" s="443" t="str">
        <f t="shared" si="74"/>
        <v/>
      </c>
      <c r="CS47" s="443" t="str">
        <f t="shared" si="75"/>
        <v/>
      </c>
      <c r="CT47" s="443" t="str">
        <f t="shared" si="76"/>
        <v/>
      </c>
      <c r="CU47" s="443" t="str">
        <f t="shared" si="77"/>
        <v/>
      </c>
      <c r="CV47" s="443" t="str">
        <f t="shared" si="78"/>
        <v/>
      </c>
      <c r="CW47" s="443" t="str">
        <f t="shared" si="79"/>
        <v/>
      </c>
      <c r="CX47" s="443" t="str">
        <f t="shared" si="80"/>
        <v/>
      </c>
      <c r="CY47" s="443" t="str">
        <f t="shared" si="81"/>
        <v/>
      </c>
      <c r="CZ47" s="443" t="str">
        <f t="shared" si="82"/>
        <v/>
      </c>
      <c r="DA47" s="443" t="str">
        <f t="shared" si="83"/>
        <v/>
      </c>
      <c r="DB47" s="443" t="str">
        <f t="shared" si="84"/>
        <v/>
      </c>
      <c r="DC47" s="443" t="str">
        <f t="shared" si="85"/>
        <v/>
      </c>
      <c r="DD47" s="443" t="str">
        <f t="shared" si="86"/>
        <v/>
      </c>
      <c r="DE47" s="443" t="str">
        <f t="shared" si="87"/>
        <v/>
      </c>
      <c r="DF47" s="443" t="str">
        <f t="shared" si="88"/>
        <v/>
      </c>
      <c r="DG47" s="443" t="str">
        <f t="shared" si="89"/>
        <v/>
      </c>
      <c r="DH47" s="443" t="str">
        <f t="shared" si="90"/>
        <v/>
      </c>
      <c r="DI47" s="443" t="str">
        <f t="shared" si="91"/>
        <v/>
      </c>
      <c r="DJ47" s="443" t="str">
        <f t="shared" si="92"/>
        <v/>
      </c>
      <c r="DK47" s="443" t="str">
        <f t="shared" si="93"/>
        <v/>
      </c>
      <c r="DL47" s="443" t="str">
        <f t="shared" si="94"/>
        <v/>
      </c>
      <c r="DM47" s="443" t="str">
        <f t="shared" si="95"/>
        <v/>
      </c>
      <c r="DN47" s="443" t="str">
        <f t="shared" si="96"/>
        <v/>
      </c>
      <c r="DO47" s="443" t="str">
        <f t="shared" si="97"/>
        <v/>
      </c>
      <c r="DP47" s="443" t="str">
        <f t="shared" si="98"/>
        <v/>
      </c>
      <c r="DQ47" s="443" t="str">
        <f t="shared" si="99"/>
        <v/>
      </c>
      <c r="DR47" s="443" t="str">
        <f t="shared" si="100"/>
        <v/>
      </c>
      <c r="DS47" s="443" t="str">
        <f t="shared" si="101"/>
        <v/>
      </c>
      <c r="DT47" s="443" t="str">
        <f t="shared" si="102"/>
        <v/>
      </c>
      <c r="DU47" s="443" t="str">
        <f t="shared" si="103"/>
        <v/>
      </c>
      <c r="DV47" s="443" t="str">
        <f t="shared" si="104"/>
        <v/>
      </c>
      <c r="DW47" s="443" t="str">
        <f t="shared" si="105"/>
        <v/>
      </c>
      <c r="DX47" s="443" t="str">
        <f t="shared" si="106"/>
        <v/>
      </c>
      <c r="DY47" s="443" t="str">
        <f t="shared" si="107"/>
        <v/>
      </c>
      <c r="DZ47" s="443" t="str">
        <f t="shared" si="108"/>
        <v/>
      </c>
      <c r="EA47" s="443" t="str">
        <f t="shared" si="109"/>
        <v/>
      </c>
      <c r="EB47" s="443" t="str">
        <f t="shared" si="110"/>
        <v/>
      </c>
      <c r="EC47" s="443" t="str">
        <f t="shared" si="111"/>
        <v/>
      </c>
      <c r="ED47" s="443" t="str">
        <f t="shared" si="112"/>
        <v/>
      </c>
      <c r="EE47" s="443" t="str">
        <f t="shared" si="113"/>
        <v/>
      </c>
      <c r="EF47" s="443" t="str">
        <f t="shared" si="114"/>
        <v/>
      </c>
      <c r="EG47" s="443" t="str">
        <f t="shared" si="115"/>
        <v/>
      </c>
      <c r="EH47" s="443" t="str">
        <f t="shared" si="116"/>
        <v/>
      </c>
      <c r="EI47" s="443" t="str">
        <f t="shared" si="117"/>
        <v/>
      </c>
      <c r="EJ47" s="443" t="str">
        <f t="shared" si="118"/>
        <v/>
      </c>
      <c r="EK47" s="443" t="str">
        <f t="shared" si="119"/>
        <v/>
      </c>
      <c r="EL47" s="443" t="str">
        <f t="shared" si="120"/>
        <v/>
      </c>
      <c r="EM47" s="443" t="str">
        <f t="shared" si="121"/>
        <v/>
      </c>
      <c r="EN47" s="443" t="str">
        <f t="shared" si="122"/>
        <v/>
      </c>
      <c r="EO47" s="443" t="str">
        <f t="shared" si="123"/>
        <v/>
      </c>
      <c r="EP47" s="443" t="str">
        <f t="shared" si="124"/>
        <v/>
      </c>
      <c r="EQ47" s="443" t="str">
        <f t="shared" si="125"/>
        <v/>
      </c>
      <c r="ER47" s="443" t="str">
        <f t="shared" si="126"/>
        <v/>
      </c>
      <c r="ES47" s="443" t="str">
        <f t="shared" si="127"/>
        <v/>
      </c>
      <c r="ET47" s="443" t="str">
        <f t="shared" si="128"/>
        <v/>
      </c>
      <c r="EU47" s="443" t="str">
        <f t="shared" si="129"/>
        <v/>
      </c>
      <c r="EV47" s="443" t="str">
        <f t="shared" si="130"/>
        <v/>
      </c>
      <c r="EW47" s="443" t="str">
        <f t="shared" si="131"/>
        <v/>
      </c>
      <c r="EX47" s="443" t="str">
        <f t="shared" si="132"/>
        <v/>
      </c>
      <c r="EY47" s="443" t="str">
        <f t="shared" si="133"/>
        <v/>
      </c>
      <c r="EZ47" s="443" t="str">
        <f t="shared" si="134"/>
        <v/>
      </c>
      <c r="FA47" s="443" t="str">
        <f t="shared" si="135"/>
        <v/>
      </c>
      <c r="FB47" s="443" t="str">
        <f t="shared" si="136"/>
        <v/>
      </c>
      <c r="FC47" s="443" t="str">
        <f t="shared" si="137"/>
        <v/>
      </c>
      <c r="FD47" s="443" t="str">
        <f t="shared" si="138"/>
        <v/>
      </c>
      <c r="FE47" s="443" t="str">
        <f t="shared" si="139"/>
        <v/>
      </c>
      <c r="FF47" s="443" t="str">
        <f t="shared" si="140"/>
        <v/>
      </c>
      <c r="FG47" s="443" t="str">
        <f t="shared" si="141"/>
        <v/>
      </c>
      <c r="FH47" s="443" t="str">
        <f t="shared" si="142"/>
        <v/>
      </c>
      <c r="FI47" s="443" t="str">
        <f t="shared" si="143"/>
        <v/>
      </c>
      <c r="FJ47" s="443" t="str">
        <f t="shared" si="144"/>
        <v/>
      </c>
      <c r="FK47" s="443" t="str">
        <f t="shared" si="145"/>
        <v/>
      </c>
      <c r="FL47" s="443" t="str">
        <f t="shared" si="146"/>
        <v/>
      </c>
      <c r="FM47" s="443" t="str">
        <f t="shared" si="147"/>
        <v/>
      </c>
      <c r="FN47" s="443" t="str">
        <f t="shared" si="148"/>
        <v/>
      </c>
      <c r="FO47" s="443" t="str">
        <f t="shared" si="149"/>
        <v/>
      </c>
      <c r="FP47" s="443" t="str">
        <f t="shared" si="150"/>
        <v/>
      </c>
      <c r="FQ47" s="443" t="str">
        <f t="shared" si="151"/>
        <v/>
      </c>
      <c r="FR47" s="443" t="str">
        <f t="shared" si="152"/>
        <v/>
      </c>
      <c r="FS47" s="443" t="str">
        <f t="shared" si="153"/>
        <v/>
      </c>
      <c r="FT47" s="443" t="str">
        <f t="shared" si="154"/>
        <v/>
      </c>
      <c r="FU47" s="443" t="str">
        <f t="shared" si="155"/>
        <v/>
      </c>
      <c r="FV47" s="443" t="str">
        <f t="shared" si="156"/>
        <v/>
      </c>
      <c r="FW47" s="443" t="str">
        <f t="shared" si="157"/>
        <v/>
      </c>
      <c r="FX47" s="443" t="str">
        <f t="shared" si="158"/>
        <v/>
      </c>
      <c r="FY47" s="443" t="str">
        <f t="shared" si="159"/>
        <v/>
      </c>
      <c r="FZ47" s="443" t="str">
        <f t="shared" si="160"/>
        <v/>
      </c>
      <c r="GA47" s="443" t="str">
        <f t="shared" si="161"/>
        <v/>
      </c>
      <c r="GB47" s="443" t="str">
        <f t="shared" si="162"/>
        <v/>
      </c>
      <c r="GC47" s="443" t="str">
        <f t="shared" si="163"/>
        <v/>
      </c>
      <c r="GD47" s="443" t="str">
        <f t="shared" si="164"/>
        <v/>
      </c>
      <c r="GE47" s="443" t="str">
        <f t="shared" si="165"/>
        <v/>
      </c>
      <c r="GF47" s="443" t="str">
        <f t="shared" si="166"/>
        <v/>
      </c>
      <c r="GG47" s="443" t="str">
        <f t="shared" si="167"/>
        <v/>
      </c>
      <c r="GH47" s="443" t="str">
        <f t="shared" si="168"/>
        <v/>
      </c>
      <c r="GI47" s="443" t="str">
        <f t="shared" si="169"/>
        <v/>
      </c>
      <c r="GJ47" s="443" t="str">
        <f t="shared" si="170"/>
        <v/>
      </c>
      <c r="GK47" s="443" t="str">
        <f t="shared" si="171"/>
        <v/>
      </c>
      <c r="GL47" s="443" t="str">
        <f t="shared" si="172"/>
        <v/>
      </c>
      <c r="GM47" s="443" t="str">
        <f t="shared" si="173"/>
        <v/>
      </c>
      <c r="GN47" s="443" t="str">
        <f t="shared" si="174"/>
        <v/>
      </c>
      <c r="GO47" s="443" t="str">
        <f t="shared" si="175"/>
        <v/>
      </c>
      <c r="GP47" s="443" t="str">
        <f t="shared" si="176"/>
        <v/>
      </c>
      <c r="GQ47" s="443" t="str">
        <f t="shared" si="177"/>
        <v/>
      </c>
      <c r="GR47" s="443" t="str">
        <f t="shared" si="178"/>
        <v/>
      </c>
      <c r="GS47" s="443" t="str">
        <f t="shared" si="179"/>
        <v/>
      </c>
      <c r="GT47" s="443" t="str">
        <f t="shared" si="180"/>
        <v/>
      </c>
      <c r="GU47" s="443" t="str">
        <f t="shared" si="181"/>
        <v/>
      </c>
      <c r="GV47" s="443" t="str">
        <f t="shared" si="182"/>
        <v/>
      </c>
      <c r="GW47" s="443" t="str">
        <f t="shared" si="183"/>
        <v/>
      </c>
      <c r="GX47" s="443" t="str">
        <f t="shared" si="184"/>
        <v/>
      </c>
      <c r="GY47" s="443" t="str">
        <f t="shared" si="185"/>
        <v/>
      </c>
      <c r="GZ47" s="443" t="str">
        <f t="shared" si="186"/>
        <v/>
      </c>
      <c r="HA47" s="443" t="str">
        <f t="shared" si="187"/>
        <v/>
      </c>
      <c r="HB47" s="443" t="str">
        <f t="shared" si="188"/>
        <v/>
      </c>
      <c r="HC47" s="443" t="str">
        <f t="shared" si="189"/>
        <v/>
      </c>
      <c r="HD47" s="443" t="str">
        <f t="shared" si="190"/>
        <v/>
      </c>
      <c r="HE47" s="443" t="str">
        <f t="shared" si="191"/>
        <v/>
      </c>
      <c r="HF47" s="443" t="str">
        <f t="shared" si="192"/>
        <v/>
      </c>
      <c r="HG47" s="443" t="str">
        <f t="shared" si="193"/>
        <v/>
      </c>
      <c r="HH47" s="443" t="str">
        <f t="shared" si="194"/>
        <v/>
      </c>
      <c r="HI47" s="443" t="str">
        <f t="shared" si="195"/>
        <v/>
      </c>
      <c r="HJ47" s="443" t="str">
        <f t="shared" si="196"/>
        <v/>
      </c>
      <c r="HK47" s="443" t="str">
        <f t="shared" si="197"/>
        <v/>
      </c>
      <c r="HL47" s="443" t="str">
        <f t="shared" si="198"/>
        <v/>
      </c>
      <c r="HM47" s="443" t="str">
        <f t="shared" si="199"/>
        <v/>
      </c>
      <c r="HN47" s="443" t="str">
        <f t="shared" si="200"/>
        <v/>
      </c>
      <c r="HO47" s="443" t="str">
        <f t="shared" si="201"/>
        <v/>
      </c>
      <c r="HP47" s="443" t="str">
        <f t="shared" si="202"/>
        <v/>
      </c>
      <c r="HQ47" s="443" t="str">
        <f t="shared" si="203"/>
        <v/>
      </c>
      <c r="HR47" s="443" t="str">
        <f t="shared" si="204"/>
        <v/>
      </c>
      <c r="HS47" s="443" t="str">
        <f t="shared" si="205"/>
        <v/>
      </c>
      <c r="HT47" s="443" t="str">
        <f t="shared" si="206"/>
        <v/>
      </c>
      <c r="HU47" s="443" t="str">
        <f t="shared" si="207"/>
        <v/>
      </c>
      <c r="HV47" s="443" t="str">
        <f t="shared" si="208"/>
        <v/>
      </c>
      <c r="HW47" s="443" t="str">
        <f t="shared" si="209"/>
        <v/>
      </c>
      <c r="HX47" s="443" t="str">
        <f t="shared" si="210"/>
        <v/>
      </c>
      <c r="HY47" s="443" t="str">
        <f t="shared" si="211"/>
        <v/>
      </c>
      <c r="HZ47" s="2247" t="str">
        <f t="shared" si="212"/>
        <v/>
      </c>
      <c r="IA47" s="2247" t="str">
        <f t="shared" si="213"/>
        <v/>
      </c>
      <c r="IB47" s="2247" t="str">
        <f t="shared" si="214"/>
        <v/>
      </c>
      <c r="IC47" s="2247" t="str">
        <f t="shared" si="215"/>
        <v/>
      </c>
      <c r="ID47" s="2247" t="str">
        <f t="shared" si="216"/>
        <v/>
      </c>
      <c r="IE47" s="2247" t="str">
        <f t="shared" si="217"/>
        <v/>
      </c>
      <c r="IF47" s="2247" t="str">
        <f t="shared" si="218"/>
        <v/>
      </c>
      <c r="IG47" s="2247" t="str">
        <f t="shared" si="219"/>
        <v/>
      </c>
      <c r="IH47" s="2247" t="str">
        <f t="shared" si="220"/>
        <v/>
      </c>
      <c r="II47" s="2247" t="str">
        <f t="shared" si="221"/>
        <v/>
      </c>
      <c r="IJ47" s="2247" t="str">
        <f t="shared" si="222"/>
        <v/>
      </c>
      <c r="IK47" s="2247" t="str">
        <f t="shared" si="223"/>
        <v/>
      </c>
      <c r="IL47" s="2247" t="str">
        <f t="shared" si="224"/>
        <v/>
      </c>
      <c r="IM47" s="2247" t="str">
        <f t="shared" si="225"/>
        <v/>
      </c>
      <c r="IN47" s="2247" t="str">
        <f t="shared" si="226"/>
        <v/>
      </c>
      <c r="IO47" s="2247" t="str">
        <f t="shared" si="227"/>
        <v/>
      </c>
      <c r="IP47" s="2247" t="str">
        <f t="shared" si="228"/>
        <v/>
      </c>
      <c r="IQ47" s="2247" t="str">
        <f t="shared" si="229"/>
        <v/>
      </c>
      <c r="IR47" s="2247" t="str">
        <f t="shared" si="230"/>
        <v/>
      </c>
      <c r="IS47" s="2247" t="str">
        <f t="shared" si="231"/>
        <v/>
      </c>
      <c r="IT47" s="2247" t="str">
        <f t="shared" si="232"/>
        <v/>
      </c>
      <c r="IU47" s="2247" t="str">
        <f t="shared" si="233"/>
        <v/>
      </c>
      <c r="IV47" s="2247" t="str">
        <f t="shared" si="234"/>
        <v/>
      </c>
      <c r="IW47" s="2247" t="str">
        <f t="shared" si="235"/>
        <v/>
      </c>
      <c r="IX47" s="2247" t="str">
        <f t="shared" si="236"/>
        <v/>
      </c>
      <c r="IY47" s="2247" t="str">
        <f t="shared" si="237"/>
        <v/>
      </c>
      <c r="IZ47" s="2247" t="str">
        <f t="shared" si="238"/>
        <v/>
      </c>
      <c r="JA47" s="2247" t="str">
        <f t="shared" si="239"/>
        <v/>
      </c>
      <c r="JB47" s="2247" t="str">
        <f t="shared" si="240"/>
        <v/>
      </c>
      <c r="JC47" s="2247" t="str">
        <f t="shared" si="241"/>
        <v/>
      </c>
      <c r="JD47" s="2247" t="str">
        <f t="shared" si="242"/>
        <v/>
      </c>
      <c r="JE47" s="2247" t="str">
        <f t="shared" si="243"/>
        <v/>
      </c>
      <c r="JF47" s="2247" t="str">
        <f t="shared" si="244"/>
        <v/>
      </c>
      <c r="JG47" s="2247" t="str">
        <f t="shared" si="245"/>
        <v/>
      </c>
      <c r="JH47" s="2247" t="str">
        <f t="shared" si="246"/>
        <v/>
      </c>
      <c r="JI47" s="2247" t="str">
        <f t="shared" si="247"/>
        <v/>
      </c>
      <c r="JJ47" s="2247" t="str">
        <f t="shared" si="248"/>
        <v/>
      </c>
      <c r="JK47" s="2247" t="str">
        <f t="shared" si="249"/>
        <v/>
      </c>
      <c r="JL47" s="2247" t="str">
        <f t="shared" si="250"/>
        <v/>
      </c>
      <c r="JM47" s="2247" t="str">
        <f t="shared" si="251"/>
        <v/>
      </c>
      <c r="JN47" s="2247" t="str">
        <f t="shared" si="252"/>
        <v/>
      </c>
      <c r="JO47" s="2247" t="str">
        <f t="shared" si="253"/>
        <v/>
      </c>
      <c r="JP47" s="2247" t="str">
        <f t="shared" si="254"/>
        <v/>
      </c>
      <c r="JQ47" s="2247" t="str">
        <f t="shared" si="255"/>
        <v/>
      </c>
      <c r="JR47" s="2247" t="str">
        <f t="shared" si="256"/>
        <v/>
      </c>
      <c r="JS47" s="2247" t="str">
        <f t="shared" si="257"/>
        <v/>
      </c>
      <c r="JT47" s="2247" t="str">
        <f t="shared" si="258"/>
        <v/>
      </c>
      <c r="JU47" s="2247" t="str">
        <f t="shared" si="259"/>
        <v/>
      </c>
      <c r="JV47" s="2247" t="str">
        <f t="shared" si="260"/>
        <v/>
      </c>
      <c r="JW47" s="2247" t="str">
        <f t="shared" si="261"/>
        <v/>
      </c>
      <c r="JX47" s="2247" t="str">
        <f t="shared" si="262"/>
        <v/>
      </c>
      <c r="JY47" s="2247" t="str">
        <f t="shared" si="263"/>
        <v/>
      </c>
      <c r="JZ47" s="2247" t="str">
        <f t="shared" si="264"/>
        <v/>
      </c>
      <c r="KA47" s="2247" t="str">
        <f t="shared" si="265"/>
        <v/>
      </c>
      <c r="KB47" s="2247" t="str">
        <f t="shared" si="266"/>
        <v/>
      </c>
      <c r="KC47" s="2247" t="str">
        <f t="shared" si="267"/>
        <v/>
      </c>
      <c r="KD47" s="2247" t="str">
        <f t="shared" si="268"/>
        <v/>
      </c>
      <c r="KE47" s="2247" t="str">
        <f t="shared" si="269"/>
        <v/>
      </c>
      <c r="KF47" s="2247" t="str">
        <f t="shared" si="270"/>
        <v/>
      </c>
      <c r="KG47" s="2247" t="str">
        <f t="shared" si="271"/>
        <v/>
      </c>
      <c r="KH47" s="2247" t="str">
        <f t="shared" si="272"/>
        <v/>
      </c>
      <c r="KI47" s="2247" t="str">
        <f t="shared" si="273"/>
        <v/>
      </c>
      <c r="KJ47" s="2247" t="str">
        <f t="shared" si="274"/>
        <v/>
      </c>
      <c r="KK47" s="2247" t="str">
        <f t="shared" si="275"/>
        <v/>
      </c>
      <c r="KL47" s="2247" t="str">
        <f t="shared" si="276"/>
        <v/>
      </c>
      <c r="KM47" s="2247" t="str">
        <f t="shared" si="277"/>
        <v/>
      </c>
      <c r="KN47" s="2247" t="str">
        <f t="shared" si="278"/>
        <v/>
      </c>
      <c r="KO47" s="2247" t="str">
        <f t="shared" si="279"/>
        <v/>
      </c>
      <c r="KP47" s="2247" t="str">
        <f t="shared" si="280"/>
        <v/>
      </c>
      <c r="KQ47" s="2247" t="str">
        <f t="shared" si="281"/>
        <v/>
      </c>
      <c r="KR47" s="2247" t="str">
        <f t="shared" si="282"/>
        <v/>
      </c>
      <c r="KS47" s="2247" t="str">
        <f t="shared" si="283"/>
        <v/>
      </c>
      <c r="KT47" s="2247" t="str">
        <f t="shared" si="284"/>
        <v/>
      </c>
      <c r="KU47" s="2247" t="str">
        <f t="shared" si="285"/>
        <v/>
      </c>
      <c r="KV47" s="2247" t="str">
        <f t="shared" si="286"/>
        <v/>
      </c>
      <c r="KW47" s="2247" t="str">
        <f t="shared" si="287"/>
        <v/>
      </c>
      <c r="KX47" s="2247" t="str">
        <f t="shared" si="288"/>
        <v/>
      </c>
      <c r="KY47" s="2247" t="str">
        <f t="shared" si="289"/>
        <v/>
      </c>
      <c r="KZ47" s="2247" t="str">
        <f t="shared" si="290"/>
        <v/>
      </c>
      <c r="LA47" s="2247" t="str">
        <f t="shared" si="291"/>
        <v/>
      </c>
      <c r="LB47" s="2247" t="str">
        <f t="shared" si="292"/>
        <v/>
      </c>
      <c r="LC47" s="2247" t="str">
        <f t="shared" si="293"/>
        <v/>
      </c>
      <c r="LD47" s="2247" t="str">
        <f t="shared" si="294"/>
        <v/>
      </c>
      <c r="LE47" s="2247" t="str">
        <f t="shared" si="295"/>
        <v/>
      </c>
      <c r="LF47" s="2247" t="str">
        <f t="shared" si="296"/>
        <v/>
      </c>
      <c r="LG47" s="2247" t="str">
        <f t="shared" si="297"/>
        <v/>
      </c>
      <c r="LH47" s="2247" t="str">
        <f t="shared" si="298"/>
        <v/>
      </c>
      <c r="LI47" s="2247" t="str">
        <f t="shared" si="299"/>
        <v/>
      </c>
      <c r="LJ47" s="2247" t="str">
        <f t="shared" si="300"/>
        <v/>
      </c>
      <c r="LK47" s="2247" t="str">
        <f t="shared" si="301"/>
        <v/>
      </c>
      <c r="LL47" s="2247" t="str">
        <f t="shared" si="302"/>
        <v/>
      </c>
      <c r="LM47" s="2247" t="str">
        <f t="shared" si="303"/>
        <v/>
      </c>
      <c r="LN47" s="2247" t="str">
        <f t="shared" si="304"/>
        <v/>
      </c>
      <c r="LO47" s="2247" t="str">
        <f t="shared" si="305"/>
        <v/>
      </c>
      <c r="LP47" s="2247" t="str">
        <f t="shared" si="306"/>
        <v/>
      </c>
      <c r="LQ47" s="2248" t="str">
        <f t="shared" si="307"/>
        <v/>
      </c>
      <c r="LR47" s="2248" t="str">
        <f t="shared" si="308"/>
        <v/>
      </c>
      <c r="LS47" s="2248" t="str">
        <f t="shared" si="309"/>
        <v/>
      </c>
      <c r="LT47" s="2248" t="str">
        <f t="shared" si="310"/>
        <v/>
      </c>
      <c r="LU47" s="2248" t="str">
        <f t="shared" si="311"/>
        <v/>
      </c>
      <c r="LV47" s="443" t="str">
        <f t="shared" si="312"/>
        <v/>
      </c>
      <c r="LW47" s="443" t="str">
        <f t="shared" si="313"/>
        <v/>
      </c>
      <c r="LX47" s="443" t="str">
        <f t="shared" si="314"/>
        <v/>
      </c>
      <c r="LY47" s="443" t="str">
        <f t="shared" si="315"/>
        <v/>
      </c>
      <c r="LZ47" s="443" t="str">
        <f t="shared" si="316"/>
        <v/>
      </c>
      <c r="MA47" s="443" t="str">
        <f t="shared" si="317"/>
        <v/>
      </c>
      <c r="MB47" s="443" t="str">
        <f t="shared" si="318"/>
        <v/>
      </c>
      <c r="MC47" s="443" t="str">
        <f t="shared" si="319"/>
        <v/>
      </c>
      <c r="MD47" s="443" t="str">
        <f t="shared" si="320"/>
        <v/>
      </c>
      <c r="ME47" s="443" t="str">
        <f t="shared" si="321"/>
        <v/>
      </c>
      <c r="MF47" s="443" t="str">
        <f t="shared" si="322"/>
        <v/>
      </c>
      <c r="MG47" s="443" t="str">
        <f t="shared" si="323"/>
        <v/>
      </c>
      <c r="MH47" s="443" t="str">
        <f t="shared" si="324"/>
        <v/>
      </c>
      <c r="MI47" s="443" t="str">
        <f t="shared" si="325"/>
        <v/>
      </c>
      <c r="MJ47" s="443" t="str">
        <f t="shared" si="326"/>
        <v/>
      </c>
      <c r="MK47" s="443" t="str">
        <f t="shared" si="327"/>
        <v/>
      </c>
      <c r="ML47" s="443" t="str">
        <f t="shared" si="328"/>
        <v/>
      </c>
      <c r="MM47" s="443" t="str">
        <f t="shared" si="329"/>
        <v/>
      </c>
      <c r="MN47" s="443" t="str">
        <f t="shared" si="330"/>
        <v/>
      </c>
      <c r="MO47" s="443" t="str">
        <f t="shared" si="331"/>
        <v/>
      </c>
      <c r="MP47" s="2246">
        <f t="shared" si="338"/>
        <v>0</v>
      </c>
      <c r="MQ47" s="2246">
        <f t="shared" si="339"/>
        <v>0</v>
      </c>
      <c r="MR47" s="2246">
        <f t="shared" si="340"/>
        <v>0</v>
      </c>
      <c r="MS47" s="2246">
        <f t="shared" si="341"/>
        <v>0</v>
      </c>
      <c r="MT47" s="2246">
        <f t="shared" si="342"/>
        <v>0</v>
      </c>
      <c r="MU47" s="2246">
        <f t="shared" si="343"/>
        <v>0</v>
      </c>
      <c r="MV47" s="2246">
        <f t="shared" si="344"/>
        <v>0</v>
      </c>
      <c r="MW47" s="2246">
        <f t="shared" si="345"/>
        <v>0</v>
      </c>
      <c r="MX47" s="2246">
        <f t="shared" si="346"/>
        <v>0</v>
      </c>
      <c r="MY47" s="2246">
        <f t="shared" si="347"/>
        <v>0</v>
      </c>
      <c r="MZ47" s="2246">
        <f t="shared" si="332"/>
        <v>0</v>
      </c>
      <c r="NA47" s="2246">
        <f t="shared" si="333"/>
        <v>0</v>
      </c>
      <c r="NB47" s="2246">
        <f t="shared" si="334"/>
        <v>0</v>
      </c>
      <c r="NC47" s="2246">
        <f t="shared" si="335"/>
        <v>0</v>
      </c>
      <c r="ND47" s="2246">
        <f t="shared" si="336"/>
        <v>0</v>
      </c>
    </row>
    <row r="48" spans="1:369" s="147" customFormat="1" ht="13.95" customHeight="1">
      <c r="A48" s="1751">
        <f>COUNT(A10,A11,A12,A13,A14,A15,A16,A17,A18,A19,A20,A21,A22,A23,A24,A25,A26,A27,A28,A29,A30,A31,A32,A33,A34,A35,A36,A37,A38,A39)</f>
        <v>6</v>
      </c>
      <c r="B48" s="2682" t="s">
        <v>4212</v>
      </c>
      <c r="C48" s="2683"/>
      <c r="D48" s="138" t="s">
        <v>996</v>
      </c>
      <c r="E48" s="1343">
        <f>SUM(E10:E47)</f>
        <v>72</v>
      </c>
      <c r="F48" s="1341">
        <f>(E10*F10+E11*F11+E12*F12+E13*F13+E14*F14+E15*F15+E16*F16+E17*F17+E18*F18+E19*F19+E20*F20+E21*F21+E22*F22+E23*F23+E24*F24+E25*F25+E26*F26+E27*F27+E28*F28+E29*F29+E30*F30+E31*F31+E32*F32+E33*F33+E34*F34+E35*F35+E36*F36+E37*F37+E38*F38+E39*F39+E40*F40+E41*F41+E42*F42+E43*F43+E44*F44+E45*F45+E46*F46+E47*F47)</f>
        <v>68000</v>
      </c>
      <c r="H48" s="2686" t="s">
        <v>4209</v>
      </c>
      <c r="I48" s="4030" t="s">
        <v>4210</v>
      </c>
      <c r="J48" s="1344" t="str">
        <f>IF(P67=0,"",IF(SUM(P58:P62)/P67&gt;=0.4,"Pass","Fail"))</f>
        <v>Pass</v>
      </c>
      <c r="K48" s="547"/>
      <c r="L48" s="872" t="s">
        <v>1276</v>
      </c>
      <c r="M48" s="123">
        <f>SUM(M10:M47)</f>
        <v>42381</v>
      </c>
      <c r="N48" s="94"/>
      <c r="O48" s="548"/>
      <c r="P48" s="94"/>
      <c r="Q48" s="461"/>
      <c r="R48" s="461"/>
      <c r="S48" s="461"/>
      <c r="T48" s="461"/>
      <c r="U48" s="461"/>
      <c r="V48" s="855"/>
      <c r="W48" s="549"/>
      <c r="X48" s="2249">
        <f t="shared" ref="X48:FA48" si="348">SUM(X10:X47)</f>
        <v>0</v>
      </c>
      <c r="Y48" s="2249">
        <f t="shared" si="348"/>
        <v>5</v>
      </c>
      <c r="Z48" s="2249">
        <f t="shared" si="348"/>
        <v>9</v>
      </c>
      <c r="AA48" s="2249">
        <f t="shared" si="348"/>
        <v>0</v>
      </c>
      <c r="AB48" s="2249">
        <f t="shared" si="348"/>
        <v>0</v>
      </c>
      <c r="AC48" s="2249">
        <f t="shared" ref="AC48:AL48" si="349">SUM(AC10:AC47)</f>
        <v>0</v>
      </c>
      <c r="AD48" s="2249">
        <f t="shared" si="349"/>
        <v>0</v>
      </c>
      <c r="AE48" s="2249">
        <f t="shared" si="349"/>
        <v>0</v>
      </c>
      <c r="AF48" s="2249">
        <f t="shared" si="349"/>
        <v>0</v>
      </c>
      <c r="AG48" s="2249">
        <f t="shared" si="349"/>
        <v>0</v>
      </c>
      <c r="AH48" s="2249">
        <f t="shared" si="349"/>
        <v>0</v>
      </c>
      <c r="AI48" s="2249">
        <f t="shared" si="349"/>
        <v>9</v>
      </c>
      <c r="AJ48" s="2249">
        <f t="shared" si="349"/>
        <v>25</v>
      </c>
      <c r="AK48" s="2249">
        <f t="shared" si="349"/>
        <v>0</v>
      </c>
      <c r="AL48" s="2249">
        <f t="shared" si="349"/>
        <v>0</v>
      </c>
      <c r="AM48" s="2249">
        <f>SUM(AM10:AM47)</f>
        <v>0</v>
      </c>
      <c r="AN48" s="2249">
        <f>SUM(AN10:AN47)</f>
        <v>0</v>
      </c>
      <c r="AO48" s="2249">
        <f>SUM(AO10:AO47)</f>
        <v>0</v>
      </c>
      <c r="AP48" s="2249">
        <f>SUM(AP10:AP47)</f>
        <v>0</v>
      </c>
      <c r="AQ48" s="2249">
        <f>SUM(AQ10:AQ47)</f>
        <v>0</v>
      </c>
      <c r="AR48" s="2249">
        <f t="shared" si="348"/>
        <v>0</v>
      </c>
      <c r="AS48" s="2249">
        <f t="shared" si="348"/>
        <v>6</v>
      </c>
      <c r="AT48" s="2249">
        <f t="shared" si="348"/>
        <v>18</v>
      </c>
      <c r="AU48" s="2249">
        <f t="shared" si="348"/>
        <v>0</v>
      </c>
      <c r="AV48" s="2249">
        <f t="shared" si="348"/>
        <v>0</v>
      </c>
      <c r="AW48" s="2249">
        <f t="shared" si="348"/>
        <v>0</v>
      </c>
      <c r="AX48" s="2249">
        <f t="shared" si="348"/>
        <v>0</v>
      </c>
      <c r="AY48" s="2249">
        <f t="shared" si="348"/>
        <v>0</v>
      </c>
      <c r="AZ48" s="2249">
        <f t="shared" si="348"/>
        <v>0</v>
      </c>
      <c r="BA48" s="2249">
        <f t="shared" si="348"/>
        <v>0</v>
      </c>
      <c r="BB48" s="2249">
        <f>SUM(BB10:BB47)</f>
        <v>0</v>
      </c>
      <c r="BC48" s="2249">
        <f>SUM(BC10:BC47)</f>
        <v>0</v>
      </c>
      <c r="BD48" s="2249">
        <f>SUM(BD10:BD47)</f>
        <v>0</v>
      </c>
      <c r="BE48" s="2249">
        <f>SUM(BE10:BE47)</f>
        <v>0</v>
      </c>
      <c r="BF48" s="2249">
        <f>SUM(BF10:BF47)</f>
        <v>0</v>
      </c>
      <c r="BG48" s="2249">
        <f t="shared" si="348"/>
        <v>0</v>
      </c>
      <c r="BH48" s="2249">
        <f t="shared" si="348"/>
        <v>0</v>
      </c>
      <c r="BI48" s="2249">
        <f t="shared" si="348"/>
        <v>0</v>
      </c>
      <c r="BJ48" s="2249">
        <f t="shared" si="348"/>
        <v>0</v>
      </c>
      <c r="BK48" s="2249">
        <f t="shared" si="348"/>
        <v>0</v>
      </c>
      <c r="BL48" s="2249">
        <f>SUM(BL10:BL47)</f>
        <v>0</v>
      </c>
      <c r="BM48" s="2249">
        <f>SUM(BM10:BM47)</f>
        <v>0</v>
      </c>
      <c r="BN48" s="2249">
        <f>SUM(BN10:BN47)</f>
        <v>0</v>
      </c>
      <c r="BO48" s="2249">
        <f>SUM(BO10:BO47)</f>
        <v>0</v>
      </c>
      <c r="BP48" s="2249">
        <f>SUM(BP10:BP47)</f>
        <v>0</v>
      </c>
      <c r="BQ48" s="2249">
        <f t="shared" si="348"/>
        <v>0</v>
      </c>
      <c r="BR48" s="2249">
        <f t="shared" si="348"/>
        <v>0</v>
      </c>
      <c r="BS48" s="2249">
        <f t="shared" si="348"/>
        <v>0</v>
      </c>
      <c r="BT48" s="2249">
        <f t="shared" si="348"/>
        <v>0</v>
      </c>
      <c r="BU48" s="2249">
        <f t="shared" si="348"/>
        <v>0</v>
      </c>
      <c r="BV48" s="2249">
        <f>SUM(BV10:BV47)</f>
        <v>0</v>
      </c>
      <c r="BW48" s="2249">
        <f>SUM(BW10:BW47)</f>
        <v>0</v>
      </c>
      <c r="BX48" s="2249">
        <f>SUM(BX10:BX47)</f>
        <v>0</v>
      </c>
      <c r="BY48" s="2249">
        <f>SUM(BY10:BY47)</f>
        <v>0</v>
      </c>
      <c r="BZ48" s="2249">
        <f>SUM(BZ10:BZ47)</f>
        <v>0</v>
      </c>
      <c r="CA48" s="2249">
        <f t="shared" si="348"/>
        <v>0</v>
      </c>
      <c r="CB48" s="2249">
        <f t="shared" si="348"/>
        <v>0</v>
      </c>
      <c r="CC48" s="2249">
        <f t="shared" si="348"/>
        <v>0</v>
      </c>
      <c r="CD48" s="2249">
        <f t="shared" si="348"/>
        <v>0</v>
      </c>
      <c r="CE48" s="2249">
        <f t="shared" si="348"/>
        <v>0</v>
      </c>
      <c r="CF48" s="2249">
        <f t="shared" si="348"/>
        <v>0</v>
      </c>
      <c r="CG48" s="2249">
        <f t="shared" si="348"/>
        <v>0</v>
      </c>
      <c r="CH48" s="2249">
        <f t="shared" si="348"/>
        <v>0</v>
      </c>
      <c r="CI48" s="2249">
        <f t="shared" si="348"/>
        <v>0</v>
      </c>
      <c r="CJ48" s="2249">
        <f t="shared" si="348"/>
        <v>0</v>
      </c>
      <c r="CK48" s="2249">
        <f>SUM(CK10:CK47)</f>
        <v>0</v>
      </c>
      <c r="CL48" s="2249">
        <f>SUM(CL10:CL47)</f>
        <v>0</v>
      </c>
      <c r="CM48" s="2249">
        <f>SUM(CM10:CM47)</f>
        <v>0</v>
      </c>
      <c r="CN48" s="2249">
        <f>SUM(CN10:CN47)</f>
        <v>0</v>
      </c>
      <c r="CO48" s="2249">
        <f>SUM(CO10:CO47)</f>
        <v>0</v>
      </c>
      <c r="CP48" s="2249">
        <f t="shared" ref="CP48:CY48" si="350">SUM(CP10:CP47)</f>
        <v>0</v>
      </c>
      <c r="CQ48" s="2249">
        <f t="shared" si="350"/>
        <v>0</v>
      </c>
      <c r="CR48" s="2249">
        <f t="shared" si="350"/>
        <v>0</v>
      </c>
      <c r="CS48" s="2249">
        <f t="shared" si="350"/>
        <v>0</v>
      </c>
      <c r="CT48" s="2249">
        <f t="shared" si="350"/>
        <v>0</v>
      </c>
      <c r="CU48" s="2249">
        <f t="shared" si="350"/>
        <v>0</v>
      </c>
      <c r="CV48" s="2249">
        <f t="shared" si="350"/>
        <v>0</v>
      </c>
      <c r="CW48" s="2249">
        <f t="shared" si="350"/>
        <v>0</v>
      </c>
      <c r="CX48" s="2249">
        <f t="shared" si="350"/>
        <v>0</v>
      </c>
      <c r="CY48" s="2249">
        <f t="shared" si="350"/>
        <v>0</v>
      </c>
      <c r="CZ48" s="2249">
        <f t="shared" si="348"/>
        <v>0</v>
      </c>
      <c r="DA48" s="2249">
        <f t="shared" si="348"/>
        <v>0</v>
      </c>
      <c r="DB48" s="2249">
        <f t="shared" si="348"/>
        <v>0</v>
      </c>
      <c r="DC48" s="2249">
        <f t="shared" si="348"/>
        <v>0</v>
      </c>
      <c r="DD48" s="2249">
        <f t="shared" si="348"/>
        <v>0</v>
      </c>
      <c r="DE48" s="2249">
        <f t="shared" si="348"/>
        <v>0</v>
      </c>
      <c r="DF48" s="2249">
        <f t="shared" si="348"/>
        <v>0</v>
      </c>
      <c r="DG48" s="2249">
        <f t="shared" si="348"/>
        <v>0</v>
      </c>
      <c r="DH48" s="2249">
        <f t="shared" si="348"/>
        <v>0</v>
      </c>
      <c r="DI48" s="2249">
        <f t="shared" si="348"/>
        <v>0</v>
      </c>
      <c r="DJ48" s="2249">
        <f t="shared" si="348"/>
        <v>0</v>
      </c>
      <c r="DK48" s="2249">
        <f t="shared" si="348"/>
        <v>0</v>
      </c>
      <c r="DL48" s="2249">
        <f t="shared" si="348"/>
        <v>0</v>
      </c>
      <c r="DM48" s="2249">
        <f t="shared" si="348"/>
        <v>0</v>
      </c>
      <c r="DN48" s="2249">
        <f t="shared" si="348"/>
        <v>0</v>
      </c>
      <c r="DO48" s="2249">
        <f t="shared" si="348"/>
        <v>0</v>
      </c>
      <c r="DP48" s="2249">
        <f t="shared" si="348"/>
        <v>0</v>
      </c>
      <c r="DQ48" s="2249">
        <f t="shared" si="348"/>
        <v>0</v>
      </c>
      <c r="DR48" s="2249">
        <f t="shared" si="348"/>
        <v>0</v>
      </c>
      <c r="DS48" s="2249">
        <f t="shared" si="348"/>
        <v>0</v>
      </c>
      <c r="DT48" s="2249">
        <f t="shared" ref="DT48:EC48" si="351">SUM(DT10:DT47)</f>
        <v>0</v>
      </c>
      <c r="DU48" s="2249">
        <f t="shared" si="351"/>
        <v>0</v>
      </c>
      <c r="DV48" s="2249">
        <f t="shared" si="351"/>
        <v>0</v>
      </c>
      <c r="DW48" s="2249">
        <f t="shared" si="351"/>
        <v>0</v>
      </c>
      <c r="DX48" s="2249">
        <f t="shared" si="351"/>
        <v>0</v>
      </c>
      <c r="DY48" s="2249">
        <f t="shared" si="351"/>
        <v>0</v>
      </c>
      <c r="DZ48" s="2249">
        <f t="shared" si="351"/>
        <v>0</v>
      </c>
      <c r="EA48" s="2249">
        <f t="shared" si="351"/>
        <v>0</v>
      </c>
      <c r="EB48" s="2249">
        <f t="shared" si="351"/>
        <v>0</v>
      </c>
      <c r="EC48" s="2249">
        <f t="shared" si="351"/>
        <v>0</v>
      </c>
      <c r="ED48" s="2249">
        <f t="shared" si="348"/>
        <v>0</v>
      </c>
      <c r="EE48" s="2249">
        <f t="shared" si="348"/>
        <v>0</v>
      </c>
      <c r="EF48" s="2249">
        <f t="shared" si="348"/>
        <v>0</v>
      </c>
      <c r="EG48" s="2249">
        <f t="shared" si="348"/>
        <v>0</v>
      </c>
      <c r="EH48" s="2249">
        <f t="shared" si="348"/>
        <v>0</v>
      </c>
      <c r="EI48" s="2249">
        <f t="shared" si="348"/>
        <v>0</v>
      </c>
      <c r="EJ48" s="2249">
        <f t="shared" si="348"/>
        <v>4000</v>
      </c>
      <c r="EK48" s="2249">
        <f t="shared" si="348"/>
        <v>9000</v>
      </c>
      <c r="EL48" s="2249">
        <f t="shared" si="348"/>
        <v>0</v>
      </c>
      <c r="EM48" s="2249">
        <f t="shared" si="348"/>
        <v>0</v>
      </c>
      <c r="EN48" s="2249">
        <f t="shared" ref="EN48:EW48" si="352">SUM(EN10:EN47)</f>
        <v>0</v>
      </c>
      <c r="EO48" s="2249">
        <f t="shared" si="352"/>
        <v>0</v>
      </c>
      <c r="EP48" s="2249">
        <f t="shared" si="352"/>
        <v>0</v>
      </c>
      <c r="EQ48" s="2249">
        <f t="shared" si="352"/>
        <v>0</v>
      </c>
      <c r="ER48" s="2249">
        <f t="shared" si="352"/>
        <v>0</v>
      </c>
      <c r="ES48" s="2249">
        <f t="shared" si="352"/>
        <v>0</v>
      </c>
      <c r="ET48" s="2249">
        <f t="shared" si="352"/>
        <v>7200</v>
      </c>
      <c r="EU48" s="2249">
        <f t="shared" si="352"/>
        <v>25000</v>
      </c>
      <c r="EV48" s="2249">
        <f t="shared" si="352"/>
        <v>0</v>
      </c>
      <c r="EW48" s="2249">
        <f t="shared" si="352"/>
        <v>0</v>
      </c>
      <c r="EX48" s="2249">
        <f t="shared" si="348"/>
        <v>0</v>
      </c>
      <c r="EY48" s="2249">
        <f t="shared" si="348"/>
        <v>0</v>
      </c>
      <c r="EZ48" s="2249">
        <f t="shared" si="348"/>
        <v>0</v>
      </c>
      <c r="FA48" s="2249">
        <f t="shared" si="348"/>
        <v>0</v>
      </c>
      <c r="FB48" s="2249">
        <f t="shared" ref="FB48:HW48" si="353">SUM(FB10:FB47)</f>
        <v>0</v>
      </c>
      <c r="FC48" s="2249">
        <f>SUM(FC10:FC47)</f>
        <v>0</v>
      </c>
      <c r="FD48" s="2249">
        <f>SUM(FD10:FD47)</f>
        <v>4800</v>
      </c>
      <c r="FE48" s="2249">
        <f>SUM(FE10:FE47)</f>
        <v>18000</v>
      </c>
      <c r="FF48" s="2249">
        <f>SUM(FF10:FF47)</f>
        <v>0</v>
      </c>
      <c r="FG48" s="2249">
        <f>SUM(FG10:FG47)</f>
        <v>0</v>
      </c>
      <c r="FH48" s="2249">
        <f t="shared" si="353"/>
        <v>0</v>
      </c>
      <c r="FI48" s="2249">
        <f t="shared" si="353"/>
        <v>0</v>
      </c>
      <c r="FJ48" s="2249">
        <f t="shared" si="353"/>
        <v>0</v>
      </c>
      <c r="FK48" s="2249">
        <f t="shared" si="353"/>
        <v>0</v>
      </c>
      <c r="FL48" s="2249">
        <f t="shared" si="353"/>
        <v>0</v>
      </c>
      <c r="FM48" s="2249">
        <f>SUM(FM10:FM47)</f>
        <v>0</v>
      </c>
      <c r="FN48" s="2249">
        <f>SUM(FN10:FN47)</f>
        <v>0</v>
      </c>
      <c r="FO48" s="2249">
        <f>SUM(FO10:FO47)</f>
        <v>0</v>
      </c>
      <c r="FP48" s="2249">
        <f>SUM(FP10:FP47)</f>
        <v>0</v>
      </c>
      <c r="FQ48" s="2249">
        <f>SUM(FQ10:FQ47)</f>
        <v>0</v>
      </c>
      <c r="FR48" s="2249">
        <f t="shared" si="353"/>
        <v>0</v>
      </c>
      <c r="FS48" s="2249">
        <f t="shared" si="353"/>
        <v>0</v>
      </c>
      <c r="FT48" s="2249">
        <f t="shared" si="353"/>
        <v>0</v>
      </c>
      <c r="FU48" s="2249">
        <f t="shared" si="353"/>
        <v>0</v>
      </c>
      <c r="FV48" s="2249">
        <f t="shared" si="353"/>
        <v>0</v>
      </c>
      <c r="FW48" s="2249">
        <f t="shared" si="353"/>
        <v>0</v>
      </c>
      <c r="FX48" s="2249">
        <f t="shared" si="353"/>
        <v>0</v>
      </c>
      <c r="FY48" s="2249">
        <f t="shared" si="353"/>
        <v>0</v>
      </c>
      <c r="FZ48" s="2249">
        <f t="shared" si="353"/>
        <v>0</v>
      </c>
      <c r="GA48" s="2249">
        <f t="shared" si="353"/>
        <v>0</v>
      </c>
      <c r="GB48" s="2249">
        <f t="shared" si="353"/>
        <v>0</v>
      </c>
      <c r="GC48" s="2249">
        <f t="shared" si="353"/>
        <v>0</v>
      </c>
      <c r="GD48" s="2249">
        <f t="shared" si="353"/>
        <v>0</v>
      </c>
      <c r="GE48" s="2249">
        <f t="shared" si="353"/>
        <v>0</v>
      </c>
      <c r="GF48" s="2249">
        <f t="shared" si="353"/>
        <v>0</v>
      </c>
      <c r="GG48" s="2249">
        <f t="shared" si="353"/>
        <v>0</v>
      </c>
      <c r="GH48" s="2249">
        <f t="shared" si="353"/>
        <v>20</v>
      </c>
      <c r="GI48" s="2249">
        <f t="shared" si="353"/>
        <v>52</v>
      </c>
      <c r="GJ48" s="2249">
        <f t="shared" si="353"/>
        <v>0</v>
      </c>
      <c r="GK48" s="2249">
        <f t="shared" si="353"/>
        <v>0</v>
      </c>
      <c r="GL48" s="2249">
        <f t="shared" si="353"/>
        <v>0</v>
      </c>
      <c r="GM48" s="2249">
        <f t="shared" si="353"/>
        <v>0</v>
      </c>
      <c r="GN48" s="2249">
        <f t="shared" si="353"/>
        <v>0</v>
      </c>
      <c r="GO48" s="2249">
        <f t="shared" si="353"/>
        <v>0</v>
      </c>
      <c r="GP48" s="2249">
        <f t="shared" si="353"/>
        <v>0</v>
      </c>
      <c r="GQ48" s="2249">
        <f t="shared" si="353"/>
        <v>0</v>
      </c>
      <c r="GR48" s="2249">
        <f t="shared" si="353"/>
        <v>0</v>
      </c>
      <c r="GS48" s="2249">
        <f t="shared" si="353"/>
        <v>0</v>
      </c>
      <c r="GT48" s="2249">
        <f t="shared" si="353"/>
        <v>0</v>
      </c>
      <c r="GU48" s="2249">
        <f t="shared" si="353"/>
        <v>0</v>
      </c>
      <c r="GV48" s="2249">
        <f t="shared" si="353"/>
        <v>0</v>
      </c>
      <c r="GW48" s="2249">
        <f t="shared" si="353"/>
        <v>0</v>
      </c>
      <c r="GX48" s="2249">
        <f t="shared" si="353"/>
        <v>0</v>
      </c>
      <c r="GY48" s="2249">
        <f t="shared" si="353"/>
        <v>0</v>
      </c>
      <c r="GZ48" s="2249">
        <f t="shared" si="353"/>
        <v>0</v>
      </c>
      <c r="HA48" s="2249">
        <f t="shared" si="353"/>
        <v>0</v>
      </c>
      <c r="HB48" s="2249">
        <f t="shared" si="353"/>
        <v>0</v>
      </c>
      <c r="HC48" s="2249">
        <f t="shared" si="353"/>
        <v>0</v>
      </c>
      <c r="HD48" s="2249">
        <f t="shared" si="353"/>
        <v>0</v>
      </c>
      <c r="HE48" s="2249">
        <f t="shared" si="353"/>
        <v>0</v>
      </c>
      <c r="HF48" s="2249">
        <f t="shared" si="353"/>
        <v>0</v>
      </c>
      <c r="HG48" s="2249">
        <f t="shared" si="353"/>
        <v>0</v>
      </c>
      <c r="HH48" s="2249">
        <f t="shared" si="353"/>
        <v>0</v>
      </c>
      <c r="HI48" s="2249">
        <f t="shared" si="353"/>
        <v>0</v>
      </c>
      <c r="HJ48" s="2249">
        <f t="shared" si="353"/>
        <v>0</v>
      </c>
      <c r="HK48" s="2249">
        <f t="shared" si="353"/>
        <v>0</v>
      </c>
      <c r="HL48" s="2249">
        <f t="shared" si="353"/>
        <v>0</v>
      </c>
      <c r="HM48" s="2249">
        <f t="shared" si="353"/>
        <v>0</v>
      </c>
      <c r="HN48" s="2249">
        <f t="shared" si="353"/>
        <v>0</v>
      </c>
      <c r="HO48" s="2249">
        <f t="shared" si="353"/>
        <v>0</v>
      </c>
      <c r="HP48" s="2249">
        <f t="shared" si="353"/>
        <v>0</v>
      </c>
      <c r="HQ48" s="2249">
        <f t="shared" si="353"/>
        <v>0</v>
      </c>
      <c r="HR48" s="2249">
        <f t="shared" si="353"/>
        <v>0</v>
      </c>
      <c r="HS48" s="2249">
        <f t="shared" si="353"/>
        <v>0</v>
      </c>
      <c r="HT48" s="2249">
        <f t="shared" si="353"/>
        <v>0</v>
      </c>
      <c r="HU48" s="2249">
        <f t="shared" si="353"/>
        <v>0</v>
      </c>
      <c r="HV48" s="2249">
        <f t="shared" si="353"/>
        <v>0</v>
      </c>
      <c r="HW48" s="2249">
        <f t="shared" si="353"/>
        <v>0</v>
      </c>
      <c r="HX48" s="2249">
        <f t="shared" ref="HX48:KI48" si="354">SUM(HX10:HX47)</f>
        <v>0</v>
      </c>
      <c r="HY48" s="2249">
        <f t="shared" si="354"/>
        <v>0</v>
      </c>
      <c r="HZ48" s="2249">
        <f t="shared" si="354"/>
        <v>0</v>
      </c>
      <c r="IA48" s="2249">
        <f t="shared" si="354"/>
        <v>20</v>
      </c>
      <c r="IB48" s="2249">
        <f t="shared" si="354"/>
        <v>52</v>
      </c>
      <c r="IC48" s="2249">
        <f t="shared" si="354"/>
        <v>0</v>
      </c>
      <c r="ID48" s="2249">
        <f t="shared" si="354"/>
        <v>0</v>
      </c>
      <c r="IE48" s="2249">
        <f t="shared" si="354"/>
        <v>0</v>
      </c>
      <c r="IF48" s="2249">
        <f t="shared" si="354"/>
        <v>0</v>
      </c>
      <c r="IG48" s="2249">
        <f t="shared" si="354"/>
        <v>0</v>
      </c>
      <c r="IH48" s="2249">
        <f t="shared" si="354"/>
        <v>0</v>
      </c>
      <c r="II48" s="2249">
        <f t="shared" si="354"/>
        <v>0</v>
      </c>
      <c r="IJ48" s="2249">
        <f t="shared" si="354"/>
        <v>0</v>
      </c>
      <c r="IK48" s="2249">
        <f t="shared" si="354"/>
        <v>0</v>
      </c>
      <c r="IL48" s="2249">
        <f t="shared" si="354"/>
        <v>0</v>
      </c>
      <c r="IM48" s="2249">
        <f t="shared" si="354"/>
        <v>0</v>
      </c>
      <c r="IN48" s="2249">
        <f t="shared" si="354"/>
        <v>0</v>
      </c>
      <c r="IO48" s="2249">
        <f t="shared" si="354"/>
        <v>0</v>
      </c>
      <c r="IP48" s="2249">
        <f t="shared" si="354"/>
        <v>0</v>
      </c>
      <c r="IQ48" s="2249">
        <f t="shared" si="354"/>
        <v>0</v>
      </c>
      <c r="IR48" s="2249">
        <f t="shared" si="354"/>
        <v>0</v>
      </c>
      <c r="IS48" s="2249">
        <f t="shared" si="354"/>
        <v>0</v>
      </c>
      <c r="IT48" s="2249">
        <f t="shared" si="354"/>
        <v>0</v>
      </c>
      <c r="IU48" s="2249">
        <f t="shared" si="354"/>
        <v>0</v>
      </c>
      <c r="IV48" s="2249">
        <f t="shared" si="354"/>
        <v>0</v>
      </c>
      <c r="IW48" s="2249">
        <f t="shared" si="354"/>
        <v>0</v>
      </c>
      <c r="IX48" s="2249">
        <f t="shared" si="354"/>
        <v>0</v>
      </c>
      <c r="IY48" s="2249">
        <f t="shared" si="354"/>
        <v>0</v>
      </c>
      <c r="IZ48" s="2249">
        <f t="shared" si="354"/>
        <v>0</v>
      </c>
      <c r="JA48" s="2249">
        <f t="shared" si="354"/>
        <v>0</v>
      </c>
      <c r="JB48" s="2249">
        <f t="shared" si="354"/>
        <v>0</v>
      </c>
      <c r="JC48" s="2249">
        <f t="shared" si="354"/>
        <v>0</v>
      </c>
      <c r="JD48" s="2249">
        <f t="shared" si="354"/>
        <v>0</v>
      </c>
      <c r="JE48" s="2249">
        <f t="shared" si="354"/>
        <v>0</v>
      </c>
      <c r="JF48" s="2249">
        <f t="shared" si="354"/>
        <v>0</v>
      </c>
      <c r="JG48" s="2249">
        <f t="shared" si="354"/>
        <v>0</v>
      </c>
      <c r="JH48" s="2249">
        <f t="shared" si="354"/>
        <v>0</v>
      </c>
      <c r="JI48" s="2249">
        <f t="shared" si="354"/>
        <v>0</v>
      </c>
      <c r="JJ48" s="2249">
        <f t="shared" si="354"/>
        <v>0</v>
      </c>
      <c r="JK48" s="2249">
        <f t="shared" si="354"/>
        <v>0</v>
      </c>
      <c r="JL48" s="2249">
        <f t="shared" si="354"/>
        <v>0</v>
      </c>
      <c r="JM48" s="2249">
        <f t="shared" si="354"/>
        <v>0</v>
      </c>
      <c r="JN48" s="2249">
        <f t="shared" si="354"/>
        <v>0</v>
      </c>
      <c r="JO48" s="2249">
        <f t="shared" si="354"/>
        <v>0</v>
      </c>
      <c r="JP48" s="2249">
        <f t="shared" si="354"/>
        <v>0</v>
      </c>
      <c r="JQ48" s="2249">
        <f t="shared" si="354"/>
        <v>0</v>
      </c>
      <c r="JR48" s="2249">
        <f t="shared" si="354"/>
        <v>0</v>
      </c>
      <c r="JS48" s="2249">
        <f t="shared" si="354"/>
        <v>0</v>
      </c>
      <c r="JT48" s="2249">
        <f t="shared" si="354"/>
        <v>0</v>
      </c>
      <c r="JU48" s="2249">
        <f t="shared" si="354"/>
        <v>0</v>
      </c>
      <c r="JV48" s="2249">
        <f t="shared" si="354"/>
        <v>0</v>
      </c>
      <c r="JW48" s="2249">
        <f t="shared" si="354"/>
        <v>0</v>
      </c>
      <c r="JX48" s="2249">
        <f t="shared" si="354"/>
        <v>0</v>
      </c>
      <c r="JY48" s="2249">
        <f t="shared" si="354"/>
        <v>0</v>
      </c>
      <c r="JZ48" s="2249">
        <f t="shared" si="354"/>
        <v>0</v>
      </c>
      <c r="KA48" s="2249">
        <f t="shared" si="354"/>
        <v>0</v>
      </c>
      <c r="KB48" s="2249">
        <f t="shared" si="354"/>
        <v>0</v>
      </c>
      <c r="KC48" s="2249">
        <f t="shared" si="354"/>
        <v>0</v>
      </c>
      <c r="KD48" s="2249">
        <f t="shared" si="354"/>
        <v>0</v>
      </c>
      <c r="KE48" s="2249">
        <f t="shared" si="354"/>
        <v>0</v>
      </c>
      <c r="KF48" s="2249">
        <f t="shared" si="354"/>
        <v>0</v>
      </c>
      <c r="KG48" s="2249">
        <f t="shared" si="354"/>
        <v>0</v>
      </c>
      <c r="KH48" s="2249">
        <f t="shared" si="354"/>
        <v>0</v>
      </c>
      <c r="KI48" s="2249">
        <f t="shared" si="354"/>
        <v>0</v>
      </c>
      <c r="KJ48" s="2249">
        <f t="shared" ref="KJ48:NE48" si="355">SUM(KJ10:KJ47)</f>
        <v>0</v>
      </c>
      <c r="KK48" s="2249">
        <f t="shared" si="355"/>
        <v>0</v>
      </c>
      <c r="KL48" s="2249">
        <f t="shared" si="355"/>
        <v>0</v>
      </c>
      <c r="KM48" s="2249">
        <f t="shared" si="355"/>
        <v>0</v>
      </c>
      <c r="KN48" s="2249">
        <f t="shared" si="355"/>
        <v>0</v>
      </c>
      <c r="KO48" s="2249">
        <f t="shared" si="355"/>
        <v>0</v>
      </c>
      <c r="KP48" s="2249">
        <f t="shared" si="355"/>
        <v>0</v>
      </c>
      <c r="KQ48" s="2249">
        <f t="shared" si="355"/>
        <v>0</v>
      </c>
      <c r="KR48" s="2249">
        <f t="shared" si="355"/>
        <v>0</v>
      </c>
      <c r="KS48" s="2249">
        <f t="shared" si="355"/>
        <v>0</v>
      </c>
      <c r="KT48" s="2249">
        <f t="shared" si="355"/>
        <v>0</v>
      </c>
      <c r="KU48" s="2249">
        <f t="shared" si="355"/>
        <v>0</v>
      </c>
      <c r="KV48" s="2249">
        <f t="shared" si="355"/>
        <v>0</v>
      </c>
      <c r="KW48" s="2249">
        <f t="shared" si="355"/>
        <v>0</v>
      </c>
      <c r="KX48" s="2249">
        <f t="shared" si="355"/>
        <v>0</v>
      </c>
      <c r="KY48" s="2249">
        <f t="shared" si="355"/>
        <v>0</v>
      </c>
      <c r="KZ48" s="2249">
        <f t="shared" si="355"/>
        <v>0</v>
      </c>
      <c r="LA48" s="2249">
        <f t="shared" si="355"/>
        <v>0</v>
      </c>
      <c r="LB48" s="2249">
        <f t="shared" si="355"/>
        <v>0</v>
      </c>
      <c r="LC48" s="2249">
        <f t="shared" si="355"/>
        <v>0</v>
      </c>
      <c r="LD48" s="2249">
        <f t="shared" si="355"/>
        <v>0</v>
      </c>
      <c r="LE48" s="2249">
        <f t="shared" si="355"/>
        <v>0</v>
      </c>
      <c r="LF48" s="2249">
        <f t="shared" si="355"/>
        <v>0</v>
      </c>
      <c r="LG48" s="2249">
        <f t="shared" ref="LG48:LP48" si="356">SUM(LG10:LG47)</f>
        <v>0</v>
      </c>
      <c r="LH48" s="2249">
        <f t="shared" si="356"/>
        <v>20</v>
      </c>
      <c r="LI48" s="2249">
        <f t="shared" si="356"/>
        <v>52</v>
      </c>
      <c r="LJ48" s="2249">
        <f t="shared" si="356"/>
        <v>0</v>
      </c>
      <c r="LK48" s="2249">
        <f t="shared" si="356"/>
        <v>0</v>
      </c>
      <c r="LL48" s="2249">
        <f t="shared" si="356"/>
        <v>0</v>
      </c>
      <c r="LM48" s="2249">
        <f t="shared" si="356"/>
        <v>0</v>
      </c>
      <c r="LN48" s="2249">
        <f t="shared" si="356"/>
        <v>0</v>
      </c>
      <c r="LO48" s="2249">
        <f t="shared" si="356"/>
        <v>0</v>
      </c>
      <c r="LP48" s="2249">
        <f t="shared" si="356"/>
        <v>0</v>
      </c>
      <c r="LQ48" s="2249">
        <f t="shared" si="355"/>
        <v>0</v>
      </c>
      <c r="LR48" s="2249">
        <f t="shared" si="355"/>
        <v>0</v>
      </c>
      <c r="LS48" s="2249">
        <f t="shared" si="355"/>
        <v>0</v>
      </c>
      <c r="LT48" s="2249">
        <f t="shared" si="355"/>
        <v>0</v>
      </c>
      <c r="LU48" s="2249">
        <f t="shared" si="355"/>
        <v>0</v>
      </c>
      <c r="LV48" s="2249">
        <f t="shared" si="355"/>
        <v>0</v>
      </c>
      <c r="LW48" s="2249">
        <f t="shared" si="355"/>
        <v>0</v>
      </c>
      <c r="LX48" s="2249">
        <f t="shared" si="355"/>
        <v>0</v>
      </c>
      <c r="LY48" s="2249">
        <f t="shared" si="355"/>
        <v>0</v>
      </c>
      <c r="LZ48" s="2249">
        <f t="shared" si="355"/>
        <v>0</v>
      </c>
      <c r="MA48" s="2249">
        <f t="shared" si="355"/>
        <v>0</v>
      </c>
      <c r="MB48" s="2249">
        <f t="shared" si="355"/>
        <v>0</v>
      </c>
      <c r="MC48" s="2249">
        <f t="shared" si="355"/>
        <v>0</v>
      </c>
      <c r="MD48" s="2249">
        <f t="shared" si="355"/>
        <v>0</v>
      </c>
      <c r="ME48" s="2249">
        <f t="shared" si="355"/>
        <v>0</v>
      </c>
      <c r="MF48" s="2249">
        <f t="shared" si="355"/>
        <v>0</v>
      </c>
      <c r="MG48" s="2249">
        <f t="shared" si="355"/>
        <v>0</v>
      </c>
      <c r="MH48" s="2249">
        <f t="shared" si="355"/>
        <v>0</v>
      </c>
      <c r="MI48" s="2249">
        <f t="shared" si="355"/>
        <v>0</v>
      </c>
      <c r="MJ48" s="2249">
        <f t="shared" si="355"/>
        <v>0</v>
      </c>
      <c r="MK48" s="2249">
        <f t="shared" si="355"/>
        <v>0</v>
      </c>
      <c r="ML48" s="2249">
        <f t="shared" si="355"/>
        <v>0</v>
      </c>
      <c r="MM48" s="2249">
        <f t="shared" si="355"/>
        <v>0</v>
      </c>
      <c r="MN48" s="2249">
        <f t="shared" si="355"/>
        <v>0</v>
      </c>
      <c r="MO48" s="2249">
        <f t="shared" si="355"/>
        <v>0</v>
      </c>
      <c r="MP48" s="2249">
        <f t="shared" si="355"/>
        <v>0</v>
      </c>
      <c r="MQ48" s="2249">
        <f t="shared" si="355"/>
        <v>0</v>
      </c>
      <c r="MR48" s="2249">
        <f t="shared" si="355"/>
        <v>0</v>
      </c>
      <c r="MS48" s="2249">
        <f t="shared" si="355"/>
        <v>0</v>
      </c>
      <c r="MT48" s="2249">
        <f t="shared" si="355"/>
        <v>0</v>
      </c>
      <c r="MU48" s="2249">
        <f t="shared" si="355"/>
        <v>0</v>
      </c>
      <c r="MV48" s="2249">
        <f t="shared" si="355"/>
        <v>20</v>
      </c>
      <c r="MW48" s="2249">
        <f t="shared" si="355"/>
        <v>52</v>
      </c>
      <c r="MX48" s="2249">
        <f t="shared" si="355"/>
        <v>0</v>
      </c>
      <c r="MY48" s="2249">
        <f t="shared" si="355"/>
        <v>0</v>
      </c>
      <c r="MZ48" s="2249">
        <f t="shared" si="355"/>
        <v>0</v>
      </c>
      <c r="NA48" s="2249">
        <f t="shared" si="355"/>
        <v>0</v>
      </c>
      <c r="NB48" s="2249">
        <f t="shared" si="355"/>
        <v>0</v>
      </c>
      <c r="NC48" s="2249">
        <f t="shared" si="355"/>
        <v>0</v>
      </c>
      <c r="ND48" s="2249">
        <f t="shared" si="355"/>
        <v>0</v>
      </c>
      <c r="NE48" s="550">
        <f t="shared" si="355"/>
        <v>0</v>
      </c>
    </row>
    <row r="49" spans="1:368" s="147" customFormat="1" ht="13.95" customHeight="1">
      <c r="B49" s="2684">
        <f>IF(SUM(E17:E47)=0,"",(B17*E17+B18*E18+B19*E19+B20*E20+B21*E21+B22*E22+B23*E23+B24*E24+B25*E25+B26*E26+B27*E27+B28*E28+B29*E29+B30*E30+B31*E31+B32*E32+B33*E33+B34*E34+B35*E35+B36*E36+B37*E37+B38*E38+B39*E39+B40*E40+B41*E41+B42*E42+B43*E43+B44*E44+B45*E45+B46*E46+B47*E47)/SUM(E17:E47))</f>
        <v>57.222222222222221</v>
      </c>
      <c r="C49" s="2685"/>
      <c r="D49" s="2373" t="s">
        <v>4119</v>
      </c>
      <c r="E49" s="1340">
        <f>SUM(E17:E47)</f>
        <v>72</v>
      </c>
      <c r="F49" s="1342">
        <f>(E17*F17+E18*F18+E19*F19+E20*F20+E21*F21+E22*F22+E23*F23+E24*F24+E25*F25+E26*F26+E27*F27+E28*F28+E29*F29+E30*F30+E31*F31+E32*F32+E33*F33+E34*F34+E35*F35+E36*F36+E37*F37+E38*F38+E39*F39+E40*F40+E41*F41+E42*F42+E43*F43+E44*F44+E45*F45+E46*F46+E47*F47)</f>
        <v>68000</v>
      </c>
      <c r="H49" s="2687"/>
      <c r="I49" s="4031" t="s">
        <v>4211</v>
      </c>
      <c r="J49" s="1345" t="str">
        <f>IF(P67=0,"",IF(SUM(P59:P62)/P67&gt;=0.2,"Pass","Fail"))</f>
        <v>Pass</v>
      </c>
      <c r="K49" s="547"/>
      <c r="L49" s="138" t="s">
        <v>794</v>
      </c>
      <c r="M49" s="123">
        <f>M48*12</f>
        <v>508572</v>
      </c>
      <c r="N49" s="94"/>
      <c r="O49" s="548"/>
      <c r="P49" s="94"/>
      <c r="Q49" s="94"/>
      <c r="R49" s="94"/>
      <c r="S49" s="94"/>
      <c r="T49" s="94"/>
      <c r="U49" s="94"/>
      <c r="V49" s="94"/>
      <c r="W49" s="550"/>
      <c r="X49" s="2249"/>
      <c r="Y49" s="2249"/>
      <c r="Z49" s="2249"/>
      <c r="AA49" s="2249"/>
      <c r="AB49" s="2249"/>
      <c r="AC49" s="2249"/>
      <c r="AD49" s="2249"/>
      <c r="AE49" s="2249"/>
      <c r="AF49" s="2249"/>
      <c r="AG49" s="2249"/>
      <c r="AH49" s="2249"/>
      <c r="AI49" s="2249"/>
      <c r="AJ49" s="2249"/>
      <c r="AK49" s="2249"/>
      <c r="AL49" s="2249"/>
      <c r="AM49" s="2249"/>
      <c r="AN49" s="2249"/>
      <c r="AO49" s="2249"/>
      <c r="AP49" s="2249"/>
      <c r="AQ49" s="2249"/>
      <c r="AR49" s="2249"/>
      <c r="AS49" s="2249"/>
      <c r="AT49" s="2249"/>
      <c r="AU49" s="2249"/>
      <c r="AV49" s="2249"/>
      <c r="AW49" s="2249"/>
      <c r="AX49" s="2249"/>
      <c r="AY49" s="2249"/>
      <c r="AZ49" s="2249"/>
      <c r="BA49" s="2249"/>
      <c r="BB49" s="2249"/>
      <c r="BC49" s="2249"/>
      <c r="BD49" s="2249"/>
      <c r="BE49" s="2249"/>
      <c r="BF49" s="2249"/>
      <c r="BG49" s="2249"/>
      <c r="BH49" s="2249"/>
      <c r="BI49" s="2249"/>
      <c r="BJ49" s="2249"/>
      <c r="BK49" s="2249"/>
      <c r="BL49" s="2249"/>
      <c r="BM49" s="2249"/>
      <c r="BN49" s="2249"/>
      <c r="BO49" s="2249"/>
      <c r="BP49" s="2249"/>
      <c r="BQ49" s="2249"/>
      <c r="BR49" s="2249"/>
      <c r="BS49" s="2249"/>
      <c r="BT49" s="2249"/>
      <c r="BU49" s="2249"/>
      <c r="BV49" s="2249"/>
      <c r="BW49" s="2249"/>
      <c r="BX49" s="2249"/>
      <c r="BY49" s="2249"/>
      <c r="BZ49" s="2249"/>
      <c r="CA49" s="2249"/>
      <c r="CB49" s="2249"/>
      <c r="CC49" s="2249"/>
      <c r="CD49" s="2249"/>
      <c r="CE49" s="2249"/>
      <c r="CF49" s="2249"/>
      <c r="CG49" s="2249"/>
      <c r="CH49" s="2249"/>
      <c r="CI49" s="2249"/>
      <c r="CJ49" s="2249"/>
      <c r="CK49" s="2249"/>
      <c r="CL49" s="2249"/>
      <c r="CM49" s="2249"/>
      <c r="CN49" s="2249"/>
      <c r="CO49" s="2249"/>
      <c r="CP49" s="2249"/>
      <c r="CQ49" s="2249"/>
      <c r="CR49" s="2249"/>
      <c r="CS49" s="2249"/>
      <c r="CT49" s="2249"/>
      <c r="CU49" s="2249"/>
      <c r="CV49" s="2249"/>
      <c r="CW49" s="2249"/>
      <c r="CX49" s="2249"/>
      <c r="CY49" s="2249"/>
      <c r="CZ49" s="2249"/>
      <c r="DA49" s="2249"/>
      <c r="DB49" s="2249"/>
      <c r="DC49" s="2249"/>
      <c r="DD49" s="2249"/>
      <c r="DE49" s="2249"/>
      <c r="DF49" s="2249"/>
      <c r="DG49" s="2249"/>
      <c r="DH49" s="2249"/>
      <c r="DI49" s="2249"/>
      <c r="DJ49" s="2249"/>
      <c r="DK49" s="2249"/>
      <c r="DL49" s="2249"/>
      <c r="DM49" s="2249"/>
      <c r="DN49" s="2249"/>
      <c r="DO49" s="2249"/>
      <c r="DP49" s="2249"/>
      <c r="DQ49" s="2249"/>
      <c r="DR49" s="2249"/>
      <c r="DS49" s="2249"/>
      <c r="DT49" s="2249"/>
      <c r="DU49" s="2249"/>
      <c r="DV49" s="2249"/>
      <c r="DW49" s="2249"/>
      <c r="DX49" s="2249"/>
      <c r="DY49" s="2249"/>
      <c r="DZ49" s="2249"/>
      <c r="EA49" s="2249"/>
      <c r="EB49" s="2249"/>
      <c r="EC49" s="2249"/>
      <c r="ED49" s="2249"/>
      <c r="EE49" s="2249"/>
      <c r="EF49" s="2249"/>
      <c r="EG49" s="2249"/>
      <c r="EH49" s="2249"/>
      <c r="EI49" s="2249"/>
      <c r="EJ49" s="2249"/>
      <c r="EK49" s="2249"/>
      <c r="EL49" s="2249"/>
      <c r="EM49" s="2249"/>
      <c r="EN49" s="2249"/>
      <c r="EO49" s="2249"/>
      <c r="EP49" s="2249"/>
      <c r="EQ49" s="2249"/>
      <c r="ER49" s="2249"/>
      <c r="ES49" s="2249"/>
      <c r="ET49" s="2249"/>
      <c r="EU49" s="2249"/>
      <c r="EV49" s="2249"/>
      <c r="EW49" s="2249"/>
      <c r="EX49" s="2249"/>
      <c r="EY49" s="2249"/>
      <c r="EZ49" s="2249"/>
      <c r="FA49" s="2249"/>
      <c r="FB49" s="2249"/>
      <c r="FC49" s="2249"/>
      <c r="FD49" s="2249"/>
      <c r="FE49" s="2249"/>
      <c r="FF49" s="2249"/>
      <c r="FG49" s="2249"/>
      <c r="FH49" s="2249"/>
      <c r="FI49" s="2249"/>
      <c r="FJ49" s="2249"/>
      <c r="FK49" s="2249"/>
      <c r="FL49" s="2249"/>
      <c r="FM49" s="2249"/>
      <c r="FN49" s="2249"/>
      <c r="FO49" s="2249"/>
      <c r="FP49" s="2249"/>
      <c r="FQ49" s="2249"/>
      <c r="FR49" s="2249"/>
      <c r="FS49" s="2249"/>
      <c r="FT49" s="2249"/>
      <c r="FU49" s="2249"/>
      <c r="FV49" s="2249"/>
      <c r="FW49" s="2249"/>
      <c r="FX49" s="2249"/>
      <c r="FY49" s="2249"/>
      <c r="FZ49" s="2249"/>
      <c r="GA49" s="2249"/>
      <c r="GB49" s="2249"/>
      <c r="GC49" s="2249"/>
      <c r="GD49" s="2249"/>
      <c r="GE49" s="2249"/>
      <c r="GF49" s="2249"/>
      <c r="GG49" s="2249"/>
      <c r="GH49" s="2249"/>
      <c r="GI49" s="2249"/>
      <c r="GJ49" s="2249"/>
      <c r="GK49" s="2249"/>
      <c r="GL49" s="2249"/>
      <c r="GM49" s="2249"/>
      <c r="GN49" s="2249"/>
      <c r="GO49" s="2249"/>
      <c r="GP49" s="2249"/>
      <c r="GQ49" s="2249"/>
      <c r="GR49" s="2249"/>
      <c r="GS49" s="2249"/>
      <c r="GT49" s="2249"/>
      <c r="GU49" s="2249"/>
      <c r="GV49" s="2249"/>
      <c r="GW49" s="2249"/>
      <c r="GX49" s="2249"/>
      <c r="GY49" s="2249"/>
      <c r="GZ49" s="2249"/>
      <c r="HA49" s="2249"/>
      <c r="HB49" s="2249"/>
      <c r="HC49" s="2249"/>
      <c r="HD49" s="2249"/>
      <c r="HE49" s="2249"/>
      <c r="HF49" s="2249"/>
      <c r="HG49" s="2249"/>
      <c r="HH49" s="2249"/>
      <c r="HI49" s="2249"/>
      <c r="HJ49" s="2249"/>
      <c r="HK49" s="2249"/>
      <c r="HL49" s="2249"/>
      <c r="HM49" s="2249"/>
      <c r="HN49" s="2249"/>
      <c r="HO49" s="2249"/>
      <c r="HP49" s="2249"/>
      <c r="HQ49" s="2249"/>
      <c r="HR49" s="2249"/>
      <c r="HS49" s="2249"/>
      <c r="HT49" s="2249"/>
      <c r="HU49" s="2249"/>
      <c r="HV49" s="2249"/>
      <c r="HW49" s="2249"/>
      <c r="HX49" s="2249"/>
      <c r="HY49" s="2249"/>
      <c r="HZ49" s="2249"/>
      <c r="IA49" s="2249"/>
      <c r="IB49" s="2249"/>
      <c r="IC49" s="2249"/>
      <c r="ID49" s="2249"/>
      <c r="IE49" s="2249"/>
      <c r="IF49" s="2249"/>
      <c r="IG49" s="2249"/>
      <c r="IH49" s="2249"/>
      <c r="II49" s="2249"/>
      <c r="IJ49" s="2249"/>
      <c r="IK49" s="2249"/>
      <c r="IL49" s="2249"/>
      <c r="IM49" s="2249"/>
      <c r="IN49" s="2249"/>
      <c r="IO49" s="2249"/>
      <c r="IP49" s="2249"/>
      <c r="IQ49" s="2249"/>
      <c r="IR49" s="2249"/>
      <c r="IS49" s="2249"/>
      <c r="IT49" s="2249"/>
      <c r="IU49" s="2249"/>
      <c r="IV49" s="2249"/>
      <c r="IW49" s="2249"/>
      <c r="IX49" s="2249"/>
      <c r="IY49" s="2249"/>
      <c r="IZ49" s="2249"/>
      <c r="JA49" s="2249"/>
      <c r="JB49" s="2249"/>
      <c r="JC49" s="2249"/>
      <c r="JD49" s="2249"/>
      <c r="JE49" s="2249"/>
      <c r="JF49" s="2249"/>
      <c r="JG49" s="2249"/>
      <c r="JH49" s="2249"/>
      <c r="JI49" s="2249"/>
      <c r="JJ49" s="2249"/>
      <c r="JK49" s="2249"/>
      <c r="JL49" s="2249"/>
      <c r="JM49" s="2249"/>
      <c r="JN49" s="2249"/>
      <c r="JO49" s="2249"/>
      <c r="JP49" s="2249"/>
      <c r="JQ49" s="2249"/>
      <c r="JR49" s="2249"/>
      <c r="JS49" s="2249"/>
      <c r="JT49" s="2249"/>
      <c r="JU49" s="2249"/>
      <c r="JV49" s="2249"/>
      <c r="JW49" s="2249"/>
      <c r="JX49" s="2249"/>
      <c r="JY49" s="2249"/>
      <c r="JZ49" s="2249"/>
      <c r="KA49" s="2249"/>
      <c r="KB49" s="2249"/>
      <c r="KC49" s="2249"/>
      <c r="KD49" s="2249"/>
      <c r="KE49" s="2249"/>
      <c r="KF49" s="2249"/>
      <c r="KG49" s="2249"/>
      <c r="KH49" s="2249"/>
      <c r="KI49" s="2249"/>
      <c r="KJ49" s="2249"/>
      <c r="KK49" s="2249"/>
      <c r="KL49" s="2249"/>
      <c r="KM49" s="2249"/>
      <c r="KN49" s="2249"/>
      <c r="KO49" s="2249"/>
      <c r="KP49" s="2249"/>
      <c r="KQ49" s="2249"/>
      <c r="KR49" s="2249"/>
      <c r="KS49" s="2249"/>
      <c r="KT49" s="2249"/>
      <c r="KU49" s="2249"/>
      <c r="KV49" s="2249"/>
      <c r="KW49" s="2249"/>
      <c r="KX49" s="2249"/>
      <c r="KY49" s="2249"/>
      <c r="KZ49" s="2249"/>
      <c r="LA49" s="2249"/>
      <c r="LB49" s="2249"/>
      <c r="LC49" s="2249"/>
      <c r="LD49" s="2249"/>
      <c r="LE49" s="2249"/>
      <c r="LF49" s="2249"/>
      <c r="LG49" s="2249"/>
      <c r="LH49" s="2249"/>
      <c r="LI49" s="2249"/>
      <c r="LJ49" s="2249"/>
      <c r="LK49" s="2249"/>
      <c r="LL49" s="2249"/>
      <c r="LM49" s="2249"/>
      <c r="LN49" s="2249"/>
      <c r="LO49" s="2249"/>
      <c r="LP49" s="2249"/>
      <c r="LQ49" s="2249"/>
      <c r="LR49" s="2249"/>
      <c r="LS49" s="2249"/>
      <c r="LT49" s="2249"/>
      <c r="LU49" s="2249"/>
      <c r="LV49" s="2249"/>
      <c r="LW49" s="2249"/>
      <c r="LX49" s="2249"/>
      <c r="LY49" s="2249"/>
      <c r="LZ49" s="2249"/>
      <c r="MA49" s="2249"/>
      <c r="MB49" s="2249"/>
      <c r="MC49" s="2249"/>
      <c r="MD49" s="2249"/>
      <c r="ME49" s="2249"/>
      <c r="MF49" s="2249"/>
      <c r="MG49" s="2249"/>
      <c r="MH49" s="2249"/>
      <c r="MI49" s="2249"/>
      <c r="MJ49" s="2249"/>
      <c r="MK49" s="2249"/>
      <c r="ML49" s="2249"/>
      <c r="MM49" s="2249"/>
      <c r="MN49" s="2249"/>
      <c r="MO49" s="2249"/>
      <c r="MP49" s="443"/>
      <c r="MQ49" s="443"/>
      <c r="MR49" s="443"/>
      <c r="MS49" s="443"/>
      <c r="MT49" s="443"/>
      <c r="MU49" s="443"/>
      <c r="MV49" s="443"/>
      <c r="MW49" s="443"/>
      <c r="MX49" s="443"/>
      <c r="MY49" s="443"/>
      <c r="MZ49" s="443"/>
      <c r="NA49" s="443"/>
      <c r="NB49" s="443"/>
      <c r="NC49" s="443"/>
      <c r="ND49" s="443"/>
    </row>
    <row r="50" spans="1:368" ht="3" customHeight="1">
      <c r="A50" s="394"/>
      <c r="B50" s="5"/>
      <c r="D50" s="14"/>
      <c r="E50" s="161"/>
      <c r="F50" s="161"/>
      <c r="G50" s="118"/>
      <c r="H50" s="118"/>
      <c r="I50" s="118"/>
      <c r="J50" s="118"/>
      <c r="K50" s="118"/>
      <c r="L50" s="14"/>
      <c r="M50" s="161"/>
      <c r="N50" s="1"/>
      <c r="O50" s="33"/>
      <c r="P50" s="90"/>
      <c r="Q50" s="90"/>
      <c r="R50" s="90"/>
      <c r="S50" s="90"/>
      <c r="T50" s="90"/>
      <c r="U50" s="90"/>
      <c r="V50" s="90"/>
      <c r="W50" s="290"/>
      <c r="X50" s="2249"/>
      <c r="Y50" s="2249"/>
      <c r="Z50" s="2249"/>
      <c r="AA50" s="2249"/>
      <c r="AB50" s="2249"/>
      <c r="AC50" s="2249"/>
      <c r="AD50" s="2249"/>
      <c r="AE50" s="2249"/>
      <c r="AF50" s="2249"/>
      <c r="AG50" s="2249"/>
      <c r="AH50" s="2249"/>
      <c r="AI50" s="2249"/>
      <c r="AJ50" s="2249"/>
      <c r="AK50" s="2249"/>
      <c r="AL50" s="2249"/>
      <c r="AM50" s="2249"/>
      <c r="AN50" s="2249"/>
      <c r="AO50" s="2249"/>
      <c r="AP50" s="2249"/>
      <c r="AQ50" s="2249"/>
      <c r="AR50" s="2249"/>
      <c r="AS50" s="2249"/>
      <c r="AT50" s="2249"/>
      <c r="AU50" s="2249"/>
      <c r="AV50" s="2249"/>
      <c r="AW50" s="2249"/>
      <c r="AX50" s="2249"/>
      <c r="AY50" s="2249"/>
      <c r="AZ50" s="2249"/>
      <c r="BA50" s="2249"/>
      <c r="BB50" s="2249"/>
      <c r="BC50" s="2249"/>
      <c r="BD50" s="2249"/>
      <c r="BE50" s="2249"/>
      <c r="BF50" s="2249"/>
      <c r="BG50" s="2249"/>
      <c r="BH50" s="2249"/>
      <c r="BI50" s="2249"/>
      <c r="BJ50" s="2249"/>
      <c r="BK50" s="2249"/>
      <c r="BL50" s="2249"/>
      <c r="BM50" s="2249"/>
      <c r="BN50" s="2249"/>
      <c r="BO50" s="2249"/>
      <c r="BP50" s="2249"/>
      <c r="BQ50" s="2249"/>
      <c r="BR50" s="2249"/>
      <c r="BS50" s="2249"/>
      <c r="BT50" s="2249"/>
      <c r="BU50" s="2249"/>
      <c r="BV50" s="2249"/>
      <c r="BW50" s="2249"/>
      <c r="BX50" s="2249"/>
      <c r="BY50" s="2249"/>
      <c r="BZ50" s="2249"/>
      <c r="CA50" s="2249"/>
      <c r="CB50" s="2249"/>
      <c r="CC50" s="2249"/>
      <c r="CD50" s="2249"/>
      <c r="CE50" s="2249"/>
      <c r="CF50" s="2249"/>
      <c r="CG50" s="2249"/>
      <c r="CH50" s="2249"/>
      <c r="CI50" s="2249"/>
      <c r="CJ50" s="2249"/>
      <c r="CK50" s="2249"/>
      <c r="CL50" s="2249"/>
      <c r="CM50" s="2249"/>
      <c r="CN50" s="2249"/>
      <c r="CO50" s="2249"/>
      <c r="CP50" s="2249"/>
      <c r="CQ50" s="2249"/>
      <c r="CR50" s="2249"/>
      <c r="CS50" s="2249"/>
      <c r="CT50" s="2249"/>
      <c r="CU50" s="2249"/>
      <c r="CV50" s="2249"/>
      <c r="CW50" s="2249"/>
      <c r="CX50" s="2249"/>
      <c r="CY50" s="2249"/>
      <c r="CZ50" s="2249"/>
      <c r="DA50" s="2249"/>
      <c r="DB50" s="2249"/>
      <c r="DC50" s="2249"/>
      <c r="DD50" s="2249"/>
      <c r="DE50" s="2249"/>
      <c r="DF50" s="2249"/>
      <c r="DG50" s="2249"/>
      <c r="DH50" s="2249"/>
      <c r="DI50" s="2249"/>
      <c r="DJ50" s="2249"/>
      <c r="DK50" s="2249"/>
      <c r="DL50" s="2249"/>
      <c r="DM50" s="2249"/>
      <c r="DN50" s="2249"/>
      <c r="DO50" s="2249"/>
      <c r="DP50" s="2249"/>
      <c r="DQ50" s="2249"/>
      <c r="DR50" s="2249"/>
      <c r="DS50" s="2249"/>
      <c r="DT50" s="2249"/>
      <c r="DU50" s="2249"/>
      <c r="DV50" s="2249"/>
      <c r="DW50" s="2249"/>
      <c r="DX50" s="2249"/>
      <c r="DY50" s="2249"/>
      <c r="DZ50" s="2249"/>
      <c r="EA50" s="2249"/>
      <c r="EB50" s="2249"/>
      <c r="EC50" s="2249"/>
      <c r="ED50" s="2249"/>
      <c r="EE50" s="2249"/>
      <c r="EF50" s="2249"/>
      <c r="EG50" s="2249"/>
      <c r="EH50" s="2249"/>
      <c r="EI50" s="2249"/>
      <c r="EJ50" s="2249"/>
      <c r="EK50" s="2249"/>
      <c r="EL50" s="2249"/>
      <c r="EM50" s="2249"/>
      <c r="EN50" s="2249"/>
      <c r="EO50" s="2249"/>
      <c r="EP50" s="2249"/>
      <c r="EQ50" s="2249"/>
      <c r="ER50" s="2249"/>
      <c r="ES50" s="2249"/>
      <c r="ET50" s="2249"/>
      <c r="EU50" s="2249"/>
      <c r="EV50" s="2249"/>
      <c r="EW50" s="2249"/>
      <c r="EX50" s="2249"/>
      <c r="EY50" s="2249"/>
      <c r="EZ50" s="2249"/>
      <c r="FA50" s="2249"/>
      <c r="FB50" s="2249"/>
      <c r="FC50" s="2249"/>
      <c r="FD50" s="2249"/>
      <c r="FE50" s="2249"/>
      <c r="FF50" s="2249"/>
      <c r="FG50" s="2249"/>
      <c r="FH50" s="2249"/>
      <c r="FI50" s="2249"/>
      <c r="FJ50" s="2249"/>
      <c r="FK50" s="2249"/>
      <c r="FL50" s="2249"/>
      <c r="FM50" s="2249"/>
      <c r="FN50" s="2249"/>
      <c r="FO50" s="2249"/>
      <c r="FP50" s="2249"/>
      <c r="FQ50" s="2249"/>
      <c r="FR50" s="2249"/>
      <c r="FS50" s="2249"/>
      <c r="FT50" s="2249"/>
      <c r="FU50" s="2249"/>
      <c r="FV50" s="2249"/>
      <c r="FW50" s="2249"/>
      <c r="FX50" s="2249"/>
      <c r="FY50" s="2249"/>
      <c r="FZ50" s="2249"/>
      <c r="GA50" s="2249"/>
      <c r="GB50" s="2249"/>
      <c r="GC50" s="2249"/>
      <c r="GD50" s="2249"/>
      <c r="GE50" s="2249"/>
      <c r="GF50" s="2249"/>
      <c r="GG50" s="2249"/>
      <c r="GH50" s="2249"/>
      <c r="GI50" s="2249"/>
      <c r="GJ50" s="2249"/>
      <c r="GK50" s="2249"/>
      <c r="GL50" s="2249"/>
      <c r="GM50" s="2249"/>
      <c r="GN50" s="2249"/>
      <c r="GO50" s="2249"/>
      <c r="GP50" s="2249"/>
      <c r="GQ50" s="2249"/>
      <c r="GR50" s="2249"/>
      <c r="GS50" s="2249"/>
      <c r="GT50" s="2249"/>
      <c r="GU50" s="2249"/>
      <c r="GV50" s="2249"/>
      <c r="GW50" s="2249"/>
      <c r="GX50" s="2249"/>
      <c r="GY50" s="2249"/>
      <c r="GZ50" s="2249"/>
      <c r="HA50" s="2249"/>
      <c r="HB50" s="2249"/>
      <c r="HC50" s="2249"/>
      <c r="HD50" s="2249"/>
      <c r="HE50" s="2249"/>
      <c r="HF50" s="2249"/>
      <c r="HG50" s="2249"/>
      <c r="HH50" s="2249"/>
      <c r="HI50" s="2249"/>
      <c r="HJ50" s="2249"/>
      <c r="HK50" s="2249"/>
      <c r="HL50" s="2249"/>
      <c r="HM50" s="2249"/>
      <c r="HN50" s="2249"/>
      <c r="HO50" s="2249"/>
      <c r="HP50" s="2249"/>
      <c r="HQ50" s="2249"/>
      <c r="HR50" s="2249"/>
      <c r="HS50" s="2249"/>
      <c r="HT50" s="2249"/>
      <c r="HU50" s="2249"/>
      <c r="HV50" s="2249"/>
      <c r="HW50" s="2249"/>
      <c r="HX50" s="2249"/>
      <c r="HY50" s="2249"/>
      <c r="HZ50" s="2249"/>
      <c r="IA50" s="2249"/>
      <c r="IB50" s="2249"/>
      <c r="IC50" s="2249"/>
      <c r="ID50" s="2249"/>
      <c r="IE50" s="2249"/>
      <c r="IF50" s="2249"/>
      <c r="IG50" s="2249"/>
      <c r="IH50" s="2249"/>
      <c r="II50" s="2249"/>
      <c r="IJ50" s="2249"/>
      <c r="IK50" s="2249"/>
      <c r="IL50" s="2249"/>
      <c r="IM50" s="2249"/>
      <c r="IN50" s="2249"/>
      <c r="IO50" s="2249"/>
      <c r="IP50" s="2249"/>
      <c r="IQ50" s="2249"/>
      <c r="IR50" s="2249"/>
      <c r="IS50" s="2249"/>
      <c r="IT50" s="2249"/>
      <c r="IU50" s="2249"/>
      <c r="IV50" s="2249"/>
      <c r="IW50" s="2249"/>
      <c r="IX50" s="2249"/>
      <c r="IY50" s="2249"/>
      <c r="IZ50" s="2249"/>
      <c r="JA50" s="2249"/>
      <c r="JB50" s="2249"/>
      <c r="JC50" s="2249"/>
      <c r="JD50" s="2249"/>
      <c r="JE50" s="2249"/>
      <c r="JF50" s="2249"/>
      <c r="JG50" s="2249"/>
      <c r="JH50" s="2249"/>
      <c r="JI50" s="2249"/>
      <c r="JJ50" s="2249"/>
      <c r="JK50" s="2249"/>
      <c r="JL50" s="2249"/>
      <c r="JM50" s="2249"/>
      <c r="JN50" s="2249"/>
      <c r="JO50" s="2249"/>
      <c r="JP50" s="2249"/>
      <c r="JQ50" s="2249"/>
      <c r="JR50" s="2249"/>
      <c r="JS50" s="2249"/>
      <c r="JT50" s="2249"/>
      <c r="JU50" s="2249"/>
      <c r="JV50" s="2249"/>
      <c r="JW50" s="2249"/>
      <c r="JX50" s="2249"/>
      <c r="JY50" s="2249"/>
      <c r="JZ50" s="2249"/>
      <c r="KA50" s="2249"/>
      <c r="KB50" s="2249"/>
      <c r="KC50" s="2249"/>
      <c r="KD50" s="2249"/>
      <c r="KE50" s="2249"/>
      <c r="KF50" s="2249"/>
      <c r="KG50" s="2249"/>
      <c r="KH50" s="2249"/>
      <c r="KI50" s="2249"/>
      <c r="KJ50" s="2249"/>
      <c r="KK50" s="2249"/>
      <c r="KL50" s="2249"/>
      <c r="KM50" s="2249"/>
      <c r="KN50" s="2249"/>
      <c r="KO50" s="2249"/>
      <c r="KP50" s="2249"/>
      <c r="KQ50" s="2249"/>
      <c r="KR50" s="2249"/>
      <c r="KS50" s="2249"/>
      <c r="KT50" s="2249"/>
      <c r="KU50" s="2249"/>
      <c r="KV50" s="2249"/>
      <c r="KW50" s="2249"/>
      <c r="KX50" s="2249"/>
      <c r="KY50" s="2249"/>
      <c r="KZ50" s="2249"/>
      <c r="LA50" s="2249"/>
      <c r="LB50" s="2249"/>
      <c r="LC50" s="2249"/>
      <c r="LD50" s="2249"/>
      <c r="LE50" s="2249"/>
      <c r="LF50" s="2249"/>
      <c r="LG50" s="2249"/>
      <c r="LH50" s="2249"/>
      <c r="LI50" s="2249"/>
      <c r="LJ50" s="2249"/>
      <c r="LK50" s="2249"/>
      <c r="LL50" s="2249"/>
      <c r="LM50" s="2249"/>
      <c r="LN50" s="2249"/>
      <c r="LO50" s="2249"/>
      <c r="LP50" s="2249"/>
      <c r="LQ50" s="2249"/>
      <c r="LR50" s="2249"/>
      <c r="LS50" s="2249"/>
      <c r="LT50" s="2249"/>
      <c r="LU50" s="2249"/>
      <c r="LV50" s="2249"/>
      <c r="LW50" s="2249"/>
      <c r="LX50" s="2249"/>
      <c r="LY50" s="2249"/>
      <c r="LZ50" s="2249"/>
      <c r="MA50" s="2249"/>
      <c r="MB50" s="2249"/>
      <c r="MC50" s="2249"/>
      <c r="MD50" s="2249"/>
      <c r="ME50" s="2249"/>
      <c r="MF50" s="2249"/>
      <c r="MG50" s="2249"/>
      <c r="MH50" s="2249"/>
      <c r="MI50" s="2249"/>
      <c r="MJ50" s="2249"/>
      <c r="MK50" s="2249"/>
      <c r="ML50" s="2249"/>
      <c r="MM50" s="2249"/>
      <c r="MN50" s="2249"/>
      <c r="MO50" s="2249"/>
    </row>
    <row r="51" spans="1:368" ht="12" customHeight="1">
      <c r="A51" s="2681" t="s">
        <v>2553</v>
      </c>
      <c r="B51" s="4032"/>
      <c r="C51" s="4032"/>
      <c r="D51" s="4032"/>
      <c r="E51" s="4032"/>
      <c r="F51" s="4032"/>
      <c r="G51" s="4032"/>
      <c r="H51" s="4032"/>
      <c r="I51" s="4032"/>
      <c r="J51" s="4032"/>
      <c r="K51" s="4032"/>
      <c r="L51" s="4032"/>
      <c r="M51" s="4032"/>
      <c r="N51" s="4032"/>
      <c r="O51" s="4032"/>
      <c r="P51" s="4032"/>
      <c r="Q51" s="4032"/>
      <c r="R51" s="4033"/>
      <c r="S51" s="90"/>
      <c r="T51" s="90"/>
      <c r="U51" s="90"/>
      <c r="V51" s="90"/>
      <c r="W51" s="290"/>
      <c r="X51" s="2249"/>
      <c r="Y51" s="2249"/>
      <c r="Z51" s="2249"/>
      <c r="AA51" s="2249"/>
      <c r="AB51" s="2249"/>
      <c r="AC51" s="2249"/>
      <c r="AD51" s="2249"/>
      <c r="AE51" s="2249"/>
      <c r="AF51" s="2249"/>
      <c r="AG51" s="2249"/>
      <c r="AH51" s="2249"/>
      <c r="AI51" s="2249"/>
      <c r="AJ51" s="2249"/>
      <c r="AK51" s="2249"/>
      <c r="AL51" s="2249"/>
      <c r="AM51" s="2249"/>
      <c r="AN51" s="2249"/>
      <c r="AO51" s="2249"/>
      <c r="AP51" s="2249"/>
      <c r="AQ51" s="2249"/>
      <c r="AR51" s="2249"/>
      <c r="AS51" s="2249"/>
      <c r="AT51" s="2249"/>
      <c r="AU51" s="2249"/>
      <c r="AV51" s="2249"/>
      <c r="AW51" s="2249"/>
      <c r="AX51" s="2249"/>
      <c r="AY51" s="2249"/>
      <c r="AZ51" s="2249"/>
      <c r="BA51" s="2249"/>
      <c r="BB51" s="2249"/>
      <c r="BC51" s="2249"/>
      <c r="BD51" s="2249"/>
      <c r="BE51" s="2249"/>
      <c r="BF51" s="2249"/>
      <c r="BG51" s="2249"/>
      <c r="BH51" s="2249"/>
      <c r="BI51" s="2249"/>
      <c r="BJ51" s="2249"/>
      <c r="BK51" s="2249"/>
      <c r="BL51" s="2249"/>
      <c r="BM51" s="2249"/>
      <c r="BN51" s="2249"/>
      <c r="BO51" s="2249"/>
      <c r="BP51" s="2249"/>
      <c r="BQ51" s="2249"/>
      <c r="BR51" s="2249"/>
      <c r="BS51" s="2249"/>
      <c r="BT51" s="2249"/>
      <c r="BU51" s="2249"/>
      <c r="BV51" s="2249"/>
      <c r="BW51" s="2249"/>
      <c r="BX51" s="2249"/>
      <c r="BY51" s="2249"/>
      <c r="BZ51" s="2249"/>
      <c r="CA51" s="2249"/>
      <c r="CB51" s="2249"/>
      <c r="CC51" s="2249"/>
      <c r="CD51" s="2249"/>
      <c r="CE51" s="2249"/>
      <c r="CF51" s="2249"/>
      <c r="CG51" s="2249"/>
      <c r="CH51" s="2249"/>
      <c r="CI51" s="2249"/>
      <c r="CJ51" s="2249"/>
      <c r="CK51" s="2249"/>
      <c r="CL51" s="2249"/>
      <c r="CM51" s="2249"/>
      <c r="CN51" s="2249"/>
      <c r="CO51" s="2249"/>
      <c r="CP51" s="2249"/>
      <c r="CQ51" s="2249"/>
      <c r="CR51" s="2249"/>
      <c r="CS51" s="2249"/>
      <c r="CT51" s="2249"/>
      <c r="CU51" s="2249"/>
      <c r="CV51" s="2249"/>
      <c r="CW51" s="2249"/>
      <c r="CX51" s="2249"/>
      <c r="CY51" s="2249"/>
      <c r="CZ51" s="2249"/>
      <c r="DA51" s="2249"/>
      <c r="DB51" s="2249"/>
      <c r="DC51" s="2249"/>
      <c r="DD51" s="2249"/>
      <c r="DE51" s="2249"/>
      <c r="DF51" s="2249"/>
      <c r="DG51" s="2249"/>
      <c r="DH51" s="2249"/>
      <c r="DI51" s="2249"/>
      <c r="DJ51" s="2249"/>
      <c r="DK51" s="2249"/>
      <c r="DL51" s="2249"/>
      <c r="DM51" s="2249"/>
      <c r="DN51" s="2249"/>
      <c r="DO51" s="2249"/>
      <c r="DP51" s="2249"/>
      <c r="DQ51" s="2249"/>
      <c r="DR51" s="2249"/>
      <c r="DS51" s="2249"/>
      <c r="DT51" s="2249"/>
      <c r="DU51" s="2249"/>
      <c r="DV51" s="2249"/>
      <c r="DW51" s="2249"/>
      <c r="DX51" s="2249"/>
      <c r="DY51" s="2249"/>
      <c r="DZ51" s="2249"/>
      <c r="EA51" s="2249"/>
      <c r="EB51" s="2249"/>
      <c r="EC51" s="2249"/>
      <c r="ED51" s="2249"/>
      <c r="EE51" s="2249"/>
      <c r="EF51" s="2249"/>
      <c r="EG51" s="2249"/>
      <c r="EH51" s="2249"/>
      <c r="EI51" s="2249"/>
      <c r="EJ51" s="2249"/>
      <c r="EK51" s="2249"/>
      <c r="EL51" s="2249"/>
      <c r="EM51" s="2249"/>
      <c r="EN51" s="2249"/>
      <c r="EO51" s="2249"/>
      <c r="EP51" s="2249"/>
      <c r="EQ51" s="2249"/>
      <c r="ER51" s="2249"/>
      <c r="ES51" s="2249"/>
      <c r="ET51" s="2249"/>
      <c r="EU51" s="2249"/>
      <c r="EV51" s="2249"/>
      <c r="EW51" s="2249"/>
      <c r="EX51" s="2249"/>
      <c r="EY51" s="2249"/>
      <c r="EZ51" s="2249"/>
      <c r="FA51" s="2249"/>
      <c r="FB51" s="2249"/>
      <c r="FC51" s="2249"/>
      <c r="FD51" s="2249"/>
      <c r="FE51" s="2249"/>
      <c r="FF51" s="2249"/>
      <c r="FG51" s="2249"/>
      <c r="FH51" s="2249"/>
      <c r="FI51" s="2249"/>
      <c r="FJ51" s="2249"/>
      <c r="FK51" s="2249"/>
      <c r="FL51" s="2249"/>
      <c r="FM51" s="2249"/>
      <c r="FN51" s="2249"/>
      <c r="FO51" s="2249"/>
      <c r="FP51" s="2249"/>
      <c r="FQ51" s="2249"/>
      <c r="FR51" s="2249"/>
      <c r="FS51" s="2249"/>
      <c r="FT51" s="2249"/>
      <c r="FU51" s="2249"/>
      <c r="FV51" s="2249"/>
      <c r="FW51" s="2249"/>
      <c r="FX51" s="2249"/>
      <c r="FY51" s="2249"/>
      <c r="FZ51" s="2249"/>
      <c r="GA51" s="2249"/>
      <c r="GB51" s="2249"/>
      <c r="GC51" s="2249"/>
      <c r="GD51" s="2249"/>
      <c r="GE51" s="2249"/>
      <c r="GF51" s="2249"/>
      <c r="GG51" s="2249"/>
      <c r="GH51" s="2249"/>
      <c r="GI51" s="2249"/>
      <c r="GJ51" s="2249"/>
      <c r="GK51" s="2249"/>
      <c r="GL51" s="2249"/>
      <c r="GM51" s="2249"/>
      <c r="GN51" s="2249"/>
      <c r="GO51" s="2249"/>
      <c r="GP51" s="2249"/>
      <c r="GQ51" s="2249"/>
      <c r="GR51" s="2249"/>
      <c r="GS51" s="2249"/>
      <c r="GT51" s="2249"/>
      <c r="GU51" s="2249"/>
      <c r="GV51" s="2249"/>
      <c r="GW51" s="2249"/>
      <c r="GX51" s="2249"/>
      <c r="GY51" s="2249"/>
      <c r="GZ51" s="2249"/>
      <c r="HA51" s="2249"/>
      <c r="HB51" s="2249"/>
      <c r="HC51" s="2249"/>
      <c r="HD51" s="2249"/>
      <c r="HE51" s="2249"/>
      <c r="HF51" s="2249"/>
      <c r="HG51" s="2249"/>
      <c r="HH51" s="2249"/>
      <c r="HI51" s="2249"/>
      <c r="HJ51" s="2249"/>
      <c r="HK51" s="2249"/>
      <c r="HL51" s="2249"/>
      <c r="HM51" s="2249"/>
      <c r="HN51" s="2249"/>
      <c r="HO51" s="2249"/>
      <c r="HP51" s="2249"/>
      <c r="HQ51" s="2249"/>
      <c r="HR51" s="2249"/>
      <c r="HS51" s="2249"/>
      <c r="HT51" s="2249"/>
      <c r="HU51" s="2249"/>
      <c r="HV51" s="2249"/>
      <c r="HW51" s="2249"/>
      <c r="HX51" s="2249"/>
      <c r="HY51" s="2249"/>
      <c r="HZ51" s="2249"/>
      <c r="IA51" s="2249"/>
      <c r="IB51" s="2249"/>
      <c r="IC51" s="2249"/>
      <c r="ID51" s="2249"/>
      <c r="IE51" s="2249"/>
      <c r="IF51" s="2249"/>
      <c r="IG51" s="2249"/>
      <c r="IH51" s="2249"/>
      <c r="II51" s="2249"/>
      <c r="IJ51" s="2249"/>
      <c r="IK51" s="2249"/>
      <c r="IL51" s="2249"/>
      <c r="IM51" s="2249"/>
      <c r="IN51" s="2249"/>
      <c r="IO51" s="2249"/>
      <c r="IP51" s="2249"/>
      <c r="IQ51" s="2249"/>
      <c r="IR51" s="2249"/>
      <c r="IS51" s="2249"/>
      <c r="IT51" s="2249"/>
      <c r="IU51" s="2249"/>
      <c r="IV51" s="2249"/>
      <c r="IW51" s="2249"/>
      <c r="IX51" s="2249"/>
      <c r="IY51" s="2249"/>
      <c r="IZ51" s="2249"/>
      <c r="JA51" s="2249"/>
      <c r="JB51" s="2249"/>
      <c r="JC51" s="2249"/>
      <c r="JD51" s="2249"/>
      <c r="JE51" s="2249"/>
      <c r="JF51" s="2249"/>
      <c r="JG51" s="2249"/>
      <c r="JH51" s="2249"/>
      <c r="JI51" s="2249"/>
      <c r="JJ51" s="2249"/>
      <c r="JK51" s="2249"/>
      <c r="JL51" s="2249"/>
      <c r="JM51" s="2249"/>
      <c r="JN51" s="2249"/>
      <c r="JO51" s="2249"/>
      <c r="JP51" s="2249"/>
      <c r="JQ51" s="2249"/>
      <c r="JR51" s="2249"/>
      <c r="JS51" s="2249"/>
      <c r="JT51" s="2249"/>
      <c r="JU51" s="2249"/>
      <c r="JV51" s="2249"/>
      <c r="JW51" s="2249"/>
      <c r="JX51" s="2249"/>
      <c r="JY51" s="2249"/>
      <c r="JZ51" s="2249"/>
      <c r="KA51" s="2249"/>
      <c r="KB51" s="2249"/>
      <c r="KC51" s="2249"/>
      <c r="KD51" s="2249"/>
      <c r="KE51" s="2249"/>
      <c r="KF51" s="2249"/>
      <c r="KG51" s="2249"/>
      <c r="KH51" s="2249"/>
      <c r="KI51" s="2249"/>
      <c r="KJ51" s="2249"/>
      <c r="KK51" s="2249"/>
      <c r="KL51" s="2249"/>
      <c r="KM51" s="2249"/>
      <c r="KN51" s="2249"/>
      <c r="KO51" s="2249"/>
      <c r="KP51" s="2249"/>
      <c r="KQ51" s="2249"/>
      <c r="KR51" s="2249"/>
      <c r="KS51" s="2249"/>
      <c r="KT51" s="2249"/>
      <c r="KU51" s="2249"/>
      <c r="KV51" s="2249"/>
      <c r="KW51" s="2249"/>
      <c r="KX51" s="2249"/>
      <c r="KY51" s="2249"/>
      <c r="KZ51" s="2249"/>
      <c r="LA51" s="2249"/>
      <c r="LB51" s="2249"/>
      <c r="LC51" s="2249"/>
      <c r="LD51" s="2249"/>
      <c r="LE51" s="2249"/>
      <c r="LF51" s="2249"/>
      <c r="LG51" s="2249"/>
      <c r="LH51" s="2249"/>
      <c r="LI51" s="2249"/>
      <c r="LJ51" s="2249"/>
      <c r="LK51" s="2249"/>
      <c r="LL51" s="2249"/>
      <c r="LM51" s="2249"/>
      <c r="LN51" s="2249"/>
      <c r="LO51" s="2249"/>
      <c r="LP51" s="2249"/>
      <c r="LQ51" s="2249"/>
      <c r="LR51" s="2249"/>
      <c r="LS51" s="2249"/>
      <c r="LT51" s="2249"/>
      <c r="LU51" s="2249"/>
      <c r="LV51" s="2249"/>
      <c r="LW51" s="2249"/>
      <c r="LX51" s="2249"/>
      <c r="LY51" s="2249"/>
      <c r="LZ51" s="2249"/>
      <c r="MA51" s="2249"/>
      <c r="MB51" s="2249"/>
      <c r="MC51" s="2249"/>
      <c r="MD51" s="2249"/>
      <c r="ME51" s="2249"/>
      <c r="MF51" s="2249"/>
      <c r="MG51" s="2249"/>
      <c r="MH51" s="2249"/>
      <c r="MI51" s="2249"/>
      <c r="MJ51" s="2249"/>
      <c r="MK51" s="2249"/>
      <c r="ML51" s="2249"/>
      <c r="MM51" s="2249"/>
      <c r="MN51" s="2249"/>
      <c r="MO51" s="2249"/>
    </row>
    <row r="52" spans="1:368" ht="12" customHeight="1" thickBot="1">
      <c r="A52" s="4032"/>
      <c r="B52" s="4032"/>
      <c r="C52" s="4032"/>
      <c r="D52" s="4032"/>
      <c r="E52" s="4032"/>
      <c r="F52" s="4032"/>
      <c r="G52" s="4032"/>
      <c r="H52" s="4032"/>
      <c r="I52" s="4032"/>
      <c r="J52" s="4032"/>
      <c r="K52" s="4032"/>
      <c r="L52" s="4032"/>
      <c r="M52" s="4032"/>
      <c r="N52" s="4032"/>
      <c r="O52" s="4032"/>
      <c r="P52" s="4032"/>
      <c r="Q52" s="4032"/>
      <c r="R52" s="4033"/>
      <c r="S52" s="90"/>
      <c r="T52" s="90"/>
      <c r="U52" s="90"/>
      <c r="V52" s="90"/>
      <c r="W52" s="290"/>
      <c r="X52" s="2249"/>
      <c r="Y52" s="2249"/>
      <c r="Z52" s="2249"/>
      <c r="AA52" s="2249"/>
      <c r="AB52" s="2249"/>
      <c r="AC52" s="2249"/>
      <c r="AD52" s="2249"/>
      <c r="AE52" s="2249"/>
      <c r="AF52" s="2249"/>
      <c r="AG52" s="2249"/>
      <c r="AH52" s="2249"/>
      <c r="AI52" s="2249"/>
      <c r="AJ52" s="2249"/>
      <c r="AK52" s="2249"/>
      <c r="AL52" s="2249"/>
      <c r="AM52" s="2249"/>
      <c r="AN52" s="2249"/>
      <c r="AO52" s="2249"/>
      <c r="AP52" s="2249"/>
      <c r="AQ52" s="2249"/>
      <c r="AR52" s="2249"/>
      <c r="AS52" s="2249"/>
      <c r="AT52" s="2249"/>
      <c r="AU52" s="2249"/>
      <c r="AV52" s="2249"/>
      <c r="AW52" s="2249"/>
      <c r="AX52" s="2249"/>
      <c r="AY52" s="2249"/>
      <c r="AZ52" s="2249"/>
      <c r="BA52" s="2249"/>
      <c r="BB52" s="2249"/>
      <c r="BC52" s="2249"/>
      <c r="BD52" s="2249"/>
      <c r="BE52" s="2249"/>
      <c r="BF52" s="2249"/>
      <c r="BG52" s="2249"/>
      <c r="BH52" s="2249"/>
      <c r="BI52" s="2249"/>
      <c r="BJ52" s="2249"/>
      <c r="BK52" s="2249"/>
      <c r="BL52" s="2249"/>
      <c r="BM52" s="2249"/>
      <c r="BN52" s="2249"/>
      <c r="BO52" s="2249"/>
      <c r="BP52" s="2249"/>
      <c r="BQ52" s="2249"/>
      <c r="BR52" s="2249"/>
      <c r="BS52" s="2249"/>
      <c r="BT52" s="2249"/>
      <c r="BU52" s="2249"/>
      <c r="BV52" s="2249"/>
      <c r="BW52" s="2249"/>
      <c r="BX52" s="2249"/>
      <c r="BY52" s="2249"/>
      <c r="BZ52" s="2249"/>
      <c r="CA52" s="2249"/>
      <c r="CB52" s="2249"/>
      <c r="CC52" s="2249"/>
      <c r="CD52" s="2249"/>
      <c r="CE52" s="2249"/>
      <c r="CF52" s="2249"/>
      <c r="CG52" s="2249"/>
      <c r="CH52" s="2249"/>
      <c r="CI52" s="2249"/>
      <c r="CJ52" s="2249"/>
      <c r="CK52" s="2249"/>
      <c r="CL52" s="2249"/>
      <c r="CM52" s="2249"/>
      <c r="CN52" s="2249"/>
      <c r="CO52" s="2249"/>
      <c r="CP52" s="2249"/>
      <c r="CQ52" s="2249"/>
      <c r="CR52" s="2249"/>
      <c r="CS52" s="2249"/>
      <c r="CT52" s="2249"/>
      <c r="CU52" s="2249"/>
      <c r="CV52" s="2249"/>
      <c r="CW52" s="2249"/>
      <c r="CX52" s="2249"/>
      <c r="CY52" s="2249"/>
      <c r="CZ52" s="2249"/>
      <c r="DA52" s="2249"/>
      <c r="DB52" s="2249"/>
      <c r="DC52" s="2249"/>
      <c r="DD52" s="2249"/>
      <c r="DE52" s="2249"/>
      <c r="DF52" s="2249"/>
      <c r="DG52" s="2249"/>
      <c r="DH52" s="2249"/>
      <c r="DI52" s="2249"/>
      <c r="DJ52" s="2249"/>
      <c r="DK52" s="2249"/>
      <c r="DL52" s="2249"/>
      <c r="DM52" s="2249"/>
      <c r="DN52" s="2249"/>
      <c r="DO52" s="2249"/>
      <c r="DP52" s="2249"/>
      <c r="DQ52" s="2249"/>
      <c r="DR52" s="2249"/>
      <c r="DS52" s="2249"/>
      <c r="DT52" s="2249"/>
      <c r="DU52" s="2249"/>
      <c r="DV52" s="2249"/>
      <c r="DW52" s="2249"/>
      <c r="DX52" s="2249"/>
      <c r="DY52" s="2249"/>
      <c r="DZ52" s="2249"/>
      <c r="EA52" s="2249"/>
      <c r="EB52" s="2249"/>
      <c r="EC52" s="2249"/>
      <c r="ED52" s="2249"/>
      <c r="EE52" s="2249"/>
      <c r="EF52" s="2249"/>
      <c r="EG52" s="2249"/>
      <c r="EH52" s="2249"/>
      <c r="EI52" s="2249"/>
      <c r="EJ52" s="2249"/>
      <c r="EK52" s="2249"/>
      <c r="EL52" s="2249"/>
      <c r="EM52" s="2249"/>
      <c r="EN52" s="2249"/>
      <c r="EO52" s="2249"/>
      <c r="EP52" s="2249"/>
      <c r="EQ52" s="2249"/>
      <c r="ER52" s="2249"/>
      <c r="ES52" s="2249"/>
      <c r="ET52" s="2249"/>
      <c r="EU52" s="2249"/>
      <c r="EV52" s="2249"/>
      <c r="EW52" s="2249"/>
      <c r="EX52" s="2249"/>
      <c r="EY52" s="2249"/>
      <c r="EZ52" s="2249"/>
      <c r="FA52" s="2249"/>
      <c r="FB52" s="2249"/>
      <c r="FC52" s="2249"/>
      <c r="FD52" s="2249"/>
      <c r="FE52" s="2249"/>
      <c r="FF52" s="2249"/>
      <c r="FG52" s="2249"/>
      <c r="FH52" s="2249"/>
      <c r="FI52" s="2249"/>
      <c r="FJ52" s="2249"/>
      <c r="FK52" s="2249"/>
      <c r="FL52" s="2249"/>
      <c r="FM52" s="2249"/>
      <c r="FN52" s="2249"/>
      <c r="FO52" s="2249"/>
      <c r="FP52" s="2249"/>
      <c r="FQ52" s="2249"/>
      <c r="FR52" s="2249"/>
      <c r="FS52" s="2249"/>
      <c r="FT52" s="2249"/>
      <c r="FU52" s="2249"/>
      <c r="FV52" s="2249"/>
      <c r="FW52" s="2249"/>
      <c r="FX52" s="2249"/>
      <c r="FY52" s="2249"/>
      <c r="FZ52" s="2249"/>
      <c r="GA52" s="2249"/>
      <c r="GB52" s="2249"/>
      <c r="GC52" s="2249"/>
      <c r="GD52" s="2249"/>
      <c r="GE52" s="2249"/>
      <c r="GF52" s="2249"/>
      <c r="GG52" s="2249"/>
      <c r="GH52" s="2249"/>
      <c r="GI52" s="2249"/>
      <c r="GJ52" s="2249"/>
      <c r="GK52" s="2249"/>
      <c r="GL52" s="2249"/>
      <c r="GM52" s="2249"/>
      <c r="GN52" s="2249"/>
      <c r="GO52" s="2249"/>
      <c r="GP52" s="2249"/>
      <c r="GQ52" s="2249"/>
      <c r="GR52" s="2249"/>
      <c r="GS52" s="2249"/>
      <c r="GT52" s="2249"/>
      <c r="GU52" s="2249"/>
      <c r="GV52" s="2249"/>
      <c r="GW52" s="2249"/>
      <c r="GX52" s="2249"/>
      <c r="GY52" s="2249"/>
      <c r="GZ52" s="2249"/>
      <c r="HA52" s="2249"/>
      <c r="HB52" s="2249"/>
      <c r="HC52" s="2249"/>
      <c r="HD52" s="2249"/>
      <c r="HE52" s="2249"/>
      <c r="HF52" s="2249"/>
      <c r="HG52" s="2249"/>
      <c r="HH52" s="2249"/>
      <c r="HI52" s="2249"/>
      <c r="HJ52" s="2249"/>
      <c r="HK52" s="2249"/>
      <c r="HL52" s="2249"/>
      <c r="HM52" s="2249"/>
      <c r="HN52" s="2249"/>
      <c r="HO52" s="2249"/>
      <c r="HP52" s="2249"/>
      <c r="HQ52" s="2249"/>
      <c r="HR52" s="2249"/>
      <c r="HS52" s="2249"/>
      <c r="HT52" s="2249"/>
      <c r="HU52" s="2249"/>
      <c r="HV52" s="2249"/>
      <c r="HW52" s="2249"/>
      <c r="HX52" s="2249"/>
      <c r="HY52" s="2249"/>
      <c r="HZ52" s="2249"/>
      <c r="IA52" s="2249"/>
      <c r="IB52" s="2249"/>
      <c r="IC52" s="2249"/>
      <c r="ID52" s="2249"/>
      <c r="IE52" s="2249"/>
      <c r="IF52" s="2249"/>
      <c r="IG52" s="2249"/>
      <c r="IH52" s="2249"/>
      <c r="II52" s="2249"/>
      <c r="IJ52" s="2249"/>
      <c r="IK52" s="2249"/>
      <c r="IL52" s="2249"/>
      <c r="IM52" s="2249"/>
      <c r="IN52" s="2249"/>
      <c r="IO52" s="2249"/>
      <c r="IP52" s="2249"/>
      <c r="IQ52" s="2249"/>
      <c r="IR52" s="2249"/>
      <c r="IS52" s="2249"/>
      <c r="IT52" s="2249"/>
      <c r="IU52" s="2249"/>
      <c r="IV52" s="2249"/>
      <c r="IW52" s="2249"/>
      <c r="IX52" s="2249"/>
      <c r="IY52" s="2249"/>
      <c r="IZ52" s="2249"/>
      <c r="JA52" s="2249"/>
      <c r="JB52" s="2249"/>
      <c r="JC52" s="2249"/>
      <c r="JD52" s="2249"/>
      <c r="JE52" s="2249"/>
      <c r="JF52" s="2249"/>
      <c r="JG52" s="2249"/>
      <c r="JH52" s="2249"/>
      <c r="JI52" s="2249"/>
      <c r="JJ52" s="2249"/>
      <c r="JK52" s="2249"/>
      <c r="JL52" s="2249"/>
      <c r="JM52" s="2249"/>
      <c r="JN52" s="2249"/>
      <c r="JO52" s="2249"/>
      <c r="JP52" s="2249"/>
      <c r="JQ52" s="2249"/>
      <c r="JR52" s="2249"/>
      <c r="JS52" s="2249"/>
      <c r="JT52" s="2249"/>
      <c r="JU52" s="2249"/>
      <c r="JV52" s="2249"/>
      <c r="JW52" s="2249"/>
      <c r="JX52" s="2249"/>
      <c r="JY52" s="2249"/>
      <c r="JZ52" s="2249"/>
      <c r="KA52" s="2249"/>
      <c r="KB52" s="2249"/>
      <c r="KC52" s="2249"/>
      <c r="KD52" s="2249"/>
      <c r="KE52" s="2249"/>
      <c r="KF52" s="2249"/>
      <c r="KG52" s="2249"/>
      <c r="KH52" s="2249"/>
      <c r="KI52" s="2249"/>
      <c r="KJ52" s="2249"/>
      <c r="KK52" s="2249"/>
      <c r="KL52" s="2249"/>
      <c r="KM52" s="2249"/>
      <c r="KN52" s="2249"/>
      <c r="KO52" s="2249"/>
      <c r="KP52" s="2249"/>
      <c r="KQ52" s="2249"/>
      <c r="KR52" s="2249"/>
      <c r="KS52" s="2249"/>
      <c r="KT52" s="2249"/>
      <c r="KU52" s="2249"/>
      <c r="KV52" s="2249"/>
      <c r="KW52" s="2249"/>
      <c r="KX52" s="2249"/>
      <c r="KY52" s="2249"/>
      <c r="KZ52" s="2249"/>
      <c r="LA52" s="2249"/>
      <c r="LB52" s="2249"/>
      <c r="LC52" s="2249"/>
      <c r="LD52" s="2249"/>
      <c r="LE52" s="2249"/>
      <c r="LF52" s="2249"/>
      <c r="LG52" s="2249"/>
      <c r="LH52" s="2249"/>
      <c r="LI52" s="2249"/>
      <c r="LJ52" s="2249"/>
      <c r="LK52" s="2249"/>
      <c r="LL52" s="2249"/>
      <c r="LM52" s="2249"/>
      <c r="LN52" s="2249"/>
      <c r="LO52" s="2249"/>
      <c r="LP52" s="2249"/>
      <c r="LQ52" s="2249"/>
      <c r="LR52" s="2249"/>
      <c r="LS52" s="2249"/>
      <c r="LT52" s="2249"/>
      <c r="LU52" s="2249"/>
      <c r="LV52" s="2249"/>
      <c r="LW52" s="2249"/>
      <c r="LX52" s="2249"/>
      <c r="LY52" s="2249"/>
      <c r="LZ52" s="2249"/>
      <c r="MA52" s="2249"/>
      <c r="MB52" s="2249"/>
      <c r="MC52" s="2249"/>
      <c r="MD52" s="2249"/>
      <c r="ME52" s="2249"/>
      <c r="MF52" s="2249"/>
      <c r="MG52" s="2249"/>
      <c r="MH52" s="2249"/>
      <c r="MI52" s="2249"/>
      <c r="MJ52" s="2249"/>
      <c r="MK52" s="2249"/>
      <c r="ML52" s="2249"/>
      <c r="MM52" s="2249"/>
      <c r="MN52" s="2249"/>
      <c r="MO52" s="2249"/>
    </row>
    <row r="53" spans="1:368" ht="14.4" customHeight="1" thickBot="1">
      <c r="A53" s="13" t="s">
        <v>722</v>
      </c>
      <c r="B53" s="13" t="s">
        <v>519</v>
      </c>
      <c r="L53" s="2674" t="str">
        <f>'Part I-Project Information'!$K$94</f>
        <v>Income Averaging</v>
      </c>
      <c r="M53" s="2675"/>
      <c r="N53" s="2675"/>
      <c r="O53" s="2676"/>
      <c r="P53" s="82"/>
      <c r="S53" s="2641" t="str">
        <f>B53</f>
        <v>UNIT SUMMARY</v>
      </c>
      <c r="T53" s="2641"/>
      <c r="U53" s="2641"/>
      <c r="V53" s="2641"/>
      <c r="X53" s="608"/>
      <c r="AA53" s="608"/>
      <c r="AB53" s="608"/>
      <c r="AC53" s="608"/>
      <c r="AF53" s="608"/>
      <c r="AG53" s="608"/>
      <c r="AH53" s="608"/>
      <c r="AK53" s="608"/>
      <c r="AL53" s="608"/>
      <c r="AM53" s="608"/>
      <c r="AP53" s="608"/>
      <c r="AQ53" s="608"/>
      <c r="AR53" s="608"/>
      <c r="AS53" s="608"/>
      <c r="AT53" s="608"/>
      <c r="AU53" s="608"/>
      <c r="AV53" s="608"/>
      <c r="AW53" s="608"/>
      <c r="AX53" s="608"/>
      <c r="AY53" s="445"/>
      <c r="BB53" s="608"/>
      <c r="BC53" s="608"/>
      <c r="BD53" s="445"/>
      <c r="LY53" s="448"/>
      <c r="MN53" s="443"/>
    </row>
    <row r="54" spans="1:368" ht="6" customHeight="1">
      <c r="A54" s="13"/>
      <c r="B54" s="13"/>
      <c r="P54" s="82"/>
      <c r="S54" s="124"/>
      <c r="T54" s="403"/>
      <c r="U54" s="463"/>
      <c r="X54" s="608"/>
      <c r="AA54" s="608"/>
      <c r="AB54" s="608"/>
      <c r="AC54" s="608"/>
      <c r="AF54" s="608"/>
      <c r="AG54" s="608"/>
      <c r="AH54" s="608"/>
      <c r="AK54" s="608"/>
      <c r="AL54" s="608"/>
      <c r="AM54" s="608"/>
      <c r="AP54" s="608"/>
      <c r="AQ54" s="608"/>
      <c r="AR54" s="608"/>
      <c r="AS54" s="608"/>
      <c r="AT54" s="608"/>
      <c r="AU54" s="608"/>
      <c r="AV54" s="608"/>
      <c r="AW54" s="608"/>
      <c r="AX54" s="608"/>
      <c r="AY54" s="445"/>
      <c r="BB54" s="608"/>
      <c r="BC54" s="608"/>
      <c r="BD54" s="445"/>
      <c r="LY54" s="448"/>
      <c r="MN54" s="443"/>
    </row>
    <row r="55" spans="1:368" ht="14.4" customHeight="1">
      <c r="A55" s="13"/>
      <c r="B55" s="13" t="s">
        <v>1114</v>
      </c>
      <c r="H55" s="82" t="s">
        <v>1018</v>
      </c>
      <c r="I55" s="82"/>
      <c r="J55" s="82"/>
      <c r="K55" s="119" t="s">
        <v>551</v>
      </c>
      <c r="L55" s="119" t="s">
        <v>520</v>
      </c>
      <c r="M55" s="119" t="s">
        <v>521</v>
      </c>
      <c r="N55" s="119" t="s">
        <v>522</v>
      </c>
      <c r="O55" s="119" t="s">
        <v>523</v>
      </c>
      <c r="P55" s="119" t="s">
        <v>524</v>
      </c>
      <c r="S55" s="31" t="s">
        <v>1799</v>
      </c>
      <c r="T55" s="31"/>
      <c r="U55" s="463"/>
      <c r="X55" s="608"/>
      <c r="AA55" s="608"/>
      <c r="AB55" s="608"/>
      <c r="AC55" s="608"/>
      <c r="AF55" s="608"/>
      <c r="AG55" s="608"/>
      <c r="AH55" s="608"/>
      <c r="AK55" s="608"/>
      <c r="AL55" s="608"/>
      <c r="AM55" s="608"/>
      <c r="AP55" s="608"/>
      <c r="AQ55" s="608"/>
      <c r="AR55" s="2250"/>
      <c r="AS55" s="2250"/>
      <c r="AT55" s="2250"/>
      <c r="AU55" s="2250"/>
      <c r="AV55" s="2250"/>
      <c r="AW55" s="2250"/>
      <c r="AX55" s="608"/>
      <c r="AY55" s="445"/>
      <c r="BB55" s="2250"/>
      <c r="BC55" s="608"/>
      <c r="BD55" s="445"/>
      <c r="LY55" s="448"/>
      <c r="MN55" s="443"/>
    </row>
    <row r="56" spans="1:368" ht="15" customHeight="1">
      <c r="A56" s="2677" t="s">
        <v>4806</v>
      </c>
      <c r="B56" s="2677"/>
      <c r="C56" s="94" t="s">
        <v>1115</v>
      </c>
      <c r="D56" s="1"/>
      <c r="E56" s="1"/>
      <c r="F56" s="1"/>
      <c r="G56" s="82"/>
      <c r="H56" s="110" t="s">
        <v>4120</v>
      </c>
      <c r="I56" s="36"/>
      <c r="J56" s="82"/>
      <c r="K56" s="1353">
        <f>X48</f>
        <v>0</v>
      </c>
      <c r="L56" s="1354">
        <f>Y48</f>
        <v>5</v>
      </c>
      <c r="M56" s="1354">
        <f>Z48</f>
        <v>9</v>
      </c>
      <c r="N56" s="1354">
        <f>AA48</f>
        <v>0</v>
      </c>
      <c r="O56" s="1355">
        <f>AB48</f>
        <v>0</v>
      </c>
      <c r="P56" s="919">
        <f t="shared" ref="P56:P67" si="357">SUM(K56:O56)</f>
        <v>14</v>
      </c>
      <c r="Q56" s="2678" t="s">
        <v>3494</v>
      </c>
      <c r="R56" s="2392"/>
      <c r="S56" s="4034"/>
      <c r="T56" s="4035"/>
      <c r="U56" s="4035"/>
      <c r="V56" s="4035"/>
      <c r="W56" s="4036"/>
      <c r="X56" s="1815"/>
      <c r="AA56" s="1815"/>
      <c r="AB56" s="449"/>
      <c r="AC56" s="1815"/>
      <c r="AF56" s="1815"/>
      <c r="AG56" s="449"/>
      <c r="AH56" s="1815"/>
      <c r="AK56" s="1815"/>
      <c r="AL56" s="449"/>
      <c r="AM56" s="1815"/>
      <c r="AP56" s="1815"/>
      <c r="AQ56" s="449"/>
      <c r="AR56" s="450"/>
      <c r="AS56" s="450"/>
      <c r="AT56" s="450"/>
      <c r="AU56" s="450"/>
      <c r="AV56" s="450"/>
      <c r="AW56" s="450"/>
      <c r="AX56" s="449"/>
      <c r="AY56" s="445"/>
      <c r="BB56" s="450"/>
      <c r="BC56" s="449"/>
      <c r="BD56" s="445"/>
      <c r="LY56" s="448"/>
      <c r="MN56" s="443"/>
    </row>
    <row r="57" spans="1:368" ht="15" customHeight="1">
      <c r="A57" s="2677"/>
      <c r="B57" s="2677"/>
      <c r="C57" s="94"/>
      <c r="D57" s="1"/>
      <c r="E57" s="1"/>
      <c r="F57" s="1"/>
      <c r="G57" s="82"/>
      <c r="H57" s="110" t="s">
        <v>4121</v>
      </c>
      <c r="I57" s="36"/>
      <c r="J57" s="82"/>
      <c r="K57" s="1356">
        <f>AC48</f>
        <v>0</v>
      </c>
      <c r="L57" s="1357">
        <f>AD48</f>
        <v>0</v>
      </c>
      <c r="M57" s="1357">
        <f>AE48</f>
        <v>0</v>
      </c>
      <c r="N57" s="1357">
        <f>AF48</f>
        <v>0</v>
      </c>
      <c r="O57" s="1358">
        <f>AG48</f>
        <v>0</v>
      </c>
      <c r="P57" s="914">
        <f t="shared" si="357"/>
        <v>0</v>
      </c>
      <c r="Q57" s="2678"/>
      <c r="R57" s="2392"/>
      <c r="S57" s="3996"/>
      <c r="T57" s="3997"/>
      <c r="U57" s="3997"/>
      <c r="V57" s="3997"/>
      <c r="W57" s="3998"/>
      <c r="X57" s="1815"/>
      <c r="AA57" s="1815"/>
      <c r="AB57" s="449"/>
      <c r="AC57" s="1815"/>
      <c r="AF57" s="1815"/>
      <c r="AG57" s="449"/>
      <c r="AH57" s="1815"/>
      <c r="AK57" s="1815"/>
      <c r="AL57" s="449"/>
      <c r="AM57" s="1815"/>
      <c r="AP57" s="1815"/>
      <c r="AQ57" s="449"/>
      <c r="AR57" s="450"/>
      <c r="AS57" s="450"/>
      <c r="AT57" s="450"/>
      <c r="AU57" s="450"/>
      <c r="AV57" s="450"/>
      <c r="AW57" s="450"/>
      <c r="AX57" s="449"/>
      <c r="AY57" s="445"/>
      <c r="BB57" s="450"/>
      <c r="BC57" s="449"/>
      <c r="BD57" s="445"/>
      <c r="LY57" s="448"/>
      <c r="MN57" s="443"/>
    </row>
    <row r="58" spans="1:368" ht="15" customHeight="1">
      <c r="A58" s="2677"/>
      <c r="B58" s="2677"/>
      <c r="C58" s="94"/>
      <c r="D58" s="1"/>
      <c r="E58" s="1"/>
      <c r="F58" s="1"/>
      <c r="G58" s="82"/>
      <c r="H58" s="110" t="s">
        <v>1127</v>
      </c>
      <c r="I58" s="36"/>
      <c r="J58" s="82"/>
      <c r="K58" s="1356">
        <f>AH48</f>
        <v>0</v>
      </c>
      <c r="L58" s="1357">
        <f>AI48</f>
        <v>9</v>
      </c>
      <c r="M58" s="1357">
        <f>AJ48</f>
        <v>25</v>
      </c>
      <c r="N58" s="1357">
        <f>AK48</f>
        <v>0</v>
      </c>
      <c r="O58" s="1358">
        <f>AL48</f>
        <v>0</v>
      </c>
      <c r="P58" s="914">
        <f t="shared" si="357"/>
        <v>34</v>
      </c>
      <c r="Q58" s="2678"/>
      <c r="R58" s="2392"/>
      <c r="S58" s="3996"/>
      <c r="T58" s="3997"/>
      <c r="U58" s="3997"/>
      <c r="V58" s="3997"/>
      <c r="W58" s="3998"/>
      <c r="X58" s="1815"/>
      <c r="AA58" s="1815"/>
      <c r="AB58" s="449"/>
      <c r="AC58" s="1815"/>
      <c r="AF58" s="1815"/>
      <c r="AG58" s="449"/>
      <c r="AH58" s="1815"/>
      <c r="AK58" s="1815"/>
      <c r="AL58" s="449"/>
      <c r="AM58" s="1815"/>
      <c r="AP58" s="1815"/>
      <c r="AQ58" s="449"/>
      <c r="AR58" s="450"/>
      <c r="AS58" s="450"/>
      <c r="AT58" s="450"/>
      <c r="AU58" s="450"/>
      <c r="AV58" s="450"/>
      <c r="AW58" s="450"/>
      <c r="AX58" s="449"/>
      <c r="AY58" s="445"/>
      <c r="BB58" s="450"/>
      <c r="BC58" s="449"/>
      <c r="BD58" s="445"/>
      <c r="LY58" s="448"/>
      <c r="MN58" s="443"/>
    </row>
    <row r="59" spans="1:368" ht="15" customHeight="1">
      <c r="A59" s="2677"/>
      <c r="B59" s="2677"/>
      <c r="C59" s="94"/>
      <c r="D59" s="1"/>
      <c r="E59" s="1"/>
      <c r="F59" s="1"/>
      <c r="G59" s="82"/>
      <c r="H59" s="103" t="s">
        <v>115</v>
      </c>
      <c r="I59" s="52"/>
      <c r="J59" s="1094"/>
      <c r="K59" s="1377">
        <f>AM48</f>
        <v>0</v>
      </c>
      <c r="L59" s="1378">
        <f>AN48</f>
        <v>0</v>
      </c>
      <c r="M59" s="1378">
        <f>AO48</f>
        <v>0</v>
      </c>
      <c r="N59" s="1378">
        <f>AP48</f>
        <v>0</v>
      </c>
      <c r="O59" s="1379">
        <f>AQ48</f>
        <v>0</v>
      </c>
      <c r="P59" s="572">
        <f t="shared" si="357"/>
        <v>0</v>
      </c>
      <c r="Q59" s="2678"/>
      <c r="R59" s="2392"/>
      <c r="S59" s="3996"/>
      <c r="T59" s="3997"/>
      <c r="U59" s="3997"/>
      <c r="V59" s="3997"/>
      <c r="W59" s="3998"/>
      <c r="X59" s="1815"/>
      <c r="AA59" s="1815"/>
      <c r="AB59" s="449"/>
      <c r="AC59" s="1815"/>
      <c r="AF59" s="1815"/>
      <c r="AG59" s="449"/>
      <c r="AH59" s="1815"/>
      <c r="AK59" s="1815"/>
      <c r="AL59" s="449"/>
      <c r="AM59" s="1815"/>
      <c r="AP59" s="1815"/>
      <c r="AQ59" s="449"/>
      <c r="AR59" s="450"/>
      <c r="AS59" s="450"/>
      <c r="AT59" s="450"/>
      <c r="AU59" s="450"/>
      <c r="AV59" s="450"/>
      <c r="AW59" s="450"/>
      <c r="AX59" s="449"/>
      <c r="AY59" s="445"/>
      <c r="BB59" s="450"/>
      <c r="BC59" s="449"/>
      <c r="BD59" s="445"/>
      <c r="LY59" s="448"/>
      <c r="MN59" s="443"/>
    </row>
    <row r="60" spans="1:368" ht="15" customHeight="1">
      <c r="A60" s="2677"/>
      <c r="B60" s="2677"/>
      <c r="C60" s="94"/>
      <c r="D60" s="1"/>
      <c r="E60" s="1"/>
      <c r="F60" s="1"/>
      <c r="G60" s="82"/>
      <c r="H60" s="103" t="s">
        <v>4122</v>
      </c>
      <c r="I60" s="52"/>
      <c r="J60" s="1094"/>
      <c r="K60" s="1356">
        <f>AR48</f>
        <v>0</v>
      </c>
      <c r="L60" s="1357">
        <f>AS48</f>
        <v>6</v>
      </c>
      <c r="M60" s="1357">
        <f>AT48</f>
        <v>18</v>
      </c>
      <c r="N60" s="1357">
        <f>AU48</f>
        <v>0</v>
      </c>
      <c r="O60" s="1358">
        <f>AV48</f>
        <v>0</v>
      </c>
      <c r="P60" s="914">
        <f t="shared" si="357"/>
        <v>24</v>
      </c>
      <c r="Q60" s="2678"/>
      <c r="R60" s="2392"/>
      <c r="S60" s="3996"/>
      <c r="T60" s="3997"/>
      <c r="U60" s="3997"/>
      <c r="V60" s="3997"/>
      <c r="W60" s="3998"/>
      <c r="X60" s="1815"/>
      <c r="AA60" s="1815"/>
      <c r="AB60" s="449"/>
      <c r="AC60" s="1815"/>
      <c r="AF60" s="1815"/>
      <c r="AG60" s="449"/>
      <c r="AH60" s="1815"/>
      <c r="AK60" s="1815"/>
      <c r="AL60" s="449"/>
      <c r="AM60" s="1815"/>
      <c r="AP60" s="1815"/>
      <c r="AQ60" s="449"/>
      <c r="AR60" s="450"/>
      <c r="AS60" s="450"/>
      <c r="AT60" s="450"/>
      <c r="AU60" s="450"/>
      <c r="AV60" s="450"/>
      <c r="AW60" s="450"/>
      <c r="AX60" s="449"/>
      <c r="AY60" s="445"/>
      <c r="BB60" s="450"/>
      <c r="BC60" s="449"/>
      <c r="BD60" s="445"/>
      <c r="LY60" s="448"/>
      <c r="MN60" s="443"/>
    </row>
    <row r="61" spans="1:368" ht="15" customHeight="1">
      <c r="A61" s="2677"/>
      <c r="B61" s="2677"/>
      <c r="C61" s="94"/>
      <c r="D61" s="1"/>
      <c r="E61" s="1"/>
      <c r="F61" s="1"/>
      <c r="G61" s="82"/>
      <c r="H61" s="110" t="s">
        <v>4123</v>
      </c>
      <c r="I61" s="36"/>
      <c r="J61" s="82"/>
      <c r="K61" s="1356">
        <f>AW48</f>
        <v>0</v>
      </c>
      <c r="L61" s="1357">
        <f>AX48</f>
        <v>0</v>
      </c>
      <c r="M61" s="1357">
        <f>AY48</f>
        <v>0</v>
      </c>
      <c r="N61" s="1357">
        <f>AZ48</f>
        <v>0</v>
      </c>
      <c r="O61" s="1358">
        <f>BA48</f>
        <v>0</v>
      </c>
      <c r="P61" s="914">
        <f t="shared" si="357"/>
        <v>0</v>
      </c>
      <c r="Q61" s="2678"/>
      <c r="R61" s="2392"/>
      <c r="S61" s="3996"/>
      <c r="T61" s="3997"/>
      <c r="U61" s="3997"/>
      <c r="V61" s="3997"/>
      <c r="W61" s="3998"/>
      <c r="X61" s="1815"/>
      <c r="AA61" s="1815"/>
      <c r="AB61" s="449"/>
      <c r="AC61" s="1815"/>
      <c r="AF61" s="1815"/>
      <c r="AG61" s="449"/>
      <c r="AH61" s="1815"/>
      <c r="AK61" s="1815"/>
      <c r="AL61" s="449"/>
      <c r="AM61" s="1815"/>
      <c r="AP61" s="1815"/>
      <c r="AQ61" s="449"/>
      <c r="AR61" s="450"/>
      <c r="AS61" s="450"/>
      <c r="AT61" s="450"/>
      <c r="AU61" s="450"/>
      <c r="AV61" s="450"/>
      <c r="AW61" s="450"/>
      <c r="AX61" s="449"/>
      <c r="AY61" s="445"/>
      <c r="BB61" s="450"/>
      <c r="BC61" s="449"/>
      <c r="BD61" s="445"/>
      <c r="LY61" s="448"/>
      <c r="MN61" s="443"/>
    </row>
    <row r="62" spans="1:368" ht="15" customHeight="1">
      <c r="A62" s="2677"/>
      <c r="B62" s="2677"/>
      <c r="C62" s="4"/>
      <c r="D62" s="1"/>
      <c r="E62" s="1"/>
      <c r="F62" s="1"/>
      <c r="G62" s="82"/>
      <c r="H62" s="110" t="s">
        <v>4124</v>
      </c>
      <c r="I62" s="36"/>
      <c r="J62" s="82"/>
      <c r="K62" s="1359">
        <f>BB48</f>
        <v>0</v>
      </c>
      <c r="L62" s="1360">
        <f>BC48</f>
        <v>0</v>
      </c>
      <c r="M62" s="1360">
        <f>BD48</f>
        <v>0</v>
      </c>
      <c r="N62" s="1360">
        <f>BE48</f>
        <v>0</v>
      </c>
      <c r="O62" s="1361">
        <f>BF48</f>
        <v>0</v>
      </c>
      <c r="P62" s="572">
        <f t="shared" si="357"/>
        <v>0</v>
      </c>
      <c r="Q62" s="2678"/>
      <c r="R62" s="2392"/>
      <c r="S62" s="3996"/>
      <c r="T62" s="3997"/>
      <c r="U62" s="3997"/>
      <c r="V62" s="3997"/>
      <c r="W62" s="3998"/>
      <c r="X62" s="2251"/>
      <c r="AA62" s="1815"/>
      <c r="AB62" s="449"/>
      <c r="AC62" s="2251"/>
      <c r="AF62" s="1815"/>
      <c r="AG62" s="449"/>
      <c r="AH62" s="2251"/>
      <c r="AK62" s="1815"/>
      <c r="AL62" s="449"/>
      <c r="AM62" s="2251"/>
      <c r="AP62" s="1815"/>
      <c r="AQ62" s="449"/>
      <c r="AR62" s="450"/>
      <c r="AS62" s="450"/>
      <c r="AT62" s="450"/>
      <c r="AU62" s="450"/>
      <c r="AV62" s="450"/>
      <c r="AW62" s="450"/>
      <c r="AX62" s="449"/>
      <c r="AY62" s="445"/>
      <c r="BB62" s="450"/>
      <c r="BC62" s="449"/>
      <c r="BD62" s="445"/>
      <c r="LY62" s="448"/>
      <c r="MN62" s="443"/>
    </row>
    <row r="63" spans="1:368" ht="15" customHeight="1">
      <c r="A63" s="2677"/>
      <c r="B63" s="2677"/>
      <c r="C63" s="110" t="s">
        <v>4206</v>
      </c>
      <c r="D63" s="1"/>
      <c r="E63" s="1"/>
      <c r="F63" s="1"/>
      <c r="G63" s="82"/>
      <c r="H63" s="89"/>
      <c r="I63" s="55"/>
      <c r="J63" s="82"/>
      <c r="K63" s="1327">
        <f>SUM(K56:K62)</f>
        <v>0</v>
      </c>
      <c r="L63" s="1327">
        <f>SUM(L56:L62)</f>
        <v>20</v>
      </c>
      <c r="M63" s="1327">
        <f>SUM(M56:M62)</f>
        <v>52</v>
      </c>
      <c r="N63" s="1327">
        <f>SUM(N56:N62)</f>
        <v>0</v>
      </c>
      <c r="O63" s="1327">
        <f>SUM(O56:O62)</f>
        <v>0</v>
      </c>
      <c r="P63" s="1327">
        <f t="shared" si="357"/>
        <v>72</v>
      </c>
      <c r="Q63" s="2679"/>
      <c r="S63" s="3996"/>
      <c r="T63" s="3997"/>
      <c r="U63" s="3997"/>
      <c r="V63" s="3997"/>
      <c r="W63" s="3998"/>
      <c r="X63" s="2251"/>
      <c r="AA63" s="1815"/>
      <c r="AB63" s="449"/>
      <c r="AC63" s="2251"/>
      <c r="AF63" s="1815"/>
      <c r="AG63" s="449"/>
      <c r="AH63" s="2251"/>
      <c r="AK63" s="1815"/>
      <c r="AL63" s="449"/>
      <c r="AM63" s="2251"/>
      <c r="AP63" s="1815"/>
      <c r="AQ63" s="449"/>
      <c r="AR63" s="450"/>
      <c r="AS63" s="450"/>
      <c r="AT63" s="450"/>
      <c r="AU63" s="450"/>
      <c r="AV63" s="450"/>
      <c r="AW63" s="450"/>
      <c r="AX63" s="449"/>
      <c r="AY63" s="445"/>
      <c r="BB63" s="450"/>
      <c r="BC63" s="449"/>
      <c r="BD63" s="445"/>
      <c r="LY63" s="448"/>
      <c r="MN63" s="443"/>
    </row>
    <row r="64" spans="1:368" ht="15" customHeight="1">
      <c r="A64" s="2677"/>
      <c r="B64" s="2677"/>
      <c r="D64" s="1"/>
      <c r="E64" s="1"/>
      <c r="F64" s="1"/>
      <c r="G64" s="82"/>
      <c r="H64" s="110" t="s">
        <v>298</v>
      </c>
      <c r="I64" s="36"/>
      <c r="J64" s="82"/>
      <c r="K64" s="915">
        <f>BG48</f>
        <v>0</v>
      </c>
      <c r="L64" s="915">
        <f>BH48</f>
        <v>0</v>
      </c>
      <c r="M64" s="915">
        <f>BI48</f>
        <v>0</v>
      </c>
      <c r="N64" s="915">
        <f>BJ48</f>
        <v>0</v>
      </c>
      <c r="O64" s="915">
        <f>BK48</f>
        <v>0</v>
      </c>
      <c r="P64" s="915">
        <f t="shared" si="357"/>
        <v>0</v>
      </c>
      <c r="S64" s="3996"/>
      <c r="T64" s="3997"/>
      <c r="U64" s="3997"/>
      <c r="V64" s="3997"/>
      <c r="W64" s="3998"/>
      <c r="X64" s="445"/>
      <c r="AA64" s="1815"/>
      <c r="AB64" s="449"/>
      <c r="AC64" s="445"/>
      <c r="AF64" s="1815"/>
      <c r="AG64" s="449"/>
      <c r="AH64" s="445"/>
      <c r="AK64" s="1815"/>
      <c r="AL64" s="449"/>
      <c r="AM64" s="445"/>
      <c r="AP64" s="1815"/>
      <c r="AQ64" s="449"/>
      <c r="AR64" s="450"/>
      <c r="AS64" s="450"/>
      <c r="AT64" s="450"/>
      <c r="AU64" s="450"/>
      <c r="AV64" s="450"/>
      <c r="AW64" s="450"/>
      <c r="AX64" s="1006"/>
      <c r="AY64" s="445"/>
      <c r="BB64" s="450"/>
      <c r="BC64" s="1006"/>
      <c r="BD64" s="445"/>
      <c r="LY64" s="448"/>
      <c r="MN64" s="443"/>
    </row>
    <row r="65" spans="1:495" ht="15" customHeight="1">
      <c r="A65" s="2677"/>
      <c r="B65" s="2677"/>
      <c r="C65" s="1334" t="s">
        <v>1116</v>
      </c>
      <c r="D65" s="1334"/>
      <c r="E65" s="1334"/>
      <c r="F65" s="1334"/>
      <c r="G65" s="1335"/>
      <c r="H65" s="1753"/>
      <c r="I65" s="49"/>
      <c r="J65" s="1335"/>
      <c r="K65" s="1336">
        <f>SUM(K63:K64)</f>
        <v>0</v>
      </c>
      <c r="L65" s="1336">
        <f>SUM(L63:L64)</f>
        <v>20</v>
      </c>
      <c r="M65" s="1336">
        <f>SUM(M63:M64)</f>
        <v>52</v>
      </c>
      <c r="N65" s="1336">
        <f>SUM(N63:N64)</f>
        <v>0</v>
      </c>
      <c r="O65" s="1336">
        <f>SUM(O63:O64)</f>
        <v>0</v>
      </c>
      <c r="P65" s="1336">
        <f t="shared" si="357"/>
        <v>72</v>
      </c>
      <c r="S65" s="3996"/>
      <c r="T65" s="3997"/>
      <c r="U65" s="3997"/>
      <c r="V65" s="3997"/>
      <c r="W65" s="3998"/>
      <c r="X65" s="1815"/>
      <c r="AA65" s="1815"/>
      <c r="AB65" s="449"/>
      <c r="AC65" s="1815"/>
      <c r="AF65" s="1815"/>
      <c r="AG65" s="449"/>
      <c r="AH65" s="1815"/>
      <c r="AK65" s="1815"/>
      <c r="AL65" s="449"/>
      <c r="AM65" s="1815"/>
      <c r="AP65" s="1815"/>
      <c r="AQ65" s="449"/>
      <c r="AR65" s="450"/>
      <c r="AS65" s="450"/>
      <c r="AT65" s="450"/>
      <c r="AU65" s="450"/>
      <c r="AV65" s="450"/>
      <c r="AW65" s="450"/>
      <c r="AX65" s="1006"/>
      <c r="AY65" s="445"/>
      <c r="BB65" s="450"/>
      <c r="BC65" s="1006"/>
      <c r="BD65" s="445"/>
      <c r="LY65" s="448"/>
      <c r="MN65" s="443"/>
    </row>
    <row r="66" spans="1:495" ht="15" customHeight="1">
      <c r="A66" s="2677"/>
      <c r="B66" s="2677"/>
      <c r="D66" s="1"/>
      <c r="E66" s="1"/>
      <c r="F66" s="1"/>
      <c r="G66" s="82"/>
      <c r="H66" s="110" t="s">
        <v>2445</v>
      </c>
      <c r="I66" s="36"/>
      <c r="J66" s="82"/>
      <c r="K66" s="915">
        <f>ED48</f>
        <v>0</v>
      </c>
      <c r="L66" s="915">
        <f>EE48</f>
        <v>0</v>
      </c>
      <c r="M66" s="915">
        <f>EF48</f>
        <v>0</v>
      </c>
      <c r="N66" s="915">
        <f>EG48</f>
        <v>0</v>
      </c>
      <c r="O66" s="915">
        <f>EH48</f>
        <v>0</v>
      </c>
      <c r="P66" s="915">
        <f t="shared" si="357"/>
        <v>0</v>
      </c>
      <c r="Q66" s="483" t="s">
        <v>3495</v>
      </c>
      <c r="S66" s="3996"/>
      <c r="T66" s="3997"/>
      <c r="U66" s="3997"/>
      <c r="V66" s="3997"/>
      <c r="W66" s="3998"/>
      <c r="X66" s="1815"/>
      <c r="AA66" s="1815"/>
      <c r="AB66" s="449"/>
      <c r="AC66" s="1815"/>
      <c r="AF66" s="1815"/>
      <c r="AG66" s="449"/>
      <c r="AH66" s="1815"/>
      <c r="AK66" s="1815"/>
      <c r="AL66" s="449"/>
      <c r="AM66" s="1815"/>
      <c r="AP66" s="1815"/>
      <c r="AQ66" s="449"/>
      <c r="AR66" s="450"/>
      <c r="AS66" s="450"/>
      <c r="AT66" s="450"/>
      <c r="AU66" s="450"/>
      <c r="AV66" s="450"/>
      <c r="AW66" s="450"/>
      <c r="AX66" s="449"/>
      <c r="AY66" s="445"/>
      <c r="BB66" s="450"/>
      <c r="BC66" s="449"/>
      <c r="BD66" s="445"/>
      <c r="LY66" s="448"/>
      <c r="MN66" s="443"/>
    </row>
    <row r="67" spans="1:495" ht="15" customHeight="1">
      <c r="A67" s="2677"/>
      <c r="B67" s="2677"/>
      <c r="C67" s="4" t="s">
        <v>1749</v>
      </c>
      <c r="D67" s="1"/>
      <c r="E67" s="1"/>
      <c r="F67" s="1"/>
      <c r="G67" s="82"/>
      <c r="H67" s="110"/>
      <c r="I67" s="36"/>
      <c r="J67" s="82"/>
      <c r="K67" s="1326">
        <f>SUM(K65:K66)</f>
        <v>0</v>
      </c>
      <c r="L67" s="1326">
        <f>SUM(L65:L66)</f>
        <v>20</v>
      </c>
      <c r="M67" s="1326">
        <f>SUM(M65:M66)</f>
        <v>52</v>
      </c>
      <c r="N67" s="1326">
        <f>SUM(N65:N66)</f>
        <v>0</v>
      </c>
      <c r="O67" s="1326">
        <f>SUM(O65:O66)</f>
        <v>0</v>
      </c>
      <c r="P67" s="1326">
        <f t="shared" si="357"/>
        <v>72</v>
      </c>
      <c r="S67" s="4027"/>
      <c r="T67" s="4028"/>
      <c r="U67" s="4028"/>
      <c r="V67" s="4028"/>
      <c r="W67" s="4029"/>
      <c r="X67" s="1815"/>
      <c r="AA67" s="1815"/>
      <c r="AB67" s="449"/>
      <c r="AC67" s="1815"/>
      <c r="AF67" s="1815"/>
      <c r="AG67" s="449"/>
      <c r="AH67" s="1815"/>
      <c r="AK67" s="1815"/>
      <c r="AL67" s="449"/>
      <c r="AM67" s="1815"/>
      <c r="AP67" s="1815"/>
      <c r="AQ67" s="449"/>
      <c r="AR67" s="450"/>
      <c r="AS67" s="450"/>
      <c r="AT67" s="450"/>
      <c r="AU67" s="450"/>
      <c r="AV67" s="450"/>
      <c r="AW67" s="450"/>
      <c r="AX67" s="608"/>
      <c r="AY67" s="445"/>
      <c r="BB67" s="450"/>
      <c r="BC67" s="608"/>
      <c r="BD67" s="445"/>
      <c r="LY67" s="448"/>
      <c r="MN67" s="443"/>
    </row>
    <row r="68" spans="1:495" ht="16.2" customHeight="1">
      <c r="A68" s="2677"/>
      <c r="B68" s="2677"/>
      <c r="C68" s="1518"/>
      <c r="D68" s="1518"/>
      <c r="E68" s="1518"/>
      <c r="F68" s="1518"/>
      <c r="G68" s="1518"/>
      <c r="H68" s="1754"/>
      <c r="I68" s="1518"/>
      <c r="J68" s="1518"/>
      <c r="K68" s="1518"/>
      <c r="L68" s="1518"/>
      <c r="M68" s="1518"/>
      <c r="N68" s="1518"/>
      <c r="O68" s="1518"/>
      <c r="P68" s="1518"/>
      <c r="Q68" s="443"/>
      <c r="X68" s="1815"/>
      <c r="AA68" s="1815"/>
      <c r="AB68" s="449"/>
      <c r="AC68" s="1815"/>
      <c r="AF68" s="1815"/>
      <c r="AG68" s="449"/>
      <c r="AH68" s="1815"/>
      <c r="AK68" s="1815"/>
      <c r="AL68" s="449"/>
      <c r="AM68" s="1815"/>
      <c r="AP68" s="1815"/>
      <c r="AQ68" s="449"/>
      <c r="AR68" s="1815"/>
      <c r="AS68" s="1815"/>
      <c r="AT68" s="1815"/>
      <c r="AU68" s="1815"/>
      <c r="AV68" s="1815"/>
      <c r="AW68" s="1815"/>
      <c r="AX68" s="608"/>
      <c r="AY68" s="445"/>
      <c r="BB68" s="1815"/>
      <c r="BC68" s="608"/>
      <c r="BD68" s="445"/>
      <c r="LY68" s="448"/>
      <c r="MN68" s="443"/>
    </row>
    <row r="69" spans="1:495" ht="12" customHeight="1">
      <c r="A69" s="2677"/>
      <c r="B69" s="2677"/>
      <c r="C69" s="2659" t="s">
        <v>4225</v>
      </c>
      <c r="D69" s="2659"/>
      <c r="E69" s="2659"/>
      <c r="F69" s="2659"/>
      <c r="G69" s="1518"/>
      <c r="H69" s="1754"/>
      <c r="I69" s="1518"/>
      <c r="J69" s="1518"/>
      <c r="K69" s="1759"/>
      <c r="L69" s="1759"/>
      <c r="M69" s="1759"/>
      <c r="N69" s="1759"/>
      <c r="O69" s="1759"/>
      <c r="P69" s="1759"/>
      <c r="Q69" s="443"/>
      <c r="S69" s="268" t="str">
        <f>C69</f>
        <v xml:space="preserve">Income Limit Distribution among Bedroom Sizes </v>
      </c>
      <c r="T69" s="151"/>
      <c r="U69" s="404"/>
      <c r="X69" s="1815"/>
      <c r="AA69" s="1815"/>
      <c r="AB69" s="449"/>
      <c r="AC69" s="1815"/>
      <c r="AF69" s="1815"/>
      <c r="AG69" s="449"/>
      <c r="AH69" s="1815"/>
      <c r="AK69" s="1815"/>
      <c r="AL69" s="449"/>
      <c r="AM69" s="1815"/>
      <c r="AP69" s="1815"/>
      <c r="AQ69" s="449"/>
      <c r="AR69" s="1815"/>
      <c r="AS69" s="1815"/>
      <c r="AT69" s="1815"/>
      <c r="AU69" s="1815"/>
      <c r="AV69" s="1815"/>
      <c r="AW69" s="1815"/>
      <c r="AX69" s="608"/>
      <c r="AY69" s="445"/>
      <c r="BB69" s="1815"/>
      <c r="BC69" s="608"/>
      <c r="BD69" s="445"/>
      <c r="LY69" s="448"/>
      <c r="MN69" s="443"/>
    </row>
    <row r="70" spans="1:495" s="27" customFormat="1" ht="13.2" customHeight="1">
      <c r="A70" s="2677"/>
      <c r="B70" s="2677"/>
      <c r="C70" s="2659"/>
      <c r="D70" s="2659"/>
      <c r="E70" s="2659"/>
      <c r="F70" s="2659"/>
      <c r="G70" s="8"/>
      <c r="H70" s="110" t="s">
        <v>4120</v>
      </c>
      <c r="I70" s="36"/>
      <c r="J70" s="1741"/>
      <c r="K70" s="4037" t="str">
        <f t="shared" ref="K70:P70" si="358">IF(OR(K56=0,K$67=0),"",K56/K$67)</f>
        <v/>
      </c>
      <c r="L70" s="4038">
        <f t="shared" si="358"/>
        <v>0.25</v>
      </c>
      <c r="M70" s="4038">
        <f t="shared" si="358"/>
        <v>0.17307692307692307</v>
      </c>
      <c r="N70" s="4038" t="str">
        <f t="shared" si="358"/>
        <v/>
      </c>
      <c r="O70" s="4038" t="str">
        <f t="shared" si="358"/>
        <v/>
      </c>
      <c r="P70" s="4039">
        <f t="shared" si="358"/>
        <v>0.19444444444444445</v>
      </c>
      <c r="Q70" s="40" t="s">
        <v>4779</v>
      </c>
      <c r="S70" s="4034"/>
      <c r="T70" s="4035"/>
      <c r="U70" s="4035"/>
      <c r="V70" s="4035"/>
      <c r="W70" s="4036"/>
      <c r="X70" s="1762"/>
      <c r="Y70" s="1762"/>
      <c r="Z70" s="1762"/>
      <c r="AA70" s="1762"/>
      <c r="AB70" s="1762"/>
      <c r="AC70" s="1762"/>
      <c r="AD70" s="1762"/>
      <c r="AE70" s="1762"/>
      <c r="AF70" s="1762"/>
      <c r="AG70" s="1762"/>
      <c r="AH70" s="1762"/>
      <c r="AI70" s="1762"/>
      <c r="AJ70" s="1762"/>
      <c r="AK70" s="1762"/>
      <c r="AL70" s="1762"/>
      <c r="AM70" s="1762"/>
      <c r="AN70" s="1762"/>
      <c r="AO70" s="1762"/>
      <c r="AP70" s="1762"/>
      <c r="AQ70" s="1762"/>
      <c r="AR70" s="1762"/>
      <c r="AS70" s="1762"/>
      <c r="AT70" s="1762"/>
      <c r="AU70" s="1762"/>
      <c r="AV70" s="1762"/>
      <c r="AW70" s="1762"/>
      <c r="AX70" s="1762"/>
      <c r="AY70" s="1762"/>
      <c r="AZ70" s="1762"/>
      <c r="BA70" s="1762"/>
      <c r="BB70" s="1762"/>
      <c r="BC70" s="1762"/>
      <c r="BD70" s="1762"/>
      <c r="BE70" s="1762"/>
      <c r="BF70" s="1762"/>
      <c r="BG70" s="1762"/>
      <c r="BH70" s="1762"/>
      <c r="BI70" s="1762"/>
      <c r="BJ70" s="1762"/>
      <c r="BK70" s="1762"/>
      <c r="BL70" s="1762"/>
      <c r="BM70" s="1762"/>
      <c r="BN70" s="1762"/>
      <c r="BO70" s="1762"/>
      <c r="BP70" s="1762"/>
      <c r="BQ70" s="1762"/>
      <c r="BR70" s="1762"/>
      <c r="BS70" s="1762"/>
      <c r="BT70" s="1762"/>
      <c r="BU70" s="1762"/>
      <c r="BV70" s="1762"/>
      <c r="BW70" s="1762"/>
      <c r="BX70" s="1762"/>
      <c r="BY70" s="1762"/>
      <c r="BZ70" s="1762"/>
      <c r="CA70" s="1762"/>
      <c r="CB70" s="1762"/>
      <c r="CC70" s="1762"/>
      <c r="CD70" s="1762"/>
      <c r="CE70" s="1762"/>
      <c r="CF70" s="1762"/>
      <c r="CG70" s="1762"/>
      <c r="CH70" s="1762"/>
      <c r="CI70" s="1762"/>
      <c r="CJ70" s="1762"/>
      <c r="CK70" s="1762"/>
      <c r="CL70" s="1762"/>
      <c r="CM70" s="1762"/>
      <c r="CN70" s="1762"/>
      <c r="CO70" s="1762"/>
      <c r="CP70" s="1762"/>
      <c r="CQ70" s="1762"/>
      <c r="CR70" s="1762"/>
      <c r="CS70" s="1762"/>
      <c r="CT70" s="1762"/>
      <c r="CU70" s="1762"/>
      <c r="CV70" s="1762"/>
      <c r="CW70" s="1762"/>
      <c r="CX70" s="1762"/>
      <c r="CY70" s="1762"/>
      <c r="CZ70" s="1762"/>
      <c r="DA70" s="1762"/>
      <c r="DB70" s="1762"/>
      <c r="DC70" s="1762"/>
      <c r="DD70" s="1762"/>
      <c r="DE70" s="1762"/>
      <c r="DF70" s="1762"/>
      <c r="DG70" s="1762"/>
      <c r="DH70" s="1762"/>
      <c r="DI70" s="1762"/>
      <c r="DJ70" s="1762"/>
      <c r="DK70" s="1762"/>
      <c r="DL70" s="1762"/>
      <c r="DM70" s="1762"/>
      <c r="DN70" s="1762"/>
      <c r="DO70" s="1762"/>
      <c r="DP70" s="1762"/>
      <c r="DQ70" s="1762"/>
      <c r="DR70" s="1762"/>
      <c r="DS70" s="1762"/>
      <c r="DT70" s="1762"/>
      <c r="DU70" s="1762"/>
      <c r="DV70" s="1762"/>
      <c r="DW70" s="1762"/>
      <c r="DX70" s="1762"/>
      <c r="DY70" s="1762"/>
      <c r="DZ70" s="1762"/>
      <c r="EA70" s="1762"/>
      <c r="EB70" s="1762"/>
      <c r="EC70" s="1762"/>
      <c r="ED70" s="1762"/>
      <c r="EE70" s="1762"/>
      <c r="EF70" s="1762"/>
      <c r="EG70" s="1762"/>
      <c r="EH70" s="1762"/>
      <c r="EI70" s="1762"/>
      <c r="EJ70" s="1762"/>
      <c r="EK70" s="1762"/>
      <c r="EL70" s="1762"/>
      <c r="EM70" s="1762"/>
      <c r="EN70" s="1762"/>
      <c r="EO70" s="1762"/>
      <c r="EP70" s="1762"/>
      <c r="EQ70" s="1762"/>
      <c r="ER70" s="1762"/>
      <c r="ES70" s="1762"/>
      <c r="ET70" s="1762"/>
      <c r="EU70" s="1762"/>
      <c r="EV70" s="1762"/>
      <c r="EW70" s="1762"/>
      <c r="EX70" s="1762"/>
      <c r="EY70" s="1762"/>
      <c r="EZ70" s="1762"/>
      <c r="FA70" s="1762"/>
      <c r="FB70" s="1762"/>
      <c r="FC70" s="1762"/>
      <c r="FD70" s="1762"/>
      <c r="FE70" s="1762"/>
      <c r="FF70" s="1762"/>
      <c r="FG70" s="1762"/>
      <c r="FH70" s="1762"/>
      <c r="FI70" s="1762"/>
      <c r="FJ70" s="1762"/>
      <c r="FK70" s="1762"/>
      <c r="FL70" s="1762"/>
      <c r="FM70" s="1762"/>
      <c r="FN70" s="1762"/>
      <c r="FO70" s="1762"/>
      <c r="FP70" s="1762"/>
      <c r="FQ70" s="1762"/>
      <c r="FR70" s="1762"/>
      <c r="FS70" s="1762"/>
      <c r="FT70" s="1762"/>
      <c r="FU70" s="1762"/>
      <c r="FV70" s="1762"/>
      <c r="FW70" s="1762"/>
      <c r="FX70" s="1762"/>
      <c r="FY70" s="1762"/>
      <c r="FZ70" s="1762"/>
      <c r="GA70" s="1762"/>
      <c r="GB70" s="1762"/>
      <c r="GC70" s="1762"/>
      <c r="GD70" s="1762"/>
      <c r="GE70" s="1762"/>
      <c r="GF70" s="1762"/>
      <c r="GG70" s="1762"/>
      <c r="GH70" s="1762"/>
      <c r="GI70" s="1762"/>
      <c r="GJ70" s="1762"/>
      <c r="GK70" s="1762"/>
      <c r="GL70" s="1762"/>
      <c r="GM70" s="1762"/>
      <c r="GN70" s="1762"/>
      <c r="GO70" s="1762"/>
      <c r="GP70" s="1762"/>
      <c r="GQ70" s="1762"/>
      <c r="GR70" s="1762"/>
      <c r="GS70" s="1762"/>
      <c r="GT70" s="1762"/>
      <c r="GU70" s="1762"/>
      <c r="GV70" s="1762"/>
      <c r="GW70" s="1762"/>
      <c r="GX70" s="1762"/>
      <c r="GY70" s="1762"/>
      <c r="GZ70" s="1762"/>
      <c r="HA70" s="1762"/>
      <c r="HB70" s="1762"/>
      <c r="HC70" s="1762"/>
      <c r="HD70" s="1762"/>
      <c r="HE70" s="1762"/>
      <c r="HF70" s="1762"/>
      <c r="HG70" s="1762"/>
      <c r="HH70" s="1762"/>
      <c r="HI70" s="1762"/>
      <c r="HJ70" s="1762"/>
      <c r="HK70" s="1762"/>
      <c r="HL70" s="1762"/>
      <c r="HM70" s="1762"/>
      <c r="HN70" s="1762"/>
      <c r="HO70" s="1762"/>
      <c r="HP70" s="1762"/>
      <c r="HQ70" s="1762"/>
      <c r="HR70" s="1762"/>
      <c r="HS70" s="1762"/>
      <c r="HT70" s="1762"/>
      <c r="HU70" s="1762"/>
      <c r="HV70" s="1762"/>
      <c r="HW70" s="1762"/>
      <c r="HX70" s="1762"/>
      <c r="HY70" s="1762"/>
      <c r="HZ70" s="1762"/>
      <c r="IA70" s="1762"/>
      <c r="IB70" s="1762"/>
      <c r="IC70" s="1762"/>
      <c r="ID70" s="1762"/>
      <c r="IE70" s="1762"/>
      <c r="IF70" s="1762"/>
      <c r="IG70" s="1762"/>
      <c r="IH70" s="1762"/>
      <c r="II70" s="1762"/>
      <c r="IJ70" s="1762"/>
      <c r="IK70" s="1762"/>
      <c r="IL70" s="1762"/>
      <c r="IM70" s="1762"/>
      <c r="IN70" s="1762"/>
      <c r="IO70" s="1762"/>
      <c r="IP70" s="1762"/>
      <c r="IQ70" s="1762"/>
      <c r="IR70" s="1762"/>
      <c r="IS70" s="1762"/>
      <c r="IT70" s="1762"/>
      <c r="IU70" s="1762"/>
      <c r="IV70" s="1762"/>
      <c r="IW70" s="1762"/>
      <c r="IX70" s="1762"/>
      <c r="IY70" s="1762"/>
      <c r="IZ70" s="1762"/>
      <c r="JA70" s="1762"/>
      <c r="JB70" s="1762"/>
      <c r="JC70" s="1762"/>
      <c r="JD70" s="1762"/>
      <c r="JE70" s="1762"/>
      <c r="JF70" s="1762"/>
      <c r="JG70" s="1762"/>
      <c r="JH70" s="1762"/>
      <c r="JI70" s="1762"/>
      <c r="JJ70" s="1762"/>
      <c r="JK70" s="1762"/>
      <c r="JL70" s="1762"/>
      <c r="JM70" s="1762"/>
      <c r="JN70" s="1762"/>
      <c r="JO70" s="1762"/>
      <c r="JP70" s="1762"/>
      <c r="JQ70" s="1762"/>
      <c r="JR70" s="1762"/>
      <c r="JS70" s="1762"/>
      <c r="JT70" s="1762"/>
      <c r="JU70" s="1762"/>
      <c r="JV70" s="1762"/>
      <c r="JW70" s="1762"/>
      <c r="JX70" s="1762"/>
      <c r="JY70" s="1762"/>
      <c r="JZ70" s="1762"/>
      <c r="KA70" s="1762"/>
      <c r="KB70" s="1762"/>
      <c r="KC70" s="1762"/>
      <c r="KD70" s="1762"/>
      <c r="KE70" s="1762"/>
      <c r="KF70" s="1762"/>
      <c r="KG70" s="1762"/>
      <c r="KH70" s="1762"/>
      <c r="KI70" s="1762"/>
      <c r="KJ70" s="1762"/>
      <c r="KK70" s="1762"/>
      <c r="KL70" s="1762"/>
      <c r="KM70" s="1762"/>
      <c r="KN70" s="1762"/>
      <c r="KO70" s="1762"/>
      <c r="KP70" s="1762"/>
      <c r="KQ70" s="1762"/>
      <c r="KR70" s="1762"/>
      <c r="KS70" s="1762"/>
      <c r="KT70" s="1762"/>
      <c r="KU70" s="1762"/>
      <c r="KV70" s="1762"/>
      <c r="KW70" s="1762"/>
      <c r="KX70" s="1762"/>
      <c r="KY70" s="1762"/>
      <c r="KZ70" s="1762"/>
      <c r="LA70" s="1762"/>
      <c r="LB70" s="1762"/>
      <c r="LC70" s="1762"/>
      <c r="LD70" s="1762"/>
      <c r="LE70" s="1762"/>
      <c r="LF70" s="1762"/>
      <c r="LG70" s="1762"/>
      <c r="LH70" s="1762"/>
      <c r="LI70" s="1762"/>
      <c r="LJ70" s="1762"/>
      <c r="LK70" s="1762"/>
      <c r="LL70" s="1762"/>
      <c r="LM70" s="1762"/>
      <c r="LN70" s="1762"/>
      <c r="LO70" s="1762"/>
      <c r="LP70" s="1762"/>
      <c r="LQ70" s="1762"/>
      <c r="LR70" s="1762"/>
      <c r="LS70" s="1762"/>
      <c r="LT70" s="1762"/>
      <c r="LU70" s="1762"/>
      <c r="LV70" s="1762"/>
      <c r="LW70" s="1762"/>
      <c r="LX70" s="1762"/>
      <c r="LY70" s="1762"/>
      <c r="LZ70" s="1762"/>
      <c r="MA70" s="1762"/>
      <c r="MB70" s="1762"/>
      <c r="MC70" s="1762"/>
      <c r="MD70" s="1762"/>
      <c r="ME70" s="1762"/>
      <c r="MF70" s="1762"/>
      <c r="MG70" s="1762"/>
      <c r="MH70" s="1762"/>
      <c r="MI70" s="1762"/>
      <c r="MJ70" s="1762"/>
      <c r="MK70" s="1762"/>
      <c r="ML70" s="1762"/>
      <c r="MM70" s="1762"/>
      <c r="MN70" s="1762"/>
      <c r="MO70" s="1762"/>
      <c r="MP70" s="1762"/>
      <c r="MQ70" s="1762"/>
      <c r="MR70" s="1762"/>
      <c r="MS70" s="1762"/>
      <c r="MT70" s="1762"/>
      <c r="MU70" s="1762"/>
      <c r="MV70" s="1762"/>
      <c r="MW70" s="1762"/>
      <c r="MX70" s="1762"/>
      <c r="MY70" s="1762"/>
      <c r="MZ70" s="1762"/>
      <c r="NA70" s="1762"/>
      <c r="NB70" s="1762"/>
      <c r="NC70" s="1762"/>
      <c r="ND70" s="1762"/>
      <c r="NE70" s="158"/>
      <c r="NF70" s="158"/>
      <c r="NG70" s="158"/>
      <c r="NH70" s="158"/>
      <c r="NI70" s="158"/>
      <c r="NJ70" s="158"/>
      <c r="NK70" s="158"/>
      <c r="NL70" s="158"/>
      <c r="NM70" s="158"/>
      <c r="NN70" s="158"/>
      <c r="NO70" s="158"/>
      <c r="NP70" s="158"/>
      <c r="NQ70" s="158"/>
      <c r="NR70" s="158"/>
      <c r="NS70" s="158"/>
      <c r="NT70" s="158"/>
      <c r="NU70" s="158"/>
      <c r="NV70" s="158"/>
      <c r="NW70" s="158"/>
      <c r="NX70" s="158"/>
      <c r="NY70" s="158"/>
      <c r="NZ70" s="158"/>
      <c r="OA70" s="158"/>
      <c r="OB70" s="158"/>
      <c r="OC70" s="158"/>
      <c r="OD70" s="158"/>
      <c r="OE70" s="158"/>
      <c r="OF70" s="158"/>
      <c r="OG70" s="158"/>
      <c r="OH70" s="158"/>
      <c r="OI70" s="158"/>
      <c r="OJ70" s="158"/>
      <c r="OK70" s="158"/>
      <c r="OL70" s="158"/>
      <c r="OM70" s="158"/>
      <c r="ON70" s="158"/>
      <c r="OO70" s="158"/>
      <c r="OP70" s="158"/>
      <c r="OQ70" s="158"/>
      <c r="OR70" s="158"/>
      <c r="OS70" s="158"/>
      <c r="OT70" s="158"/>
      <c r="OU70" s="158"/>
      <c r="OV70" s="158"/>
      <c r="OW70" s="158"/>
      <c r="OX70" s="158"/>
      <c r="OY70" s="158"/>
      <c r="OZ70" s="158"/>
      <c r="PA70" s="158"/>
      <c r="PB70" s="158"/>
      <c r="PC70" s="158"/>
      <c r="PD70" s="158"/>
      <c r="PE70" s="158"/>
      <c r="PF70" s="158"/>
      <c r="PG70" s="158"/>
      <c r="PH70" s="158"/>
      <c r="PI70" s="158"/>
      <c r="PJ70" s="158"/>
      <c r="PK70" s="158"/>
      <c r="PL70" s="158"/>
      <c r="PM70" s="158"/>
      <c r="PN70" s="158"/>
      <c r="PO70" s="158"/>
      <c r="PP70" s="158"/>
      <c r="PQ70" s="158"/>
      <c r="PR70" s="158"/>
      <c r="PS70" s="158"/>
      <c r="PT70" s="158"/>
      <c r="PU70" s="158"/>
      <c r="PV70" s="158"/>
      <c r="PW70" s="158"/>
      <c r="PX70" s="158"/>
      <c r="PY70" s="158"/>
      <c r="PZ70" s="158"/>
      <c r="QA70" s="158"/>
      <c r="QB70" s="158"/>
      <c r="QC70" s="158"/>
      <c r="QD70" s="158"/>
      <c r="QE70" s="158"/>
      <c r="QF70" s="158"/>
      <c r="QG70" s="158"/>
      <c r="QH70" s="158"/>
      <c r="QI70" s="158"/>
      <c r="QJ70" s="158"/>
      <c r="QK70" s="158"/>
      <c r="QL70" s="158"/>
      <c r="QM70" s="158"/>
      <c r="QN70" s="158"/>
      <c r="QO70" s="158"/>
      <c r="QP70" s="158"/>
      <c r="QQ70" s="158"/>
      <c r="QR70" s="158"/>
      <c r="QS70" s="158"/>
      <c r="QT70" s="158"/>
      <c r="QU70" s="158"/>
      <c r="QV70" s="158"/>
      <c r="QW70" s="158"/>
      <c r="QX70" s="158"/>
      <c r="QY70" s="158"/>
      <c r="QZ70" s="158"/>
      <c r="RA70" s="158"/>
      <c r="RB70" s="158"/>
      <c r="RC70" s="158"/>
      <c r="RD70" s="158"/>
      <c r="RE70" s="158"/>
      <c r="RF70" s="158"/>
      <c r="RG70" s="158"/>
      <c r="RH70" s="158"/>
      <c r="RI70" s="158"/>
      <c r="RJ70" s="158"/>
      <c r="RK70" s="158"/>
      <c r="RL70" s="158"/>
      <c r="RM70" s="158"/>
      <c r="RN70" s="158"/>
      <c r="RO70" s="158"/>
      <c r="RP70" s="158"/>
      <c r="RQ70" s="158"/>
      <c r="RR70" s="158"/>
      <c r="RS70" s="158"/>
      <c r="RT70" s="158"/>
      <c r="RU70" s="158"/>
      <c r="RV70" s="158"/>
      <c r="RW70" s="158"/>
      <c r="RX70" s="158"/>
      <c r="RY70" s="158"/>
      <c r="RZ70" s="158"/>
      <c r="SA70" s="158"/>
    </row>
    <row r="71" spans="1:495" s="27" customFormat="1">
      <c r="A71" s="2677"/>
      <c r="B71" s="2677"/>
      <c r="C71" s="1476"/>
      <c r="D71" s="8"/>
      <c r="E71" s="8"/>
      <c r="F71" s="8"/>
      <c r="G71" s="8"/>
      <c r="H71" s="110" t="s">
        <v>4801</v>
      </c>
      <c r="I71" s="36"/>
      <c r="J71" s="1"/>
      <c r="K71" s="4040" t="str">
        <f>IF(OR(K56=0,$P70="",K$67=0),"",$P70*K$67)</f>
        <v/>
      </c>
      <c r="L71" s="4040">
        <f>IF(OR(L56=0,$P70="",L$67=0),"",$P70*L$67)</f>
        <v>3.8888888888888888</v>
      </c>
      <c r="M71" s="4040">
        <f>IF(OR(M56=0,$P70="",M$67=0),"",$P70*M$67)</f>
        <v>10.111111111111111</v>
      </c>
      <c r="N71" s="4040" t="str">
        <f>IF(OR(N56=0,$P70="",N$67=0),"",$P70*N$67)</f>
        <v/>
      </c>
      <c r="O71" s="4040" t="str">
        <f>IF(OR(O56=0,$P70="",O$67=0),"",$P70*O$67)</f>
        <v/>
      </c>
      <c r="P71" s="4041">
        <f t="shared" ref="P71" si="359">IF(OR($P70="",P$67=0),"",$P70*P$67)</f>
        <v>14</v>
      </c>
      <c r="S71" s="3996"/>
      <c r="T71" s="3997"/>
      <c r="U71" s="3997"/>
      <c r="V71" s="3997"/>
      <c r="W71" s="3998"/>
      <c r="X71" s="1762"/>
      <c r="Y71" s="1762"/>
      <c r="Z71" s="1762"/>
      <c r="AA71" s="1762"/>
      <c r="AB71" s="1762"/>
      <c r="AC71" s="1762"/>
      <c r="AD71" s="1762"/>
      <c r="AE71" s="1762"/>
      <c r="AF71" s="1762"/>
      <c r="AG71" s="1762"/>
      <c r="AH71" s="1762"/>
      <c r="AI71" s="1762"/>
      <c r="AJ71" s="1762"/>
      <c r="AK71" s="1762"/>
      <c r="AL71" s="1762"/>
      <c r="AM71" s="1762"/>
      <c r="AN71" s="1762"/>
      <c r="AO71" s="1762"/>
      <c r="AP71" s="1762"/>
      <c r="AQ71" s="1762"/>
      <c r="AR71" s="1762"/>
      <c r="AS71" s="1762"/>
      <c r="AT71" s="1762"/>
      <c r="AU71" s="1762"/>
      <c r="AV71" s="1762"/>
      <c r="AW71" s="1762"/>
      <c r="AX71" s="1762"/>
      <c r="AY71" s="1762"/>
      <c r="AZ71" s="1762"/>
      <c r="BA71" s="1762"/>
      <c r="BB71" s="1762"/>
      <c r="BC71" s="1762"/>
      <c r="BD71" s="1762"/>
      <c r="BE71" s="1762"/>
      <c r="BF71" s="1762"/>
      <c r="BG71" s="1762"/>
      <c r="BH71" s="1762"/>
      <c r="BI71" s="1762"/>
      <c r="BJ71" s="1762"/>
      <c r="BK71" s="1762"/>
      <c r="BL71" s="1762"/>
      <c r="BM71" s="1762"/>
      <c r="BN71" s="1762"/>
      <c r="BO71" s="1762"/>
      <c r="BP71" s="1762"/>
      <c r="BQ71" s="1762"/>
      <c r="BR71" s="1762"/>
      <c r="BS71" s="1762"/>
      <c r="BT71" s="1762"/>
      <c r="BU71" s="1762"/>
      <c r="BV71" s="1762"/>
      <c r="BW71" s="1762"/>
      <c r="BX71" s="1762"/>
      <c r="BY71" s="1762"/>
      <c r="BZ71" s="1762"/>
      <c r="CA71" s="1762"/>
      <c r="CB71" s="1762"/>
      <c r="CC71" s="1762"/>
      <c r="CD71" s="1762"/>
      <c r="CE71" s="1762"/>
      <c r="CF71" s="1762"/>
      <c r="CG71" s="1762"/>
      <c r="CH71" s="1762"/>
      <c r="CI71" s="1762"/>
      <c r="CJ71" s="1762"/>
      <c r="CK71" s="1762"/>
      <c r="CL71" s="1762"/>
      <c r="CM71" s="1762"/>
      <c r="CN71" s="1762"/>
      <c r="CO71" s="1762"/>
      <c r="CP71" s="1762"/>
      <c r="CQ71" s="1762"/>
      <c r="CR71" s="1762"/>
      <c r="CS71" s="1762"/>
      <c r="CT71" s="1762"/>
      <c r="CU71" s="1762"/>
      <c r="CV71" s="1762"/>
      <c r="CW71" s="1762"/>
      <c r="CX71" s="1762"/>
      <c r="CY71" s="1762"/>
      <c r="CZ71" s="1762"/>
      <c r="DA71" s="1762"/>
      <c r="DB71" s="1762"/>
      <c r="DC71" s="1762"/>
      <c r="DD71" s="1762"/>
      <c r="DE71" s="1762"/>
      <c r="DF71" s="1762"/>
      <c r="DG71" s="1762"/>
      <c r="DH71" s="1762"/>
      <c r="DI71" s="1762"/>
      <c r="DJ71" s="1762"/>
      <c r="DK71" s="1762"/>
      <c r="DL71" s="1762"/>
      <c r="DM71" s="1762"/>
      <c r="DN71" s="1762"/>
      <c r="DO71" s="1762"/>
      <c r="DP71" s="1762"/>
      <c r="DQ71" s="1762"/>
      <c r="DR71" s="1762"/>
      <c r="DS71" s="1762"/>
      <c r="DT71" s="1762"/>
      <c r="DU71" s="1762"/>
      <c r="DV71" s="1762"/>
      <c r="DW71" s="1762"/>
      <c r="DX71" s="1762"/>
      <c r="DY71" s="1762"/>
      <c r="DZ71" s="1762"/>
      <c r="EA71" s="1762"/>
      <c r="EB71" s="1762"/>
      <c r="EC71" s="1762"/>
      <c r="ED71" s="1762"/>
      <c r="EE71" s="1762"/>
      <c r="EF71" s="1762"/>
      <c r="EG71" s="1762"/>
      <c r="EH71" s="1762"/>
      <c r="EI71" s="1762"/>
      <c r="EJ71" s="1762"/>
      <c r="EK71" s="1762"/>
      <c r="EL71" s="1762"/>
      <c r="EM71" s="1762"/>
      <c r="EN71" s="1762"/>
      <c r="EO71" s="1762"/>
      <c r="EP71" s="1762"/>
      <c r="EQ71" s="1762"/>
      <c r="ER71" s="1762"/>
      <c r="ES71" s="1762"/>
      <c r="ET71" s="1762"/>
      <c r="EU71" s="1762"/>
      <c r="EV71" s="1762"/>
      <c r="EW71" s="1762"/>
      <c r="EX71" s="1762"/>
      <c r="EY71" s="1762"/>
      <c r="EZ71" s="1762"/>
      <c r="FA71" s="1762"/>
      <c r="FB71" s="1762"/>
      <c r="FC71" s="1762"/>
      <c r="FD71" s="1762"/>
      <c r="FE71" s="1762"/>
      <c r="FF71" s="1762"/>
      <c r="FG71" s="1762"/>
      <c r="FH71" s="1762"/>
      <c r="FI71" s="1762"/>
      <c r="FJ71" s="1762"/>
      <c r="FK71" s="1762"/>
      <c r="FL71" s="1762"/>
      <c r="FM71" s="1762"/>
      <c r="FN71" s="1762"/>
      <c r="FO71" s="1762"/>
      <c r="FP71" s="1762"/>
      <c r="FQ71" s="1762"/>
      <c r="FR71" s="1762"/>
      <c r="FS71" s="1762"/>
      <c r="FT71" s="1762"/>
      <c r="FU71" s="1762"/>
      <c r="FV71" s="1762"/>
      <c r="FW71" s="1762"/>
      <c r="FX71" s="1762"/>
      <c r="FY71" s="1762"/>
      <c r="FZ71" s="1762"/>
      <c r="GA71" s="1762"/>
      <c r="GB71" s="1762"/>
      <c r="GC71" s="1762"/>
      <c r="GD71" s="1762"/>
      <c r="GE71" s="1762"/>
      <c r="GF71" s="1762"/>
      <c r="GG71" s="1762"/>
      <c r="GH71" s="1762"/>
      <c r="GI71" s="1762"/>
      <c r="GJ71" s="1762"/>
      <c r="GK71" s="1762"/>
      <c r="GL71" s="1762"/>
      <c r="GM71" s="1762"/>
      <c r="GN71" s="1762"/>
      <c r="GO71" s="1762"/>
      <c r="GP71" s="1762"/>
      <c r="GQ71" s="1762"/>
      <c r="GR71" s="1762"/>
      <c r="GS71" s="1762"/>
      <c r="GT71" s="1762"/>
      <c r="GU71" s="1762"/>
      <c r="GV71" s="1762"/>
      <c r="GW71" s="1762"/>
      <c r="GX71" s="1762"/>
      <c r="GY71" s="1762"/>
      <c r="GZ71" s="1762"/>
      <c r="HA71" s="1762"/>
      <c r="HB71" s="1762"/>
      <c r="HC71" s="1762"/>
      <c r="HD71" s="1762"/>
      <c r="HE71" s="1762"/>
      <c r="HF71" s="1762"/>
      <c r="HG71" s="1762"/>
      <c r="HH71" s="1762"/>
      <c r="HI71" s="1762"/>
      <c r="HJ71" s="1762"/>
      <c r="HK71" s="1762"/>
      <c r="HL71" s="1762"/>
      <c r="HM71" s="1762"/>
      <c r="HN71" s="1762"/>
      <c r="HO71" s="1762"/>
      <c r="HP71" s="1762"/>
      <c r="HQ71" s="1762"/>
      <c r="HR71" s="1762"/>
      <c r="HS71" s="1762"/>
      <c r="HT71" s="1762"/>
      <c r="HU71" s="1762"/>
      <c r="HV71" s="1762"/>
      <c r="HW71" s="1762"/>
      <c r="HX71" s="1762"/>
      <c r="HY71" s="1762"/>
      <c r="HZ71" s="1762"/>
      <c r="IA71" s="1762"/>
      <c r="IB71" s="1762"/>
      <c r="IC71" s="1762"/>
      <c r="ID71" s="1762"/>
      <c r="IE71" s="1762"/>
      <c r="IF71" s="1762"/>
      <c r="IG71" s="1762"/>
      <c r="IH71" s="1762"/>
      <c r="II71" s="1762"/>
      <c r="IJ71" s="1762"/>
      <c r="IK71" s="1762"/>
      <c r="IL71" s="1762"/>
      <c r="IM71" s="1762"/>
      <c r="IN71" s="1762"/>
      <c r="IO71" s="1762"/>
      <c r="IP71" s="1762"/>
      <c r="IQ71" s="1762"/>
      <c r="IR71" s="1762"/>
      <c r="IS71" s="1762"/>
      <c r="IT71" s="1762"/>
      <c r="IU71" s="1762"/>
      <c r="IV71" s="1762"/>
      <c r="IW71" s="1762"/>
      <c r="IX71" s="1762"/>
      <c r="IY71" s="1762"/>
      <c r="IZ71" s="1762"/>
      <c r="JA71" s="1762"/>
      <c r="JB71" s="1762"/>
      <c r="JC71" s="1762"/>
      <c r="JD71" s="1762"/>
      <c r="JE71" s="1762"/>
      <c r="JF71" s="1762"/>
      <c r="JG71" s="1762"/>
      <c r="JH71" s="1762"/>
      <c r="JI71" s="1762"/>
      <c r="JJ71" s="1762"/>
      <c r="JK71" s="1762"/>
      <c r="JL71" s="1762"/>
      <c r="JM71" s="1762"/>
      <c r="JN71" s="1762"/>
      <c r="JO71" s="1762"/>
      <c r="JP71" s="1762"/>
      <c r="JQ71" s="1762"/>
      <c r="JR71" s="1762"/>
      <c r="JS71" s="1762"/>
      <c r="JT71" s="1762"/>
      <c r="JU71" s="1762"/>
      <c r="JV71" s="1762"/>
      <c r="JW71" s="1762"/>
      <c r="JX71" s="1762"/>
      <c r="JY71" s="1762"/>
      <c r="JZ71" s="1762"/>
      <c r="KA71" s="1762"/>
      <c r="KB71" s="1762"/>
      <c r="KC71" s="1762"/>
      <c r="KD71" s="1762"/>
      <c r="KE71" s="1762"/>
      <c r="KF71" s="1762"/>
      <c r="KG71" s="1762"/>
      <c r="KH71" s="1762"/>
      <c r="KI71" s="1762"/>
      <c r="KJ71" s="1762"/>
      <c r="KK71" s="1762"/>
      <c r="KL71" s="1762"/>
      <c r="KM71" s="1762"/>
      <c r="KN71" s="1762"/>
      <c r="KO71" s="1762"/>
      <c r="KP71" s="1762"/>
      <c r="KQ71" s="1762"/>
      <c r="KR71" s="1762"/>
      <c r="KS71" s="1762"/>
      <c r="KT71" s="1762"/>
      <c r="KU71" s="1762"/>
      <c r="KV71" s="1762"/>
      <c r="KW71" s="1762"/>
      <c r="KX71" s="1762"/>
      <c r="KY71" s="1762"/>
      <c r="KZ71" s="1762"/>
      <c r="LA71" s="1762"/>
      <c r="LB71" s="1762"/>
      <c r="LC71" s="1762"/>
      <c r="LD71" s="1762"/>
      <c r="LE71" s="1762"/>
      <c r="LF71" s="1762"/>
      <c r="LG71" s="1762"/>
      <c r="LH71" s="1762"/>
      <c r="LI71" s="1762"/>
      <c r="LJ71" s="1762"/>
      <c r="LK71" s="1762"/>
      <c r="LL71" s="1762"/>
      <c r="LM71" s="1762"/>
      <c r="LN71" s="1762"/>
      <c r="LO71" s="1762"/>
      <c r="LP71" s="1762"/>
      <c r="LQ71" s="1762"/>
      <c r="LR71" s="1762"/>
      <c r="LS71" s="1762"/>
      <c r="LT71" s="1762"/>
      <c r="LU71" s="1762"/>
      <c r="LV71" s="1762"/>
      <c r="LW71" s="1762"/>
      <c r="LX71" s="1762"/>
      <c r="LY71" s="1762"/>
      <c r="LZ71" s="1762"/>
      <c r="MA71" s="1762"/>
      <c r="MB71" s="1762"/>
      <c r="MC71" s="1762"/>
      <c r="MD71" s="1762"/>
      <c r="ME71" s="1762"/>
      <c r="MF71" s="1762"/>
      <c r="MG71" s="1762"/>
      <c r="MH71" s="1762"/>
      <c r="MI71" s="1762"/>
      <c r="MJ71" s="1762"/>
      <c r="MK71" s="1762"/>
      <c r="ML71" s="1762"/>
      <c r="MM71" s="1762"/>
      <c r="MN71" s="1762"/>
      <c r="MO71" s="1762"/>
      <c r="MP71" s="1762"/>
      <c r="MQ71" s="1762"/>
      <c r="MR71" s="1762"/>
      <c r="MS71" s="1762"/>
      <c r="MT71" s="1762"/>
      <c r="MU71" s="1762"/>
      <c r="MV71" s="1762"/>
      <c r="MW71" s="1762"/>
      <c r="MX71" s="1762"/>
      <c r="MY71" s="1762"/>
      <c r="MZ71" s="1762"/>
      <c r="NA71" s="1762"/>
      <c r="NB71" s="1762"/>
      <c r="NC71" s="1762"/>
      <c r="ND71" s="1762"/>
      <c r="NE71" s="158"/>
      <c r="NF71" s="158"/>
      <c r="NG71" s="158"/>
      <c r="NH71" s="158"/>
      <c r="NI71" s="158"/>
      <c r="NJ71" s="158"/>
      <c r="NK71" s="158"/>
      <c r="NL71" s="158"/>
      <c r="NM71" s="158"/>
      <c r="NN71" s="158"/>
      <c r="NO71" s="158"/>
      <c r="NP71" s="158"/>
      <c r="NQ71" s="158"/>
      <c r="NR71" s="158"/>
      <c r="NS71" s="158"/>
      <c r="NT71" s="158"/>
      <c r="NU71" s="158"/>
      <c r="NV71" s="158"/>
      <c r="NW71" s="158"/>
      <c r="NX71" s="158"/>
      <c r="NY71" s="158"/>
      <c r="NZ71" s="158"/>
      <c r="OA71" s="158"/>
      <c r="OB71" s="158"/>
      <c r="OC71" s="158"/>
      <c r="OD71" s="158"/>
      <c r="OE71" s="158"/>
      <c r="OF71" s="158"/>
      <c r="OG71" s="158"/>
      <c r="OH71" s="158"/>
      <c r="OI71" s="158"/>
      <c r="OJ71" s="158"/>
      <c r="OK71" s="158"/>
      <c r="OL71" s="158"/>
      <c r="OM71" s="158"/>
      <c r="ON71" s="158"/>
      <c r="OO71" s="158"/>
      <c r="OP71" s="158"/>
      <c r="OQ71" s="158"/>
      <c r="OR71" s="158"/>
      <c r="OS71" s="158"/>
      <c r="OT71" s="158"/>
      <c r="OU71" s="158"/>
      <c r="OV71" s="158"/>
      <c r="OW71" s="158"/>
      <c r="OX71" s="158"/>
      <c r="OY71" s="158"/>
      <c r="OZ71" s="158"/>
      <c r="PA71" s="158"/>
      <c r="PB71" s="158"/>
      <c r="PC71" s="158"/>
      <c r="PD71" s="158"/>
      <c r="PE71" s="158"/>
      <c r="PF71" s="158"/>
      <c r="PG71" s="158"/>
      <c r="PH71" s="158"/>
      <c r="PI71" s="158"/>
      <c r="PJ71" s="158"/>
      <c r="PK71" s="158"/>
      <c r="PL71" s="158"/>
      <c r="PM71" s="158"/>
      <c r="PN71" s="158"/>
      <c r="PO71" s="158"/>
      <c r="PP71" s="158"/>
      <c r="PQ71" s="158"/>
      <c r="PR71" s="158"/>
      <c r="PS71" s="158"/>
      <c r="PT71" s="158"/>
      <c r="PU71" s="158"/>
      <c r="PV71" s="158"/>
      <c r="PW71" s="158"/>
      <c r="PX71" s="158"/>
      <c r="PY71" s="158"/>
      <c r="PZ71" s="158"/>
      <c r="QA71" s="158"/>
      <c r="QB71" s="158"/>
      <c r="QC71" s="158"/>
      <c r="QD71" s="158"/>
      <c r="QE71" s="158"/>
      <c r="QF71" s="158"/>
      <c r="QG71" s="158"/>
      <c r="QH71" s="158"/>
      <c r="QI71" s="158"/>
      <c r="QJ71" s="158"/>
      <c r="QK71" s="158"/>
      <c r="QL71" s="158"/>
      <c r="QM71" s="158"/>
      <c r="QN71" s="158"/>
      <c r="QO71" s="158"/>
      <c r="QP71" s="158"/>
      <c r="QQ71" s="158"/>
      <c r="QR71" s="158"/>
      <c r="QS71" s="158"/>
      <c r="QT71" s="158"/>
      <c r="QU71" s="158"/>
      <c r="QV71" s="158"/>
      <c r="QW71" s="158"/>
      <c r="QX71" s="158"/>
      <c r="QY71" s="158"/>
      <c r="QZ71" s="158"/>
      <c r="RA71" s="158"/>
      <c r="RB71" s="158"/>
      <c r="RC71" s="158"/>
      <c r="RD71" s="158"/>
      <c r="RE71" s="158"/>
      <c r="RF71" s="158"/>
      <c r="RG71" s="158"/>
      <c r="RH71" s="158"/>
      <c r="RI71" s="158"/>
      <c r="RJ71" s="158"/>
      <c r="RK71" s="158"/>
      <c r="RL71" s="158"/>
      <c r="RM71" s="158"/>
      <c r="RN71" s="158"/>
      <c r="RO71" s="158"/>
      <c r="RP71" s="158"/>
      <c r="RQ71" s="158"/>
      <c r="RR71" s="158"/>
      <c r="RS71" s="158"/>
      <c r="RT71" s="158"/>
      <c r="RU71" s="158"/>
      <c r="RV71" s="158"/>
      <c r="RW71" s="158"/>
      <c r="RX71" s="158"/>
      <c r="RY71" s="158"/>
      <c r="RZ71" s="158"/>
      <c r="SA71" s="158"/>
    </row>
    <row r="72" spans="1:495" s="27" customFormat="1">
      <c r="C72" s="1476"/>
      <c r="D72" s="8"/>
      <c r="E72" s="8"/>
      <c r="F72" s="8"/>
      <c r="G72" s="8"/>
      <c r="H72" s="4042" t="s">
        <v>4802</v>
      </c>
      <c r="I72" s="4043"/>
      <c r="J72" s="1"/>
      <c r="K72" s="4044" t="str">
        <f t="shared" ref="K72:P72" si="360">IF(OR(K71="",K56=0),"", K56-K71)</f>
        <v/>
      </c>
      <c r="L72" s="4045">
        <f t="shared" si="360"/>
        <v>1.1111111111111112</v>
      </c>
      <c r="M72" s="4045">
        <f t="shared" si="360"/>
        <v>-1.1111111111111107</v>
      </c>
      <c r="N72" s="4045" t="str">
        <f t="shared" si="360"/>
        <v/>
      </c>
      <c r="O72" s="4045" t="str">
        <f t="shared" si="360"/>
        <v/>
      </c>
      <c r="P72" s="4046">
        <f t="shared" si="360"/>
        <v>0</v>
      </c>
      <c r="S72" s="3996"/>
      <c r="T72" s="3997"/>
      <c r="U72" s="3997"/>
      <c r="V72" s="3997"/>
      <c r="W72" s="3998"/>
      <c r="X72" s="1762"/>
      <c r="Y72" s="1762"/>
      <c r="Z72" s="1762"/>
      <c r="AA72" s="1762"/>
      <c r="AB72" s="1762"/>
      <c r="AC72" s="1762"/>
      <c r="AD72" s="1762"/>
      <c r="AE72" s="1762"/>
      <c r="AF72" s="1762"/>
      <c r="AG72" s="1762"/>
      <c r="AH72" s="1762"/>
      <c r="AI72" s="1762"/>
      <c r="AJ72" s="1762"/>
      <c r="AK72" s="1762"/>
      <c r="AL72" s="1762"/>
      <c r="AM72" s="1762"/>
      <c r="AN72" s="1762"/>
      <c r="AO72" s="1762"/>
      <c r="AP72" s="1762"/>
      <c r="AQ72" s="1762"/>
      <c r="AR72" s="1762"/>
      <c r="AS72" s="1762"/>
      <c r="AT72" s="1762"/>
      <c r="AU72" s="1762"/>
      <c r="AV72" s="1762"/>
      <c r="AW72" s="1762"/>
      <c r="AX72" s="1762"/>
      <c r="AY72" s="1762"/>
      <c r="AZ72" s="1762"/>
      <c r="BA72" s="1762"/>
      <c r="BB72" s="1762"/>
      <c r="BC72" s="1762"/>
      <c r="BD72" s="1762"/>
      <c r="BE72" s="1762"/>
      <c r="BF72" s="1762"/>
      <c r="BG72" s="1762"/>
      <c r="BH72" s="1762"/>
      <c r="BI72" s="1762"/>
      <c r="BJ72" s="1762"/>
      <c r="BK72" s="1762"/>
      <c r="BL72" s="1762"/>
      <c r="BM72" s="1762"/>
      <c r="BN72" s="1762"/>
      <c r="BO72" s="1762"/>
      <c r="BP72" s="1762"/>
      <c r="BQ72" s="1762"/>
      <c r="BR72" s="1762"/>
      <c r="BS72" s="1762"/>
      <c r="BT72" s="1762"/>
      <c r="BU72" s="1762"/>
      <c r="BV72" s="1762"/>
      <c r="BW72" s="1762"/>
      <c r="BX72" s="1762"/>
      <c r="BY72" s="1762"/>
      <c r="BZ72" s="1762"/>
      <c r="CA72" s="1762"/>
      <c r="CB72" s="1762"/>
      <c r="CC72" s="1762"/>
      <c r="CD72" s="1762"/>
      <c r="CE72" s="1762"/>
      <c r="CF72" s="1762"/>
      <c r="CG72" s="1762"/>
      <c r="CH72" s="1762"/>
      <c r="CI72" s="1762"/>
      <c r="CJ72" s="1762"/>
      <c r="CK72" s="1762"/>
      <c r="CL72" s="1762"/>
      <c r="CM72" s="1762"/>
      <c r="CN72" s="1762"/>
      <c r="CO72" s="1762"/>
      <c r="CP72" s="1762"/>
      <c r="CQ72" s="1762"/>
      <c r="CR72" s="1762"/>
      <c r="CS72" s="1762"/>
      <c r="CT72" s="1762"/>
      <c r="CU72" s="1762"/>
      <c r="CV72" s="1762"/>
      <c r="CW72" s="1762"/>
      <c r="CX72" s="1762"/>
      <c r="CY72" s="1762"/>
      <c r="CZ72" s="1762"/>
      <c r="DA72" s="1762"/>
      <c r="DB72" s="1762"/>
      <c r="DC72" s="1762"/>
      <c r="DD72" s="1762"/>
      <c r="DE72" s="1762"/>
      <c r="DF72" s="1762"/>
      <c r="DG72" s="1762"/>
      <c r="DH72" s="1762"/>
      <c r="DI72" s="1762"/>
      <c r="DJ72" s="1762"/>
      <c r="DK72" s="1762"/>
      <c r="DL72" s="1762"/>
      <c r="DM72" s="1762"/>
      <c r="DN72" s="1762"/>
      <c r="DO72" s="1762"/>
      <c r="DP72" s="1762"/>
      <c r="DQ72" s="1762"/>
      <c r="DR72" s="1762"/>
      <c r="DS72" s="1762"/>
      <c r="DT72" s="1762"/>
      <c r="DU72" s="1762"/>
      <c r="DV72" s="1762"/>
      <c r="DW72" s="1762"/>
      <c r="DX72" s="1762"/>
      <c r="DY72" s="1762"/>
      <c r="DZ72" s="1762"/>
      <c r="EA72" s="1762"/>
      <c r="EB72" s="1762"/>
      <c r="EC72" s="1762"/>
      <c r="ED72" s="1762"/>
      <c r="EE72" s="1762"/>
      <c r="EF72" s="1762"/>
      <c r="EG72" s="1762"/>
      <c r="EH72" s="1762"/>
      <c r="EI72" s="1762"/>
      <c r="EJ72" s="1762"/>
      <c r="EK72" s="1762"/>
      <c r="EL72" s="1762"/>
      <c r="EM72" s="1762"/>
      <c r="EN72" s="1762"/>
      <c r="EO72" s="1762"/>
      <c r="EP72" s="1762"/>
      <c r="EQ72" s="1762"/>
      <c r="ER72" s="1762"/>
      <c r="ES72" s="1762"/>
      <c r="ET72" s="1762"/>
      <c r="EU72" s="1762"/>
      <c r="EV72" s="1762"/>
      <c r="EW72" s="1762"/>
      <c r="EX72" s="1762"/>
      <c r="EY72" s="1762"/>
      <c r="EZ72" s="1762"/>
      <c r="FA72" s="1762"/>
      <c r="FB72" s="1762"/>
      <c r="FC72" s="1762"/>
      <c r="FD72" s="1762"/>
      <c r="FE72" s="1762"/>
      <c r="FF72" s="1762"/>
      <c r="FG72" s="1762"/>
      <c r="FH72" s="1762"/>
      <c r="FI72" s="1762"/>
      <c r="FJ72" s="1762"/>
      <c r="FK72" s="1762"/>
      <c r="FL72" s="1762"/>
      <c r="FM72" s="1762"/>
      <c r="FN72" s="1762"/>
      <c r="FO72" s="1762"/>
      <c r="FP72" s="1762"/>
      <c r="FQ72" s="1762"/>
      <c r="FR72" s="1762"/>
      <c r="FS72" s="1762"/>
      <c r="FT72" s="1762"/>
      <c r="FU72" s="1762"/>
      <c r="FV72" s="1762"/>
      <c r="FW72" s="1762"/>
      <c r="FX72" s="1762"/>
      <c r="FY72" s="1762"/>
      <c r="FZ72" s="1762"/>
      <c r="GA72" s="1762"/>
      <c r="GB72" s="1762"/>
      <c r="GC72" s="1762"/>
      <c r="GD72" s="1762"/>
      <c r="GE72" s="1762"/>
      <c r="GF72" s="1762"/>
      <c r="GG72" s="1762"/>
      <c r="GH72" s="1762"/>
      <c r="GI72" s="1762"/>
      <c r="GJ72" s="1762"/>
      <c r="GK72" s="1762"/>
      <c r="GL72" s="1762"/>
      <c r="GM72" s="1762"/>
      <c r="GN72" s="1762"/>
      <c r="GO72" s="1762"/>
      <c r="GP72" s="1762"/>
      <c r="GQ72" s="1762"/>
      <c r="GR72" s="1762"/>
      <c r="GS72" s="1762"/>
      <c r="GT72" s="1762"/>
      <c r="GU72" s="1762"/>
      <c r="GV72" s="1762"/>
      <c r="GW72" s="1762"/>
      <c r="GX72" s="1762"/>
      <c r="GY72" s="1762"/>
      <c r="GZ72" s="1762"/>
      <c r="HA72" s="1762"/>
      <c r="HB72" s="1762"/>
      <c r="HC72" s="1762"/>
      <c r="HD72" s="1762"/>
      <c r="HE72" s="1762"/>
      <c r="HF72" s="1762"/>
      <c r="HG72" s="1762"/>
      <c r="HH72" s="1762"/>
      <c r="HI72" s="1762"/>
      <c r="HJ72" s="1762"/>
      <c r="HK72" s="1762"/>
      <c r="HL72" s="1762"/>
      <c r="HM72" s="1762"/>
      <c r="HN72" s="1762"/>
      <c r="HO72" s="1762"/>
      <c r="HP72" s="1762"/>
      <c r="HQ72" s="1762"/>
      <c r="HR72" s="1762"/>
      <c r="HS72" s="1762"/>
      <c r="HT72" s="1762"/>
      <c r="HU72" s="1762"/>
      <c r="HV72" s="1762"/>
      <c r="HW72" s="1762"/>
      <c r="HX72" s="1762"/>
      <c r="HY72" s="1762"/>
      <c r="HZ72" s="1762"/>
      <c r="IA72" s="1762"/>
      <c r="IB72" s="1762"/>
      <c r="IC72" s="1762"/>
      <c r="ID72" s="1762"/>
      <c r="IE72" s="1762"/>
      <c r="IF72" s="1762"/>
      <c r="IG72" s="1762"/>
      <c r="IH72" s="1762"/>
      <c r="II72" s="1762"/>
      <c r="IJ72" s="1762"/>
      <c r="IK72" s="1762"/>
      <c r="IL72" s="1762"/>
      <c r="IM72" s="1762"/>
      <c r="IN72" s="1762"/>
      <c r="IO72" s="1762"/>
      <c r="IP72" s="1762"/>
      <c r="IQ72" s="1762"/>
      <c r="IR72" s="1762"/>
      <c r="IS72" s="1762"/>
      <c r="IT72" s="1762"/>
      <c r="IU72" s="1762"/>
      <c r="IV72" s="1762"/>
      <c r="IW72" s="1762"/>
      <c r="IX72" s="1762"/>
      <c r="IY72" s="1762"/>
      <c r="IZ72" s="1762"/>
      <c r="JA72" s="1762"/>
      <c r="JB72" s="1762"/>
      <c r="JC72" s="1762"/>
      <c r="JD72" s="1762"/>
      <c r="JE72" s="1762"/>
      <c r="JF72" s="1762"/>
      <c r="JG72" s="1762"/>
      <c r="JH72" s="1762"/>
      <c r="JI72" s="1762"/>
      <c r="JJ72" s="1762"/>
      <c r="JK72" s="1762"/>
      <c r="JL72" s="1762"/>
      <c r="JM72" s="1762"/>
      <c r="JN72" s="1762"/>
      <c r="JO72" s="1762"/>
      <c r="JP72" s="1762"/>
      <c r="JQ72" s="1762"/>
      <c r="JR72" s="1762"/>
      <c r="JS72" s="1762"/>
      <c r="JT72" s="1762"/>
      <c r="JU72" s="1762"/>
      <c r="JV72" s="1762"/>
      <c r="JW72" s="1762"/>
      <c r="JX72" s="1762"/>
      <c r="JY72" s="1762"/>
      <c r="JZ72" s="1762"/>
      <c r="KA72" s="1762"/>
      <c r="KB72" s="1762"/>
      <c r="KC72" s="1762"/>
      <c r="KD72" s="1762"/>
      <c r="KE72" s="1762"/>
      <c r="KF72" s="1762"/>
      <c r="KG72" s="1762"/>
      <c r="KH72" s="1762"/>
      <c r="KI72" s="1762"/>
      <c r="KJ72" s="1762"/>
      <c r="KK72" s="1762"/>
      <c r="KL72" s="1762"/>
      <c r="KM72" s="1762"/>
      <c r="KN72" s="1762"/>
      <c r="KO72" s="1762"/>
      <c r="KP72" s="1762"/>
      <c r="KQ72" s="1762"/>
      <c r="KR72" s="1762"/>
      <c r="KS72" s="1762"/>
      <c r="KT72" s="1762"/>
      <c r="KU72" s="1762"/>
      <c r="KV72" s="1762"/>
      <c r="KW72" s="1762"/>
      <c r="KX72" s="1762"/>
      <c r="KY72" s="1762"/>
      <c r="KZ72" s="1762"/>
      <c r="LA72" s="1762"/>
      <c r="LB72" s="1762"/>
      <c r="LC72" s="1762"/>
      <c r="LD72" s="1762"/>
      <c r="LE72" s="1762"/>
      <c r="LF72" s="1762"/>
      <c r="LG72" s="1762"/>
      <c r="LH72" s="1762"/>
      <c r="LI72" s="1762"/>
      <c r="LJ72" s="1762"/>
      <c r="LK72" s="1762"/>
      <c r="LL72" s="1762"/>
      <c r="LM72" s="1762"/>
      <c r="LN72" s="1762"/>
      <c r="LO72" s="1762"/>
      <c r="LP72" s="1762"/>
      <c r="LQ72" s="1762"/>
      <c r="LR72" s="1762"/>
      <c r="LS72" s="1762"/>
      <c r="LT72" s="1762"/>
      <c r="LU72" s="1762"/>
      <c r="LV72" s="1762"/>
      <c r="LW72" s="1762"/>
      <c r="LX72" s="1762"/>
      <c r="LY72" s="1762"/>
      <c r="LZ72" s="1762"/>
      <c r="MA72" s="1762"/>
      <c r="MB72" s="1762"/>
      <c r="MC72" s="1762"/>
      <c r="MD72" s="1762"/>
      <c r="ME72" s="1762"/>
      <c r="MF72" s="1762"/>
      <c r="MG72" s="1762"/>
      <c r="MH72" s="1762"/>
      <c r="MI72" s="1762"/>
      <c r="MJ72" s="1762"/>
      <c r="MK72" s="1762"/>
      <c r="ML72" s="1762"/>
      <c r="MM72" s="1762"/>
      <c r="MN72" s="1762"/>
      <c r="MO72" s="1762"/>
      <c r="MP72" s="1762"/>
      <c r="MQ72" s="1762"/>
      <c r="MR72" s="1762"/>
      <c r="MS72" s="1762"/>
      <c r="MT72" s="1762"/>
      <c r="MU72" s="1762"/>
      <c r="MV72" s="1762"/>
      <c r="MW72" s="1762"/>
      <c r="MX72" s="1762"/>
      <c r="MY72" s="1762"/>
      <c r="MZ72" s="1762"/>
      <c r="NA72" s="1762"/>
      <c r="NB72" s="1762"/>
      <c r="NC72" s="1762"/>
      <c r="ND72" s="1762"/>
      <c r="NE72" s="158"/>
      <c r="NF72" s="158"/>
      <c r="NG72" s="158"/>
      <c r="NH72" s="158"/>
      <c r="NI72" s="158"/>
      <c r="NJ72" s="158"/>
      <c r="NK72" s="158"/>
      <c r="NL72" s="158"/>
      <c r="NM72" s="158"/>
      <c r="NN72" s="158"/>
      <c r="NO72" s="158"/>
      <c r="NP72" s="158"/>
      <c r="NQ72" s="158"/>
      <c r="NR72" s="158"/>
      <c r="NS72" s="158"/>
      <c r="NT72" s="158"/>
      <c r="NU72" s="158"/>
      <c r="NV72" s="158"/>
      <c r="NW72" s="158"/>
      <c r="NX72" s="158"/>
      <c r="NY72" s="158"/>
      <c r="NZ72" s="158"/>
      <c r="OA72" s="158"/>
      <c r="OB72" s="158"/>
      <c r="OC72" s="158"/>
      <c r="OD72" s="158"/>
      <c r="OE72" s="158"/>
      <c r="OF72" s="158"/>
      <c r="OG72" s="158"/>
      <c r="OH72" s="158"/>
      <c r="OI72" s="158"/>
      <c r="OJ72" s="158"/>
      <c r="OK72" s="158"/>
      <c r="OL72" s="158"/>
      <c r="OM72" s="158"/>
      <c r="ON72" s="158"/>
      <c r="OO72" s="158"/>
      <c r="OP72" s="158"/>
      <c r="OQ72" s="158"/>
      <c r="OR72" s="158"/>
      <c r="OS72" s="158"/>
      <c r="OT72" s="158"/>
      <c r="OU72" s="158"/>
      <c r="OV72" s="158"/>
      <c r="OW72" s="158"/>
      <c r="OX72" s="158"/>
      <c r="OY72" s="158"/>
      <c r="OZ72" s="158"/>
      <c r="PA72" s="158"/>
      <c r="PB72" s="158"/>
      <c r="PC72" s="158"/>
      <c r="PD72" s="158"/>
      <c r="PE72" s="158"/>
      <c r="PF72" s="158"/>
      <c r="PG72" s="158"/>
      <c r="PH72" s="158"/>
      <c r="PI72" s="158"/>
      <c r="PJ72" s="158"/>
      <c r="PK72" s="158"/>
      <c r="PL72" s="158"/>
      <c r="PM72" s="158"/>
      <c r="PN72" s="158"/>
      <c r="PO72" s="158"/>
      <c r="PP72" s="158"/>
      <c r="PQ72" s="158"/>
      <c r="PR72" s="158"/>
      <c r="PS72" s="158"/>
      <c r="PT72" s="158"/>
      <c r="PU72" s="158"/>
      <c r="PV72" s="158"/>
      <c r="PW72" s="158"/>
      <c r="PX72" s="158"/>
      <c r="PY72" s="158"/>
      <c r="PZ72" s="158"/>
      <c r="QA72" s="158"/>
      <c r="QB72" s="158"/>
      <c r="QC72" s="158"/>
      <c r="QD72" s="158"/>
      <c r="QE72" s="158"/>
      <c r="QF72" s="158"/>
      <c r="QG72" s="158"/>
      <c r="QH72" s="158"/>
      <c r="QI72" s="158"/>
      <c r="QJ72" s="158"/>
      <c r="QK72" s="158"/>
      <c r="QL72" s="158"/>
      <c r="QM72" s="158"/>
      <c r="QN72" s="158"/>
      <c r="QO72" s="158"/>
      <c r="QP72" s="158"/>
      <c r="QQ72" s="158"/>
      <c r="QR72" s="158"/>
      <c r="QS72" s="158"/>
      <c r="QT72" s="158"/>
      <c r="QU72" s="158"/>
      <c r="QV72" s="158"/>
      <c r="QW72" s="158"/>
      <c r="QX72" s="158"/>
      <c r="QY72" s="158"/>
      <c r="QZ72" s="158"/>
      <c r="RA72" s="158"/>
      <c r="RB72" s="158"/>
      <c r="RC72" s="158"/>
      <c r="RD72" s="158"/>
      <c r="RE72" s="158"/>
      <c r="RF72" s="158"/>
      <c r="RG72" s="158"/>
      <c r="RH72" s="158"/>
      <c r="RI72" s="158"/>
      <c r="RJ72" s="158"/>
      <c r="RK72" s="158"/>
      <c r="RL72" s="158"/>
      <c r="RM72" s="158"/>
      <c r="RN72" s="158"/>
      <c r="RO72" s="158"/>
      <c r="RP72" s="158"/>
      <c r="RQ72" s="158"/>
      <c r="RR72" s="158"/>
      <c r="RS72" s="158"/>
      <c r="RT72" s="158"/>
      <c r="RU72" s="158"/>
      <c r="RV72" s="158"/>
      <c r="RW72" s="158"/>
      <c r="RX72" s="158"/>
      <c r="RY72" s="158"/>
      <c r="RZ72" s="158"/>
      <c r="SA72" s="158"/>
    </row>
    <row r="73" spans="1:495" s="27" customFormat="1">
      <c r="C73" s="1476"/>
      <c r="D73" s="4047" t="s">
        <v>4778</v>
      </c>
      <c r="E73" s="4047"/>
      <c r="F73" s="4047"/>
      <c r="G73" s="8"/>
      <c r="H73" s="110" t="s">
        <v>4121</v>
      </c>
      <c r="I73" s="36"/>
      <c r="J73" s="1"/>
      <c r="K73" s="4048" t="str">
        <f t="shared" ref="K73:P73" si="361">IF(OR(K57=0,K$67=0),"",K57/K$67)</f>
        <v/>
      </c>
      <c r="L73" s="4049" t="str">
        <f t="shared" si="361"/>
        <v/>
      </c>
      <c r="M73" s="4049" t="str">
        <f t="shared" si="361"/>
        <v/>
      </c>
      <c r="N73" s="4049" t="str">
        <f t="shared" si="361"/>
        <v/>
      </c>
      <c r="O73" s="4049" t="str">
        <f t="shared" si="361"/>
        <v/>
      </c>
      <c r="P73" s="4050" t="str">
        <f t="shared" si="361"/>
        <v/>
      </c>
      <c r="S73" s="3996"/>
      <c r="T73" s="3997"/>
      <c r="U73" s="3997"/>
      <c r="V73" s="3997"/>
      <c r="W73" s="3998"/>
      <c r="X73" s="1762"/>
      <c r="Y73" s="1762"/>
      <c r="Z73" s="1762"/>
      <c r="AA73" s="1762"/>
      <c r="AB73" s="1762"/>
      <c r="AC73" s="1762"/>
      <c r="AD73" s="1762"/>
      <c r="AE73" s="1762"/>
      <c r="AF73" s="1762"/>
      <c r="AG73" s="1762"/>
      <c r="AH73" s="1762"/>
      <c r="AI73" s="1762"/>
      <c r="AJ73" s="1762"/>
      <c r="AK73" s="1762"/>
      <c r="AL73" s="1762"/>
      <c r="AM73" s="1762"/>
      <c r="AN73" s="1762"/>
      <c r="AO73" s="1762"/>
      <c r="AP73" s="1762"/>
      <c r="AQ73" s="1762"/>
      <c r="AR73" s="1762"/>
      <c r="AS73" s="1762"/>
      <c r="AT73" s="1762"/>
      <c r="AU73" s="1762"/>
      <c r="AV73" s="1762"/>
      <c r="AW73" s="1762"/>
      <c r="AX73" s="1762"/>
      <c r="AY73" s="1762"/>
      <c r="AZ73" s="1762"/>
      <c r="BA73" s="1762"/>
      <c r="BB73" s="1762"/>
      <c r="BC73" s="1762"/>
      <c r="BD73" s="1762"/>
      <c r="BE73" s="1762"/>
      <c r="BF73" s="1762"/>
      <c r="BG73" s="1762"/>
      <c r="BH73" s="1762"/>
      <c r="BI73" s="1762"/>
      <c r="BJ73" s="1762"/>
      <c r="BK73" s="1762"/>
      <c r="BL73" s="1762"/>
      <c r="BM73" s="1762"/>
      <c r="BN73" s="1762"/>
      <c r="BO73" s="1762"/>
      <c r="BP73" s="1762"/>
      <c r="BQ73" s="1762"/>
      <c r="BR73" s="1762"/>
      <c r="BS73" s="1762"/>
      <c r="BT73" s="1762"/>
      <c r="BU73" s="1762"/>
      <c r="BV73" s="1762"/>
      <c r="BW73" s="1762"/>
      <c r="BX73" s="1762"/>
      <c r="BY73" s="1762"/>
      <c r="BZ73" s="1762"/>
      <c r="CA73" s="1762"/>
      <c r="CB73" s="1762"/>
      <c r="CC73" s="1762"/>
      <c r="CD73" s="1762"/>
      <c r="CE73" s="1762"/>
      <c r="CF73" s="1762"/>
      <c r="CG73" s="1762"/>
      <c r="CH73" s="1762"/>
      <c r="CI73" s="1762"/>
      <c r="CJ73" s="1762"/>
      <c r="CK73" s="1762"/>
      <c r="CL73" s="1762"/>
      <c r="CM73" s="1762"/>
      <c r="CN73" s="1762"/>
      <c r="CO73" s="1762"/>
      <c r="CP73" s="1762"/>
      <c r="CQ73" s="1762"/>
      <c r="CR73" s="1762"/>
      <c r="CS73" s="1762"/>
      <c r="CT73" s="1762"/>
      <c r="CU73" s="1762"/>
      <c r="CV73" s="1762"/>
      <c r="CW73" s="1762"/>
      <c r="CX73" s="1762"/>
      <c r="CY73" s="1762"/>
      <c r="CZ73" s="1762"/>
      <c r="DA73" s="1762"/>
      <c r="DB73" s="1762"/>
      <c r="DC73" s="1762"/>
      <c r="DD73" s="1762"/>
      <c r="DE73" s="1762"/>
      <c r="DF73" s="1762"/>
      <c r="DG73" s="1762"/>
      <c r="DH73" s="1762"/>
      <c r="DI73" s="1762"/>
      <c r="DJ73" s="1762"/>
      <c r="DK73" s="1762"/>
      <c r="DL73" s="1762"/>
      <c r="DM73" s="1762"/>
      <c r="DN73" s="1762"/>
      <c r="DO73" s="1762"/>
      <c r="DP73" s="1762"/>
      <c r="DQ73" s="1762"/>
      <c r="DR73" s="1762"/>
      <c r="DS73" s="1762"/>
      <c r="DT73" s="1762"/>
      <c r="DU73" s="1762"/>
      <c r="DV73" s="1762"/>
      <c r="DW73" s="1762"/>
      <c r="DX73" s="1762"/>
      <c r="DY73" s="1762"/>
      <c r="DZ73" s="1762"/>
      <c r="EA73" s="1762"/>
      <c r="EB73" s="1762"/>
      <c r="EC73" s="1762"/>
      <c r="ED73" s="1762"/>
      <c r="EE73" s="1762"/>
      <c r="EF73" s="1762"/>
      <c r="EG73" s="1762"/>
      <c r="EH73" s="1762"/>
      <c r="EI73" s="1762"/>
      <c r="EJ73" s="1762"/>
      <c r="EK73" s="1762"/>
      <c r="EL73" s="1762"/>
      <c r="EM73" s="1762"/>
      <c r="EN73" s="1762"/>
      <c r="EO73" s="1762"/>
      <c r="EP73" s="1762"/>
      <c r="EQ73" s="1762"/>
      <c r="ER73" s="1762"/>
      <c r="ES73" s="1762"/>
      <c r="ET73" s="1762"/>
      <c r="EU73" s="1762"/>
      <c r="EV73" s="1762"/>
      <c r="EW73" s="1762"/>
      <c r="EX73" s="1762"/>
      <c r="EY73" s="1762"/>
      <c r="EZ73" s="1762"/>
      <c r="FA73" s="1762"/>
      <c r="FB73" s="1762"/>
      <c r="FC73" s="1762"/>
      <c r="FD73" s="1762"/>
      <c r="FE73" s="1762"/>
      <c r="FF73" s="1762"/>
      <c r="FG73" s="1762"/>
      <c r="FH73" s="1762"/>
      <c r="FI73" s="1762"/>
      <c r="FJ73" s="1762"/>
      <c r="FK73" s="1762"/>
      <c r="FL73" s="1762"/>
      <c r="FM73" s="1762"/>
      <c r="FN73" s="1762"/>
      <c r="FO73" s="1762"/>
      <c r="FP73" s="1762"/>
      <c r="FQ73" s="1762"/>
      <c r="FR73" s="1762"/>
      <c r="FS73" s="1762"/>
      <c r="FT73" s="1762"/>
      <c r="FU73" s="1762"/>
      <c r="FV73" s="1762"/>
      <c r="FW73" s="1762"/>
      <c r="FX73" s="1762"/>
      <c r="FY73" s="1762"/>
      <c r="FZ73" s="1762"/>
      <c r="GA73" s="1762"/>
      <c r="GB73" s="1762"/>
      <c r="GC73" s="1762"/>
      <c r="GD73" s="1762"/>
      <c r="GE73" s="1762"/>
      <c r="GF73" s="1762"/>
      <c r="GG73" s="1762"/>
      <c r="GH73" s="1762"/>
      <c r="GI73" s="1762"/>
      <c r="GJ73" s="1762"/>
      <c r="GK73" s="1762"/>
      <c r="GL73" s="1762"/>
      <c r="GM73" s="1762"/>
      <c r="GN73" s="1762"/>
      <c r="GO73" s="1762"/>
      <c r="GP73" s="1762"/>
      <c r="GQ73" s="1762"/>
      <c r="GR73" s="1762"/>
      <c r="GS73" s="1762"/>
      <c r="GT73" s="1762"/>
      <c r="GU73" s="1762"/>
      <c r="GV73" s="1762"/>
      <c r="GW73" s="1762"/>
      <c r="GX73" s="1762"/>
      <c r="GY73" s="1762"/>
      <c r="GZ73" s="1762"/>
      <c r="HA73" s="1762"/>
      <c r="HB73" s="1762"/>
      <c r="HC73" s="1762"/>
      <c r="HD73" s="1762"/>
      <c r="HE73" s="1762"/>
      <c r="HF73" s="1762"/>
      <c r="HG73" s="1762"/>
      <c r="HH73" s="1762"/>
      <c r="HI73" s="1762"/>
      <c r="HJ73" s="1762"/>
      <c r="HK73" s="1762"/>
      <c r="HL73" s="1762"/>
      <c r="HM73" s="1762"/>
      <c r="HN73" s="1762"/>
      <c r="HO73" s="1762"/>
      <c r="HP73" s="1762"/>
      <c r="HQ73" s="1762"/>
      <c r="HR73" s="1762"/>
      <c r="HS73" s="1762"/>
      <c r="HT73" s="1762"/>
      <c r="HU73" s="1762"/>
      <c r="HV73" s="1762"/>
      <c r="HW73" s="1762"/>
      <c r="HX73" s="1762"/>
      <c r="HY73" s="1762"/>
      <c r="HZ73" s="1762"/>
      <c r="IA73" s="1762"/>
      <c r="IB73" s="1762"/>
      <c r="IC73" s="1762"/>
      <c r="ID73" s="1762"/>
      <c r="IE73" s="1762"/>
      <c r="IF73" s="1762"/>
      <c r="IG73" s="1762"/>
      <c r="IH73" s="1762"/>
      <c r="II73" s="1762"/>
      <c r="IJ73" s="1762"/>
      <c r="IK73" s="1762"/>
      <c r="IL73" s="1762"/>
      <c r="IM73" s="1762"/>
      <c r="IN73" s="1762"/>
      <c r="IO73" s="1762"/>
      <c r="IP73" s="1762"/>
      <c r="IQ73" s="1762"/>
      <c r="IR73" s="1762"/>
      <c r="IS73" s="1762"/>
      <c r="IT73" s="1762"/>
      <c r="IU73" s="1762"/>
      <c r="IV73" s="1762"/>
      <c r="IW73" s="1762"/>
      <c r="IX73" s="1762"/>
      <c r="IY73" s="1762"/>
      <c r="IZ73" s="1762"/>
      <c r="JA73" s="1762"/>
      <c r="JB73" s="1762"/>
      <c r="JC73" s="1762"/>
      <c r="JD73" s="1762"/>
      <c r="JE73" s="1762"/>
      <c r="JF73" s="1762"/>
      <c r="JG73" s="1762"/>
      <c r="JH73" s="1762"/>
      <c r="JI73" s="1762"/>
      <c r="JJ73" s="1762"/>
      <c r="JK73" s="1762"/>
      <c r="JL73" s="1762"/>
      <c r="JM73" s="1762"/>
      <c r="JN73" s="1762"/>
      <c r="JO73" s="1762"/>
      <c r="JP73" s="1762"/>
      <c r="JQ73" s="1762"/>
      <c r="JR73" s="1762"/>
      <c r="JS73" s="1762"/>
      <c r="JT73" s="1762"/>
      <c r="JU73" s="1762"/>
      <c r="JV73" s="1762"/>
      <c r="JW73" s="1762"/>
      <c r="JX73" s="1762"/>
      <c r="JY73" s="1762"/>
      <c r="JZ73" s="1762"/>
      <c r="KA73" s="1762"/>
      <c r="KB73" s="1762"/>
      <c r="KC73" s="1762"/>
      <c r="KD73" s="1762"/>
      <c r="KE73" s="1762"/>
      <c r="KF73" s="1762"/>
      <c r="KG73" s="1762"/>
      <c r="KH73" s="1762"/>
      <c r="KI73" s="1762"/>
      <c r="KJ73" s="1762"/>
      <c r="KK73" s="1762"/>
      <c r="KL73" s="1762"/>
      <c r="KM73" s="1762"/>
      <c r="KN73" s="1762"/>
      <c r="KO73" s="1762"/>
      <c r="KP73" s="1762"/>
      <c r="KQ73" s="1762"/>
      <c r="KR73" s="1762"/>
      <c r="KS73" s="1762"/>
      <c r="KT73" s="1762"/>
      <c r="KU73" s="1762"/>
      <c r="KV73" s="1762"/>
      <c r="KW73" s="1762"/>
      <c r="KX73" s="1762"/>
      <c r="KY73" s="1762"/>
      <c r="KZ73" s="1762"/>
      <c r="LA73" s="1762"/>
      <c r="LB73" s="1762"/>
      <c r="LC73" s="1762"/>
      <c r="LD73" s="1762"/>
      <c r="LE73" s="1762"/>
      <c r="LF73" s="1762"/>
      <c r="LG73" s="1762"/>
      <c r="LH73" s="1762"/>
      <c r="LI73" s="1762"/>
      <c r="LJ73" s="1762"/>
      <c r="LK73" s="1762"/>
      <c r="LL73" s="1762"/>
      <c r="LM73" s="1762"/>
      <c r="LN73" s="1762"/>
      <c r="LO73" s="1762"/>
      <c r="LP73" s="1762"/>
      <c r="LQ73" s="1762"/>
      <c r="LR73" s="1762"/>
      <c r="LS73" s="1762"/>
      <c r="LT73" s="1762"/>
      <c r="LU73" s="1762"/>
      <c r="LV73" s="1762"/>
      <c r="LW73" s="1762"/>
      <c r="LX73" s="1762"/>
      <c r="LY73" s="1762"/>
      <c r="LZ73" s="1762"/>
      <c r="MA73" s="1762"/>
      <c r="MB73" s="1762"/>
      <c r="MC73" s="1762"/>
      <c r="MD73" s="1762"/>
      <c r="ME73" s="1762"/>
      <c r="MF73" s="1762"/>
      <c r="MG73" s="1762"/>
      <c r="MH73" s="1762"/>
      <c r="MI73" s="1762"/>
      <c r="MJ73" s="1762"/>
      <c r="MK73" s="1762"/>
      <c r="ML73" s="1762"/>
      <c r="MM73" s="1762"/>
      <c r="MN73" s="1762"/>
      <c r="MO73" s="1762"/>
      <c r="MP73" s="1762"/>
      <c r="MQ73" s="1762"/>
      <c r="MR73" s="1762"/>
      <c r="MS73" s="1762"/>
      <c r="MT73" s="1762"/>
      <c r="MU73" s="1762"/>
      <c r="MV73" s="1762"/>
      <c r="MW73" s="1762"/>
      <c r="MX73" s="1762"/>
      <c r="MY73" s="1762"/>
      <c r="MZ73" s="1762"/>
      <c r="NA73" s="1762"/>
      <c r="NB73" s="1762"/>
      <c r="NC73" s="1762"/>
      <c r="ND73" s="1762"/>
      <c r="NE73" s="158"/>
      <c r="NF73" s="158"/>
      <c r="NG73" s="158"/>
      <c r="NH73" s="158"/>
      <c r="NI73" s="158"/>
      <c r="NJ73" s="158"/>
      <c r="NK73" s="158"/>
      <c r="NL73" s="158"/>
      <c r="NM73" s="158"/>
      <c r="NN73" s="158"/>
      <c r="NO73" s="158"/>
      <c r="NP73" s="158"/>
      <c r="NQ73" s="158"/>
      <c r="NR73" s="158"/>
      <c r="NS73" s="158"/>
      <c r="NT73" s="158"/>
      <c r="NU73" s="158"/>
      <c r="NV73" s="158"/>
      <c r="NW73" s="158"/>
      <c r="NX73" s="158"/>
      <c r="NY73" s="158"/>
      <c r="NZ73" s="158"/>
      <c r="OA73" s="158"/>
      <c r="OB73" s="158"/>
      <c r="OC73" s="158"/>
      <c r="OD73" s="158"/>
      <c r="OE73" s="158"/>
      <c r="OF73" s="158"/>
      <c r="OG73" s="158"/>
      <c r="OH73" s="158"/>
      <c r="OI73" s="158"/>
      <c r="OJ73" s="158"/>
      <c r="OK73" s="158"/>
      <c r="OL73" s="158"/>
      <c r="OM73" s="158"/>
      <c r="ON73" s="158"/>
      <c r="OO73" s="158"/>
      <c r="OP73" s="158"/>
      <c r="OQ73" s="158"/>
      <c r="OR73" s="158"/>
      <c r="OS73" s="158"/>
      <c r="OT73" s="158"/>
      <c r="OU73" s="158"/>
      <c r="OV73" s="158"/>
      <c r="OW73" s="158"/>
      <c r="OX73" s="158"/>
      <c r="OY73" s="158"/>
      <c r="OZ73" s="158"/>
      <c r="PA73" s="158"/>
      <c r="PB73" s="158"/>
      <c r="PC73" s="158"/>
      <c r="PD73" s="158"/>
      <c r="PE73" s="158"/>
      <c r="PF73" s="158"/>
      <c r="PG73" s="158"/>
      <c r="PH73" s="158"/>
      <c r="PI73" s="158"/>
      <c r="PJ73" s="158"/>
      <c r="PK73" s="158"/>
      <c r="PL73" s="158"/>
      <c r="PM73" s="158"/>
      <c r="PN73" s="158"/>
      <c r="PO73" s="158"/>
      <c r="PP73" s="158"/>
      <c r="PQ73" s="158"/>
      <c r="PR73" s="158"/>
      <c r="PS73" s="158"/>
      <c r="PT73" s="158"/>
      <c r="PU73" s="158"/>
      <c r="PV73" s="158"/>
      <c r="PW73" s="158"/>
      <c r="PX73" s="158"/>
      <c r="PY73" s="158"/>
      <c r="PZ73" s="158"/>
      <c r="QA73" s="158"/>
      <c r="QB73" s="158"/>
      <c r="QC73" s="158"/>
      <c r="QD73" s="158"/>
      <c r="QE73" s="158"/>
      <c r="QF73" s="158"/>
      <c r="QG73" s="158"/>
      <c r="QH73" s="158"/>
      <c r="QI73" s="158"/>
      <c r="QJ73" s="158"/>
      <c r="QK73" s="158"/>
      <c r="QL73" s="158"/>
      <c r="QM73" s="158"/>
      <c r="QN73" s="158"/>
      <c r="QO73" s="158"/>
      <c r="QP73" s="158"/>
      <c r="QQ73" s="158"/>
      <c r="QR73" s="158"/>
      <c r="QS73" s="158"/>
      <c r="QT73" s="158"/>
      <c r="QU73" s="158"/>
      <c r="QV73" s="158"/>
      <c r="QW73" s="158"/>
      <c r="QX73" s="158"/>
      <c r="QY73" s="158"/>
      <c r="QZ73" s="158"/>
      <c r="RA73" s="158"/>
      <c r="RB73" s="158"/>
      <c r="RC73" s="158"/>
      <c r="RD73" s="158"/>
      <c r="RE73" s="158"/>
      <c r="RF73" s="158"/>
      <c r="RG73" s="158"/>
      <c r="RH73" s="158"/>
      <c r="RI73" s="158"/>
      <c r="RJ73" s="158"/>
      <c r="RK73" s="158"/>
      <c r="RL73" s="158"/>
      <c r="RM73" s="158"/>
      <c r="RN73" s="158"/>
      <c r="RO73" s="158"/>
      <c r="RP73" s="158"/>
      <c r="RQ73" s="158"/>
      <c r="RR73" s="158"/>
      <c r="RS73" s="158"/>
      <c r="RT73" s="158"/>
      <c r="RU73" s="158"/>
      <c r="RV73" s="158"/>
      <c r="RW73" s="158"/>
      <c r="RX73" s="158"/>
      <c r="RY73" s="158"/>
      <c r="RZ73" s="158"/>
      <c r="SA73" s="158"/>
    </row>
    <row r="74" spans="1:495" s="27" customFormat="1">
      <c r="C74" s="1476"/>
      <c r="D74" s="4047"/>
      <c r="E74" s="4047"/>
      <c r="F74" s="4047"/>
      <c r="G74" s="8"/>
      <c r="H74" s="110" t="s">
        <v>4801</v>
      </c>
      <c r="I74" s="36"/>
      <c r="J74" s="1"/>
      <c r="K74" s="4040" t="str">
        <f>IF(OR(K57=0,$P73="",K$67=0),"",$P73*K$67)</f>
        <v/>
      </c>
      <c r="L74" s="4040" t="str">
        <f>IF(OR(L57=0,$P73="",L$67=0),"",$P73*L$67)</f>
        <v/>
      </c>
      <c r="M74" s="4040" t="str">
        <f>IF(OR(M57=0,$P73="",M$67=0),"",$P73*M$67)</f>
        <v/>
      </c>
      <c r="N74" s="4040" t="str">
        <f>IF(OR(N57=0,$P73="",N$67=0),"",$P73*N$67)</f>
        <v/>
      </c>
      <c r="O74" s="4040" t="str">
        <f>IF(OR(O57=0,$P73="",O$67=0),"",$P73*O$67)</f>
        <v/>
      </c>
      <c r="P74" s="4041" t="str">
        <f t="shared" ref="P74" si="362">IF(OR($P73="",P$67=0),"",$P73*P$67)</f>
        <v/>
      </c>
      <c r="S74" s="3996"/>
      <c r="T74" s="3997"/>
      <c r="U74" s="3997"/>
      <c r="V74" s="3997"/>
      <c r="W74" s="3998"/>
      <c r="X74" s="1762"/>
      <c r="Y74" s="1762"/>
      <c r="Z74" s="1762"/>
      <c r="AA74" s="1762"/>
      <c r="AB74" s="1762"/>
      <c r="AC74" s="1762"/>
      <c r="AD74" s="1762"/>
      <c r="AE74" s="1762"/>
      <c r="AF74" s="1762"/>
      <c r="AG74" s="1762"/>
      <c r="AH74" s="1762"/>
      <c r="AI74" s="1762"/>
      <c r="AJ74" s="1762"/>
      <c r="AK74" s="1762"/>
      <c r="AL74" s="1762"/>
      <c r="AM74" s="1762"/>
      <c r="AN74" s="1762"/>
      <c r="AO74" s="1762"/>
      <c r="AP74" s="1762"/>
      <c r="AQ74" s="1762"/>
      <c r="AR74" s="1762"/>
      <c r="AS74" s="1762"/>
      <c r="AT74" s="1762"/>
      <c r="AU74" s="1762"/>
      <c r="AV74" s="1762"/>
      <c r="AW74" s="1762"/>
      <c r="AX74" s="1762"/>
      <c r="AY74" s="1762"/>
      <c r="AZ74" s="1762"/>
      <c r="BA74" s="1762"/>
      <c r="BB74" s="1762"/>
      <c r="BC74" s="1762"/>
      <c r="BD74" s="1762"/>
      <c r="BE74" s="1762"/>
      <c r="BF74" s="1762"/>
      <c r="BG74" s="1762"/>
      <c r="BH74" s="1762"/>
      <c r="BI74" s="1762"/>
      <c r="BJ74" s="1762"/>
      <c r="BK74" s="1762"/>
      <c r="BL74" s="1762"/>
      <c r="BM74" s="1762"/>
      <c r="BN74" s="1762"/>
      <c r="BO74" s="1762"/>
      <c r="BP74" s="1762"/>
      <c r="BQ74" s="1762"/>
      <c r="BR74" s="1762"/>
      <c r="BS74" s="1762"/>
      <c r="BT74" s="1762"/>
      <c r="BU74" s="1762"/>
      <c r="BV74" s="1762"/>
      <c r="BW74" s="1762"/>
      <c r="BX74" s="1762"/>
      <c r="BY74" s="1762"/>
      <c r="BZ74" s="1762"/>
      <c r="CA74" s="1762"/>
      <c r="CB74" s="1762"/>
      <c r="CC74" s="1762"/>
      <c r="CD74" s="1762"/>
      <c r="CE74" s="1762"/>
      <c r="CF74" s="1762"/>
      <c r="CG74" s="1762"/>
      <c r="CH74" s="1762"/>
      <c r="CI74" s="1762"/>
      <c r="CJ74" s="1762"/>
      <c r="CK74" s="1762"/>
      <c r="CL74" s="1762"/>
      <c r="CM74" s="1762"/>
      <c r="CN74" s="1762"/>
      <c r="CO74" s="1762"/>
      <c r="CP74" s="1762"/>
      <c r="CQ74" s="1762"/>
      <c r="CR74" s="1762"/>
      <c r="CS74" s="1762"/>
      <c r="CT74" s="1762"/>
      <c r="CU74" s="1762"/>
      <c r="CV74" s="1762"/>
      <c r="CW74" s="1762"/>
      <c r="CX74" s="1762"/>
      <c r="CY74" s="1762"/>
      <c r="CZ74" s="1762"/>
      <c r="DA74" s="1762"/>
      <c r="DB74" s="1762"/>
      <c r="DC74" s="1762"/>
      <c r="DD74" s="1762"/>
      <c r="DE74" s="1762"/>
      <c r="DF74" s="1762"/>
      <c r="DG74" s="1762"/>
      <c r="DH74" s="1762"/>
      <c r="DI74" s="1762"/>
      <c r="DJ74" s="1762"/>
      <c r="DK74" s="1762"/>
      <c r="DL74" s="1762"/>
      <c r="DM74" s="1762"/>
      <c r="DN74" s="1762"/>
      <c r="DO74" s="1762"/>
      <c r="DP74" s="1762"/>
      <c r="DQ74" s="1762"/>
      <c r="DR74" s="1762"/>
      <c r="DS74" s="1762"/>
      <c r="DT74" s="1762"/>
      <c r="DU74" s="1762"/>
      <c r="DV74" s="1762"/>
      <c r="DW74" s="1762"/>
      <c r="DX74" s="1762"/>
      <c r="DY74" s="1762"/>
      <c r="DZ74" s="1762"/>
      <c r="EA74" s="1762"/>
      <c r="EB74" s="1762"/>
      <c r="EC74" s="1762"/>
      <c r="ED74" s="1762"/>
      <c r="EE74" s="1762"/>
      <c r="EF74" s="1762"/>
      <c r="EG74" s="1762"/>
      <c r="EH74" s="1762"/>
      <c r="EI74" s="1762"/>
      <c r="EJ74" s="1762"/>
      <c r="EK74" s="1762"/>
      <c r="EL74" s="1762"/>
      <c r="EM74" s="1762"/>
      <c r="EN74" s="1762"/>
      <c r="EO74" s="1762"/>
      <c r="EP74" s="1762"/>
      <c r="EQ74" s="1762"/>
      <c r="ER74" s="1762"/>
      <c r="ES74" s="1762"/>
      <c r="ET74" s="1762"/>
      <c r="EU74" s="1762"/>
      <c r="EV74" s="1762"/>
      <c r="EW74" s="1762"/>
      <c r="EX74" s="1762"/>
      <c r="EY74" s="1762"/>
      <c r="EZ74" s="1762"/>
      <c r="FA74" s="1762"/>
      <c r="FB74" s="1762"/>
      <c r="FC74" s="1762"/>
      <c r="FD74" s="1762"/>
      <c r="FE74" s="1762"/>
      <c r="FF74" s="1762"/>
      <c r="FG74" s="1762"/>
      <c r="FH74" s="1762"/>
      <c r="FI74" s="1762"/>
      <c r="FJ74" s="1762"/>
      <c r="FK74" s="1762"/>
      <c r="FL74" s="1762"/>
      <c r="FM74" s="1762"/>
      <c r="FN74" s="1762"/>
      <c r="FO74" s="1762"/>
      <c r="FP74" s="1762"/>
      <c r="FQ74" s="1762"/>
      <c r="FR74" s="1762"/>
      <c r="FS74" s="1762"/>
      <c r="FT74" s="1762"/>
      <c r="FU74" s="1762"/>
      <c r="FV74" s="1762"/>
      <c r="FW74" s="1762"/>
      <c r="FX74" s="1762"/>
      <c r="FY74" s="1762"/>
      <c r="FZ74" s="1762"/>
      <c r="GA74" s="1762"/>
      <c r="GB74" s="1762"/>
      <c r="GC74" s="1762"/>
      <c r="GD74" s="1762"/>
      <c r="GE74" s="1762"/>
      <c r="GF74" s="1762"/>
      <c r="GG74" s="1762"/>
      <c r="GH74" s="1762"/>
      <c r="GI74" s="1762"/>
      <c r="GJ74" s="1762"/>
      <c r="GK74" s="1762"/>
      <c r="GL74" s="1762"/>
      <c r="GM74" s="1762"/>
      <c r="GN74" s="1762"/>
      <c r="GO74" s="1762"/>
      <c r="GP74" s="1762"/>
      <c r="GQ74" s="1762"/>
      <c r="GR74" s="1762"/>
      <c r="GS74" s="1762"/>
      <c r="GT74" s="1762"/>
      <c r="GU74" s="1762"/>
      <c r="GV74" s="1762"/>
      <c r="GW74" s="1762"/>
      <c r="GX74" s="1762"/>
      <c r="GY74" s="1762"/>
      <c r="GZ74" s="1762"/>
      <c r="HA74" s="1762"/>
      <c r="HB74" s="1762"/>
      <c r="HC74" s="1762"/>
      <c r="HD74" s="1762"/>
      <c r="HE74" s="1762"/>
      <c r="HF74" s="1762"/>
      <c r="HG74" s="1762"/>
      <c r="HH74" s="1762"/>
      <c r="HI74" s="1762"/>
      <c r="HJ74" s="1762"/>
      <c r="HK74" s="1762"/>
      <c r="HL74" s="1762"/>
      <c r="HM74" s="1762"/>
      <c r="HN74" s="1762"/>
      <c r="HO74" s="1762"/>
      <c r="HP74" s="1762"/>
      <c r="HQ74" s="1762"/>
      <c r="HR74" s="1762"/>
      <c r="HS74" s="1762"/>
      <c r="HT74" s="1762"/>
      <c r="HU74" s="1762"/>
      <c r="HV74" s="1762"/>
      <c r="HW74" s="1762"/>
      <c r="HX74" s="1762"/>
      <c r="HY74" s="1762"/>
      <c r="HZ74" s="1762"/>
      <c r="IA74" s="1762"/>
      <c r="IB74" s="1762"/>
      <c r="IC74" s="1762"/>
      <c r="ID74" s="1762"/>
      <c r="IE74" s="1762"/>
      <c r="IF74" s="1762"/>
      <c r="IG74" s="1762"/>
      <c r="IH74" s="1762"/>
      <c r="II74" s="1762"/>
      <c r="IJ74" s="1762"/>
      <c r="IK74" s="1762"/>
      <c r="IL74" s="1762"/>
      <c r="IM74" s="1762"/>
      <c r="IN74" s="1762"/>
      <c r="IO74" s="1762"/>
      <c r="IP74" s="1762"/>
      <c r="IQ74" s="1762"/>
      <c r="IR74" s="1762"/>
      <c r="IS74" s="1762"/>
      <c r="IT74" s="1762"/>
      <c r="IU74" s="1762"/>
      <c r="IV74" s="1762"/>
      <c r="IW74" s="1762"/>
      <c r="IX74" s="1762"/>
      <c r="IY74" s="1762"/>
      <c r="IZ74" s="1762"/>
      <c r="JA74" s="1762"/>
      <c r="JB74" s="1762"/>
      <c r="JC74" s="1762"/>
      <c r="JD74" s="1762"/>
      <c r="JE74" s="1762"/>
      <c r="JF74" s="1762"/>
      <c r="JG74" s="1762"/>
      <c r="JH74" s="1762"/>
      <c r="JI74" s="1762"/>
      <c r="JJ74" s="1762"/>
      <c r="JK74" s="1762"/>
      <c r="JL74" s="1762"/>
      <c r="JM74" s="1762"/>
      <c r="JN74" s="1762"/>
      <c r="JO74" s="1762"/>
      <c r="JP74" s="1762"/>
      <c r="JQ74" s="1762"/>
      <c r="JR74" s="1762"/>
      <c r="JS74" s="1762"/>
      <c r="JT74" s="1762"/>
      <c r="JU74" s="1762"/>
      <c r="JV74" s="1762"/>
      <c r="JW74" s="1762"/>
      <c r="JX74" s="1762"/>
      <c r="JY74" s="1762"/>
      <c r="JZ74" s="1762"/>
      <c r="KA74" s="1762"/>
      <c r="KB74" s="1762"/>
      <c r="KC74" s="1762"/>
      <c r="KD74" s="1762"/>
      <c r="KE74" s="1762"/>
      <c r="KF74" s="1762"/>
      <c r="KG74" s="1762"/>
      <c r="KH74" s="1762"/>
      <c r="KI74" s="1762"/>
      <c r="KJ74" s="1762"/>
      <c r="KK74" s="1762"/>
      <c r="KL74" s="1762"/>
      <c r="KM74" s="1762"/>
      <c r="KN74" s="1762"/>
      <c r="KO74" s="1762"/>
      <c r="KP74" s="1762"/>
      <c r="KQ74" s="1762"/>
      <c r="KR74" s="1762"/>
      <c r="KS74" s="1762"/>
      <c r="KT74" s="1762"/>
      <c r="KU74" s="1762"/>
      <c r="KV74" s="1762"/>
      <c r="KW74" s="1762"/>
      <c r="KX74" s="1762"/>
      <c r="KY74" s="1762"/>
      <c r="KZ74" s="1762"/>
      <c r="LA74" s="1762"/>
      <c r="LB74" s="1762"/>
      <c r="LC74" s="1762"/>
      <c r="LD74" s="1762"/>
      <c r="LE74" s="1762"/>
      <c r="LF74" s="1762"/>
      <c r="LG74" s="1762"/>
      <c r="LH74" s="1762"/>
      <c r="LI74" s="1762"/>
      <c r="LJ74" s="1762"/>
      <c r="LK74" s="1762"/>
      <c r="LL74" s="1762"/>
      <c r="LM74" s="1762"/>
      <c r="LN74" s="1762"/>
      <c r="LO74" s="1762"/>
      <c r="LP74" s="1762"/>
      <c r="LQ74" s="1762"/>
      <c r="LR74" s="1762"/>
      <c r="LS74" s="1762"/>
      <c r="LT74" s="1762"/>
      <c r="LU74" s="1762"/>
      <c r="LV74" s="1762"/>
      <c r="LW74" s="1762"/>
      <c r="LX74" s="1762"/>
      <c r="LY74" s="1762"/>
      <c r="LZ74" s="1762"/>
      <c r="MA74" s="1762"/>
      <c r="MB74" s="1762"/>
      <c r="MC74" s="1762"/>
      <c r="MD74" s="1762"/>
      <c r="ME74" s="1762"/>
      <c r="MF74" s="1762"/>
      <c r="MG74" s="1762"/>
      <c r="MH74" s="1762"/>
      <c r="MI74" s="1762"/>
      <c r="MJ74" s="1762"/>
      <c r="MK74" s="1762"/>
      <c r="ML74" s="1762"/>
      <c r="MM74" s="1762"/>
      <c r="MN74" s="1762"/>
      <c r="MO74" s="1762"/>
      <c r="MP74" s="1762"/>
      <c r="MQ74" s="1762"/>
      <c r="MR74" s="1762"/>
      <c r="MS74" s="1762"/>
      <c r="MT74" s="1762"/>
      <c r="MU74" s="1762"/>
      <c r="MV74" s="1762"/>
      <c r="MW74" s="1762"/>
      <c r="MX74" s="1762"/>
      <c r="MY74" s="1762"/>
      <c r="MZ74" s="1762"/>
      <c r="NA74" s="1762"/>
      <c r="NB74" s="1762"/>
      <c r="NC74" s="1762"/>
      <c r="ND74" s="1762"/>
      <c r="NE74" s="158"/>
      <c r="NF74" s="158"/>
      <c r="NG74" s="158"/>
      <c r="NH74" s="158"/>
      <c r="NI74" s="158"/>
      <c r="NJ74" s="158"/>
      <c r="NK74" s="158"/>
      <c r="NL74" s="158"/>
      <c r="NM74" s="158"/>
      <c r="NN74" s="158"/>
      <c r="NO74" s="158"/>
      <c r="NP74" s="158"/>
      <c r="NQ74" s="158"/>
      <c r="NR74" s="158"/>
      <c r="NS74" s="158"/>
      <c r="NT74" s="158"/>
      <c r="NU74" s="158"/>
      <c r="NV74" s="158"/>
      <c r="NW74" s="158"/>
      <c r="NX74" s="158"/>
      <c r="NY74" s="158"/>
      <c r="NZ74" s="158"/>
      <c r="OA74" s="158"/>
      <c r="OB74" s="158"/>
      <c r="OC74" s="158"/>
      <c r="OD74" s="158"/>
      <c r="OE74" s="158"/>
      <c r="OF74" s="158"/>
      <c r="OG74" s="158"/>
      <c r="OH74" s="158"/>
      <c r="OI74" s="158"/>
      <c r="OJ74" s="158"/>
      <c r="OK74" s="158"/>
      <c r="OL74" s="158"/>
      <c r="OM74" s="158"/>
      <c r="ON74" s="158"/>
      <c r="OO74" s="158"/>
      <c r="OP74" s="158"/>
      <c r="OQ74" s="158"/>
      <c r="OR74" s="158"/>
      <c r="OS74" s="158"/>
      <c r="OT74" s="158"/>
      <c r="OU74" s="158"/>
      <c r="OV74" s="158"/>
      <c r="OW74" s="158"/>
      <c r="OX74" s="158"/>
      <c r="OY74" s="158"/>
      <c r="OZ74" s="158"/>
      <c r="PA74" s="158"/>
      <c r="PB74" s="158"/>
      <c r="PC74" s="158"/>
      <c r="PD74" s="158"/>
      <c r="PE74" s="158"/>
      <c r="PF74" s="158"/>
      <c r="PG74" s="158"/>
      <c r="PH74" s="158"/>
      <c r="PI74" s="158"/>
      <c r="PJ74" s="158"/>
      <c r="PK74" s="158"/>
      <c r="PL74" s="158"/>
      <c r="PM74" s="158"/>
      <c r="PN74" s="158"/>
      <c r="PO74" s="158"/>
      <c r="PP74" s="158"/>
      <c r="PQ74" s="158"/>
      <c r="PR74" s="158"/>
      <c r="PS74" s="158"/>
      <c r="PT74" s="158"/>
      <c r="PU74" s="158"/>
      <c r="PV74" s="158"/>
      <c r="PW74" s="158"/>
      <c r="PX74" s="158"/>
      <c r="PY74" s="158"/>
      <c r="PZ74" s="158"/>
      <c r="QA74" s="158"/>
      <c r="QB74" s="158"/>
      <c r="QC74" s="158"/>
      <c r="QD74" s="158"/>
      <c r="QE74" s="158"/>
      <c r="QF74" s="158"/>
      <c r="QG74" s="158"/>
      <c r="QH74" s="158"/>
      <c r="QI74" s="158"/>
      <c r="QJ74" s="158"/>
      <c r="QK74" s="158"/>
      <c r="QL74" s="158"/>
      <c r="QM74" s="158"/>
      <c r="QN74" s="158"/>
      <c r="QO74" s="158"/>
      <c r="QP74" s="158"/>
      <c r="QQ74" s="158"/>
      <c r="QR74" s="158"/>
      <c r="QS74" s="158"/>
      <c r="QT74" s="158"/>
      <c r="QU74" s="158"/>
      <c r="QV74" s="158"/>
      <c r="QW74" s="158"/>
      <c r="QX74" s="158"/>
      <c r="QY74" s="158"/>
      <c r="QZ74" s="158"/>
      <c r="RA74" s="158"/>
      <c r="RB74" s="158"/>
      <c r="RC74" s="158"/>
      <c r="RD74" s="158"/>
      <c r="RE74" s="158"/>
      <c r="RF74" s="158"/>
      <c r="RG74" s="158"/>
      <c r="RH74" s="158"/>
      <c r="RI74" s="158"/>
      <c r="RJ74" s="158"/>
      <c r="RK74" s="158"/>
      <c r="RL74" s="158"/>
      <c r="RM74" s="158"/>
      <c r="RN74" s="158"/>
      <c r="RO74" s="158"/>
      <c r="RP74" s="158"/>
      <c r="RQ74" s="158"/>
      <c r="RR74" s="158"/>
      <c r="RS74" s="158"/>
      <c r="RT74" s="158"/>
      <c r="RU74" s="158"/>
      <c r="RV74" s="158"/>
      <c r="RW74" s="158"/>
      <c r="RX74" s="158"/>
      <c r="RY74" s="158"/>
      <c r="RZ74" s="158"/>
      <c r="SA74" s="158"/>
    </row>
    <row r="75" spans="1:495" s="27" customFormat="1">
      <c r="C75" s="1476"/>
      <c r="D75" s="4047"/>
      <c r="E75" s="4047"/>
      <c r="F75" s="4047"/>
      <c r="G75" s="8"/>
      <c r="H75" s="4042" t="s">
        <v>4802</v>
      </c>
      <c r="I75" s="4043"/>
      <c r="J75" s="1"/>
      <c r="K75" s="4044" t="str">
        <f t="shared" ref="K75:P75" si="363">IF(OR(K74="",K57=0),"", K57-K74)</f>
        <v/>
      </c>
      <c r="L75" s="4044" t="str">
        <f t="shared" si="363"/>
        <v/>
      </c>
      <c r="M75" s="4044" t="str">
        <f t="shared" si="363"/>
        <v/>
      </c>
      <c r="N75" s="4044" t="str">
        <f t="shared" si="363"/>
        <v/>
      </c>
      <c r="O75" s="4044" t="str">
        <f t="shared" si="363"/>
        <v/>
      </c>
      <c r="P75" s="4044" t="str">
        <f t="shared" si="363"/>
        <v/>
      </c>
      <c r="S75" s="3996"/>
      <c r="T75" s="3997"/>
      <c r="U75" s="3997"/>
      <c r="V75" s="3997"/>
      <c r="W75" s="3998"/>
      <c r="X75" s="1762"/>
      <c r="Y75" s="1762"/>
      <c r="Z75" s="1762"/>
      <c r="AA75" s="1762"/>
      <c r="AB75" s="1762"/>
      <c r="AC75" s="1762"/>
      <c r="AD75" s="1762"/>
      <c r="AE75" s="1762"/>
      <c r="AF75" s="1762"/>
      <c r="AG75" s="1762"/>
      <c r="AH75" s="1762"/>
      <c r="AI75" s="1762"/>
      <c r="AJ75" s="1762"/>
      <c r="AK75" s="1762"/>
      <c r="AL75" s="1762"/>
      <c r="AM75" s="1762"/>
      <c r="AN75" s="1762"/>
      <c r="AO75" s="1762"/>
      <c r="AP75" s="1762"/>
      <c r="AQ75" s="1762"/>
      <c r="AR75" s="1762"/>
      <c r="AS75" s="1762"/>
      <c r="AT75" s="1762"/>
      <c r="AU75" s="1762"/>
      <c r="AV75" s="1762"/>
      <c r="AW75" s="1762"/>
      <c r="AX75" s="1762"/>
      <c r="AY75" s="1762"/>
      <c r="AZ75" s="1762"/>
      <c r="BA75" s="1762"/>
      <c r="BB75" s="1762"/>
      <c r="BC75" s="1762"/>
      <c r="BD75" s="1762"/>
      <c r="BE75" s="1762"/>
      <c r="BF75" s="1762"/>
      <c r="BG75" s="1762"/>
      <c r="BH75" s="1762"/>
      <c r="BI75" s="1762"/>
      <c r="BJ75" s="1762"/>
      <c r="BK75" s="1762"/>
      <c r="BL75" s="1762"/>
      <c r="BM75" s="1762"/>
      <c r="BN75" s="1762"/>
      <c r="BO75" s="1762"/>
      <c r="BP75" s="1762"/>
      <c r="BQ75" s="1762"/>
      <c r="BR75" s="1762"/>
      <c r="BS75" s="1762"/>
      <c r="BT75" s="1762"/>
      <c r="BU75" s="1762"/>
      <c r="BV75" s="1762"/>
      <c r="BW75" s="1762"/>
      <c r="BX75" s="1762"/>
      <c r="BY75" s="1762"/>
      <c r="BZ75" s="1762"/>
      <c r="CA75" s="1762"/>
      <c r="CB75" s="1762"/>
      <c r="CC75" s="1762"/>
      <c r="CD75" s="1762"/>
      <c r="CE75" s="1762"/>
      <c r="CF75" s="1762"/>
      <c r="CG75" s="1762"/>
      <c r="CH75" s="1762"/>
      <c r="CI75" s="1762"/>
      <c r="CJ75" s="1762"/>
      <c r="CK75" s="1762"/>
      <c r="CL75" s="1762"/>
      <c r="CM75" s="1762"/>
      <c r="CN75" s="1762"/>
      <c r="CO75" s="1762"/>
      <c r="CP75" s="1762"/>
      <c r="CQ75" s="1762"/>
      <c r="CR75" s="1762"/>
      <c r="CS75" s="1762"/>
      <c r="CT75" s="1762"/>
      <c r="CU75" s="1762"/>
      <c r="CV75" s="1762"/>
      <c r="CW75" s="1762"/>
      <c r="CX75" s="1762"/>
      <c r="CY75" s="1762"/>
      <c r="CZ75" s="1762"/>
      <c r="DA75" s="1762"/>
      <c r="DB75" s="1762"/>
      <c r="DC75" s="1762"/>
      <c r="DD75" s="1762"/>
      <c r="DE75" s="1762"/>
      <c r="DF75" s="1762"/>
      <c r="DG75" s="1762"/>
      <c r="DH75" s="1762"/>
      <c r="DI75" s="1762"/>
      <c r="DJ75" s="1762"/>
      <c r="DK75" s="1762"/>
      <c r="DL75" s="1762"/>
      <c r="DM75" s="1762"/>
      <c r="DN75" s="1762"/>
      <c r="DO75" s="1762"/>
      <c r="DP75" s="1762"/>
      <c r="DQ75" s="1762"/>
      <c r="DR75" s="1762"/>
      <c r="DS75" s="1762"/>
      <c r="DT75" s="1762"/>
      <c r="DU75" s="1762"/>
      <c r="DV75" s="1762"/>
      <c r="DW75" s="1762"/>
      <c r="DX75" s="1762"/>
      <c r="DY75" s="1762"/>
      <c r="DZ75" s="1762"/>
      <c r="EA75" s="1762"/>
      <c r="EB75" s="1762"/>
      <c r="EC75" s="1762"/>
      <c r="ED75" s="1762"/>
      <c r="EE75" s="1762"/>
      <c r="EF75" s="1762"/>
      <c r="EG75" s="1762"/>
      <c r="EH75" s="1762"/>
      <c r="EI75" s="1762"/>
      <c r="EJ75" s="1762"/>
      <c r="EK75" s="1762"/>
      <c r="EL75" s="1762"/>
      <c r="EM75" s="1762"/>
      <c r="EN75" s="1762"/>
      <c r="EO75" s="1762"/>
      <c r="EP75" s="1762"/>
      <c r="EQ75" s="1762"/>
      <c r="ER75" s="1762"/>
      <c r="ES75" s="1762"/>
      <c r="ET75" s="1762"/>
      <c r="EU75" s="1762"/>
      <c r="EV75" s="1762"/>
      <c r="EW75" s="1762"/>
      <c r="EX75" s="1762"/>
      <c r="EY75" s="1762"/>
      <c r="EZ75" s="1762"/>
      <c r="FA75" s="1762"/>
      <c r="FB75" s="1762"/>
      <c r="FC75" s="1762"/>
      <c r="FD75" s="1762"/>
      <c r="FE75" s="1762"/>
      <c r="FF75" s="1762"/>
      <c r="FG75" s="1762"/>
      <c r="FH75" s="1762"/>
      <c r="FI75" s="1762"/>
      <c r="FJ75" s="1762"/>
      <c r="FK75" s="1762"/>
      <c r="FL75" s="1762"/>
      <c r="FM75" s="1762"/>
      <c r="FN75" s="1762"/>
      <c r="FO75" s="1762"/>
      <c r="FP75" s="1762"/>
      <c r="FQ75" s="1762"/>
      <c r="FR75" s="1762"/>
      <c r="FS75" s="1762"/>
      <c r="FT75" s="1762"/>
      <c r="FU75" s="1762"/>
      <c r="FV75" s="1762"/>
      <c r="FW75" s="1762"/>
      <c r="FX75" s="1762"/>
      <c r="FY75" s="1762"/>
      <c r="FZ75" s="1762"/>
      <c r="GA75" s="1762"/>
      <c r="GB75" s="1762"/>
      <c r="GC75" s="1762"/>
      <c r="GD75" s="1762"/>
      <c r="GE75" s="1762"/>
      <c r="GF75" s="1762"/>
      <c r="GG75" s="1762"/>
      <c r="GH75" s="1762"/>
      <c r="GI75" s="1762"/>
      <c r="GJ75" s="1762"/>
      <c r="GK75" s="1762"/>
      <c r="GL75" s="1762"/>
      <c r="GM75" s="1762"/>
      <c r="GN75" s="1762"/>
      <c r="GO75" s="1762"/>
      <c r="GP75" s="1762"/>
      <c r="GQ75" s="1762"/>
      <c r="GR75" s="1762"/>
      <c r="GS75" s="1762"/>
      <c r="GT75" s="1762"/>
      <c r="GU75" s="1762"/>
      <c r="GV75" s="1762"/>
      <c r="GW75" s="1762"/>
      <c r="GX75" s="1762"/>
      <c r="GY75" s="1762"/>
      <c r="GZ75" s="1762"/>
      <c r="HA75" s="1762"/>
      <c r="HB75" s="1762"/>
      <c r="HC75" s="1762"/>
      <c r="HD75" s="1762"/>
      <c r="HE75" s="1762"/>
      <c r="HF75" s="1762"/>
      <c r="HG75" s="1762"/>
      <c r="HH75" s="1762"/>
      <c r="HI75" s="1762"/>
      <c r="HJ75" s="1762"/>
      <c r="HK75" s="1762"/>
      <c r="HL75" s="1762"/>
      <c r="HM75" s="1762"/>
      <c r="HN75" s="1762"/>
      <c r="HO75" s="1762"/>
      <c r="HP75" s="1762"/>
      <c r="HQ75" s="1762"/>
      <c r="HR75" s="1762"/>
      <c r="HS75" s="1762"/>
      <c r="HT75" s="1762"/>
      <c r="HU75" s="1762"/>
      <c r="HV75" s="1762"/>
      <c r="HW75" s="1762"/>
      <c r="HX75" s="1762"/>
      <c r="HY75" s="1762"/>
      <c r="HZ75" s="1762"/>
      <c r="IA75" s="1762"/>
      <c r="IB75" s="1762"/>
      <c r="IC75" s="1762"/>
      <c r="ID75" s="1762"/>
      <c r="IE75" s="1762"/>
      <c r="IF75" s="1762"/>
      <c r="IG75" s="1762"/>
      <c r="IH75" s="1762"/>
      <c r="II75" s="1762"/>
      <c r="IJ75" s="1762"/>
      <c r="IK75" s="1762"/>
      <c r="IL75" s="1762"/>
      <c r="IM75" s="1762"/>
      <c r="IN75" s="1762"/>
      <c r="IO75" s="1762"/>
      <c r="IP75" s="1762"/>
      <c r="IQ75" s="1762"/>
      <c r="IR75" s="1762"/>
      <c r="IS75" s="1762"/>
      <c r="IT75" s="1762"/>
      <c r="IU75" s="1762"/>
      <c r="IV75" s="1762"/>
      <c r="IW75" s="1762"/>
      <c r="IX75" s="1762"/>
      <c r="IY75" s="1762"/>
      <c r="IZ75" s="1762"/>
      <c r="JA75" s="1762"/>
      <c r="JB75" s="1762"/>
      <c r="JC75" s="1762"/>
      <c r="JD75" s="1762"/>
      <c r="JE75" s="1762"/>
      <c r="JF75" s="1762"/>
      <c r="JG75" s="1762"/>
      <c r="JH75" s="1762"/>
      <c r="JI75" s="1762"/>
      <c r="JJ75" s="1762"/>
      <c r="JK75" s="1762"/>
      <c r="JL75" s="1762"/>
      <c r="JM75" s="1762"/>
      <c r="JN75" s="1762"/>
      <c r="JO75" s="1762"/>
      <c r="JP75" s="1762"/>
      <c r="JQ75" s="1762"/>
      <c r="JR75" s="1762"/>
      <c r="JS75" s="1762"/>
      <c r="JT75" s="1762"/>
      <c r="JU75" s="1762"/>
      <c r="JV75" s="1762"/>
      <c r="JW75" s="1762"/>
      <c r="JX75" s="1762"/>
      <c r="JY75" s="1762"/>
      <c r="JZ75" s="1762"/>
      <c r="KA75" s="1762"/>
      <c r="KB75" s="1762"/>
      <c r="KC75" s="1762"/>
      <c r="KD75" s="1762"/>
      <c r="KE75" s="1762"/>
      <c r="KF75" s="1762"/>
      <c r="KG75" s="1762"/>
      <c r="KH75" s="1762"/>
      <c r="KI75" s="1762"/>
      <c r="KJ75" s="1762"/>
      <c r="KK75" s="1762"/>
      <c r="KL75" s="1762"/>
      <c r="KM75" s="1762"/>
      <c r="KN75" s="1762"/>
      <c r="KO75" s="1762"/>
      <c r="KP75" s="1762"/>
      <c r="KQ75" s="1762"/>
      <c r="KR75" s="1762"/>
      <c r="KS75" s="1762"/>
      <c r="KT75" s="1762"/>
      <c r="KU75" s="1762"/>
      <c r="KV75" s="1762"/>
      <c r="KW75" s="1762"/>
      <c r="KX75" s="1762"/>
      <c r="KY75" s="1762"/>
      <c r="KZ75" s="1762"/>
      <c r="LA75" s="1762"/>
      <c r="LB75" s="1762"/>
      <c r="LC75" s="1762"/>
      <c r="LD75" s="1762"/>
      <c r="LE75" s="1762"/>
      <c r="LF75" s="1762"/>
      <c r="LG75" s="1762"/>
      <c r="LH75" s="1762"/>
      <c r="LI75" s="1762"/>
      <c r="LJ75" s="1762"/>
      <c r="LK75" s="1762"/>
      <c r="LL75" s="1762"/>
      <c r="LM75" s="1762"/>
      <c r="LN75" s="1762"/>
      <c r="LO75" s="1762"/>
      <c r="LP75" s="1762"/>
      <c r="LQ75" s="1762"/>
      <c r="LR75" s="1762"/>
      <c r="LS75" s="1762"/>
      <c r="LT75" s="1762"/>
      <c r="LU75" s="1762"/>
      <c r="LV75" s="1762"/>
      <c r="LW75" s="1762"/>
      <c r="LX75" s="1762"/>
      <c r="LY75" s="1762"/>
      <c r="LZ75" s="1762"/>
      <c r="MA75" s="1762"/>
      <c r="MB75" s="1762"/>
      <c r="MC75" s="1762"/>
      <c r="MD75" s="1762"/>
      <c r="ME75" s="1762"/>
      <c r="MF75" s="1762"/>
      <c r="MG75" s="1762"/>
      <c r="MH75" s="1762"/>
      <c r="MI75" s="1762"/>
      <c r="MJ75" s="1762"/>
      <c r="MK75" s="1762"/>
      <c r="ML75" s="1762"/>
      <c r="MM75" s="1762"/>
      <c r="MN75" s="1762"/>
      <c r="MO75" s="1762"/>
      <c r="MP75" s="1762"/>
      <c r="MQ75" s="1762"/>
      <c r="MR75" s="1762"/>
      <c r="MS75" s="1762"/>
      <c r="MT75" s="1762"/>
      <c r="MU75" s="1762"/>
      <c r="MV75" s="1762"/>
      <c r="MW75" s="1762"/>
      <c r="MX75" s="1762"/>
      <c r="MY75" s="1762"/>
      <c r="MZ75" s="1762"/>
      <c r="NA75" s="1762"/>
      <c r="NB75" s="1762"/>
      <c r="NC75" s="1762"/>
      <c r="ND75" s="1762"/>
      <c r="NE75" s="158"/>
      <c r="NF75" s="158"/>
      <c r="NG75" s="158"/>
      <c r="NH75" s="158"/>
      <c r="NI75" s="158"/>
      <c r="NJ75" s="158"/>
      <c r="NK75" s="158"/>
      <c r="NL75" s="158"/>
      <c r="NM75" s="158"/>
      <c r="NN75" s="158"/>
      <c r="NO75" s="158"/>
      <c r="NP75" s="158"/>
      <c r="NQ75" s="158"/>
      <c r="NR75" s="158"/>
      <c r="NS75" s="158"/>
      <c r="NT75" s="158"/>
      <c r="NU75" s="158"/>
      <c r="NV75" s="158"/>
      <c r="NW75" s="158"/>
      <c r="NX75" s="158"/>
      <c r="NY75" s="158"/>
      <c r="NZ75" s="158"/>
      <c r="OA75" s="158"/>
      <c r="OB75" s="158"/>
      <c r="OC75" s="158"/>
      <c r="OD75" s="158"/>
      <c r="OE75" s="158"/>
      <c r="OF75" s="158"/>
      <c r="OG75" s="158"/>
      <c r="OH75" s="158"/>
      <c r="OI75" s="158"/>
      <c r="OJ75" s="158"/>
      <c r="OK75" s="158"/>
      <c r="OL75" s="158"/>
      <c r="OM75" s="158"/>
      <c r="ON75" s="158"/>
      <c r="OO75" s="158"/>
      <c r="OP75" s="158"/>
      <c r="OQ75" s="158"/>
      <c r="OR75" s="158"/>
      <c r="OS75" s="158"/>
      <c r="OT75" s="158"/>
      <c r="OU75" s="158"/>
      <c r="OV75" s="158"/>
      <c r="OW75" s="158"/>
      <c r="OX75" s="158"/>
      <c r="OY75" s="158"/>
      <c r="OZ75" s="158"/>
      <c r="PA75" s="158"/>
      <c r="PB75" s="158"/>
      <c r="PC75" s="158"/>
      <c r="PD75" s="158"/>
      <c r="PE75" s="158"/>
      <c r="PF75" s="158"/>
      <c r="PG75" s="158"/>
      <c r="PH75" s="158"/>
      <c r="PI75" s="158"/>
      <c r="PJ75" s="158"/>
      <c r="PK75" s="158"/>
      <c r="PL75" s="158"/>
      <c r="PM75" s="158"/>
      <c r="PN75" s="158"/>
      <c r="PO75" s="158"/>
      <c r="PP75" s="158"/>
      <c r="PQ75" s="158"/>
      <c r="PR75" s="158"/>
      <c r="PS75" s="158"/>
      <c r="PT75" s="158"/>
      <c r="PU75" s="158"/>
      <c r="PV75" s="158"/>
      <c r="PW75" s="158"/>
      <c r="PX75" s="158"/>
      <c r="PY75" s="158"/>
      <c r="PZ75" s="158"/>
      <c r="QA75" s="158"/>
      <c r="QB75" s="158"/>
      <c r="QC75" s="158"/>
      <c r="QD75" s="158"/>
      <c r="QE75" s="158"/>
      <c r="QF75" s="158"/>
      <c r="QG75" s="158"/>
      <c r="QH75" s="158"/>
      <c r="QI75" s="158"/>
      <c r="QJ75" s="158"/>
      <c r="QK75" s="158"/>
      <c r="QL75" s="158"/>
      <c r="QM75" s="158"/>
      <c r="QN75" s="158"/>
      <c r="QO75" s="158"/>
      <c r="QP75" s="158"/>
      <c r="QQ75" s="158"/>
      <c r="QR75" s="158"/>
      <c r="QS75" s="158"/>
      <c r="QT75" s="158"/>
      <c r="QU75" s="158"/>
      <c r="QV75" s="158"/>
      <c r="QW75" s="158"/>
      <c r="QX75" s="158"/>
      <c r="QY75" s="158"/>
      <c r="QZ75" s="158"/>
      <c r="RA75" s="158"/>
      <c r="RB75" s="158"/>
      <c r="RC75" s="158"/>
      <c r="RD75" s="158"/>
      <c r="RE75" s="158"/>
      <c r="RF75" s="158"/>
      <c r="RG75" s="158"/>
      <c r="RH75" s="158"/>
      <c r="RI75" s="158"/>
      <c r="RJ75" s="158"/>
      <c r="RK75" s="158"/>
      <c r="RL75" s="158"/>
      <c r="RM75" s="158"/>
      <c r="RN75" s="158"/>
      <c r="RO75" s="158"/>
      <c r="RP75" s="158"/>
      <c r="RQ75" s="158"/>
      <c r="RR75" s="158"/>
      <c r="RS75" s="158"/>
      <c r="RT75" s="158"/>
      <c r="RU75" s="158"/>
      <c r="RV75" s="158"/>
      <c r="RW75" s="158"/>
      <c r="RX75" s="158"/>
      <c r="RY75" s="158"/>
      <c r="RZ75" s="158"/>
      <c r="SA75" s="158"/>
    </row>
    <row r="76" spans="1:495" s="27" customFormat="1">
      <c r="B76" s="116"/>
      <c r="C76" s="204" t="s">
        <v>4777</v>
      </c>
      <c r="D76" s="4047"/>
      <c r="E76" s="4047"/>
      <c r="F76" s="4047"/>
      <c r="G76" s="8"/>
      <c r="H76" s="110" t="s">
        <v>1127</v>
      </c>
      <c r="I76" s="36"/>
      <c r="J76" s="1"/>
      <c r="K76" s="4048" t="str">
        <f t="shared" ref="K76:P76" si="364">IF(OR(K58=0,K$67=0),"",K58/K$67)</f>
        <v/>
      </c>
      <c r="L76" s="4049">
        <f t="shared" si="364"/>
        <v>0.45</v>
      </c>
      <c r="M76" s="4049">
        <f t="shared" si="364"/>
        <v>0.48076923076923078</v>
      </c>
      <c r="N76" s="4049" t="str">
        <f t="shared" si="364"/>
        <v/>
      </c>
      <c r="O76" s="4049" t="str">
        <f t="shared" si="364"/>
        <v/>
      </c>
      <c r="P76" s="4050">
        <f t="shared" si="364"/>
        <v>0.47222222222222221</v>
      </c>
      <c r="S76" s="3996"/>
      <c r="T76" s="3997"/>
      <c r="U76" s="3997"/>
      <c r="V76" s="3997"/>
      <c r="W76" s="3998"/>
      <c r="X76" s="1762"/>
      <c r="Y76" s="1762"/>
      <c r="Z76" s="1762"/>
      <c r="AA76" s="1762"/>
      <c r="AB76" s="1762"/>
      <c r="AC76" s="1762"/>
      <c r="AD76" s="1762"/>
      <c r="AE76" s="1762"/>
      <c r="AF76" s="1762"/>
      <c r="AG76" s="1762"/>
      <c r="AH76" s="1762"/>
      <c r="AI76" s="1762"/>
      <c r="AJ76" s="1762"/>
      <c r="AK76" s="1762"/>
      <c r="AL76" s="1762"/>
      <c r="AM76" s="1762"/>
      <c r="AN76" s="1762"/>
      <c r="AO76" s="1762"/>
      <c r="AP76" s="1762"/>
      <c r="AQ76" s="1762"/>
      <c r="AR76" s="1762"/>
      <c r="AS76" s="1762"/>
      <c r="AT76" s="1762"/>
      <c r="AU76" s="1762"/>
      <c r="AV76" s="1762"/>
      <c r="AW76" s="1762"/>
      <c r="AX76" s="1762"/>
      <c r="AY76" s="1762"/>
      <c r="AZ76" s="1762"/>
      <c r="BA76" s="1762"/>
      <c r="BB76" s="1762"/>
      <c r="BC76" s="1762"/>
      <c r="BD76" s="1762"/>
      <c r="BE76" s="1762"/>
      <c r="BF76" s="1762"/>
      <c r="BG76" s="1762"/>
      <c r="BH76" s="1762"/>
      <c r="BI76" s="1762"/>
      <c r="BJ76" s="1762"/>
      <c r="BK76" s="1762"/>
      <c r="BL76" s="1762"/>
      <c r="BM76" s="1762"/>
      <c r="BN76" s="1762"/>
      <c r="BO76" s="1762"/>
      <c r="BP76" s="1762"/>
      <c r="BQ76" s="1762"/>
      <c r="BR76" s="1762"/>
      <c r="BS76" s="1762"/>
      <c r="BT76" s="1762"/>
      <c r="BU76" s="1762"/>
      <c r="BV76" s="1762"/>
      <c r="BW76" s="1762"/>
      <c r="BX76" s="1762"/>
      <c r="BY76" s="1762"/>
      <c r="BZ76" s="1762"/>
      <c r="CA76" s="1762"/>
      <c r="CB76" s="1762"/>
      <c r="CC76" s="1762"/>
      <c r="CD76" s="1762"/>
      <c r="CE76" s="1762"/>
      <c r="CF76" s="1762"/>
      <c r="CG76" s="1762"/>
      <c r="CH76" s="1762"/>
      <c r="CI76" s="1762"/>
      <c r="CJ76" s="1762"/>
      <c r="CK76" s="1762"/>
      <c r="CL76" s="1762"/>
      <c r="CM76" s="1762"/>
      <c r="CN76" s="1762"/>
      <c r="CO76" s="1762"/>
      <c r="CP76" s="1762"/>
      <c r="CQ76" s="1762"/>
      <c r="CR76" s="1762"/>
      <c r="CS76" s="1762"/>
      <c r="CT76" s="1762"/>
      <c r="CU76" s="1762"/>
      <c r="CV76" s="1762"/>
      <c r="CW76" s="1762"/>
      <c r="CX76" s="1762"/>
      <c r="CY76" s="1762"/>
      <c r="CZ76" s="1762"/>
      <c r="DA76" s="1762"/>
      <c r="DB76" s="1762"/>
      <c r="DC76" s="1762"/>
      <c r="DD76" s="1762"/>
      <c r="DE76" s="1762"/>
      <c r="DF76" s="1762"/>
      <c r="DG76" s="1762"/>
      <c r="DH76" s="1762"/>
      <c r="DI76" s="1762"/>
      <c r="DJ76" s="1762"/>
      <c r="DK76" s="1762"/>
      <c r="DL76" s="1762"/>
      <c r="DM76" s="1762"/>
      <c r="DN76" s="1762"/>
      <c r="DO76" s="1762"/>
      <c r="DP76" s="1762"/>
      <c r="DQ76" s="1762"/>
      <c r="DR76" s="1762"/>
      <c r="DS76" s="1762"/>
      <c r="DT76" s="1762"/>
      <c r="DU76" s="1762"/>
      <c r="DV76" s="1762"/>
      <c r="DW76" s="1762"/>
      <c r="DX76" s="1762"/>
      <c r="DY76" s="1762"/>
      <c r="DZ76" s="1762"/>
      <c r="EA76" s="1762"/>
      <c r="EB76" s="1762"/>
      <c r="EC76" s="1762"/>
      <c r="ED76" s="1762"/>
      <c r="EE76" s="1762"/>
      <c r="EF76" s="1762"/>
      <c r="EG76" s="1762"/>
      <c r="EH76" s="1762"/>
      <c r="EI76" s="1762"/>
      <c r="EJ76" s="1762"/>
      <c r="EK76" s="1762"/>
      <c r="EL76" s="1762"/>
      <c r="EM76" s="1762"/>
      <c r="EN76" s="1762"/>
      <c r="EO76" s="1762"/>
      <c r="EP76" s="1762"/>
      <c r="EQ76" s="1762"/>
      <c r="ER76" s="1762"/>
      <c r="ES76" s="1762"/>
      <c r="ET76" s="1762"/>
      <c r="EU76" s="1762"/>
      <c r="EV76" s="1762"/>
      <c r="EW76" s="1762"/>
      <c r="EX76" s="1762"/>
      <c r="EY76" s="1762"/>
      <c r="EZ76" s="1762"/>
      <c r="FA76" s="1762"/>
      <c r="FB76" s="1762"/>
      <c r="FC76" s="1762"/>
      <c r="FD76" s="1762"/>
      <c r="FE76" s="1762"/>
      <c r="FF76" s="1762"/>
      <c r="FG76" s="1762"/>
      <c r="FH76" s="1762"/>
      <c r="FI76" s="1762"/>
      <c r="FJ76" s="1762"/>
      <c r="FK76" s="1762"/>
      <c r="FL76" s="1762"/>
      <c r="FM76" s="1762"/>
      <c r="FN76" s="1762"/>
      <c r="FO76" s="1762"/>
      <c r="FP76" s="1762"/>
      <c r="FQ76" s="1762"/>
      <c r="FR76" s="1762"/>
      <c r="FS76" s="1762"/>
      <c r="FT76" s="1762"/>
      <c r="FU76" s="1762"/>
      <c r="FV76" s="1762"/>
      <c r="FW76" s="1762"/>
      <c r="FX76" s="1762"/>
      <c r="FY76" s="1762"/>
      <c r="FZ76" s="1762"/>
      <c r="GA76" s="1762"/>
      <c r="GB76" s="1762"/>
      <c r="GC76" s="1762"/>
      <c r="GD76" s="1762"/>
      <c r="GE76" s="1762"/>
      <c r="GF76" s="1762"/>
      <c r="GG76" s="1762"/>
      <c r="GH76" s="1762"/>
      <c r="GI76" s="1762"/>
      <c r="GJ76" s="1762"/>
      <c r="GK76" s="1762"/>
      <c r="GL76" s="1762"/>
      <c r="GM76" s="1762"/>
      <c r="GN76" s="1762"/>
      <c r="GO76" s="1762"/>
      <c r="GP76" s="1762"/>
      <c r="GQ76" s="1762"/>
      <c r="GR76" s="1762"/>
      <c r="GS76" s="1762"/>
      <c r="GT76" s="1762"/>
      <c r="GU76" s="1762"/>
      <c r="GV76" s="1762"/>
      <c r="GW76" s="1762"/>
      <c r="GX76" s="1762"/>
      <c r="GY76" s="1762"/>
      <c r="GZ76" s="1762"/>
      <c r="HA76" s="1762"/>
      <c r="HB76" s="1762"/>
      <c r="HC76" s="1762"/>
      <c r="HD76" s="1762"/>
      <c r="HE76" s="1762"/>
      <c r="HF76" s="1762"/>
      <c r="HG76" s="1762"/>
      <c r="HH76" s="1762"/>
      <c r="HI76" s="1762"/>
      <c r="HJ76" s="1762"/>
      <c r="HK76" s="1762"/>
      <c r="HL76" s="1762"/>
      <c r="HM76" s="1762"/>
      <c r="HN76" s="1762"/>
      <c r="HO76" s="1762"/>
      <c r="HP76" s="1762"/>
      <c r="HQ76" s="1762"/>
      <c r="HR76" s="1762"/>
      <c r="HS76" s="1762"/>
      <c r="HT76" s="1762"/>
      <c r="HU76" s="1762"/>
      <c r="HV76" s="1762"/>
      <c r="HW76" s="1762"/>
      <c r="HX76" s="1762"/>
      <c r="HY76" s="1762"/>
      <c r="HZ76" s="1762"/>
      <c r="IA76" s="1762"/>
      <c r="IB76" s="1762"/>
      <c r="IC76" s="1762"/>
      <c r="ID76" s="1762"/>
      <c r="IE76" s="1762"/>
      <c r="IF76" s="1762"/>
      <c r="IG76" s="1762"/>
      <c r="IH76" s="1762"/>
      <c r="II76" s="1762"/>
      <c r="IJ76" s="1762"/>
      <c r="IK76" s="1762"/>
      <c r="IL76" s="1762"/>
      <c r="IM76" s="1762"/>
      <c r="IN76" s="1762"/>
      <c r="IO76" s="1762"/>
      <c r="IP76" s="1762"/>
      <c r="IQ76" s="1762"/>
      <c r="IR76" s="1762"/>
      <c r="IS76" s="1762"/>
      <c r="IT76" s="1762"/>
      <c r="IU76" s="1762"/>
      <c r="IV76" s="1762"/>
      <c r="IW76" s="1762"/>
      <c r="IX76" s="1762"/>
      <c r="IY76" s="1762"/>
      <c r="IZ76" s="1762"/>
      <c r="JA76" s="1762"/>
      <c r="JB76" s="1762"/>
      <c r="JC76" s="1762"/>
      <c r="JD76" s="1762"/>
      <c r="JE76" s="1762"/>
      <c r="JF76" s="1762"/>
      <c r="JG76" s="1762"/>
      <c r="JH76" s="1762"/>
      <c r="JI76" s="1762"/>
      <c r="JJ76" s="1762"/>
      <c r="JK76" s="1762"/>
      <c r="JL76" s="1762"/>
      <c r="JM76" s="1762"/>
      <c r="JN76" s="1762"/>
      <c r="JO76" s="1762"/>
      <c r="JP76" s="1762"/>
      <c r="JQ76" s="1762"/>
      <c r="JR76" s="1762"/>
      <c r="JS76" s="1762"/>
      <c r="JT76" s="1762"/>
      <c r="JU76" s="1762"/>
      <c r="JV76" s="1762"/>
      <c r="JW76" s="1762"/>
      <c r="JX76" s="1762"/>
      <c r="JY76" s="1762"/>
      <c r="JZ76" s="1762"/>
      <c r="KA76" s="1762"/>
      <c r="KB76" s="1762"/>
      <c r="KC76" s="1762"/>
      <c r="KD76" s="1762"/>
      <c r="KE76" s="1762"/>
      <c r="KF76" s="1762"/>
      <c r="KG76" s="1762"/>
      <c r="KH76" s="1762"/>
      <c r="KI76" s="1762"/>
      <c r="KJ76" s="1762"/>
      <c r="KK76" s="1762"/>
      <c r="KL76" s="1762"/>
      <c r="KM76" s="1762"/>
      <c r="KN76" s="1762"/>
      <c r="KO76" s="1762"/>
      <c r="KP76" s="1762"/>
      <c r="KQ76" s="1762"/>
      <c r="KR76" s="1762"/>
      <c r="KS76" s="1762"/>
      <c r="KT76" s="1762"/>
      <c r="KU76" s="1762"/>
      <c r="KV76" s="1762"/>
      <c r="KW76" s="1762"/>
      <c r="KX76" s="1762"/>
      <c r="KY76" s="1762"/>
      <c r="KZ76" s="1762"/>
      <c r="LA76" s="1762"/>
      <c r="LB76" s="1762"/>
      <c r="LC76" s="1762"/>
      <c r="LD76" s="1762"/>
      <c r="LE76" s="1762"/>
      <c r="LF76" s="1762"/>
      <c r="LG76" s="1762"/>
      <c r="LH76" s="1762"/>
      <c r="LI76" s="1762"/>
      <c r="LJ76" s="1762"/>
      <c r="LK76" s="1762"/>
      <c r="LL76" s="1762"/>
      <c r="LM76" s="1762"/>
      <c r="LN76" s="1762"/>
      <c r="LO76" s="1762"/>
      <c r="LP76" s="1762"/>
      <c r="LQ76" s="1762"/>
      <c r="LR76" s="1762"/>
      <c r="LS76" s="1762"/>
      <c r="LT76" s="1762"/>
      <c r="LU76" s="1762"/>
      <c r="LV76" s="1762"/>
      <c r="LW76" s="1762"/>
      <c r="LX76" s="1762"/>
      <c r="LY76" s="1762"/>
      <c r="LZ76" s="1762"/>
      <c r="MA76" s="1762"/>
      <c r="MB76" s="1762"/>
      <c r="MC76" s="1762"/>
      <c r="MD76" s="1762"/>
      <c r="ME76" s="1762"/>
      <c r="MF76" s="1762"/>
      <c r="MG76" s="1762"/>
      <c r="MH76" s="1762"/>
      <c r="MI76" s="1762"/>
      <c r="MJ76" s="1762"/>
      <c r="MK76" s="1762"/>
      <c r="ML76" s="1762"/>
      <c r="MM76" s="1762"/>
      <c r="MN76" s="1762"/>
      <c r="MO76" s="1762"/>
      <c r="MP76" s="1762"/>
      <c r="MQ76" s="1762"/>
      <c r="MR76" s="1762"/>
      <c r="MS76" s="1762"/>
      <c r="MT76" s="1762"/>
      <c r="MU76" s="1762"/>
      <c r="MV76" s="1762"/>
      <c r="MW76" s="1762"/>
      <c r="MX76" s="1762"/>
      <c r="MY76" s="1762"/>
      <c r="MZ76" s="1762"/>
      <c r="NA76" s="1762"/>
      <c r="NB76" s="1762"/>
      <c r="NC76" s="1762"/>
      <c r="ND76" s="1762"/>
      <c r="NE76" s="158"/>
      <c r="NF76" s="158"/>
      <c r="NG76" s="158"/>
      <c r="NH76" s="158"/>
      <c r="NI76" s="158"/>
      <c r="NJ76" s="158"/>
      <c r="NK76" s="158"/>
      <c r="NL76" s="158"/>
      <c r="NM76" s="158"/>
      <c r="NN76" s="158"/>
      <c r="NO76" s="158"/>
      <c r="NP76" s="158"/>
      <c r="NQ76" s="158"/>
      <c r="NR76" s="158"/>
      <c r="NS76" s="158"/>
      <c r="NT76" s="158"/>
      <c r="NU76" s="158"/>
      <c r="NV76" s="158"/>
      <c r="NW76" s="158"/>
      <c r="NX76" s="158"/>
      <c r="NY76" s="158"/>
      <c r="NZ76" s="158"/>
      <c r="OA76" s="158"/>
      <c r="OB76" s="158"/>
      <c r="OC76" s="158"/>
      <c r="OD76" s="158"/>
      <c r="OE76" s="158"/>
      <c r="OF76" s="158"/>
      <c r="OG76" s="158"/>
      <c r="OH76" s="158"/>
      <c r="OI76" s="158"/>
      <c r="OJ76" s="158"/>
      <c r="OK76" s="158"/>
      <c r="OL76" s="158"/>
      <c r="OM76" s="158"/>
      <c r="ON76" s="158"/>
      <c r="OO76" s="158"/>
      <c r="OP76" s="158"/>
      <c r="OQ76" s="158"/>
      <c r="OR76" s="158"/>
      <c r="OS76" s="158"/>
      <c r="OT76" s="158"/>
      <c r="OU76" s="158"/>
      <c r="OV76" s="158"/>
      <c r="OW76" s="158"/>
      <c r="OX76" s="158"/>
      <c r="OY76" s="158"/>
      <c r="OZ76" s="158"/>
      <c r="PA76" s="158"/>
      <c r="PB76" s="158"/>
      <c r="PC76" s="158"/>
      <c r="PD76" s="158"/>
      <c r="PE76" s="158"/>
      <c r="PF76" s="158"/>
      <c r="PG76" s="158"/>
      <c r="PH76" s="158"/>
      <c r="PI76" s="158"/>
      <c r="PJ76" s="158"/>
      <c r="PK76" s="158"/>
      <c r="PL76" s="158"/>
      <c r="PM76" s="158"/>
      <c r="PN76" s="158"/>
      <c r="PO76" s="158"/>
      <c r="PP76" s="158"/>
      <c r="PQ76" s="158"/>
      <c r="PR76" s="158"/>
      <c r="PS76" s="158"/>
      <c r="PT76" s="158"/>
      <c r="PU76" s="158"/>
      <c r="PV76" s="158"/>
      <c r="PW76" s="158"/>
      <c r="PX76" s="158"/>
      <c r="PY76" s="158"/>
      <c r="PZ76" s="158"/>
      <c r="QA76" s="158"/>
      <c r="QB76" s="158"/>
      <c r="QC76" s="158"/>
      <c r="QD76" s="158"/>
      <c r="QE76" s="158"/>
      <c r="QF76" s="158"/>
      <c r="QG76" s="158"/>
      <c r="QH76" s="158"/>
      <c r="QI76" s="158"/>
      <c r="QJ76" s="158"/>
      <c r="QK76" s="158"/>
      <c r="QL76" s="158"/>
      <c r="QM76" s="158"/>
      <c r="QN76" s="158"/>
      <c r="QO76" s="158"/>
      <c r="QP76" s="158"/>
      <c r="QQ76" s="158"/>
      <c r="QR76" s="158"/>
      <c r="QS76" s="158"/>
      <c r="QT76" s="158"/>
      <c r="QU76" s="158"/>
      <c r="QV76" s="158"/>
      <c r="QW76" s="158"/>
      <c r="QX76" s="158"/>
      <c r="QY76" s="158"/>
      <c r="QZ76" s="158"/>
      <c r="RA76" s="158"/>
      <c r="RB76" s="158"/>
      <c r="RC76" s="158"/>
      <c r="RD76" s="158"/>
      <c r="RE76" s="158"/>
      <c r="RF76" s="158"/>
      <c r="RG76" s="158"/>
      <c r="RH76" s="158"/>
      <c r="RI76" s="158"/>
      <c r="RJ76" s="158"/>
      <c r="RK76" s="158"/>
      <c r="RL76" s="158"/>
      <c r="RM76" s="158"/>
      <c r="RN76" s="158"/>
      <c r="RO76" s="158"/>
      <c r="RP76" s="158"/>
      <c r="RQ76" s="158"/>
      <c r="RR76" s="158"/>
      <c r="RS76" s="158"/>
      <c r="RT76" s="158"/>
      <c r="RU76" s="158"/>
      <c r="RV76" s="158"/>
      <c r="RW76" s="158"/>
      <c r="RX76" s="158"/>
      <c r="RY76" s="158"/>
      <c r="RZ76" s="158"/>
      <c r="SA76" s="158"/>
    </row>
    <row r="77" spans="1:495" s="27" customFormat="1" ht="15.75" customHeight="1">
      <c r="B77" s="116"/>
      <c r="C77" s="204"/>
      <c r="D77" s="4047"/>
      <c r="E77" s="4047"/>
      <c r="F77" s="4047"/>
      <c r="G77" s="8"/>
      <c r="H77" s="110" t="s">
        <v>4801</v>
      </c>
      <c r="I77" s="36"/>
      <c r="J77" s="1"/>
      <c r="K77" s="4040" t="str">
        <f>IF(OR(K58=0,$P76="",K$67=0),"",$P76*K$67)</f>
        <v/>
      </c>
      <c r="L77" s="4040">
        <f>IF(OR(L58=0,$P76="",L$67=0),"",$P76*L$67)</f>
        <v>9.4444444444444446</v>
      </c>
      <c r="M77" s="4040">
        <f>IF(OR(M58=0,$P76="",M$67=0),"",$P76*M$67)</f>
        <v>24.555555555555554</v>
      </c>
      <c r="N77" s="4040" t="str">
        <f>IF(OR(N58=0,$P76="",N$67=0),"",$P76*N$67)</f>
        <v/>
      </c>
      <c r="O77" s="4040" t="str">
        <f>IF(OR(O58=0,$P76="",O$67=0),"",$P76*O$67)</f>
        <v/>
      </c>
      <c r="P77" s="4041">
        <f t="shared" ref="P77" si="365">IF(OR($P76="",P$67=0),"",$P76*P$67)</f>
        <v>34</v>
      </c>
      <c r="S77" s="4027"/>
      <c r="T77" s="4028"/>
      <c r="U77" s="4028"/>
      <c r="V77" s="4028"/>
      <c r="W77" s="4029"/>
      <c r="X77" s="1762"/>
      <c r="Y77" s="1762"/>
      <c r="Z77" s="1762"/>
      <c r="AA77" s="1762"/>
      <c r="AB77" s="1762"/>
      <c r="AC77" s="1762"/>
      <c r="AD77" s="1762"/>
      <c r="AE77" s="1762"/>
      <c r="AF77" s="1762"/>
      <c r="AG77" s="1762"/>
      <c r="AH77" s="1762"/>
      <c r="AI77" s="1762"/>
      <c r="AJ77" s="1762"/>
      <c r="AK77" s="1762"/>
      <c r="AL77" s="1762"/>
      <c r="AM77" s="1762"/>
      <c r="AN77" s="1762"/>
      <c r="AO77" s="1762"/>
      <c r="AP77" s="1762"/>
      <c r="AQ77" s="1762"/>
      <c r="AR77" s="1762"/>
      <c r="AS77" s="1762"/>
      <c r="AT77" s="1762"/>
      <c r="AU77" s="1762"/>
      <c r="AV77" s="1762"/>
      <c r="AW77" s="1762"/>
      <c r="AX77" s="1762"/>
      <c r="AY77" s="1762"/>
      <c r="AZ77" s="1762"/>
      <c r="BA77" s="1762"/>
      <c r="BB77" s="1762"/>
      <c r="BC77" s="1762"/>
      <c r="BD77" s="1762"/>
      <c r="BE77" s="1762"/>
      <c r="BF77" s="1762"/>
      <c r="BG77" s="1762"/>
      <c r="BH77" s="1762"/>
      <c r="BI77" s="1762"/>
      <c r="BJ77" s="1762"/>
      <c r="BK77" s="1762"/>
      <c r="BL77" s="1762"/>
      <c r="BM77" s="1762"/>
      <c r="BN77" s="1762"/>
      <c r="BO77" s="1762"/>
      <c r="BP77" s="1762"/>
      <c r="BQ77" s="1762"/>
      <c r="BR77" s="1762"/>
      <c r="BS77" s="1762"/>
      <c r="BT77" s="1762"/>
      <c r="BU77" s="1762"/>
      <c r="BV77" s="1762"/>
      <c r="BW77" s="1762"/>
      <c r="BX77" s="1762"/>
      <c r="BY77" s="1762"/>
      <c r="BZ77" s="1762"/>
      <c r="CA77" s="1762"/>
      <c r="CB77" s="1762"/>
      <c r="CC77" s="1762"/>
      <c r="CD77" s="1762"/>
      <c r="CE77" s="1762"/>
      <c r="CF77" s="1762"/>
      <c r="CG77" s="1762"/>
      <c r="CH77" s="1762"/>
      <c r="CI77" s="1762"/>
      <c r="CJ77" s="1762"/>
      <c r="CK77" s="1762"/>
      <c r="CL77" s="1762"/>
      <c r="CM77" s="1762"/>
      <c r="CN77" s="1762"/>
      <c r="CO77" s="1762"/>
      <c r="CP77" s="1762"/>
      <c r="CQ77" s="1762"/>
      <c r="CR77" s="1762"/>
      <c r="CS77" s="1762"/>
      <c r="CT77" s="1762"/>
      <c r="CU77" s="1762"/>
      <c r="CV77" s="1762"/>
      <c r="CW77" s="1762"/>
      <c r="CX77" s="1762"/>
      <c r="CY77" s="1762"/>
      <c r="CZ77" s="1762"/>
      <c r="DA77" s="1762"/>
      <c r="DB77" s="1762"/>
      <c r="DC77" s="1762"/>
      <c r="DD77" s="1762"/>
      <c r="DE77" s="1762"/>
      <c r="DF77" s="1762"/>
      <c r="DG77" s="1762"/>
      <c r="DH77" s="1762"/>
      <c r="DI77" s="1762"/>
      <c r="DJ77" s="1762"/>
      <c r="DK77" s="1762"/>
      <c r="DL77" s="1762"/>
      <c r="DM77" s="1762"/>
      <c r="DN77" s="1762"/>
      <c r="DO77" s="1762"/>
      <c r="DP77" s="1762"/>
      <c r="DQ77" s="1762"/>
      <c r="DR77" s="1762"/>
      <c r="DS77" s="1762"/>
      <c r="DT77" s="1762"/>
      <c r="DU77" s="1762"/>
      <c r="DV77" s="1762"/>
      <c r="DW77" s="1762"/>
      <c r="DX77" s="1762"/>
      <c r="DY77" s="1762"/>
      <c r="DZ77" s="1762"/>
      <c r="EA77" s="1762"/>
      <c r="EB77" s="1762"/>
      <c r="EC77" s="1762"/>
      <c r="ED77" s="1762"/>
      <c r="EE77" s="1762"/>
      <c r="EF77" s="1762"/>
      <c r="EG77" s="1762"/>
      <c r="EH77" s="1762"/>
      <c r="EI77" s="1762"/>
      <c r="EJ77" s="1762"/>
      <c r="EK77" s="1762"/>
      <c r="EL77" s="1762"/>
      <c r="EM77" s="1762"/>
      <c r="EN77" s="1762"/>
      <c r="EO77" s="1762"/>
      <c r="EP77" s="1762"/>
      <c r="EQ77" s="1762"/>
      <c r="ER77" s="1762"/>
      <c r="ES77" s="1762"/>
      <c r="ET77" s="1762"/>
      <c r="EU77" s="1762"/>
      <c r="EV77" s="1762"/>
      <c r="EW77" s="1762"/>
      <c r="EX77" s="1762"/>
      <c r="EY77" s="1762"/>
      <c r="EZ77" s="1762"/>
      <c r="FA77" s="1762"/>
      <c r="FB77" s="1762"/>
      <c r="FC77" s="1762"/>
      <c r="FD77" s="1762"/>
      <c r="FE77" s="1762"/>
      <c r="FF77" s="1762"/>
      <c r="FG77" s="1762"/>
      <c r="FH77" s="1762"/>
      <c r="FI77" s="1762"/>
      <c r="FJ77" s="1762"/>
      <c r="FK77" s="1762"/>
      <c r="FL77" s="1762"/>
      <c r="FM77" s="1762"/>
      <c r="FN77" s="1762"/>
      <c r="FO77" s="1762"/>
      <c r="FP77" s="1762"/>
      <c r="FQ77" s="1762"/>
      <c r="FR77" s="1762"/>
      <c r="FS77" s="1762"/>
      <c r="FT77" s="1762"/>
      <c r="FU77" s="1762"/>
      <c r="FV77" s="1762"/>
      <c r="FW77" s="1762"/>
      <c r="FX77" s="1762"/>
      <c r="FY77" s="1762"/>
      <c r="FZ77" s="1762"/>
      <c r="GA77" s="1762"/>
      <c r="GB77" s="1762"/>
      <c r="GC77" s="1762"/>
      <c r="GD77" s="1762"/>
      <c r="GE77" s="1762"/>
      <c r="GF77" s="1762"/>
      <c r="GG77" s="1762"/>
      <c r="GH77" s="1762"/>
      <c r="GI77" s="1762"/>
      <c r="GJ77" s="1762"/>
      <c r="GK77" s="1762"/>
      <c r="GL77" s="1762"/>
      <c r="GM77" s="1762"/>
      <c r="GN77" s="1762"/>
      <c r="GO77" s="1762"/>
      <c r="GP77" s="1762"/>
      <c r="GQ77" s="1762"/>
      <c r="GR77" s="1762"/>
      <c r="GS77" s="1762"/>
      <c r="GT77" s="1762"/>
      <c r="GU77" s="1762"/>
      <c r="GV77" s="1762"/>
      <c r="GW77" s="1762"/>
      <c r="GX77" s="1762"/>
      <c r="GY77" s="1762"/>
      <c r="GZ77" s="1762"/>
      <c r="HA77" s="1762"/>
      <c r="HB77" s="1762"/>
      <c r="HC77" s="1762"/>
      <c r="HD77" s="1762"/>
      <c r="HE77" s="1762"/>
      <c r="HF77" s="1762"/>
      <c r="HG77" s="1762"/>
      <c r="HH77" s="1762"/>
      <c r="HI77" s="1762"/>
      <c r="HJ77" s="1762"/>
      <c r="HK77" s="1762"/>
      <c r="HL77" s="1762"/>
      <c r="HM77" s="1762"/>
      <c r="HN77" s="1762"/>
      <c r="HO77" s="1762"/>
      <c r="HP77" s="1762"/>
      <c r="HQ77" s="1762"/>
      <c r="HR77" s="1762"/>
      <c r="HS77" s="1762"/>
      <c r="HT77" s="1762"/>
      <c r="HU77" s="1762"/>
      <c r="HV77" s="1762"/>
      <c r="HW77" s="1762"/>
      <c r="HX77" s="1762"/>
      <c r="HY77" s="1762"/>
      <c r="HZ77" s="1762"/>
      <c r="IA77" s="1762"/>
      <c r="IB77" s="1762"/>
      <c r="IC77" s="1762"/>
      <c r="ID77" s="1762"/>
      <c r="IE77" s="1762"/>
      <c r="IF77" s="1762"/>
      <c r="IG77" s="1762"/>
      <c r="IH77" s="1762"/>
      <c r="II77" s="1762"/>
      <c r="IJ77" s="1762"/>
      <c r="IK77" s="1762"/>
      <c r="IL77" s="1762"/>
      <c r="IM77" s="1762"/>
      <c r="IN77" s="1762"/>
      <c r="IO77" s="1762"/>
      <c r="IP77" s="1762"/>
      <c r="IQ77" s="1762"/>
      <c r="IR77" s="1762"/>
      <c r="IS77" s="1762"/>
      <c r="IT77" s="1762"/>
      <c r="IU77" s="1762"/>
      <c r="IV77" s="1762"/>
      <c r="IW77" s="1762"/>
      <c r="IX77" s="1762"/>
      <c r="IY77" s="1762"/>
      <c r="IZ77" s="1762"/>
      <c r="JA77" s="1762"/>
      <c r="JB77" s="1762"/>
      <c r="JC77" s="1762"/>
      <c r="JD77" s="1762"/>
      <c r="JE77" s="1762"/>
      <c r="JF77" s="1762"/>
      <c r="JG77" s="1762"/>
      <c r="JH77" s="1762"/>
      <c r="JI77" s="1762"/>
      <c r="JJ77" s="1762"/>
      <c r="JK77" s="1762"/>
      <c r="JL77" s="1762"/>
      <c r="JM77" s="1762"/>
      <c r="JN77" s="1762"/>
      <c r="JO77" s="1762"/>
      <c r="JP77" s="1762"/>
      <c r="JQ77" s="1762"/>
      <c r="JR77" s="1762"/>
      <c r="JS77" s="1762"/>
      <c r="JT77" s="1762"/>
      <c r="JU77" s="1762"/>
      <c r="JV77" s="1762"/>
      <c r="JW77" s="1762"/>
      <c r="JX77" s="1762"/>
      <c r="JY77" s="1762"/>
      <c r="JZ77" s="1762"/>
      <c r="KA77" s="1762"/>
      <c r="KB77" s="1762"/>
      <c r="KC77" s="1762"/>
      <c r="KD77" s="1762"/>
      <c r="KE77" s="1762"/>
      <c r="KF77" s="1762"/>
      <c r="KG77" s="1762"/>
      <c r="KH77" s="1762"/>
      <c r="KI77" s="1762"/>
      <c r="KJ77" s="1762"/>
      <c r="KK77" s="1762"/>
      <c r="KL77" s="1762"/>
      <c r="KM77" s="1762"/>
      <c r="KN77" s="1762"/>
      <c r="KO77" s="1762"/>
      <c r="KP77" s="1762"/>
      <c r="KQ77" s="1762"/>
      <c r="KR77" s="1762"/>
      <c r="KS77" s="1762"/>
      <c r="KT77" s="1762"/>
      <c r="KU77" s="1762"/>
      <c r="KV77" s="1762"/>
      <c r="KW77" s="1762"/>
      <c r="KX77" s="1762"/>
      <c r="KY77" s="1762"/>
      <c r="KZ77" s="1762"/>
      <c r="LA77" s="1762"/>
      <c r="LB77" s="1762"/>
      <c r="LC77" s="1762"/>
      <c r="LD77" s="1762"/>
      <c r="LE77" s="1762"/>
      <c r="LF77" s="1762"/>
      <c r="LG77" s="1762"/>
      <c r="LH77" s="1762"/>
      <c r="LI77" s="1762"/>
      <c r="LJ77" s="1762"/>
      <c r="LK77" s="1762"/>
      <c r="LL77" s="1762"/>
      <c r="LM77" s="1762"/>
      <c r="LN77" s="1762"/>
      <c r="LO77" s="1762"/>
      <c r="LP77" s="1762"/>
      <c r="LQ77" s="1762"/>
      <c r="LR77" s="1762"/>
      <c r="LS77" s="1762"/>
      <c r="LT77" s="1762"/>
      <c r="LU77" s="1762"/>
      <c r="LV77" s="1762"/>
      <c r="LW77" s="1762"/>
      <c r="LX77" s="1762"/>
      <c r="LY77" s="1762"/>
      <c r="LZ77" s="1762"/>
      <c r="MA77" s="1762"/>
      <c r="MB77" s="1762"/>
      <c r="MC77" s="1762"/>
      <c r="MD77" s="1762"/>
      <c r="ME77" s="1762"/>
      <c r="MF77" s="1762"/>
      <c r="MG77" s="1762"/>
      <c r="MH77" s="1762"/>
      <c r="MI77" s="1762"/>
      <c r="MJ77" s="1762"/>
      <c r="MK77" s="1762"/>
      <c r="ML77" s="1762"/>
      <c r="MM77" s="1762"/>
      <c r="MN77" s="1762"/>
      <c r="MO77" s="1762"/>
      <c r="MP77" s="1762"/>
      <c r="MQ77" s="1762"/>
      <c r="MR77" s="1762"/>
      <c r="MS77" s="1762"/>
      <c r="MT77" s="1762"/>
      <c r="MU77" s="1762"/>
      <c r="MV77" s="1762"/>
      <c r="MW77" s="1762"/>
      <c r="MX77" s="1762"/>
      <c r="MY77" s="1762"/>
      <c r="MZ77" s="1762"/>
      <c r="NA77" s="1762"/>
      <c r="NB77" s="1762"/>
      <c r="NC77" s="1762"/>
      <c r="ND77" s="1762"/>
      <c r="NE77" s="158"/>
      <c r="NF77" s="158"/>
      <c r="NG77" s="158"/>
      <c r="NH77" s="158"/>
      <c r="NI77" s="158"/>
      <c r="NJ77" s="158"/>
      <c r="NK77" s="158"/>
      <c r="NL77" s="158"/>
      <c r="NM77" s="158"/>
      <c r="NN77" s="158"/>
      <c r="NO77" s="158"/>
      <c r="NP77" s="158"/>
      <c r="NQ77" s="158"/>
      <c r="NR77" s="158"/>
      <c r="NS77" s="158"/>
      <c r="NT77" s="158"/>
      <c r="NU77" s="158"/>
      <c r="NV77" s="158"/>
      <c r="NW77" s="158"/>
      <c r="NX77" s="158"/>
      <c r="NY77" s="158"/>
      <c r="NZ77" s="158"/>
      <c r="OA77" s="158"/>
      <c r="OB77" s="158"/>
      <c r="OC77" s="158"/>
      <c r="OD77" s="158"/>
      <c r="OE77" s="158"/>
      <c r="OF77" s="158"/>
      <c r="OG77" s="158"/>
      <c r="OH77" s="158"/>
      <c r="OI77" s="158"/>
      <c r="OJ77" s="158"/>
      <c r="OK77" s="158"/>
      <c r="OL77" s="158"/>
      <c r="OM77" s="158"/>
      <c r="ON77" s="158"/>
      <c r="OO77" s="158"/>
      <c r="OP77" s="158"/>
      <c r="OQ77" s="158"/>
      <c r="OR77" s="158"/>
      <c r="OS77" s="158"/>
      <c r="OT77" s="158"/>
      <c r="OU77" s="158"/>
      <c r="OV77" s="158"/>
      <c r="OW77" s="158"/>
      <c r="OX77" s="158"/>
      <c r="OY77" s="158"/>
      <c r="OZ77" s="158"/>
      <c r="PA77" s="158"/>
      <c r="PB77" s="158"/>
      <c r="PC77" s="158"/>
      <c r="PD77" s="158"/>
      <c r="PE77" s="158"/>
      <c r="PF77" s="158"/>
      <c r="PG77" s="158"/>
      <c r="PH77" s="158"/>
      <c r="PI77" s="158"/>
      <c r="PJ77" s="158"/>
      <c r="PK77" s="158"/>
      <c r="PL77" s="158"/>
      <c r="PM77" s="158"/>
      <c r="PN77" s="158"/>
      <c r="PO77" s="158"/>
      <c r="PP77" s="158"/>
      <c r="PQ77" s="158"/>
      <c r="PR77" s="158"/>
      <c r="PS77" s="158"/>
      <c r="PT77" s="158"/>
      <c r="PU77" s="158"/>
      <c r="PV77" s="158"/>
      <c r="PW77" s="158"/>
      <c r="PX77" s="158"/>
      <c r="PY77" s="158"/>
      <c r="PZ77" s="158"/>
      <c r="QA77" s="158"/>
      <c r="QB77" s="158"/>
      <c r="QC77" s="158"/>
      <c r="QD77" s="158"/>
      <c r="QE77" s="158"/>
      <c r="QF77" s="158"/>
      <c r="QG77" s="158"/>
      <c r="QH77" s="158"/>
      <c r="QI77" s="158"/>
      <c r="QJ77" s="158"/>
      <c r="QK77" s="158"/>
      <c r="QL77" s="158"/>
      <c r="QM77" s="158"/>
      <c r="QN77" s="158"/>
      <c r="QO77" s="158"/>
      <c r="QP77" s="158"/>
      <c r="QQ77" s="158"/>
      <c r="QR77" s="158"/>
      <c r="QS77" s="158"/>
      <c r="QT77" s="158"/>
      <c r="QU77" s="158"/>
      <c r="QV77" s="158"/>
      <c r="QW77" s="158"/>
      <c r="QX77" s="158"/>
      <c r="QY77" s="158"/>
      <c r="QZ77" s="158"/>
      <c r="RA77" s="158"/>
      <c r="RB77" s="158"/>
      <c r="RC77" s="158"/>
      <c r="RD77" s="158"/>
      <c r="RE77" s="158"/>
      <c r="RF77" s="158"/>
      <c r="RG77" s="158"/>
      <c r="RH77" s="158"/>
      <c r="RI77" s="158"/>
      <c r="RJ77" s="158"/>
      <c r="RK77" s="158"/>
      <c r="RL77" s="158"/>
      <c r="RM77" s="158"/>
      <c r="RN77" s="158"/>
      <c r="RO77" s="158"/>
      <c r="RP77" s="158"/>
      <c r="RQ77" s="158"/>
      <c r="RR77" s="158"/>
      <c r="RS77" s="158"/>
      <c r="RT77" s="158"/>
      <c r="RU77" s="158"/>
      <c r="RV77" s="158"/>
      <c r="RW77" s="158"/>
      <c r="RX77" s="158"/>
      <c r="RY77" s="158"/>
      <c r="RZ77" s="158"/>
      <c r="SA77" s="158"/>
    </row>
    <row r="78" spans="1:495" s="27" customFormat="1" ht="15.75" customHeight="1">
      <c r="B78" s="116"/>
      <c r="C78" s="204"/>
      <c r="D78" s="831"/>
      <c r="E78" s="831"/>
      <c r="F78" s="8"/>
      <c r="G78" s="8"/>
      <c r="H78" s="4042" t="s">
        <v>4802</v>
      </c>
      <c r="I78" s="4043"/>
      <c r="J78" s="1"/>
      <c r="K78" s="4044" t="str">
        <f t="shared" ref="K78:P78" si="366">IF(OR(K77="",K58=0),"", K58-K77)</f>
        <v/>
      </c>
      <c r="L78" s="4044">
        <f t="shared" si="366"/>
        <v>-0.44444444444444464</v>
      </c>
      <c r="M78" s="4044">
        <f t="shared" si="366"/>
        <v>0.44444444444444642</v>
      </c>
      <c r="N78" s="4044" t="str">
        <f t="shared" si="366"/>
        <v/>
      </c>
      <c r="O78" s="4044" t="str">
        <f t="shared" si="366"/>
        <v/>
      </c>
      <c r="P78" s="4044">
        <f t="shared" si="366"/>
        <v>0</v>
      </c>
      <c r="X78" s="1762"/>
      <c r="Y78" s="1762"/>
      <c r="Z78" s="1762"/>
      <c r="AA78" s="1762"/>
      <c r="AB78" s="1762"/>
      <c r="AC78" s="1762"/>
      <c r="AD78" s="1762"/>
      <c r="AE78" s="1762"/>
      <c r="AF78" s="1762"/>
      <c r="AG78" s="1762"/>
      <c r="AH78" s="1762"/>
      <c r="AI78" s="1762"/>
      <c r="AJ78" s="1762"/>
      <c r="AK78" s="1762"/>
      <c r="AL78" s="1762"/>
      <c r="AM78" s="1762"/>
      <c r="AN78" s="1762"/>
      <c r="AO78" s="1762"/>
      <c r="AP78" s="1762"/>
      <c r="AQ78" s="1762"/>
      <c r="AR78" s="1762"/>
      <c r="AS78" s="1762"/>
      <c r="AT78" s="1762"/>
      <c r="AU78" s="1762"/>
      <c r="AV78" s="1762"/>
      <c r="AW78" s="1762"/>
      <c r="AX78" s="1762"/>
      <c r="AY78" s="1762"/>
      <c r="AZ78" s="1762"/>
      <c r="BA78" s="1762"/>
      <c r="BB78" s="1762"/>
      <c r="BC78" s="1762"/>
      <c r="BD78" s="1762"/>
      <c r="BE78" s="1762"/>
      <c r="BF78" s="1762"/>
      <c r="BG78" s="1762"/>
      <c r="BH78" s="1762"/>
      <c r="BI78" s="1762"/>
      <c r="BJ78" s="1762"/>
      <c r="BK78" s="1762"/>
      <c r="BL78" s="1762"/>
      <c r="BM78" s="1762"/>
      <c r="BN78" s="1762"/>
      <c r="BO78" s="1762"/>
      <c r="BP78" s="1762"/>
      <c r="BQ78" s="1762"/>
      <c r="BR78" s="1762"/>
      <c r="BS78" s="1762"/>
      <c r="BT78" s="1762"/>
      <c r="BU78" s="1762"/>
      <c r="BV78" s="1762"/>
      <c r="BW78" s="1762"/>
      <c r="BX78" s="1762"/>
      <c r="BY78" s="1762"/>
      <c r="BZ78" s="1762"/>
      <c r="CA78" s="1762"/>
      <c r="CB78" s="1762"/>
      <c r="CC78" s="1762"/>
      <c r="CD78" s="1762"/>
      <c r="CE78" s="1762"/>
      <c r="CF78" s="1762"/>
      <c r="CG78" s="1762"/>
      <c r="CH78" s="1762"/>
      <c r="CI78" s="1762"/>
      <c r="CJ78" s="1762"/>
      <c r="CK78" s="1762"/>
      <c r="CL78" s="1762"/>
      <c r="CM78" s="1762"/>
      <c r="CN78" s="1762"/>
      <c r="CO78" s="1762"/>
      <c r="CP78" s="1762"/>
      <c r="CQ78" s="1762"/>
      <c r="CR78" s="1762"/>
      <c r="CS78" s="1762"/>
      <c r="CT78" s="1762"/>
      <c r="CU78" s="1762"/>
      <c r="CV78" s="1762"/>
      <c r="CW78" s="1762"/>
      <c r="CX78" s="1762"/>
      <c r="CY78" s="1762"/>
      <c r="CZ78" s="1762"/>
      <c r="DA78" s="1762"/>
      <c r="DB78" s="1762"/>
      <c r="DC78" s="1762"/>
      <c r="DD78" s="1762"/>
      <c r="DE78" s="1762"/>
      <c r="DF78" s="1762"/>
      <c r="DG78" s="1762"/>
      <c r="DH78" s="1762"/>
      <c r="DI78" s="1762"/>
      <c r="DJ78" s="1762"/>
      <c r="DK78" s="1762"/>
      <c r="DL78" s="1762"/>
      <c r="DM78" s="1762"/>
      <c r="DN78" s="1762"/>
      <c r="DO78" s="1762"/>
      <c r="DP78" s="1762"/>
      <c r="DQ78" s="1762"/>
      <c r="DR78" s="1762"/>
      <c r="DS78" s="1762"/>
      <c r="DT78" s="1762"/>
      <c r="DU78" s="1762"/>
      <c r="DV78" s="1762"/>
      <c r="DW78" s="1762"/>
      <c r="DX78" s="1762"/>
      <c r="DY78" s="1762"/>
      <c r="DZ78" s="1762"/>
      <c r="EA78" s="1762"/>
      <c r="EB78" s="1762"/>
      <c r="EC78" s="1762"/>
      <c r="ED78" s="1762"/>
      <c r="EE78" s="1762"/>
      <c r="EF78" s="1762"/>
      <c r="EG78" s="1762"/>
      <c r="EH78" s="1762"/>
      <c r="EI78" s="1762"/>
      <c r="EJ78" s="1762"/>
      <c r="EK78" s="1762"/>
      <c r="EL78" s="1762"/>
      <c r="EM78" s="1762"/>
      <c r="EN78" s="1762"/>
      <c r="EO78" s="1762"/>
      <c r="EP78" s="1762"/>
      <c r="EQ78" s="1762"/>
      <c r="ER78" s="1762"/>
      <c r="ES78" s="1762"/>
      <c r="ET78" s="1762"/>
      <c r="EU78" s="1762"/>
      <c r="EV78" s="1762"/>
      <c r="EW78" s="1762"/>
      <c r="EX78" s="1762"/>
      <c r="EY78" s="1762"/>
      <c r="EZ78" s="1762"/>
      <c r="FA78" s="1762"/>
      <c r="FB78" s="1762"/>
      <c r="FC78" s="1762"/>
      <c r="FD78" s="1762"/>
      <c r="FE78" s="1762"/>
      <c r="FF78" s="1762"/>
      <c r="FG78" s="1762"/>
      <c r="FH78" s="1762"/>
      <c r="FI78" s="1762"/>
      <c r="FJ78" s="1762"/>
      <c r="FK78" s="1762"/>
      <c r="FL78" s="1762"/>
      <c r="FM78" s="1762"/>
      <c r="FN78" s="1762"/>
      <c r="FO78" s="1762"/>
      <c r="FP78" s="1762"/>
      <c r="FQ78" s="1762"/>
      <c r="FR78" s="1762"/>
      <c r="FS78" s="1762"/>
      <c r="FT78" s="1762"/>
      <c r="FU78" s="1762"/>
      <c r="FV78" s="1762"/>
      <c r="FW78" s="1762"/>
      <c r="FX78" s="1762"/>
      <c r="FY78" s="1762"/>
      <c r="FZ78" s="1762"/>
      <c r="GA78" s="1762"/>
      <c r="GB78" s="1762"/>
      <c r="GC78" s="1762"/>
      <c r="GD78" s="1762"/>
      <c r="GE78" s="1762"/>
      <c r="GF78" s="1762"/>
      <c r="GG78" s="1762"/>
      <c r="GH78" s="1762"/>
      <c r="GI78" s="1762"/>
      <c r="GJ78" s="1762"/>
      <c r="GK78" s="1762"/>
      <c r="GL78" s="1762"/>
      <c r="GM78" s="1762"/>
      <c r="GN78" s="1762"/>
      <c r="GO78" s="1762"/>
      <c r="GP78" s="1762"/>
      <c r="GQ78" s="1762"/>
      <c r="GR78" s="1762"/>
      <c r="GS78" s="1762"/>
      <c r="GT78" s="1762"/>
      <c r="GU78" s="1762"/>
      <c r="GV78" s="1762"/>
      <c r="GW78" s="1762"/>
      <c r="GX78" s="1762"/>
      <c r="GY78" s="1762"/>
      <c r="GZ78" s="1762"/>
      <c r="HA78" s="1762"/>
      <c r="HB78" s="1762"/>
      <c r="HC78" s="1762"/>
      <c r="HD78" s="1762"/>
      <c r="HE78" s="1762"/>
      <c r="HF78" s="1762"/>
      <c r="HG78" s="1762"/>
      <c r="HH78" s="1762"/>
      <c r="HI78" s="1762"/>
      <c r="HJ78" s="1762"/>
      <c r="HK78" s="1762"/>
      <c r="HL78" s="1762"/>
      <c r="HM78" s="1762"/>
      <c r="HN78" s="1762"/>
      <c r="HO78" s="1762"/>
      <c r="HP78" s="1762"/>
      <c r="HQ78" s="1762"/>
      <c r="HR78" s="1762"/>
      <c r="HS78" s="1762"/>
      <c r="HT78" s="1762"/>
      <c r="HU78" s="1762"/>
      <c r="HV78" s="1762"/>
      <c r="HW78" s="1762"/>
      <c r="HX78" s="1762"/>
      <c r="HY78" s="1762"/>
      <c r="HZ78" s="1762"/>
      <c r="IA78" s="1762"/>
      <c r="IB78" s="1762"/>
      <c r="IC78" s="1762"/>
      <c r="ID78" s="1762"/>
      <c r="IE78" s="1762"/>
      <c r="IF78" s="1762"/>
      <c r="IG78" s="1762"/>
      <c r="IH78" s="1762"/>
      <c r="II78" s="1762"/>
      <c r="IJ78" s="1762"/>
      <c r="IK78" s="1762"/>
      <c r="IL78" s="1762"/>
      <c r="IM78" s="1762"/>
      <c r="IN78" s="1762"/>
      <c r="IO78" s="1762"/>
      <c r="IP78" s="1762"/>
      <c r="IQ78" s="1762"/>
      <c r="IR78" s="1762"/>
      <c r="IS78" s="1762"/>
      <c r="IT78" s="1762"/>
      <c r="IU78" s="1762"/>
      <c r="IV78" s="1762"/>
      <c r="IW78" s="1762"/>
      <c r="IX78" s="1762"/>
      <c r="IY78" s="1762"/>
      <c r="IZ78" s="1762"/>
      <c r="JA78" s="1762"/>
      <c r="JB78" s="1762"/>
      <c r="JC78" s="1762"/>
      <c r="JD78" s="1762"/>
      <c r="JE78" s="1762"/>
      <c r="JF78" s="1762"/>
      <c r="JG78" s="1762"/>
      <c r="JH78" s="1762"/>
      <c r="JI78" s="1762"/>
      <c r="JJ78" s="1762"/>
      <c r="JK78" s="1762"/>
      <c r="JL78" s="1762"/>
      <c r="JM78" s="1762"/>
      <c r="JN78" s="1762"/>
      <c r="JO78" s="1762"/>
      <c r="JP78" s="1762"/>
      <c r="JQ78" s="1762"/>
      <c r="JR78" s="1762"/>
      <c r="JS78" s="1762"/>
      <c r="JT78" s="1762"/>
      <c r="JU78" s="1762"/>
      <c r="JV78" s="1762"/>
      <c r="JW78" s="1762"/>
      <c r="JX78" s="1762"/>
      <c r="JY78" s="1762"/>
      <c r="JZ78" s="1762"/>
      <c r="KA78" s="1762"/>
      <c r="KB78" s="1762"/>
      <c r="KC78" s="1762"/>
      <c r="KD78" s="1762"/>
      <c r="KE78" s="1762"/>
      <c r="KF78" s="1762"/>
      <c r="KG78" s="1762"/>
      <c r="KH78" s="1762"/>
      <c r="KI78" s="1762"/>
      <c r="KJ78" s="1762"/>
      <c r="KK78" s="1762"/>
      <c r="KL78" s="1762"/>
      <c r="KM78" s="1762"/>
      <c r="KN78" s="1762"/>
      <c r="KO78" s="1762"/>
      <c r="KP78" s="1762"/>
      <c r="KQ78" s="1762"/>
      <c r="KR78" s="1762"/>
      <c r="KS78" s="1762"/>
      <c r="KT78" s="1762"/>
      <c r="KU78" s="1762"/>
      <c r="KV78" s="1762"/>
      <c r="KW78" s="1762"/>
      <c r="KX78" s="1762"/>
      <c r="KY78" s="1762"/>
      <c r="KZ78" s="1762"/>
      <c r="LA78" s="1762"/>
      <c r="LB78" s="1762"/>
      <c r="LC78" s="1762"/>
      <c r="LD78" s="1762"/>
      <c r="LE78" s="1762"/>
      <c r="LF78" s="1762"/>
      <c r="LG78" s="1762"/>
      <c r="LH78" s="1762"/>
      <c r="LI78" s="1762"/>
      <c r="LJ78" s="1762"/>
      <c r="LK78" s="1762"/>
      <c r="LL78" s="1762"/>
      <c r="LM78" s="1762"/>
      <c r="LN78" s="1762"/>
      <c r="LO78" s="1762"/>
      <c r="LP78" s="1762"/>
      <c r="LQ78" s="1762"/>
      <c r="LR78" s="1762"/>
      <c r="LS78" s="1762"/>
      <c r="LT78" s="1762"/>
      <c r="LU78" s="1762"/>
      <c r="LV78" s="1762"/>
      <c r="LW78" s="1762"/>
      <c r="LX78" s="1762"/>
      <c r="LY78" s="1762"/>
      <c r="LZ78" s="1762"/>
      <c r="MA78" s="1762"/>
      <c r="MB78" s="1762"/>
      <c r="MC78" s="1762"/>
      <c r="MD78" s="1762"/>
      <c r="ME78" s="1762"/>
      <c r="MF78" s="1762"/>
      <c r="MG78" s="1762"/>
      <c r="MH78" s="1762"/>
      <c r="MI78" s="1762"/>
      <c r="MJ78" s="1762"/>
      <c r="MK78" s="1762"/>
      <c r="ML78" s="1762"/>
      <c r="MM78" s="1762"/>
      <c r="MN78" s="1762"/>
      <c r="MO78" s="1762"/>
      <c r="MP78" s="1762"/>
      <c r="MQ78" s="1762"/>
      <c r="MR78" s="1762"/>
      <c r="MS78" s="1762"/>
      <c r="MT78" s="1762"/>
      <c r="MU78" s="1762"/>
      <c r="MV78" s="1762"/>
      <c r="MW78" s="1762"/>
      <c r="MX78" s="1762"/>
      <c r="MY78" s="1762"/>
      <c r="MZ78" s="1762"/>
      <c r="NA78" s="1762"/>
      <c r="NB78" s="1762"/>
      <c r="NC78" s="1762"/>
      <c r="ND78" s="1762"/>
      <c r="NE78" s="158"/>
      <c r="NF78" s="158"/>
      <c r="NG78" s="158"/>
      <c r="NH78" s="158"/>
      <c r="NI78" s="158"/>
      <c r="NJ78" s="158"/>
      <c r="NK78" s="158"/>
      <c r="NL78" s="158"/>
      <c r="NM78" s="158"/>
      <c r="NN78" s="158"/>
      <c r="NO78" s="158"/>
      <c r="NP78" s="158"/>
      <c r="NQ78" s="158"/>
      <c r="NR78" s="158"/>
      <c r="NS78" s="158"/>
      <c r="NT78" s="158"/>
      <c r="NU78" s="158"/>
      <c r="NV78" s="158"/>
      <c r="NW78" s="158"/>
      <c r="NX78" s="158"/>
      <c r="NY78" s="158"/>
      <c r="NZ78" s="158"/>
      <c r="OA78" s="158"/>
      <c r="OB78" s="158"/>
      <c r="OC78" s="158"/>
      <c r="OD78" s="158"/>
      <c r="OE78" s="158"/>
      <c r="OF78" s="158"/>
      <c r="OG78" s="158"/>
      <c r="OH78" s="158"/>
      <c r="OI78" s="158"/>
      <c r="OJ78" s="158"/>
      <c r="OK78" s="158"/>
      <c r="OL78" s="158"/>
      <c r="OM78" s="158"/>
      <c r="ON78" s="158"/>
      <c r="OO78" s="158"/>
      <c r="OP78" s="158"/>
      <c r="OQ78" s="158"/>
      <c r="OR78" s="158"/>
      <c r="OS78" s="158"/>
      <c r="OT78" s="158"/>
      <c r="OU78" s="158"/>
      <c r="OV78" s="158"/>
      <c r="OW78" s="158"/>
      <c r="OX78" s="158"/>
      <c r="OY78" s="158"/>
      <c r="OZ78" s="158"/>
      <c r="PA78" s="158"/>
      <c r="PB78" s="158"/>
      <c r="PC78" s="158"/>
      <c r="PD78" s="158"/>
      <c r="PE78" s="158"/>
      <c r="PF78" s="158"/>
      <c r="PG78" s="158"/>
      <c r="PH78" s="158"/>
      <c r="PI78" s="158"/>
      <c r="PJ78" s="158"/>
      <c r="PK78" s="158"/>
      <c r="PL78" s="158"/>
      <c r="PM78" s="158"/>
      <c r="PN78" s="158"/>
      <c r="PO78" s="158"/>
      <c r="PP78" s="158"/>
      <c r="PQ78" s="158"/>
      <c r="PR78" s="158"/>
      <c r="PS78" s="158"/>
      <c r="PT78" s="158"/>
      <c r="PU78" s="158"/>
      <c r="PV78" s="158"/>
      <c r="PW78" s="158"/>
      <c r="PX78" s="158"/>
      <c r="PY78" s="158"/>
      <c r="PZ78" s="158"/>
      <c r="QA78" s="158"/>
      <c r="QB78" s="158"/>
      <c r="QC78" s="158"/>
      <c r="QD78" s="158"/>
      <c r="QE78" s="158"/>
      <c r="QF78" s="158"/>
      <c r="QG78" s="158"/>
      <c r="QH78" s="158"/>
      <c r="QI78" s="158"/>
      <c r="QJ78" s="158"/>
      <c r="QK78" s="158"/>
      <c r="QL78" s="158"/>
      <c r="QM78" s="158"/>
      <c r="QN78" s="158"/>
      <c r="QO78" s="158"/>
      <c r="QP78" s="158"/>
      <c r="QQ78" s="158"/>
      <c r="QR78" s="158"/>
      <c r="QS78" s="158"/>
      <c r="QT78" s="158"/>
      <c r="QU78" s="158"/>
      <c r="QV78" s="158"/>
      <c r="QW78" s="158"/>
      <c r="QX78" s="158"/>
      <c r="QY78" s="158"/>
      <c r="QZ78" s="158"/>
      <c r="RA78" s="158"/>
      <c r="RB78" s="158"/>
      <c r="RC78" s="158"/>
      <c r="RD78" s="158"/>
      <c r="RE78" s="158"/>
      <c r="RF78" s="158"/>
      <c r="RG78" s="158"/>
      <c r="RH78" s="158"/>
      <c r="RI78" s="158"/>
      <c r="RJ78" s="158"/>
      <c r="RK78" s="158"/>
      <c r="RL78" s="158"/>
      <c r="RM78" s="158"/>
      <c r="RN78" s="158"/>
      <c r="RO78" s="158"/>
      <c r="RP78" s="158"/>
      <c r="RQ78" s="158"/>
      <c r="RR78" s="158"/>
      <c r="RS78" s="158"/>
      <c r="RT78" s="158"/>
      <c r="RU78" s="158"/>
      <c r="RV78" s="158"/>
      <c r="RW78" s="158"/>
      <c r="RX78" s="158"/>
      <c r="RY78" s="158"/>
      <c r="RZ78" s="158"/>
      <c r="SA78" s="158"/>
    </row>
    <row r="79" spans="1:495" s="27" customFormat="1">
      <c r="B79" s="116"/>
      <c r="C79" s="204" t="s">
        <v>4777</v>
      </c>
      <c r="D79" s="4051"/>
      <c r="E79" s="4051"/>
      <c r="F79" s="8"/>
      <c r="G79" s="8"/>
      <c r="H79" s="110" t="s">
        <v>115</v>
      </c>
      <c r="I79" s="36"/>
      <c r="J79" s="1"/>
      <c r="K79" s="4048" t="str">
        <f t="shared" ref="K79:P79" si="367">IF(OR(K59=0,K$67=0),"",K59/K$67)</f>
        <v/>
      </c>
      <c r="L79" s="4049" t="str">
        <f t="shared" si="367"/>
        <v/>
      </c>
      <c r="M79" s="4049" t="str">
        <f t="shared" si="367"/>
        <v/>
      </c>
      <c r="N79" s="4049" t="str">
        <f t="shared" si="367"/>
        <v/>
      </c>
      <c r="O79" s="4049" t="str">
        <f t="shared" si="367"/>
        <v/>
      </c>
      <c r="P79" s="4050" t="str">
        <f t="shared" si="367"/>
        <v/>
      </c>
      <c r="X79" s="1762"/>
      <c r="Y79" s="1762"/>
      <c r="Z79" s="1762"/>
      <c r="AA79" s="1762"/>
      <c r="AB79" s="1762"/>
      <c r="AC79" s="1762"/>
      <c r="AD79" s="1762"/>
      <c r="AE79" s="1762"/>
      <c r="AF79" s="1762"/>
      <c r="AG79" s="1762"/>
      <c r="AH79" s="1762"/>
      <c r="AI79" s="1762"/>
      <c r="AJ79" s="1762"/>
      <c r="AK79" s="1762"/>
      <c r="AL79" s="1762"/>
      <c r="AM79" s="1762"/>
      <c r="AN79" s="1762"/>
      <c r="AO79" s="1762"/>
      <c r="AP79" s="1762"/>
      <c r="AQ79" s="1762"/>
      <c r="AR79" s="1762"/>
      <c r="AS79" s="1762"/>
      <c r="AT79" s="1762"/>
      <c r="AU79" s="1762"/>
      <c r="AV79" s="1762"/>
      <c r="AW79" s="1762"/>
      <c r="AX79" s="1762"/>
      <c r="AY79" s="1762"/>
      <c r="AZ79" s="1762"/>
      <c r="BA79" s="1762"/>
      <c r="BB79" s="1762"/>
      <c r="BC79" s="1762"/>
      <c r="BD79" s="1762"/>
      <c r="BE79" s="1762"/>
      <c r="BF79" s="1762"/>
      <c r="BG79" s="1762"/>
      <c r="BH79" s="1762"/>
      <c r="BI79" s="1762"/>
      <c r="BJ79" s="1762"/>
      <c r="BK79" s="1762"/>
      <c r="BL79" s="1762"/>
      <c r="BM79" s="1762"/>
      <c r="BN79" s="1762"/>
      <c r="BO79" s="1762"/>
      <c r="BP79" s="1762"/>
      <c r="BQ79" s="1762"/>
      <c r="BR79" s="1762"/>
      <c r="BS79" s="1762"/>
      <c r="BT79" s="1762"/>
      <c r="BU79" s="1762"/>
      <c r="BV79" s="1762"/>
      <c r="BW79" s="1762"/>
      <c r="BX79" s="1762"/>
      <c r="BY79" s="1762"/>
      <c r="BZ79" s="1762"/>
      <c r="CA79" s="1762"/>
      <c r="CB79" s="1762"/>
      <c r="CC79" s="1762"/>
      <c r="CD79" s="1762"/>
      <c r="CE79" s="1762"/>
      <c r="CF79" s="1762"/>
      <c r="CG79" s="1762"/>
      <c r="CH79" s="1762"/>
      <c r="CI79" s="1762"/>
      <c r="CJ79" s="1762"/>
      <c r="CK79" s="1762"/>
      <c r="CL79" s="1762"/>
      <c r="CM79" s="1762"/>
      <c r="CN79" s="1762"/>
      <c r="CO79" s="1762"/>
      <c r="CP79" s="1762"/>
      <c r="CQ79" s="1762"/>
      <c r="CR79" s="1762"/>
      <c r="CS79" s="1762"/>
      <c r="CT79" s="1762"/>
      <c r="CU79" s="1762"/>
      <c r="CV79" s="1762"/>
      <c r="CW79" s="1762"/>
      <c r="CX79" s="1762"/>
      <c r="CY79" s="1762"/>
      <c r="CZ79" s="1762"/>
      <c r="DA79" s="1762"/>
      <c r="DB79" s="1762"/>
      <c r="DC79" s="1762"/>
      <c r="DD79" s="1762"/>
      <c r="DE79" s="1762"/>
      <c r="DF79" s="1762"/>
      <c r="DG79" s="1762"/>
      <c r="DH79" s="1762"/>
      <c r="DI79" s="1762"/>
      <c r="DJ79" s="1762"/>
      <c r="DK79" s="1762"/>
      <c r="DL79" s="1762"/>
      <c r="DM79" s="1762"/>
      <c r="DN79" s="1762"/>
      <c r="DO79" s="1762"/>
      <c r="DP79" s="1762"/>
      <c r="DQ79" s="1762"/>
      <c r="DR79" s="1762"/>
      <c r="DS79" s="1762"/>
      <c r="DT79" s="1762"/>
      <c r="DU79" s="1762"/>
      <c r="DV79" s="1762"/>
      <c r="DW79" s="1762"/>
      <c r="DX79" s="1762"/>
      <c r="DY79" s="1762"/>
      <c r="DZ79" s="1762"/>
      <c r="EA79" s="1762"/>
      <c r="EB79" s="1762"/>
      <c r="EC79" s="1762"/>
      <c r="ED79" s="1762"/>
      <c r="EE79" s="1762"/>
      <c r="EF79" s="1762"/>
      <c r="EG79" s="1762"/>
      <c r="EH79" s="1762"/>
      <c r="EI79" s="1762"/>
      <c r="EJ79" s="1762"/>
      <c r="EK79" s="1762"/>
      <c r="EL79" s="1762"/>
      <c r="EM79" s="1762"/>
      <c r="EN79" s="1762"/>
      <c r="EO79" s="1762"/>
      <c r="EP79" s="1762"/>
      <c r="EQ79" s="1762"/>
      <c r="ER79" s="1762"/>
      <c r="ES79" s="1762"/>
      <c r="ET79" s="1762"/>
      <c r="EU79" s="1762"/>
      <c r="EV79" s="1762"/>
      <c r="EW79" s="1762"/>
      <c r="EX79" s="1762"/>
      <c r="EY79" s="1762"/>
      <c r="EZ79" s="1762"/>
      <c r="FA79" s="1762"/>
      <c r="FB79" s="1762"/>
      <c r="FC79" s="1762"/>
      <c r="FD79" s="1762"/>
      <c r="FE79" s="1762"/>
      <c r="FF79" s="1762"/>
      <c r="FG79" s="1762"/>
      <c r="FH79" s="1762"/>
      <c r="FI79" s="1762"/>
      <c r="FJ79" s="1762"/>
      <c r="FK79" s="1762"/>
      <c r="FL79" s="1762"/>
      <c r="FM79" s="1762"/>
      <c r="FN79" s="1762"/>
      <c r="FO79" s="1762"/>
      <c r="FP79" s="1762"/>
      <c r="FQ79" s="1762"/>
      <c r="FR79" s="1762"/>
      <c r="FS79" s="1762"/>
      <c r="FT79" s="1762"/>
      <c r="FU79" s="1762"/>
      <c r="FV79" s="1762"/>
      <c r="FW79" s="1762"/>
      <c r="FX79" s="1762"/>
      <c r="FY79" s="1762"/>
      <c r="FZ79" s="1762"/>
      <c r="GA79" s="1762"/>
      <c r="GB79" s="1762"/>
      <c r="GC79" s="1762"/>
      <c r="GD79" s="1762"/>
      <c r="GE79" s="1762"/>
      <c r="GF79" s="1762"/>
      <c r="GG79" s="1762"/>
      <c r="GH79" s="1762"/>
      <c r="GI79" s="1762"/>
      <c r="GJ79" s="1762"/>
      <c r="GK79" s="1762"/>
      <c r="GL79" s="1762"/>
      <c r="GM79" s="1762"/>
      <c r="GN79" s="1762"/>
      <c r="GO79" s="1762"/>
      <c r="GP79" s="1762"/>
      <c r="GQ79" s="1762"/>
      <c r="GR79" s="1762"/>
      <c r="GS79" s="1762"/>
      <c r="GT79" s="1762"/>
      <c r="GU79" s="1762"/>
      <c r="GV79" s="1762"/>
      <c r="GW79" s="1762"/>
      <c r="GX79" s="1762"/>
      <c r="GY79" s="1762"/>
      <c r="GZ79" s="1762"/>
      <c r="HA79" s="1762"/>
      <c r="HB79" s="1762"/>
      <c r="HC79" s="1762"/>
      <c r="HD79" s="1762"/>
      <c r="HE79" s="1762"/>
      <c r="HF79" s="1762"/>
      <c r="HG79" s="1762"/>
      <c r="HH79" s="1762"/>
      <c r="HI79" s="1762"/>
      <c r="HJ79" s="1762"/>
      <c r="HK79" s="1762"/>
      <c r="HL79" s="1762"/>
      <c r="HM79" s="1762"/>
      <c r="HN79" s="1762"/>
      <c r="HO79" s="1762"/>
      <c r="HP79" s="1762"/>
      <c r="HQ79" s="1762"/>
      <c r="HR79" s="1762"/>
      <c r="HS79" s="1762"/>
      <c r="HT79" s="1762"/>
      <c r="HU79" s="1762"/>
      <c r="HV79" s="1762"/>
      <c r="HW79" s="1762"/>
      <c r="HX79" s="1762"/>
      <c r="HY79" s="1762"/>
      <c r="HZ79" s="1762"/>
      <c r="IA79" s="1762"/>
      <c r="IB79" s="1762"/>
      <c r="IC79" s="1762"/>
      <c r="ID79" s="1762"/>
      <c r="IE79" s="1762"/>
      <c r="IF79" s="1762"/>
      <c r="IG79" s="1762"/>
      <c r="IH79" s="1762"/>
      <c r="II79" s="1762"/>
      <c r="IJ79" s="1762"/>
      <c r="IK79" s="1762"/>
      <c r="IL79" s="1762"/>
      <c r="IM79" s="1762"/>
      <c r="IN79" s="1762"/>
      <c r="IO79" s="1762"/>
      <c r="IP79" s="1762"/>
      <c r="IQ79" s="1762"/>
      <c r="IR79" s="1762"/>
      <c r="IS79" s="1762"/>
      <c r="IT79" s="1762"/>
      <c r="IU79" s="1762"/>
      <c r="IV79" s="1762"/>
      <c r="IW79" s="1762"/>
      <c r="IX79" s="1762"/>
      <c r="IY79" s="1762"/>
      <c r="IZ79" s="1762"/>
      <c r="JA79" s="1762"/>
      <c r="JB79" s="1762"/>
      <c r="JC79" s="1762"/>
      <c r="JD79" s="1762"/>
      <c r="JE79" s="1762"/>
      <c r="JF79" s="1762"/>
      <c r="JG79" s="1762"/>
      <c r="JH79" s="1762"/>
      <c r="JI79" s="1762"/>
      <c r="JJ79" s="1762"/>
      <c r="JK79" s="1762"/>
      <c r="JL79" s="1762"/>
      <c r="JM79" s="1762"/>
      <c r="JN79" s="1762"/>
      <c r="JO79" s="1762"/>
      <c r="JP79" s="1762"/>
      <c r="JQ79" s="1762"/>
      <c r="JR79" s="1762"/>
      <c r="JS79" s="1762"/>
      <c r="JT79" s="1762"/>
      <c r="JU79" s="1762"/>
      <c r="JV79" s="1762"/>
      <c r="JW79" s="1762"/>
      <c r="JX79" s="1762"/>
      <c r="JY79" s="1762"/>
      <c r="JZ79" s="1762"/>
      <c r="KA79" s="1762"/>
      <c r="KB79" s="1762"/>
      <c r="KC79" s="1762"/>
      <c r="KD79" s="1762"/>
      <c r="KE79" s="1762"/>
      <c r="KF79" s="1762"/>
      <c r="KG79" s="1762"/>
      <c r="KH79" s="1762"/>
      <c r="KI79" s="1762"/>
      <c r="KJ79" s="1762"/>
      <c r="KK79" s="1762"/>
      <c r="KL79" s="1762"/>
      <c r="KM79" s="1762"/>
      <c r="KN79" s="1762"/>
      <c r="KO79" s="1762"/>
      <c r="KP79" s="1762"/>
      <c r="KQ79" s="1762"/>
      <c r="KR79" s="1762"/>
      <c r="KS79" s="1762"/>
      <c r="KT79" s="1762"/>
      <c r="KU79" s="1762"/>
      <c r="KV79" s="1762"/>
      <c r="KW79" s="1762"/>
      <c r="KX79" s="1762"/>
      <c r="KY79" s="1762"/>
      <c r="KZ79" s="1762"/>
      <c r="LA79" s="1762"/>
      <c r="LB79" s="1762"/>
      <c r="LC79" s="1762"/>
      <c r="LD79" s="1762"/>
      <c r="LE79" s="1762"/>
      <c r="LF79" s="1762"/>
      <c r="LG79" s="1762"/>
      <c r="LH79" s="1762"/>
      <c r="LI79" s="1762"/>
      <c r="LJ79" s="1762"/>
      <c r="LK79" s="1762"/>
      <c r="LL79" s="1762"/>
      <c r="LM79" s="1762"/>
      <c r="LN79" s="1762"/>
      <c r="LO79" s="1762"/>
      <c r="LP79" s="1762"/>
      <c r="LQ79" s="1762"/>
      <c r="LR79" s="1762"/>
      <c r="LS79" s="1762"/>
      <c r="LT79" s="1762"/>
      <c r="LU79" s="1762"/>
      <c r="LV79" s="1762"/>
      <c r="LW79" s="1762"/>
      <c r="LX79" s="1762"/>
      <c r="LY79" s="1762"/>
      <c r="LZ79" s="1762"/>
      <c r="MA79" s="1762"/>
      <c r="MB79" s="1762"/>
      <c r="MC79" s="1762"/>
      <c r="MD79" s="1762"/>
      <c r="ME79" s="1762"/>
      <c r="MF79" s="1762"/>
      <c r="MG79" s="1762"/>
      <c r="MH79" s="1762"/>
      <c r="MI79" s="1762"/>
      <c r="MJ79" s="1762"/>
      <c r="MK79" s="1762"/>
      <c r="ML79" s="1762"/>
      <c r="MM79" s="1762"/>
      <c r="MN79" s="1762"/>
      <c r="MO79" s="1762"/>
      <c r="MP79" s="1762"/>
      <c r="MQ79" s="1762"/>
      <c r="MR79" s="1762"/>
      <c r="MS79" s="1762"/>
      <c r="MT79" s="1762"/>
      <c r="MU79" s="1762"/>
      <c r="MV79" s="1762"/>
      <c r="MW79" s="1762"/>
      <c r="MX79" s="1762"/>
      <c r="MY79" s="1762"/>
      <c r="MZ79" s="1762"/>
      <c r="NA79" s="1762"/>
      <c r="NB79" s="1762"/>
      <c r="NC79" s="1762"/>
      <c r="ND79" s="1762"/>
      <c r="NE79" s="158"/>
      <c r="NF79" s="158"/>
      <c r="NG79" s="158"/>
      <c r="NH79" s="158"/>
      <c r="NI79" s="158"/>
      <c r="NJ79" s="158"/>
      <c r="NK79" s="158"/>
      <c r="NL79" s="158"/>
      <c r="NM79" s="158"/>
      <c r="NN79" s="158"/>
      <c r="NO79" s="158"/>
      <c r="NP79" s="158"/>
      <c r="NQ79" s="158"/>
      <c r="NR79" s="158"/>
      <c r="NS79" s="158"/>
      <c r="NT79" s="158"/>
      <c r="NU79" s="158"/>
      <c r="NV79" s="158"/>
      <c r="NW79" s="158"/>
      <c r="NX79" s="158"/>
      <c r="NY79" s="158"/>
      <c r="NZ79" s="158"/>
      <c r="OA79" s="158"/>
      <c r="OB79" s="158"/>
      <c r="OC79" s="158"/>
      <c r="OD79" s="158"/>
      <c r="OE79" s="158"/>
      <c r="OF79" s="158"/>
      <c r="OG79" s="158"/>
      <c r="OH79" s="158"/>
      <c r="OI79" s="158"/>
      <c r="OJ79" s="158"/>
      <c r="OK79" s="158"/>
      <c r="OL79" s="158"/>
      <c r="OM79" s="158"/>
      <c r="ON79" s="158"/>
      <c r="OO79" s="158"/>
      <c r="OP79" s="158"/>
      <c r="OQ79" s="158"/>
      <c r="OR79" s="158"/>
      <c r="OS79" s="158"/>
      <c r="OT79" s="158"/>
      <c r="OU79" s="158"/>
      <c r="OV79" s="158"/>
      <c r="OW79" s="158"/>
      <c r="OX79" s="158"/>
      <c r="OY79" s="158"/>
      <c r="OZ79" s="158"/>
      <c r="PA79" s="158"/>
      <c r="PB79" s="158"/>
      <c r="PC79" s="158"/>
      <c r="PD79" s="158"/>
      <c r="PE79" s="158"/>
      <c r="PF79" s="158"/>
      <c r="PG79" s="158"/>
      <c r="PH79" s="158"/>
      <c r="PI79" s="158"/>
      <c r="PJ79" s="158"/>
      <c r="PK79" s="158"/>
      <c r="PL79" s="158"/>
      <c r="PM79" s="158"/>
      <c r="PN79" s="158"/>
      <c r="PO79" s="158"/>
      <c r="PP79" s="158"/>
      <c r="PQ79" s="158"/>
      <c r="PR79" s="158"/>
      <c r="PS79" s="158"/>
      <c r="PT79" s="158"/>
      <c r="PU79" s="158"/>
      <c r="PV79" s="158"/>
      <c r="PW79" s="158"/>
      <c r="PX79" s="158"/>
      <c r="PY79" s="158"/>
      <c r="PZ79" s="158"/>
      <c r="QA79" s="158"/>
      <c r="QB79" s="158"/>
      <c r="QC79" s="158"/>
      <c r="QD79" s="158"/>
      <c r="QE79" s="158"/>
      <c r="QF79" s="158"/>
      <c r="QG79" s="158"/>
      <c r="QH79" s="158"/>
      <c r="QI79" s="158"/>
      <c r="QJ79" s="158"/>
      <c r="QK79" s="158"/>
      <c r="QL79" s="158"/>
      <c r="QM79" s="158"/>
      <c r="QN79" s="158"/>
      <c r="QO79" s="158"/>
      <c r="QP79" s="158"/>
      <c r="QQ79" s="158"/>
      <c r="QR79" s="158"/>
      <c r="QS79" s="158"/>
      <c r="QT79" s="158"/>
      <c r="QU79" s="158"/>
      <c r="QV79" s="158"/>
      <c r="QW79" s="158"/>
      <c r="QX79" s="158"/>
      <c r="QY79" s="158"/>
      <c r="QZ79" s="158"/>
      <c r="RA79" s="158"/>
      <c r="RB79" s="158"/>
      <c r="RC79" s="158"/>
      <c r="RD79" s="158"/>
      <c r="RE79" s="158"/>
      <c r="RF79" s="158"/>
      <c r="RG79" s="158"/>
      <c r="RH79" s="158"/>
      <c r="RI79" s="158"/>
      <c r="RJ79" s="158"/>
      <c r="RK79" s="158"/>
      <c r="RL79" s="158"/>
      <c r="RM79" s="158"/>
      <c r="RN79" s="158"/>
      <c r="RO79" s="158"/>
      <c r="RP79" s="158"/>
      <c r="RQ79" s="158"/>
      <c r="RR79" s="158"/>
      <c r="RS79" s="158"/>
      <c r="RT79" s="158"/>
      <c r="RU79" s="158"/>
      <c r="RV79" s="158"/>
      <c r="RW79" s="158"/>
      <c r="RX79" s="158"/>
      <c r="RY79" s="158"/>
      <c r="RZ79" s="158"/>
      <c r="SA79" s="158"/>
    </row>
    <row r="80" spans="1:495" s="27" customFormat="1">
      <c r="B80" s="116"/>
      <c r="C80" s="204"/>
      <c r="D80" s="4051"/>
      <c r="E80" s="4051"/>
      <c r="F80" s="8"/>
      <c r="G80" s="8"/>
      <c r="H80" s="110" t="s">
        <v>4801</v>
      </c>
      <c r="I80" s="36"/>
      <c r="J80" s="1"/>
      <c r="K80" s="4040" t="str">
        <f>IF(OR(K59=0,$P79="",K$67=0),"",$P79*K$67)</f>
        <v/>
      </c>
      <c r="L80" s="4040" t="str">
        <f>IF(OR(L59=0,$P79="",L$67=0),"",$P79*L$67)</f>
        <v/>
      </c>
      <c r="M80" s="4040" t="str">
        <f>IF(OR(M59=0,$P79="",M$67=0),"",$P79*M$67)</f>
        <v/>
      </c>
      <c r="N80" s="4040" t="str">
        <f>IF(OR(N59=0,$P79="",N$67=0),"",$P79*N$67)</f>
        <v/>
      </c>
      <c r="O80" s="4040" t="str">
        <f>IF(OR(O59=0,$P79="",O$67=0),"",$P79*O$67)</f>
        <v/>
      </c>
      <c r="P80" s="4041" t="str">
        <f t="shared" ref="P80" si="368">IF(OR($P79="",P$67=0),"",$P79*P$67)</f>
        <v/>
      </c>
      <c r="X80" s="1762"/>
      <c r="Y80" s="1762"/>
      <c r="Z80" s="1762"/>
      <c r="AA80" s="1762"/>
      <c r="AB80" s="1762"/>
      <c r="AC80" s="1762"/>
      <c r="AD80" s="1762"/>
      <c r="AE80" s="1762"/>
      <c r="AF80" s="1762"/>
      <c r="AG80" s="1762"/>
      <c r="AH80" s="1762"/>
      <c r="AI80" s="1762"/>
      <c r="AJ80" s="1762"/>
      <c r="AK80" s="1762"/>
      <c r="AL80" s="1762"/>
      <c r="AM80" s="1762"/>
      <c r="AN80" s="1762"/>
      <c r="AO80" s="1762"/>
      <c r="AP80" s="1762"/>
      <c r="AQ80" s="1762"/>
      <c r="AR80" s="1762"/>
      <c r="AS80" s="1762"/>
      <c r="AT80" s="1762"/>
      <c r="AU80" s="1762"/>
      <c r="AV80" s="1762"/>
      <c r="AW80" s="1762"/>
      <c r="AX80" s="1762"/>
      <c r="AY80" s="1762"/>
      <c r="AZ80" s="1762"/>
      <c r="BA80" s="1762"/>
      <c r="BB80" s="1762"/>
      <c r="BC80" s="1762"/>
      <c r="BD80" s="1762"/>
      <c r="BE80" s="1762"/>
      <c r="BF80" s="1762"/>
      <c r="BG80" s="1762"/>
      <c r="BH80" s="1762"/>
      <c r="BI80" s="1762"/>
      <c r="BJ80" s="1762"/>
      <c r="BK80" s="1762"/>
      <c r="BL80" s="1762"/>
      <c r="BM80" s="1762"/>
      <c r="BN80" s="1762"/>
      <c r="BO80" s="1762"/>
      <c r="BP80" s="1762"/>
      <c r="BQ80" s="1762"/>
      <c r="BR80" s="1762"/>
      <c r="BS80" s="1762"/>
      <c r="BT80" s="1762"/>
      <c r="BU80" s="1762"/>
      <c r="BV80" s="1762"/>
      <c r="BW80" s="1762"/>
      <c r="BX80" s="1762"/>
      <c r="BY80" s="1762"/>
      <c r="BZ80" s="1762"/>
      <c r="CA80" s="1762"/>
      <c r="CB80" s="1762"/>
      <c r="CC80" s="1762"/>
      <c r="CD80" s="1762"/>
      <c r="CE80" s="1762"/>
      <c r="CF80" s="1762"/>
      <c r="CG80" s="1762"/>
      <c r="CH80" s="1762"/>
      <c r="CI80" s="1762"/>
      <c r="CJ80" s="1762"/>
      <c r="CK80" s="1762"/>
      <c r="CL80" s="1762"/>
      <c r="CM80" s="1762"/>
      <c r="CN80" s="1762"/>
      <c r="CO80" s="1762"/>
      <c r="CP80" s="1762"/>
      <c r="CQ80" s="1762"/>
      <c r="CR80" s="1762"/>
      <c r="CS80" s="1762"/>
      <c r="CT80" s="1762"/>
      <c r="CU80" s="1762"/>
      <c r="CV80" s="1762"/>
      <c r="CW80" s="1762"/>
      <c r="CX80" s="1762"/>
      <c r="CY80" s="1762"/>
      <c r="CZ80" s="1762"/>
      <c r="DA80" s="1762"/>
      <c r="DB80" s="1762"/>
      <c r="DC80" s="1762"/>
      <c r="DD80" s="1762"/>
      <c r="DE80" s="1762"/>
      <c r="DF80" s="1762"/>
      <c r="DG80" s="1762"/>
      <c r="DH80" s="1762"/>
      <c r="DI80" s="1762"/>
      <c r="DJ80" s="1762"/>
      <c r="DK80" s="1762"/>
      <c r="DL80" s="1762"/>
      <c r="DM80" s="1762"/>
      <c r="DN80" s="1762"/>
      <c r="DO80" s="1762"/>
      <c r="DP80" s="1762"/>
      <c r="DQ80" s="1762"/>
      <c r="DR80" s="1762"/>
      <c r="DS80" s="1762"/>
      <c r="DT80" s="1762"/>
      <c r="DU80" s="1762"/>
      <c r="DV80" s="1762"/>
      <c r="DW80" s="1762"/>
      <c r="DX80" s="1762"/>
      <c r="DY80" s="1762"/>
      <c r="DZ80" s="1762"/>
      <c r="EA80" s="1762"/>
      <c r="EB80" s="1762"/>
      <c r="EC80" s="1762"/>
      <c r="ED80" s="1762"/>
      <c r="EE80" s="1762"/>
      <c r="EF80" s="1762"/>
      <c r="EG80" s="1762"/>
      <c r="EH80" s="1762"/>
      <c r="EI80" s="1762"/>
      <c r="EJ80" s="1762"/>
      <c r="EK80" s="1762"/>
      <c r="EL80" s="1762"/>
      <c r="EM80" s="1762"/>
      <c r="EN80" s="1762"/>
      <c r="EO80" s="1762"/>
      <c r="EP80" s="1762"/>
      <c r="EQ80" s="1762"/>
      <c r="ER80" s="1762"/>
      <c r="ES80" s="1762"/>
      <c r="ET80" s="1762"/>
      <c r="EU80" s="1762"/>
      <c r="EV80" s="1762"/>
      <c r="EW80" s="1762"/>
      <c r="EX80" s="1762"/>
      <c r="EY80" s="1762"/>
      <c r="EZ80" s="1762"/>
      <c r="FA80" s="1762"/>
      <c r="FB80" s="1762"/>
      <c r="FC80" s="1762"/>
      <c r="FD80" s="1762"/>
      <c r="FE80" s="1762"/>
      <c r="FF80" s="1762"/>
      <c r="FG80" s="1762"/>
      <c r="FH80" s="1762"/>
      <c r="FI80" s="1762"/>
      <c r="FJ80" s="1762"/>
      <c r="FK80" s="1762"/>
      <c r="FL80" s="1762"/>
      <c r="FM80" s="1762"/>
      <c r="FN80" s="1762"/>
      <c r="FO80" s="1762"/>
      <c r="FP80" s="1762"/>
      <c r="FQ80" s="1762"/>
      <c r="FR80" s="1762"/>
      <c r="FS80" s="1762"/>
      <c r="FT80" s="1762"/>
      <c r="FU80" s="1762"/>
      <c r="FV80" s="1762"/>
      <c r="FW80" s="1762"/>
      <c r="FX80" s="1762"/>
      <c r="FY80" s="1762"/>
      <c r="FZ80" s="1762"/>
      <c r="GA80" s="1762"/>
      <c r="GB80" s="1762"/>
      <c r="GC80" s="1762"/>
      <c r="GD80" s="1762"/>
      <c r="GE80" s="1762"/>
      <c r="GF80" s="1762"/>
      <c r="GG80" s="1762"/>
      <c r="GH80" s="1762"/>
      <c r="GI80" s="1762"/>
      <c r="GJ80" s="1762"/>
      <c r="GK80" s="1762"/>
      <c r="GL80" s="1762"/>
      <c r="GM80" s="1762"/>
      <c r="GN80" s="1762"/>
      <c r="GO80" s="1762"/>
      <c r="GP80" s="1762"/>
      <c r="GQ80" s="1762"/>
      <c r="GR80" s="1762"/>
      <c r="GS80" s="1762"/>
      <c r="GT80" s="1762"/>
      <c r="GU80" s="1762"/>
      <c r="GV80" s="1762"/>
      <c r="GW80" s="1762"/>
      <c r="GX80" s="1762"/>
      <c r="GY80" s="1762"/>
      <c r="GZ80" s="1762"/>
      <c r="HA80" s="1762"/>
      <c r="HB80" s="1762"/>
      <c r="HC80" s="1762"/>
      <c r="HD80" s="1762"/>
      <c r="HE80" s="1762"/>
      <c r="HF80" s="1762"/>
      <c r="HG80" s="1762"/>
      <c r="HH80" s="1762"/>
      <c r="HI80" s="1762"/>
      <c r="HJ80" s="1762"/>
      <c r="HK80" s="1762"/>
      <c r="HL80" s="1762"/>
      <c r="HM80" s="1762"/>
      <c r="HN80" s="1762"/>
      <c r="HO80" s="1762"/>
      <c r="HP80" s="1762"/>
      <c r="HQ80" s="1762"/>
      <c r="HR80" s="1762"/>
      <c r="HS80" s="1762"/>
      <c r="HT80" s="1762"/>
      <c r="HU80" s="1762"/>
      <c r="HV80" s="1762"/>
      <c r="HW80" s="1762"/>
      <c r="HX80" s="1762"/>
      <c r="HY80" s="1762"/>
      <c r="HZ80" s="1762"/>
      <c r="IA80" s="1762"/>
      <c r="IB80" s="1762"/>
      <c r="IC80" s="1762"/>
      <c r="ID80" s="1762"/>
      <c r="IE80" s="1762"/>
      <c r="IF80" s="1762"/>
      <c r="IG80" s="1762"/>
      <c r="IH80" s="1762"/>
      <c r="II80" s="1762"/>
      <c r="IJ80" s="1762"/>
      <c r="IK80" s="1762"/>
      <c r="IL80" s="1762"/>
      <c r="IM80" s="1762"/>
      <c r="IN80" s="1762"/>
      <c r="IO80" s="1762"/>
      <c r="IP80" s="1762"/>
      <c r="IQ80" s="1762"/>
      <c r="IR80" s="1762"/>
      <c r="IS80" s="1762"/>
      <c r="IT80" s="1762"/>
      <c r="IU80" s="1762"/>
      <c r="IV80" s="1762"/>
      <c r="IW80" s="1762"/>
      <c r="IX80" s="1762"/>
      <c r="IY80" s="1762"/>
      <c r="IZ80" s="1762"/>
      <c r="JA80" s="1762"/>
      <c r="JB80" s="1762"/>
      <c r="JC80" s="1762"/>
      <c r="JD80" s="1762"/>
      <c r="JE80" s="1762"/>
      <c r="JF80" s="1762"/>
      <c r="JG80" s="1762"/>
      <c r="JH80" s="1762"/>
      <c r="JI80" s="1762"/>
      <c r="JJ80" s="1762"/>
      <c r="JK80" s="1762"/>
      <c r="JL80" s="1762"/>
      <c r="JM80" s="1762"/>
      <c r="JN80" s="1762"/>
      <c r="JO80" s="1762"/>
      <c r="JP80" s="1762"/>
      <c r="JQ80" s="1762"/>
      <c r="JR80" s="1762"/>
      <c r="JS80" s="1762"/>
      <c r="JT80" s="1762"/>
      <c r="JU80" s="1762"/>
      <c r="JV80" s="1762"/>
      <c r="JW80" s="1762"/>
      <c r="JX80" s="1762"/>
      <c r="JY80" s="1762"/>
      <c r="JZ80" s="1762"/>
      <c r="KA80" s="1762"/>
      <c r="KB80" s="1762"/>
      <c r="KC80" s="1762"/>
      <c r="KD80" s="1762"/>
      <c r="KE80" s="1762"/>
      <c r="KF80" s="1762"/>
      <c r="KG80" s="1762"/>
      <c r="KH80" s="1762"/>
      <c r="KI80" s="1762"/>
      <c r="KJ80" s="1762"/>
      <c r="KK80" s="1762"/>
      <c r="KL80" s="1762"/>
      <c r="KM80" s="1762"/>
      <c r="KN80" s="1762"/>
      <c r="KO80" s="1762"/>
      <c r="KP80" s="1762"/>
      <c r="KQ80" s="1762"/>
      <c r="KR80" s="1762"/>
      <c r="KS80" s="1762"/>
      <c r="KT80" s="1762"/>
      <c r="KU80" s="1762"/>
      <c r="KV80" s="1762"/>
      <c r="KW80" s="1762"/>
      <c r="KX80" s="1762"/>
      <c r="KY80" s="1762"/>
      <c r="KZ80" s="1762"/>
      <c r="LA80" s="1762"/>
      <c r="LB80" s="1762"/>
      <c r="LC80" s="1762"/>
      <c r="LD80" s="1762"/>
      <c r="LE80" s="1762"/>
      <c r="LF80" s="1762"/>
      <c r="LG80" s="1762"/>
      <c r="LH80" s="1762"/>
      <c r="LI80" s="1762"/>
      <c r="LJ80" s="1762"/>
      <c r="LK80" s="1762"/>
      <c r="LL80" s="1762"/>
      <c r="LM80" s="1762"/>
      <c r="LN80" s="1762"/>
      <c r="LO80" s="1762"/>
      <c r="LP80" s="1762"/>
      <c r="LQ80" s="1762"/>
      <c r="LR80" s="1762"/>
      <c r="LS80" s="1762"/>
      <c r="LT80" s="1762"/>
      <c r="LU80" s="1762"/>
      <c r="LV80" s="1762"/>
      <c r="LW80" s="1762"/>
      <c r="LX80" s="1762"/>
      <c r="LY80" s="1762"/>
      <c r="LZ80" s="1762"/>
      <c r="MA80" s="1762"/>
      <c r="MB80" s="1762"/>
      <c r="MC80" s="1762"/>
      <c r="MD80" s="1762"/>
      <c r="ME80" s="1762"/>
      <c r="MF80" s="1762"/>
      <c r="MG80" s="1762"/>
      <c r="MH80" s="1762"/>
      <c r="MI80" s="1762"/>
      <c r="MJ80" s="1762"/>
      <c r="MK80" s="1762"/>
      <c r="ML80" s="1762"/>
      <c r="MM80" s="1762"/>
      <c r="MN80" s="1762"/>
      <c r="MO80" s="1762"/>
      <c r="MP80" s="1762"/>
      <c r="MQ80" s="1762"/>
      <c r="MR80" s="1762"/>
      <c r="MS80" s="1762"/>
      <c r="MT80" s="1762"/>
      <c r="MU80" s="1762"/>
      <c r="MV80" s="1762"/>
      <c r="MW80" s="1762"/>
      <c r="MX80" s="1762"/>
      <c r="MY80" s="1762"/>
      <c r="MZ80" s="1762"/>
      <c r="NA80" s="1762"/>
      <c r="NB80" s="1762"/>
      <c r="NC80" s="1762"/>
      <c r="ND80" s="1762"/>
      <c r="NE80" s="158"/>
      <c r="NF80" s="158"/>
      <c r="NG80" s="158"/>
      <c r="NH80" s="158"/>
      <c r="NI80" s="158"/>
      <c r="NJ80" s="158"/>
      <c r="NK80" s="158"/>
      <c r="NL80" s="158"/>
      <c r="NM80" s="158"/>
      <c r="NN80" s="158"/>
      <c r="NO80" s="158"/>
      <c r="NP80" s="158"/>
      <c r="NQ80" s="158"/>
      <c r="NR80" s="158"/>
      <c r="NS80" s="158"/>
      <c r="NT80" s="158"/>
      <c r="NU80" s="158"/>
      <c r="NV80" s="158"/>
      <c r="NW80" s="158"/>
      <c r="NX80" s="158"/>
      <c r="NY80" s="158"/>
      <c r="NZ80" s="158"/>
      <c r="OA80" s="158"/>
      <c r="OB80" s="158"/>
      <c r="OC80" s="158"/>
      <c r="OD80" s="158"/>
      <c r="OE80" s="158"/>
      <c r="OF80" s="158"/>
      <c r="OG80" s="158"/>
      <c r="OH80" s="158"/>
      <c r="OI80" s="158"/>
      <c r="OJ80" s="158"/>
      <c r="OK80" s="158"/>
      <c r="OL80" s="158"/>
      <c r="OM80" s="158"/>
      <c r="ON80" s="158"/>
      <c r="OO80" s="158"/>
      <c r="OP80" s="158"/>
      <c r="OQ80" s="158"/>
      <c r="OR80" s="158"/>
      <c r="OS80" s="158"/>
      <c r="OT80" s="158"/>
      <c r="OU80" s="158"/>
      <c r="OV80" s="158"/>
      <c r="OW80" s="158"/>
      <c r="OX80" s="158"/>
      <c r="OY80" s="158"/>
      <c r="OZ80" s="158"/>
      <c r="PA80" s="158"/>
      <c r="PB80" s="158"/>
      <c r="PC80" s="158"/>
      <c r="PD80" s="158"/>
      <c r="PE80" s="158"/>
      <c r="PF80" s="158"/>
      <c r="PG80" s="158"/>
      <c r="PH80" s="158"/>
      <c r="PI80" s="158"/>
      <c r="PJ80" s="158"/>
      <c r="PK80" s="158"/>
      <c r="PL80" s="158"/>
      <c r="PM80" s="158"/>
      <c r="PN80" s="158"/>
      <c r="PO80" s="158"/>
      <c r="PP80" s="158"/>
      <c r="PQ80" s="158"/>
      <c r="PR80" s="158"/>
      <c r="PS80" s="158"/>
      <c r="PT80" s="158"/>
      <c r="PU80" s="158"/>
      <c r="PV80" s="158"/>
      <c r="PW80" s="158"/>
      <c r="PX80" s="158"/>
      <c r="PY80" s="158"/>
      <c r="PZ80" s="158"/>
      <c r="QA80" s="158"/>
      <c r="QB80" s="158"/>
      <c r="QC80" s="158"/>
      <c r="QD80" s="158"/>
      <c r="QE80" s="158"/>
      <c r="QF80" s="158"/>
      <c r="QG80" s="158"/>
      <c r="QH80" s="158"/>
      <c r="QI80" s="158"/>
      <c r="QJ80" s="158"/>
      <c r="QK80" s="158"/>
      <c r="QL80" s="158"/>
      <c r="QM80" s="158"/>
      <c r="QN80" s="158"/>
      <c r="QO80" s="158"/>
      <c r="QP80" s="158"/>
      <c r="QQ80" s="158"/>
      <c r="QR80" s="158"/>
      <c r="QS80" s="158"/>
      <c r="QT80" s="158"/>
      <c r="QU80" s="158"/>
      <c r="QV80" s="158"/>
      <c r="QW80" s="158"/>
      <c r="QX80" s="158"/>
      <c r="QY80" s="158"/>
      <c r="QZ80" s="158"/>
      <c r="RA80" s="158"/>
      <c r="RB80" s="158"/>
      <c r="RC80" s="158"/>
      <c r="RD80" s="158"/>
      <c r="RE80" s="158"/>
      <c r="RF80" s="158"/>
      <c r="RG80" s="158"/>
      <c r="RH80" s="158"/>
      <c r="RI80" s="158"/>
      <c r="RJ80" s="158"/>
      <c r="RK80" s="158"/>
      <c r="RL80" s="158"/>
      <c r="RM80" s="158"/>
      <c r="RN80" s="158"/>
      <c r="RO80" s="158"/>
      <c r="RP80" s="158"/>
      <c r="RQ80" s="158"/>
      <c r="RR80" s="158"/>
      <c r="RS80" s="158"/>
      <c r="RT80" s="158"/>
      <c r="RU80" s="158"/>
      <c r="RV80" s="158"/>
      <c r="RW80" s="158"/>
      <c r="RX80" s="158"/>
      <c r="RY80" s="158"/>
      <c r="RZ80" s="158"/>
      <c r="SA80" s="158"/>
    </row>
    <row r="81" spans="1:495" s="27" customFormat="1">
      <c r="B81" s="116"/>
      <c r="C81" s="204"/>
      <c r="D81" s="4051"/>
      <c r="E81" s="4051"/>
      <c r="F81" s="8"/>
      <c r="G81" s="8"/>
      <c r="H81" s="4042" t="s">
        <v>4802</v>
      </c>
      <c r="I81" s="4043"/>
      <c r="J81" s="1"/>
      <c r="K81" s="4044" t="str">
        <f t="shared" ref="K81:P81" si="369">IF(OR(K80="",K59=0),"", K59-K80)</f>
        <v/>
      </c>
      <c r="L81" s="4044" t="str">
        <f t="shared" si="369"/>
        <v/>
      </c>
      <c r="M81" s="4044" t="str">
        <f t="shared" si="369"/>
        <v/>
      </c>
      <c r="N81" s="4044" t="str">
        <f t="shared" si="369"/>
        <v/>
      </c>
      <c r="O81" s="4044" t="str">
        <f t="shared" si="369"/>
        <v/>
      </c>
      <c r="P81" s="4044" t="str">
        <f t="shared" si="369"/>
        <v/>
      </c>
      <c r="X81" s="1762"/>
      <c r="Y81" s="1762"/>
      <c r="Z81" s="1762"/>
      <c r="AA81" s="1762"/>
      <c r="AB81" s="1762"/>
      <c r="AC81" s="1762"/>
      <c r="AD81" s="1762"/>
      <c r="AE81" s="1762"/>
      <c r="AF81" s="1762"/>
      <c r="AG81" s="1762"/>
      <c r="AH81" s="1762"/>
      <c r="AI81" s="1762"/>
      <c r="AJ81" s="1762"/>
      <c r="AK81" s="1762"/>
      <c r="AL81" s="1762"/>
      <c r="AM81" s="1762"/>
      <c r="AN81" s="1762"/>
      <c r="AO81" s="1762"/>
      <c r="AP81" s="1762"/>
      <c r="AQ81" s="1762"/>
      <c r="AR81" s="1762"/>
      <c r="AS81" s="1762"/>
      <c r="AT81" s="1762"/>
      <c r="AU81" s="1762"/>
      <c r="AV81" s="1762"/>
      <c r="AW81" s="1762"/>
      <c r="AX81" s="1762"/>
      <c r="AY81" s="1762"/>
      <c r="AZ81" s="1762"/>
      <c r="BA81" s="1762"/>
      <c r="BB81" s="1762"/>
      <c r="BC81" s="1762"/>
      <c r="BD81" s="1762"/>
      <c r="BE81" s="1762"/>
      <c r="BF81" s="1762"/>
      <c r="BG81" s="1762"/>
      <c r="BH81" s="1762"/>
      <c r="BI81" s="1762"/>
      <c r="BJ81" s="1762"/>
      <c r="BK81" s="1762"/>
      <c r="BL81" s="1762"/>
      <c r="BM81" s="1762"/>
      <c r="BN81" s="1762"/>
      <c r="BO81" s="1762"/>
      <c r="BP81" s="1762"/>
      <c r="BQ81" s="1762"/>
      <c r="BR81" s="1762"/>
      <c r="BS81" s="1762"/>
      <c r="BT81" s="1762"/>
      <c r="BU81" s="1762"/>
      <c r="BV81" s="1762"/>
      <c r="BW81" s="1762"/>
      <c r="BX81" s="1762"/>
      <c r="BY81" s="1762"/>
      <c r="BZ81" s="1762"/>
      <c r="CA81" s="1762"/>
      <c r="CB81" s="1762"/>
      <c r="CC81" s="1762"/>
      <c r="CD81" s="1762"/>
      <c r="CE81" s="1762"/>
      <c r="CF81" s="1762"/>
      <c r="CG81" s="1762"/>
      <c r="CH81" s="1762"/>
      <c r="CI81" s="1762"/>
      <c r="CJ81" s="1762"/>
      <c r="CK81" s="1762"/>
      <c r="CL81" s="1762"/>
      <c r="CM81" s="1762"/>
      <c r="CN81" s="1762"/>
      <c r="CO81" s="1762"/>
      <c r="CP81" s="1762"/>
      <c r="CQ81" s="1762"/>
      <c r="CR81" s="1762"/>
      <c r="CS81" s="1762"/>
      <c r="CT81" s="1762"/>
      <c r="CU81" s="1762"/>
      <c r="CV81" s="1762"/>
      <c r="CW81" s="1762"/>
      <c r="CX81" s="1762"/>
      <c r="CY81" s="1762"/>
      <c r="CZ81" s="1762"/>
      <c r="DA81" s="1762"/>
      <c r="DB81" s="1762"/>
      <c r="DC81" s="1762"/>
      <c r="DD81" s="1762"/>
      <c r="DE81" s="1762"/>
      <c r="DF81" s="1762"/>
      <c r="DG81" s="1762"/>
      <c r="DH81" s="1762"/>
      <c r="DI81" s="1762"/>
      <c r="DJ81" s="1762"/>
      <c r="DK81" s="1762"/>
      <c r="DL81" s="1762"/>
      <c r="DM81" s="1762"/>
      <c r="DN81" s="1762"/>
      <c r="DO81" s="1762"/>
      <c r="DP81" s="1762"/>
      <c r="DQ81" s="1762"/>
      <c r="DR81" s="1762"/>
      <c r="DS81" s="1762"/>
      <c r="DT81" s="1762"/>
      <c r="DU81" s="1762"/>
      <c r="DV81" s="1762"/>
      <c r="DW81" s="1762"/>
      <c r="DX81" s="1762"/>
      <c r="DY81" s="1762"/>
      <c r="DZ81" s="1762"/>
      <c r="EA81" s="1762"/>
      <c r="EB81" s="1762"/>
      <c r="EC81" s="1762"/>
      <c r="ED81" s="1762"/>
      <c r="EE81" s="1762"/>
      <c r="EF81" s="1762"/>
      <c r="EG81" s="1762"/>
      <c r="EH81" s="1762"/>
      <c r="EI81" s="1762"/>
      <c r="EJ81" s="1762"/>
      <c r="EK81" s="1762"/>
      <c r="EL81" s="1762"/>
      <c r="EM81" s="1762"/>
      <c r="EN81" s="1762"/>
      <c r="EO81" s="1762"/>
      <c r="EP81" s="1762"/>
      <c r="EQ81" s="1762"/>
      <c r="ER81" s="1762"/>
      <c r="ES81" s="1762"/>
      <c r="ET81" s="1762"/>
      <c r="EU81" s="1762"/>
      <c r="EV81" s="1762"/>
      <c r="EW81" s="1762"/>
      <c r="EX81" s="1762"/>
      <c r="EY81" s="1762"/>
      <c r="EZ81" s="1762"/>
      <c r="FA81" s="1762"/>
      <c r="FB81" s="1762"/>
      <c r="FC81" s="1762"/>
      <c r="FD81" s="1762"/>
      <c r="FE81" s="1762"/>
      <c r="FF81" s="1762"/>
      <c r="FG81" s="1762"/>
      <c r="FH81" s="1762"/>
      <c r="FI81" s="1762"/>
      <c r="FJ81" s="1762"/>
      <c r="FK81" s="1762"/>
      <c r="FL81" s="1762"/>
      <c r="FM81" s="1762"/>
      <c r="FN81" s="1762"/>
      <c r="FO81" s="1762"/>
      <c r="FP81" s="1762"/>
      <c r="FQ81" s="1762"/>
      <c r="FR81" s="1762"/>
      <c r="FS81" s="1762"/>
      <c r="FT81" s="1762"/>
      <c r="FU81" s="1762"/>
      <c r="FV81" s="1762"/>
      <c r="FW81" s="1762"/>
      <c r="FX81" s="1762"/>
      <c r="FY81" s="1762"/>
      <c r="FZ81" s="1762"/>
      <c r="GA81" s="1762"/>
      <c r="GB81" s="1762"/>
      <c r="GC81" s="1762"/>
      <c r="GD81" s="1762"/>
      <c r="GE81" s="1762"/>
      <c r="GF81" s="1762"/>
      <c r="GG81" s="1762"/>
      <c r="GH81" s="1762"/>
      <c r="GI81" s="1762"/>
      <c r="GJ81" s="1762"/>
      <c r="GK81" s="1762"/>
      <c r="GL81" s="1762"/>
      <c r="GM81" s="1762"/>
      <c r="GN81" s="1762"/>
      <c r="GO81" s="1762"/>
      <c r="GP81" s="1762"/>
      <c r="GQ81" s="1762"/>
      <c r="GR81" s="1762"/>
      <c r="GS81" s="1762"/>
      <c r="GT81" s="1762"/>
      <c r="GU81" s="1762"/>
      <c r="GV81" s="1762"/>
      <c r="GW81" s="1762"/>
      <c r="GX81" s="1762"/>
      <c r="GY81" s="1762"/>
      <c r="GZ81" s="1762"/>
      <c r="HA81" s="1762"/>
      <c r="HB81" s="1762"/>
      <c r="HC81" s="1762"/>
      <c r="HD81" s="1762"/>
      <c r="HE81" s="1762"/>
      <c r="HF81" s="1762"/>
      <c r="HG81" s="1762"/>
      <c r="HH81" s="1762"/>
      <c r="HI81" s="1762"/>
      <c r="HJ81" s="1762"/>
      <c r="HK81" s="1762"/>
      <c r="HL81" s="1762"/>
      <c r="HM81" s="1762"/>
      <c r="HN81" s="1762"/>
      <c r="HO81" s="1762"/>
      <c r="HP81" s="1762"/>
      <c r="HQ81" s="1762"/>
      <c r="HR81" s="1762"/>
      <c r="HS81" s="1762"/>
      <c r="HT81" s="1762"/>
      <c r="HU81" s="1762"/>
      <c r="HV81" s="1762"/>
      <c r="HW81" s="1762"/>
      <c r="HX81" s="1762"/>
      <c r="HY81" s="1762"/>
      <c r="HZ81" s="1762"/>
      <c r="IA81" s="1762"/>
      <c r="IB81" s="1762"/>
      <c r="IC81" s="1762"/>
      <c r="ID81" s="1762"/>
      <c r="IE81" s="1762"/>
      <c r="IF81" s="1762"/>
      <c r="IG81" s="1762"/>
      <c r="IH81" s="1762"/>
      <c r="II81" s="1762"/>
      <c r="IJ81" s="1762"/>
      <c r="IK81" s="1762"/>
      <c r="IL81" s="1762"/>
      <c r="IM81" s="1762"/>
      <c r="IN81" s="1762"/>
      <c r="IO81" s="1762"/>
      <c r="IP81" s="1762"/>
      <c r="IQ81" s="1762"/>
      <c r="IR81" s="1762"/>
      <c r="IS81" s="1762"/>
      <c r="IT81" s="1762"/>
      <c r="IU81" s="1762"/>
      <c r="IV81" s="1762"/>
      <c r="IW81" s="1762"/>
      <c r="IX81" s="1762"/>
      <c r="IY81" s="1762"/>
      <c r="IZ81" s="1762"/>
      <c r="JA81" s="1762"/>
      <c r="JB81" s="1762"/>
      <c r="JC81" s="1762"/>
      <c r="JD81" s="1762"/>
      <c r="JE81" s="1762"/>
      <c r="JF81" s="1762"/>
      <c r="JG81" s="1762"/>
      <c r="JH81" s="1762"/>
      <c r="JI81" s="1762"/>
      <c r="JJ81" s="1762"/>
      <c r="JK81" s="1762"/>
      <c r="JL81" s="1762"/>
      <c r="JM81" s="1762"/>
      <c r="JN81" s="1762"/>
      <c r="JO81" s="1762"/>
      <c r="JP81" s="1762"/>
      <c r="JQ81" s="1762"/>
      <c r="JR81" s="1762"/>
      <c r="JS81" s="1762"/>
      <c r="JT81" s="1762"/>
      <c r="JU81" s="1762"/>
      <c r="JV81" s="1762"/>
      <c r="JW81" s="1762"/>
      <c r="JX81" s="1762"/>
      <c r="JY81" s="1762"/>
      <c r="JZ81" s="1762"/>
      <c r="KA81" s="1762"/>
      <c r="KB81" s="1762"/>
      <c r="KC81" s="1762"/>
      <c r="KD81" s="1762"/>
      <c r="KE81" s="1762"/>
      <c r="KF81" s="1762"/>
      <c r="KG81" s="1762"/>
      <c r="KH81" s="1762"/>
      <c r="KI81" s="1762"/>
      <c r="KJ81" s="1762"/>
      <c r="KK81" s="1762"/>
      <c r="KL81" s="1762"/>
      <c r="KM81" s="1762"/>
      <c r="KN81" s="1762"/>
      <c r="KO81" s="1762"/>
      <c r="KP81" s="1762"/>
      <c r="KQ81" s="1762"/>
      <c r="KR81" s="1762"/>
      <c r="KS81" s="1762"/>
      <c r="KT81" s="1762"/>
      <c r="KU81" s="1762"/>
      <c r="KV81" s="1762"/>
      <c r="KW81" s="1762"/>
      <c r="KX81" s="1762"/>
      <c r="KY81" s="1762"/>
      <c r="KZ81" s="1762"/>
      <c r="LA81" s="1762"/>
      <c r="LB81" s="1762"/>
      <c r="LC81" s="1762"/>
      <c r="LD81" s="1762"/>
      <c r="LE81" s="1762"/>
      <c r="LF81" s="1762"/>
      <c r="LG81" s="1762"/>
      <c r="LH81" s="1762"/>
      <c r="LI81" s="1762"/>
      <c r="LJ81" s="1762"/>
      <c r="LK81" s="1762"/>
      <c r="LL81" s="1762"/>
      <c r="LM81" s="1762"/>
      <c r="LN81" s="1762"/>
      <c r="LO81" s="1762"/>
      <c r="LP81" s="1762"/>
      <c r="LQ81" s="1762"/>
      <c r="LR81" s="1762"/>
      <c r="LS81" s="1762"/>
      <c r="LT81" s="1762"/>
      <c r="LU81" s="1762"/>
      <c r="LV81" s="1762"/>
      <c r="LW81" s="1762"/>
      <c r="LX81" s="1762"/>
      <c r="LY81" s="1762"/>
      <c r="LZ81" s="1762"/>
      <c r="MA81" s="1762"/>
      <c r="MB81" s="1762"/>
      <c r="MC81" s="1762"/>
      <c r="MD81" s="1762"/>
      <c r="ME81" s="1762"/>
      <c r="MF81" s="1762"/>
      <c r="MG81" s="1762"/>
      <c r="MH81" s="1762"/>
      <c r="MI81" s="1762"/>
      <c r="MJ81" s="1762"/>
      <c r="MK81" s="1762"/>
      <c r="ML81" s="1762"/>
      <c r="MM81" s="1762"/>
      <c r="MN81" s="1762"/>
      <c r="MO81" s="1762"/>
      <c r="MP81" s="1762"/>
      <c r="MQ81" s="1762"/>
      <c r="MR81" s="1762"/>
      <c r="MS81" s="1762"/>
      <c r="MT81" s="1762"/>
      <c r="MU81" s="1762"/>
      <c r="MV81" s="1762"/>
      <c r="MW81" s="1762"/>
      <c r="MX81" s="1762"/>
      <c r="MY81" s="1762"/>
      <c r="MZ81" s="1762"/>
      <c r="NA81" s="1762"/>
      <c r="NB81" s="1762"/>
      <c r="NC81" s="1762"/>
      <c r="ND81" s="1762"/>
      <c r="NE81" s="158"/>
      <c r="NF81" s="158"/>
      <c r="NG81" s="158"/>
      <c r="NH81" s="158"/>
      <c r="NI81" s="158"/>
      <c r="NJ81" s="158"/>
      <c r="NK81" s="158"/>
      <c r="NL81" s="158"/>
      <c r="NM81" s="158"/>
      <c r="NN81" s="158"/>
      <c r="NO81" s="158"/>
      <c r="NP81" s="158"/>
      <c r="NQ81" s="158"/>
      <c r="NR81" s="158"/>
      <c r="NS81" s="158"/>
      <c r="NT81" s="158"/>
      <c r="NU81" s="158"/>
      <c r="NV81" s="158"/>
      <c r="NW81" s="158"/>
      <c r="NX81" s="158"/>
      <c r="NY81" s="158"/>
      <c r="NZ81" s="158"/>
      <c r="OA81" s="158"/>
      <c r="OB81" s="158"/>
      <c r="OC81" s="158"/>
      <c r="OD81" s="158"/>
      <c r="OE81" s="158"/>
      <c r="OF81" s="158"/>
      <c r="OG81" s="158"/>
      <c r="OH81" s="158"/>
      <c r="OI81" s="158"/>
      <c r="OJ81" s="158"/>
      <c r="OK81" s="158"/>
      <c r="OL81" s="158"/>
      <c r="OM81" s="158"/>
      <c r="ON81" s="158"/>
      <c r="OO81" s="158"/>
      <c r="OP81" s="158"/>
      <c r="OQ81" s="158"/>
      <c r="OR81" s="158"/>
      <c r="OS81" s="158"/>
      <c r="OT81" s="158"/>
      <c r="OU81" s="158"/>
      <c r="OV81" s="158"/>
      <c r="OW81" s="158"/>
      <c r="OX81" s="158"/>
      <c r="OY81" s="158"/>
      <c r="OZ81" s="158"/>
      <c r="PA81" s="158"/>
      <c r="PB81" s="158"/>
      <c r="PC81" s="158"/>
      <c r="PD81" s="158"/>
      <c r="PE81" s="158"/>
      <c r="PF81" s="158"/>
      <c r="PG81" s="158"/>
      <c r="PH81" s="158"/>
      <c r="PI81" s="158"/>
      <c r="PJ81" s="158"/>
      <c r="PK81" s="158"/>
      <c r="PL81" s="158"/>
      <c r="PM81" s="158"/>
      <c r="PN81" s="158"/>
      <c r="PO81" s="158"/>
      <c r="PP81" s="158"/>
      <c r="PQ81" s="158"/>
      <c r="PR81" s="158"/>
      <c r="PS81" s="158"/>
      <c r="PT81" s="158"/>
      <c r="PU81" s="158"/>
      <c r="PV81" s="158"/>
      <c r="PW81" s="158"/>
      <c r="PX81" s="158"/>
      <c r="PY81" s="158"/>
      <c r="PZ81" s="158"/>
      <c r="QA81" s="158"/>
      <c r="QB81" s="158"/>
      <c r="QC81" s="158"/>
      <c r="QD81" s="158"/>
      <c r="QE81" s="158"/>
      <c r="QF81" s="158"/>
      <c r="QG81" s="158"/>
      <c r="QH81" s="158"/>
      <c r="QI81" s="158"/>
      <c r="QJ81" s="158"/>
      <c r="QK81" s="158"/>
      <c r="QL81" s="158"/>
      <c r="QM81" s="158"/>
      <c r="QN81" s="158"/>
      <c r="QO81" s="158"/>
      <c r="QP81" s="158"/>
      <c r="QQ81" s="158"/>
      <c r="QR81" s="158"/>
      <c r="QS81" s="158"/>
      <c r="QT81" s="158"/>
      <c r="QU81" s="158"/>
      <c r="QV81" s="158"/>
      <c r="QW81" s="158"/>
      <c r="QX81" s="158"/>
      <c r="QY81" s="158"/>
      <c r="QZ81" s="158"/>
      <c r="RA81" s="158"/>
      <c r="RB81" s="158"/>
      <c r="RC81" s="158"/>
      <c r="RD81" s="158"/>
      <c r="RE81" s="158"/>
      <c r="RF81" s="158"/>
      <c r="RG81" s="158"/>
      <c r="RH81" s="158"/>
      <c r="RI81" s="158"/>
      <c r="RJ81" s="158"/>
      <c r="RK81" s="158"/>
      <c r="RL81" s="158"/>
      <c r="RM81" s="158"/>
      <c r="RN81" s="158"/>
      <c r="RO81" s="158"/>
      <c r="RP81" s="158"/>
      <c r="RQ81" s="158"/>
      <c r="RR81" s="158"/>
      <c r="RS81" s="158"/>
      <c r="RT81" s="158"/>
      <c r="RU81" s="158"/>
      <c r="RV81" s="158"/>
      <c r="RW81" s="158"/>
      <c r="RX81" s="158"/>
      <c r="RY81" s="158"/>
      <c r="RZ81" s="158"/>
      <c r="SA81" s="158"/>
    </row>
    <row r="82" spans="1:495" s="27" customFormat="1">
      <c r="B82" s="116"/>
      <c r="C82" s="204" t="s">
        <v>4777</v>
      </c>
      <c r="D82" s="4051"/>
      <c r="E82" s="4051"/>
      <c r="F82" s="8"/>
      <c r="G82" s="8"/>
      <c r="H82" s="110" t="s">
        <v>4122</v>
      </c>
      <c r="I82" s="36"/>
      <c r="J82" s="1"/>
      <c r="K82" s="4048" t="str">
        <f t="shared" ref="K82:P82" si="370">IF(OR(K60=0,K$67=0),"",K60/K$67)</f>
        <v/>
      </c>
      <c r="L82" s="4049">
        <f t="shared" si="370"/>
        <v>0.3</v>
      </c>
      <c r="M82" s="4049">
        <f t="shared" si="370"/>
        <v>0.34615384615384615</v>
      </c>
      <c r="N82" s="4049" t="str">
        <f t="shared" si="370"/>
        <v/>
      </c>
      <c r="O82" s="4049" t="str">
        <f t="shared" si="370"/>
        <v/>
      </c>
      <c r="P82" s="4050">
        <f t="shared" si="370"/>
        <v>0.33333333333333331</v>
      </c>
      <c r="X82" s="1762"/>
      <c r="Y82" s="1762"/>
      <c r="Z82" s="1762"/>
      <c r="AA82" s="1762"/>
      <c r="AB82" s="1762"/>
      <c r="AC82" s="1762"/>
      <c r="AD82" s="1762"/>
      <c r="AE82" s="1762"/>
      <c r="AF82" s="1762"/>
      <c r="AG82" s="1762"/>
      <c r="AH82" s="1762"/>
      <c r="AI82" s="1762"/>
      <c r="AJ82" s="1762"/>
      <c r="AK82" s="1762"/>
      <c r="AL82" s="1762"/>
      <c r="AM82" s="1762"/>
      <c r="AN82" s="1762"/>
      <c r="AO82" s="1762"/>
      <c r="AP82" s="1762"/>
      <c r="AQ82" s="1762"/>
      <c r="AR82" s="1762"/>
      <c r="AS82" s="1762"/>
      <c r="AT82" s="1762"/>
      <c r="AU82" s="1762"/>
      <c r="AV82" s="1762"/>
      <c r="AW82" s="1762"/>
      <c r="AX82" s="1762"/>
      <c r="AY82" s="1762"/>
      <c r="AZ82" s="1762"/>
      <c r="BA82" s="1762"/>
      <c r="BB82" s="1762"/>
      <c r="BC82" s="1762"/>
      <c r="BD82" s="1762"/>
      <c r="BE82" s="1762"/>
      <c r="BF82" s="1762"/>
      <c r="BG82" s="1762"/>
      <c r="BH82" s="1762"/>
      <c r="BI82" s="1762"/>
      <c r="BJ82" s="1762"/>
      <c r="BK82" s="1762"/>
      <c r="BL82" s="1762"/>
      <c r="BM82" s="1762"/>
      <c r="BN82" s="1762"/>
      <c r="BO82" s="1762"/>
      <c r="BP82" s="1762"/>
      <c r="BQ82" s="1762"/>
      <c r="BR82" s="1762"/>
      <c r="BS82" s="1762"/>
      <c r="BT82" s="1762"/>
      <c r="BU82" s="1762"/>
      <c r="BV82" s="1762"/>
      <c r="BW82" s="1762"/>
      <c r="BX82" s="1762"/>
      <c r="BY82" s="1762"/>
      <c r="BZ82" s="1762"/>
      <c r="CA82" s="1762"/>
      <c r="CB82" s="1762"/>
      <c r="CC82" s="1762"/>
      <c r="CD82" s="1762"/>
      <c r="CE82" s="1762"/>
      <c r="CF82" s="1762"/>
      <c r="CG82" s="1762"/>
      <c r="CH82" s="1762"/>
      <c r="CI82" s="1762"/>
      <c r="CJ82" s="1762"/>
      <c r="CK82" s="1762"/>
      <c r="CL82" s="1762"/>
      <c r="CM82" s="1762"/>
      <c r="CN82" s="1762"/>
      <c r="CO82" s="1762"/>
      <c r="CP82" s="1762"/>
      <c r="CQ82" s="1762"/>
      <c r="CR82" s="1762"/>
      <c r="CS82" s="1762"/>
      <c r="CT82" s="1762"/>
      <c r="CU82" s="1762"/>
      <c r="CV82" s="1762"/>
      <c r="CW82" s="1762"/>
      <c r="CX82" s="1762"/>
      <c r="CY82" s="1762"/>
      <c r="CZ82" s="1762"/>
      <c r="DA82" s="1762"/>
      <c r="DB82" s="1762"/>
      <c r="DC82" s="1762"/>
      <c r="DD82" s="1762"/>
      <c r="DE82" s="1762"/>
      <c r="DF82" s="1762"/>
      <c r="DG82" s="1762"/>
      <c r="DH82" s="1762"/>
      <c r="DI82" s="1762"/>
      <c r="DJ82" s="1762"/>
      <c r="DK82" s="1762"/>
      <c r="DL82" s="1762"/>
      <c r="DM82" s="1762"/>
      <c r="DN82" s="1762"/>
      <c r="DO82" s="1762"/>
      <c r="DP82" s="1762"/>
      <c r="DQ82" s="1762"/>
      <c r="DR82" s="1762"/>
      <c r="DS82" s="1762"/>
      <c r="DT82" s="1762"/>
      <c r="DU82" s="1762"/>
      <c r="DV82" s="1762"/>
      <c r="DW82" s="1762"/>
      <c r="DX82" s="1762"/>
      <c r="DY82" s="1762"/>
      <c r="DZ82" s="1762"/>
      <c r="EA82" s="1762"/>
      <c r="EB82" s="1762"/>
      <c r="EC82" s="1762"/>
      <c r="ED82" s="1762"/>
      <c r="EE82" s="1762"/>
      <c r="EF82" s="1762"/>
      <c r="EG82" s="1762"/>
      <c r="EH82" s="1762"/>
      <c r="EI82" s="1762"/>
      <c r="EJ82" s="1762"/>
      <c r="EK82" s="1762"/>
      <c r="EL82" s="1762"/>
      <c r="EM82" s="1762"/>
      <c r="EN82" s="1762"/>
      <c r="EO82" s="1762"/>
      <c r="EP82" s="1762"/>
      <c r="EQ82" s="1762"/>
      <c r="ER82" s="1762"/>
      <c r="ES82" s="1762"/>
      <c r="ET82" s="1762"/>
      <c r="EU82" s="1762"/>
      <c r="EV82" s="1762"/>
      <c r="EW82" s="1762"/>
      <c r="EX82" s="1762"/>
      <c r="EY82" s="1762"/>
      <c r="EZ82" s="1762"/>
      <c r="FA82" s="1762"/>
      <c r="FB82" s="1762"/>
      <c r="FC82" s="1762"/>
      <c r="FD82" s="1762"/>
      <c r="FE82" s="1762"/>
      <c r="FF82" s="1762"/>
      <c r="FG82" s="1762"/>
      <c r="FH82" s="1762"/>
      <c r="FI82" s="1762"/>
      <c r="FJ82" s="1762"/>
      <c r="FK82" s="1762"/>
      <c r="FL82" s="1762"/>
      <c r="FM82" s="1762"/>
      <c r="FN82" s="1762"/>
      <c r="FO82" s="1762"/>
      <c r="FP82" s="1762"/>
      <c r="FQ82" s="1762"/>
      <c r="FR82" s="1762"/>
      <c r="FS82" s="1762"/>
      <c r="FT82" s="1762"/>
      <c r="FU82" s="1762"/>
      <c r="FV82" s="1762"/>
      <c r="FW82" s="1762"/>
      <c r="FX82" s="1762"/>
      <c r="FY82" s="1762"/>
      <c r="FZ82" s="1762"/>
      <c r="GA82" s="1762"/>
      <c r="GB82" s="1762"/>
      <c r="GC82" s="1762"/>
      <c r="GD82" s="1762"/>
      <c r="GE82" s="1762"/>
      <c r="GF82" s="1762"/>
      <c r="GG82" s="1762"/>
      <c r="GH82" s="1762"/>
      <c r="GI82" s="1762"/>
      <c r="GJ82" s="1762"/>
      <c r="GK82" s="1762"/>
      <c r="GL82" s="1762"/>
      <c r="GM82" s="1762"/>
      <c r="GN82" s="1762"/>
      <c r="GO82" s="1762"/>
      <c r="GP82" s="1762"/>
      <c r="GQ82" s="1762"/>
      <c r="GR82" s="1762"/>
      <c r="GS82" s="1762"/>
      <c r="GT82" s="1762"/>
      <c r="GU82" s="1762"/>
      <c r="GV82" s="1762"/>
      <c r="GW82" s="1762"/>
      <c r="GX82" s="1762"/>
      <c r="GY82" s="1762"/>
      <c r="GZ82" s="1762"/>
      <c r="HA82" s="1762"/>
      <c r="HB82" s="1762"/>
      <c r="HC82" s="1762"/>
      <c r="HD82" s="1762"/>
      <c r="HE82" s="1762"/>
      <c r="HF82" s="1762"/>
      <c r="HG82" s="1762"/>
      <c r="HH82" s="1762"/>
      <c r="HI82" s="1762"/>
      <c r="HJ82" s="1762"/>
      <c r="HK82" s="1762"/>
      <c r="HL82" s="1762"/>
      <c r="HM82" s="1762"/>
      <c r="HN82" s="1762"/>
      <c r="HO82" s="1762"/>
      <c r="HP82" s="1762"/>
      <c r="HQ82" s="1762"/>
      <c r="HR82" s="1762"/>
      <c r="HS82" s="1762"/>
      <c r="HT82" s="1762"/>
      <c r="HU82" s="1762"/>
      <c r="HV82" s="1762"/>
      <c r="HW82" s="1762"/>
      <c r="HX82" s="1762"/>
      <c r="HY82" s="1762"/>
      <c r="HZ82" s="1762"/>
      <c r="IA82" s="1762"/>
      <c r="IB82" s="1762"/>
      <c r="IC82" s="1762"/>
      <c r="ID82" s="1762"/>
      <c r="IE82" s="1762"/>
      <c r="IF82" s="1762"/>
      <c r="IG82" s="1762"/>
      <c r="IH82" s="1762"/>
      <c r="II82" s="1762"/>
      <c r="IJ82" s="1762"/>
      <c r="IK82" s="1762"/>
      <c r="IL82" s="1762"/>
      <c r="IM82" s="1762"/>
      <c r="IN82" s="1762"/>
      <c r="IO82" s="1762"/>
      <c r="IP82" s="1762"/>
      <c r="IQ82" s="1762"/>
      <c r="IR82" s="1762"/>
      <c r="IS82" s="1762"/>
      <c r="IT82" s="1762"/>
      <c r="IU82" s="1762"/>
      <c r="IV82" s="1762"/>
      <c r="IW82" s="1762"/>
      <c r="IX82" s="1762"/>
      <c r="IY82" s="1762"/>
      <c r="IZ82" s="1762"/>
      <c r="JA82" s="1762"/>
      <c r="JB82" s="1762"/>
      <c r="JC82" s="1762"/>
      <c r="JD82" s="1762"/>
      <c r="JE82" s="1762"/>
      <c r="JF82" s="1762"/>
      <c r="JG82" s="1762"/>
      <c r="JH82" s="1762"/>
      <c r="JI82" s="1762"/>
      <c r="JJ82" s="1762"/>
      <c r="JK82" s="1762"/>
      <c r="JL82" s="1762"/>
      <c r="JM82" s="1762"/>
      <c r="JN82" s="1762"/>
      <c r="JO82" s="1762"/>
      <c r="JP82" s="1762"/>
      <c r="JQ82" s="1762"/>
      <c r="JR82" s="1762"/>
      <c r="JS82" s="1762"/>
      <c r="JT82" s="1762"/>
      <c r="JU82" s="1762"/>
      <c r="JV82" s="1762"/>
      <c r="JW82" s="1762"/>
      <c r="JX82" s="1762"/>
      <c r="JY82" s="1762"/>
      <c r="JZ82" s="1762"/>
      <c r="KA82" s="1762"/>
      <c r="KB82" s="1762"/>
      <c r="KC82" s="1762"/>
      <c r="KD82" s="1762"/>
      <c r="KE82" s="1762"/>
      <c r="KF82" s="1762"/>
      <c r="KG82" s="1762"/>
      <c r="KH82" s="1762"/>
      <c r="KI82" s="1762"/>
      <c r="KJ82" s="1762"/>
      <c r="KK82" s="1762"/>
      <c r="KL82" s="1762"/>
      <c r="KM82" s="1762"/>
      <c r="KN82" s="1762"/>
      <c r="KO82" s="1762"/>
      <c r="KP82" s="1762"/>
      <c r="KQ82" s="1762"/>
      <c r="KR82" s="1762"/>
      <c r="KS82" s="1762"/>
      <c r="KT82" s="1762"/>
      <c r="KU82" s="1762"/>
      <c r="KV82" s="1762"/>
      <c r="KW82" s="1762"/>
      <c r="KX82" s="1762"/>
      <c r="KY82" s="1762"/>
      <c r="KZ82" s="1762"/>
      <c r="LA82" s="1762"/>
      <c r="LB82" s="1762"/>
      <c r="LC82" s="1762"/>
      <c r="LD82" s="1762"/>
      <c r="LE82" s="1762"/>
      <c r="LF82" s="1762"/>
      <c r="LG82" s="1762"/>
      <c r="LH82" s="1762"/>
      <c r="LI82" s="1762"/>
      <c r="LJ82" s="1762"/>
      <c r="LK82" s="1762"/>
      <c r="LL82" s="1762"/>
      <c r="LM82" s="1762"/>
      <c r="LN82" s="1762"/>
      <c r="LO82" s="1762"/>
      <c r="LP82" s="1762"/>
      <c r="LQ82" s="1762"/>
      <c r="LR82" s="1762"/>
      <c r="LS82" s="1762"/>
      <c r="LT82" s="1762"/>
      <c r="LU82" s="1762"/>
      <c r="LV82" s="1762"/>
      <c r="LW82" s="1762"/>
      <c r="LX82" s="1762"/>
      <c r="LY82" s="1762"/>
      <c r="LZ82" s="1762"/>
      <c r="MA82" s="1762"/>
      <c r="MB82" s="1762"/>
      <c r="MC82" s="1762"/>
      <c r="MD82" s="1762"/>
      <c r="ME82" s="1762"/>
      <c r="MF82" s="1762"/>
      <c r="MG82" s="1762"/>
      <c r="MH82" s="1762"/>
      <c r="MI82" s="1762"/>
      <c r="MJ82" s="1762"/>
      <c r="MK82" s="1762"/>
      <c r="ML82" s="1762"/>
      <c r="MM82" s="1762"/>
      <c r="MN82" s="1762"/>
      <c r="MO82" s="1762"/>
      <c r="MP82" s="1762"/>
      <c r="MQ82" s="1762"/>
      <c r="MR82" s="1762"/>
      <c r="MS82" s="1762"/>
      <c r="MT82" s="1762"/>
      <c r="MU82" s="1762"/>
      <c r="MV82" s="1762"/>
      <c r="MW82" s="1762"/>
      <c r="MX82" s="1762"/>
      <c r="MY82" s="1762"/>
      <c r="MZ82" s="1762"/>
      <c r="NA82" s="1762"/>
      <c r="NB82" s="1762"/>
      <c r="NC82" s="1762"/>
      <c r="ND82" s="1762"/>
      <c r="NE82" s="158"/>
      <c r="NF82" s="158"/>
      <c r="NG82" s="158"/>
      <c r="NH82" s="158"/>
      <c r="NI82" s="158"/>
      <c r="NJ82" s="158"/>
      <c r="NK82" s="158"/>
      <c r="NL82" s="158"/>
      <c r="NM82" s="158"/>
      <c r="NN82" s="158"/>
      <c r="NO82" s="158"/>
      <c r="NP82" s="158"/>
      <c r="NQ82" s="158"/>
      <c r="NR82" s="158"/>
      <c r="NS82" s="158"/>
      <c r="NT82" s="158"/>
      <c r="NU82" s="158"/>
      <c r="NV82" s="158"/>
      <c r="NW82" s="158"/>
      <c r="NX82" s="158"/>
      <c r="NY82" s="158"/>
      <c r="NZ82" s="158"/>
      <c r="OA82" s="158"/>
      <c r="OB82" s="158"/>
      <c r="OC82" s="158"/>
      <c r="OD82" s="158"/>
      <c r="OE82" s="158"/>
      <c r="OF82" s="158"/>
      <c r="OG82" s="158"/>
      <c r="OH82" s="158"/>
      <c r="OI82" s="158"/>
      <c r="OJ82" s="158"/>
      <c r="OK82" s="158"/>
      <c r="OL82" s="158"/>
      <c r="OM82" s="158"/>
      <c r="ON82" s="158"/>
      <c r="OO82" s="158"/>
      <c r="OP82" s="158"/>
      <c r="OQ82" s="158"/>
      <c r="OR82" s="158"/>
      <c r="OS82" s="158"/>
      <c r="OT82" s="158"/>
      <c r="OU82" s="158"/>
      <c r="OV82" s="158"/>
      <c r="OW82" s="158"/>
      <c r="OX82" s="158"/>
      <c r="OY82" s="158"/>
      <c r="OZ82" s="158"/>
      <c r="PA82" s="158"/>
      <c r="PB82" s="158"/>
      <c r="PC82" s="158"/>
      <c r="PD82" s="158"/>
      <c r="PE82" s="158"/>
      <c r="PF82" s="158"/>
      <c r="PG82" s="158"/>
      <c r="PH82" s="158"/>
      <c r="PI82" s="158"/>
      <c r="PJ82" s="158"/>
      <c r="PK82" s="158"/>
      <c r="PL82" s="158"/>
      <c r="PM82" s="158"/>
      <c r="PN82" s="158"/>
      <c r="PO82" s="158"/>
      <c r="PP82" s="158"/>
      <c r="PQ82" s="158"/>
      <c r="PR82" s="158"/>
      <c r="PS82" s="158"/>
      <c r="PT82" s="158"/>
      <c r="PU82" s="158"/>
      <c r="PV82" s="158"/>
      <c r="PW82" s="158"/>
      <c r="PX82" s="158"/>
      <c r="PY82" s="158"/>
      <c r="PZ82" s="158"/>
      <c r="QA82" s="158"/>
      <c r="QB82" s="158"/>
      <c r="QC82" s="158"/>
      <c r="QD82" s="158"/>
      <c r="QE82" s="158"/>
      <c r="QF82" s="158"/>
      <c r="QG82" s="158"/>
      <c r="QH82" s="158"/>
      <c r="QI82" s="158"/>
      <c r="QJ82" s="158"/>
      <c r="QK82" s="158"/>
      <c r="QL82" s="158"/>
      <c r="QM82" s="158"/>
      <c r="QN82" s="158"/>
      <c r="QO82" s="158"/>
      <c r="QP82" s="158"/>
      <c r="QQ82" s="158"/>
      <c r="QR82" s="158"/>
      <c r="QS82" s="158"/>
      <c r="QT82" s="158"/>
      <c r="QU82" s="158"/>
      <c r="QV82" s="158"/>
      <c r="QW82" s="158"/>
      <c r="QX82" s="158"/>
      <c r="QY82" s="158"/>
      <c r="QZ82" s="158"/>
      <c r="RA82" s="158"/>
      <c r="RB82" s="158"/>
      <c r="RC82" s="158"/>
      <c r="RD82" s="158"/>
      <c r="RE82" s="158"/>
      <c r="RF82" s="158"/>
      <c r="RG82" s="158"/>
      <c r="RH82" s="158"/>
      <c r="RI82" s="158"/>
      <c r="RJ82" s="158"/>
      <c r="RK82" s="158"/>
      <c r="RL82" s="158"/>
      <c r="RM82" s="158"/>
      <c r="RN82" s="158"/>
      <c r="RO82" s="158"/>
      <c r="RP82" s="158"/>
      <c r="RQ82" s="158"/>
      <c r="RR82" s="158"/>
      <c r="RS82" s="158"/>
      <c r="RT82" s="158"/>
      <c r="RU82" s="158"/>
      <c r="RV82" s="158"/>
      <c r="RW82" s="158"/>
      <c r="RX82" s="158"/>
      <c r="RY82" s="158"/>
      <c r="RZ82" s="158"/>
      <c r="SA82" s="158"/>
    </row>
    <row r="83" spans="1:495" s="27" customFormat="1">
      <c r="B83" s="116"/>
      <c r="C83" s="204"/>
      <c r="D83" s="8"/>
      <c r="E83" s="8"/>
      <c r="F83" s="8"/>
      <c r="G83" s="8"/>
      <c r="H83" s="110" t="s">
        <v>4801</v>
      </c>
      <c r="I83" s="36"/>
      <c r="J83" s="1"/>
      <c r="K83" s="4040" t="str">
        <f>IF(OR(K60=0,$P82="",K$67=0),"",$P82*K$67)</f>
        <v/>
      </c>
      <c r="L83" s="4040">
        <f>IF(OR(L60=0,$P82="",L$67=0),"",$P82*L$67)</f>
        <v>6.6666666666666661</v>
      </c>
      <c r="M83" s="4040">
        <f>IF(OR(M60=0,$P82="",M$67=0),"",$P82*M$67)</f>
        <v>17.333333333333332</v>
      </c>
      <c r="N83" s="4040" t="str">
        <f>IF(OR(N60=0,$P82="",N$67=0),"",$P82*N$67)</f>
        <v/>
      </c>
      <c r="O83" s="4040" t="str">
        <f>IF(OR(O60=0,$P82="",O$67=0),"",$P82*O$67)</f>
        <v/>
      </c>
      <c r="P83" s="4041">
        <f t="shared" ref="P83" si="371">IF(OR($P82="",P$67=0),"",$P82*P$67)</f>
        <v>24</v>
      </c>
      <c r="X83" s="1762"/>
      <c r="Y83" s="1762"/>
      <c r="Z83" s="1762"/>
      <c r="AA83" s="1762"/>
      <c r="AB83" s="1762"/>
      <c r="AC83" s="1762"/>
      <c r="AD83" s="1762"/>
      <c r="AE83" s="1762"/>
      <c r="AF83" s="1762"/>
      <c r="AG83" s="1762"/>
      <c r="AH83" s="1762"/>
      <c r="AI83" s="1762"/>
      <c r="AJ83" s="1762"/>
      <c r="AK83" s="1762"/>
      <c r="AL83" s="1762"/>
      <c r="AM83" s="1762"/>
      <c r="AN83" s="1762"/>
      <c r="AO83" s="1762"/>
      <c r="AP83" s="1762"/>
      <c r="AQ83" s="1762"/>
      <c r="AR83" s="1762"/>
      <c r="AS83" s="1762"/>
      <c r="AT83" s="1762"/>
      <c r="AU83" s="1762"/>
      <c r="AV83" s="1762"/>
      <c r="AW83" s="1762"/>
      <c r="AX83" s="1762"/>
      <c r="AY83" s="1762"/>
      <c r="AZ83" s="1762"/>
      <c r="BA83" s="1762"/>
      <c r="BB83" s="1762"/>
      <c r="BC83" s="1762"/>
      <c r="BD83" s="1762"/>
      <c r="BE83" s="1762"/>
      <c r="BF83" s="1762"/>
      <c r="BG83" s="1762"/>
      <c r="BH83" s="1762"/>
      <c r="BI83" s="1762"/>
      <c r="BJ83" s="1762"/>
      <c r="BK83" s="1762"/>
      <c r="BL83" s="1762"/>
      <c r="BM83" s="1762"/>
      <c r="BN83" s="1762"/>
      <c r="BO83" s="1762"/>
      <c r="BP83" s="1762"/>
      <c r="BQ83" s="1762"/>
      <c r="BR83" s="1762"/>
      <c r="BS83" s="1762"/>
      <c r="BT83" s="1762"/>
      <c r="BU83" s="1762"/>
      <c r="BV83" s="1762"/>
      <c r="BW83" s="1762"/>
      <c r="BX83" s="1762"/>
      <c r="BY83" s="1762"/>
      <c r="BZ83" s="1762"/>
      <c r="CA83" s="1762"/>
      <c r="CB83" s="1762"/>
      <c r="CC83" s="1762"/>
      <c r="CD83" s="1762"/>
      <c r="CE83" s="1762"/>
      <c r="CF83" s="1762"/>
      <c r="CG83" s="1762"/>
      <c r="CH83" s="1762"/>
      <c r="CI83" s="1762"/>
      <c r="CJ83" s="1762"/>
      <c r="CK83" s="1762"/>
      <c r="CL83" s="1762"/>
      <c r="CM83" s="1762"/>
      <c r="CN83" s="1762"/>
      <c r="CO83" s="1762"/>
      <c r="CP83" s="1762"/>
      <c r="CQ83" s="1762"/>
      <c r="CR83" s="1762"/>
      <c r="CS83" s="1762"/>
      <c r="CT83" s="1762"/>
      <c r="CU83" s="1762"/>
      <c r="CV83" s="1762"/>
      <c r="CW83" s="1762"/>
      <c r="CX83" s="1762"/>
      <c r="CY83" s="1762"/>
      <c r="CZ83" s="1762"/>
      <c r="DA83" s="1762"/>
      <c r="DB83" s="1762"/>
      <c r="DC83" s="1762"/>
      <c r="DD83" s="1762"/>
      <c r="DE83" s="1762"/>
      <c r="DF83" s="1762"/>
      <c r="DG83" s="1762"/>
      <c r="DH83" s="1762"/>
      <c r="DI83" s="1762"/>
      <c r="DJ83" s="1762"/>
      <c r="DK83" s="1762"/>
      <c r="DL83" s="1762"/>
      <c r="DM83" s="1762"/>
      <c r="DN83" s="1762"/>
      <c r="DO83" s="1762"/>
      <c r="DP83" s="1762"/>
      <c r="DQ83" s="1762"/>
      <c r="DR83" s="1762"/>
      <c r="DS83" s="1762"/>
      <c r="DT83" s="1762"/>
      <c r="DU83" s="1762"/>
      <c r="DV83" s="1762"/>
      <c r="DW83" s="1762"/>
      <c r="DX83" s="1762"/>
      <c r="DY83" s="1762"/>
      <c r="DZ83" s="1762"/>
      <c r="EA83" s="1762"/>
      <c r="EB83" s="1762"/>
      <c r="EC83" s="1762"/>
      <c r="ED83" s="1762"/>
      <c r="EE83" s="1762"/>
      <c r="EF83" s="1762"/>
      <c r="EG83" s="1762"/>
      <c r="EH83" s="1762"/>
      <c r="EI83" s="1762"/>
      <c r="EJ83" s="1762"/>
      <c r="EK83" s="1762"/>
      <c r="EL83" s="1762"/>
      <c r="EM83" s="1762"/>
      <c r="EN83" s="1762"/>
      <c r="EO83" s="1762"/>
      <c r="EP83" s="1762"/>
      <c r="EQ83" s="1762"/>
      <c r="ER83" s="1762"/>
      <c r="ES83" s="1762"/>
      <c r="ET83" s="1762"/>
      <c r="EU83" s="1762"/>
      <c r="EV83" s="1762"/>
      <c r="EW83" s="1762"/>
      <c r="EX83" s="1762"/>
      <c r="EY83" s="1762"/>
      <c r="EZ83" s="1762"/>
      <c r="FA83" s="1762"/>
      <c r="FB83" s="1762"/>
      <c r="FC83" s="1762"/>
      <c r="FD83" s="1762"/>
      <c r="FE83" s="1762"/>
      <c r="FF83" s="1762"/>
      <c r="FG83" s="1762"/>
      <c r="FH83" s="1762"/>
      <c r="FI83" s="1762"/>
      <c r="FJ83" s="1762"/>
      <c r="FK83" s="1762"/>
      <c r="FL83" s="1762"/>
      <c r="FM83" s="1762"/>
      <c r="FN83" s="1762"/>
      <c r="FO83" s="1762"/>
      <c r="FP83" s="1762"/>
      <c r="FQ83" s="1762"/>
      <c r="FR83" s="1762"/>
      <c r="FS83" s="1762"/>
      <c r="FT83" s="1762"/>
      <c r="FU83" s="1762"/>
      <c r="FV83" s="1762"/>
      <c r="FW83" s="1762"/>
      <c r="FX83" s="1762"/>
      <c r="FY83" s="1762"/>
      <c r="FZ83" s="1762"/>
      <c r="GA83" s="1762"/>
      <c r="GB83" s="1762"/>
      <c r="GC83" s="1762"/>
      <c r="GD83" s="1762"/>
      <c r="GE83" s="1762"/>
      <c r="GF83" s="1762"/>
      <c r="GG83" s="1762"/>
      <c r="GH83" s="1762"/>
      <c r="GI83" s="1762"/>
      <c r="GJ83" s="1762"/>
      <c r="GK83" s="1762"/>
      <c r="GL83" s="1762"/>
      <c r="GM83" s="1762"/>
      <c r="GN83" s="1762"/>
      <c r="GO83" s="1762"/>
      <c r="GP83" s="1762"/>
      <c r="GQ83" s="1762"/>
      <c r="GR83" s="1762"/>
      <c r="GS83" s="1762"/>
      <c r="GT83" s="1762"/>
      <c r="GU83" s="1762"/>
      <c r="GV83" s="1762"/>
      <c r="GW83" s="1762"/>
      <c r="GX83" s="1762"/>
      <c r="GY83" s="1762"/>
      <c r="GZ83" s="1762"/>
      <c r="HA83" s="1762"/>
      <c r="HB83" s="1762"/>
      <c r="HC83" s="1762"/>
      <c r="HD83" s="1762"/>
      <c r="HE83" s="1762"/>
      <c r="HF83" s="1762"/>
      <c r="HG83" s="1762"/>
      <c r="HH83" s="1762"/>
      <c r="HI83" s="1762"/>
      <c r="HJ83" s="1762"/>
      <c r="HK83" s="1762"/>
      <c r="HL83" s="1762"/>
      <c r="HM83" s="1762"/>
      <c r="HN83" s="1762"/>
      <c r="HO83" s="1762"/>
      <c r="HP83" s="1762"/>
      <c r="HQ83" s="1762"/>
      <c r="HR83" s="1762"/>
      <c r="HS83" s="1762"/>
      <c r="HT83" s="1762"/>
      <c r="HU83" s="1762"/>
      <c r="HV83" s="1762"/>
      <c r="HW83" s="1762"/>
      <c r="HX83" s="1762"/>
      <c r="HY83" s="1762"/>
      <c r="HZ83" s="1762"/>
      <c r="IA83" s="1762"/>
      <c r="IB83" s="1762"/>
      <c r="IC83" s="1762"/>
      <c r="ID83" s="1762"/>
      <c r="IE83" s="1762"/>
      <c r="IF83" s="1762"/>
      <c r="IG83" s="1762"/>
      <c r="IH83" s="1762"/>
      <c r="II83" s="1762"/>
      <c r="IJ83" s="1762"/>
      <c r="IK83" s="1762"/>
      <c r="IL83" s="1762"/>
      <c r="IM83" s="1762"/>
      <c r="IN83" s="1762"/>
      <c r="IO83" s="1762"/>
      <c r="IP83" s="1762"/>
      <c r="IQ83" s="1762"/>
      <c r="IR83" s="1762"/>
      <c r="IS83" s="1762"/>
      <c r="IT83" s="1762"/>
      <c r="IU83" s="1762"/>
      <c r="IV83" s="1762"/>
      <c r="IW83" s="1762"/>
      <c r="IX83" s="1762"/>
      <c r="IY83" s="1762"/>
      <c r="IZ83" s="1762"/>
      <c r="JA83" s="1762"/>
      <c r="JB83" s="1762"/>
      <c r="JC83" s="1762"/>
      <c r="JD83" s="1762"/>
      <c r="JE83" s="1762"/>
      <c r="JF83" s="1762"/>
      <c r="JG83" s="1762"/>
      <c r="JH83" s="1762"/>
      <c r="JI83" s="1762"/>
      <c r="JJ83" s="1762"/>
      <c r="JK83" s="1762"/>
      <c r="JL83" s="1762"/>
      <c r="JM83" s="1762"/>
      <c r="JN83" s="1762"/>
      <c r="JO83" s="1762"/>
      <c r="JP83" s="1762"/>
      <c r="JQ83" s="1762"/>
      <c r="JR83" s="1762"/>
      <c r="JS83" s="1762"/>
      <c r="JT83" s="1762"/>
      <c r="JU83" s="1762"/>
      <c r="JV83" s="1762"/>
      <c r="JW83" s="1762"/>
      <c r="JX83" s="1762"/>
      <c r="JY83" s="1762"/>
      <c r="JZ83" s="1762"/>
      <c r="KA83" s="1762"/>
      <c r="KB83" s="1762"/>
      <c r="KC83" s="1762"/>
      <c r="KD83" s="1762"/>
      <c r="KE83" s="1762"/>
      <c r="KF83" s="1762"/>
      <c r="KG83" s="1762"/>
      <c r="KH83" s="1762"/>
      <c r="KI83" s="1762"/>
      <c r="KJ83" s="1762"/>
      <c r="KK83" s="1762"/>
      <c r="KL83" s="1762"/>
      <c r="KM83" s="1762"/>
      <c r="KN83" s="1762"/>
      <c r="KO83" s="1762"/>
      <c r="KP83" s="1762"/>
      <c r="KQ83" s="1762"/>
      <c r="KR83" s="1762"/>
      <c r="KS83" s="1762"/>
      <c r="KT83" s="1762"/>
      <c r="KU83" s="1762"/>
      <c r="KV83" s="1762"/>
      <c r="KW83" s="1762"/>
      <c r="KX83" s="1762"/>
      <c r="KY83" s="1762"/>
      <c r="KZ83" s="1762"/>
      <c r="LA83" s="1762"/>
      <c r="LB83" s="1762"/>
      <c r="LC83" s="1762"/>
      <c r="LD83" s="1762"/>
      <c r="LE83" s="1762"/>
      <c r="LF83" s="1762"/>
      <c r="LG83" s="1762"/>
      <c r="LH83" s="1762"/>
      <c r="LI83" s="1762"/>
      <c r="LJ83" s="1762"/>
      <c r="LK83" s="1762"/>
      <c r="LL83" s="1762"/>
      <c r="LM83" s="1762"/>
      <c r="LN83" s="1762"/>
      <c r="LO83" s="1762"/>
      <c r="LP83" s="1762"/>
      <c r="LQ83" s="1762"/>
      <c r="LR83" s="1762"/>
      <c r="LS83" s="1762"/>
      <c r="LT83" s="1762"/>
      <c r="LU83" s="1762"/>
      <c r="LV83" s="1762"/>
      <c r="LW83" s="1762"/>
      <c r="LX83" s="1762"/>
      <c r="LY83" s="1762"/>
      <c r="LZ83" s="1762"/>
      <c r="MA83" s="1762"/>
      <c r="MB83" s="1762"/>
      <c r="MC83" s="1762"/>
      <c r="MD83" s="1762"/>
      <c r="ME83" s="1762"/>
      <c r="MF83" s="1762"/>
      <c r="MG83" s="1762"/>
      <c r="MH83" s="1762"/>
      <c r="MI83" s="1762"/>
      <c r="MJ83" s="1762"/>
      <c r="MK83" s="1762"/>
      <c r="ML83" s="1762"/>
      <c r="MM83" s="1762"/>
      <c r="MN83" s="1762"/>
      <c r="MO83" s="1762"/>
      <c r="MP83" s="1762"/>
      <c r="MQ83" s="1762"/>
      <c r="MR83" s="1762"/>
      <c r="MS83" s="1762"/>
      <c r="MT83" s="1762"/>
      <c r="MU83" s="1762"/>
      <c r="MV83" s="1762"/>
      <c r="MW83" s="1762"/>
      <c r="MX83" s="1762"/>
      <c r="MY83" s="1762"/>
      <c r="MZ83" s="1762"/>
      <c r="NA83" s="1762"/>
      <c r="NB83" s="1762"/>
      <c r="NC83" s="1762"/>
      <c r="ND83" s="1762"/>
      <c r="NE83" s="158"/>
      <c r="NF83" s="158"/>
      <c r="NG83" s="158"/>
      <c r="NH83" s="158"/>
      <c r="NI83" s="158"/>
      <c r="NJ83" s="158"/>
      <c r="NK83" s="158"/>
      <c r="NL83" s="158"/>
      <c r="NM83" s="158"/>
      <c r="NN83" s="158"/>
      <c r="NO83" s="158"/>
      <c r="NP83" s="158"/>
      <c r="NQ83" s="158"/>
      <c r="NR83" s="158"/>
      <c r="NS83" s="158"/>
      <c r="NT83" s="158"/>
      <c r="NU83" s="158"/>
      <c r="NV83" s="158"/>
      <c r="NW83" s="158"/>
      <c r="NX83" s="158"/>
      <c r="NY83" s="158"/>
      <c r="NZ83" s="158"/>
      <c r="OA83" s="158"/>
      <c r="OB83" s="158"/>
      <c r="OC83" s="158"/>
      <c r="OD83" s="158"/>
      <c r="OE83" s="158"/>
      <c r="OF83" s="158"/>
      <c r="OG83" s="158"/>
      <c r="OH83" s="158"/>
      <c r="OI83" s="158"/>
      <c r="OJ83" s="158"/>
      <c r="OK83" s="158"/>
      <c r="OL83" s="158"/>
      <c r="OM83" s="158"/>
      <c r="ON83" s="158"/>
      <c r="OO83" s="158"/>
      <c r="OP83" s="158"/>
      <c r="OQ83" s="158"/>
      <c r="OR83" s="158"/>
      <c r="OS83" s="158"/>
      <c r="OT83" s="158"/>
      <c r="OU83" s="158"/>
      <c r="OV83" s="158"/>
      <c r="OW83" s="158"/>
      <c r="OX83" s="158"/>
      <c r="OY83" s="158"/>
      <c r="OZ83" s="158"/>
      <c r="PA83" s="158"/>
      <c r="PB83" s="158"/>
      <c r="PC83" s="158"/>
      <c r="PD83" s="158"/>
      <c r="PE83" s="158"/>
      <c r="PF83" s="158"/>
      <c r="PG83" s="158"/>
      <c r="PH83" s="158"/>
      <c r="PI83" s="158"/>
      <c r="PJ83" s="158"/>
      <c r="PK83" s="158"/>
      <c r="PL83" s="158"/>
      <c r="PM83" s="158"/>
      <c r="PN83" s="158"/>
      <c r="PO83" s="158"/>
      <c r="PP83" s="158"/>
      <c r="PQ83" s="158"/>
      <c r="PR83" s="158"/>
      <c r="PS83" s="158"/>
      <c r="PT83" s="158"/>
      <c r="PU83" s="158"/>
      <c r="PV83" s="158"/>
      <c r="PW83" s="158"/>
      <c r="PX83" s="158"/>
      <c r="PY83" s="158"/>
      <c r="PZ83" s="158"/>
      <c r="QA83" s="158"/>
      <c r="QB83" s="158"/>
      <c r="QC83" s="158"/>
      <c r="QD83" s="158"/>
      <c r="QE83" s="158"/>
      <c r="QF83" s="158"/>
      <c r="QG83" s="158"/>
      <c r="QH83" s="158"/>
      <c r="QI83" s="158"/>
      <c r="QJ83" s="158"/>
      <c r="QK83" s="158"/>
      <c r="QL83" s="158"/>
      <c r="QM83" s="158"/>
      <c r="QN83" s="158"/>
      <c r="QO83" s="158"/>
      <c r="QP83" s="158"/>
      <c r="QQ83" s="158"/>
      <c r="QR83" s="158"/>
      <c r="QS83" s="158"/>
      <c r="QT83" s="158"/>
      <c r="QU83" s="158"/>
      <c r="QV83" s="158"/>
      <c r="QW83" s="158"/>
      <c r="QX83" s="158"/>
      <c r="QY83" s="158"/>
      <c r="QZ83" s="158"/>
      <c r="RA83" s="158"/>
      <c r="RB83" s="158"/>
      <c r="RC83" s="158"/>
      <c r="RD83" s="158"/>
      <c r="RE83" s="158"/>
      <c r="RF83" s="158"/>
      <c r="RG83" s="158"/>
      <c r="RH83" s="158"/>
      <c r="RI83" s="158"/>
      <c r="RJ83" s="158"/>
      <c r="RK83" s="158"/>
      <c r="RL83" s="158"/>
      <c r="RM83" s="158"/>
      <c r="RN83" s="158"/>
      <c r="RO83" s="158"/>
      <c r="RP83" s="158"/>
      <c r="RQ83" s="158"/>
      <c r="RR83" s="158"/>
      <c r="RS83" s="158"/>
      <c r="RT83" s="158"/>
      <c r="RU83" s="158"/>
      <c r="RV83" s="158"/>
      <c r="RW83" s="158"/>
      <c r="RX83" s="158"/>
      <c r="RY83" s="158"/>
      <c r="RZ83" s="158"/>
      <c r="SA83" s="158"/>
    </row>
    <row r="84" spans="1:495" s="27" customFormat="1">
      <c r="B84" s="116"/>
      <c r="C84" s="204"/>
      <c r="D84" s="8"/>
      <c r="E84" s="8"/>
      <c r="F84" s="8"/>
      <c r="G84" s="8"/>
      <c r="H84" s="4042" t="s">
        <v>4802</v>
      </c>
      <c r="I84" s="4043"/>
      <c r="J84" s="1"/>
      <c r="K84" s="4044" t="str">
        <f t="shared" ref="K84:P84" si="372">IF(OR(K83="",K60=0),"", K60-K83)</f>
        <v/>
      </c>
      <c r="L84" s="4044">
        <f t="shared" si="372"/>
        <v>-0.66666666666666607</v>
      </c>
      <c r="M84" s="4044">
        <f t="shared" si="372"/>
        <v>0.66666666666666785</v>
      </c>
      <c r="N84" s="4044" t="str">
        <f t="shared" si="372"/>
        <v/>
      </c>
      <c r="O84" s="4044" t="str">
        <f t="shared" si="372"/>
        <v/>
      </c>
      <c r="P84" s="4044">
        <f t="shared" si="372"/>
        <v>0</v>
      </c>
      <c r="X84" s="1762"/>
      <c r="Y84" s="1762"/>
      <c r="Z84" s="1762"/>
      <c r="AA84" s="1762"/>
      <c r="AB84" s="1762"/>
      <c r="AC84" s="1762"/>
      <c r="AD84" s="1762"/>
      <c r="AE84" s="1762"/>
      <c r="AF84" s="1762"/>
      <c r="AG84" s="1762"/>
      <c r="AH84" s="1762"/>
      <c r="AI84" s="1762"/>
      <c r="AJ84" s="1762"/>
      <c r="AK84" s="1762"/>
      <c r="AL84" s="1762"/>
      <c r="AM84" s="1762"/>
      <c r="AN84" s="1762"/>
      <c r="AO84" s="1762"/>
      <c r="AP84" s="1762"/>
      <c r="AQ84" s="1762"/>
      <c r="AR84" s="1762"/>
      <c r="AS84" s="1762"/>
      <c r="AT84" s="1762"/>
      <c r="AU84" s="1762"/>
      <c r="AV84" s="1762"/>
      <c r="AW84" s="1762"/>
      <c r="AX84" s="1762"/>
      <c r="AY84" s="1762"/>
      <c r="AZ84" s="1762"/>
      <c r="BA84" s="1762"/>
      <c r="BB84" s="1762"/>
      <c r="BC84" s="1762"/>
      <c r="BD84" s="1762"/>
      <c r="BE84" s="1762"/>
      <c r="BF84" s="1762"/>
      <c r="BG84" s="1762"/>
      <c r="BH84" s="1762"/>
      <c r="BI84" s="1762"/>
      <c r="BJ84" s="1762"/>
      <c r="BK84" s="1762"/>
      <c r="BL84" s="1762"/>
      <c r="BM84" s="1762"/>
      <c r="BN84" s="1762"/>
      <c r="BO84" s="1762"/>
      <c r="BP84" s="1762"/>
      <c r="BQ84" s="1762"/>
      <c r="BR84" s="1762"/>
      <c r="BS84" s="1762"/>
      <c r="BT84" s="1762"/>
      <c r="BU84" s="1762"/>
      <c r="BV84" s="1762"/>
      <c r="BW84" s="1762"/>
      <c r="BX84" s="1762"/>
      <c r="BY84" s="1762"/>
      <c r="BZ84" s="1762"/>
      <c r="CA84" s="1762"/>
      <c r="CB84" s="1762"/>
      <c r="CC84" s="1762"/>
      <c r="CD84" s="1762"/>
      <c r="CE84" s="1762"/>
      <c r="CF84" s="1762"/>
      <c r="CG84" s="1762"/>
      <c r="CH84" s="1762"/>
      <c r="CI84" s="1762"/>
      <c r="CJ84" s="1762"/>
      <c r="CK84" s="1762"/>
      <c r="CL84" s="1762"/>
      <c r="CM84" s="1762"/>
      <c r="CN84" s="1762"/>
      <c r="CO84" s="1762"/>
      <c r="CP84" s="1762"/>
      <c r="CQ84" s="1762"/>
      <c r="CR84" s="1762"/>
      <c r="CS84" s="1762"/>
      <c r="CT84" s="1762"/>
      <c r="CU84" s="1762"/>
      <c r="CV84" s="1762"/>
      <c r="CW84" s="1762"/>
      <c r="CX84" s="1762"/>
      <c r="CY84" s="1762"/>
      <c r="CZ84" s="1762"/>
      <c r="DA84" s="1762"/>
      <c r="DB84" s="1762"/>
      <c r="DC84" s="1762"/>
      <c r="DD84" s="1762"/>
      <c r="DE84" s="1762"/>
      <c r="DF84" s="1762"/>
      <c r="DG84" s="1762"/>
      <c r="DH84" s="1762"/>
      <c r="DI84" s="1762"/>
      <c r="DJ84" s="1762"/>
      <c r="DK84" s="1762"/>
      <c r="DL84" s="1762"/>
      <c r="DM84" s="1762"/>
      <c r="DN84" s="1762"/>
      <c r="DO84" s="1762"/>
      <c r="DP84" s="1762"/>
      <c r="DQ84" s="1762"/>
      <c r="DR84" s="1762"/>
      <c r="DS84" s="1762"/>
      <c r="DT84" s="1762"/>
      <c r="DU84" s="1762"/>
      <c r="DV84" s="1762"/>
      <c r="DW84" s="1762"/>
      <c r="DX84" s="1762"/>
      <c r="DY84" s="1762"/>
      <c r="DZ84" s="1762"/>
      <c r="EA84" s="1762"/>
      <c r="EB84" s="1762"/>
      <c r="EC84" s="1762"/>
      <c r="ED84" s="1762"/>
      <c r="EE84" s="1762"/>
      <c r="EF84" s="1762"/>
      <c r="EG84" s="1762"/>
      <c r="EH84" s="1762"/>
      <c r="EI84" s="1762"/>
      <c r="EJ84" s="1762"/>
      <c r="EK84" s="1762"/>
      <c r="EL84" s="1762"/>
      <c r="EM84" s="1762"/>
      <c r="EN84" s="1762"/>
      <c r="EO84" s="1762"/>
      <c r="EP84" s="1762"/>
      <c r="EQ84" s="1762"/>
      <c r="ER84" s="1762"/>
      <c r="ES84" s="1762"/>
      <c r="ET84" s="1762"/>
      <c r="EU84" s="1762"/>
      <c r="EV84" s="1762"/>
      <c r="EW84" s="1762"/>
      <c r="EX84" s="1762"/>
      <c r="EY84" s="1762"/>
      <c r="EZ84" s="1762"/>
      <c r="FA84" s="1762"/>
      <c r="FB84" s="1762"/>
      <c r="FC84" s="1762"/>
      <c r="FD84" s="1762"/>
      <c r="FE84" s="1762"/>
      <c r="FF84" s="1762"/>
      <c r="FG84" s="1762"/>
      <c r="FH84" s="1762"/>
      <c r="FI84" s="1762"/>
      <c r="FJ84" s="1762"/>
      <c r="FK84" s="1762"/>
      <c r="FL84" s="1762"/>
      <c r="FM84" s="1762"/>
      <c r="FN84" s="1762"/>
      <c r="FO84" s="1762"/>
      <c r="FP84" s="1762"/>
      <c r="FQ84" s="1762"/>
      <c r="FR84" s="1762"/>
      <c r="FS84" s="1762"/>
      <c r="FT84" s="1762"/>
      <c r="FU84" s="1762"/>
      <c r="FV84" s="1762"/>
      <c r="FW84" s="1762"/>
      <c r="FX84" s="1762"/>
      <c r="FY84" s="1762"/>
      <c r="FZ84" s="1762"/>
      <c r="GA84" s="1762"/>
      <c r="GB84" s="1762"/>
      <c r="GC84" s="1762"/>
      <c r="GD84" s="1762"/>
      <c r="GE84" s="1762"/>
      <c r="GF84" s="1762"/>
      <c r="GG84" s="1762"/>
      <c r="GH84" s="1762"/>
      <c r="GI84" s="1762"/>
      <c r="GJ84" s="1762"/>
      <c r="GK84" s="1762"/>
      <c r="GL84" s="1762"/>
      <c r="GM84" s="1762"/>
      <c r="GN84" s="1762"/>
      <c r="GO84" s="1762"/>
      <c r="GP84" s="1762"/>
      <c r="GQ84" s="1762"/>
      <c r="GR84" s="1762"/>
      <c r="GS84" s="1762"/>
      <c r="GT84" s="1762"/>
      <c r="GU84" s="1762"/>
      <c r="GV84" s="1762"/>
      <c r="GW84" s="1762"/>
      <c r="GX84" s="1762"/>
      <c r="GY84" s="1762"/>
      <c r="GZ84" s="1762"/>
      <c r="HA84" s="1762"/>
      <c r="HB84" s="1762"/>
      <c r="HC84" s="1762"/>
      <c r="HD84" s="1762"/>
      <c r="HE84" s="1762"/>
      <c r="HF84" s="1762"/>
      <c r="HG84" s="1762"/>
      <c r="HH84" s="1762"/>
      <c r="HI84" s="1762"/>
      <c r="HJ84" s="1762"/>
      <c r="HK84" s="1762"/>
      <c r="HL84" s="1762"/>
      <c r="HM84" s="1762"/>
      <c r="HN84" s="1762"/>
      <c r="HO84" s="1762"/>
      <c r="HP84" s="1762"/>
      <c r="HQ84" s="1762"/>
      <c r="HR84" s="1762"/>
      <c r="HS84" s="1762"/>
      <c r="HT84" s="1762"/>
      <c r="HU84" s="1762"/>
      <c r="HV84" s="1762"/>
      <c r="HW84" s="1762"/>
      <c r="HX84" s="1762"/>
      <c r="HY84" s="1762"/>
      <c r="HZ84" s="1762"/>
      <c r="IA84" s="1762"/>
      <c r="IB84" s="1762"/>
      <c r="IC84" s="1762"/>
      <c r="ID84" s="1762"/>
      <c r="IE84" s="1762"/>
      <c r="IF84" s="1762"/>
      <c r="IG84" s="1762"/>
      <c r="IH84" s="1762"/>
      <c r="II84" s="1762"/>
      <c r="IJ84" s="1762"/>
      <c r="IK84" s="1762"/>
      <c r="IL84" s="1762"/>
      <c r="IM84" s="1762"/>
      <c r="IN84" s="1762"/>
      <c r="IO84" s="1762"/>
      <c r="IP84" s="1762"/>
      <c r="IQ84" s="1762"/>
      <c r="IR84" s="1762"/>
      <c r="IS84" s="1762"/>
      <c r="IT84" s="1762"/>
      <c r="IU84" s="1762"/>
      <c r="IV84" s="1762"/>
      <c r="IW84" s="1762"/>
      <c r="IX84" s="1762"/>
      <c r="IY84" s="1762"/>
      <c r="IZ84" s="1762"/>
      <c r="JA84" s="1762"/>
      <c r="JB84" s="1762"/>
      <c r="JC84" s="1762"/>
      <c r="JD84" s="1762"/>
      <c r="JE84" s="1762"/>
      <c r="JF84" s="1762"/>
      <c r="JG84" s="1762"/>
      <c r="JH84" s="1762"/>
      <c r="JI84" s="1762"/>
      <c r="JJ84" s="1762"/>
      <c r="JK84" s="1762"/>
      <c r="JL84" s="1762"/>
      <c r="JM84" s="1762"/>
      <c r="JN84" s="1762"/>
      <c r="JO84" s="1762"/>
      <c r="JP84" s="1762"/>
      <c r="JQ84" s="1762"/>
      <c r="JR84" s="1762"/>
      <c r="JS84" s="1762"/>
      <c r="JT84" s="1762"/>
      <c r="JU84" s="1762"/>
      <c r="JV84" s="1762"/>
      <c r="JW84" s="1762"/>
      <c r="JX84" s="1762"/>
      <c r="JY84" s="1762"/>
      <c r="JZ84" s="1762"/>
      <c r="KA84" s="1762"/>
      <c r="KB84" s="1762"/>
      <c r="KC84" s="1762"/>
      <c r="KD84" s="1762"/>
      <c r="KE84" s="1762"/>
      <c r="KF84" s="1762"/>
      <c r="KG84" s="1762"/>
      <c r="KH84" s="1762"/>
      <c r="KI84" s="1762"/>
      <c r="KJ84" s="1762"/>
      <c r="KK84" s="1762"/>
      <c r="KL84" s="1762"/>
      <c r="KM84" s="1762"/>
      <c r="KN84" s="1762"/>
      <c r="KO84" s="1762"/>
      <c r="KP84" s="1762"/>
      <c r="KQ84" s="1762"/>
      <c r="KR84" s="1762"/>
      <c r="KS84" s="1762"/>
      <c r="KT84" s="1762"/>
      <c r="KU84" s="1762"/>
      <c r="KV84" s="1762"/>
      <c r="KW84" s="1762"/>
      <c r="KX84" s="1762"/>
      <c r="KY84" s="1762"/>
      <c r="KZ84" s="1762"/>
      <c r="LA84" s="1762"/>
      <c r="LB84" s="1762"/>
      <c r="LC84" s="1762"/>
      <c r="LD84" s="1762"/>
      <c r="LE84" s="1762"/>
      <c r="LF84" s="1762"/>
      <c r="LG84" s="1762"/>
      <c r="LH84" s="1762"/>
      <c r="LI84" s="1762"/>
      <c r="LJ84" s="1762"/>
      <c r="LK84" s="1762"/>
      <c r="LL84" s="1762"/>
      <c r="LM84" s="1762"/>
      <c r="LN84" s="1762"/>
      <c r="LO84" s="1762"/>
      <c r="LP84" s="1762"/>
      <c r="LQ84" s="1762"/>
      <c r="LR84" s="1762"/>
      <c r="LS84" s="1762"/>
      <c r="LT84" s="1762"/>
      <c r="LU84" s="1762"/>
      <c r="LV84" s="1762"/>
      <c r="LW84" s="1762"/>
      <c r="LX84" s="1762"/>
      <c r="LY84" s="1762"/>
      <c r="LZ84" s="1762"/>
      <c r="MA84" s="1762"/>
      <c r="MB84" s="1762"/>
      <c r="MC84" s="1762"/>
      <c r="MD84" s="1762"/>
      <c r="ME84" s="1762"/>
      <c r="MF84" s="1762"/>
      <c r="MG84" s="1762"/>
      <c r="MH84" s="1762"/>
      <c r="MI84" s="1762"/>
      <c r="MJ84" s="1762"/>
      <c r="MK84" s="1762"/>
      <c r="ML84" s="1762"/>
      <c r="MM84" s="1762"/>
      <c r="MN84" s="1762"/>
      <c r="MO84" s="1762"/>
      <c r="MP84" s="1762"/>
      <c r="MQ84" s="1762"/>
      <c r="MR84" s="1762"/>
      <c r="MS84" s="1762"/>
      <c r="MT84" s="1762"/>
      <c r="MU84" s="1762"/>
      <c r="MV84" s="1762"/>
      <c r="MW84" s="1762"/>
      <c r="MX84" s="1762"/>
      <c r="MY84" s="1762"/>
      <c r="MZ84" s="1762"/>
      <c r="NA84" s="1762"/>
      <c r="NB84" s="1762"/>
      <c r="NC84" s="1762"/>
      <c r="ND84" s="1762"/>
      <c r="NE84" s="158"/>
      <c r="NF84" s="158"/>
      <c r="NG84" s="158"/>
      <c r="NH84" s="158"/>
      <c r="NI84" s="158"/>
      <c r="NJ84" s="158"/>
      <c r="NK84" s="158"/>
      <c r="NL84" s="158"/>
      <c r="NM84" s="158"/>
      <c r="NN84" s="158"/>
      <c r="NO84" s="158"/>
      <c r="NP84" s="158"/>
      <c r="NQ84" s="158"/>
      <c r="NR84" s="158"/>
      <c r="NS84" s="158"/>
      <c r="NT84" s="158"/>
      <c r="NU84" s="158"/>
      <c r="NV84" s="158"/>
      <c r="NW84" s="158"/>
      <c r="NX84" s="158"/>
      <c r="NY84" s="158"/>
      <c r="NZ84" s="158"/>
      <c r="OA84" s="158"/>
      <c r="OB84" s="158"/>
      <c r="OC84" s="158"/>
      <c r="OD84" s="158"/>
      <c r="OE84" s="158"/>
      <c r="OF84" s="158"/>
      <c r="OG84" s="158"/>
      <c r="OH84" s="158"/>
      <c r="OI84" s="158"/>
      <c r="OJ84" s="158"/>
      <c r="OK84" s="158"/>
      <c r="OL84" s="158"/>
      <c r="OM84" s="158"/>
      <c r="ON84" s="158"/>
      <c r="OO84" s="158"/>
      <c r="OP84" s="158"/>
      <c r="OQ84" s="158"/>
      <c r="OR84" s="158"/>
      <c r="OS84" s="158"/>
      <c r="OT84" s="158"/>
      <c r="OU84" s="158"/>
      <c r="OV84" s="158"/>
      <c r="OW84" s="158"/>
      <c r="OX84" s="158"/>
      <c r="OY84" s="158"/>
      <c r="OZ84" s="158"/>
      <c r="PA84" s="158"/>
      <c r="PB84" s="158"/>
      <c r="PC84" s="158"/>
      <c r="PD84" s="158"/>
      <c r="PE84" s="158"/>
      <c r="PF84" s="158"/>
      <c r="PG84" s="158"/>
      <c r="PH84" s="158"/>
      <c r="PI84" s="158"/>
      <c r="PJ84" s="158"/>
      <c r="PK84" s="158"/>
      <c r="PL84" s="158"/>
      <c r="PM84" s="158"/>
      <c r="PN84" s="158"/>
      <c r="PO84" s="158"/>
      <c r="PP84" s="158"/>
      <c r="PQ84" s="158"/>
      <c r="PR84" s="158"/>
      <c r="PS84" s="158"/>
      <c r="PT84" s="158"/>
      <c r="PU84" s="158"/>
      <c r="PV84" s="158"/>
      <c r="PW84" s="158"/>
      <c r="PX84" s="158"/>
      <c r="PY84" s="158"/>
      <c r="PZ84" s="158"/>
      <c r="QA84" s="158"/>
      <c r="QB84" s="158"/>
      <c r="QC84" s="158"/>
      <c r="QD84" s="158"/>
      <c r="QE84" s="158"/>
      <c r="QF84" s="158"/>
      <c r="QG84" s="158"/>
      <c r="QH84" s="158"/>
      <c r="QI84" s="158"/>
      <c r="QJ84" s="158"/>
      <c r="QK84" s="158"/>
      <c r="QL84" s="158"/>
      <c r="QM84" s="158"/>
      <c r="QN84" s="158"/>
      <c r="QO84" s="158"/>
      <c r="QP84" s="158"/>
      <c r="QQ84" s="158"/>
      <c r="QR84" s="158"/>
      <c r="QS84" s="158"/>
      <c r="QT84" s="158"/>
      <c r="QU84" s="158"/>
      <c r="QV84" s="158"/>
      <c r="QW84" s="158"/>
      <c r="QX84" s="158"/>
      <c r="QY84" s="158"/>
      <c r="QZ84" s="158"/>
      <c r="RA84" s="158"/>
      <c r="RB84" s="158"/>
      <c r="RC84" s="158"/>
      <c r="RD84" s="158"/>
      <c r="RE84" s="158"/>
      <c r="RF84" s="158"/>
      <c r="RG84" s="158"/>
      <c r="RH84" s="158"/>
      <c r="RI84" s="158"/>
      <c r="RJ84" s="158"/>
      <c r="RK84" s="158"/>
      <c r="RL84" s="158"/>
      <c r="RM84" s="158"/>
      <c r="RN84" s="158"/>
      <c r="RO84" s="158"/>
      <c r="RP84" s="158"/>
      <c r="RQ84" s="158"/>
      <c r="RR84" s="158"/>
      <c r="RS84" s="158"/>
      <c r="RT84" s="158"/>
      <c r="RU84" s="158"/>
      <c r="RV84" s="158"/>
      <c r="RW84" s="158"/>
      <c r="RX84" s="158"/>
      <c r="RY84" s="158"/>
      <c r="RZ84" s="158"/>
      <c r="SA84" s="158"/>
    </row>
    <row r="85" spans="1:495" s="27" customFormat="1">
      <c r="B85" s="116"/>
      <c r="C85" s="204" t="s">
        <v>4777</v>
      </c>
      <c r="D85" s="8"/>
      <c r="E85" s="8"/>
      <c r="F85" s="8"/>
      <c r="G85" s="8"/>
      <c r="H85" s="110" t="s">
        <v>4123</v>
      </c>
      <c r="I85" s="36"/>
      <c r="J85" s="1"/>
      <c r="K85" s="4048" t="str">
        <f t="shared" ref="K85:P85" si="373">IF(OR(K61=0,K$67=0),"",K61/K$67)</f>
        <v/>
      </c>
      <c r="L85" s="4049" t="str">
        <f t="shared" si="373"/>
        <v/>
      </c>
      <c r="M85" s="4049" t="str">
        <f t="shared" si="373"/>
        <v/>
      </c>
      <c r="N85" s="4049" t="str">
        <f t="shared" si="373"/>
        <v/>
      </c>
      <c r="O85" s="4049" t="str">
        <f t="shared" si="373"/>
        <v/>
      </c>
      <c r="P85" s="4050" t="str">
        <f t="shared" si="373"/>
        <v/>
      </c>
      <c r="X85" s="1762"/>
      <c r="Y85" s="1762"/>
      <c r="Z85" s="1762"/>
      <c r="AA85" s="1762"/>
      <c r="AB85" s="1762"/>
      <c r="AC85" s="1762"/>
      <c r="AD85" s="1762"/>
      <c r="AE85" s="1762"/>
      <c r="AF85" s="1762"/>
      <c r="AG85" s="1762"/>
      <c r="AH85" s="1762"/>
      <c r="AI85" s="1762"/>
      <c r="AJ85" s="1762"/>
      <c r="AK85" s="1762"/>
      <c r="AL85" s="1762"/>
      <c r="AM85" s="1762"/>
      <c r="AN85" s="1762"/>
      <c r="AO85" s="1762"/>
      <c r="AP85" s="1762"/>
      <c r="AQ85" s="1762"/>
      <c r="AR85" s="1762"/>
      <c r="AS85" s="1762"/>
      <c r="AT85" s="1762"/>
      <c r="AU85" s="1762"/>
      <c r="AV85" s="1762"/>
      <c r="AW85" s="1762"/>
      <c r="AX85" s="1762"/>
      <c r="AY85" s="1762"/>
      <c r="AZ85" s="1762"/>
      <c r="BA85" s="1762"/>
      <c r="BB85" s="1762"/>
      <c r="BC85" s="1762"/>
      <c r="BD85" s="1762"/>
      <c r="BE85" s="1762"/>
      <c r="BF85" s="1762"/>
      <c r="BG85" s="1762"/>
      <c r="BH85" s="1762"/>
      <c r="BI85" s="1762"/>
      <c r="BJ85" s="1762"/>
      <c r="BK85" s="1762"/>
      <c r="BL85" s="1762"/>
      <c r="BM85" s="1762"/>
      <c r="BN85" s="1762"/>
      <c r="BO85" s="1762"/>
      <c r="BP85" s="1762"/>
      <c r="BQ85" s="1762"/>
      <c r="BR85" s="1762"/>
      <c r="BS85" s="1762"/>
      <c r="BT85" s="1762"/>
      <c r="BU85" s="1762"/>
      <c r="BV85" s="1762"/>
      <c r="BW85" s="1762"/>
      <c r="BX85" s="1762"/>
      <c r="BY85" s="1762"/>
      <c r="BZ85" s="1762"/>
      <c r="CA85" s="1762"/>
      <c r="CB85" s="1762"/>
      <c r="CC85" s="1762"/>
      <c r="CD85" s="1762"/>
      <c r="CE85" s="1762"/>
      <c r="CF85" s="1762"/>
      <c r="CG85" s="1762"/>
      <c r="CH85" s="1762"/>
      <c r="CI85" s="1762"/>
      <c r="CJ85" s="1762"/>
      <c r="CK85" s="1762"/>
      <c r="CL85" s="1762"/>
      <c r="CM85" s="1762"/>
      <c r="CN85" s="1762"/>
      <c r="CO85" s="1762"/>
      <c r="CP85" s="1762"/>
      <c r="CQ85" s="1762"/>
      <c r="CR85" s="1762"/>
      <c r="CS85" s="1762"/>
      <c r="CT85" s="1762"/>
      <c r="CU85" s="1762"/>
      <c r="CV85" s="1762"/>
      <c r="CW85" s="1762"/>
      <c r="CX85" s="1762"/>
      <c r="CY85" s="1762"/>
      <c r="CZ85" s="1762"/>
      <c r="DA85" s="1762"/>
      <c r="DB85" s="1762"/>
      <c r="DC85" s="1762"/>
      <c r="DD85" s="1762"/>
      <c r="DE85" s="1762"/>
      <c r="DF85" s="1762"/>
      <c r="DG85" s="1762"/>
      <c r="DH85" s="1762"/>
      <c r="DI85" s="1762"/>
      <c r="DJ85" s="1762"/>
      <c r="DK85" s="1762"/>
      <c r="DL85" s="1762"/>
      <c r="DM85" s="1762"/>
      <c r="DN85" s="1762"/>
      <c r="DO85" s="1762"/>
      <c r="DP85" s="1762"/>
      <c r="DQ85" s="1762"/>
      <c r="DR85" s="1762"/>
      <c r="DS85" s="1762"/>
      <c r="DT85" s="1762"/>
      <c r="DU85" s="1762"/>
      <c r="DV85" s="1762"/>
      <c r="DW85" s="1762"/>
      <c r="DX85" s="1762"/>
      <c r="DY85" s="1762"/>
      <c r="DZ85" s="1762"/>
      <c r="EA85" s="1762"/>
      <c r="EB85" s="1762"/>
      <c r="EC85" s="1762"/>
      <c r="ED85" s="1762"/>
      <c r="EE85" s="1762"/>
      <c r="EF85" s="1762"/>
      <c r="EG85" s="1762"/>
      <c r="EH85" s="1762"/>
      <c r="EI85" s="1762"/>
      <c r="EJ85" s="1762"/>
      <c r="EK85" s="1762"/>
      <c r="EL85" s="1762"/>
      <c r="EM85" s="1762"/>
      <c r="EN85" s="1762"/>
      <c r="EO85" s="1762"/>
      <c r="EP85" s="1762"/>
      <c r="EQ85" s="1762"/>
      <c r="ER85" s="1762"/>
      <c r="ES85" s="1762"/>
      <c r="ET85" s="1762"/>
      <c r="EU85" s="1762"/>
      <c r="EV85" s="1762"/>
      <c r="EW85" s="1762"/>
      <c r="EX85" s="1762"/>
      <c r="EY85" s="1762"/>
      <c r="EZ85" s="1762"/>
      <c r="FA85" s="1762"/>
      <c r="FB85" s="1762"/>
      <c r="FC85" s="1762"/>
      <c r="FD85" s="1762"/>
      <c r="FE85" s="1762"/>
      <c r="FF85" s="1762"/>
      <c r="FG85" s="1762"/>
      <c r="FH85" s="1762"/>
      <c r="FI85" s="1762"/>
      <c r="FJ85" s="1762"/>
      <c r="FK85" s="1762"/>
      <c r="FL85" s="1762"/>
      <c r="FM85" s="1762"/>
      <c r="FN85" s="1762"/>
      <c r="FO85" s="1762"/>
      <c r="FP85" s="1762"/>
      <c r="FQ85" s="1762"/>
      <c r="FR85" s="1762"/>
      <c r="FS85" s="1762"/>
      <c r="FT85" s="1762"/>
      <c r="FU85" s="1762"/>
      <c r="FV85" s="1762"/>
      <c r="FW85" s="1762"/>
      <c r="FX85" s="1762"/>
      <c r="FY85" s="1762"/>
      <c r="FZ85" s="1762"/>
      <c r="GA85" s="1762"/>
      <c r="GB85" s="1762"/>
      <c r="GC85" s="1762"/>
      <c r="GD85" s="1762"/>
      <c r="GE85" s="1762"/>
      <c r="GF85" s="1762"/>
      <c r="GG85" s="1762"/>
      <c r="GH85" s="1762"/>
      <c r="GI85" s="1762"/>
      <c r="GJ85" s="1762"/>
      <c r="GK85" s="1762"/>
      <c r="GL85" s="1762"/>
      <c r="GM85" s="1762"/>
      <c r="GN85" s="1762"/>
      <c r="GO85" s="1762"/>
      <c r="GP85" s="1762"/>
      <c r="GQ85" s="1762"/>
      <c r="GR85" s="1762"/>
      <c r="GS85" s="1762"/>
      <c r="GT85" s="1762"/>
      <c r="GU85" s="1762"/>
      <c r="GV85" s="1762"/>
      <c r="GW85" s="1762"/>
      <c r="GX85" s="1762"/>
      <c r="GY85" s="1762"/>
      <c r="GZ85" s="1762"/>
      <c r="HA85" s="1762"/>
      <c r="HB85" s="1762"/>
      <c r="HC85" s="1762"/>
      <c r="HD85" s="1762"/>
      <c r="HE85" s="1762"/>
      <c r="HF85" s="1762"/>
      <c r="HG85" s="1762"/>
      <c r="HH85" s="1762"/>
      <c r="HI85" s="1762"/>
      <c r="HJ85" s="1762"/>
      <c r="HK85" s="1762"/>
      <c r="HL85" s="1762"/>
      <c r="HM85" s="1762"/>
      <c r="HN85" s="1762"/>
      <c r="HO85" s="1762"/>
      <c r="HP85" s="1762"/>
      <c r="HQ85" s="1762"/>
      <c r="HR85" s="1762"/>
      <c r="HS85" s="1762"/>
      <c r="HT85" s="1762"/>
      <c r="HU85" s="1762"/>
      <c r="HV85" s="1762"/>
      <c r="HW85" s="1762"/>
      <c r="HX85" s="1762"/>
      <c r="HY85" s="1762"/>
      <c r="HZ85" s="1762"/>
      <c r="IA85" s="1762"/>
      <c r="IB85" s="1762"/>
      <c r="IC85" s="1762"/>
      <c r="ID85" s="1762"/>
      <c r="IE85" s="1762"/>
      <c r="IF85" s="1762"/>
      <c r="IG85" s="1762"/>
      <c r="IH85" s="1762"/>
      <c r="II85" s="1762"/>
      <c r="IJ85" s="1762"/>
      <c r="IK85" s="1762"/>
      <c r="IL85" s="1762"/>
      <c r="IM85" s="1762"/>
      <c r="IN85" s="1762"/>
      <c r="IO85" s="1762"/>
      <c r="IP85" s="1762"/>
      <c r="IQ85" s="1762"/>
      <c r="IR85" s="1762"/>
      <c r="IS85" s="1762"/>
      <c r="IT85" s="1762"/>
      <c r="IU85" s="1762"/>
      <c r="IV85" s="1762"/>
      <c r="IW85" s="1762"/>
      <c r="IX85" s="1762"/>
      <c r="IY85" s="1762"/>
      <c r="IZ85" s="1762"/>
      <c r="JA85" s="1762"/>
      <c r="JB85" s="1762"/>
      <c r="JC85" s="1762"/>
      <c r="JD85" s="1762"/>
      <c r="JE85" s="1762"/>
      <c r="JF85" s="1762"/>
      <c r="JG85" s="1762"/>
      <c r="JH85" s="1762"/>
      <c r="JI85" s="1762"/>
      <c r="JJ85" s="1762"/>
      <c r="JK85" s="1762"/>
      <c r="JL85" s="1762"/>
      <c r="JM85" s="1762"/>
      <c r="JN85" s="1762"/>
      <c r="JO85" s="1762"/>
      <c r="JP85" s="1762"/>
      <c r="JQ85" s="1762"/>
      <c r="JR85" s="1762"/>
      <c r="JS85" s="1762"/>
      <c r="JT85" s="1762"/>
      <c r="JU85" s="1762"/>
      <c r="JV85" s="1762"/>
      <c r="JW85" s="1762"/>
      <c r="JX85" s="1762"/>
      <c r="JY85" s="1762"/>
      <c r="JZ85" s="1762"/>
      <c r="KA85" s="1762"/>
      <c r="KB85" s="1762"/>
      <c r="KC85" s="1762"/>
      <c r="KD85" s="1762"/>
      <c r="KE85" s="1762"/>
      <c r="KF85" s="1762"/>
      <c r="KG85" s="1762"/>
      <c r="KH85" s="1762"/>
      <c r="KI85" s="1762"/>
      <c r="KJ85" s="1762"/>
      <c r="KK85" s="1762"/>
      <c r="KL85" s="1762"/>
      <c r="KM85" s="1762"/>
      <c r="KN85" s="1762"/>
      <c r="KO85" s="1762"/>
      <c r="KP85" s="1762"/>
      <c r="KQ85" s="1762"/>
      <c r="KR85" s="1762"/>
      <c r="KS85" s="1762"/>
      <c r="KT85" s="1762"/>
      <c r="KU85" s="1762"/>
      <c r="KV85" s="1762"/>
      <c r="KW85" s="1762"/>
      <c r="KX85" s="1762"/>
      <c r="KY85" s="1762"/>
      <c r="KZ85" s="1762"/>
      <c r="LA85" s="1762"/>
      <c r="LB85" s="1762"/>
      <c r="LC85" s="1762"/>
      <c r="LD85" s="1762"/>
      <c r="LE85" s="1762"/>
      <c r="LF85" s="1762"/>
      <c r="LG85" s="1762"/>
      <c r="LH85" s="1762"/>
      <c r="LI85" s="1762"/>
      <c r="LJ85" s="1762"/>
      <c r="LK85" s="1762"/>
      <c r="LL85" s="1762"/>
      <c r="LM85" s="1762"/>
      <c r="LN85" s="1762"/>
      <c r="LO85" s="1762"/>
      <c r="LP85" s="1762"/>
      <c r="LQ85" s="1762"/>
      <c r="LR85" s="1762"/>
      <c r="LS85" s="1762"/>
      <c r="LT85" s="1762"/>
      <c r="LU85" s="1762"/>
      <c r="LV85" s="1762"/>
      <c r="LW85" s="1762"/>
      <c r="LX85" s="1762"/>
      <c r="LY85" s="1762"/>
      <c r="LZ85" s="1762"/>
      <c r="MA85" s="1762"/>
      <c r="MB85" s="1762"/>
      <c r="MC85" s="1762"/>
      <c r="MD85" s="1762"/>
      <c r="ME85" s="1762"/>
      <c r="MF85" s="1762"/>
      <c r="MG85" s="1762"/>
      <c r="MH85" s="1762"/>
      <c r="MI85" s="1762"/>
      <c r="MJ85" s="1762"/>
      <c r="MK85" s="1762"/>
      <c r="ML85" s="1762"/>
      <c r="MM85" s="1762"/>
      <c r="MN85" s="1762"/>
      <c r="MO85" s="1762"/>
      <c r="MP85" s="1762"/>
      <c r="MQ85" s="1762"/>
      <c r="MR85" s="1762"/>
      <c r="MS85" s="1762"/>
      <c r="MT85" s="1762"/>
      <c r="MU85" s="1762"/>
      <c r="MV85" s="1762"/>
      <c r="MW85" s="1762"/>
      <c r="MX85" s="1762"/>
      <c r="MY85" s="1762"/>
      <c r="MZ85" s="1762"/>
      <c r="NA85" s="1762"/>
      <c r="NB85" s="1762"/>
      <c r="NC85" s="1762"/>
      <c r="ND85" s="1762"/>
      <c r="NE85" s="158"/>
      <c r="NF85" s="158"/>
      <c r="NG85" s="158"/>
      <c r="NH85" s="158"/>
      <c r="NI85" s="158"/>
      <c r="NJ85" s="158"/>
      <c r="NK85" s="158"/>
      <c r="NL85" s="158"/>
      <c r="NM85" s="158"/>
      <c r="NN85" s="158"/>
      <c r="NO85" s="158"/>
      <c r="NP85" s="158"/>
      <c r="NQ85" s="158"/>
      <c r="NR85" s="158"/>
      <c r="NS85" s="158"/>
      <c r="NT85" s="158"/>
      <c r="NU85" s="158"/>
      <c r="NV85" s="158"/>
      <c r="NW85" s="158"/>
      <c r="NX85" s="158"/>
      <c r="NY85" s="158"/>
      <c r="NZ85" s="158"/>
      <c r="OA85" s="158"/>
      <c r="OB85" s="158"/>
      <c r="OC85" s="158"/>
      <c r="OD85" s="158"/>
      <c r="OE85" s="158"/>
      <c r="OF85" s="158"/>
      <c r="OG85" s="158"/>
      <c r="OH85" s="158"/>
      <c r="OI85" s="158"/>
      <c r="OJ85" s="158"/>
      <c r="OK85" s="158"/>
      <c r="OL85" s="158"/>
      <c r="OM85" s="158"/>
      <c r="ON85" s="158"/>
      <c r="OO85" s="158"/>
      <c r="OP85" s="158"/>
      <c r="OQ85" s="158"/>
      <c r="OR85" s="158"/>
      <c r="OS85" s="158"/>
      <c r="OT85" s="158"/>
      <c r="OU85" s="158"/>
      <c r="OV85" s="158"/>
      <c r="OW85" s="158"/>
      <c r="OX85" s="158"/>
      <c r="OY85" s="158"/>
      <c r="OZ85" s="158"/>
      <c r="PA85" s="158"/>
      <c r="PB85" s="158"/>
      <c r="PC85" s="158"/>
      <c r="PD85" s="158"/>
      <c r="PE85" s="158"/>
      <c r="PF85" s="158"/>
      <c r="PG85" s="158"/>
      <c r="PH85" s="158"/>
      <c r="PI85" s="158"/>
      <c r="PJ85" s="158"/>
      <c r="PK85" s="158"/>
      <c r="PL85" s="158"/>
      <c r="PM85" s="158"/>
      <c r="PN85" s="158"/>
      <c r="PO85" s="158"/>
      <c r="PP85" s="158"/>
      <c r="PQ85" s="158"/>
      <c r="PR85" s="158"/>
      <c r="PS85" s="158"/>
      <c r="PT85" s="158"/>
      <c r="PU85" s="158"/>
      <c r="PV85" s="158"/>
      <c r="PW85" s="158"/>
      <c r="PX85" s="158"/>
      <c r="PY85" s="158"/>
      <c r="PZ85" s="158"/>
      <c r="QA85" s="158"/>
      <c r="QB85" s="158"/>
      <c r="QC85" s="158"/>
      <c r="QD85" s="158"/>
      <c r="QE85" s="158"/>
      <c r="QF85" s="158"/>
      <c r="QG85" s="158"/>
      <c r="QH85" s="158"/>
      <c r="QI85" s="158"/>
      <c r="QJ85" s="158"/>
      <c r="QK85" s="158"/>
      <c r="QL85" s="158"/>
      <c r="QM85" s="158"/>
      <c r="QN85" s="158"/>
      <c r="QO85" s="158"/>
      <c r="QP85" s="158"/>
      <c r="QQ85" s="158"/>
      <c r="QR85" s="158"/>
      <c r="QS85" s="158"/>
      <c r="QT85" s="158"/>
      <c r="QU85" s="158"/>
      <c r="QV85" s="158"/>
      <c r="QW85" s="158"/>
      <c r="QX85" s="158"/>
      <c r="QY85" s="158"/>
      <c r="QZ85" s="158"/>
      <c r="RA85" s="158"/>
      <c r="RB85" s="158"/>
      <c r="RC85" s="158"/>
      <c r="RD85" s="158"/>
      <c r="RE85" s="158"/>
      <c r="RF85" s="158"/>
      <c r="RG85" s="158"/>
      <c r="RH85" s="158"/>
      <c r="RI85" s="158"/>
      <c r="RJ85" s="158"/>
      <c r="RK85" s="158"/>
      <c r="RL85" s="158"/>
      <c r="RM85" s="158"/>
      <c r="RN85" s="158"/>
      <c r="RO85" s="158"/>
      <c r="RP85" s="158"/>
      <c r="RQ85" s="158"/>
      <c r="RR85" s="158"/>
      <c r="RS85" s="158"/>
      <c r="RT85" s="158"/>
      <c r="RU85" s="158"/>
      <c r="RV85" s="158"/>
      <c r="RW85" s="158"/>
      <c r="RX85" s="158"/>
      <c r="RY85" s="158"/>
      <c r="RZ85" s="158"/>
      <c r="SA85" s="158"/>
    </row>
    <row r="86" spans="1:495" s="27" customFormat="1">
      <c r="B86" s="116"/>
      <c r="C86" s="204"/>
      <c r="D86" s="8"/>
      <c r="E86" s="8"/>
      <c r="F86" s="8"/>
      <c r="G86" s="8"/>
      <c r="H86" s="110" t="s">
        <v>4801</v>
      </c>
      <c r="I86" s="36"/>
      <c r="J86" s="1"/>
      <c r="K86" s="4040" t="str">
        <f>IF(OR(K61=0,$P85="",K$67=0),"",$P85*K$67)</f>
        <v/>
      </c>
      <c r="L86" s="4040" t="str">
        <f>IF(OR(L61=0,$P85="",L$67=0),"",$P85*L$67)</f>
        <v/>
      </c>
      <c r="M86" s="4040" t="str">
        <f>IF(OR(M61=0,$P85="",M$67=0),"",$P85*M$67)</f>
        <v/>
      </c>
      <c r="N86" s="4040" t="str">
        <f>IF(OR(N61=0,$P85="",N$67=0),"",$P85*N$67)</f>
        <v/>
      </c>
      <c r="O86" s="4040" t="str">
        <f>IF(OR(O61=0,$P85="",O$67=0),"",$P85*O$67)</f>
        <v/>
      </c>
      <c r="P86" s="4041" t="str">
        <f t="shared" ref="P86" si="374">IF(OR($P85="",P$67=0),"",$P85*P$67)</f>
        <v/>
      </c>
      <c r="X86" s="1762"/>
      <c r="Y86" s="1762"/>
      <c r="Z86" s="1762"/>
      <c r="AA86" s="1762"/>
      <c r="AB86" s="1762"/>
      <c r="AC86" s="1762"/>
      <c r="AD86" s="1762"/>
      <c r="AE86" s="1762"/>
      <c r="AF86" s="1762"/>
      <c r="AG86" s="1762"/>
      <c r="AH86" s="1762"/>
      <c r="AI86" s="1762"/>
      <c r="AJ86" s="1762"/>
      <c r="AK86" s="1762"/>
      <c r="AL86" s="1762"/>
      <c r="AM86" s="1762"/>
      <c r="AN86" s="1762"/>
      <c r="AO86" s="1762"/>
      <c r="AP86" s="1762"/>
      <c r="AQ86" s="1762"/>
      <c r="AR86" s="1762"/>
      <c r="AS86" s="1762"/>
      <c r="AT86" s="1762"/>
      <c r="AU86" s="1762"/>
      <c r="AV86" s="1762"/>
      <c r="AW86" s="1762"/>
      <c r="AX86" s="1762"/>
      <c r="AY86" s="1762"/>
      <c r="AZ86" s="1762"/>
      <c r="BA86" s="1762"/>
      <c r="BB86" s="1762"/>
      <c r="BC86" s="1762"/>
      <c r="BD86" s="1762"/>
      <c r="BE86" s="1762"/>
      <c r="BF86" s="1762"/>
      <c r="BG86" s="1762"/>
      <c r="BH86" s="1762"/>
      <c r="BI86" s="1762"/>
      <c r="BJ86" s="1762"/>
      <c r="BK86" s="1762"/>
      <c r="BL86" s="1762"/>
      <c r="BM86" s="1762"/>
      <c r="BN86" s="1762"/>
      <c r="BO86" s="1762"/>
      <c r="BP86" s="1762"/>
      <c r="BQ86" s="1762"/>
      <c r="BR86" s="1762"/>
      <c r="BS86" s="1762"/>
      <c r="BT86" s="1762"/>
      <c r="BU86" s="1762"/>
      <c r="BV86" s="1762"/>
      <c r="BW86" s="1762"/>
      <c r="BX86" s="1762"/>
      <c r="BY86" s="1762"/>
      <c r="BZ86" s="1762"/>
      <c r="CA86" s="1762"/>
      <c r="CB86" s="1762"/>
      <c r="CC86" s="1762"/>
      <c r="CD86" s="1762"/>
      <c r="CE86" s="1762"/>
      <c r="CF86" s="1762"/>
      <c r="CG86" s="1762"/>
      <c r="CH86" s="1762"/>
      <c r="CI86" s="1762"/>
      <c r="CJ86" s="1762"/>
      <c r="CK86" s="1762"/>
      <c r="CL86" s="1762"/>
      <c r="CM86" s="1762"/>
      <c r="CN86" s="1762"/>
      <c r="CO86" s="1762"/>
      <c r="CP86" s="1762"/>
      <c r="CQ86" s="1762"/>
      <c r="CR86" s="1762"/>
      <c r="CS86" s="1762"/>
      <c r="CT86" s="1762"/>
      <c r="CU86" s="1762"/>
      <c r="CV86" s="1762"/>
      <c r="CW86" s="1762"/>
      <c r="CX86" s="1762"/>
      <c r="CY86" s="1762"/>
      <c r="CZ86" s="1762"/>
      <c r="DA86" s="1762"/>
      <c r="DB86" s="1762"/>
      <c r="DC86" s="1762"/>
      <c r="DD86" s="1762"/>
      <c r="DE86" s="1762"/>
      <c r="DF86" s="1762"/>
      <c r="DG86" s="1762"/>
      <c r="DH86" s="1762"/>
      <c r="DI86" s="1762"/>
      <c r="DJ86" s="1762"/>
      <c r="DK86" s="1762"/>
      <c r="DL86" s="1762"/>
      <c r="DM86" s="1762"/>
      <c r="DN86" s="1762"/>
      <c r="DO86" s="1762"/>
      <c r="DP86" s="1762"/>
      <c r="DQ86" s="1762"/>
      <c r="DR86" s="1762"/>
      <c r="DS86" s="1762"/>
      <c r="DT86" s="1762"/>
      <c r="DU86" s="1762"/>
      <c r="DV86" s="1762"/>
      <c r="DW86" s="1762"/>
      <c r="DX86" s="1762"/>
      <c r="DY86" s="1762"/>
      <c r="DZ86" s="1762"/>
      <c r="EA86" s="1762"/>
      <c r="EB86" s="1762"/>
      <c r="EC86" s="1762"/>
      <c r="ED86" s="1762"/>
      <c r="EE86" s="1762"/>
      <c r="EF86" s="1762"/>
      <c r="EG86" s="1762"/>
      <c r="EH86" s="1762"/>
      <c r="EI86" s="1762"/>
      <c r="EJ86" s="1762"/>
      <c r="EK86" s="1762"/>
      <c r="EL86" s="1762"/>
      <c r="EM86" s="1762"/>
      <c r="EN86" s="1762"/>
      <c r="EO86" s="1762"/>
      <c r="EP86" s="1762"/>
      <c r="EQ86" s="1762"/>
      <c r="ER86" s="1762"/>
      <c r="ES86" s="1762"/>
      <c r="ET86" s="1762"/>
      <c r="EU86" s="1762"/>
      <c r="EV86" s="1762"/>
      <c r="EW86" s="1762"/>
      <c r="EX86" s="1762"/>
      <c r="EY86" s="1762"/>
      <c r="EZ86" s="1762"/>
      <c r="FA86" s="1762"/>
      <c r="FB86" s="1762"/>
      <c r="FC86" s="1762"/>
      <c r="FD86" s="1762"/>
      <c r="FE86" s="1762"/>
      <c r="FF86" s="1762"/>
      <c r="FG86" s="1762"/>
      <c r="FH86" s="1762"/>
      <c r="FI86" s="1762"/>
      <c r="FJ86" s="1762"/>
      <c r="FK86" s="1762"/>
      <c r="FL86" s="1762"/>
      <c r="FM86" s="1762"/>
      <c r="FN86" s="1762"/>
      <c r="FO86" s="1762"/>
      <c r="FP86" s="1762"/>
      <c r="FQ86" s="1762"/>
      <c r="FR86" s="1762"/>
      <c r="FS86" s="1762"/>
      <c r="FT86" s="1762"/>
      <c r="FU86" s="1762"/>
      <c r="FV86" s="1762"/>
      <c r="FW86" s="1762"/>
      <c r="FX86" s="1762"/>
      <c r="FY86" s="1762"/>
      <c r="FZ86" s="1762"/>
      <c r="GA86" s="1762"/>
      <c r="GB86" s="1762"/>
      <c r="GC86" s="1762"/>
      <c r="GD86" s="1762"/>
      <c r="GE86" s="1762"/>
      <c r="GF86" s="1762"/>
      <c r="GG86" s="1762"/>
      <c r="GH86" s="1762"/>
      <c r="GI86" s="1762"/>
      <c r="GJ86" s="1762"/>
      <c r="GK86" s="1762"/>
      <c r="GL86" s="1762"/>
      <c r="GM86" s="1762"/>
      <c r="GN86" s="1762"/>
      <c r="GO86" s="1762"/>
      <c r="GP86" s="1762"/>
      <c r="GQ86" s="1762"/>
      <c r="GR86" s="1762"/>
      <c r="GS86" s="1762"/>
      <c r="GT86" s="1762"/>
      <c r="GU86" s="1762"/>
      <c r="GV86" s="1762"/>
      <c r="GW86" s="1762"/>
      <c r="GX86" s="1762"/>
      <c r="GY86" s="1762"/>
      <c r="GZ86" s="1762"/>
      <c r="HA86" s="1762"/>
      <c r="HB86" s="1762"/>
      <c r="HC86" s="1762"/>
      <c r="HD86" s="1762"/>
      <c r="HE86" s="1762"/>
      <c r="HF86" s="1762"/>
      <c r="HG86" s="1762"/>
      <c r="HH86" s="1762"/>
      <c r="HI86" s="1762"/>
      <c r="HJ86" s="1762"/>
      <c r="HK86" s="1762"/>
      <c r="HL86" s="1762"/>
      <c r="HM86" s="1762"/>
      <c r="HN86" s="1762"/>
      <c r="HO86" s="1762"/>
      <c r="HP86" s="1762"/>
      <c r="HQ86" s="1762"/>
      <c r="HR86" s="1762"/>
      <c r="HS86" s="1762"/>
      <c r="HT86" s="1762"/>
      <c r="HU86" s="1762"/>
      <c r="HV86" s="1762"/>
      <c r="HW86" s="1762"/>
      <c r="HX86" s="1762"/>
      <c r="HY86" s="1762"/>
      <c r="HZ86" s="1762"/>
      <c r="IA86" s="1762"/>
      <c r="IB86" s="1762"/>
      <c r="IC86" s="1762"/>
      <c r="ID86" s="1762"/>
      <c r="IE86" s="1762"/>
      <c r="IF86" s="1762"/>
      <c r="IG86" s="1762"/>
      <c r="IH86" s="1762"/>
      <c r="II86" s="1762"/>
      <c r="IJ86" s="1762"/>
      <c r="IK86" s="1762"/>
      <c r="IL86" s="1762"/>
      <c r="IM86" s="1762"/>
      <c r="IN86" s="1762"/>
      <c r="IO86" s="1762"/>
      <c r="IP86" s="1762"/>
      <c r="IQ86" s="1762"/>
      <c r="IR86" s="1762"/>
      <c r="IS86" s="1762"/>
      <c r="IT86" s="1762"/>
      <c r="IU86" s="1762"/>
      <c r="IV86" s="1762"/>
      <c r="IW86" s="1762"/>
      <c r="IX86" s="1762"/>
      <c r="IY86" s="1762"/>
      <c r="IZ86" s="1762"/>
      <c r="JA86" s="1762"/>
      <c r="JB86" s="1762"/>
      <c r="JC86" s="1762"/>
      <c r="JD86" s="1762"/>
      <c r="JE86" s="1762"/>
      <c r="JF86" s="1762"/>
      <c r="JG86" s="1762"/>
      <c r="JH86" s="1762"/>
      <c r="JI86" s="1762"/>
      <c r="JJ86" s="1762"/>
      <c r="JK86" s="1762"/>
      <c r="JL86" s="1762"/>
      <c r="JM86" s="1762"/>
      <c r="JN86" s="1762"/>
      <c r="JO86" s="1762"/>
      <c r="JP86" s="1762"/>
      <c r="JQ86" s="1762"/>
      <c r="JR86" s="1762"/>
      <c r="JS86" s="1762"/>
      <c r="JT86" s="1762"/>
      <c r="JU86" s="1762"/>
      <c r="JV86" s="1762"/>
      <c r="JW86" s="1762"/>
      <c r="JX86" s="1762"/>
      <c r="JY86" s="1762"/>
      <c r="JZ86" s="1762"/>
      <c r="KA86" s="1762"/>
      <c r="KB86" s="1762"/>
      <c r="KC86" s="1762"/>
      <c r="KD86" s="1762"/>
      <c r="KE86" s="1762"/>
      <c r="KF86" s="1762"/>
      <c r="KG86" s="1762"/>
      <c r="KH86" s="1762"/>
      <c r="KI86" s="1762"/>
      <c r="KJ86" s="1762"/>
      <c r="KK86" s="1762"/>
      <c r="KL86" s="1762"/>
      <c r="KM86" s="1762"/>
      <c r="KN86" s="1762"/>
      <c r="KO86" s="1762"/>
      <c r="KP86" s="1762"/>
      <c r="KQ86" s="1762"/>
      <c r="KR86" s="1762"/>
      <c r="KS86" s="1762"/>
      <c r="KT86" s="1762"/>
      <c r="KU86" s="1762"/>
      <c r="KV86" s="1762"/>
      <c r="KW86" s="1762"/>
      <c r="KX86" s="1762"/>
      <c r="KY86" s="1762"/>
      <c r="KZ86" s="1762"/>
      <c r="LA86" s="1762"/>
      <c r="LB86" s="1762"/>
      <c r="LC86" s="1762"/>
      <c r="LD86" s="1762"/>
      <c r="LE86" s="1762"/>
      <c r="LF86" s="1762"/>
      <c r="LG86" s="1762"/>
      <c r="LH86" s="1762"/>
      <c r="LI86" s="1762"/>
      <c r="LJ86" s="1762"/>
      <c r="LK86" s="1762"/>
      <c r="LL86" s="1762"/>
      <c r="LM86" s="1762"/>
      <c r="LN86" s="1762"/>
      <c r="LO86" s="1762"/>
      <c r="LP86" s="1762"/>
      <c r="LQ86" s="1762"/>
      <c r="LR86" s="1762"/>
      <c r="LS86" s="1762"/>
      <c r="LT86" s="1762"/>
      <c r="LU86" s="1762"/>
      <c r="LV86" s="1762"/>
      <c r="LW86" s="1762"/>
      <c r="LX86" s="1762"/>
      <c r="LY86" s="1762"/>
      <c r="LZ86" s="1762"/>
      <c r="MA86" s="1762"/>
      <c r="MB86" s="1762"/>
      <c r="MC86" s="1762"/>
      <c r="MD86" s="1762"/>
      <c r="ME86" s="1762"/>
      <c r="MF86" s="1762"/>
      <c r="MG86" s="1762"/>
      <c r="MH86" s="1762"/>
      <c r="MI86" s="1762"/>
      <c r="MJ86" s="1762"/>
      <c r="MK86" s="1762"/>
      <c r="ML86" s="1762"/>
      <c r="MM86" s="1762"/>
      <c r="MN86" s="1762"/>
      <c r="MO86" s="1762"/>
      <c r="MP86" s="1762"/>
      <c r="MQ86" s="1762"/>
      <c r="MR86" s="1762"/>
      <c r="MS86" s="1762"/>
      <c r="MT86" s="1762"/>
      <c r="MU86" s="1762"/>
      <c r="MV86" s="1762"/>
      <c r="MW86" s="1762"/>
      <c r="MX86" s="1762"/>
      <c r="MY86" s="1762"/>
      <c r="MZ86" s="1762"/>
      <c r="NA86" s="1762"/>
      <c r="NB86" s="1762"/>
      <c r="NC86" s="1762"/>
      <c r="ND86" s="1762"/>
      <c r="NE86" s="158"/>
      <c r="NF86" s="158"/>
      <c r="NG86" s="158"/>
      <c r="NH86" s="158"/>
      <c r="NI86" s="158"/>
      <c r="NJ86" s="158"/>
      <c r="NK86" s="158"/>
      <c r="NL86" s="158"/>
      <c r="NM86" s="158"/>
      <c r="NN86" s="158"/>
      <c r="NO86" s="158"/>
      <c r="NP86" s="158"/>
      <c r="NQ86" s="158"/>
      <c r="NR86" s="158"/>
      <c r="NS86" s="158"/>
      <c r="NT86" s="158"/>
      <c r="NU86" s="158"/>
      <c r="NV86" s="158"/>
      <c r="NW86" s="158"/>
      <c r="NX86" s="158"/>
      <c r="NY86" s="158"/>
      <c r="NZ86" s="158"/>
      <c r="OA86" s="158"/>
      <c r="OB86" s="158"/>
      <c r="OC86" s="158"/>
      <c r="OD86" s="158"/>
      <c r="OE86" s="158"/>
      <c r="OF86" s="158"/>
      <c r="OG86" s="158"/>
      <c r="OH86" s="158"/>
      <c r="OI86" s="158"/>
      <c r="OJ86" s="158"/>
      <c r="OK86" s="158"/>
      <c r="OL86" s="158"/>
      <c r="OM86" s="158"/>
      <c r="ON86" s="158"/>
      <c r="OO86" s="158"/>
      <c r="OP86" s="158"/>
      <c r="OQ86" s="158"/>
      <c r="OR86" s="158"/>
      <c r="OS86" s="158"/>
      <c r="OT86" s="158"/>
      <c r="OU86" s="158"/>
      <c r="OV86" s="158"/>
      <c r="OW86" s="158"/>
      <c r="OX86" s="158"/>
      <c r="OY86" s="158"/>
      <c r="OZ86" s="158"/>
      <c r="PA86" s="158"/>
      <c r="PB86" s="158"/>
      <c r="PC86" s="158"/>
      <c r="PD86" s="158"/>
      <c r="PE86" s="158"/>
      <c r="PF86" s="158"/>
      <c r="PG86" s="158"/>
      <c r="PH86" s="158"/>
      <c r="PI86" s="158"/>
      <c r="PJ86" s="158"/>
      <c r="PK86" s="158"/>
      <c r="PL86" s="158"/>
      <c r="PM86" s="158"/>
      <c r="PN86" s="158"/>
      <c r="PO86" s="158"/>
      <c r="PP86" s="158"/>
      <c r="PQ86" s="158"/>
      <c r="PR86" s="158"/>
      <c r="PS86" s="158"/>
      <c r="PT86" s="158"/>
      <c r="PU86" s="158"/>
      <c r="PV86" s="158"/>
      <c r="PW86" s="158"/>
      <c r="PX86" s="158"/>
      <c r="PY86" s="158"/>
      <c r="PZ86" s="158"/>
      <c r="QA86" s="158"/>
      <c r="QB86" s="158"/>
      <c r="QC86" s="158"/>
      <c r="QD86" s="158"/>
      <c r="QE86" s="158"/>
      <c r="QF86" s="158"/>
      <c r="QG86" s="158"/>
      <c r="QH86" s="158"/>
      <c r="QI86" s="158"/>
      <c r="QJ86" s="158"/>
      <c r="QK86" s="158"/>
      <c r="QL86" s="158"/>
      <c r="QM86" s="158"/>
      <c r="QN86" s="158"/>
      <c r="QO86" s="158"/>
      <c r="QP86" s="158"/>
      <c r="QQ86" s="158"/>
      <c r="QR86" s="158"/>
      <c r="QS86" s="158"/>
      <c r="QT86" s="158"/>
      <c r="QU86" s="158"/>
      <c r="QV86" s="158"/>
      <c r="QW86" s="158"/>
      <c r="QX86" s="158"/>
      <c r="QY86" s="158"/>
      <c r="QZ86" s="158"/>
      <c r="RA86" s="158"/>
      <c r="RB86" s="158"/>
      <c r="RC86" s="158"/>
      <c r="RD86" s="158"/>
      <c r="RE86" s="158"/>
      <c r="RF86" s="158"/>
      <c r="RG86" s="158"/>
      <c r="RH86" s="158"/>
      <c r="RI86" s="158"/>
      <c r="RJ86" s="158"/>
      <c r="RK86" s="158"/>
      <c r="RL86" s="158"/>
      <c r="RM86" s="158"/>
      <c r="RN86" s="158"/>
      <c r="RO86" s="158"/>
      <c r="RP86" s="158"/>
      <c r="RQ86" s="158"/>
      <c r="RR86" s="158"/>
      <c r="RS86" s="158"/>
      <c r="RT86" s="158"/>
      <c r="RU86" s="158"/>
      <c r="RV86" s="158"/>
      <c r="RW86" s="158"/>
      <c r="RX86" s="158"/>
      <c r="RY86" s="158"/>
      <c r="RZ86" s="158"/>
      <c r="SA86" s="158"/>
    </row>
    <row r="87" spans="1:495" s="27" customFormat="1">
      <c r="B87" s="116"/>
      <c r="C87" s="204"/>
      <c r="D87" s="8"/>
      <c r="E87" s="8"/>
      <c r="F87" s="8"/>
      <c r="G87" s="8"/>
      <c r="H87" s="4042" t="s">
        <v>4802</v>
      </c>
      <c r="I87" s="4043"/>
      <c r="J87" s="1"/>
      <c r="K87" s="4044" t="str">
        <f t="shared" ref="K87:P87" si="375">IF(OR(K86="",K61=0),"", K61-K86)</f>
        <v/>
      </c>
      <c r="L87" s="4044" t="str">
        <f t="shared" si="375"/>
        <v/>
      </c>
      <c r="M87" s="4044" t="str">
        <f t="shared" si="375"/>
        <v/>
      </c>
      <c r="N87" s="4044" t="str">
        <f t="shared" si="375"/>
        <v/>
      </c>
      <c r="O87" s="4044" t="str">
        <f t="shared" si="375"/>
        <v/>
      </c>
      <c r="P87" s="4044" t="str">
        <f t="shared" si="375"/>
        <v/>
      </c>
      <c r="X87" s="1762"/>
      <c r="Y87" s="1762"/>
      <c r="Z87" s="1762"/>
      <c r="AA87" s="1762"/>
      <c r="AB87" s="1762"/>
      <c r="AC87" s="1762"/>
      <c r="AD87" s="1762"/>
      <c r="AE87" s="1762"/>
      <c r="AF87" s="1762"/>
      <c r="AG87" s="1762"/>
      <c r="AH87" s="1762"/>
      <c r="AI87" s="1762"/>
      <c r="AJ87" s="1762"/>
      <c r="AK87" s="1762"/>
      <c r="AL87" s="1762"/>
      <c r="AM87" s="1762"/>
      <c r="AN87" s="1762"/>
      <c r="AO87" s="1762"/>
      <c r="AP87" s="1762"/>
      <c r="AQ87" s="1762"/>
      <c r="AR87" s="1762"/>
      <c r="AS87" s="1762"/>
      <c r="AT87" s="1762"/>
      <c r="AU87" s="1762"/>
      <c r="AV87" s="1762"/>
      <c r="AW87" s="1762"/>
      <c r="AX87" s="1762"/>
      <c r="AY87" s="1762"/>
      <c r="AZ87" s="1762"/>
      <c r="BA87" s="1762"/>
      <c r="BB87" s="1762"/>
      <c r="BC87" s="1762"/>
      <c r="BD87" s="1762"/>
      <c r="BE87" s="1762"/>
      <c r="BF87" s="1762"/>
      <c r="BG87" s="1762"/>
      <c r="BH87" s="1762"/>
      <c r="BI87" s="1762"/>
      <c r="BJ87" s="1762"/>
      <c r="BK87" s="1762"/>
      <c r="BL87" s="1762"/>
      <c r="BM87" s="1762"/>
      <c r="BN87" s="1762"/>
      <c r="BO87" s="1762"/>
      <c r="BP87" s="1762"/>
      <c r="BQ87" s="1762"/>
      <c r="BR87" s="1762"/>
      <c r="BS87" s="1762"/>
      <c r="BT87" s="1762"/>
      <c r="BU87" s="1762"/>
      <c r="BV87" s="1762"/>
      <c r="BW87" s="1762"/>
      <c r="BX87" s="1762"/>
      <c r="BY87" s="1762"/>
      <c r="BZ87" s="1762"/>
      <c r="CA87" s="1762"/>
      <c r="CB87" s="1762"/>
      <c r="CC87" s="1762"/>
      <c r="CD87" s="1762"/>
      <c r="CE87" s="1762"/>
      <c r="CF87" s="1762"/>
      <c r="CG87" s="1762"/>
      <c r="CH87" s="1762"/>
      <c r="CI87" s="1762"/>
      <c r="CJ87" s="1762"/>
      <c r="CK87" s="1762"/>
      <c r="CL87" s="1762"/>
      <c r="CM87" s="1762"/>
      <c r="CN87" s="1762"/>
      <c r="CO87" s="1762"/>
      <c r="CP87" s="1762"/>
      <c r="CQ87" s="1762"/>
      <c r="CR87" s="1762"/>
      <c r="CS87" s="1762"/>
      <c r="CT87" s="1762"/>
      <c r="CU87" s="1762"/>
      <c r="CV87" s="1762"/>
      <c r="CW87" s="1762"/>
      <c r="CX87" s="1762"/>
      <c r="CY87" s="1762"/>
      <c r="CZ87" s="1762"/>
      <c r="DA87" s="1762"/>
      <c r="DB87" s="1762"/>
      <c r="DC87" s="1762"/>
      <c r="DD87" s="1762"/>
      <c r="DE87" s="1762"/>
      <c r="DF87" s="1762"/>
      <c r="DG87" s="1762"/>
      <c r="DH87" s="1762"/>
      <c r="DI87" s="1762"/>
      <c r="DJ87" s="1762"/>
      <c r="DK87" s="1762"/>
      <c r="DL87" s="1762"/>
      <c r="DM87" s="1762"/>
      <c r="DN87" s="1762"/>
      <c r="DO87" s="1762"/>
      <c r="DP87" s="1762"/>
      <c r="DQ87" s="1762"/>
      <c r="DR87" s="1762"/>
      <c r="DS87" s="1762"/>
      <c r="DT87" s="1762"/>
      <c r="DU87" s="1762"/>
      <c r="DV87" s="1762"/>
      <c r="DW87" s="1762"/>
      <c r="DX87" s="1762"/>
      <c r="DY87" s="1762"/>
      <c r="DZ87" s="1762"/>
      <c r="EA87" s="1762"/>
      <c r="EB87" s="1762"/>
      <c r="EC87" s="1762"/>
      <c r="ED87" s="1762"/>
      <c r="EE87" s="1762"/>
      <c r="EF87" s="1762"/>
      <c r="EG87" s="1762"/>
      <c r="EH87" s="1762"/>
      <c r="EI87" s="1762"/>
      <c r="EJ87" s="1762"/>
      <c r="EK87" s="1762"/>
      <c r="EL87" s="1762"/>
      <c r="EM87" s="1762"/>
      <c r="EN87" s="1762"/>
      <c r="EO87" s="1762"/>
      <c r="EP87" s="1762"/>
      <c r="EQ87" s="1762"/>
      <c r="ER87" s="1762"/>
      <c r="ES87" s="1762"/>
      <c r="ET87" s="1762"/>
      <c r="EU87" s="1762"/>
      <c r="EV87" s="1762"/>
      <c r="EW87" s="1762"/>
      <c r="EX87" s="1762"/>
      <c r="EY87" s="1762"/>
      <c r="EZ87" s="1762"/>
      <c r="FA87" s="1762"/>
      <c r="FB87" s="1762"/>
      <c r="FC87" s="1762"/>
      <c r="FD87" s="1762"/>
      <c r="FE87" s="1762"/>
      <c r="FF87" s="1762"/>
      <c r="FG87" s="1762"/>
      <c r="FH87" s="1762"/>
      <c r="FI87" s="1762"/>
      <c r="FJ87" s="1762"/>
      <c r="FK87" s="1762"/>
      <c r="FL87" s="1762"/>
      <c r="FM87" s="1762"/>
      <c r="FN87" s="1762"/>
      <c r="FO87" s="1762"/>
      <c r="FP87" s="1762"/>
      <c r="FQ87" s="1762"/>
      <c r="FR87" s="1762"/>
      <c r="FS87" s="1762"/>
      <c r="FT87" s="1762"/>
      <c r="FU87" s="1762"/>
      <c r="FV87" s="1762"/>
      <c r="FW87" s="1762"/>
      <c r="FX87" s="1762"/>
      <c r="FY87" s="1762"/>
      <c r="FZ87" s="1762"/>
      <c r="GA87" s="1762"/>
      <c r="GB87" s="1762"/>
      <c r="GC87" s="1762"/>
      <c r="GD87" s="1762"/>
      <c r="GE87" s="1762"/>
      <c r="GF87" s="1762"/>
      <c r="GG87" s="1762"/>
      <c r="GH87" s="1762"/>
      <c r="GI87" s="1762"/>
      <c r="GJ87" s="1762"/>
      <c r="GK87" s="1762"/>
      <c r="GL87" s="1762"/>
      <c r="GM87" s="1762"/>
      <c r="GN87" s="1762"/>
      <c r="GO87" s="1762"/>
      <c r="GP87" s="1762"/>
      <c r="GQ87" s="1762"/>
      <c r="GR87" s="1762"/>
      <c r="GS87" s="1762"/>
      <c r="GT87" s="1762"/>
      <c r="GU87" s="1762"/>
      <c r="GV87" s="1762"/>
      <c r="GW87" s="1762"/>
      <c r="GX87" s="1762"/>
      <c r="GY87" s="1762"/>
      <c r="GZ87" s="1762"/>
      <c r="HA87" s="1762"/>
      <c r="HB87" s="1762"/>
      <c r="HC87" s="1762"/>
      <c r="HD87" s="1762"/>
      <c r="HE87" s="1762"/>
      <c r="HF87" s="1762"/>
      <c r="HG87" s="1762"/>
      <c r="HH87" s="1762"/>
      <c r="HI87" s="1762"/>
      <c r="HJ87" s="1762"/>
      <c r="HK87" s="1762"/>
      <c r="HL87" s="1762"/>
      <c r="HM87" s="1762"/>
      <c r="HN87" s="1762"/>
      <c r="HO87" s="1762"/>
      <c r="HP87" s="1762"/>
      <c r="HQ87" s="1762"/>
      <c r="HR87" s="1762"/>
      <c r="HS87" s="1762"/>
      <c r="HT87" s="1762"/>
      <c r="HU87" s="1762"/>
      <c r="HV87" s="1762"/>
      <c r="HW87" s="1762"/>
      <c r="HX87" s="1762"/>
      <c r="HY87" s="1762"/>
      <c r="HZ87" s="1762"/>
      <c r="IA87" s="1762"/>
      <c r="IB87" s="1762"/>
      <c r="IC87" s="1762"/>
      <c r="ID87" s="1762"/>
      <c r="IE87" s="1762"/>
      <c r="IF87" s="1762"/>
      <c r="IG87" s="1762"/>
      <c r="IH87" s="1762"/>
      <c r="II87" s="1762"/>
      <c r="IJ87" s="1762"/>
      <c r="IK87" s="1762"/>
      <c r="IL87" s="1762"/>
      <c r="IM87" s="1762"/>
      <c r="IN87" s="1762"/>
      <c r="IO87" s="1762"/>
      <c r="IP87" s="1762"/>
      <c r="IQ87" s="1762"/>
      <c r="IR87" s="1762"/>
      <c r="IS87" s="1762"/>
      <c r="IT87" s="1762"/>
      <c r="IU87" s="1762"/>
      <c r="IV87" s="1762"/>
      <c r="IW87" s="1762"/>
      <c r="IX87" s="1762"/>
      <c r="IY87" s="1762"/>
      <c r="IZ87" s="1762"/>
      <c r="JA87" s="1762"/>
      <c r="JB87" s="1762"/>
      <c r="JC87" s="1762"/>
      <c r="JD87" s="1762"/>
      <c r="JE87" s="1762"/>
      <c r="JF87" s="1762"/>
      <c r="JG87" s="1762"/>
      <c r="JH87" s="1762"/>
      <c r="JI87" s="1762"/>
      <c r="JJ87" s="1762"/>
      <c r="JK87" s="1762"/>
      <c r="JL87" s="1762"/>
      <c r="JM87" s="1762"/>
      <c r="JN87" s="1762"/>
      <c r="JO87" s="1762"/>
      <c r="JP87" s="1762"/>
      <c r="JQ87" s="1762"/>
      <c r="JR87" s="1762"/>
      <c r="JS87" s="1762"/>
      <c r="JT87" s="1762"/>
      <c r="JU87" s="1762"/>
      <c r="JV87" s="1762"/>
      <c r="JW87" s="1762"/>
      <c r="JX87" s="1762"/>
      <c r="JY87" s="1762"/>
      <c r="JZ87" s="1762"/>
      <c r="KA87" s="1762"/>
      <c r="KB87" s="1762"/>
      <c r="KC87" s="1762"/>
      <c r="KD87" s="1762"/>
      <c r="KE87" s="1762"/>
      <c r="KF87" s="1762"/>
      <c r="KG87" s="1762"/>
      <c r="KH87" s="1762"/>
      <c r="KI87" s="1762"/>
      <c r="KJ87" s="1762"/>
      <c r="KK87" s="1762"/>
      <c r="KL87" s="1762"/>
      <c r="KM87" s="1762"/>
      <c r="KN87" s="1762"/>
      <c r="KO87" s="1762"/>
      <c r="KP87" s="1762"/>
      <c r="KQ87" s="1762"/>
      <c r="KR87" s="1762"/>
      <c r="KS87" s="1762"/>
      <c r="KT87" s="1762"/>
      <c r="KU87" s="1762"/>
      <c r="KV87" s="1762"/>
      <c r="KW87" s="1762"/>
      <c r="KX87" s="1762"/>
      <c r="KY87" s="1762"/>
      <c r="KZ87" s="1762"/>
      <c r="LA87" s="1762"/>
      <c r="LB87" s="1762"/>
      <c r="LC87" s="1762"/>
      <c r="LD87" s="1762"/>
      <c r="LE87" s="1762"/>
      <c r="LF87" s="1762"/>
      <c r="LG87" s="1762"/>
      <c r="LH87" s="1762"/>
      <c r="LI87" s="1762"/>
      <c r="LJ87" s="1762"/>
      <c r="LK87" s="1762"/>
      <c r="LL87" s="1762"/>
      <c r="LM87" s="1762"/>
      <c r="LN87" s="1762"/>
      <c r="LO87" s="1762"/>
      <c r="LP87" s="1762"/>
      <c r="LQ87" s="1762"/>
      <c r="LR87" s="1762"/>
      <c r="LS87" s="1762"/>
      <c r="LT87" s="1762"/>
      <c r="LU87" s="1762"/>
      <c r="LV87" s="1762"/>
      <c r="LW87" s="1762"/>
      <c r="LX87" s="1762"/>
      <c r="LY87" s="1762"/>
      <c r="LZ87" s="1762"/>
      <c r="MA87" s="1762"/>
      <c r="MB87" s="1762"/>
      <c r="MC87" s="1762"/>
      <c r="MD87" s="1762"/>
      <c r="ME87" s="1762"/>
      <c r="MF87" s="1762"/>
      <c r="MG87" s="1762"/>
      <c r="MH87" s="1762"/>
      <c r="MI87" s="1762"/>
      <c r="MJ87" s="1762"/>
      <c r="MK87" s="1762"/>
      <c r="ML87" s="1762"/>
      <c r="MM87" s="1762"/>
      <c r="MN87" s="1762"/>
      <c r="MO87" s="1762"/>
      <c r="MP87" s="1762"/>
      <c r="MQ87" s="1762"/>
      <c r="MR87" s="1762"/>
      <c r="MS87" s="1762"/>
      <c r="MT87" s="1762"/>
      <c r="MU87" s="1762"/>
      <c r="MV87" s="1762"/>
      <c r="MW87" s="1762"/>
      <c r="MX87" s="1762"/>
      <c r="MY87" s="1762"/>
      <c r="MZ87" s="1762"/>
      <c r="NA87" s="1762"/>
      <c r="NB87" s="1762"/>
      <c r="NC87" s="1762"/>
      <c r="ND87" s="1762"/>
      <c r="NE87" s="158"/>
      <c r="NF87" s="158"/>
      <c r="NG87" s="158"/>
      <c r="NH87" s="158"/>
      <c r="NI87" s="158"/>
      <c r="NJ87" s="158"/>
      <c r="NK87" s="158"/>
      <c r="NL87" s="158"/>
      <c r="NM87" s="158"/>
      <c r="NN87" s="158"/>
      <c r="NO87" s="158"/>
      <c r="NP87" s="158"/>
      <c r="NQ87" s="158"/>
      <c r="NR87" s="158"/>
      <c r="NS87" s="158"/>
      <c r="NT87" s="158"/>
      <c r="NU87" s="158"/>
      <c r="NV87" s="158"/>
      <c r="NW87" s="158"/>
      <c r="NX87" s="158"/>
      <c r="NY87" s="158"/>
      <c r="NZ87" s="158"/>
      <c r="OA87" s="158"/>
      <c r="OB87" s="158"/>
      <c r="OC87" s="158"/>
      <c r="OD87" s="158"/>
      <c r="OE87" s="158"/>
      <c r="OF87" s="158"/>
      <c r="OG87" s="158"/>
      <c r="OH87" s="158"/>
      <c r="OI87" s="158"/>
      <c r="OJ87" s="158"/>
      <c r="OK87" s="158"/>
      <c r="OL87" s="158"/>
      <c r="OM87" s="158"/>
      <c r="ON87" s="158"/>
      <c r="OO87" s="158"/>
      <c r="OP87" s="158"/>
      <c r="OQ87" s="158"/>
      <c r="OR87" s="158"/>
      <c r="OS87" s="158"/>
      <c r="OT87" s="158"/>
      <c r="OU87" s="158"/>
      <c r="OV87" s="158"/>
      <c r="OW87" s="158"/>
      <c r="OX87" s="158"/>
      <c r="OY87" s="158"/>
      <c r="OZ87" s="158"/>
      <c r="PA87" s="158"/>
      <c r="PB87" s="158"/>
      <c r="PC87" s="158"/>
      <c r="PD87" s="158"/>
      <c r="PE87" s="158"/>
      <c r="PF87" s="158"/>
      <c r="PG87" s="158"/>
      <c r="PH87" s="158"/>
      <c r="PI87" s="158"/>
      <c r="PJ87" s="158"/>
      <c r="PK87" s="158"/>
      <c r="PL87" s="158"/>
      <c r="PM87" s="158"/>
      <c r="PN87" s="158"/>
      <c r="PO87" s="158"/>
      <c r="PP87" s="158"/>
      <c r="PQ87" s="158"/>
      <c r="PR87" s="158"/>
      <c r="PS87" s="158"/>
      <c r="PT87" s="158"/>
      <c r="PU87" s="158"/>
      <c r="PV87" s="158"/>
      <c r="PW87" s="158"/>
      <c r="PX87" s="158"/>
      <c r="PY87" s="158"/>
      <c r="PZ87" s="158"/>
      <c r="QA87" s="158"/>
      <c r="QB87" s="158"/>
      <c r="QC87" s="158"/>
      <c r="QD87" s="158"/>
      <c r="QE87" s="158"/>
      <c r="QF87" s="158"/>
      <c r="QG87" s="158"/>
      <c r="QH87" s="158"/>
      <c r="QI87" s="158"/>
      <c r="QJ87" s="158"/>
      <c r="QK87" s="158"/>
      <c r="QL87" s="158"/>
      <c r="QM87" s="158"/>
      <c r="QN87" s="158"/>
      <c r="QO87" s="158"/>
      <c r="QP87" s="158"/>
      <c r="QQ87" s="158"/>
      <c r="QR87" s="158"/>
      <c r="QS87" s="158"/>
      <c r="QT87" s="158"/>
      <c r="QU87" s="158"/>
      <c r="QV87" s="158"/>
      <c r="QW87" s="158"/>
      <c r="QX87" s="158"/>
      <c r="QY87" s="158"/>
      <c r="QZ87" s="158"/>
      <c r="RA87" s="158"/>
      <c r="RB87" s="158"/>
      <c r="RC87" s="158"/>
      <c r="RD87" s="158"/>
      <c r="RE87" s="158"/>
      <c r="RF87" s="158"/>
      <c r="RG87" s="158"/>
      <c r="RH87" s="158"/>
      <c r="RI87" s="158"/>
      <c r="RJ87" s="158"/>
      <c r="RK87" s="158"/>
      <c r="RL87" s="158"/>
      <c r="RM87" s="158"/>
      <c r="RN87" s="158"/>
      <c r="RO87" s="158"/>
      <c r="RP87" s="158"/>
      <c r="RQ87" s="158"/>
      <c r="RR87" s="158"/>
      <c r="RS87" s="158"/>
      <c r="RT87" s="158"/>
      <c r="RU87" s="158"/>
      <c r="RV87" s="158"/>
      <c r="RW87" s="158"/>
      <c r="RX87" s="158"/>
      <c r="RY87" s="158"/>
      <c r="RZ87" s="158"/>
      <c r="SA87" s="158"/>
    </row>
    <row r="88" spans="1:495" s="27" customFormat="1">
      <c r="B88" s="116"/>
      <c r="C88" s="204" t="s">
        <v>4777</v>
      </c>
      <c r="D88" s="8"/>
      <c r="E88" s="8"/>
      <c r="F88" s="8"/>
      <c r="G88" s="8"/>
      <c r="H88" s="103" t="s">
        <v>4124</v>
      </c>
      <c r="I88" s="52"/>
      <c r="J88" s="1"/>
      <c r="K88" s="4048" t="str">
        <f t="shared" ref="K88:P88" si="376">IF(OR(K62=0,K$67=0),"",K62/K$67)</f>
        <v/>
      </c>
      <c r="L88" s="4049" t="str">
        <f t="shared" si="376"/>
        <v/>
      </c>
      <c r="M88" s="4049" t="str">
        <f t="shared" si="376"/>
        <v/>
      </c>
      <c r="N88" s="4049" t="str">
        <f t="shared" si="376"/>
        <v/>
      </c>
      <c r="O88" s="4049" t="str">
        <f t="shared" si="376"/>
        <v/>
      </c>
      <c r="P88" s="4050" t="str">
        <f t="shared" si="376"/>
        <v/>
      </c>
      <c r="X88" s="1762"/>
      <c r="Y88" s="1762"/>
      <c r="Z88" s="1762"/>
      <c r="AA88" s="1762"/>
      <c r="AB88" s="1762"/>
      <c r="AC88" s="1762"/>
      <c r="AD88" s="1762"/>
      <c r="AE88" s="1762"/>
      <c r="AF88" s="1762"/>
      <c r="AG88" s="1762"/>
      <c r="AH88" s="1762"/>
      <c r="AI88" s="1762"/>
      <c r="AJ88" s="1762"/>
      <c r="AK88" s="1762"/>
      <c r="AL88" s="1762"/>
      <c r="AM88" s="1762"/>
      <c r="AN88" s="1762"/>
      <c r="AO88" s="1762"/>
      <c r="AP88" s="1762"/>
      <c r="AQ88" s="1762"/>
      <c r="AR88" s="1762"/>
      <c r="AS88" s="1762"/>
      <c r="AT88" s="1762"/>
      <c r="AU88" s="1762"/>
      <c r="AV88" s="1762"/>
      <c r="AW88" s="1762"/>
      <c r="AX88" s="1762"/>
      <c r="AY88" s="1762"/>
      <c r="AZ88" s="1762"/>
      <c r="BA88" s="1762"/>
      <c r="BB88" s="1762"/>
      <c r="BC88" s="1762"/>
      <c r="BD88" s="1762"/>
      <c r="BE88" s="1762"/>
      <c r="BF88" s="1762"/>
      <c r="BG88" s="1762"/>
      <c r="BH88" s="1762"/>
      <c r="BI88" s="1762"/>
      <c r="BJ88" s="1762"/>
      <c r="BK88" s="1762"/>
      <c r="BL88" s="1762"/>
      <c r="BM88" s="1762"/>
      <c r="BN88" s="1762"/>
      <c r="BO88" s="1762"/>
      <c r="BP88" s="1762"/>
      <c r="BQ88" s="1762"/>
      <c r="BR88" s="1762"/>
      <c r="BS88" s="1762"/>
      <c r="BT88" s="1762"/>
      <c r="BU88" s="1762"/>
      <c r="BV88" s="1762"/>
      <c r="BW88" s="1762"/>
      <c r="BX88" s="1762"/>
      <c r="BY88" s="1762"/>
      <c r="BZ88" s="1762"/>
      <c r="CA88" s="1762"/>
      <c r="CB88" s="1762"/>
      <c r="CC88" s="1762"/>
      <c r="CD88" s="1762"/>
      <c r="CE88" s="1762"/>
      <c r="CF88" s="1762"/>
      <c r="CG88" s="1762"/>
      <c r="CH88" s="1762"/>
      <c r="CI88" s="1762"/>
      <c r="CJ88" s="1762"/>
      <c r="CK88" s="1762"/>
      <c r="CL88" s="1762"/>
      <c r="CM88" s="1762"/>
      <c r="CN88" s="1762"/>
      <c r="CO88" s="1762"/>
      <c r="CP88" s="1762"/>
      <c r="CQ88" s="1762"/>
      <c r="CR88" s="1762"/>
      <c r="CS88" s="1762"/>
      <c r="CT88" s="1762"/>
      <c r="CU88" s="1762"/>
      <c r="CV88" s="1762"/>
      <c r="CW88" s="1762"/>
      <c r="CX88" s="1762"/>
      <c r="CY88" s="1762"/>
      <c r="CZ88" s="1762"/>
      <c r="DA88" s="1762"/>
      <c r="DB88" s="1762"/>
      <c r="DC88" s="1762"/>
      <c r="DD88" s="1762"/>
      <c r="DE88" s="1762"/>
      <c r="DF88" s="1762"/>
      <c r="DG88" s="1762"/>
      <c r="DH88" s="1762"/>
      <c r="DI88" s="1762"/>
      <c r="DJ88" s="1762"/>
      <c r="DK88" s="1762"/>
      <c r="DL88" s="1762"/>
      <c r="DM88" s="1762"/>
      <c r="DN88" s="1762"/>
      <c r="DO88" s="1762"/>
      <c r="DP88" s="1762"/>
      <c r="DQ88" s="1762"/>
      <c r="DR88" s="1762"/>
      <c r="DS88" s="1762"/>
      <c r="DT88" s="1762"/>
      <c r="DU88" s="1762"/>
      <c r="DV88" s="1762"/>
      <c r="DW88" s="1762"/>
      <c r="DX88" s="1762"/>
      <c r="DY88" s="1762"/>
      <c r="DZ88" s="1762"/>
      <c r="EA88" s="1762"/>
      <c r="EB88" s="1762"/>
      <c r="EC88" s="1762"/>
      <c r="ED88" s="1762"/>
      <c r="EE88" s="1762"/>
      <c r="EF88" s="1762"/>
      <c r="EG88" s="1762"/>
      <c r="EH88" s="1762"/>
      <c r="EI88" s="1762"/>
      <c r="EJ88" s="1762"/>
      <c r="EK88" s="1762"/>
      <c r="EL88" s="1762"/>
      <c r="EM88" s="1762"/>
      <c r="EN88" s="1762"/>
      <c r="EO88" s="1762"/>
      <c r="EP88" s="1762"/>
      <c r="EQ88" s="1762"/>
      <c r="ER88" s="1762"/>
      <c r="ES88" s="1762"/>
      <c r="ET88" s="1762"/>
      <c r="EU88" s="1762"/>
      <c r="EV88" s="1762"/>
      <c r="EW88" s="1762"/>
      <c r="EX88" s="1762"/>
      <c r="EY88" s="1762"/>
      <c r="EZ88" s="1762"/>
      <c r="FA88" s="1762"/>
      <c r="FB88" s="1762"/>
      <c r="FC88" s="1762"/>
      <c r="FD88" s="1762"/>
      <c r="FE88" s="1762"/>
      <c r="FF88" s="1762"/>
      <c r="FG88" s="1762"/>
      <c r="FH88" s="1762"/>
      <c r="FI88" s="1762"/>
      <c r="FJ88" s="1762"/>
      <c r="FK88" s="1762"/>
      <c r="FL88" s="1762"/>
      <c r="FM88" s="1762"/>
      <c r="FN88" s="1762"/>
      <c r="FO88" s="1762"/>
      <c r="FP88" s="1762"/>
      <c r="FQ88" s="1762"/>
      <c r="FR88" s="1762"/>
      <c r="FS88" s="1762"/>
      <c r="FT88" s="1762"/>
      <c r="FU88" s="1762"/>
      <c r="FV88" s="1762"/>
      <c r="FW88" s="1762"/>
      <c r="FX88" s="1762"/>
      <c r="FY88" s="1762"/>
      <c r="FZ88" s="1762"/>
      <c r="GA88" s="1762"/>
      <c r="GB88" s="1762"/>
      <c r="GC88" s="1762"/>
      <c r="GD88" s="1762"/>
      <c r="GE88" s="1762"/>
      <c r="GF88" s="1762"/>
      <c r="GG88" s="1762"/>
      <c r="GH88" s="1762"/>
      <c r="GI88" s="1762"/>
      <c r="GJ88" s="1762"/>
      <c r="GK88" s="1762"/>
      <c r="GL88" s="1762"/>
      <c r="GM88" s="1762"/>
      <c r="GN88" s="1762"/>
      <c r="GO88" s="1762"/>
      <c r="GP88" s="1762"/>
      <c r="GQ88" s="1762"/>
      <c r="GR88" s="1762"/>
      <c r="GS88" s="1762"/>
      <c r="GT88" s="1762"/>
      <c r="GU88" s="1762"/>
      <c r="GV88" s="1762"/>
      <c r="GW88" s="1762"/>
      <c r="GX88" s="1762"/>
      <c r="GY88" s="1762"/>
      <c r="GZ88" s="1762"/>
      <c r="HA88" s="1762"/>
      <c r="HB88" s="1762"/>
      <c r="HC88" s="1762"/>
      <c r="HD88" s="1762"/>
      <c r="HE88" s="1762"/>
      <c r="HF88" s="1762"/>
      <c r="HG88" s="1762"/>
      <c r="HH88" s="1762"/>
      <c r="HI88" s="1762"/>
      <c r="HJ88" s="1762"/>
      <c r="HK88" s="1762"/>
      <c r="HL88" s="1762"/>
      <c r="HM88" s="1762"/>
      <c r="HN88" s="1762"/>
      <c r="HO88" s="1762"/>
      <c r="HP88" s="1762"/>
      <c r="HQ88" s="1762"/>
      <c r="HR88" s="1762"/>
      <c r="HS88" s="1762"/>
      <c r="HT88" s="1762"/>
      <c r="HU88" s="1762"/>
      <c r="HV88" s="1762"/>
      <c r="HW88" s="1762"/>
      <c r="HX88" s="1762"/>
      <c r="HY88" s="1762"/>
      <c r="HZ88" s="1762"/>
      <c r="IA88" s="1762"/>
      <c r="IB88" s="1762"/>
      <c r="IC88" s="1762"/>
      <c r="ID88" s="1762"/>
      <c r="IE88" s="1762"/>
      <c r="IF88" s="1762"/>
      <c r="IG88" s="1762"/>
      <c r="IH88" s="1762"/>
      <c r="II88" s="1762"/>
      <c r="IJ88" s="1762"/>
      <c r="IK88" s="1762"/>
      <c r="IL88" s="1762"/>
      <c r="IM88" s="1762"/>
      <c r="IN88" s="1762"/>
      <c r="IO88" s="1762"/>
      <c r="IP88" s="1762"/>
      <c r="IQ88" s="1762"/>
      <c r="IR88" s="1762"/>
      <c r="IS88" s="1762"/>
      <c r="IT88" s="1762"/>
      <c r="IU88" s="1762"/>
      <c r="IV88" s="1762"/>
      <c r="IW88" s="1762"/>
      <c r="IX88" s="1762"/>
      <c r="IY88" s="1762"/>
      <c r="IZ88" s="1762"/>
      <c r="JA88" s="1762"/>
      <c r="JB88" s="1762"/>
      <c r="JC88" s="1762"/>
      <c r="JD88" s="1762"/>
      <c r="JE88" s="1762"/>
      <c r="JF88" s="1762"/>
      <c r="JG88" s="1762"/>
      <c r="JH88" s="1762"/>
      <c r="JI88" s="1762"/>
      <c r="JJ88" s="1762"/>
      <c r="JK88" s="1762"/>
      <c r="JL88" s="1762"/>
      <c r="JM88" s="1762"/>
      <c r="JN88" s="1762"/>
      <c r="JO88" s="1762"/>
      <c r="JP88" s="1762"/>
      <c r="JQ88" s="1762"/>
      <c r="JR88" s="1762"/>
      <c r="JS88" s="1762"/>
      <c r="JT88" s="1762"/>
      <c r="JU88" s="1762"/>
      <c r="JV88" s="1762"/>
      <c r="JW88" s="1762"/>
      <c r="JX88" s="1762"/>
      <c r="JY88" s="1762"/>
      <c r="JZ88" s="1762"/>
      <c r="KA88" s="1762"/>
      <c r="KB88" s="1762"/>
      <c r="KC88" s="1762"/>
      <c r="KD88" s="1762"/>
      <c r="KE88" s="1762"/>
      <c r="KF88" s="1762"/>
      <c r="KG88" s="1762"/>
      <c r="KH88" s="1762"/>
      <c r="KI88" s="1762"/>
      <c r="KJ88" s="1762"/>
      <c r="KK88" s="1762"/>
      <c r="KL88" s="1762"/>
      <c r="KM88" s="1762"/>
      <c r="KN88" s="1762"/>
      <c r="KO88" s="1762"/>
      <c r="KP88" s="1762"/>
      <c r="KQ88" s="1762"/>
      <c r="KR88" s="1762"/>
      <c r="KS88" s="1762"/>
      <c r="KT88" s="1762"/>
      <c r="KU88" s="1762"/>
      <c r="KV88" s="1762"/>
      <c r="KW88" s="1762"/>
      <c r="KX88" s="1762"/>
      <c r="KY88" s="1762"/>
      <c r="KZ88" s="1762"/>
      <c r="LA88" s="1762"/>
      <c r="LB88" s="1762"/>
      <c r="LC88" s="1762"/>
      <c r="LD88" s="1762"/>
      <c r="LE88" s="1762"/>
      <c r="LF88" s="1762"/>
      <c r="LG88" s="1762"/>
      <c r="LH88" s="1762"/>
      <c r="LI88" s="1762"/>
      <c r="LJ88" s="1762"/>
      <c r="LK88" s="1762"/>
      <c r="LL88" s="1762"/>
      <c r="LM88" s="1762"/>
      <c r="LN88" s="1762"/>
      <c r="LO88" s="1762"/>
      <c r="LP88" s="1762"/>
      <c r="LQ88" s="1762"/>
      <c r="LR88" s="1762"/>
      <c r="LS88" s="1762"/>
      <c r="LT88" s="1762"/>
      <c r="LU88" s="1762"/>
      <c r="LV88" s="1762"/>
      <c r="LW88" s="1762"/>
      <c r="LX88" s="1762"/>
      <c r="LY88" s="1762"/>
      <c r="LZ88" s="1762"/>
      <c r="MA88" s="1762"/>
      <c r="MB88" s="1762"/>
      <c r="MC88" s="1762"/>
      <c r="MD88" s="1762"/>
      <c r="ME88" s="1762"/>
      <c r="MF88" s="1762"/>
      <c r="MG88" s="1762"/>
      <c r="MH88" s="1762"/>
      <c r="MI88" s="1762"/>
      <c r="MJ88" s="1762"/>
      <c r="MK88" s="1762"/>
      <c r="ML88" s="1762"/>
      <c r="MM88" s="1762"/>
      <c r="MN88" s="1762"/>
      <c r="MO88" s="1762"/>
      <c r="MP88" s="1762"/>
      <c r="MQ88" s="1762"/>
      <c r="MR88" s="1762"/>
      <c r="MS88" s="1762"/>
      <c r="MT88" s="1762"/>
      <c r="MU88" s="1762"/>
      <c r="MV88" s="1762"/>
      <c r="MW88" s="1762"/>
      <c r="MX88" s="1762"/>
      <c r="MY88" s="1762"/>
      <c r="MZ88" s="1762"/>
      <c r="NA88" s="1762"/>
      <c r="NB88" s="1762"/>
      <c r="NC88" s="1762"/>
      <c r="ND88" s="1762"/>
      <c r="NE88" s="158"/>
      <c r="NF88" s="158"/>
      <c r="NG88" s="158"/>
      <c r="NH88" s="158"/>
      <c r="NI88" s="158"/>
      <c r="NJ88" s="158"/>
      <c r="NK88" s="158"/>
      <c r="NL88" s="158"/>
      <c r="NM88" s="158"/>
      <c r="NN88" s="158"/>
      <c r="NO88" s="158"/>
      <c r="NP88" s="158"/>
      <c r="NQ88" s="158"/>
      <c r="NR88" s="158"/>
      <c r="NS88" s="158"/>
      <c r="NT88" s="158"/>
      <c r="NU88" s="158"/>
      <c r="NV88" s="158"/>
      <c r="NW88" s="158"/>
      <c r="NX88" s="158"/>
      <c r="NY88" s="158"/>
      <c r="NZ88" s="158"/>
      <c r="OA88" s="158"/>
      <c r="OB88" s="158"/>
      <c r="OC88" s="158"/>
      <c r="OD88" s="158"/>
      <c r="OE88" s="158"/>
      <c r="OF88" s="158"/>
      <c r="OG88" s="158"/>
      <c r="OH88" s="158"/>
      <c r="OI88" s="158"/>
      <c r="OJ88" s="158"/>
      <c r="OK88" s="158"/>
      <c r="OL88" s="158"/>
      <c r="OM88" s="158"/>
      <c r="ON88" s="158"/>
      <c r="OO88" s="158"/>
      <c r="OP88" s="158"/>
      <c r="OQ88" s="158"/>
      <c r="OR88" s="158"/>
      <c r="OS88" s="158"/>
      <c r="OT88" s="158"/>
      <c r="OU88" s="158"/>
      <c r="OV88" s="158"/>
      <c r="OW88" s="158"/>
      <c r="OX88" s="158"/>
      <c r="OY88" s="158"/>
      <c r="OZ88" s="158"/>
      <c r="PA88" s="158"/>
      <c r="PB88" s="158"/>
      <c r="PC88" s="158"/>
      <c r="PD88" s="158"/>
      <c r="PE88" s="158"/>
      <c r="PF88" s="158"/>
      <c r="PG88" s="158"/>
      <c r="PH88" s="158"/>
      <c r="PI88" s="158"/>
      <c r="PJ88" s="158"/>
      <c r="PK88" s="158"/>
      <c r="PL88" s="158"/>
      <c r="PM88" s="158"/>
      <c r="PN88" s="158"/>
      <c r="PO88" s="158"/>
      <c r="PP88" s="158"/>
      <c r="PQ88" s="158"/>
      <c r="PR88" s="158"/>
      <c r="PS88" s="158"/>
      <c r="PT88" s="158"/>
      <c r="PU88" s="158"/>
      <c r="PV88" s="158"/>
      <c r="PW88" s="158"/>
      <c r="PX88" s="158"/>
      <c r="PY88" s="158"/>
      <c r="PZ88" s="158"/>
      <c r="QA88" s="158"/>
      <c r="QB88" s="158"/>
      <c r="QC88" s="158"/>
      <c r="QD88" s="158"/>
      <c r="QE88" s="158"/>
      <c r="QF88" s="158"/>
      <c r="QG88" s="158"/>
      <c r="QH88" s="158"/>
      <c r="QI88" s="158"/>
      <c r="QJ88" s="158"/>
      <c r="QK88" s="158"/>
      <c r="QL88" s="158"/>
      <c r="QM88" s="158"/>
      <c r="QN88" s="158"/>
      <c r="QO88" s="158"/>
      <c r="QP88" s="158"/>
      <c r="QQ88" s="158"/>
      <c r="QR88" s="158"/>
      <c r="QS88" s="158"/>
      <c r="QT88" s="158"/>
      <c r="QU88" s="158"/>
      <c r="QV88" s="158"/>
      <c r="QW88" s="158"/>
      <c r="QX88" s="158"/>
      <c r="QY88" s="158"/>
      <c r="QZ88" s="158"/>
      <c r="RA88" s="158"/>
      <c r="RB88" s="158"/>
      <c r="RC88" s="158"/>
      <c r="RD88" s="158"/>
      <c r="RE88" s="158"/>
      <c r="RF88" s="158"/>
      <c r="RG88" s="158"/>
      <c r="RH88" s="158"/>
      <c r="RI88" s="158"/>
      <c r="RJ88" s="158"/>
      <c r="RK88" s="158"/>
      <c r="RL88" s="158"/>
      <c r="RM88" s="158"/>
      <c r="RN88" s="158"/>
      <c r="RO88" s="158"/>
      <c r="RP88" s="158"/>
      <c r="RQ88" s="158"/>
      <c r="RR88" s="158"/>
      <c r="RS88" s="158"/>
      <c r="RT88" s="158"/>
      <c r="RU88" s="158"/>
      <c r="RV88" s="158"/>
      <c r="RW88" s="158"/>
      <c r="RX88" s="158"/>
      <c r="RY88" s="158"/>
      <c r="RZ88" s="158"/>
      <c r="SA88" s="158"/>
    </row>
    <row r="89" spans="1:495" s="27" customFormat="1">
      <c r="B89" s="116"/>
      <c r="C89" s="204"/>
      <c r="D89" s="4052"/>
      <c r="E89" s="4052"/>
      <c r="F89" s="8"/>
      <c r="G89" s="8"/>
      <c r="H89" s="110" t="s">
        <v>4801</v>
      </c>
      <c r="I89" s="36"/>
      <c r="J89" s="1"/>
      <c r="K89" s="4040" t="str">
        <f>IF(OR(K62=0,$P88="",K$67=0),"",$P88*K$67)</f>
        <v/>
      </c>
      <c r="L89" s="4040" t="str">
        <f>IF(OR(L62=0,$P88="",L$67=0),"",$P88*L$67)</f>
        <v/>
      </c>
      <c r="M89" s="4040" t="str">
        <f>IF(OR(M62=0,$P88="",M$67=0),"",$P88*M$67)</f>
        <v/>
      </c>
      <c r="N89" s="4040" t="str">
        <f>IF(OR(N62=0,$P88="",N$67=0),"",$P88*N$67)</f>
        <v/>
      </c>
      <c r="O89" s="4040" t="str">
        <f>IF(OR(O62=0,$P88="",O$67=0),"",$P88*O$67)</f>
        <v/>
      </c>
      <c r="P89" s="4041" t="str">
        <f t="shared" ref="P89" si="377">IF(OR($P88="",P$67=0),"",$P88*P$67)</f>
        <v/>
      </c>
      <c r="X89" s="1762"/>
      <c r="Y89" s="1762"/>
      <c r="Z89" s="1762"/>
      <c r="AA89" s="1762"/>
      <c r="AB89" s="1762"/>
      <c r="AC89" s="1762"/>
      <c r="AD89" s="1762"/>
      <c r="AE89" s="1762"/>
      <c r="AF89" s="1762"/>
      <c r="AG89" s="1762"/>
      <c r="AH89" s="1762"/>
      <c r="AI89" s="1762"/>
      <c r="AJ89" s="1762"/>
      <c r="AK89" s="1762"/>
      <c r="AL89" s="1762"/>
      <c r="AM89" s="1762"/>
      <c r="AN89" s="1762"/>
      <c r="AO89" s="1762"/>
      <c r="AP89" s="1762"/>
      <c r="AQ89" s="1762"/>
      <c r="AR89" s="1762"/>
      <c r="AS89" s="1762"/>
      <c r="AT89" s="1762"/>
      <c r="AU89" s="1762"/>
      <c r="AV89" s="1762"/>
      <c r="AW89" s="1762"/>
      <c r="AX89" s="1762"/>
      <c r="AY89" s="1762"/>
      <c r="AZ89" s="1762"/>
      <c r="BA89" s="1762"/>
      <c r="BB89" s="1762"/>
      <c r="BC89" s="1762"/>
      <c r="BD89" s="1762"/>
      <c r="BE89" s="1762"/>
      <c r="BF89" s="1762"/>
      <c r="BG89" s="1762"/>
      <c r="BH89" s="1762"/>
      <c r="BI89" s="1762"/>
      <c r="BJ89" s="1762"/>
      <c r="BK89" s="1762"/>
      <c r="BL89" s="1762"/>
      <c r="BM89" s="1762"/>
      <c r="BN89" s="1762"/>
      <c r="BO89" s="1762"/>
      <c r="BP89" s="1762"/>
      <c r="BQ89" s="1762"/>
      <c r="BR89" s="1762"/>
      <c r="BS89" s="1762"/>
      <c r="BT89" s="1762"/>
      <c r="BU89" s="1762"/>
      <c r="BV89" s="1762"/>
      <c r="BW89" s="1762"/>
      <c r="BX89" s="1762"/>
      <c r="BY89" s="1762"/>
      <c r="BZ89" s="1762"/>
      <c r="CA89" s="1762"/>
      <c r="CB89" s="1762"/>
      <c r="CC89" s="1762"/>
      <c r="CD89" s="1762"/>
      <c r="CE89" s="1762"/>
      <c r="CF89" s="1762"/>
      <c r="CG89" s="1762"/>
      <c r="CH89" s="1762"/>
      <c r="CI89" s="1762"/>
      <c r="CJ89" s="1762"/>
      <c r="CK89" s="1762"/>
      <c r="CL89" s="1762"/>
      <c r="CM89" s="1762"/>
      <c r="CN89" s="1762"/>
      <c r="CO89" s="1762"/>
      <c r="CP89" s="1762"/>
      <c r="CQ89" s="1762"/>
      <c r="CR89" s="1762"/>
      <c r="CS89" s="1762"/>
      <c r="CT89" s="1762"/>
      <c r="CU89" s="1762"/>
      <c r="CV89" s="1762"/>
      <c r="CW89" s="1762"/>
      <c r="CX89" s="1762"/>
      <c r="CY89" s="1762"/>
      <c r="CZ89" s="1762"/>
      <c r="DA89" s="1762"/>
      <c r="DB89" s="1762"/>
      <c r="DC89" s="1762"/>
      <c r="DD89" s="1762"/>
      <c r="DE89" s="1762"/>
      <c r="DF89" s="1762"/>
      <c r="DG89" s="1762"/>
      <c r="DH89" s="1762"/>
      <c r="DI89" s="1762"/>
      <c r="DJ89" s="1762"/>
      <c r="DK89" s="1762"/>
      <c r="DL89" s="1762"/>
      <c r="DM89" s="1762"/>
      <c r="DN89" s="1762"/>
      <c r="DO89" s="1762"/>
      <c r="DP89" s="1762"/>
      <c r="DQ89" s="1762"/>
      <c r="DR89" s="1762"/>
      <c r="DS89" s="1762"/>
      <c r="DT89" s="1762"/>
      <c r="DU89" s="1762"/>
      <c r="DV89" s="1762"/>
      <c r="DW89" s="1762"/>
      <c r="DX89" s="1762"/>
      <c r="DY89" s="1762"/>
      <c r="DZ89" s="1762"/>
      <c r="EA89" s="1762"/>
      <c r="EB89" s="1762"/>
      <c r="EC89" s="1762"/>
      <c r="ED89" s="1762"/>
      <c r="EE89" s="1762"/>
      <c r="EF89" s="1762"/>
      <c r="EG89" s="1762"/>
      <c r="EH89" s="1762"/>
      <c r="EI89" s="1762"/>
      <c r="EJ89" s="1762"/>
      <c r="EK89" s="1762"/>
      <c r="EL89" s="1762"/>
      <c r="EM89" s="1762"/>
      <c r="EN89" s="1762"/>
      <c r="EO89" s="1762"/>
      <c r="EP89" s="1762"/>
      <c r="EQ89" s="1762"/>
      <c r="ER89" s="1762"/>
      <c r="ES89" s="1762"/>
      <c r="ET89" s="1762"/>
      <c r="EU89" s="1762"/>
      <c r="EV89" s="1762"/>
      <c r="EW89" s="1762"/>
      <c r="EX89" s="1762"/>
      <c r="EY89" s="1762"/>
      <c r="EZ89" s="1762"/>
      <c r="FA89" s="1762"/>
      <c r="FB89" s="1762"/>
      <c r="FC89" s="1762"/>
      <c r="FD89" s="1762"/>
      <c r="FE89" s="1762"/>
      <c r="FF89" s="1762"/>
      <c r="FG89" s="1762"/>
      <c r="FH89" s="1762"/>
      <c r="FI89" s="1762"/>
      <c r="FJ89" s="1762"/>
      <c r="FK89" s="1762"/>
      <c r="FL89" s="1762"/>
      <c r="FM89" s="1762"/>
      <c r="FN89" s="1762"/>
      <c r="FO89" s="1762"/>
      <c r="FP89" s="1762"/>
      <c r="FQ89" s="1762"/>
      <c r="FR89" s="1762"/>
      <c r="FS89" s="1762"/>
      <c r="FT89" s="1762"/>
      <c r="FU89" s="1762"/>
      <c r="FV89" s="1762"/>
      <c r="FW89" s="1762"/>
      <c r="FX89" s="1762"/>
      <c r="FY89" s="1762"/>
      <c r="FZ89" s="1762"/>
      <c r="GA89" s="1762"/>
      <c r="GB89" s="1762"/>
      <c r="GC89" s="1762"/>
      <c r="GD89" s="1762"/>
      <c r="GE89" s="1762"/>
      <c r="GF89" s="1762"/>
      <c r="GG89" s="1762"/>
      <c r="GH89" s="1762"/>
      <c r="GI89" s="1762"/>
      <c r="GJ89" s="1762"/>
      <c r="GK89" s="1762"/>
      <c r="GL89" s="1762"/>
      <c r="GM89" s="1762"/>
      <c r="GN89" s="1762"/>
      <c r="GO89" s="1762"/>
      <c r="GP89" s="1762"/>
      <c r="GQ89" s="1762"/>
      <c r="GR89" s="1762"/>
      <c r="GS89" s="1762"/>
      <c r="GT89" s="1762"/>
      <c r="GU89" s="1762"/>
      <c r="GV89" s="1762"/>
      <c r="GW89" s="1762"/>
      <c r="GX89" s="1762"/>
      <c r="GY89" s="1762"/>
      <c r="GZ89" s="1762"/>
      <c r="HA89" s="1762"/>
      <c r="HB89" s="1762"/>
      <c r="HC89" s="1762"/>
      <c r="HD89" s="1762"/>
      <c r="HE89" s="1762"/>
      <c r="HF89" s="1762"/>
      <c r="HG89" s="1762"/>
      <c r="HH89" s="1762"/>
      <c r="HI89" s="1762"/>
      <c r="HJ89" s="1762"/>
      <c r="HK89" s="1762"/>
      <c r="HL89" s="1762"/>
      <c r="HM89" s="1762"/>
      <c r="HN89" s="1762"/>
      <c r="HO89" s="1762"/>
      <c r="HP89" s="1762"/>
      <c r="HQ89" s="1762"/>
      <c r="HR89" s="1762"/>
      <c r="HS89" s="1762"/>
      <c r="HT89" s="1762"/>
      <c r="HU89" s="1762"/>
      <c r="HV89" s="1762"/>
      <c r="HW89" s="1762"/>
      <c r="HX89" s="1762"/>
      <c r="HY89" s="1762"/>
      <c r="HZ89" s="1762"/>
      <c r="IA89" s="1762"/>
      <c r="IB89" s="1762"/>
      <c r="IC89" s="1762"/>
      <c r="ID89" s="1762"/>
      <c r="IE89" s="1762"/>
      <c r="IF89" s="1762"/>
      <c r="IG89" s="1762"/>
      <c r="IH89" s="1762"/>
      <c r="II89" s="1762"/>
      <c r="IJ89" s="1762"/>
      <c r="IK89" s="1762"/>
      <c r="IL89" s="1762"/>
      <c r="IM89" s="1762"/>
      <c r="IN89" s="1762"/>
      <c r="IO89" s="1762"/>
      <c r="IP89" s="1762"/>
      <c r="IQ89" s="1762"/>
      <c r="IR89" s="1762"/>
      <c r="IS89" s="1762"/>
      <c r="IT89" s="1762"/>
      <c r="IU89" s="1762"/>
      <c r="IV89" s="1762"/>
      <c r="IW89" s="1762"/>
      <c r="IX89" s="1762"/>
      <c r="IY89" s="1762"/>
      <c r="IZ89" s="1762"/>
      <c r="JA89" s="1762"/>
      <c r="JB89" s="1762"/>
      <c r="JC89" s="1762"/>
      <c r="JD89" s="1762"/>
      <c r="JE89" s="1762"/>
      <c r="JF89" s="1762"/>
      <c r="JG89" s="1762"/>
      <c r="JH89" s="1762"/>
      <c r="JI89" s="1762"/>
      <c r="JJ89" s="1762"/>
      <c r="JK89" s="1762"/>
      <c r="JL89" s="1762"/>
      <c r="JM89" s="1762"/>
      <c r="JN89" s="1762"/>
      <c r="JO89" s="1762"/>
      <c r="JP89" s="1762"/>
      <c r="JQ89" s="1762"/>
      <c r="JR89" s="1762"/>
      <c r="JS89" s="1762"/>
      <c r="JT89" s="1762"/>
      <c r="JU89" s="1762"/>
      <c r="JV89" s="1762"/>
      <c r="JW89" s="1762"/>
      <c r="JX89" s="1762"/>
      <c r="JY89" s="1762"/>
      <c r="JZ89" s="1762"/>
      <c r="KA89" s="1762"/>
      <c r="KB89" s="1762"/>
      <c r="KC89" s="1762"/>
      <c r="KD89" s="1762"/>
      <c r="KE89" s="1762"/>
      <c r="KF89" s="1762"/>
      <c r="KG89" s="1762"/>
      <c r="KH89" s="1762"/>
      <c r="KI89" s="1762"/>
      <c r="KJ89" s="1762"/>
      <c r="KK89" s="1762"/>
      <c r="KL89" s="1762"/>
      <c r="KM89" s="1762"/>
      <c r="KN89" s="1762"/>
      <c r="KO89" s="1762"/>
      <c r="KP89" s="1762"/>
      <c r="KQ89" s="1762"/>
      <c r="KR89" s="1762"/>
      <c r="KS89" s="1762"/>
      <c r="KT89" s="1762"/>
      <c r="KU89" s="1762"/>
      <c r="KV89" s="1762"/>
      <c r="KW89" s="1762"/>
      <c r="KX89" s="1762"/>
      <c r="KY89" s="1762"/>
      <c r="KZ89" s="1762"/>
      <c r="LA89" s="1762"/>
      <c r="LB89" s="1762"/>
      <c r="LC89" s="1762"/>
      <c r="LD89" s="1762"/>
      <c r="LE89" s="1762"/>
      <c r="LF89" s="1762"/>
      <c r="LG89" s="1762"/>
      <c r="LH89" s="1762"/>
      <c r="LI89" s="1762"/>
      <c r="LJ89" s="1762"/>
      <c r="LK89" s="1762"/>
      <c r="LL89" s="1762"/>
      <c r="LM89" s="1762"/>
      <c r="LN89" s="1762"/>
      <c r="LO89" s="1762"/>
      <c r="LP89" s="1762"/>
      <c r="LQ89" s="1762"/>
      <c r="LR89" s="1762"/>
      <c r="LS89" s="1762"/>
      <c r="LT89" s="1762"/>
      <c r="LU89" s="1762"/>
      <c r="LV89" s="1762"/>
      <c r="LW89" s="1762"/>
      <c r="LX89" s="1762"/>
      <c r="LY89" s="1762"/>
      <c r="LZ89" s="1762"/>
      <c r="MA89" s="1762"/>
      <c r="MB89" s="1762"/>
      <c r="MC89" s="1762"/>
      <c r="MD89" s="1762"/>
      <c r="ME89" s="1762"/>
      <c r="MF89" s="1762"/>
      <c r="MG89" s="1762"/>
      <c r="MH89" s="1762"/>
      <c r="MI89" s="1762"/>
      <c r="MJ89" s="1762"/>
      <c r="MK89" s="1762"/>
      <c r="ML89" s="1762"/>
      <c r="MM89" s="1762"/>
      <c r="MN89" s="1762"/>
      <c r="MO89" s="1762"/>
      <c r="MP89" s="1762"/>
      <c r="MQ89" s="1762"/>
      <c r="MR89" s="1762"/>
      <c r="MS89" s="1762"/>
      <c r="MT89" s="1762"/>
      <c r="MU89" s="1762"/>
      <c r="MV89" s="1762"/>
      <c r="MW89" s="1762"/>
      <c r="MX89" s="1762"/>
      <c r="MY89" s="1762"/>
      <c r="MZ89" s="1762"/>
      <c r="NA89" s="1762"/>
      <c r="NB89" s="1762"/>
      <c r="NC89" s="1762"/>
      <c r="ND89" s="1762"/>
      <c r="NE89" s="158"/>
      <c r="NF89" s="158"/>
      <c r="NG89" s="158"/>
      <c r="NH89" s="158"/>
      <c r="NI89" s="158"/>
      <c r="NJ89" s="158"/>
      <c r="NK89" s="158"/>
      <c r="NL89" s="158"/>
      <c r="NM89" s="158"/>
      <c r="NN89" s="158"/>
      <c r="NO89" s="158"/>
      <c r="NP89" s="158"/>
      <c r="NQ89" s="158"/>
      <c r="NR89" s="158"/>
      <c r="NS89" s="158"/>
      <c r="NT89" s="158"/>
      <c r="NU89" s="158"/>
      <c r="NV89" s="158"/>
      <c r="NW89" s="158"/>
      <c r="NX89" s="158"/>
      <c r="NY89" s="158"/>
      <c r="NZ89" s="158"/>
      <c r="OA89" s="158"/>
      <c r="OB89" s="158"/>
      <c r="OC89" s="158"/>
      <c r="OD89" s="158"/>
      <c r="OE89" s="158"/>
      <c r="OF89" s="158"/>
      <c r="OG89" s="158"/>
      <c r="OH89" s="158"/>
      <c r="OI89" s="158"/>
      <c r="OJ89" s="158"/>
      <c r="OK89" s="158"/>
      <c r="OL89" s="158"/>
      <c r="OM89" s="158"/>
      <c r="ON89" s="158"/>
      <c r="OO89" s="158"/>
      <c r="OP89" s="158"/>
      <c r="OQ89" s="158"/>
      <c r="OR89" s="158"/>
      <c r="OS89" s="158"/>
      <c r="OT89" s="158"/>
      <c r="OU89" s="158"/>
      <c r="OV89" s="158"/>
      <c r="OW89" s="158"/>
      <c r="OX89" s="158"/>
      <c r="OY89" s="158"/>
      <c r="OZ89" s="158"/>
      <c r="PA89" s="158"/>
      <c r="PB89" s="158"/>
      <c r="PC89" s="158"/>
      <c r="PD89" s="158"/>
      <c r="PE89" s="158"/>
      <c r="PF89" s="158"/>
      <c r="PG89" s="158"/>
      <c r="PH89" s="158"/>
      <c r="PI89" s="158"/>
      <c r="PJ89" s="158"/>
      <c r="PK89" s="158"/>
      <c r="PL89" s="158"/>
      <c r="PM89" s="158"/>
      <c r="PN89" s="158"/>
      <c r="PO89" s="158"/>
      <c r="PP89" s="158"/>
      <c r="PQ89" s="158"/>
      <c r="PR89" s="158"/>
      <c r="PS89" s="158"/>
      <c r="PT89" s="158"/>
      <c r="PU89" s="158"/>
      <c r="PV89" s="158"/>
      <c r="PW89" s="158"/>
      <c r="PX89" s="158"/>
      <c r="PY89" s="158"/>
      <c r="PZ89" s="158"/>
      <c r="QA89" s="158"/>
      <c r="QB89" s="158"/>
      <c r="QC89" s="158"/>
      <c r="QD89" s="158"/>
      <c r="QE89" s="158"/>
      <c r="QF89" s="158"/>
      <c r="QG89" s="158"/>
      <c r="QH89" s="158"/>
      <c r="QI89" s="158"/>
      <c r="QJ89" s="158"/>
      <c r="QK89" s="158"/>
      <c r="QL89" s="158"/>
      <c r="QM89" s="158"/>
      <c r="QN89" s="158"/>
      <c r="QO89" s="158"/>
      <c r="QP89" s="158"/>
      <c r="QQ89" s="158"/>
      <c r="QR89" s="158"/>
      <c r="QS89" s="158"/>
      <c r="QT89" s="158"/>
      <c r="QU89" s="158"/>
      <c r="QV89" s="158"/>
      <c r="QW89" s="158"/>
      <c r="QX89" s="158"/>
      <c r="QY89" s="158"/>
      <c r="QZ89" s="158"/>
      <c r="RA89" s="158"/>
      <c r="RB89" s="158"/>
      <c r="RC89" s="158"/>
      <c r="RD89" s="158"/>
      <c r="RE89" s="158"/>
      <c r="RF89" s="158"/>
      <c r="RG89" s="158"/>
      <c r="RH89" s="158"/>
      <c r="RI89" s="158"/>
      <c r="RJ89" s="158"/>
      <c r="RK89" s="158"/>
      <c r="RL89" s="158"/>
      <c r="RM89" s="158"/>
      <c r="RN89" s="158"/>
      <c r="RO89" s="158"/>
      <c r="RP89" s="158"/>
      <c r="RQ89" s="158"/>
      <c r="RR89" s="158"/>
      <c r="RS89" s="158"/>
      <c r="RT89" s="158"/>
      <c r="RU89" s="158"/>
      <c r="RV89" s="158"/>
      <c r="RW89" s="158"/>
      <c r="RX89" s="158"/>
      <c r="RY89" s="158"/>
      <c r="RZ89" s="158"/>
      <c r="SA89" s="158"/>
    </row>
    <row r="90" spans="1:495" s="27" customFormat="1">
      <c r="B90" s="116"/>
      <c r="C90" s="204"/>
      <c r="D90" s="4051"/>
      <c r="E90" s="4051"/>
      <c r="F90" s="8"/>
      <c r="G90" s="8"/>
      <c r="H90" s="4042" t="s">
        <v>4802</v>
      </c>
      <c r="I90" s="4043"/>
      <c r="J90" s="1"/>
      <c r="K90" s="4053" t="str">
        <f t="shared" ref="K90:P90" si="378">IF(OR(K89="",K62=0),"", K62-K89)</f>
        <v/>
      </c>
      <c r="L90" s="4053" t="str">
        <f t="shared" si="378"/>
        <v/>
      </c>
      <c r="M90" s="4053" t="str">
        <f t="shared" si="378"/>
        <v/>
      </c>
      <c r="N90" s="4053" t="str">
        <f t="shared" si="378"/>
        <v/>
      </c>
      <c r="O90" s="4053" t="str">
        <f t="shared" si="378"/>
        <v/>
      </c>
      <c r="P90" s="4053" t="str">
        <f t="shared" si="378"/>
        <v/>
      </c>
      <c r="X90" s="1762"/>
      <c r="Y90" s="1762"/>
      <c r="Z90" s="1762"/>
      <c r="AA90" s="1762"/>
      <c r="AB90" s="1762"/>
      <c r="AC90" s="1762"/>
      <c r="AD90" s="1762"/>
      <c r="AE90" s="1762"/>
      <c r="AF90" s="1762"/>
      <c r="AG90" s="1762"/>
      <c r="AH90" s="1762"/>
      <c r="AI90" s="1762"/>
      <c r="AJ90" s="1762"/>
      <c r="AK90" s="1762"/>
      <c r="AL90" s="1762"/>
      <c r="AM90" s="1762"/>
      <c r="AN90" s="1762"/>
      <c r="AO90" s="1762"/>
      <c r="AP90" s="1762"/>
      <c r="AQ90" s="1762"/>
      <c r="AR90" s="1762"/>
      <c r="AS90" s="1762"/>
      <c r="AT90" s="1762"/>
      <c r="AU90" s="1762"/>
      <c r="AV90" s="1762"/>
      <c r="AW90" s="1762"/>
      <c r="AX90" s="1762"/>
      <c r="AY90" s="1762"/>
      <c r="AZ90" s="1762"/>
      <c r="BA90" s="1762"/>
      <c r="BB90" s="1762"/>
      <c r="BC90" s="1762"/>
      <c r="BD90" s="1762"/>
      <c r="BE90" s="1762"/>
      <c r="BF90" s="1762"/>
      <c r="BG90" s="1762"/>
      <c r="BH90" s="1762"/>
      <c r="BI90" s="1762"/>
      <c r="BJ90" s="1762"/>
      <c r="BK90" s="1762"/>
      <c r="BL90" s="1762"/>
      <c r="BM90" s="1762"/>
      <c r="BN90" s="1762"/>
      <c r="BO90" s="1762"/>
      <c r="BP90" s="1762"/>
      <c r="BQ90" s="1762"/>
      <c r="BR90" s="1762"/>
      <c r="BS90" s="1762"/>
      <c r="BT90" s="1762"/>
      <c r="BU90" s="1762"/>
      <c r="BV90" s="1762"/>
      <c r="BW90" s="1762"/>
      <c r="BX90" s="1762"/>
      <c r="BY90" s="1762"/>
      <c r="BZ90" s="1762"/>
      <c r="CA90" s="1762"/>
      <c r="CB90" s="1762"/>
      <c r="CC90" s="1762"/>
      <c r="CD90" s="1762"/>
      <c r="CE90" s="1762"/>
      <c r="CF90" s="1762"/>
      <c r="CG90" s="1762"/>
      <c r="CH90" s="1762"/>
      <c r="CI90" s="1762"/>
      <c r="CJ90" s="1762"/>
      <c r="CK90" s="1762"/>
      <c r="CL90" s="1762"/>
      <c r="CM90" s="1762"/>
      <c r="CN90" s="1762"/>
      <c r="CO90" s="1762"/>
      <c r="CP90" s="1762"/>
      <c r="CQ90" s="1762"/>
      <c r="CR90" s="1762"/>
      <c r="CS90" s="1762"/>
      <c r="CT90" s="1762"/>
      <c r="CU90" s="1762"/>
      <c r="CV90" s="1762"/>
      <c r="CW90" s="1762"/>
      <c r="CX90" s="1762"/>
      <c r="CY90" s="1762"/>
      <c r="CZ90" s="1762"/>
      <c r="DA90" s="1762"/>
      <c r="DB90" s="1762"/>
      <c r="DC90" s="1762"/>
      <c r="DD90" s="1762"/>
      <c r="DE90" s="1762"/>
      <c r="DF90" s="1762"/>
      <c r="DG90" s="1762"/>
      <c r="DH90" s="1762"/>
      <c r="DI90" s="1762"/>
      <c r="DJ90" s="1762"/>
      <c r="DK90" s="1762"/>
      <c r="DL90" s="1762"/>
      <c r="DM90" s="1762"/>
      <c r="DN90" s="1762"/>
      <c r="DO90" s="1762"/>
      <c r="DP90" s="1762"/>
      <c r="DQ90" s="1762"/>
      <c r="DR90" s="1762"/>
      <c r="DS90" s="1762"/>
      <c r="DT90" s="1762"/>
      <c r="DU90" s="1762"/>
      <c r="DV90" s="1762"/>
      <c r="DW90" s="1762"/>
      <c r="DX90" s="1762"/>
      <c r="DY90" s="1762"/>
      <c r="DZ90" s="1762"/>
      <c r="EA90" s="1762"/>
      <c r="EB90" s="1762"/>
      <c r="EC90" s="1762"/>
      <c r="ED90" s="1762"/>
      <c r="EE90" s="1762"/>
      <c r="EF90" s="1762"/>
      <c r="EG90" s="1762"/>
      <c r="EH90" s="1762"/>
      <c r="EI90" s="1762"/>
      <c r="EJ90" s="1762"/>
      <c r="EK90" s="1762"/>
      <c r="EL90" s="1762"/>
      <c r="EM90" s="1762"/>
      <c r="EN90" s="1762"/>
      <c r="EO90" s="1762"/>
      <c r="EP90" s="1762"/>
      <c r="EQ90" s="1762"/>
      <c r="ER90" s="1762"/>
      <c r="ES90" s="1762"/>
      <c r="ET90" s="1762"/>
      <c r="EU90" s="1762"/>
      <c r="EV90" s="1762"/>
      <c r="EW90" s="1762"/>
      <c r="EX90" s="1762"/>
      <c r="EY90" s="1762"/>
      <c r="EZ90" s="1762"/>
      <c r="FA90" s="1762"/>
      <c r="FB90" s="1762"/>
      <c r="FC90" s="1762"/>
      <c r="FD90" s="1762"/>
      <c r="FE90" s="1762"/>
      <c r="FF90" s="1762"/>
      <c r="FG90" s="1762"/>
      <c r="FH90" s="1762"/>
      <c r="FI90" s="1762"/>
      <c r="FJ90" s="1762"/>
      <c r="FK90" s="1762"/>
      <c r="FL90" s="1762"/>
      <c r="FM90" s="1762"/>
      <c r="FN90" s="1762"/>
      <c r="FO90" s="1762"/>
      <c r="FP90" s="1762"/>
      <c r="FQ90" s="1762"/>
      <c r="FR90" s="1762"/>
      <c r="FS90" s="1762"/>
      <c r="FT90" s="1762"/>
      <c r="FU90" s="1762"/>
      <c r="FV90" s="1762"/>
      <c r="FW90" s="1762"/>
      <c r="FX90" s="1762"/>
      <c r="FY90" s="1762"/>
      <c r="FZ90" s="1762"/>
      <c r="GA90" s="1762"/>
      <c r="GB90" s="1762"/>
      <c r="GC90" s="1762"/>
      <c r="GD90" s="1762"/>
      <c r="GE90" s="1762"/>
      <c r="GF90" s="1762"/>
      <c r="GG90" s="1762"/>
      <c r="GH90" s="1762"/>
      <c r="GI90" s="1762"/>
      <c r="GJ90" s="1762"/>
      <c r="GK90" s="1762"/>
      <c r="GL90" s="1762"/>
      <c r="GM90" s="1762"/>
      <c r="GN90" s="1762"/>
      <c r="GO90" s="1762"/>
      <c r="GP90" s="1762"/>
      <c r="GQ90" s="1762"/>
      <c r="GR90" s="1762"/>
      <c r="GS90" s="1762"/>
      <c r="GT90" s="1762"/>
      <c r="GU90" s="1762"/>
      <c r="GV90" s="1762"/>
      <c r="GW90" s="1762"/>
      <c r="GX90" s="1762"/>
      <c r="GY90" s="1762"/>
      <c r="GZ90" s="1762"/>
      <c r="HA90" s="1762"/>
      <c r="HB90" s="1762"/>
      <c r="HC90" s="1762"/>
      <c r="HD90" s="1762"/>
      <c r="HE90" s="1762"/>
      <c r="HF90" s="1762"/>
      <c r="HG90" s="1762"/>
      <c r="HH90" s="1762"/>
      <c r="HI90" s="1762"/>
      <c r="HJ90" s="1762"/>
      <c r="HK90" s="1762"/>
      <c r="HL90" s="1762"/>
      <c r="HM90" s="1762"/>
      <c r="HN90" s="1762"/>
      <c r="HO90" s="1762"/>
      <c r="HP90" s="1762"/>
      <c r="HQ90" s="1762"/>
      <c r="HR90" s="1762"/>
      <c r="HS90" s="1762"/>
      <c r="HT90" s="1762"/>
      <c r="HU90" s="1762"/>
      <c r="HV90" s="1762"/>
      <c r="HW90" s="1762"/>
      <c r="HX90" s="1762"/>
      <c r="HY90" s="1762"/>
      <c r="HZ90" s="1762"/>
      <c r="IA90" s="1762"/>
      <c r="IB90" s="1762"/>
      <c r="IC90" s="1762"/>
      <c r="ID90" s="1762"/>
      <c r="IE90" s="1762"/>
      <c r="IF90" s="1762"/>
      <c r="IG90" s="1762"/>
      <c r="IH90" s="1762"/>
      <c r="II90" s="1762"/>
      <c r="IJ90" s="1762"/>
      <c r="IK90" s="1762"/>
      <c r="IL90" s="1762"/>
      <c r="IM90" s="1762"/>
      <c r="IN90" s="1762"/>
      <c r="IO90" s="1762"/>
      <c r="IP90" s="1762"/>
      <c r="IQ90" s="1762"/>
      <c r="IR90" s="1762"/>
      <c r="IS90" s="1762"/>
      <c r="IT90" s="1762"/>
      <c r="IU90" s="1762"/>
      <c r="IV90" s="1762"/>
      <c r="IW90" s="1762"/>
      <c r="IX90" s="1762"/>
      <c r="IY90" s="1762"/>
      <c r="IZ90" s="1762"/>
      <c r="JA90" s="1762"/>
      <c r="JB90" s="1762"/>
      <c r="JC90" s="1762"/>
      <c r="JD90" s="1762"/>
      <c r="JE90" s="1762"/>
      <c r="JF90" s="1762"/>
      <c r="JG90" s="1762"/>
      <c r="JH90" s="1762"/>
      <c r="JI90" s="1762"/>
      <c r="JJ90" s="1762"/>
      <c r="JK90" s="1762"/>
      <c r="JL90" s="1762"/>
      <c r="JM90" s="1762"/>
      <c r="JN90" s="1762"/>
      <c r="JO90" s="1762"/>
      <c r="JP90" s="1762"/>
      <c r="JQ90" s="1762"/>
      <c r="JR90" s="1762"/>
      <c r="JS90" s="1762"/>
      <c r="JT90" s="1762"/>
      <c r="JU90" s="1762"/>
      <c r="JV90" s="1762"/>
      <c r="JW90" s="1762"/>
      <c r="JX90" s="1762"/>
      <c r="JY90" s="1762"/>
      <c r="JZ90" s="1762"/>
      <c r="KA90" s="1762"/>
      <c r="KB90" s="1762"/>
      <c r="KC90" s="1762"/>
      <c r="KD90" s="1762"/>
      <c r="KE90" s="1762"/>
      <c r="KF90" s="1762"/>
      <c r="KG90" s="1762"/>
      <c r="KH90" s="1762"/>
      <c r="KI90" s="1762"/>
      <c r="KJ90" s="1762"/>
      <c r="KK90" s="1762"/>
      <c r="KL90" s="1762"/>
      <c r="KM90" s="1762"/>
      <c r="KN90" s="1762"/>
      <c r="KO90" s="1762"/>
      <c r="KP90" s="1762"/>
      <c r="KQ90" s="1762"/>
      <c r="KR90" s="1762"/>
      <c r="KS90" s="1762"/>
      <c r="KT90" s="1762"/>
      <c r="KU90" s="1762"/>
      <c r="KV90" s="1762"/>
      <c r="KW90" s="1762"/>
      <c r="KX90" s="1762"/>
      <c r="KY90" s="1762"/>
      <c r="KZ90" s="1762"/>
      <c r="LA90" s="1762"/>
      <c r="LB90" s="1762"/>
      <c r="LC90" s="1762"/>
      <c r="LD90" s="1762"/>
      <c r="LE90" s="1762"/>
      <c r="LF90" s="1762"/>
      <c r="LG90" s="1762"/>
      <c r="LH90" s="1762"/>
      <c r="LI90" s="1762"/>
      <c r="LJ90" s="1762"/>
      <c r="LK90" s="1762"/>
      <c r="LL90" s="1762"/>
      <c r="LM90" s="1762"/>
      <c r="LN90" s="1762"/>
      <c r="LO90" s="1762"/>
      <c r="LP90" s="1762"/>
      <c r="LQ90" s="1762"/>
      <c r="LR90" s="1762"/>
      <c r="LS90" s="1762"/>
      <c r="LT90" s="1762"/>
      <c r="LU90" s="1762"/>
      <c r="LV90" s="1762"/>
      <c r="LW90" s="1762"/>
      <c r="LX90" s="1762"/>
      <c r="LY90" s="1762"/>
      <c r="LZ90" s="1762"/>
      <c r="MA90" s="1762"/>
      <c r="MB90" s="1762"/>
      <c r="MC90" s="1762"/>
      <c r="MD90" s="1762"/>
      <c r="ME90" s="1762"/>
      <c r="MF90" s="1762"/>
      <c r="MG90" s="1762"/>
      <c r="MH90" s="1762"/>
      <c r="MI90" s="1762"/>
      <c r="MJ90" s="1762"/>
      <c r="MK90" s="1762"/>
      <c r="ML90" s="1762"/>
      <c r="MM90" s="1762"/>
      <c r="MN90" s="1762"/>
      <c r="MO90" s="1762"/>
      <c r="MP90" s="1762"/>
      <c r="MQ90" s="1762"/>
      <c r="MR90" s="1762"/>
      <c r="MS90" s="1762"/>
      <c r="MT90" s="1762"/>
      <c r="MU90" s="1762"/>
      <c r="MV90" s="1762"/>
      <c r="MW90" s="1762"/>
      <c r="MX90" s="1762"/>
      <c r="MY90" s="1762"/>
      <c r="MZ90" s="1762"/>
      <c r="NA90" s="1762"/>
      <c r="NB90" s="1762"/>
      <c r="NC90" s="1762"/>
      <c r="ND90" s="1762"/>
      <c r="NE90" s="158"/>
      <c r="NF90" s="158"/>
      <c r="NG90" s="158"/>
      <c r="NH90" s="158"/>
      <c r="NI90" s="158"/>
      <c r="NJ90" s="158"/>
      <c r="NK90" s="158"/>
      <c r="NL90" s="158"/>
      <c r="NM90" s="158"/>
      <c r="NN90" s="158"/>
      <c r="NO90" s="158"/>
      <c r="NP90" s="158"/>
      <c r="NQ90" s="158"/>
      <c r="NR90" s="158"/>
      <c r="NS90" s="158"/>
      <c r="NT90" s="158"/>
      <c r="NU90" s="158"/>
      <c r="NV90" s="158"/>
      <c r="NW90" s="158"/>
      <c r="NX90" s="158"/>
      <c r="NY90" s="158"/>
      <c r="NZ90" s="158"/>
      <c r="OA90" s="158"/>
      <c r="OB90" s="158"/>
      <c r="OC90" s="158"/>
      <c r="OD90" s="158"/>
      <c r="OE90" s="158"/>
      <c r="OF90" s="158"/>
      <c r="OG90" s="158"/>
      <c r="OH90" s="158"/>
      <c r="OI90" s="158"/>
      <c r="OJ90" s="158"/>
      <c r="OK90" s="158"/>
      <c r="OL90" s="158"/>
      <c r="OM90" s="158"/>
      <c r="ON90" s="158"/>
      <c r="OO90" s="158"/>
      <c r="OP90" s="158"/>
      <c r="OQ90" s="158"/>
      <c r="OR90" s="158"/>
      <c r="OS90" s="158"/>
      <c r="OT90" s="158"/>
      <c r="OU90" s="158"/>
      <c r="OV90" s="158"/>
      <c r="OW90" s="158"/>
      <c r="OX90" s="158"/>
      <c r="OY90" s="158"/>
      <c r="OZ90" s="158"/>
      <c r="PA90" s="158"/>
      <c r="PB90" s="158"/>
      <c r="PC90" s="158"/>
      <c r="PD90" s="158"/>
      <c r="PE90" s="158"/>
      <c r="PF90" s="158"/>
      <c r="PG90" s="158"/>
      <c r="PH90" s="158"/>
      <c r="PI90" s="158"/>
      <c r="PJ90" s="158"/>
      <c r="PK90" s="158"/>
      <c r="PL90" s="158"/>
      <c r="PM90" s="158"/>
      <c r="PN90" s="158"/>
      <c r="PO90" s="158"/>
      <c r="PP90" s="158"/>
      <c r="PQ90" s="158"/>
      <c r="PR90" s="158"/>
      <c r="PS90" s="158"/>
      <c r="PT90" s="158"/>
      <c r="PU90" s="158"/>
      <c r="PV90" s="158"/>
      <c r="PW90" s="158"/>
      <c r="PX90" s="158"/>
      <c r="PY90" s="158"/>
      <c r="PZ90" s="158"/>
      <c r="QA90" s="158"/>
      <c r="QB90" s="158"/>
      <c r="QC90" s="158"/>
      <c r="QD90" s="158"/>
      <c r="QE90" s="158"/>
      <c r="QF90" s="158"/>
      <c r="QG90" s="158"/>
      <c r="QH90" s="158"/>
      <c r="QI90" s="158"/>
      <c r="QJ90" s="158"/>
      <c r="QK90" s="158"/>
      <c r="QL90" s="158"/>
      <c r="QM90" s="158"/>
      <c r="QN90" s="158"/>
      <c r="QO90" s="158"/>
      <c r="QP90" s="158"/>
      <c r="QQ90" s="158"/>
      <c r="QR90" s="158"/>
      <c r="QS90" s="158"/>
      <c r="QT90" s="158"/>
      <c r="QU90" s="158"/>
      <c r="QV90" s="158"/>
      <c r="QW90" s="158"/>
      <c r="QX90" s="158"/>
      <c r="QY90" s="158"/>
      <c r="QZ90" s="158"/>
      <c r="RA90" s="158"/>
      <c r="RB90" s="158"/>
      <c r="RC90" s="158"/>
      <c r="RD90" s="158"/>
      <c r="RE90" s="158"/>
      <c r="RF90" s="158"/>
      <c r="RG90" s="158"/>
      <c r="RH90" s="158"/>
      <c r="RI90" s="158"/>
      <c r="RJ90" s="158"/>
      <c r="RK90" s="158"/>
      <c r="RL90" s="158"/>
      <c r="RM90" s="158"/>
      <c r="RN90" s="158"/>
      <c r="RO90" s="158"/>
      <c r="RP90" s="158"/>
      <c r="RQ90" s="158"/>
      <c r="RR90" s="158"/>
      <c r="RS90" s="158"/>
      <c r="RT90" s="158"/>
      <c r="RU90" s="158"/>
      <c r="RV90" s="158"/>
      <c r="RW90" s="158"/>
      <c r="RX90" s="158"/>
      <c r="RY90" s="158"/>
      <c r="RZ90" s="158"/>
      <c r="SA90" s="158"/>
    </row>
    <row r="91" spans="1:495" ht="12" customHeight="1">
      <c r="A91" s="1352"/>
      <c r="B91" s="1352"/>
      <c r="C91" s="94"/>
      <c r="D91" s="1"/>
      <c r="E91" s="1"/>
      <c r="F91" s="1"/>
      <c r="G91" s="82"/>
      <c r="H91" s="110"/>
      <c r="I91" s="36"/>
      <c r="J91" s="82"/>
      <c r="K91" s="571"/>
      <c r="L91" s="571"/>
      <c r="M91" s="571"/>
      <c r="N91" s="571"/>
      <c r="O91" s="571"/>
      <c r="P91" s="571"/>
      <c r="T91" s="151"/>
      <c r="U91" s="404"/>
      <c r="X91" s="1815"/>
      <c r="AA91" s="1815"/>
      <c r="AB91" s="449"/>
      <c r="AC91" s="1815"/>
      <c r="AF91" s="1815"/>
      <c r="AG91" s="449"/>
      <c r="AH91" s="1815"/>
      <c r="AK91" s="1815"/>
      <c r="AL91" s="449"/>
      <c r="AM91" s="1815"/>
      <c r="AP91" s="1815"/>
      <c r="AQ91" s="449"/>
      <c r="AR91" s="1815"/>
      <c r="AS91" s="1815"/>
      <c r="AT91" s="1815"/>
      <c r="AU91" s="1815"/>
      <c r="AV91" s="1815"/>
      <c r="AW91" s="1815"/>
      <c r="AX91" s="608"/>
      <c r="AY91" s="445"/>
      <c r="BB91" s="1815"/>
      <c r="BC91" s="608"/>
      <c r="BD91" s="445"/>
      <c r="LY91" s="448"/>
      <c r="MN91" s="443"/>
    </row>
    <row r="92" spans="1:495" ht="9" customHeight="1">
      <c r="A92" s="1352"/>
      <c r="B92" s="1352"/>
      <c r="C92" s="94"/>
      <c r="D92" s="1"/>
      <c r="E92" s="1"/>
      <c r="F92" s="1"/>
      <c r="G92" s="82"/>
      <c r="H92" s="110"/>
      <c r="I92" s="36"/>
      <c r="J92" s="82"/>
      <c r="K92" s="571"/>
      <c r="L92" s="571"/>
      <c r="M92" s="571"/>
      <c r="N92" s="571"/>
      <c r="O92" s="571"/>
      <c r="P92" s="571"/>
      <c r="S92" s="268" t="str">
        <f>C93</f>
        <v>PBRA-Assisted</v>
      </c>
      <c r="T92" s="151"/>
      <c r="U92" s="404"/>
      <c r="X92" s="1815"/>
      <c r="AA92" s="1815"/>
      <c r="AB92" s="449"/>
      <c r="AC92" s="1815"/>
      <c r="AF92" s="1815"/>
      <c r="AG92" s="449"/>
      <c r="AH92" s="1815"/>
      <c r="AK92" s="1815"/>
      <c r="AL92" s="449"/>
      <c r="AM92" s="1815"/>
      <c r="AP92" s="1815"/>
      <c r="AQ92" s="449"/>
      <c r="AR92" s="1815"/>
      <c r="AS92" s="1815"/>
      <c r="AT92" s="1815"/>
      <c r="AU92" s="1815"/>
      <c r="AV92" s="1815"/>
      <c r="AW92" s="1815"/>
      <c r="AX92" s="608"/>
      <c r="AY92" s="445"/>
      <c r="BB92" s="1815"/>
      <c r="BC92" s="608"/>
      <c r="BD92" s="445"/>
      <c r="LY92" s="448"/>
      <c r="MN92" s="443"/>
    </row>
    <row r="93" spans="1:495" ht="15" customHeight="1">
      <c r="A93" s="1352"/>
      <c r="B93" s="1352"/>
      <c r="C93" s="94" t="s">
        <v>912</v>
      </c>
      <c r="D93" s="1"/>
      <c r="E93" s="110"/>
      <c r="F93" s="1"/>
      <c r="G93" s="82"/>
      <c r="H93" s="110" t="s">
        <v>4120</v>
      </c>
      <c r="I93" s="36"/>
      <c r="J93" s="82"/>
      <c r="K93" s="1362">
        <f>CP48</f>
        <v>0</v>
      </c>
      <c r="L93" s="1363">
        <f>CQ48</f>
        <v>0</v>
      </c>
      <c r="M93" s="1363">
        <f>CR48</f>
        <v>0</v>
      </c>
      <c r="N93" s="1363">
        <f>CS48</f>
        <v>0</v>
      </c>
      <c r="O93" s="1364">
        <f>CT48</f>
        <v>0</v>
      </c>
      <c r="P93" s="916">
        <f t="shared" ref="P93:P100" si="379">SUM(K93:O93)</f>
        <v>0</v>
      </c>
      <c r="S93" s="4034"/>
      <c r="T93" s="4035"/>
      <c r="U93" s="4035"/>
      <c r="V93" s="4035"/>
      <c r="W93" s="4036"/>
      <c r="X93" s="1815"/>
      <c r="AA93" s="1815"/>
      <c r="AB93" s="449"/>
      <c r="AC93" s="1815"/>
      <c r="AF93" s="1815"/>
      <c r="AG93" s="449"/>
      <c r="AH93" s="1815"/>
      <c r="AK93" s="1815"/>
      <c r="AL93" s="449"/>
      <c r="AM93" s="1815"/>
      <c r="AP93" s="1815"/>
      <c r="AQ93" s="449"/>
      <c r="AR93" s="450"/>
      <c r="AS93" s="450"/>
      <c r="AT93" s="450"/>
      <c r="AU93" s="450"/>
      <c r="AV93" s="450"/>
      <c r="AW93" s="450"/>
      <c r="AX93" s="449"/>
      <c r="AY93" s="445"/>
      <c r="BB93" s="450"/>
      <c r="BC93" s="449"/>
      <c r="BD93" s="445"/>
      <c r="LY93" s="448"/>
      <c r="MN93" s="443"/>
    </row>
    <row r="94" spans="1:495" ht="15" customHeight="1">
      <c r="A94" s="1352"/>
      <c r="B94" s="1352"/>
      <c r="C94" s="36" t="s">
        <v>2446</v>
      </c>
      <c r="D94" s="1"/>
      <c r="E94" s="110"/>
      <c r="F94" s="1"/>
      <c r="G94" s="82"/>
      <c r="H94" s="110" t="s">
        <v>4121</v>
      </c>
      <c r="I94" s="36"/>
      <c r="J94" s="82"/>
      <c r="K94" s="1365">
        <f>CK48</f>
        <v>0</v>
      </c>
      <c r="L94" s="1366">
        <f>CL48</f>
        <v>0</v>
      </c>
      <c r="M94" s="1366">
        <f>CM48</f>
        <v>0</v>
      </c>
      <c r="N94" s="1366">
        <f>CN48</f>
        <v>0</v>
      </c>
      <c r="O94" s="1367">
        <f>CO48</f>
        <v>0</v>
      </c>
      <c r="P94" s="1325">
        <f t="shared" si="379"/>
        <v>0</v>
      </c>
      <c r="S94" s="3996"/>
      <c r="T94" s="3997"/>
      <c r="U94" s="3997"/>
      <c r="V94" s="3997"/>
      <c r="W94" s="3998"/>
      <c r="X94" s="1815"/>
      <c r="AA94" s="1815"/>
      <c r="AB94" s="449"/>
      <c r="AC94" s="1815"/>
      <c r="AF94" s="1815"/>
      <c r="AG94" s="449"/>
      <c r="AH94" s="1815"/>
      <c r="AK94" s="1815"/>
      <c r="AL94" s="449"/>
      <c r="AM94" s="1815"/>
      <c r="AP94" s="1815"/>
      <c r="AQ94" s="449"/>
      <c r="AR94" s="450"/>
      <c r="AS94" s="450"/>
      <c r="AT94" s="450"/>
      <c r="AU94" s="450"/>
      <c r="AV94" s="450"/>
      <c r="AW94" s="450"/>
      <c r="AX94" s="449"/>
      <c r="AY94" s="445"/>
      <c r="BB94" s="450"/>
      <c r="BC94" s="449"/>
      <c r="BD94" s="445"/>
      <c r="LY94" s="448"/>
      <c r="MN94" s="443"/>
    </row>
    <row r="95" spans="1:495" ht="15" customHeight="1">
      <c r="A95" s="1352"/>
      <c r="B95" s="1352"/>
      <c r="C95" s="94"/>
      <c r="D95" s="1"/>
      <c r="E95" s="110"/>
      <c r="F95" s="1"/>
      <c r="G95" s="82"/>
      <c r="H95" s="110" t="s">
        <v>1127</v>
      </c>
      <c r="I95" s="36"/>
      <c r="J95" s="82"/>
      <c r="K95" s="1365">
        <f>CF48</f>
        <v>0</v>
      </c>
      <c r="L95" s="1366">
        <f>CG48</f>
        <v>0</v>
      </c>
      <c r="M95" s="1366">
        <f>CH48</f>
        <v>0</v>
      </c>
      <c r="N95" s="1366">
        <f>CI48</f>
        <v>0</v>
      </c>
      <c r="O95" s="1367">
        <f>CJ48</f>
        <v>0</v>
      </c>
      <c r="P95" s="1325">
        <f t="shared" si="379"/>
        <v>0</v>
      </c>
      <c r="S95" s="3996"/>
      <c r="T95" s="3997"/>
      <c r="U95" s="3997"/>
      <c r="V95" s="3997"/>
      <c r="W95" s="3998"/>
      <c r="X95" s="1815"/>
      <c r="AA95" s="1815"/>
      <c r="AB95" s="449"/>
      <c r="AC95" s="1815"/>
      <c r="AF95" s="1815"/>
      <c r="AG95" s="449"/>
      <c r="AH95" s="1815"/>
      <c r="AK95" s="1815"/>
      <c r="AL95" s="449"/>
      <c r="AM95" s="1815"/>
      <c r="AP95" s="1815"/>
      <c r="AQ95" s="449"/>
      <c r="AR95" s="450"/>
      <c r="AS95" s="450"/>
      <c r="AT95" s="450"/>
      <c r="AU95" s="450"/>
      <c r="AV95" s="450"/>
      <c r="AW95" s="450"/>
      <c r="AX95" s="449"/>
      <c r="AY95" s="445"/>
      <c r="BB95" s="450"/>
      <c r="BC95" s="449"/>
      <c r="BD95" s="445"/>
      <c r="LY95" s="448"/>
      <c r="MN95" s="443"/>
    </row>
    <row r="96" spans="1:495" ht="15" customHeight="1">
      <c r="A96" s="1352"/>
      <c r="B96" s="1352"/>
      <c r="C96" s="94"/>
      <c r="D96" s="1"/>
      <c r="E96" s="110"/>
      <c r="F96" s="1"/>
      <c r="G96" s="82"/>
      <c r="H96" s="103" t="s">
        <v>115</v>
      </c>
      <c r="I96" s="52"/>
      <c r="J96" s="1094"/>
      <c r="K96" s="1386">
        <f>CA48</f>
        <v>0</v>
      </c>
      <c r="L96" s="1387">
        <f>CB48</f>
        <v>0</v>
      </c>
      <c r="M96" s="1387">
        <f>CC48</f>
        <v>0</v>
      </c>
      <c r="N96" s="1387">
        <f>CD48</f>
        <v>0</v>
      </c>
      <c r="O96" s="1388">
        <f>CE48</f>
        <v>0</v>
      </c>
      <c r="P96" s="575">
        <f t="shared" si="379"/>
        <v>0</v>
      </c>
      <c r="S96" s="3996"/>
      <c r="T96" s="3997"/>
      <c r="U96" s="3997"/>
      <c r="V96" s="3997"/>
      <c r="W96" s="3998"/>
      <c r="X96" s="1815"/>
      <c r="AA96" s="1815"/>
      <c r="AB96" s="449"/>
      <c r="AC96" s="1815"/>
      <c r="AF96" s="1815"/>
      <c r="AG96" s="449"/>
      <c r="AH96" s="1815"/>
      <c r="AK96" s="1815"/>
      <c r="AL96" s="449"/>
      <c r="AM96" s="1815"/>
      <c r="AP96" s="1815"/>
      <c r="AQ96" s="449"/>
      <c r="AR96" s="450"/>
      <c r="AS96" s="450"/>
      <c r="AT96" s="450"/>
      <c r="AU96" s="450"/>
      <c r="AV96" s="450"/>
      <c r="AW96" s="450"/>
      <c r="AX96" s="449"/>
      <c r="AY96" s="445"/>
      <c r="BB96" s="450"/>
      <c r="BC96" s="449"/>
      <c r="BD96" s="445"/>
      <c r="LY96" s="448"/>
      <c r="MN96" s="443"/>
    </row>
    <row r="97" spans="1:352" ht="15" customHeight="1">
      <c r="A97" s="1352"/>
      <c r="B97" s="1352"/>
      <c r="C97" s="94"/>
      <c r="D97" s="1"/>
      <c r="E97" s="110"/>
      <c r="F97" s="1"/>
      <c r="G97" s="82"/>
      <c r="H97" s="103" t="s">
        <v>4122</v>
      </c>
      <c r="I97" s="52"/>
      <c r="J97" s="1094"/>
      <c r="K97" s="1365">
        <f>BV48</f>
        <v>0</v>
      </c>
      <c r="L97" s="1366">
        <f>BW48</f>
        <v>0</v>
      </c>
      <c r="M97" s="1366">
        <f>BX48</f>
        <v>0</v>
      </c>
      <c r="N97" s="1366">
        <f>BY48</f>
        <v>0</v>
      </c>
      <c r="O97" s="1367">
        <f>BZ48</f>
        <v>0</v>
      </c>
      <c r="P97" s="1325">
        <f t="shared" si="379"/>
        <v>0</v>
      </c>
      <c r="S97" s="3996"/>
      <c r="T97" s="3997"/>
      <c r="U97" s="3997"/>
      <c r="V97" s="3997"/>
      <c r="W97" s="3998"/>
      <c r="X97" s="1815"/>
      <c r="AA97" s="1815"/>
      <c r="AB97" s="449"/>
      <c r="AC97" s="1815"/>
      <c r="AF97" s="1815"/>
      <c r="AG97" s="449"/>
      <c r="AH97" s="1815"/>
      <c r="AK97" s="1815"/>
      <c r="AL97" s="449"/>
      <c r="AM97" s="1815"/>
      <c r="AP97" s="1815"/>
      <c r="AQ97" s="449"/>
      <c r="AR97" s="450"/>
      <c r="AS97" s="450"/>
      <c r="AT97" s="450"/>
      <c r="AU97" s="450"/>
      <c r="AV97" s="450"/>
      <c r="AW97" s="450"/>
      <c r="AX97" s="449"/>
      <c r="AY97" s="445"/>
      <c r="BB97" s="450"/>
      <c r="BC97" s="449"/>
      <c r="BD97" s="445"/>
      <c r="LY97" s="448"/>
      <c r="MN97" s="443"/>
    </row>
    <row r="98" spans="1:352" ht="15" customHeight="1">
      <c r="A98" s="1351"/>
      <c r="B98" s="1351"/>
      <c r="C98" s="94"/>
      <c r="D98" s="1"/>
      <c r="E98" s="110"/>
      <c r="F98" s="1"/>
      <c r="G98" s="82"/>
      <c r="H98" s="110" t="s">
        <v>4123</v>
      </c>
      <c r="I98" s="36"/>
      <c r="J98" s="82"/>
      <c r="K98" s="1365">
        <f>BQ48</f>
        <v>0</v>
      </c>
      <c r="L98" s="1366">
        <f>BR48</f>
        <v>0</v>
      </c>
      <c r="M98" s="1366">
        <f>BS48</f>
        <v>0</v>
      </c>
      <c r="N98" s="1366">
        <f>BT48</f>
        <v>0</v>
      </c>
      <c r="O98" s="1367">
        <f>BU48</f>
        <v>0</v>
      </c>
      <c r="P98" s="1325">
        <f t="shared" si="379"/>
        <v>0</v>
      </c>
      <c r="S98" s="3996"/>
      <c r="T98" s="3997"/>
      <c r="U98" s="3997"/>
      <c r="V98" s="3997"/>
      <c r="W98" s="3998"/>
      <c r="X98" s="1815"/>
      <c r="AA98" s="1815"/>
      <c r="AB98" s="449"/>
      <c r="AC98" s="1815"/>
      <c r="AF98" s="1815"/>
      <c r="AG98" s="449"/>
      <c r="AH98" s="1815"/>
      <c r="AK98" s="1815"/>
      <c r="AL98" s="449"/>
      <c r="AM98" s="1815"/>
      <c r="AP98" s="1815"/>
      <c r="AQ98" s="449"/>
      <c r="AR98" s="450"/>
      <c r="AS98" s="450"/>
      <c r="AT98" s="450"/>
      <c r="AU98" s="450"/>
      <c r="AV98" s="450"/>
      <c r="AW98" s="450"/>
      <c r="AX98" s="449"/>
      <c r="AY98" s="445"/>
      <c r="BB98" s="450"/>
      <c r="BC98" s="449"/>
      <c r="BD98" s="445"/>
      <c r="LY98" s="448"/>
      <c r="MN98" s="443"/>
    </row>
    <row r="99" spans="1:352" ht="15" customHeight="1">
      <c r="A99" s="1351"/>
      <c r="B99" s="1351"/>
      <c r="D99" s="1"/>
      <c r="E99" s="110"/>
      <c r="F99" s="1"/>
      <c r="G99" s="82"/>
      <c r="H99" s="110" t="s">
        <v>4124</v>
      </c>
      <c r="I99" s="36"/>
      <c r="J99" s="82"/>
      <c r="K99" s="1368">
        <f>BL48</f>
        <v>0</v>
      </c>
      <c r="L99" s="1369">
        <f>BM48</f>
        <v>0</v>
      </c>
      <c r="M99" s="1369">
        <f>BN48</f>
        <v>0</v>
      </c>
      <c r="N99" s="1369">
        <f>BO48</f>
        <v>0</v>
      </c>
      <c r="O99" s="1370">
        <f>BP48</f>
        <v>0</v>
      </c>
      <c r="P99" s="918">
        <f t="shared" si="379"/>
        <v>0</v>
      </c>
      <c r="S99" s="3996"/>
      <c r="T99" s="3997"/>
      <c r="U99" s="3997"/>
      <c r="V99" s="3997"/>
      <c r="W99" s="3998"/>
      <c r="X99" s="449"/>
      <c r="AA99" s="1815"/>
      <c r="AB99" s="449"/>
      <c r="AC99" s="449"/>
      <c r="AF99" s="1815"/>
      <c r="AG99" s="449"/>
      <c r="AH99" s="449"/>
      <c r="AK99" s="1815"/>
      <c r="AL99" s="449"/>
      <c r="AM99" s="449"/>
      <c r="AP99" s="1815"/>
      <c r="AQ99" s="449"/>
      <c r="AR99" s="450"/>
      <c r="AS99" s="450"/>
      <c r="AT99" s="450"/>
      <c r="AU99" s="450"/>
      <c r="AV99" s="450"/>
      <c r="AW99" s="450"/>
      <c r="AX99" s="449"/>
      <c r="AY99" s="445"/>
      <c r="BB99" s="450"/>
      <c r="BC99" s="449"/>
      <c r="BD99" s="445"/>
      <c r="LY99" s="448"/>
      <c r="MN99" s="443"/>
    </row>
    <row r="100" spans="1:352" ht="15" customHeight="1">
      <c r="A100" s="1351"/>
      <c r="B100" s="1351"/>
      <c r="C100" s="4"/>
      <c r="D100" s="1"/>
      <c r="E100" s="110"/>
      <c r="F100" s="1"/>
      <c r="G100" s="82"/>
      <c r="H100" s="165" t="s">
        <v>524</v>
      </c>
      <c r="I100" s="86"/>
      <c r="J100" s="82"/>
      <c r="K100" s="1326">
        <f>SUM(K93:K99)</f>
        <v>0</v>
      </c>
      <c r="L100" s="1326">
        <f>SUM(L93:L99)</f>
        <v>0</v>
      </c>
      <c r="M100" s="1326">
        <f>SUM(M93:M99)</f>
        <v>0</v>
      </c>
      <c r="N100" s="1326">
        <f>SUM(N93:N99)</f>
        <v>0</v>
      </c>
      <c r="O100" s="1326">
        <f>SUM(O93:O99)</f>
        <v>0</v>
      </c>
      <c r="P100" s="1326">
        <f t="shared" si="379"/>
        <v>0</v>
      </c>
      <c r="S100" s="4027"/>
      <c r="T100" s="4028"/>
      <c r="U100" s="4028"/>
      <c r="V100" s="4028"/>
      <c r="W100" s="4029"/>
      <c r="X100" s="2251"/>
      <c r="AA100" s="1815"/>
      <c r="AB100" s="449"/>
      <c r="AC100" s="2251"/>
      <c r="AF100" s="1815"/>
      <c r="AG100" s="449"/>
      <c r="AH100" s="2251"/>
      <c r="AK100" s="1815"/>
      <c r="AL100" s="449"/>
      <c r="AM100" s="2251"/>
      <c r="AP100" s="1815"/>
      <c r="AQ100" s="449"/>
      <c r="AR100" s="450"/>
      <c r="AS100" s="450"/>
      <c r="AT100" s="450"/>
      <c r="AU100" s="450"/>
      <c r="AV100" s="450"/>
      <c r="AW100" s="450"/>
      <c r="AX100" s="449"/>
      <c r="AY100" s="445"/>
      <c r="BB100" s="450"/>
      <c r="BC100" s="449"/>
      <c r="BD100" s="445"/>
      <c r="LY100" s="448"/>
      <c r="MN100" s="443"/>
    </row>
    <row r="101" spans="1:352" ht="9" customHeight="1" thickBot="1">
      <c r="A101" s="1351"/>
      <c r="B101" s="1351"/>
      <c r="C101" s="1"/>
      <c r="D101" s="1"/>
      <c r="E101" s="1"/>
      <c r="F101" s="1"/>
      <c r="G101" s="82"/>
      <c r="H101" s="110"/>
      <c r="I101" s="36"/>
      <c r="J101" s="82"/>
      <c r="K101" s="571"/>
      <c r="L101" s="571"/>
      <c r="M101" s="571"/>
      <c r="N101" s="571"/>
      <c r="O101" s="571"/>
      <c r="P101" s="571"/>
      <c r="T101" s="151"/>
      <c r="U101" s="404"/>
      <c r="X101" s="1815"/>
      <c r="AA101" s="1815"/>
      <c r="AB101" s="449"/>
      <c r="AC101" s="1815"/>
      <c r="AF101" s="1815"/>
      <c r="AG101" s="449"/>
      <c r="AH101" s="1815"/>
      <c r="AK101" s="1815"/>
      <c r="AL101" s="449"/>
      <c r="AM101" s="1815"/>
      <c r="AP101" s="1815"/>
      <c r="AQ101" s="449"/>
      <c r="AR101" s="1815"/>
      <c r="AS101" s="1815"/>
      <c r="AT101" s="1815"/>
      <c r="AU101" s="1815"/>
      <c r="AV101" s="1815"/>
      <c r="AW101" s="1815"/>
      <c r="AX101" s="608"/>
      <c r="AY101" s="445"/>
      <c r="BB101" s="1815"/>
      <c r="BC101" s="608"/>
      <c r="BD101" s="445"/>
      <c r="LY101" s="448"/>
      <c r="MN101" s="443"/>
    </row>
    <row r="102" spans="1:352" ht="14.4" customHeight="1" thickBot="1">
      <c r="A102" s="13" t="s">
        <v>722</v>
      </c>
      <c r="B102" s="13" t="s">
        <v>4423</v>
      </c>
      <c r="H102" s="89"/>
      <c r="L102" s="2674" t="str">
        <f>$L$53</f>
        <v>Income Averaging</v>
      </c>
      <c r="M102" s="2675"/>
      <c r="N102" s="2675"/>
      <c r="O102" s="2676"/>
      <c r="P102" s="82"/>
      <c r="S102" s="10" t="str">
        <f>B102</f>
        <v>UNIT SUMMARY (Continued)</v>
      </c>
      <c r="T102" s="10"/>
      <c r="U102" s="10"/>
      <c r="V102" s="10"/>
      <c r="X102" s="608"/>
      <c r="AA102" s="608"/>
      <c r="AB102" s="608"/>
      <c r="AC102" s="608"/>
      <c r="AF102" s="608"/>
      <c r="AG102" s="608"/>
      <c r="AH102" s="608"/>
      <c r="AK102" s="608"/>
      <c r="AL102" s="608"/>
      <c r="AM102" s="608"/>
      <c r="AP102" s="608"/>
      <c r="AQ102" s="608"/>
      <c r="AR102" s="608"/>
      <c r="AS102" s="608"/>
      <c r="AT102" s="608"/>
      <c r="AU102" s="608"/>
      <c r="AV102" s="608"/>
      <c r="AW102" s="608"/>
      <c r="AX102" s="608"/>
      <c r="AY102" s="445"/>
      <c r="BB102" s="608"/>
      <c r="BC102" s="608"/>
      <c r="BD102" s="445"/>
      <c r="LY102" s="448"/>
      <c r="MN102" s="443"/>
    </row>
    <row r="103" spans="1:352" ht="9" customHeight="1">
      <c r="A103" s="13"/>
      <c r="B103" s="13"/>
      <c r="H103" s="89"/>
      <c r="P103" s="82"/>
      <c r="S103" s="268" t="str">
        <f>C104</f>
        <v>PHA Operating Subsidy-Assisted</v>
      </c>
      <c r="T103" s="403"/>
      <c r="U103" s="463"/>
      <c r="X103" s="608"/>
      <c r="AA103" s="608"/>
      <c r="AB103" s="608"/>
      <c r="AC103" s="608"/>
      <c r="AF103" s="608"/>
      <c r="AG103" s="608"/>
      <c r="AH103" s="608"/>
      <c r="AK103" s="608"/>
      <c r="AL103" s="608"/>
      <c r="AM103" s="608"/>
      <c r="AP103" s="608"/>
      <c r="AQ103" s="608"/>
      <c r="AR103" s="608"/>
      <c r="AS103" s="608"/>
      <c r="AT103" s="608"/>
      <c r="AU103" s="608"/>
      <c r="AV103" s="608"/>
      <c r="AW103" s="608"/>
      <c r="AX103" s="608"/>
      <c r="AY103" s="445"/>
      <c r="BB103" s="608"/>
      <c r="BC103" s="608"/>
      <c r="BD103" s="445"/>
      <c r="LY103" s="448"/>
      <c r="MN103" s="443"/>
    </row>
    <row r="104" spans="1:352" ht="15" customHeight="1">
      <c r="A104" s="1351"/>
      <c r="B104" s="1351"/>
      <c r="C104" s="411" t="s">
        <v>869</v>
      </c>
      <c r="D104" s="411"/>
      <c r="E104" s="411"/>
      <c r="F104" s="1"/>
      <c r="G104" s="82"/>
      <c r="H104" s="110" t="s">
        <v>4120</v>
      </c>
      <c r="I104" s="36"/>
      <c r="J104" s="82"/>
      <c r="K104" s="1362">
        <f>DY48</f>
        <v>0</v>
      </c>
      <c r="L104" s="1363">
        <f>DZ48</f>
        <v>0</v>
      </c>
      <c r="M104" s="1363">
        <f>EA48</f>
        <v>0</v>
      </c>
      <c r="N104" s="1363">
        <f>EB48</f>
        <v>0</v>
      </c>
      <c r="O104" s="1364">
        <f>EC48</f>
        <v>0</v>
      </c>
      <c r="P104" s="919">
        <f t="shared" ref="P104:P111" si="380">SUM(K104:O104)</f>
        <v>0</v>
      </c>
      <c r="S104" s="4034"/>
      <c r="T104" s="4035"/>
      <c r="U104" s="4035"/>
      <c r="V104" s="4035"/>
      <c r="W104" s="4036"/>
      <c r="X104" s="445"/>
      <c r="AA104" s="1815"/>
      <c r="AB104" s="449"/>
      <c r="AC104" s="445"/>
      <c r="AF104" s="1815"/>
      <c r="AG104" s="449"/>
      <c r="AH104" s="445"/>
      <c r="AK104" s="1815"/>
      <c r="AL104" s="449"/>
      <c r="AM104" s="445"/>
      <c r="AP104" s="1815"/>
      <c r="AQ104" s="449"/>
      <c r="AR104" s="450"/>
      <c r="AS104" s="450"/>
      <c r="AT104" s="450"/>
      <c r="AU104" s="450"/>
      <c r="AV104" s="450"/>
      <c r="AW104" s="450"/>
      <c r="AX104" s="449"/>
      <c r="AY104" s="445"/>
      <c r="BB104" s="450"/>
      <c r="BC104" s="449"/>
      <c r="BD104" s="445"/>
      <c r="LY104" s="448"/>
      <c r="MN104" s="443"/>
    </row>
    <row r="105" spans="1:352" ht="15" customHeight="1">
      <c r="A105" s="1351"/>
      <c r="B105" s="1351"/>
      <c r="C105" s="36" t="s">
        <v>2446</v>
      </c>
      <c r="D105" s="411"/>
      <c r="E105" s="411"/>
      <c r="F105" s="1"/>
      <c r="G105" s="82"/>
      <c r="H105" s="110" t="s">
        <v>4121</v>
      </c>
      <c r="I105" s="36"/>
      <c r="J105" s="82"/>
      <c r="K105" s="1365">
        <f>DT48</f>
        <v>0</v>
      </c>
      <c r="L105" s="1366">
        <f>DU48</f>
        <v>0</v>
      </c>
      <c r="M105" s="1366">
        <f>DV48</f>
        <v>0</v>
      </c>
      <c r="N105" s="1366">
        <f>DW48</f>
        <v>0</v>
      </c>
      <c r="O105" s="1367">
        <f>DX48</f>
        <v>0</v>
      </c>
      <c r="P105" s="914">
        <f t="shared" si="380"/>
        <v>0</v>
      </c>
      <c r="S105" s="3996"/>
      <c r="T105" s="3997"/>
      <c r="U105" s="3997"/>
      <c r="V105" s="3997"/>
      <c r="W105" s="3998"/>
      <c r="X105" s="445"/>
      <c r="AA105" s="1815"/>
      <c r="AB105" s="449"/>
      <c r="AC105" s="445"/>
      <c r="AF105" s="1815"/>
      <c r="AG105" s="449"/>
      <c r="AH105" s="445"/>
      <c r="AK105" s="1815"/>
      <c r="AL105" s="449"/>
      <c r="AM105" s="445"/>
      <c r="AP105" s="1815"/>
      <c r="AQ105" s="449"/>
      <c r="AR105" s="450"/>
      <c r="AS105" s="450"/>
      <c r="AT105" s="450"/>
      <c r="AU105" s="450"/>
      <c r="AV105" s="450"/>
      <c r="AW105" s="450"/>
      <c r="AX105" s="449"/>
      <c r="AY105" s="445"/>
      <c r="BB105" s="450"/>
      <c r="BC105" s="449"/>
      <c r="BD105" s="445"/>
      <c r="LY105" s="448"/>
      <c r="MN105" s="443"/>
    </row>
    <row r="106" spans="1:352" ht="15" customHeight="1">
      <c r="A106" s="1351"/>
      <c r="B106" s="1351"/>
      <c r="C106" s="411"/>
      <c r="D106" s="411"/>
      <c r="E106" s="411"/>
      <c r="F106" s="1"/>
      <c r="G106" s="82"/>
      <c r="H106" s="110" t="s">
        <v>1127</v>
      </c>
      <c r="I106" s="36"/>
      <c r="J106" s="82"/>
      <c r="K106" s="1365">
        <f>DO48</f>
        <v>0</v>
      </c>
      <c r="L106" s="1366">
        <f>DP48</f>
        <v>0</v>
      </c>
      <c r="M106" s="1366">
        <f>DQ48</f>
        <v>0</v>
      </c>
      <c r="N106" s="1366">
        <f>DR48</f>
        <v>0</v>
      </c>
      <c r="O106" s="1367">
        <f>DS48</f>
        <v>0</v>
      </c>
      <c r="P106" s="914">
        <f t="shared" si="380"/>
        <v>0</v>
      </c>
      <c r="S106" s="3996"/>
      <c r="T106" s="3997"/>
      <c r="U106" s="3997"/>
      <c r="V106" s="3997"/>
      <c r="W106" s="3998"/>
      <c r="X106" s="445"/>
      <c r="AA106" s="1815"/>
      <c r="AB106" s="449"/>
      <c r="AC106" s="445"/>
      <c r="AF106" s="1815"/>
      <c r="AG106" s="449"/>
      <c r="AH106" s="445"/>
      <c r="AK106" s="1815"/>
      <c r="AL106" s="449"/>
      <c r="AM106" s="445"/>
      <c r="AP106" s="1815"/>
      <c r="AQ106" s="449"/>
      <c r="AR106" s="450"/>
      <c r="AS106" s="450"/>
      <c r="AT106" s="450"/>
      <c r="AU106" s="450"/>
      <c r="AV106" s="450"/>
      <c r="AW106" s="450"/>
      <c r="AX106" s="449"/>
      <c r="AY106" s="445"/>
      <c r="BB106" s="450"/>
      <c r="BC106" s="449"/>
      <c r="BD106" s="445"/>
      <c r="LY106" s="448"/>
      <c r="MN106" s="443"/>
    </row>
    <row r="107" spans="1:352" ht="15" customHeight="1">
      <c r="A107" s="1351"/>
      <c r="B107" s="1351"/>
      <c r="C107" s="411"/>
      <c r="D107" s="411"/>
      <c r="E107" s="411"/>
      <c r="F107" s="1"/>
      <c r="G107" s="82"/>
      <c r="H107" s="103" t="s">
        <v>115</v>
      </c>
      <c r="I107" s="52"/>
      <c r="J107" s="1094"/>
      <c r="K107" s="1386">
        <f>DJ48</f>
        <v>0</v>
      </c>
      <c r="L107" s="1387">
        <f>DK48</f>
        <v>0</v>
      </c>
      <c r="M107" s="1387">
        <f>DL48</f>
        <v>0</v>
      </c>
      <c r="N107" s="1387">
        <f>DM48</f>
        <v>0</v>
      </c>
      <c r="O107" s="1388">
        <f>DN48</f>
        <v>0</v>
      </c>
      <c r="P107" s="572">
        <f t="shared" si="380"/>
        <v>0</v>
      </c>
      <c r="S107" s="3996"/>
      <c r="T107" s="3997"/>
      <c r="U107" s="3997"/>
      <c r="V107" s="3997"/>
      <c r="W107" s="3998"/>
      <c r="X107" s="445"/>
      <c r="AA107" s="1815"/>
      <c r="AB107" s="449"/>
      <c r="AC107" s="445"/>
      <c r="AF107" s="1815"/>
      <c r="AG107" s="449"/>
      <c r="AH107" s="445"/>
      <c r="AK107" s="1815"/>
      <c r="AL107" s="449"/>
      <c r="AM107" s="445"/>
      <c r="AP107" s="1815"/>
      <c r="AQ107" s="449"/>
      <c r="AR107" s="450"/>
      <c r="AS107" s="450"/>
      <c r="AT107" s="450"/>
      <c r="AU107" s="450"/>
      <c r="AV107" s="450"/>
      <c r="AW107" s="450"/>
      <c r="AX107" s="449"/>
      <c r="AY107" s="445"/>
      <c r="BB107" s="450"/>
      <c r="BC107" s="449"/>
      <c r="BD107" s="445"/>
      <c r="LY107" s="448"/>
      <c r="MN107" s="443"/>
    </row>
    <row r="108" spans="1:352" ht="15" customHeight="1">
      <c r="A108" s="1351"/>
      <c r="B108" s="1351"/>
      <c r="C108" s="411"/>
      <c r="D108" s="411"/>
      <c r="E108" s="411"/>
      <c r="F108" s="1"/>
      <c r="G108" s="82"/>
      <c r="H108" s="103" t="s">
        <v>4122</v>
      </c>
      <c r="I108" s="52"/>
      <c r="J108" s="1094"/>
      <c r="K108" s="1365">
        <f>DE48</f>
        <v>0</v>
      </c>
      <c r="L108" s="1366">
        <f>DF48</f>
        <v>0</v>
      </c>
      <c r="M108" s="1366">
        <f>DG48</f>
        <v>0</v>
      </c>
      <c r="N108" s="1366">
        <f>DH48</f>
        <v>0</v>
      </c>
      <c r="O108" s="1367">
        <f>DI48</f>
        <v>0</v>
      </c>
      <c r="P108" s="914">
        <f t="shared" si="380"/>
        <v>0</v>
      </c>
      <c r="S108" s="3996"/>
      <c r="T108" s="3997"/>
      <c r="U108" s="3997"/>
      <c r="V108" s="3997"/>
      <c r="W108" s="3998"/>
      <c r="X108" s="445"/>
      <c r="AA108" s="1815"/>
      <c r="AB108" s="449"/>
      <c r="AC108" s="445"/>
      <c r="AF108" s="1815"/>
      <c r="AG108" s="449"/>
      <c r="AH108" s="445"/>
      <c r="AK108" s="1815"/>
      <c r="AL108" s="449"/>
      <c r="AM108" s="445"/>
      <c r="AP108" s="1815"/>
      <c r="AQ108" s="449"/>
      <c r="AR108" s="450"/>
      <c r="AS108" s="450"/>
      <c r="AT108" s="450"/>
      <c r="AU108" s="450"/>
      <c r="AV108" s="450"/>
      <c r="AW108" s="450"/>
      <c r="AX108" s="449"/>
      <c r="AY108" s="445"/>
      <c r="BB108" s="450"/>
      <c r="BC108" s="449"/>
      <c r="BD108" s="445"/>
      <c r="LY108" s="448"/>
      <c r="MN108" s="443"/>
    </row>
    <row r="109" spans="1:352" ht="15" customHeight="1">
      <c r="A109" s="1351"/>
      <c r="B109" s="1351"/>
      <c r="C109" s="411"/>
      <c r="D109" s="411"/>
      <c r="E109" s="411"/>
      <c r="F109" s="1"/>
      <c r="G109" s="82"/>
      <c r="H109" s="110" t="s">
        <v>4123</v>
      </c>
      <c r="I109" s="36"/>
      <c r="J109" s="82"/>
      <c r="K109" s="1365">
        <f>CZ48</f>
        <v>0</v>
      </c>
      <c r="L109" s="1366">
        <f>DA48</f>
        <v>0</v>
      </c>
      <c r="M109" s="1366">
        <f>DB48</f>
        <v>0</v>
      </c>
      <c r="N109" s="1366">
        <f>DC48</f>
        <v>0</v>
      </c>
      <c r="O109" s="1367">
        <f>DD48</f>
        <v>0</v>
      </c>
      <c r="P109" s="914">
        <f t="shared" si="380"/>
        <v>0</v>
      </c>
      <c r="S109" s="3996"/>
      <c r="T109" s="3997"/>
      <c r="U109" s="3997"/>
      <c r="V109" s="3997"/>
      <c r="W109" s="3998"/>
      <c r="X109" s="445"/>
      <c r="AA109" s="1815"/>
      <c r="AB109" s="449"/>
      <c r="AC109" s="445"/>
      <c r="AF109" s="1815"/>
      <c r="AG109" s="449"/>
      <c r="AH109" s="445"/>
      <c r="AK109" s="1815"/>
      <c r="AL109" s="449"/>
      <c r="AM109" s="445"/>
      <c r="AP109" s="1815"/>
      <c r="AQ109" s="449"/>
      <c r="AR109" s="450"/>
      <c r="AS109" s="450"/>
      <c r="AT109" s="450"/>
      <c r="AU109" s="450"/>
      <c r="AV109" s="450"/>
      <c r="AW109" s="450"/>
      <c r="AX109" s="449"/>
      <c r="AY109" s="445"/>
      <c r="BB109" s="450"/>
      <c r="BC109" s="449"/>
      <c r="BD109" s="445"/>
      <c r="LY109" s="448"/>
      <c r="MN109" s="443"/>
    </row>
    <row r="110" spans="1:352" ht="15" customHeight="1">
      <c r="A110" s="1351"/>
      <c r="B110" s="1351"/>
      <c r="C110" s="411"/>
      <c r="D110" s="411"/>
      <c r="E110" s="411"/>
      <c r="F110" s="1"/>
      <c r="G110" s="82"/>
      <c r="H110" s="110" t="s">
        <v>4124</v>
      </c>
      <c r="I110" s="36"/>
      <c r="J110" s="82"/>
      <c r="K110" s="1368">
        <f>CU48</f>
        <v>0</v>
      </c>
      <c r="L110" s="1369">
        <f>CV48</f>
        <v>0</v>
      </c>
      <c r="M110" s="1369">
        <f>CW48</f>
        <v>0</v>
      </c>
      <c r="N110" s="1369">
        <f>CX48</f>
        <v>0</v>
      </c>
      <c r="O110" s="1370">
        <f>CY48</f>
        <v>0</v>
      </c>
      <c r="P110" s="915">
        <f t="shared" si="380"/>
        <v>0</v>
      </c>
      <c r="S110" s="3996"/>
      <c r="T110" s="3997"/>
      <c r="U110" s="3997"/>
      <c r="V110" s="3997"/>
      <c r="W110" s="3998"/>
      <c r="X110" s="2252"/>
      <c r="AA110" s="1815"/>
      <c r="AB110" s="449"/>
      <c r="AC110" s="2252"/>
      <c r="AF110" s="1815"/>
      <c r="AG110" s="449"/>
      <c r="AH110" s="2252"/>
      <c r="AK110" s="1815"/>
      <c r="AL110" s="449"/>
      <c r="AM110" s="2252"/>
      <c r="AP110" s="1815"/>
      <c r="AQ110" s="449"/>
      <c r="AR110" s="450"/>
      <c r="AS110" s="450"/>
      <c r="AT110" s="450"/>
      <c r="AU110" s="450"/>
      <c r="AV110" s="450"/>
      <c r="AW110" s="450"/>
      <c r="AX110" s="449"/>
      <c r="AY110" s="445"/>
      <c r="BB110" s="450"/>
      <c r="BC110" s="449"/>
      <c r="BD110" s="445"/>
      <c r="LY110" s="448"/>
      <c r="MN110" s="443"/>
    </row>
    <row r="111" spans="1:352" ht="15" customHeight="1">
      <c r="A111" s="1351"/>
      <c r="B111" s="1351"/>
      <c r="C111" s="82"/>
      <c r="D111" s="1"/>
      <c r="E111" s="110"/>
      <c r="F111" s="1"/>
      <c r="G111" s="82"/>
      <c r="H111" s="165" t="s">
        <v>524</v>
      </c>
      <c r="I111" s="86"/>
      <c r="J111" s="82"/>
      <c r="K111" s="1326">
        <f>SUM(K104:K110)</f>
        <v>0</v>
      </c>
      <c r="L111" s="1326">
        <f>SUM(L104:L110)</f>
        <v>0</v>
      </c>
      <c r="M111" s="1326">
        <f>SUM(M104:M110)</f>
        <v>0</v>
      </c>
      <c r="N111" s="1326">
        <f>SUM(N104:N110)</f>
        <v>0</v>
      </c>
      <c r="O111" s="1326">
        <f>SUM(O104:O110)</f>
        <v>0</v>
      </c>
      <c r="P111" s="1326">
        <f t="shared" si="380"/>
        <v>0</v>
      </c>
      <c r="S111" s="4027"/>
      <c r="T111" s="4028"/>
      <c r="U111" s="4028"/>
      <c r="V111" s="4028"/>
      <c r="W111" s="4029"/>
      <c r="X111" s="2251"/>
      <c r="AA111" s="1815"/>
      <c r="AB111" s="449"/>
      <c r="AC111" s="2251"/>
      <c r="AF111" s="1815"/>
      <c r="AG111" s="449"/>
      <c r="AH111" s="2251"/>
      <c r="AK111" s="1815"/>
      <c r="AL111" s="449"/>
      <c r="AM111" s="2251"/>
      <c r="AP111" s="1815"/>
      <c r="AQ111" s="449"/>
      <c r="AR111" s="450"/>
      <c r="AS111" s="450"/>
      <c r="AT111" s="450"/>
      <c r="AU111" s="450"/>
      <c r="AV111" s="450"/>
      <c r="AW111" s="450"/>
      <c r="AX111" s="449"/>
      <c r="AY111" s="445"/>
      <c r="BB111" s="450"/>
      <c r="BC111" s="449"/>
      <c r="BD111" s="445"/>
      <c r="LY111" s="448"/>
      <c r="MN111" s="443"/>
    </row>
    <row r="112" spans="1:352" ht="9" customHeight="1">
      <c r="A112" s="1351"/>
      <c r="B112" s="1351"/>
      <c r="D112" s="577"/>
      <c r="E112" s="110"/>
      <c r="F112" s="1"/>
      <c r="G112" s="82"/>
      <c r="H112" s="110"/>
      <c r="I112" s="36"/>
      <c r="J112" s="82"/>
      <c r="K112" s="571"/>
      <c r="L112" s="571"/>
      <c r="M112" s="571"/>
      <c r="N112" s="571"/>
      <c r="O112" s="571"/>
      <c r="P112" s="571"/>
      <c r="S112" s="268" t="str">
        <f>C113</f>
        <v>Type of Construction Activity</v>
      </c>
      <c r="T112" s="151"/>
      <c r="U112" s="404"/>
      <c r="X112" s="1815"/>
      <c r="AA112" s="1815"/>
      <c r="AB112" s="449"/>
      <c r="AC112" s="1815"/>
      <c r="AF112" s="1815"/>
      <c r="AG112" s="449"/>
      <c r="AH112" s="1815"/>
      <c r="AK112" s="1815"/>
      <c r="AL112" s="449"/>
      <c r="AM112" s="1815"/>
      <c r="AP112" s="1815"/>
      <c r="AQ112" s="449"/>
      <c r="AR112" s="1815"/>
      <c r="AS112" s="1815"/>
      <c r="AT112" s="1815"/>
      <c r="AU112" s="1815"/>
      <c r="AV112" s="1815"/>
      <c r="AW112" s="1815"/>
      <c r="AX112" s="608"/>
      <c r="AY112" s="445"/>
      <c r="BB112" s="1815"/>
      <c r="BC112" s="608"/>
      <c r="BD112" s="445"/>
      <c r="LY112" s="448"/>
      <c r="MN112" s="443"/>
    </row>
    <row r="113" spans="1:352" ht="14.25" customHeight="1">
      <c r="A113" s="1351"/>
      <c r="B113" s="1351"/>
      <c r="C113" s="2660" t="s">
        <v>36</v>
      </c>
      <c r="D113" s="2660"/>
      <c r="E113" s="103" t="s">
        <v>2237</v>
      </c>
      <c r="F113" s="1"/>
      <c r="G113" s="82"/>
      <c r="H113" s="110" t="s">
        <v>1404</v>
      </c>
      <c r="I113" s="36"/>
      <c r="J113" s="82"/>
      <c r="K113" s="1353">
        <f>GG48</f>
        <v>0</v>
      </c>
      <c r="L113" s="1354">
        <f>GH48</f>
        <v>20</v>
      </c>
      <c r="M113" s="1354">
        <f>GI48</f>
        <v>52</v>
      </c>
      <c r="N113" s="1354">
        <f>GJ48</f>
        <v>0</v>
      </c>
      <c r="O113" s="1355">
        <f>GK48</f>
        <v>0</v>
      </c>
      <c r="P113" s="919">
        <f t="shared" ref="P113:P123" si="381">SUM(K113:O113)</f>
        <v>72</v>
      </c>
      <c r="S113" s="4034"/>
      <c r="T113" s="4035"/>
      <c r="U113" s="4035"/>
      <c r="V113" s="4035"/>
      <c r="W113" s="4036"/>
      <c r="X113" s="1815"/>
      <c r="AA113" s="1815"/>
      <c r="AB113" s="449"/>
      <c r="AC113" s="1815"/>
      <c r="AF113" s="1815"/>
      <c r="AG113" s="449"/>
      <c r="AH113" s="1815"/>
      <c r="AK113" s="1815"/>
      <c r="AL113" s="449"/>
      <c r="AM113" s="1815"/>
      <c r="AP113" s="1815"/>
      <c r="AQ113" s="449"/>
      <c r="AR113" s="450"/>
      <c r="AS113" s="450"/>
      <c r="AT113" s="450"/>
      <c r="AU113" s="450"/>
      <c r="AV113" s="450"/>
      <c r="AW113" s="450"/>
      <c r="AX113" s="608"/>
      <c r="BB113" s="450"/>
      <c r="BC113" s="608"/>
      <c r="JW113" s="443"/>
      <c r="KB113" s="443"/>
      <c r="KC113" s="443"/>
      <c r="KD113" s="443"/>
      <c r="KE113" s="443"/>
      <c r="KF113" s="443"/>
      <c r="KG113" s="443"/>
      <c r="KH113" s="443"/>
      <c r="KI113" s="443"/>
      <c r="KJ113" s="443"/>
      <c r="KK113" s="443"/>
      <c r="KL113" s="443"/>
      <c r="KM113" s="443"/>
      <c r="KN113" s="443"/>
      <c r="KO113" s="443"/>
      <c r="KP113" s="443"/>
      <c r="KQ113" s="443"/>
      <c r="KR113" s="443"/>
      <c r="KS113" s="443"/>
      <c r="KT113" s="443"/>
      <c r="KU113" s="443"/>
      <c r="KV113" s="443"/>
      <c r="KW113" s="443"/>
      <c r="KX113" s="443"/>
      <c r="KY113" s="443"/>
      <c r="KZ113" s="443"/>
      <c r="LA113" s="443"/>
      <c r="LB113" s="443"/>
      <c r="LC113" s="443"/>
      <c r="LD113" s="443"/>
      <c r="LE113" s="443"/>
      <c r="LF113" s="443"/>
      <c r="LG113" s="443"/>
      <c r="LH113" s="443"/>
      <c r="LI113" s="443"/>
      <c r="LJ113" s="443"/>
      <c r="LK113" s="443"/>
      <c r="LL113" s="443"/>
      <c r="LM113" s="443"/>
      <c r="LN113" s="443"/>
      <c r="LO113" s="443"/>
      <c r="LP113" s="443"/>
      <c r="LQ113" s="443"/>
      <c r="LY113" s="448"/>
      <c r="MN113" s="443"/>
    </row>
    <row r="114" spans="1:352" ht="14.25" customHeight="1">
      <c r="A114" s="1351"/>
      <c r="B114" s="1351"/>
      <c r="C114" s="2660"/>
      <c r="D114" s="2660"/>
      <c r="E114" s="110"/>
      <c r="F114" s="1"/>
      <c r="G114" s="82"/>
      <c r="H114" s="110" t="s">
        <v>298</v>
      </c>
      <c r="I114" s="36"/>
      <c r="J114" s="82"/>
      <c r="K114" s="1359">
        <f>GL48</f>
        <v>0</v>
      </c>
      <c r="L114" s="1360">
        <f>GM48</f>
        <v>0</v>
      </c>
      <c r="M114" s="1360">
        <f>GN48</f>
        <v>0</v>
      </c>
      <c r="N114" s="1360">
        <f>GO48</f>
        <v>0</v>
      </c>
      <c r="O114" s="1361">
        <f>GP48</f>
        <v>0</v>
      </c>
      <c r="P114" s="915">
        <f t="shared" si="381"/>
        <v>0</v>
      </c>
      <c r="S114" s="3996"/>
      <c r="T114" s="3997"/>
      <c r="U114" s="3997"/>
      <c r="V114" s="3997"/>
      <c r="W114" s="3998"/>
      <c r="X114" s="1815"/>
      <c r="AA114" s="1815"/>
      <c r="AB114" s="449"/>
      <c r="AC114" s="1815"/>
      <c r="AF114" s="1815"/>
      <c r="AG114" s="449"/>
      <c r="AH114" s="1815"/>
      <c r="AK114" s="1815"/>
      <c r="AL114" s="449"/>
      <c r="AM114" s="1815"/>
      <c r="AP114" s="1815"/>
      <c r="AQ114" s="449"/>
      <c r="AR114" s="450"/>
      <c r="AS114" s="450"/>
      <c r="AT114" s="450"/>
      <c r="AU114" s="450"/>
      <c r="AV114" s="450"/>
      <c r="AW114" s="450"/>
      <c r="AX114" s="1006"/>
      <c r="AY114" s="445"/>
      <c r="BB114" s="450"/>
      <c r="BC114" s="1006"/>
      <c r="BD114" s="445"/>
      <c r="LY114" s="448"/>
      <c r="MN114" s="443"/>
    </row>
    <row r="115" spans="1:352" ht="14.25" customHeight="1">
      <c r="A115" s="1351"/>
      <c r="B115" s="1351"/>
      <c r="C115" s="2660"/>
      <c r="D115" s="2660"/>
      <c r="E115" s="110"/>
      <c r="F115" s="1"/>
      <c r="G115" s="82"/>
      <c r="H115" s="165" t="s">
        <v>30</v>
      </c>
      <c r="I115" s="86"/>
      <c r="J115" s="82"/>
      <c r="K115" s="1328">
        <f>SUM(K113:K114)+GQ48</f>
        <v>0</v>
      </c>
      <c r="L115" s="1328">
        <f>SUM(L113:L114)+GR48</f>
        <v>20</v>
      </c>
      <c r="M115" s="1328">
        <f>SUM(M113:M114)+GS48</f>
        <v>52</v>
      </c>
      <c r="N115" s="1328">
        <f>SUM(N113:N114)+GT48</f>
        <v>0</v>
      </c>
      <c r="O115" s="1328">
        <f>SUM(O113:O114)+GU48</f>
        <v>0</v>
      </c>
      <c r="P115" s="1328">
        <f t="shared" si="381"/>
        <v>72</v>
      </c>
      <c r="S115" s="3996"/>
      <c r="T115" s="3997"/>
      <c r="U115" s="3997"/>
      <c r="V115" s="3997"/>
      <c r="W115" s="3998"/>
      <c r="X115" s="2251"/>
      <c r="AA115" s="1815"/>
      <c r="AB115" s="2252"/>
      <c r="AC115" s="2251"/>
      <c r="AF115" s="1815"/>
      <c r="AG115" s="2252"/>
      <c r="AH115" s="2251"/>
      <c r="AK115" s="1815"/>
      <c r="AL115" s="2252"/>
      <c r="AM115" s="2251"/>
      <c r="AP115" s="1815"/>
      <c r="AQ115" s="2252"/>
      <c r="AR115" s="450"/>
      <c r="AS115" s="450"/>
      <c r="AT115" s="450"/>
      <c r="AU115" s="450"/>
      <c r="AV115" s="450"/>
      <c r="AW115" s="450"/>
      <c r="AX115" s="449"/>
      <c r="AY115" s="445"/>
      <c r="BB115" s="450"/>
      <c r="BC115" s="449"/>
      <c r="BD115" s="445"/>
      <c r="LY115" s="448"/>
      <c r="MN115" s="443"/>
    </row>
    <row r="116" spans="1:352" ht="14.25" customHeight="1">
      <c r="A116" s="1351"/>
      <c r="B116" s="1351"/>
      <c r="C116" s="2660"/>
      <c r="D116" s="2660"/>
      <c r="E116" s="103" t="s">
        <v>2087</v>
      </c>
      <c r="F116" s="1"/>
      <c r="G116" s="82"/>
      <c r="H116" s="110" t="s">
        <v>1404</v>
      </c>
      <c r="I116" s="36"/>
      <c r="J116" s="82"/>
      <c r="K116" s="1353">
        <f>GV48</f>
        <v>0</v>
      </c>
      <c r="L116" s="1354">
        <f>GW48</f>
        <v>0</v>
      </c>
      <c r="M116" s="1354">
        <f>GX48</f>
        <v>0</v>
      </c>
      <c r="N116" s="1354">
        <f>GY48</f>
        <v>0</v>
      </c>
      <c r="O116" s="1355">
        <f>GZ48</f>
        <v>0</v>
      </c>
      <c r="P116" s="919">
        <f t="shared" si="381"/>
        <v>0</v>
      </c>
      <c r="S116" s="3996"/>
      <c r="T116" s="3997"/>
      <c r="U116" s="3997"/>
      <c r="V116" s="3997"/>
      <c r="W116" s="3998"/>
      <c r="X116" s="1815"/>
      <c r="AA116" s="1815"/>
      <c r="AB116" s="449"/>
      <c r="AC116" s="1815"/>
      <c r="AF116" s="1815"/>
      <c r="AG116" s="449"/>
      <c r="AH116" s="1815"/>
      <c r="AK116" s="1815"/>
      <c r="AL116" s="449"/>
      <c r="AM116" s="1815"/>
      <c r="AP116" s="1815"/>
      <c r="AQ116" s="449"/>
      <c r="AR116" s="450"/>
      <c r="AS116" s="450"/>
      <c r="AT116" s="450"/>
      <c r="AU116" s="450"/>
      <c r="AV116" s="450"/>
      <c r="AW116" s="450"/>
      <c r="AX116" s="608"/>
      <c r="BB116" s="450"/>
      <c r="BC116" s="608"/>
      <c r="JW116" s="443"/>
      <c r="KB116" s="443"/>
      <c r="KC116" s="443"/>
      <c r="KD116" s="443"/>
      <c r="KE116" s="443"/>
      <c r="KF116" s="443"/>
      <c r="KG116" s="443"/>
      <c r="KH116" s="443"/>
      <c r="KI116" s="443"/>
      <c r="KJ116" s="443"/>
      <c r="KK116" s="443"/>
      <c r="KL116" s="443"/>
      <c r="KM116" s="443"/>
      <c r="KN116" s="443"/>
      <c r="KO116" s="443"/>
      <c r="KP116" s="443"/>
      <c r="KQ116" s="443"/>
      <c r="KR116" s="443"/>
      <c r="KS116" s="443"/>
      <c r="KT116" s="443"/>
      <c r="KU116" s="443"/>
      <c r="KV116" s="443"/>
      <c r="KW116" s="443"/>
      <c r="KX116" s="443"/>
      <c r="KY116" s="443"/>
      <c r="KZ116" s="443"/>
      <c r="LA116" s="443"/>
      <c r="LB116" s="443"/>
      <c r="LC116" s="443"/>
      <c r="LD116" s="443"/>
      <c r="LE116" s="443"/>
      <c r="LF116" s="443"/>
      <c r="LG116" s="443"/>
      <c r="LH116" s="443"/>
      <c r="LI116" s="443"/>
      <c r="LJ116" s="443"/>
      <c r="LK116" s="443"/>
      <c r="LL116" s="443"/>
      <c r="LM116" s="443"/>
      <c r="LN116" s="443"/>
      <c r="LO116" s="443"/>
      <c r="LP116" s="443"/>
      <c r="LQ116" s="443"/>
      <c r="LY116" s="448"/>
      <c r="MN116" s="443"/>
    </row>
    <row r="117" spans="1:352" ht="14.25" customHeight="1">
      <c r="A117" s="1351"/>
      <c r="B117" s="1351"/>
      <c r="C117" s="2660"/>
      <c r="D117" s="2660"/>
      <c r="E117" s="110"/>
      <c r="F117" s="1"/>
      <c r="G117" s="82"/>
      <c r="H117" s="110" t="s">
        <v>298</v>
      </c>
      <c r="I117" s="36"/>
      <c r="J117" s="82"/>
      <c r="K117" s="1359">
        <f>HA48</f>
        <v>0</v>
      </c>
      <c r="L117" s="1360">
        <f>HB48</f>
        <v>0</v>
      </c>
      <c r="M117" s="1360">
        <f>HC48</f>
        <v>0</v>
      </c>
      <c r="N117" s="1360">
        <f>HD48</f>
        <v>0</v>
      </c>
      <c r="O117" s="1361">
        <f>HE48</f>
        <v>0</v>
      </c>
      <c r="P117" s="915">
        <f t="shared" si="381"/>
        <v>0</v>
      </c>
      <c r="S117" s="3996"/>
      <c r="T117" s="3997"/>
      <c r="U117" s="3997"/>
      <c r="V117" s="3997"/>
      <c r="W117" s="3998"/>
      <c r="X117" s="1815"/>
      <c r="AA117" s="1815"/>
      <c r="AB117" s="449"/>
      <c r="AC117" s="1815"/>
      <c r="AF117" s="1815"/>
      <c r="AG117" s="449"/>
      <c r="AH117" s="1815"/>
      <c r="AK117" s="1815"/>
      <c r="AL117" s="449"/>
      <c r="AM117" s="1815"/>
      <c r="AP117" s="1815"/>
      <c r="AQ117" s="449"/>
      <c r="AR117" s="450"/>
      <c r="AS117" s="450"/>
      <c r="AT117" s="450"/>
      <c r="AU117" s="450"/>
      <c r="AV117" s="450"/>
      <c r="AW117" s="450"/>
      <c r="AX117" s="1006"/>
      <c r="AY117" s="445"/>
      <c r="BB117" s="450"/>
      <c r="BC117" s="1006"/>
      <c r="BD117" s="445"/>
      <c r="LY117" s="448"/>
      <c r="MN117" s="443"/>
    </row>
    <row r="118" spans="1:352" ht="14.25" customHeight="1">
      <c r="A118" s="1351"/>
      <c r="B118" s="1351"/>
      <c r="C118" s="2660"/>
      <c r="D118" s="2660"/>
      <c r="E118" s="110"/>
      <c r="F118" s="1"/>
      <c r="G118" s="82"/>
      <c r="H118" s="165" t="s">
        <v>30</v>
      </c>
      <c r="I118" s="86"/>
      <c r="J118" s="82"/>
      <c r="K118" s="1328">
        <f>SUM(K116:K117)+HF48</f>
        <v>0</v>
      </c>
      <c r="L118" s="1328">
        <f>SUM(L116:L117)+HG48</f>
        <v>0</v>
      </c>
      <c r="M118" s="1328">
        <f>SUM(M116:M117)+HH48</f>
        <v>0</v>
      </c>
      <c r="N118" s="1328">
        <f>SUM(N116:N117)+HI48</f>
        <v>0</v>
      </c>
      <c r="O118" s="1328">
        <f>SUM(O116:O117)+HJ48</f>
        <v>0</v>
      </c>
      <c r="P118" s="1328">
        <f t="shared" si="381"/>
        <v>0</v>
      </c>
      <c r="S118" s="3996"/>
      <c r="T118" s="3997"/>
      <c r="U118" s="3997"/>
      <c r="V118" s="3997"/>
      <c r="W118" s="3998"/>
      <c r="X118" s="2251"/>
      <c r="AA118" s="1815"/>
      <c r="AB118" s="2252"/>
      <c r="AC118" s="2251"/>
      <c r="AF118" s="1815"/>
      <c r="AG118" s="2252"/>
      <c r="AH118" s="2251"/>
      <c r="AK118" s="1815"/>
      <c r="AL118" s="2252"/>
      <c r="AM118" s="2251"/>
      <c r="AP118" s="1815"/>
      <c r="AQ118" s="2252"/>
      <c r="AR118" s="450"/>
      <c r="AS118" s="450"/>
      <c r="AT118" s="450"/>
      <c r="AU118" s="450"/>
      <c r="AV118" s="450"/>
      <c r="AW118" s="450"/>
      <c r="AX118" s="449"/>
      <c r="AY118" s="445"/>
      <c r="BB118" s="450"/>
      <c r="BC118" s="449"/>
      <c r="BD118" s="445"/>
      <c r="LY118" s="448"/>
      <c r="MN118" s="443"/>
    </row>
    <row r="119" spans="1:352" ht="14.25" customHeight="1">
      <c r="A119" s="1351"/>
      <c r="B119" s="1351"/>
      <c r="C119" s="870"/>
      <c r="D119" s="1"/>
      <c r="E119" s="2661" t="s">
        <v>1391</v>
      </c>
      <c r="F119" s="2661"/>
      <c r="G119" s="82"/>
      <c r="H119" s="110" t="s">
        <v>1404</v>
      </c>
      <c r="I119" s="36"/>
      <c r="J119" s="82"/>
      <c r="K119" s="1353">
        <f>HK48</f>
        <v>0</v>
      </c>
      <c r="L119" s="1354">
        <f>HL48</f>
        <v>0</v>
      </c>
      <c r="M119" s="1354">
        <f>HM48</f>
        <v>0</v>
      </c>
      <c r="N119" s="1354">
        <f>HN48</f>
        <v>0</v>
      </c>
      <c r="O119" s="1355">
        <f>HO48</f>
        <v>0</v>
      </c>
      <c r="P119" s="919">
        <f t="shared" si="381"/>
        <v>0</v>
      </c>
      <c r="S119" s="3996"/>
      <c r="T119" s="3997"/>
      <c r="U119" s="3997"/>
      <c r="V119" s="3997"/>
      <c r="W119" s="3998"/>
      <c r="X119" s="1815"/>
      <c r="AA119" s="1815"/>
      <c r="AB119" s="449"/>
      <c r="AC119" s="1815"/>
      <c r="AF119" s="1815"/>
      <c r="AG119" s="449"/>
      <c r="AH119" s="1815"/>
      <c r="AK119" s="1815"/>
      <c r="AL119" s="449"/>
      <c r="AM119" s="1815"/>
      <c r="AP119" s="1815"/>
      <c r="AQ119" s="449"/>
      <c r="AR119" s="450"/>
      <c r="AS119" s="450"/>
      <c r="AT119" s="450"/>
      <c r="AU119" s="450"/>
      <c r="AV119" s="450"/>
      <c r="AW119" s="450"/>
      <c r="AX119" s="608"/>
      <c r="BB119" s="450"/>
      <c r="BC119" s="608"/>
      <c r="JW119" s="443"/>
      <c r="KB119" s="443"/>
      <c r="KC119" s="443"/>
      <c r="KD119" s="443"/>
      <c r="KE119" s="443"/>
      <c r="KF119" s="443"/>
      <c r="KG119" s="443"/>
      <c r="KH119" s="443"/>
      <c r="KI119" s="443"/>
      <c r="KJ119" s="443"/>
      <c r="KK119" s="443"/>
      <c r="KL119" s="443"/>
      <c r="KM119" s="443"/>
      <c r="KN119" s="443"/>
      <c r="KO119" s="443"/>
      <c r="KP119" s="443"/>
      <c r="KQ119" s="443"/>
      <c r="KR119" s="443"/>
      <c r="KS119" s="443"/>
      <c r="KT119" s="443"/>
      <c r="KU119" s="443"/>
      <c r="KV119" s="443"/>
      <c r="KW119" s="443"/>
      <c r="KX119" s="443"/>
      <c r="KY119" s="443"/>
      <c r="KZ119" s="443"/>
      <c r="LA119" s="443"/>
      <c r="LB119" s="443"/>
      <c r="LC119" s="443"/>
      <c r="LD119" s="443"/>
      <c r="LE119" s="443"/>
      <c r="LF119" s="443"/>
      <c r="LG119" s="443"/>
      <c r="LH119" s="443"/>
      <c r="LI119" s="443"/>
      <c r="LJ119" s="443"/>
      <c r="LK119" s="443"/>
      <c r="LL119" s="443"/>
      <c r="LM119" s="443"/>
      <c r="LN119" s="443"/>
      <c r="LO119" s="443"/>
      <c r="LP119" s="443"/>
      <c r="LQ119" s="443"/>
      <c r="LY119" s="448"/>
      <c r="MN119" s="443"/>
    </row>
    <row r="120" spans="1:352" ht="14.25" customHeight="1">
      <c r="A120" s="1351"/>
      <c r="B120" s="1351"/>
      <c r="C120" s="870"/>
      <c r="D120" s="1"/>
      <c r="E120" s="2661"/>
      <c r="F120" s="2661"/>
      <c r="G120" s="82"/>
      <c r="H120" s="110" t="s">
        <v>298</v>
      </c>
      <c r="I120" s="36"/>
      <c r="J120" s="82"/>
      <c r="K120" s="1359">
        <f>HP48</f>
        <v>0</v>
      </c>
      <c r="L120" s="1360">
        <f>HQ48</f>
        <v>0</v>
      </c>
      <c r="M120" s="1360">
        <f>HR48</f>
        <v>0</v>
      </c>
      <c r="N120" s="1360">
        <f>HS48</f>
        <v>0</v>
      </c>
      <c r="O120" s="1361">
        <f>HT48</f>
        <v>0</v>
      </c>
      <c r="P120" s="915">
        <f t="shared" si="381"/>
        <v>0</v>
      </c>
      <c r="S120" s="3996"/>
      <c r="T120" s="3997"/>
      <c r="U120" s="3997"/>
      <c r="V120" s="3997"/>
      <c r="W120" s="3998"/>
      <c r="X120" s="1815"/>
      <c r="AA120" s="1815"/>
      <c r="AB120" s="449"/>
      <c r="AC120" s="1815"/>
      <c r="AF120" s="1815"/>
      <c r="AG120" s="449"/>
      <c r="AH120" s="1815"/>
      <c r="AK120" s="1815"/>
      <c r="AL120" s="449"/>
      <c r="AM120" s="1815"/>
      <c r="AP120" s="1815"/>
      <c r="AQ120" s="449"/>
      <c r="AR120" s="450"/>
      <c r="AS120" s="450"/>
      <c r="AT120" s="450"/>
      <c r="AU120" s="450"/>
      <c r="AV120" s="450"/>
      <c r="AW120" s="450"/>
      <c r="AX120" s="1006"/>
      <c r="AY120" s="445"/>
      <c r="BB120" s="450"/>
      <c r="BC120" s="1006"/>
      <c r="BD120" s="445"/>
      <c r="LY120" s="448"/>
      <c r="MN120" s="443"/>
    </row>
    <row r="121" spans="1:352" ht="14.25" customHeight="1">
      <c r="A121" s="1351"/>
      <c r="B121" s="1351"/>
      <c r="C121" s="870"/>
      <c r="D121" s="1"/>
      <c r="E121" s="110"/>
      <c r="F121" s="1"/>
      <c r="G121" s="82"/>
      <c r="H121" s="165" t="s">
        <v>30</v>
      </c>
      <c r="I121" s="86"/>
      <c r="J121" s="82"/>
      <c r="K121" s="1328">
        <f>SUM(K119:K120)+HU48</f>
        <v>0</v>
      </c>
      <c r="L121" s="1328">
        <f>SUM(L119:L120)+HV48</f>
        <v>0</v>
      </c>
      <c r="M121" s="1328">
        <f>SUM(M119:M120)+HW48</f>
        <v>0</v>
      </c>
      <c r="N121" s="1328">
        <f>SUM(N119:N120)+HX48</f>
        <v>0</v>
      </c>
      <c r="O121" s="1328">
        <f>SUM(O119:O120)+HY48</f>
        <v>0</v>
      </c>
      <c r="P121" s="1328">
        <f t="shared" si="381"/>
        <v>0</v>
      </c>
      <c r="S121" s="3996"/>
      <c r="T121" s="3997"/>
      <c r="U121" s="3997"/>
      <c r="V121" s="3997"/>
      <c r="W121" s="3998"/>
      <c r="X121" s="2251"/>
      <c r="AA121" s="1815"/>
      <c r="AB121" s="2252"/>
      <c r="AC121" s="2251"/>
      <c r="AF121" s="1815"/>
      <c r="AG121" s="2252"/>
      <c r="AH121" s="2251"/>
      <c r="AK121" s="1815"/>
      <c r="AL121" s="2252"/>
      <c r="AM121" s="2251"/>
      <c r="AP121" s="1815"/>
      <c r="AQ121" s="2252"/>
      <c r="AR121" s="450"/>
      <c r="AS121" s="450"/>
      <c r="AT121" s="450"/>
      <c r="AU121" s="450"/>
      <c r="AV121" s="450"/>
      <c r="AW121" s="450"/>
      <c r="AX121" s="449"/>
      <c r="AY121" s="445"/>
      <c r="BB121" s="450"/>
      <c r="BC121" s="449"/>
      <c r="BD121" s="445"/>
      <c r="LY121" s="448"/>
      <c r="MN121" s="443"/>
    </row>
    <row r="122" spans="1:352" ht="14.25" customHeight="1">
      <c r="A122" s="1351"/>
      <c r="B122" s="1351"/>
      <c r="C122" s="870"/>
      <c r="D122" s="1"/>
      <c r="E122" s="110" t="s">
        <v>359</v>
      </c>
      <c r="F122" s="1"/>
      <c r="G122" s="172"/>
      <c r="H122" s="111"/>
      <c r="I122" s="82"/>
      <c r="J122" s="82"/>
      <c r="K122" s="4054"/>
      <c r="L122" s="4054"/>
      <c r="M122" s="4054"/>
      <c r="N122" s="4054"/>
      <c r="O122" s="4054"/>
      <c r="P122" s="569">
        <f t="shared" si="381"/>
        <v>0</v>
      </c>
      <c r="S122" s="3996"/>
      <c r="T122" s="3997"/>
      <c r="U122" s="3997"/>
      <c r="V122" s="3997"/>
      <c r="W122" s="3998"/>
      <c r="X122" s="1815"/>
      <c r="AA122" s="1815"/>
      <c r="AB122" s="449"/>
      <c r="AC122" s="1815"/>
      <c r="AF122" s="1815"/>
      <c r="AG122" s="449"/>
      <c r="AH122" s="1815"/>
      <c r="AK122" s="1815"/>
      <c r="AL122" s="449"/>
      <c r="AM122" s="1815"/>
      <c r="AP122" s="1815"/>
      <c r="AQ122" s="449"/>
      <c r="AR122" s="450"/>
      <c r="AS122" s="450"/>
      <c r="AT122" s="450"/>
      <c r="AU122" s="450"/>
      <c r="AV122" s="450"/>
      <c r="AW122" s="450"/>
      <c r="AX122" s="1006"/>
      <c r="AY122" s="445"/>
      <c r="BB122" s="450"/>
      <c r="BC122" s="1006"/>
      <c r="BD122" s="445"/>
      <c r="LY122" s="448"/>
      <c r="MN122" s="443"/>
    </row>
    <row r="123" spans="1:352" ht="14.25" customHeight="1">
      <c r="A123" s="2640" t="str">
        <f>IF(AND('Part IV-A-Uses of Funds'!$T$172="Yes",'Part IX Scoring Criteria'!$O$415&gt;0,P123&lt;1),"SHOW HISTORIC UNITS HERE &gt;&gt;&gt;&gt;","")</f>
        <v/>
      </c>
      <c r="B123" s="2640"/>
      <c r="C123" s="2640"/>
      <c r="D123" s="2640"/>
      <c r="E123" s="480" t="s">
        <v>3283</v>
      </c>
      <c r="F123" s="1"/>
      <c r="G123" s="172"/>
      <c r="H123" s="111"/>
      <c r="I123" s="82"/>
      <c r="J123" s="82"/>
      <c r="K123" s="4055"/>
      <c r="L123" s="4055"/>
      <c r="M123" s="4055"/>
      <c r="N123" s="4055"/>
      <c r="O123" s="4055"/>
      <c r="P123" s="570">
        <f t="shared" si="381"/>
        <v>0</v>
      </c>
      <c r="S123" s="3996"/>
      <c r="T123" s="3997"/>
      <c r="U123" s="3997"/>
      <c r="V123" s="3997"/>
      <c r="W123" s="3998"/>
      <c r="X123" s="1815"/>
      <c r="AA123" s="1815"/>
      <c r="AB123" s="449"/>
      <c r="AC123" s="1815"/>
      <c r="AF123" s="1815"/>
      <c r="AG123" s="449"/>
      <c r="AH123" s="1815"/>
      <c r="AK123" s="1815"/>
      <c r="AL123" s="449"/>
      <c r="AM123" s="1815"/>
      <c r="AP123" s="1815"/>
      <c r="AQ123" s="449"/>
      <c r="AR123" s="450"/>
      <c r="AS123" s="450"/>
      <c r="AT123" s="450"/>
      <c r="AU123" s="450"/>
      <c r="AV123" s="450"/>
      <c r="AW123" s="450"/>
      <c r="AX123" s="1006"/>
      <c r="AY123" s="445"/>
      <c r="BB123" s="450"/>
      <c r="BC123" s="1006"/>
      <c r="BD123" s="445"/>
      <c r="LY123" s="448"/>
      <c r="MN123" s="443"/>
    </row>
    <row r="124" spans="1:352" ht="9" customHeight="1">
      <c r="A124" s="1009"/>
      <c r="B124" s="1009"/>
      <c r="C124" s="1009"/>
      <c r="D124" s="1009"/>
      <c r="E124" s="480"/>
      <c r="F124" s="1"/>
      <c r="G124" s="172"/>
      <c r="H124" s="111"/>
      <c r="I124" s="82"/>
      <c r="J124" s="82"/>
      <c r="K124" s="36"/>
      <c r="L124" s="36"/>
      <c r="M124" s="36"/>
      <c r="N124" s="36"/>
      <c r="O124" s="36"/>
      <c r="P124" s="36"/>
      <c r="S124" s="3996"/>
      <c r="T124" s="3997"/>
      <c r="U124" s="3997"/>
      <c r="V124" s="3997"/>
      <c r="W124" s="3998"/>
      <c r="X124" s="1815"/>
      <c r="AA124" s="1815"/>
      <c r="AB124" s="449"/>
      <c r="AC124" s="1815"/>
      <c r="AF124" s="1815"/>
      <c r="AG124" s="449"/>
      <c r="AH124" s="1815"/>
      <c r="AK124" s="1815"/>
      <c r="AL124" s="449"/>
      <c r="AM124" s="1815"/>
      <c r="AP124" s="1815"/>
      <c r="AQ124" s="449"/>
      <c r="AR124" s="450"/>
      <c r="AS124" s="450"/>
      <c r="AT124" s="450"/>
      <c r="AU124" s="450"/>
      <c r="AV124" s="450"/>
      <c r="AW124" s="450"/>
      <c r="AX124" s="1006"/>
      <c r="AY124" s="445"/>
      <c r="BB124" s="450"/>
      <c r="BC124" s="1006"/>
      <c r="BD124" s="445"/>
      <c r="LY124" s="448"/>
      <c r="MN124" s="443"/>
    </row>
    <row r="125" spans="1:352" ht="14.25" customHeight="1">
      <c r="A125" s="1009"/>
      <c r="B125" s="1009"/>
      <c r="C125" s="1009"/>
      <c r="D125" s="1009"/>
      <c r="E125" s="110" t="s">
        <v>3251</v>
      </c>
      <c r="F125" s="1"/>
      <c r="G125" s="172"/>
      <c r="H125" s="111"/>
      <c r="I125" s="82"/>
      <c r="J125" s="82"/>
      <c r="K125" s="1371">
        <f>K129+K131+K133+K135+K139+K141+K143+K145</f>
        <v>0</v>
      </c>
      <c r="L125" s="1372">
        <f>L129+L131+L133+L135+L139+L141+L143+L145</f>
        <v>0</v>
      </c>
      <c r="M125" s="1372">
        <f>M129+M131+M133+M135+M139+M141+M143+M145</f>
        <v>0</v>
      </c>
      <c r="N125" s="1372">
        <f>N129+N131+N133+N135+N139+N141+N143+N145</f>
        <v>0</v>
      </c>
      <c r="O125" s="1373">
        <f>O129+O131+O133+O135+O139+O141+O143+O145</f>
        <v>0</v>
      </c>
      <c r="P125" s="578">
        <f>SUM(K125:O125)</f>
        <v>0</v>
      </c>
      <c r="S125" s="4027"/>
      <c r="T125" s="4028"/>
      <c r="U125" s="4028"/>
      <c r="V125" s="4028"/>
      <c r="W125" s="4029"/>
      <c r="X125" s="1815"/>
      <c r="AA125" s="1815"/>
      <c r="AB125" s="449"/>
      <c r="AC125" s="1815"/>
      <c r="AF125" s="1815"/>
      <c r="AG125" s="449"/>
      <c r="AH125" s="1815"/>
      <c r="AK125" s="1815"/>
      <c r="AL125" s="449"/>
      <c r="AM125" s="1815"/>
      <c r="AP125" s="1815"/>
      <c r="AQ125" s="449"/>
      <c r="AR125" s="450"/>
      <c r="AS125" s="450"/>
      <c r="AT125" s="450"/>
      <c r="AU125" s="450"/>
      <c r="AV125" s="450"/>
      <c r="AW125" s="450"/>
      <c r="AX125" s="1006"/>
      <c r="AY125" s="445"/>
      <c r="BB125" s="450"/>
      <c r="BC125" s="1006"/>
      <c r="BD125" s="445"/>
      <c r="LY125" s="448"/>
      <c r="MN125" s="443"/>
    </row>
    <row r="126" spans="1:352" ht="9.75" customHeight="1">
      <c r="D126" s="1"/>
      <c r="E126" s="110"/>
      <c r="F126" s="1"/>
      <c r="G126" s="172"/>
      <c r="H126" s="111"/>
      <c r="I126" s="82"/>
      <c r="J126" s="82"/>
      <c r="K126" s="571"/>
      <c r="L126" s="571"/>
      <c r="M126" s="571"/>
      <c r="N126" s="571"/>
      <c r="O126" s="571"/>
      <c r="P126" s="571"/>
      <c r="S126" s="268" t="str">
        <f>C127</f>
        <v>Building Type: (for Utility Allowance, Monitoring Fees and other purposes)</v>
      </c>
      <c r="T126" s="151"/>
      <c r="U126" s="404"/>
      <c r="X126" s="445"/>
      <c r="AA126" s="445"/>
      <c r="AB126" s="449"/>
      <c r="AC126" s="445"/>
      <c r="AF126" s="445"/>
      <c r="AG126" s="449"/>
      <c r="AH126" s="445"/>
      <c r="AK126" s="445"/>
      <c r="AL126" s="449"/>
      <c r="AM126" s="445"/>
      <c r="AP126" s="445"/>
      <c r="AQ126" s="449"/>
      <c r="AR126" s="1815"/>
      <c r="AS126" s="1815"/>
      <c r="AT126" s="1815"/>
      <c r="AU126" s="1815"/>
      <c r="AV126" s="1815"/>
      <c r="AW126" s="1815"/>
      <c r="AX126" s="608"/>
      <c r="AY126" s="445"/>
      <c r="BB126" s="1815"/>
      <c r="BC126" s="608"/>
      <c r="BD126" s="445"/>
      <c r="LY126" s="448"/>
      <c r="MN126" s="443"/>
    </row>
    <row r="127" spans="1:352" ht="14.25" customHeight="1">
      <c r="C127" s="2657" t="s">
        <v>3772</v>
      </c>
      <c r="D127" s="2657"/>
      <c r="E127" s="1090" t="s">
        <v>37</v>
      </c>
      <c r="F127" s="948"/>
      <c r="G127" s="1091"/>
      <c r="H127" s="1755"/>
      <c r="I127" s="1092"/>
      <c r="J127" s="1093"/>
      <c r="K127" s="1374">
        <f>SUM(K128:K137)</f>
        <v>0</v>
      </c>
      <c r="L127" s="1375">
        <f>SUM(L128:L137)</f>
        <v>20</v>
      </c>
      <c r="M127" s="1375">
        <f t="shared" ref="M127:N127" si="382">SUM(M128:M137)</f>
        <v>52</v>
      </c>
      <c r="N127" s="1375">
        <f t="shared" si="382"/>
        <v>0</v>
      </c>
      <c r="O127" s="1376">
        <f>SUM(O128:O137)</f>
        <v>0</v>
      </c>
      <c r="P127" s="1333">
        <f>SUM(P128:P137)</f>
        <v>72</v>
      </c>
      <c r="S127" s="4034"/>
      <c r="T127" s="4035"/>
      <c r="U127" s="4035"/>
      <c r="V127" s="4035"/>
      <c r="W127" s="4036"/>
      <c r="X127" s="445"/>
      <c r="AA127" s="445"/>
      <c r="AB127" s="449"/>
      <c r="AC127" s="445"/>
      <c r="AF127" s="445"/>
      <c r="AG127" s="449"/>
      <c r="AH127" s="445"/>
      <c r="AK127" s="445"/>
      <c r="AL127" s="449"/>
      <c r="AM127" s="445"/>
      <c r="AP127" s="445"/>
      <c r="AQ127" s="449"/>
      <c r="AR127" s="450"/>
      <c r="AS127" s="450"/>
      <c r="AT127" s="450"/>
      <c r="AU127" s="450"/>
      <c r="AV127" s="450"/>
      <c r="AW127" s="450"/>
      <c r="AX127" s="608"/>
      <c r="BB127" s="450"/>
      <c r="BC127" s="608"/>
      <c r="JW127" s="443"/>
      <c r="KB127" s="443"/>
      <c r="KC127" s="443"/>
      <c r="KD127" s="443"/>
      <c r="KE127" s="443"/>
      <c r="KF127" s="443"/>
      <c r="KG127" s="443"/>
      <c r="KH127" s="443"/>
      <c r="KI127" s="443"/>
      <c r="KJ127" s="443"/>
      <c r="KK127" s="443"/>
      <c r="KL127" s="443"/>
      <c r="KM127" s="443"/>
      <c r="KN127" s="443"/>
      <c r="KO127" s="443"/>
      <c r="KP127" s="443"/>
      <c r="KQ127" s="443"/>
      <c r="KR127" s="443"/>
      <c r="KS127" s="443"/>
      <c r="KT127" s="443"/>
      <c r="KU127" s="443"/>
      <c r="KV127" s="443"/>
      <c r="KW127" s="443"/>
      <c r="KX127" s="443"/>
      <c r="KY127" s="443"/>
      <c r="KZ127" s="443"/>
      <c r="LA127" s="443"/>
      <c r="LB127" s="443"/>
      <c r="LC127" s="443"/>
      <c r="LD127" s="443"/>
      <c r="LE127" s="443"/>
      <c r="LF127" s="443"/>
      <c r="LG127" s="443"/>
      <c r="LH127" s="443"/>
      <c r="LI127" s="443"/>
      <c r="LJ127" s="443"/>
      <c r="LK127" s="443"/>
      <c r="LL127" s="443"/>
      <c r="LM127" s="443"/>
      <c r="LN127" s="443"/>
      <c r="LO127" s="443"/>
      <c r="LP127" s="443"/>
      <c r="LQ127" s="443"/>
      <c r="LY127" s="448"/>
      <c r="MN127" s="443"/>
    </row>
    <row r="128" spans="1:352" ht="14.25" customHeight="1">
      <c r="C128" s="2658"/>
      <c r="D128" s="2658"/>
      <c r="E128" s="103"/>
      <c r="F128" s="5"/>
      <c r="G128" s="151"/>
      <c r="H128" s="1752" t="s">
        <v>2537</v>
      </c>
      <c r="I128" s="856"/>
      <c r="J128" s="1094"/>
      <c r="K128" s="1356">
        <f>JS48</f>
        <v>0</v>
      </c>
      <c r="L128" s="1357">
        <f>JT48</f>
        <v>0</v>
      </c>
      <c r="M128" s="1357">
        <f>JU48</f>
        <v>0</v>
      </c>
      <c r="N128" s="1357">
        <f>JV48</f>
        <v>0</v>
      </c>
      <c r="O128" s="1358">
        <f>JW48</f>
        <v>0</v>
      </c>
      <c r="P128" s="914">
        <f t="shared" ref="P128:P145" si="383">SUM(K128:O128)</f>
        <v>0</v>
      </c>
      <c r="S128" s="3996"/>
      <c r="T128" s="3997"/>
      <c r="U128" s="3997"/>
      <c r="V128" s="3997"/>
      <c r="W128" s="3998"/>
      <c r="X128" s="445"/>
      <c r="AA128" s="445"/>
      <c r="AB128" s="449"/>
      <c r="AC128" s="445"/>
      <c r="AF128" s="445"/>
      <c r="AG128" s="449"/>
      <c r="AH128" s="445"/>
      <c r="AK128" s="445"/>
      <c r="AL128" s="449"/>
      <c r="AM128" s="445"/>
      <c r="AP128" s="445"/>
      <c r="AQ128" s="449"/>
      <c r="AR128" s="450"/>
      <c r="AS128" s="450"/>
      <c r="AT128" s="450"/>
      <c r="AU128" s="450"/>
      <c r="AV128" s="450"/>
      <c r="AW128" s="450"/>
      <c r="AX128" s="608"/>
      <c r="BB128" s="450"/>
      <c r="BC128" s="608"/>
      <c r="JW128" s="443"/>
      <c r="KB128" s="443"/>
      <c r="KC128" s="443"/>
      <c r="KD128" s="443"/>
      <c r="KE128" s="443"/>
      <c r="KF128" s="443"/>
      <c r="KG128" s="443"/>
      <c r="KH128" s="443"/>
      <c r="KI128" s="443"/>
      <c r="KJ128" s="443"/>
      <c r="KK128" s="443"/>
      <c r="KL128" s="443"/>
      <c r="KM128" s="443"/>
      <c r="KN128" s="443"/>
      <c r="KO128" s="443"/>
      <c r="KP128" s="443"/>
      <c r="KQ128" s="443"/>
      <c r="KR128" s="443"/>
      <c r="KS128" s="443"/>
      <c r="KT128" s="443"/>
      <c r="KU128" s="443"/>
      <c r="KV128" s="443"/>
      <c r="KW128" s="443"/>
      <c r="KX128" s="443"/>
      <c r="KY128" s="443"/>
      <c r="KZ128" s="443"/>
      <c r="LA128" s="443"/>
      <c r="LB128" s="443"/>
      <c r="LC128" s="443"/>
      <c r="LD128" s="443"/>
      <c r="LE128" s="443"/>
      <c r="LF128" s="443"/>
      <c r="LG128" s="443"/>
      <c r="LH128" s="443"/>
      <c r="LI128" s="443"/>
      <c r="LJ128" s="443"/>
      <c r="LK128" s="443"/>
      <c r="LL128" s="443"/>
      <c r="LM128" s="443"/>
      <c r="LN128" s="443"/>
      <c r="LO128" s="443"/>
      <c r="LP128" s="443"/>
      <c r="LQ128" s="443"/>
      <c r="LY128" s="448"/>
      <c r="MN128" s="443"/>
    </row>
    <row r="129" spans="3:503" ht="14.25" customHeight="1">
      <c r="C129" s="2658"/>
      <c r="D129" s="2658"/>
      <c r="E129" s="103"/>
      <c r="F129" s="5"/>
      <c r="G129" s="151"/>
      <c r="H129" s="1756" t="s">
        <v>3251</v>
      </c>
      <c r="I129" s="95"/>
      <c r="J129" s="1094"/>
      <c r="K129" s="1377">
        <f>JX48</f>
        <v>0</v>
      </c>
      <c r="L129" s="1378">
        <f>JY48</f>
        <v>0</v>
      </c>
      <c r="M129" s="1378">
        <f>JZ48</f>
        <v>0</v>
      </c>
      <c r="N129" s="1378">
        <f>KA48</f>
        <v>0</v>
      </c>
      <c r="O129" s="1379">
        <f>KB48</f>
        <v>0</v>
      </c>
      <c r="P129" s="572">
        <f t="shared" si="383"/>
        <v>0</v>
      </c>
      <c r="S129" s="3996"/>
      <c r="T129" s="3997"/>
      <c r="U129" s="3997"/>
      <c r="V129" s="3997"/>
      <c r="W129" s="3998"/>
      <c r="X129" s="445"/>
      <c r="AA129" s="445"/>
      <c r="AB129" s="449"/>
      <c r="AC129" s="445"/>
      <c r="AF129" s="445"/>
      <c r="AG129" s="449"/>
      <c r="AH129" s="445"/>
      <c r="AK129" s="445"/>
      <c r="AL129" s="449"/>
      <c r="AM129" s="445"/>
      <c r="AP129" s="445"/>
      <c r="AQ129" s="449"/>
      <c r="AR129" s="450"/>
      <c r="AS129" s="450"/>
      <c r="AT129" s="450"/>
      <c r="AU129" s="450"/>
      <c r="AV129" s="450"/>
      <c r="AW129" s="450"/>
      <c r="AX129" s="608"/>
      <c r="BB129" s="450"/>
      <c r="BC129" s="608"/>
      <c r="JW129" s="443"/>
      <c r="KB129" s="443"/>
      <c r="KC129" s="443"/>
      <c r="KD129" s="443"/>
      <c r="KE129" s="443"/>
      <c r="KF129" s="443"/>
      <c r="KG129" s="443"/>
      <c r="KH129" s="443"/>
      <c r="KI129" s="443"/>
      <c r="KJ129" s="443"/>
      <c r="KK129" s="443"/>
      <c r="KL129" s="443"/>
      <c r="KM129" s="443"/>
      <c r="KN129" s="443"/>
      <c r="KO129" s="443"/>
      <c r="KP129" s="443"/>
      <c r="KQ129" s="443"/>
      <c r="KR129" s="443"/>
      <c r="KS129" s="443"/>
      <c r="KT129" s="443"/>
      <c r="KU129" s="443"/>
      <c r="KV129" s="443"/>
      <c r="KW129" s="443"/>
      <c r="KX129" s="443"/>
      <c r="KY129" s="443"/>
      <c r="KZ129" s="443"/>
      <c r="LA129" s="443"/>
      <c r="LB129" s="443"/>
      <c r="LC129" s="443"/>
      <c r="LD129" s="443"/>
      <c r="LE129" s="443"/>
      <c r="LF129" s="443"/>
      <c r="LG129" s="443"/>
      <c r="LH129" s="443"/>
      <c r="LI129" s="443"/>
      <c r="LJ129" s="443"/>
      <c r="LK129" s="443"/>
      <c r="LL129" s="443"/>
      <c r="LM129" s="443"/>
      <c r="LN129" s="443"/>
      <c r="LO129" s="443"/>
      <c r="LP129" s="443"/>
      <c r="LQ129" s="443"/>
      <c r="LY129" s="448"/>
      <c r="MN129" s="443"/>
    </row>
    <row r="130" spans="3:503" ht="14.25" customHeight="1">
      <c r="C130" s="2658"/>
      <c r="D130" s="2658"/>
      <c r="E130" s="103"/>
      <c r="F130" s="5"/>
      <c r="G130" s="151"/>
      <c r="H130" s="1752" t="s">
        <v>2538</v>
      </c>
      <c r="I130" s="856"/>
      <c r="J130" s="1094"/>
      <c r="K130" s="1356">
        <f>KC48</f>
        <v>0</v>
      </c>
      <c r="L130" s="1357">
        <f>KD48</f>
        <v>0</v>
      </c>
      <c r="M130" s="1357">
        <f>KE48</f>
        <v>0</v>
      </c>
      <c r="N130" s="1357">
        <f>KF48</f>
        <v>0</v>
      </c>
      <c r="O130" s="1358">
        <f>KG48</f>
        <v>0</v>
      </c>
      <c r="P130" s="573">
        <f t="shared" si="383"/>
        <v>0</v>
      </c>
      <c r="S130" s="3996"/>
      <c r="T130" s="3997"/>
      <c r="U130" s="3997"/>
      <c r="V130" s="3997"/>
      <c r="W130" s="3998"/>
      <c r="X130" s="445"/>
      <c r="AA130" s="445"/>
      <c r="AB130" s="449"/>
      <c r="AC130" s="445"/>
      <c r="AF130" s="445"/>
      <c r="AG130" s="449"/>
      <c r="AH130" s="445"/>
      <c r="AK130" s="445"/>
      <c r="AL130" s="449"/>
      <c r="AM130" s="445"/>
      <c r="AP130" s="445"/>
      <c r="AQ130" s="449"/>
      <c r="AR130" s="450"/>
      <c r="AS130" s="450"/>
      <c r="AT130" s="450"/>
      <c r="AU130" s="450"/>
      <c r="AV130" s="450"/>
      <c r="AW130" s="450"/>
      <c r="AX130" s="608"/>
      <c r="BB130" s="450"/>
      <c r="BC130" s="608"/>
      <c r="JW130" s="443"/>
      <c r="KB130" s="443"/>
      <c r="KC130" s="443"/>
      <c r="KD130" s="443"/>
      <c r="KE130" s="443"/>
      <c r="KF130" s="443"/>
      <c r="KG130" s="443"/>
      <c r="KH130" s="443"/>
      <c r="KI130" s="443"/>
      <c r="KJ130" s="443"/>
      <c r="KK130" s="443"/>
      <c r="KL130" s="443"/>
      <c r="KM130" s="443"/>
      <c r="KN130" s="443"/>
      <c r="KO130" s="443"/>
      <c r="KP130" s="443"/>
      <c r="KQ130" s="443"/>
      <c r="KR130" s="443"/>
      <c r="KS130" s="443"/>
      <c r="KT130" s="443"/>
      <c r="KU130" s="443"/>
      <c r="KV130" s="443"/>
      <c r="KW130" s="443"/>
      <c r="KX130" s="443"/>
      <c r="KY130" s="443"/>
      <c r="KZ130" s="443"/>
      <c r="LA130" s="443"/>
      <c r="LB130" s="443"/>
      <c r="LC130" s="443"/>
      <c r="LD130" s="443"/>
      <c r="LE130" s="443"/>
      <c r="LF130" s="443"/>
      <c r="LG130" s="443"/>
      <c r="LH130" s="443"/>
      <c r="LI130" s="443"/>
      <c r="LJ130" s="443"/>
      <c r="LK130" s="443"/>
      <c r="LL130" s="443"/>
      <c r="LM130" s="443"/>
      <c r="LN130" s="443"/>
      <c r="LO130" s="443"/>
      <c r="LP130" s="443"/>
      <c r="LQ130" s="443"/>
      <c r="LY130" s="448"/>
      <c r="MN130" s="443"/>
    </row>
    <row r="131" spans="3:503" ht="14.25" customHeight="1">
      <c r="C131" s="2658"/>
      <c r="D131" s="2658"/>
      <c r="E131" s="103"/>
      <c r="F131" s="5"/>
      <c r="G131" s="151"/>
      <c r="H131" s="1756" t="s">
        <v>3251</v>
      </c>
      <c r="I131" s="95"/>
      <c r="J131" s="1094"/>
      <c r="K131" s="1377">
        <f>KH48</f>
        <v>0</v>
      </c>
      <c r="L131" s="1378">
        <f>KI48</f>
        <v>0</v>
      </c>
      <c r="M131" s="1378">
        <f>KJ48</f>
        <v>0</v>
      </c>
      <c r="N131" s="1378">
        <f>KK48</f>
        <v>0</v>
      </c>
      <c r="O131" s="1379">
        <f>KL48</f>
        <v>0</v>
      </c>
      <c r="P131" s="572">
        <f t="shared" si="383"/>
        <v>0</v>
      </c>
      <c r="S131" s="3996"/>
      <c r="T131" s="3997"/>
      <c r="U131" s="3997"/>
      <c r="V131" s="3997"/>
      <c r="W131" s="3998"/>
      <c r="X131" s="445"/>
      <c r="AA131" s="445"/>
      <c r="AB131" s="449"/>
      <c r="AC131" s="445"/>
      <c r="AF131" s="445"/>
      <c r="AG131" s="449"/>
      <c r="AH131" s="445"/>
      <c r="AK131" s="445"/>
      <c r="AL131" s="449"/>
      <c r="AM131" s="445"/>
      <c r="AP131" s="445"/>
      <c r="AQ131" s="449"/>
      <c r="AR131" s="450"/>
      <c r="AS131" s="450"/>
      <c r="AT131" s="450"/>
      <c r="AU131" s="450"/>
      <c r="AV131" s="450"/>
      <c r="AW131" s="450"/>
      <c r="AX131" s="608"/>
      <c r="BB131" s="450"/>
      <c r="BC131" s="608"/>
      <c r="JW131" s="443"/>
      <c r="KB131" s="443"/>
      <c r="KC131" s="443"/>
      <c r="KD131" s="443"/>
      <c r="KE131" s="443"/>
      <c r="KF131" s="443"/>
      <c r="KG131" s="443"/>
      <c r="KH131" s="443"/>
      <c r="KI131" s="443"/>
      <c r="KJ131" s="443"/>
      <c r="KK131" s="443"/>
      <c r="KL131" s="443"/>
      <c r="KM131" s="443"/>
      <c r="KN131" s="443"/>
      <c r="KO131" s="443"/>
      <c r="KP131" s="443"/>
      <c r="KQ131" s="443"/>
      <c r="KR131" s="443"/>
      <c r="KS131" s="443"/>
      <c r="KT131" s="443"/>
      <c r="KU131" s="443"/>
      <c r="KV131" s="443"/>
      <c r="KW131" s="443"/>
      <c r="KX131" s="443"/>
      <c r="KY131" s="443"/>
      <c r="KZ131" s="443"/>
      <c r="LA131" s="443"/>
      <c r="LB131" s="443"/>
      <c r="LC131" s="443"/>
      <c r="LD131" s="443"/>
      <c r="LE131" s="443"/>
      <c r="LF131" s="443"/>
      <c r="LG131" s="443"/>
      <c r="LH131" s="443"/>
      <c r="LI131" s="443"/>
      <c r="LJ131" s="443"/>
      <c r="LK131" s="443"/>
      <c r="LL131" s="443"/>
      <c r="LM131" s="443"/>
      <c r="LN131" s="443"/>
      <c r="LO131" s="443"/>
      <c r="LP131" s="443"/>
      <c r="LQ131" s="443"/>
      <c r="LY131" s="448"/>
      <c r="MN131" s="443"/>
    </row>
    <row r="132" spans="3:503" ht="14.25" customHeight="1">
      <c r="C132" s="2658"/>
      <c r="D132" s="2658"/>
      <c r="E132" s="103"/>
      <c r="F132" s="5"/>
      <c r="G132" s="151"/>
      <c r="H132" s="1752" t="s">
        <v>2540</v>
      </c>
      <c r="I132" s="856"/>
      <c r="J132" s="1094"/>
      <c r="K132" s="1356">
        <f>KM48</f>
        <v>0</v>
      </c>
      <c r="L132" s="1357">
        <f>KN48</f>
        <v>0</v>
      </c>
      <c r="M132" s="1357">
        <f>KO48</f>
        <v>0</v>
      </c>
      <c r="N132" s="1357">
        <f>KP48</f>
        <v>0</v>
      </c>
      <c r="O132" s="1358">
        <f>KQ48</f>
        <v>0</v>
      </c>
      <c r="P132" s="573">
        <f t="shared" si="383"/>
        <v>0</v>
      </c>
      <c r="S132" s="3996"/>
      <c r="T132" s="3997"/>
      <c r="U132" s="3997"/>
      <c r="V132" s="3997"/>
      <c r="W132" s="3998"/>
      <c r="X132" s="445"/>
      <c r="AA132" s="445"/>
      <c r="AB132" s="449"/>
      <c r="AC132" s="445"/>
      <c r="AF132" s="445"/>
      <c r="AG132" s="449"/>
      <c r="AH132" s="445"/>
      <c r="AK132" s="445"/>
      <c r="AL132" s="449"/>
      <c r="AM132" s="445"/>
      <c r="AP132" s="445"/>
      <c r="AQ132" s="449"/>
      <c r="AR132" s="450"/>
      <c r="AS132" s="450"/>
      <c r="AT132" s="450"/>
      <c r="AU132" s="450"/>
      <c r="AV132" s="450"/>
      <c r="AW132" s="450"/>
      <c r="AX132" s="608"/>
      <c r="BB132" s="450"/>
      <c r="BC132" s="608"/>
      <c r="JW132" s="443"/>
      <c r="KB132" s="443"/>
      <c r="KC132" s="443"/>
      <c r="KD132" s="443"/>
      <c r="KE132" s="443"/>
      <c r="KF132" s="443"/>
      <c r="KG132" s="443"/>
      <c r="KH132" s="443"/>
      <c r="KI132" s="443"/>
      <c r="KJ132" s="443"/>
      <c r="KK132" s="443"/>
      <c r="KL132" s="443"/>
      <c r="KM132" s="443"/>
      <c r="KN132" s="443"/>
      <c r="KO132" s="443"/>
      <c r="KP132" s="443"/>
      <c r="KQ132" s="443"/>
      <c r="KR132" s="443"/>
      <c r="KS132" s="443"/>
      <c r="KT132" s="443"/>
      <c r="KU132" s="443"/>
      <c r="KV132" s="443"/>
      <c r="KW132" s="443"/>
      <c r="KX132" s="443"/>
      <c r="KY132" s="443"/>
      <c r="KZ132" s="443"/>
      <c r="LA132" s="443"/>
      <c r="LB132" s="443"/>
      <c r="LC132" s="443"/>
      <c r="LD132" s="443"/>
      <c r="LE132" s="443"/>
      <c r="LF132" s="443"/>
      <c r="LG132" s="443"/>
      <c r="LH132" s="443"/>
      <c r="LI132" s="443"/>
      <c r="LJ132" s="443"/>
      <c r="LK132" s="443"/>
      <c r="LL132" s="443"/>
      <c r="LM132" s="443"/>
      <c r="LN132" s="443"/>
      <c r="LO132" s="443"/>
      <c r="LP132" s="443"/>
      <c r="LQ132" s="443"/>
      <c r="LY132" s="448"/>
      <c r="MN132" s="443"/>
    </row>
    <row r="133" spans="3:503" ht="14.25" customHeight="1">
      <c r="C133" s="2658"/>
      <c r="D133" s="2658"/>
      <c r="E133" s="103"/>
      <c r="F133" s="5"/>
      <c r="G133" s="151"/>
      <c r="H133" s="1756" t="s">
        <v>3251</v>
      </c>
      <c r="I133" s="95"/>
      <c r="J133" s="1094"/>
      <c r="K133" s="1377">
        <f>KR48</f>
        <v>0</v>
      </c>
      <c r="L133" s="1378">
        <f>KS48</f>
        <v>0</v>
      </c>
      <c r="M133" s="1378">
        <f>KT48</f>
        <v>0</v>
      </c>
      <c r="N133" s="1378">
        <f>KU48</f>
        <v>0</v>
      </c>
      <c r="O133" s="1379">
        <f>KV48</f>
        <v>0</v>
      </c>
      <c r="P133" s="572">
        <f t="shared" si="383"/>
        <v>0</v>
      </c>
      <c r="S133" s="3996"/>
      <c r="T133" s="3997"/>
      <c r="U133" s="3997"/>
      <c r="V133" s="3997"/>
      <c r="W133" s="3998"/>
      <c r="X133" s="445"/>
      <c r="AA133" s="445"/>
      <c r="AB133" s="449"/>
      <c r="AC133" s="445"/>
      <c r="AF133" s="445"/>
      <c r="AG133" s="449"/>
      <c r="AH133" s="445"/>
      <c r="AK133" s="445"/>
      <c r="AL133" s="449"/>
      <c r="AM133" s="445"/>
      <c r="AP133" s="445"/>
      <c r="AQ133" s="449"/>
      <c r="AR133" s="450"/>
      <c r="AS133" s="450"/>
      <c r="AT133" s="450"/>
      <c r="AU133" s="450"/>
      <c r="AV133" s="450"/>
      <c r="AW133" s="450"/>
      <c r="AX133" s="608"/>
      <c r="BB133" s="450"/>
      <c r="BC133" s="608"/>
      <c r="JW133" s="443"/>
      <c r="KB133" s="443"/>
      <c r="KC133" s="443"/>
      <c r="KD133" s="443"/>
      <c r="KE133" s="443"/>
      <c r="KF133" s="443"/>
      <c r="KG133" s="443"/>
      <c r="KH133" s="443"/>
      <c r="KI133" s="443"/>
      <c r="KJ133" s="443"/>
      <c r="KK133" s="443"/>
      <c r="KL133" s="443"/>
      <c r="KM133" s="443"/>
      <c r="KN133" s="443"/>
      <c r="KO133" s="443"/>
      <c r="KP133" s="443"/>
      <c r="KQ133" s="443"/>
      <c r="KR133" s="443"/>
      <c r="KS133" s="443"/>
      <c r="KT133" s="443"/>
      <c r="KU133" s="443"/>
      <c r="KV133" s="443"/>
      <c r="KW133" s="443"/>
      <c r="KX133" s="443"/>
      <c r="KY133" s="443"/>
      <c r="KZ133" s="443"/>
      <c r="LA133" s="443"/>
      <c r="LB133" s="443"/>
      <c r="LC133" s="443"/>
      <c r="LD133" s="443"/>
      <c r="LE133" s="443"/>
      <c r="LF133" s="443"/>
      <c r="LG133" s="443"/>
      <c r="LH133" s="443"/>
      <c r="LI133" s="443"/>
      <c r="LJ133" s="443"/>
      <c r="LK133" s="443"/>
      <c r="LL133" s="443"/>
      <c r="LM133" s="443"/>
      <c r="LN133" s="443"/>
      <c r="LO133" s="443"/>
      <c r="LP133" s="443"/>
      <c r="LQ133" s="443"/>
      <c r="LY133" s="448"/>
      <c r="MN133" s="443"/>
    </row>
    <row r="134" spans="3:503" ht="14.25" customHeight="1">
      <c r="C134" s="2658"/>
      <c r="D134" s="2658"/>
      <c r="E134" s="103"/>
      <c r="F134" s="1"/>
      <c r="G134" s="82"/>
      <c r="H134" s="1740" t="s">
        <v>2539</v>
      </c>
      <c r="I134" s="40"/>
      <c r="J134" s="82"/>
      <c r="K134" s="1356">
        <f>KW48</f>
        <v>0</v>
      </c>
      <c r="L134" s="1357">
        <f>KX48</f>
        <v>0</v>
      </c>
      <c r="M134" s="1357">
        <f>KY48</f>
        <v>0</v>
      </c>
      <c r="N134" s="1357">
        <f>KZ48</f>
        <v>0</v>
      </c>
      <c r="O134" s="1358">
        <f>LA48</f>
        <v>0</v>
      </c>
      <c r="P134" s="573">
        <f t="shared" si="383"/>
        <v>0</v>
      </c>
      <c r="S134" s="3996"/>
      <c r="T134" s="3997"/>
      <c r="U134" s="3997"/>
      <c r="V134" s="3997"/>
      <c r="W134" s="3998"/>
      <c r="X134" s="445"/>
      <c r="AA134" s="445"/>
      <c r="AB134" s="449"/>
      <c r="AC134" s="445"/>
      <c r="AF134" s="445"/>
      <c r="AG134" s="449"/>
      <c r="AH134" s="445"/>
      <c r="AK134" s="445"/>
      <c r="AL134" s="449"/>
      <c r="AM134" s="445"/>
      <c r="AP134" s="445"/>
      <c r="AQ134" s="449"/>
      <c r="AR134" s="450"/>
      <c r="AS134" s="450"/>
      <c r="AT134" s="450"/>
      <c r="AU134" s="450"/>
      <c r="AV134" s="450"/>
      <c r="AW134" s="450"/>
      <c r="AX134" s="608"/>
      <c r="BB134" s="450"/>
      <c r="BC134" s="608"/>
      <c r="JW134" s="443"/>
      <c r="KB134" s="443"/>
      <c r="KC134" s="443"/>
      <c r="KD134" s="443"/>
      <c r="KE134" s="443"/>
      <c r="KF134" s="443"/>
      <c r="KG134" s="443"/>
      <c r="KH134" s="443"/>
      <c r="KI134" s="443"/>
      <c r="KJ134" s="443"/>
      <c r="KK134" s="443"/>
      <c r="KL134" s="443"/>
      <c r="KM134" s="443"/>
      <c r="KN134" s="443"/>
      <c r="KO134" s="443"/>
      <c r="KP134" s="443"/>
      <c r="KQ134" s="443"/>
      <c r="KR134" s="443"/>
      <c r="KS134" s="443"/>
      <c r="KT134" s="443"/>
      <c r="KU134" s="443"/>
      <c r="KV134" s="443"/>
      <c r="KW134" s="443"/>
      <c r="KX134" s="443"/>
      <c r="KY134" s="443"/>
      <c r="KZ134" s="443"/>
      <c r="LA134" s="443"/>
      <c r="LB134" s="443"/>
      <c r="LC134" s="443"/>
      <c r="LD134" s="443"/>
      <c r="LE134" s="443"/>
      <c r="LF134" s="443"/>
      <c r="LG134" s="443"/>
      <c r="LH134" s="443"/>
      <c r="LI134" s="443"/>
      <c r="LJ134" s="443"/>
      <c r="LK134" s="443"/>
      <c r="LL134" s="443"/>
      <c r="LM134" s="443"/>
      <c r="LN134" s="443"/>
      <c r="LO134" s="443"/>
      <c r="LP134" s="443"/>
      <c r="LQ134" s="443"/>
      <c r="LY134" s="448"/>
      <c r="MN134" s="443"/>
      <c r="MO134" s="443"/>
      <c r="NE134" s="82"/>
      <c r="NF134" s="82"/>
      <c r="NG134" s="82"/>
      <c r="NH134" s="82"/>
      <c r="NI134" s="82"/>
      <c r="NJ134" s="82"/>
      <c r="NK134" s="82"/>
      <c r="NL134" s="82"/>
      <c r="NM134" s="82"/>
      <c r="NN134" s="82"/>
      <c r="NO134" s="82"/>
      <c r="NP134" s="82"/>
      <c r="NQ134" s="82"/>
      <c r="NR134" s="82"/>
      <c r="NS134" s="82"/>
      <c r="NT134" s="82"/>
      <c r="NU134" s="82"/>
      <c r="NV134" s="82"/>
      <c r="NW134" s="82"/>
      <c r="NX134" s="82"/>
      <c r="NY134" s="82"/>
      <c r="NZ134" s="82"/>
      <c r="OA134" s="82"/>
      <c r="OB134" s="82"/>
      <c r="OC134" s="82"/>
      <c r="OD134" s="82"/>
      <c r="OE134" s="82"/>
      <c r="OF134" s="82"/>
      <c r="OG134" s="82"/>
      <c r="OH134" s="82"/>
      <c r="OI134" s="82"/>
      <c r="OJ134" s="82"/>
      <c r="OK134" s="82"/>
      <c r="OL134" s="82"/>
      <c r="OM134" s="82"/>
      <c r="ON134" s="82"/>
      <c r="OO134" s="82"/>
      <c r="OP134" s="82"/>
      <c r="OQ134" s="82"/>
      <c r="OR134" s="82"/>
      <c r="OS134" s="82"/>
      <c r="OT134" s="82"/>
      <c r="OU134" s="82"/>
      <c r="OV134" s="82"/>
      <c r="OW134" s="82"/>
      <c r="OX134" s="82"/>
      <c r="OY134" s="82"/>
      <c r="OZ134" s="82"/>
      <c r="PA134" s="82"/>
      <c r="PB134" s="82"/>
      <c r="PC134" s="82"/>
      <c r="PD134" s="82"/>
      <c r="PE134" s="82"/>
      <c r="PF134" s="82"/>
      <c r="PG134" s="82"/>
      <c r="PH134" s="82"/>
      <c r="PI134" s="82"/>
      <c r="PJ134" s="82"/>
      <c r="PK134" s="82"/>
      <c r="PL134" s="82"/>
      <c r="PM134" s="82"/>
      <c r="PN134" s="82"/>
      <c r="PO134" s="82"/>
      <c r="PP134" s="82"/>
      <c r="PQ134" s="82"/>
      <c r="PR134" s="82"/>
      <c r="PS134" s="82"/>
      <c r="PT134" s="82"/>
      <c r="PU134" s="82"/>
      <c r="PV134" s="82"/>
      <c r="PW134" s="82"/>
      <c r="PX134" s="82"/>
      <c r="PY134" s="82"/>
      <c r="PZ134" s="82"/>
      <c r="QA134" s="82"/>
      <c r="QB134" s="82"/>
      <c r="QC134" s="82"/>
      <c r="QD134" s="82"/>
      <c r="QE134" s="82"/>
      <c r="QF134" s="82"/>
      <c r="QG134" s="82"/>
      <c r="QH134" s="82"/>
      <c r="QI134" s="82"/>
      <c r="QJ134" s="82"/>
      <c r="QK134" s="82"/>
      <c r="QL134" s="82"/>
      <c r="QM134" s="82"/>
      <c r="QN134" s="82"/>
      <c r="QO134" s="82"/>
      <c r="QP134" s="82"/>
      <c r="QQ134" s="82"/>
      <c r="QR134" s="82"/>
      <c r="QS134" s="82"/>
      <c r="QT134" s="82"/>
      <c r="QU134" s="82"/>
      <c r="QV134" s="82"/>
      <c r="QW134" s="82"/>
      <c r="QX134" s="82"/>
      <c r="QY134" s="82"/>
      <c r="QZ134" s="82"/>
      <c r="RA134" s="82"/>
      <c r="RB134" s="82"/>
      <c r="RC134" s="82"/>
      <c r="RD134" s="82"/>
      <c r="RE134" s="82"/>
      <c r="RF134" s="82"/>
      <c r="RG134" s="82"/>
      <c r="RH134" s="82"/>
      <c r="RI134" s="82"/>
      <c r="RJ134" s="82"/>
      <c r="RK134" s="82"/>
      <c r="RL134" s="82"/>
      <c r="RM134" s="82"/>
      <c r="RN134" s="82"/>
      <c r="RO134" s="82"/>
      <c r="RP134" s="82"/>
      <c r="RQ134" s="82"/>
      <c r="RR134" s="82"/>
      <c r="RS134" s="82"/>
      <c r="RT134" s="82"/>
      <c r="RU134" s="82"/>
      <c r="RV134" s="82"/>
      <c r="RW134" s="82"/>
      <c r="RX134" s="82"/>
      <c r="RY134" s="82"/>
      <c r="RZ134" s="82"/>
      <c r="SA134" s="82"/>
      <c r="SB134" s="82"/>
      <c r="SC134" s="82"/>
      <c r="SD134" s="82"/>
      <c r="SE134" s="82"/>
      <c r="SF134" s="82"/>
      <c r="SG134" s="82"/>
      <c r="SH134" s="82"/>
      <c r="SI134" s="82"/>
    </row>
    <row r="135" spans="3:503" ht="14.25" customHeight="1">
      <c r="C135" s="2658"/>
      <c r="D135" s="2658"/>
      <c r="E135" s="103"/>
      <c r="F135" s="1"/>
      <c r="G135" s="82"/>
      <c r="H135" s="1757" t="s">
        <v>3251</v>
      </c>
      <c r="I135" s="852"/>
      <c r="J135" s="82"/>
      <c r="K135" s="1377">
        <f>LB48</f>
        <v>0</v>
      </c>
      <c r="L135" s="1378">
        <f>LC48</f>
        <v>0</v>
      </c>
      <c r="M135" s="1378">
        <f>LD48</f>
        <v>0</v>
      </c>
      <c r="N135" s="1378">
        <f>LE48</f>
        <v>0</v>
      </c>
      <c r="O135" s="1379">
        <f>LF48</f>
        <v>0</v>
      </c>
      <c r="P135" s="914">
        <f t="shared" si="383"/>
        <v>0</v>
      </c>
      <c r="S135" s="3996"/>
      <c r="T135" s="3997"/>
      <c r="U135" s="3997"/>
      <c r="V135" s="3997"/>
      <c r="W135" s="3998"/>
      <c r="X135" s="445"/>
      <c r="AA135" s="445"/>
      <c r="AB135" s="449"/>
      <c r="AC135" s="445"/>
      <c r="AF135" s="445"/>
      <c r="AG135" s="449"/>
      <c r="AH135" s="445"/>
      <c r="AK135" s="445"/>
      <c r="AL135" s="449"/>
      <c r="AM135" s="445"/>
      <c r="AP135" s="445"/>
      <c r="AQ135" s="449"/>
      <c r="AR135" s="450"/>
      <c r="AS135" s="450"/>
      <c r="AT135" s="450"/>
      <c r="AU135" s="450"/>
      <c r="AV135" s="450"/>
      <c r="AW135" s="450"/>
      <c r="AX135" s="608"/>
      <c r="BB135" s="450"/>
      <c r="BC135" s="608"/>
      <c r="JW135" s="443"/>
      <c r="KB135" s="443"/>
      <c r="KC135" s="443"/>
      <c r="KD135" s="443"/>
      <c r="KE135" s="443"/>
      <c r="KF135" s="443"/>
      <c r="KG135" s="443"/>
      <c r="KH135" s="443"/>
      <c r="KI135" s="443"/>
      <c r="KJ135" s="443"/>
      <c r="KK135" s="443"/>
      <c r="KL135" s="443"/>
      <c r="KM135" s="443"/>
      <c r="KN135" s="443"/>
      <c r="KO135" s="443"/>
      <c r="KP135" s="443"/>
      <c r="KQ135" s="443"/>
      <c r="KR135" s="443"/>
      <c r="KS135" s="443"/>
      <c r="KT135" s="443"/>
      <c r="KU135" s="443"/>
      <c r="KV135" s="443"/>
      <c r="KW135" s="443"/>
      <c r="KX135" s="443"/>
      <c r="KY135" s="443"/>
      <c r="KZ135" s="443"/>
      <c r="LA135" s="443"/>
      <c r="LB135" s="443"/>
      <c r="LC135" s="443"/>
      <c r="LD135" s="443"/>
      <c r="LE135" s="443"/>
      <c r="LF135" s="443"/>
      <c r="LG135" s="443"/>
      <c r="LH135" s="443"/>
      <c r="LI135" s="443"/>
      <c r="LJ135" s="443"/>
      <c r="LK135" s="443"/>
      <c r="LL135" s="443"/>
      <c r="LM135" s="443"/>
      <c r="LN135" s="443"/>
      <c r="LO135" s="443"/>
      <c r="LP135" s="443"/>
      <c r="LQ135" s="443"/>
      <c r="LY135" s="448"/>
      <c r="MN135" s="443"/>
      <c r="MO135" s="443"/>
      <c r="NE135" s="82"/>
      <c r="NF135" s="82"/>
      <c r="NG135" s="82"/>
      <c r="NH135" s="82"/>
      <c r="NI135" s="82"/>
      <c r="NJ135" s="82"/>
      <c r="NK135" s="82"/>
      <c r="NL135" s="82"/>
      <c r="NM135" s="82"/>
      <c r="NN135" s="82"/>
      <c r="NO135" s="82"/>
      <c r="NP135" s="82"/>
      <c r="NQ135" s="82"/>
      <c r="NR135" s="82"/>
      <c r="NS135" s="82"/>
      <c r="NT135" s="82"/>
      <c r="NU135" s="82"/>
      <c r="NV135" s="82"/>
      <c r="NW135" s="82"/>
      <c r="NX135" s="82"/>
      <c r="NY135" s="82"/>
      <c r="NZ135" s="82"/>
      <c r="OA135" s="82"/>
      <c r="OB135" s="82"/>
      <c r="OC135" s="82"/>
      <c r="OD135" s="82"/>
      <c r="OE135" s="82"/>
      <c r="OF135" s="82"/>
      <c r="OG135" s="82"/>
      <c r="OH135" s="82"/>
      <c r="OI135" s="82"/>
      <c r="OJ135" s="82"/>
      <c r="OK135" s="82"/>
      <c r="OL135" s="82"/>
      <c r="OM135" s="82"/>
      <c r="ON135" s="82"/>
      <c r="OO135" s="82"/>
      <c r="OP135" s="82"/>
      <c r="OQ135" s="82"/>
      <c r="OR135" s="82"/>
      <c r="OS135" s="82"/>
      <c r="OT135" s="82"/>
      <c r="OU135" s="82"/>
      <c r="OV135" s="82"/>
      <c r="OW135" s="82"/>
      <c r="OX135" s="82"/>
      <c r="OY135" s="82"/>
      <c r="OZ135" s="82"/>
      <c r="PA135" s="82"/>
      <c r="PB135" s="82"/>
      <c r="PC135" s="82"/>
      <c r="PD135" s="82"/>
      <c r="PE135" s="82"/>
      <c r="PF135" s="82"/>
      <c r="PG135" s="82"/>
      <c r="PH135" s="82"/>
      <c r="PI135" s="82"/>
      <c r="PJ135" s="82"/>
      <c r="PK135" s="82"/>
      <c r="PL135" s="82"/>
      <c r="PM135" s="82"/>
      <c r="PN135" s="82"/>
      <c r="PO135" s="82"/>
      <c r="PP135" s="82"/>
      <c r="PQ135" s="82"/>
      <c r="PR135" s="82"/>
      <c r="PS135" s="82"/>
      <c r="PT135" s="82"/>
      <c r="PU135" s="82"/>
      <c r="PV135" s="82"/>
      <c r="PW135" s="82"/>
      <c r="PX135" s="82"/>
      <c r="PY135" s="82"/>
      <c r="PZ135" s="82"/>
      <c r="QA135" s="82"/>
      <c r="QB135" s="82"/>
      <c r="QC135" s="82"/>
      <c r="QD135" s="82"/>
      <c r="QE135" s="82"/>
      <c r="QF135" s="82"/>
      <c r="QG135" s="82"/>
      <c r="QH135" s="82"/>
      <c r="QI135" s="82"/>
      <c r="QJ135" s="82"/>
      <c r="QK135" s="82"/>
      <c r="QL135" s="82"/>
      <c r="QM135" s="82"/>
      <c r="QN135" s="82"/>
      <c r="QO135" s="82"/>
      <c r="QP135" s="82"/>
      <c r="QQ135" s="82"/>
      <c r="QR135" s="82"/>
      <c r="QS135" s="82"/>
      <c r="QT135" s="82"/>
      <c r="QU135" s="82"/>
      <c r="QV135" s="82"/>
      <c r="QW135" s="82"/>
      <c r="QX135" s="82"/>
      <c r="QY135" s="82"/>
      <c r="QZ135" s="82"/>
      <c r="RA135" s="82"/>
      <c r="RB135" s="82"/>
      <c r="RC135" s="82"/>
      <c r="RD135" s="82"/>
      <c r="RE135" s="82"/>
      <c r="RF135" s="82"/>
      <c r="RG135" s="82"/>
      <c r="RH135" s="82"/>
      <c r="RI135" s="82"/>
      <c r="RJ135" s="82"/>
      <c r="RK135" s="82"/>
      <c r="RL135" s="82"/>
      <c r="RM135" s="82"/>
      <c r="RN135" s="82"/>
      <c r="RO135" s="82"/>
      <c r="RP135" s="82"/>
      <c r="RQ135" s="82"/>
      <c r="RR135" s="82"/>
      <c r="RS135" s="82"/>
      <c r="RT135" s="82"/>
      <c r="RU135" s="82"/>
      <c r="RV135" s="82"/>
      <c r="RW135" s="82"/>
      <c r="RX135" s="82"/>
      <c r="RY135" s="82"/>
      <c r="RZ135" s="82"/>
      <c r="SA135" s="82"/>
      <c r="SB135" s="82"/>
      <c r="SC135" s="82"/>
      <c r="SD135" s="82"/>
      <c r="SE135" s="82"/>
      <c r="SF135" s="82"/>
      <c r="SG135" s="82"/>
      <c r="SH135" s="82"/>
      <c r="SI135" s="82"/>
    </row>
    <row r="136" spans="3:503" ht="14.25" customHeight="1">
      <c r="C136" s="2375"/>
      <c r="D136" s="2375"/>
      <c r="E136" s="103"/>
      <c r="F136" s="1"/>
      <c r="G136" s="82"/>
      <c r="H136" s="1740" t="s">
        <v>4796</v>
      </c>
      <c r="I136" s="40"/>
      <c r="J136" s="82"/>
      <c r="K136" s="1380">
        <f>LG48</f>
        <v>0</v>
      </c>
      <c r="L136" s="1381">
        <f>LH48</f>
        <v>20</v>
      </c>
      <c r="M136" s="1381">
        <f>LI48</f>
        <v>52</v>
      </c>
      <c r="N136" s="1381">
        <f>LJ48</f>
        <v>0</v>
      </c>
      <c r="O136" s="1382">
        <f>LK48</f>
        <v>0</v>
      </c>
      <c r="P136" s="573">
        <f t="shared" ref="P136:P137" si="384">SUM(K136:O136)</f>
        <v>72</v>
      </c>
      <c r="S136" s="3996"/>
      <c r="T136" s="3997"/>
      <c r="U136" s="3997"/>
      <c r="V136" s="3997"/>
      <c r="W136" s="3998"/>
      <c r="X136" s="445"/>
      <c r="AA136" s="445"/>
      <c r="AB136" s="449"/>
      <c r="AC136" s="445"/>
      <c r="AF136" s="445"/>
      <c r="AG136" s="449"/>
      <c r="AH136" s="445"/>
      <c r="AK136" s="445"/>
      <c r="AL136" s="449"/>
      <c r="AM136" s="445"/>
      <c r="AP136" s="445"/>
      <c r="AQ136" s="449"/>
      <c r="AR136" s="450"/>
      <c r="AS136" s="450"/>
      <c r="AT136" s="450"/>
      <c r="AU136" s="450"/>
      <c r="AV136" s="450"/>
      <c r="AW136" s="450"/>
      <c r="AX136" s="608"/>
      <c r="BB136" s="450"/>
      <c r="BC136" s="608"/>
      <c r="JW136" s="443"/>
      <c r="KB136" s="443"/>
      <c r="KC136" s="443"/>
      <c r="KD136" s="443"/>
      <c r="KE136" s="443"/>
      <c r="KF136" s="443"/>
      <c r="KG136" s="443"/>
      <c r="KH136" s="443"/>
      <c r="KI136" s="443"/>
      <c r="KJ136" s="443"/>
      <c r="KK136" s="443"/>
      <c r="KL136" s="443"/>
      <c r="KM136" s="443"/>
      <c r="KN136" s="443"/>
      <c r="KO136" s="443"/>
      <c r="KP136" s="443"/>
      <c r="KQ136" s="443"/>
      <c r="KR136" s="443"/>
      <c r="KS136" s="443"/>
      <c r="KT136" s="443"/>
      <c r="KU136" s="443"/>
      <c r="KV136" s="443"/>
      <c r="KW136" s="443"/>
      <c r="KX136" s="443"/>
      <c r="KY136" s="443"/>
      <c r="KZ136" s="443"/>
      <c r="LA136" s="443"/>
      <c r="LB136" s="443"/>
      <c r="LC136" s="443"/>
      <c r="LD136" s="443"/>
      <c r="LE136" s="443"/>
      <c r="LF136" s="443"/>
      <c r="LG136" s="443"/>
      <c r="LH136" s="443"/>
      <c r="LI136" s="443"/>
      <c r="LJ136" s="443"/>
      <c r="LK136" s="443"/>
      <c r="LL136" s="443"/>
      <c r="LM136" s="443"/>
      <c r="LN136" s="443"/>
      <c r="LO136" s="443"/>
      <c r="LP136" s="443"/>
      <c r="LQ136" s="443"/>
      <c r="LY136" s="448"/>
      <c r="MN136" s="443"/>
      <c r="MO136" s="443"/>
      <c r="NE136" s="82"/>
      <c r="NF136" s="82"/>
      <c r="NG136" s="82"/>
      <c r="NH136" s="82"/>
      <c r="NI136" s="82"/>
      <c r="NJ136" s="82"/>
      <c r="NK136" s="82"/>
      <c r="NL136" s="82"/>
      <c r="NM136" s="82"/>
      <c r="NN136" s="82"/>
      <c r="NO136" s="82"/>
      <c r="NP136" s="82"/>
      <c r="NQ136" s="82"/>
      <c r="NR136" s="82"/>
      <c r="NS136" s="82"/>
      <c r="NT136" s="82"/>
      <c r="NU136" s="82"/>
      <c r="NV136" s="82"/>
      <c r="NW136" s="82"/>
      <c r="NX136" s="82"/>
      <c r="NY136" s="82"/>
      <c r="NZ136" s="82"/>
      <c r="OA136" s="82"/>
      <c r="OB136" s="82"/>
      <c r="OC136" s="82"/>
      <c r="OD136" s="82"/>
      <c r="OE136" s="82"/>
      <c r="OF136" s="82"/>
      <c r="OG136" s="82"/>
      <c r="OH136" s="82"/>
      <c r="OI136" s="82"/>
      <c r="OJ136" s="82"/>
      <c r="OK136" s="82"/>
      <c r="OL136" s="82"/>
      <c r="OM136" s="82"/>
      <c r="ON136" s="82"/>
      <c r="OO136" s="82"/>
      <c r="OP136" s="82"/>
      <c r="OQ136" s="82"/>
      <c r="OR136" s="82"/>
      <c r="OS136" s="82"/>
      <c r="OT136" s="82"/>
      <c r="OU136" s="82"/>
      <c r="OV136" s="82"/>
      <c r="OW136" s="82"/>
      <c r="OX136" s="82"/>
      <c r="OY136" s="82"/>
      <c r="OZ136" s="82"/>
      <c r="PA136" s="82"/>
      <c r="PB136" s="82"/>
      <c r="PC136" s="82"/>
      <c r="PD136" s="82"/>
      <c r="PE136" s="82"/>
      <c r="PF136" s="82"/>
      <c r="PG136" s="82"/>
      <c r="PH136" s="82"/>
      <c r="PI136" s="82"/>
      <c r="PJ136" s="82"/>
      <c r="PK136" s="82"/>
      <c r="PL136" s="82"/>
      <c r="PM136" s="82"/>
      <c r="PN136" s="82"/>
      <c r="PO136" s="82"/>
      <c r="PP136" s="82"/>
      <c r="PQ136" s="82"/>
      <c r="PR136" s="82"/>
      <c r="PS136" s="82"/>
      <c r="PT136" s="82"/>
      <c r="PU136" s="82"/>
      <c r="PV136" s="82"/>
      <c r="PW136" s="82"/>
      <c r="PX136" s="82"/>
      <c r="PY136" s="82"/>
      <c r="PZ136" s="82"/>
      <c r="QA136" s="82"/>
      <c r="QB136" s="82"/>
      <c r="QC136" s="82"/>
      <c r="QD136" s="82"/>
      <c r="QE136" s="82"/>
      <c r="QF136" s="82"/>
      <c r="QG136" s="82"/>
      <c r="QH136" s="82"/>
      <c r="QI136" s="82"/>
      <c r="QJ136" s="82"/>
      <c r="QK136" s="82"/>
      <c r="QL136" s="82"/>
      <c r="QM136" s="82"/>
      <c r="QN136" s="82"/>
      <c r="QO136" s="82"/>
      <c r="QP136" s="82"/>
      <c r="QQ136" s="82"/>
      <c r="QR136" s="82"/>
      <c r="QS136" s="82"/>
      <c r="QT136" s="82"/>
      <c r="QU136" s="82"/>
      <c r="QV136" s="82"/>
      <c r="QW136" s="82"/>
      <c r="QX136" s="82"/>
      <c r="QY136" s="82"/>
      <c r="QZ136" s="82"/>
      <c r="RA136" s="82"/>
      <c r="RB136" s="82"/>
      <c r="RC136" s="82"/>
      <c r="RD136" s="82"/>
      <c r="RE136" s="82"/>
      <c r="RF136" s="82"/>
      <c r="RG136" s="82"/>
      <c r="RH136" s="82"/>
      <c r="RI136" s="82"/>
      <c r="RJ136" s="82"/>
      <c r="RK136" s="82"/>
      <c r="RL136" s="82"/>
      <c r="RM136" s="82"/>
      <c r="RN136" s="82"/>
      <c r="RO136" s="82"/>
      <c r="RP136" s="82"/>
      <c r="RQ136" s="82"/>
      <c r="RR136" s="82"/>
      <c r="RS136" s="82"/>
      <c r="RT136" s="82"/>
      <c r="RU136" s="82"/>
      <c r="RV136" s="82"/>
      <c r="RW136" s="82"/>
      <c r="RX136" s="82"/>
      <c r="RY136" s="82"/>
      <c r="RZ136" s="82"/>
      <c r="SA136" s="82"/>
      <c r="SB136" s="82"/>
      <c r="SC136" s="82"/>
      <c r="SD136" s="82"/>
      <c r="SE136" s="82"/>
      <c r="SF136" s="82"/>
      <c r="SG136" s="82"/>
      <c r="SH136" s="82"/>
      <c r="SI136" s="82"/>
    </row>
    <row r="137" spans="3:503" ht="14.25" customHeight="1">
      <c r="C137" s="2375"/>
      <c r="D137" s="2375"/>
      <c r="E137" s="103"/>
      <c r="F137" s="1"/>
      <c r="G137" s="82"/>
      <c r="H137" s="1757" t="s">
        <v>3251</v>
      </c>
      <c r="I137" s="852"/>
      <c r="J137" s="82"/>
      <c r="K137" s="1356">
        <f>LL48</f>
        <v>0</v>
      </c>
      <c r="L137" s="1357">
        <f>LM48</f>
        <v>0</v>
      </c>
      <c r="M137" s="1357">
        <f>LN48</f>
        <v>0</v>
      </c>
      <c r="N137" s="1357">
        <f>LO48</f>
        <v>0</v>
      </c>
      <c r="O137" s="1358">
        <f>LP48</f>
        <v>0</v>
      </c>
      <c r="P137" s="914">
        <f t="shared" si="384"/>
        <v>0</v>
      </c>
      <c r="S137" s="3996"/>
      <c r="T137" s="3997"/>
      <c r="U137" s="3997"/>
      <c r="V137" s="3997"/>
      <c r="W137" s="3998"/>
      <c r="X137" s="445"/>
      <c r="AA137" s="445"/>
      <c r="AB137" s="449"/>
      <c r="AC137" s="445"/>
      <c r="AF137" s="445"/>
      <c r="AG137" s="449"/>
      <c r="AH137" s="445"/>
      <c r="AK137" s="445"/>
      <c r="AL137" s="449"/>
      <c r="AM137" s="445"/>
      <c r="AP137" s="445"/>
      <c r="AQ137" s="449"/>
      <c r="AR137" s="450"/>
      <c r="AS137" s="450"/>
      <c r="AT137" s="450"/>
      <c r="AU137" s="450"/>
      <c r="AV137" s="450"/>
      <c r="AW137" s="450"/>
      <c r="AX137" s="608"/>
      <c r="BB137" s="450"/>
      <c r="BC137" s="608"/>
      <c r="JW137" s="443"/>
      <c r="KB137" s="443"/>
      <c r="KC137" s="443"/>
      <c r="KD137" s="443"/>
      <c r="KE137" s="443"/>
      <c r="KF137" s="443"/>
      <c r="KG137" s="443"/>
      <c r="KH137" s="443"/>
      <c r="KI137" s="443"/>
      <c r="KJ137" s="443"/>
      <c r="KK137" s="443"/>
      <c r="KL137" s="443"/>
      <c r="KM137" s="443"/>
      <c r="KN137" s="443"/>
      <c r="KO137" s="443"/>
      <c r="KP137" s="443"/>
      <c r="KQ137" s="443"/>
      <c r="KR137" s="443"/>
      <c r="KS137" s="443"/>
      <c r="KT137" s="443"/>
      <c r="KU137" s="443"/>
      <c r="KV137" s="443"/>
      <c r="KW137" s="443"/>
      <c r="KX137" s="443"/>
      <c r="KY137" s="443"/>
      <c r="KZ137" s="443"/>
      <c r="LA137" s="443"/>
      <c r="LB137" s="443"/>
      <c r="LC137" s="443"/>
      <c r="LD137" s="443"/>
      <c r="LE137" s="443"/>
      <c r="LF137" s="443"/>
      <c r="LG137" s="443"/>
      <c r="LH137" s="443"/>
      <c r="LI137" s="443"/>
      <c r="LJ137" s="443"/>
      <c r="LK137" s="443"/>
      <c r="LL137" s="443"/>
      <c r="LM137" s="443"/>
      <c r="LN137" s="443"/>
      <c r="LO137" s="443"/>
      <c r="LP137" s="443"/>
      <c r="LQ137" s="443"/>
      <c r="LY137" s="448"/>
      <c r="MN137" s="443"/>
      <c r="MO137" s="443"/>
      <c r="NE137" s="82"/>
      <c r="NF137" s="82"/>
      <c r="NG137" s="82"/>
      <c r="NH137" s="82"/>
      <c r="NI137" s="82"/>
      <c r="NJ137" s="82"/>
      <c r="NK137" s="82"/>
      <c r="NL137" s="82"/>
      <c r="NM137" s="82"/>
      <c r="NN137" s="82"/>
      <c r="NO137" s="82"/>
      <c r="NP137" s="82"/>
      <c r="NQ137" s="82"/>
      <c r="NR137" s="82"/>
      <c r="NS137" s="82"/>
      <c r="NT137" s="82"/>
      <c r="NU137" s="82"/>
      <c r="NV137" s="82"/>
      <c r="NW137" s="82"/>
      <c r="NX137" s="82"/>
      <c r="NY137" s="82"/>
      <c r="NZ137" s="82"/>
      <c r="OA137" s="82"/>
      <c r="OB137" s="82"/>
      <c r="OC137" s="82"/>
      <c r="OD137" s="82"/>
      <c r="OE137" s="82"/>
      <c r="OF137" s="82"/>
      <c r="OG137" s="82"/>
      <c r="OH137" s="82"/>
      <c r="OI137" s="82"/>
      <c r="OJ137" s="82"/>
      <c r="OK137" s="82"/>
      <c r="OL137" s="82"/>
      <c r="OM137" s="82"/>
      <c r="ON137" s="82"/>
      <c r="OO137" s="82"/>
      <c r="OP137" s="82"/>
      <c r="OQ137" s="82"/>
      <c r="OR137" s="82"/>
      <c r="OS137" s="82"/>
      <c r="OT137" s="82"/>
      <c r="OU137" s="82"/>
      <c r="OV137" s="82"/>
      <c r="OW137" s="82"/>
      <c r="OX137" s="82"/>
      <c r="OY137" s="82"/>
      <c r="OZ137" s="82"/>
      <c r="PA137" s="82"/>
      <c r="PB137" s="82"/>
      <c r="PC137" s="82"/>
      <c r="PD137" s="82"/>
      <c r="PE137" s="82"/>
      <c r="PF137" s="82"/>
      <c r="PG137" s="82"/>
      <c r="PH137" s="82"/>
      <c r="PI137" s="82"/>
      <c r="PJ137" s="82"/>
      <c r="PK137" s="82"/>
      <c r="PL137" s="82"/>
      <c r="PM137" s="82"/>
      <c r="PN137" s="82"/>
      <c r="PO137" s="82"/>
      <c r="PP137" s="82"/>
      <c r="PQ137" s="82"/>
      <c r="PR137" s="82"/>
      <c r="PS137" s="82"/>
      <c r="PT137" s="82"/>
      <c r="PU137" s="82"/>
      <c r="PV137" s="82"/>
      <c r="PW137" s="82"/>
      <c r="PX137" s="82"/>
      <c r="PY137" s="82"/>
      <c r="PZ137" s="82"/>
      <c r="QA137" s="82"/>
      <c r="QB137" s="82"/>
      <c r="QC137" s="82"/>
      <c r="QD137" s="82"/>
      <c r="QE137" s="82"/>
      <c r="QF137" s="82"/>
      <c r="QG137" s="82"/>
      <c r="QH137" s="82"/>
      <c r="QI137" s="82"/>
      <c r="QJ137" s="82"/>
      <c r="QK137" s="82"/>
      <c r="QL137" s="82"/>
      <c r="QM137" s="82"/>
      <c r="QN137" s="82"/>
      <c r="QO137" s="82"/>
      <c r="QP137" s="82"/>
      <c r="QQ137" s="82"/>
      <c r="QR137" s="82"/>
      <c r="QS137" s="82"/>
      <c r="QT137" s="82"/>
      <c r="QU137" s="82"/>
      <c r="QV137" s="82"/>
      <c r="QW137" s="82"/>
      <c r="QX137" s="82"/>
      <c r="QY137" s="82"/>
      <c r="QZ137" s="82"/>
      <c r="RA137" s="82"/>
      <c r="RB137" s="82"/>
      <c r="RC137" s="82"/>
      <c r="RD137" s="82"/>
      <c r="RE137" s="82"/>
      <c r="RF137" s="82"/>
      <c r="RG137" s="82"/>
      <c r="RH137" s="82"/>
      <c r="RI137" s="82"/>
      <c r="RJ137" s="82"/>
      <c r="RK137" s="82"/>
      <c r="RL137" s="82"/>
      <c r="RM137" s="82"/>
      <c r="RN137" s="82"/>
      <c r="RO137" s="82"/>
      <c r="RP137" s="82"/>
      <c r="RQ137" s="82"/>
      <c r="RR137" s="82"/>
      <c r="RS137" s="82"/>
      <c r="RT137" s="82"/>
      <c r="RU137" s="82"/>
      <c r="RV137" s="82"/>
      <c r="RW137" s="82"/>
      <c r="RX137" s="82"/>
      <c r="RY137" s="82"/>
      <c r="RZ137" s="82"/>
      <c r="SA137" s="82"/>
      <c r="SB137" s="82"/>
      <c r="SC137" s="82"/>
      <c r="SD137" s="82"/>
      <c r="SE137" s="82"/>
      <c r="SF137" s="82"/>
      <c r="SG137" s="82"/>
      <c r="SH137" s="82"/>
      <c r="SI137" s="82"/>
    </row>
    <row r="138" spans="3:503" ht="14.25" customHeight="1">
      <c r="C138" s="147"/>
      <c r="D138" s="147"/>
      <c r="E138" s="103" t="s">
        <v>38</v>
      </c>
      <c r="F138" s="1"/>
      <c r="G138" s="82"/>
      <c r="H138" s="1740"/>
      <c r="I138" s="40"/>
      <c r="J138" s="82"/>
      <c r="K138" s="1353">
        <f>IE48</f>
        <v>0</v>
      </c>
      <c r="L138" s="1354">
        <f>IF48</f>
        <v>0</v>
      </c>
      <c r="M138" s="1354">
        <f>IG48</f>
        <v>0</v>
      </c>
      <c r="N138" s="1354">
        <f>IH48</f>
        <v>0</v>
      </c>
      <c r="O138" s="1355">
        <f>II48</f>
        <v>0</v>
      </c>
      <c r="P138" s="919">
        <f t="shared" si="383"/>
        <v>0</v>
      </c>
      <c r="S138" s="3996"/>
      <c r="T138" s="3997"/>
      <c r="U138" s="3997"/>
      <c r="V138" s="3997"/>
      <c r="W138" s="3998"/>
      <c r="X138" s="445"/>
      <c r="AA138" s="445"/>
      <c r="AB138" s="449"/>
      <c r="AC138" s="445"/>
      <c r="AF138" s="445"/>
      <c r="AG138" s="449"/>
      <c r="AH138" s="445"/>
      <c r="AK138" s="445"/>
      <c r="AL138" s="449"/>
      <c r="AM138" s="445"/>
      <c r="AP138" s="445"/>
      <c r="AQ138" s="449"/>
      <c r="AR138" s="450"/>
      <c r="AS138" s="450"/>
      <c r="AT138" s="450"/>
      <c r="AU138" s="450"/>
      <c r="AV138" s="450"/>
      <c r="AW138" s="450"/>
      <c r="AX138" s="1006"/>
      <c r="AY138" s="445"/>
      <c r="BB138" s="450"/>
      <c r="BC138" s="1006"/>
      <c r="BD138" s="445"/>
      <c r="LY138" s="448"/>
      <c r="MN138" s="443"/>
      <c r="MO138" s="443"/>
      <c r="NE138" s="82"/>
      <c r="NF138" s="82"/>
      <c r="NG138" s="82"/>
      <c r="NH138" s="82"/>
      <c r="NI138" s="82"/>
      <c r="NJ138" s="82"/>
      <c r="NK138" s="82"/>
      <c r="NL138" s="82"/>
      <c r="NM138" s="82"/>
      <c r="NN138" s="82"/>
      <c r="NO138" s="82"/>
      <c r="NP138" s="82"/>
      <c r="NQ138" s="82"/>
      <c r="NR138" s="82"/>
      <c r="NS138" s="82"/>
      <c r="NT138" s="82"/>
      <c r="NU138" s="82"/>
      <c r="NV138" s="82"/>
      <c r="NW138" s="82"/>
      <c r="NX138" s="82"/>
      <c r="NY138" s="82"/>
      <c r="NZ138" s="82"/>
      <c r="OA138" s="82"/>
      <c r="OB138" s="82"/>
      <c r="OC138" s="82"/>
      <c r="OD138" s="82"/>
      <c r="OE138" s="82"/>
      <c r="OF138" s="82"/>
      <c r="OG138" s="82"/>
      <c r="OH138" s="82"/>
      <c r="OI138" s="82"/>
      <c r="OJ138" s="82"/>
      <c r="OK138" s="82"/>
      <c r="OL138" s="82"/>
      <c r="OM138" s="82"/>
      <c r="ON138" s="82"/>
      <c r="OO138" s="82"/>
      <c r="OP138" s="82"/>
      <c r="OQ138" s="82"/>
      <c r="OR138" s="82"/>
      <c r="OS138" s="82"/>
      <c r="OT138" s="82"/>
      <c r="OU138" s="82"/>
      <c r="OV138" s="82"/>
      <c r="OW138" s="82"/>
      <c r="OX138" s="82"/>
      <c r="OY138" s="82"/>
      <c r="OZ138" s="82"/>
      <c r="PA138" s="82"/>
      <c r="PB138" s="82"/>
      <c r="PC138" s="82"/>
      <c r="PD138" s="82"/>
      <c r="PE138" s="82"/>
      <c r="PF138" s="82"/>
      <c r="PG138" s="82"/>
      <c r="PH138" s="82"/>
      <c r="PI138" s="82"/>
      <c r="PJ138" s="82"/>
      <c r="PK138" s="82"/>
      <c r="PL138" s="82"/>
      <c r="PM138" s="82"/>
      <c r="PN138" s="82"/>
      <c r="PO138" s="82"/>
      <c r="PP138" s="82"/>
      <c r="PQ138" s="82"/>
      <c r="PR138" s="82"/>
      <c r="PS138" s="82"/>
      <c r="PT138" s="82"/>
      <c r="PU138" s="82"/>
      <c r="PV138" s="82"/>
      <c r="PW138" s="82"/>
      <c r="PX138" s="82"/>
      <c r="PY138" s="82"/>
      <c r="PZ138" s="82"/>
      <c r="QA138" s="82"/>
      <c r="QB138" s="82"/>
      <c r="QC138" s="82"/>
      <c r="QD138" s="82"/>
      <c r="QE138" s="82"/>
      <c r="QF138" s="82"/>
      <c r="QG138" s="82"/>
      <c r="QH138" s="82"/>
      <c r="QI138" s="82"/>
      <c r="QJ138" s="82"/>
      <c r="QK138" s="82"/>
      <c r="QL138" s="82"/>
      <c r="QM138" s="82"/>
      <c r="QN138" s="82"/>
      <c r="QO138" s="82"/>
      <c r="QP138" s="82"/>
      <c r="QQ138" s="82"/>
      <c r="QR138" s="82"/>
      <c r="QS138" s="82"/>
      <c r="QT138" s="82"/>
      <c r="QU138" s="82"/>
      <c r="QV138" s="82"/>
      <c r="QW138" s="82"/>
      <c r="QX138" s="82"/>
      <c r="QY138" s="82"/>
      <c r="QZ138" s="82"/>
      <c r="RA138" s="82"/>
      <c r="RB138" s="82"/>
      <c r="RC138" s="82"/>
      <c r="RD138" s="82"/>
      <c r="RE138" s="82"/>
      <c r="RF138" s="82"/>
      <c r="RG138" s="82"/>
      <c r="RH138" s="82"/>
      <c r="RI138" s="82"/>
      <c r="RJ138" s="82"/>
      <c r="RK138" s="82"/>
      <c r="RL138" s="82"/>
      <c r="RM138" s="82"/>
      <c r="RN138" s="82"/>
      <c r="RO138" s="82"/>
      <c r="RP138" s="82"/>
      <c r="RQ138" s="82"/>
      <c r="RR138" s="82"/>
      <c r="RS138" s="82"/>
      <c r="RT138" s="82"/>
      <c r="RU138" s="82"/>
      <c r="RV138" s="82"/>
      <c r="RW138" s="82"/>
      <c r="RX138" s="82"/>
      <c r="RY138" s="82"/>
      <c r="RZ138" s="82"/>
      <c r="SA138" s="82"/>
      <c r="SB138" s="82"/>
      <c r="SC138" s="82"/>
      <c r="SD138" s="82"/>
      <c r="SE138" s="82"/>
      <c r="SF138" s="82"/>
      <c r="SG138" s="82"/>
      <c r="SH138" s="82"/>
      <c r="SI138" s="82"/>
    </row>
    <row r="139" spans="3:503" ht="14.25" customHeight="1">
      <c r="C139" s="147"/>
      <c r="D139" s="147"/>
      <c r="E139" s="103"/>
      <c r="F139" s="1"/>
      <c r="G139" s="82"/>
      <c r="H139" s="1757" t="s">
        <v>3251</v>
      </c>
      <c r="I139" s="852"/>
      <c r="J139" s="82"/>
      <c r="K139" s="1377">
        <f>IJ48</f>
        <v>0</v>
      </c>
      <c r="L139" s="1378">
        <f>IK48</f>
        <v>0</v>
      </c>
      <c r="M139" s="1378">
        <f>IL48</f>
        <v>0</v>
      </c>
      <c r="N139" s="1378">
        <f>IM48</f>
        <v>0</v>
      </c>
      <c r="O139" s="1379">
        <f>IN48</f>
        <v>0</v>
      </c>
      <c r="P139" s="572">
        <f t="shared" si="383"/>
        <v>0</v>
      </c>
      <c r="S139" s="3996"/>
      <c r="T139" s="3997"/>
      <c r="U139" s="3997"/>
      <c r="V139" s="3997"/>
      <c r="W139" s="3998"/>
      <c r="X139" s="445"/>
      <c r="AA139" s="445"/>
      <c r="AB139" s="449"/>
      <c r="AC139" s="445"/>
      <c r="AF139" s="445"/>
      <c r="AG139" s="449"/>
      <c r="AH139" s="445"/>
      <c r="AK139" s="445"/>
      <c r="AL139" s="449"/>
      <c r="AM139" s="445"/>
      <c r="AP139" s="445"/>
      <c r="AQ139" s="449"/>
      <c r="AR139" s="450"/>
      <c r="AS139" s="450"/>
      <c r="AT139" s="450"/>
      <c r="AU139" s="450"/>
      <c r="AV139" s="450"/>
      <c r="AW139" s="450"/>
      <c r="AX139" s="1006"/>
      <c r="AY139" s="445"/>
      <c r="BB139" s="450"/>
      <c r="BC139" s="1006"/>
      <c r="BD139" s="445"/>
      <c r="LY139" s="448"/>
      <c r="MN139" s="443"/>
      <c r="MO139" s="443"/>
      <c r="NE139" s="82"/>
      <c r="NF139" s="82"/>
      <c r="NG139" s="82"/>
      <c r="NH139" s="82"/>
      <c r="NI139" s="82"/>
      <c r="NJ139" s="82"/>
      <c r="NK139" s="82"/>
      <c r="NL139" s="82"/>
      <c r="NM139" s="82"/>
      <c r="NN139" s="82"/>
      <c r="NO139" s="82"/>
      <c r="NP139" s="82"/>
      <c r="NQ139" s="82"/>
      <c r="NR139" s="82"/>
      <c r="NS139" s="82"/>
      <c r="NT139" s="82"/>
      <c r="NU139" s="82"/>
      <c r="NV139" s="82"/>
      <c r="NW139" s="82"/>
      <c r="NX139" s="82"/>
      <c r="NY139" s="82"/>
      <c r="NZ139" s="82"/>
      <c r="OA139" s="82"/>
      <c r="OB139" s="82"/>
      <c r="OC139" s="82"/>
      <c r="OD139" s="82"/>
      <c r="OE139" s="82"/>
      <c r="OF139" s="82"/>
      <c r="OG139" s="82"/>
      <c r="OH139" s="82"/>
      <c r="OI139" s="82"/>
      <c r="OJ139" s="82"/>
      <c r="OK139" s="82"/>
      <c r="OL139" s="82"/>
      <c r="OM139" s="82"/>
      <c r="ON139" s="82"/>
      <c r="OO139" s="82"/>
      <c r="OP139" s="82"/>
      <c r="OQ139" s="82"/>
      <c r="OR139" s="82"/>
      <c r="OS139" s="82"/>
      <c r="OT139" s="82"/>
      <c r="OU139" s="82"/>
      <c r="OV139" s="82"/>
      <c r="OW139" s="82"/>
      <c r="OX139" s="82"/>
      <c r="OY139" s="82"/>
      <c r="OZ139" s="82"/>
      <c r="PA139" s="82"/>
      <c r="PB139" s="82"/>
      <c r="PC139" s="82"/>
      <c r="PD139" s="82"/>
      <c r="PE139" s="82"/>
      <c r="PF139" s="82"/>
      <c r="PG139" s="82"/>
      <c r="PH139" s="82"/>
      <c r="PI139" s="82"/>
      <c r="PJ139" s="82"/>
      <c r="PK139" s="82"/>
      <c r="PL139" s="82"/>
      <c r="PM139" s="82"/>
      <c r="PN139" s="82"/>
      <c r="PO139" s="82"/>
      <c r="PP139" s="82"/>
      <c r="PQ139" s="82"/>
      <c r="PR139" s="82"/>
      <c r="PS139" s="82"/>
      <c r="PT139" s="82"/>
      <c r="PU139" s="82"/>
      <c r="PV139" s="82"/>
      <c r="PW139" s="82"/>
      <c r="PX139" s="82"/>
      <c r="PY139" s="82"/>
      <c r="PZ139" s="82"/>
      <c r="QA139" s="82"/>
      <c r="QB139" s="82"/>
      <c r="QC139" s="82"/>
      <c r="QD139" s="82"/>
      <c r="QE139" s="82"/>
      <c r="QF139" s="82"/>
      <c r="QG139" s="82"/>
      <c r="QH139" s="82"/>
      <c r="QI139" s="82"/>
      <c r="QJ139" s="82"/>
      <c r="QK139" s="82"/>
      <c r="QL139" s="82"/>
      <c r="QM139" s="82"/>
      <c r="QN139" s="82"/>
      <c r="QO139" s="82"/>
      <c r="QP139" s="82"/>
      <c r="QQ139" s="82"/>
      <c r="QR139" s="82"/>
      <c r="QS139" s="82"/>
      <c r="QT139" s="82"/>
      <c r="QU139" s="82"/>
      <c r="QV139" s="82"/>
      <c r="QW139" s="82"/>
      <c r="QX139" s="82"/>
      <c r="QY139" s="82"/>
      <c r="QZ139" s="82"/>
      <c r="RA139" s="82"/>
      <c r="RB139" s="82"/>
      <c r="RC139" s="82"/>
      <c r="RD139" s="82"/>
      <c r="RE139" s="82"/>
      <c r="RF139" s="82"/>
      <c r="RG139" s="82"/>
      <c r="RH139" s="82"/>
      <c r="RI139" s="82"/>
      <c r="RJ139" s="82"/>
      <c r="RK139" s="82"/>
      <c r="RL139" s="82"/>
      <c r="RM139" s="82"/>
      <c r="RN139" s="82"/>
      <c r="RO139" s="82"/>
      <c r="RP139" s="82"/>
      <c r="RQ139" s="82"/>
      <c r="RR139" s="82"/>
      <c r="RS139" s="82"/>
      <c r="RT139" s="82"/>
      <c r="RU139" s="82"/>
      <c r="RV139" s="82"/>
      <c r="RW139" s="82"/>
      <c r="RX139" s="82"/>
      <c r="RY139" s="82"/>
      <c r="RZ139" s="82"/>
      <c r="SA139" s="82"/>
      <c r="SB139" s="82"/>
      <c r="SC139" s="82"/>
      <c r="SD139" s="82"/>
      <c r="SE139" s="82"/>
      <c r="SF139" s="82"/>
      <c r="SG139" s="82"/>
      <c r="SH139" s="82"/>
      <c r="SI139" s="82"/>
    </row>
    <row r="140" spans="3:503" ht="14.25" customHeight="1">
      <c r="C140" s="94"/>
      <c r="D140" s="94"/>
      <c r="E140" s="103" t="s">
        <v>39</v>
      </c>
      <c r="F140" s="1"/>
      <c r="G140" s="82"/>
      <c r="H140" s="1740"/>
      <c r="I140" s="40"/>
      <c r="J140" s="82"/>
      <c r="K140" s="1380">
        <f>JI48</f>
        <v>0</v>
      </c>
      <c r="L140" s="1381">
        <f>JJ48</f>
        <v>0</v>
      </c>
      <c r="M140" s="1381">
        <f>JK48</f>
        <v>0</v>
      </c>
      <c r="N140" s="1381">
        <f>JL48</f>
        <v>0</v>
      </c>
      <c r="O140" s="1382">
        <f>JM48</f>
        <v>0</v>
      </c>
      <c r="P140" s="573">
        <f t="shared" si="383"/>
        <v>0</v>
      </c>
      <c r="S140" s="3996"/>
      <c r="T140" s="3997"/>
      <c r="U140" s="3997"/>
      <c r="V140" s="3997"/>
      <c r="W140" s="3998"/>
      <c r="X140" s="445"/>
      <c r="AA140" s="445"/>
      <c r="AB140" s="449"/>
      <c r="AC140" s="445"/>
      <c r="AF140" s="445"/>
      <c r="AG140" s="449"/>
      <c r="AH140" s="445"/>
      <c r="AK140" s="445"/>
      <c r="AL140" s="449"/>
      <c r="AM140" s="445"/>
      <c r="AP140" s="445"/>
      <c r="AQ140" s="449"/>
      <c r="AR140" s="450"/>
      <c r="AS140" s="450"/>
      <c r="AT140" s="450"/>
      <c r="AU140" s="450"/>
      <c r="AV140" s="450"/>
      <c r="AW140" s="450"/>
      <c r="AX140" s="608"/>
      <c r="BB140" s="450"/>
      <c r="BC140" s="608"/>
      <c r="JW140" s="443"/>
      <c r="KB140" s="443"/>
      <c r="KC140" s="443"/>
      <c r="KD140" s="443"/>
      <c r="KE140" s="443"/>
      <c r="KF140" s="443"/>
      <c r="KG140" s="443"/>
      <c r="KH140" s="443"/>
      <c r="KI140" s="443"/>
      <c r="KJ140" s="443"/>
      <c r="KK140" s="443"/>
      <c r="KL140" s="443"/>
      <c r="KM140" s="443"/>
      <c r="KN140" s="443"/>
      <c r="KO140" s="443"/>
      <c r="KP140" s="443"/>
      <c r="KQ140" s="443"/>
      <c r="KR140" s="443"/>
      <c r="KS140" s="443"/>
      <c r="KT140" s="443"/>
      <c r="KU140" s="443"/>
      <c r="KV140" s="443"/>
      <c r="KW140" s="443"/>
      <c r="KX140" s="443"/>
      <c r="KY140" s="443"/>
      <c r="KZ140" s="443"/>
      <c r="LA140" s="443"/>
      <c r="LB140" s="443"/>
      <c r="LC140" s="443"/>
      <c r="LD140" s="443"/>
      <c r="LE140" s="443"/>
      <c r="LF140" s="443"/>
      <c r="LG140" s="443"/>
      <c r="LH140" s="443"/>
      <c r="LI140" s="443"/>
      <c r="LJ140" s="443"/>
      <c r="LK140" s="443"/>
      <c r="LL140" s="443"/>
      <c r="LM140" s="443"/>
      <c r="LN140" s="443"/>
      <c r="LO140" s="443"/>
      <c r="LP140" s="443"/>
      <c r="LQ140" s="443"/>
      <c r="LY140" s="448"/>
      <c r="MN140" s="443"/>
      <c r="MO140" s="443"/>
      <c r="NE140" s="82"/>
      <c r="NF140" s="82"/>
      <c r="NG140" s="82"/>
      <c r="NH140" s="82"/>
      <c r="NI140" s="82"/>
      <c r="NJ140" s="82"/>
      <c r="NK140" s="82"/>
      <c r="NL140" s="82"/>
      <c r="NM140" s="82"/>
      <c r="NN140" s="82"/>
      <c r="NO140" s="82"/>
      <c r="NP140" s="82"/>
      <c r="NQ140" s="82"/>
      <c r="NR140" s="82"/>
      <c r="NS140" s="82"/>
      <c r="NT140" s="82"/>
      <c r="NU140" s="82"/>
      <c r="NV140" s="82"/>
      <c r="NW140" s="82"/>
      <c r="NX140" s="82"/>
      <c r="NY140" s="82"/>
      <c r="NZ140" s="82"/>
      <c r="OA140" s="82"/>
      <c r="OB140" s="82"/>
      <c r="OC140" s="82"/>
      <c r="OD140" s="82"/>
      <c r="OE140" s="82"/>
      <c r="OF140" s="82"/>
      <c r="OG140" s="82"/>
      <c r="OH140" s="82"/>
      <c r="OI140" s="82"/>
      <c r="OJ140" s="82"/>
      <c r="OK140" s="82"/>
      <c r="OL140" s="82"/>
      <c r="OM140" s="82"/>
      <c r="ON140" s="82"/>
      <c r="OO140" s="82"/>
      <c r="OP140" s="82"/>
      <c r="OQ140" s="82"/>
      <c r="OR140" s="82"/>
      <c r="OS140" s="82"/>
      <c r="OT140" s="82"/>
      <c r="OU140" s="82"/>
      <c r="OV140" s="82"/>
      <c r="OW140" s="82"/>
      <c r="OX140" s="82"/>
      <c r="OY140" s="82"/>
      <c r="OZ140" s="82"/>
      <c r="PA140" s="82"/>
      <c r="PB140" s="82"/>
      <c r="PC140" s="82"/>
      <c r="PD140" s="82"/>
      <c r="PE140" s="82"/>
      <c r="PF140" s="82"/>
      <c r="PG140" s="82"/>
      <c r="PH140" s="82"/>
      <c r="PI140" s="82"/>
      <c r="PJ140" s="82"/>
      <c r="PK140" s="82"/>
      <c r="PL140" s="82"/>
      <c r="PM140" s="82"/>
      <c r="PN140" s="82"/>
      <c r="PO140" s="82"/>
      <c r="PP140" s="82"/>
      <c r="PQ140" s="82"/>
      <c r="PR140" s="82"/>
      <c r="PS140" s="82"/>
      <c r="PT140" s="82"/>
      <c r="PU140" s="82"/>
      <c r="PV140" s="82"/>
      <c r="PW140" s="82"/>
      <c r="PX140" s="82"/>
      <c r="PY140" s="82"/>
      <c r="PZ140" s="82"/>
      <c r="QA140" s="82"/>
      <c r="QB140" s="82"/>
      <c r="QC140" s="82"/>
      <c r="QD140" s="82"/>
      <c r="QE140" s="82"/>
      <c r="QF140" s="82"/>
      <c r="QG140" s="82"/>
      <c r="QH140" s="82"/>
      <c r="QI140" s="82"/>
      <c r="QJ140" s="82"/>
      <c r="QK140" s="82"/>
      <c r="QL140" s="82"/>
      <c r="QM140" s="82"/>
      <c r="QN140" s="82"/>
      <c r="QO140" s="82"/>
      <c r="QP140" s="82"/>
      <c r="QQ140" s="82"/>
      <c r="QR140" s="82"/>
      <c r="QS140" s="82"/>
      <c r="QT140" s="82"/>
      <c r="QU140" s="82"/>
      <c r="QV140" s="82"/>
      <c r="QW140" s="82"/>
      <c r="QX140" s="82"/>
      <c r="QY140" s="82"/>
      <c r="QZ140" s="82"/>
      <c r="RA140" s="82"/>
      <c r="RB140" s="82"/>
      <c r="RC140" s="82"/>
      <c r="RD140" s="82"/>
      <c r="RE140" s="82"/>
      <c r="RF140" s="82"/>
      <c r="RG140" s="82"/>
      <c r="RH140" s="82"/>
      <c r="RI140" s="82"/>
      <c r="RJ140" s="82"/>
      <c r="RK140" s="82"/>
      <c r="RL140" s="82"/>
      <c r="RM140" s="82"/>
      <c r="RN140" s="82"/>
      <c r="RO140" s="82"/>
      <c r="RP140" s="82"/>
      <c r="RQ140" s="82"/>
      <c r="RR140" s="82"/>
      <c r="RS140" s="82"/>
      <c r="RT140" s="82"/>
      <c r="RU140" s="82"/>
      <c r="RV140" s="82"/>
      <c r="RW140" s="82"/>
      <c r="RX140" s="82"/>
      <c r="RY140" s="82"/>
      <c r="RZ140" s="82"/>
      <c r="SA140" s="82"/>
      <c r="SB140" s="82"/>
      <c r="SC140" s="82"/>
      <c r="SD140" s="82"/>
      <c r="SE140" s="82"/>
      <c r="SF140" s="82"/>
      <c r="SG140" s="82"/>
      <c r="SH140" s="82"/>
      <c r="SI140" s="82"/>
    </row>
    <row r="141" spans="3:503" ht="14.25" customHeight="1">
      <c r="C141" s="94"/>
      <c r="D141" s="94"/>
      <c r="E141" s="103"/>
      <c r="F141" s="1"/>
      <c r="G141" s="82"/>
      <c r="H141" s="1757" t="s">
        <v>3251</v>
      </c>
      <c r="I141" s="852"/>
      <c r="J141" s="82"/>
      <c r="K141" s="1377">
        <f>JN48</f>
        <v>0</v>
      </c>
      <c r="L141" s="1378">
        <f>JO48</f>
        <v>0</v>
      </c>
      <c r="M141" s="1378">
        <f>JP48</f>
        <v>0</v>
      </c>
      <c r="N141" s="1378">
        <f>JQ48</f>
        <v>0</v>
      </c>
      <c r="O141" s="1379">
        <f>JR48</f>
        <v>0</v>
      </c>
      <c r="P141" s="572">
        <f t="shared" si="383"/>
        <v>0</v>
      </c>
      <c r="S141" s="3996"/>
      <c r="T141" s="3997"/>
      <c r="U141" s="3997"/>
      <c r="V141" s="3997"/>
      <c r="W141" s="3998"/>
      <c r="X141" s="445"/>
      <c r="AA141" s="445"/>
      <c r="AB141" s="449"/>
      <c r="AC141" s="445"/>
      <c r="AF141" s="445"/>
      <c r="AG141" s="449"/>
      <c r="AH141" s="445"/>
      <c r="AK141" s="445"/>
      <c r="AL141" s="449"/>
      <c r="AM141" s="445"/>
      <c r="AP141" s="445"/>
      <c r="AQ141" s="449"/>
      <c r="AR141" s="450"/>
      <c r="AS141" s="450"/>
      <c r="AT141" s="450"/>
      <c r="AU141" s="450"/>
      <c r="AV141" s="450"/>
      <c r="AW141" s="450"/>
      <c r="AX141" s="608"/>
      <c r="BB141" s="450"/>
      <c r="BC141" s="608"/>
      <c r="JW141" s="443"/>
      <c r="KB141" s="443"/>
      <c r="KC141" s="443"/>
      <c r="KD141" s="443"/>
      <c r="KE141" s="443"/>
      <c r="KF141" s="443"/>
      <c r="KG141" s="443"/>
      <c r="KH141" s="443"/>
      <c r="KI141" s="443"/>
      <c r="KJ141" s="443"/>
      <c r="KK141" s="443"/>
      <c r="KL141" s="443"/>
      <c r="KM141" s="443"/>
      <c r="KN141" s="443"/>
      <c r="KO141" s="443"/>
      <c r="KP141" s="443"/>
      <c r="KQ141" s="443"/>
      <c r="KR141" s="443"/>
      <c r="KS141" s="443"/>
      <c r="KT141" s="443"/>
      <c r="KU141" s="443"/>
      <c r="KV141" s="443"/>
      <c r="KW141" s="443"/>
      <c r="KX141" s="443"/>
      <c r="KY141" s="443"/>
      <c r="KZ141" s="443"/>
      <c r="LA141" s="443"/>
      <c r="LB141" s="443"/>
      <c r="LC141" s="443"/>
      <c r="LD141" s="443"/>
      <c r="LE141" s="443"/>
      <c r="LF141" s="443"/>
      <c r="LG141" s="443"/>
      <c r="LH141" s="443"/>
      <c r="LI141" s="443"/>
      <c r="LJ141" s="443"/>
      <c r="LK141" s="443"/>
      <c r="LL141" s="443"/>
      <c r="LM141" s="443"/>
      <c r="LN141" s="443"/>
      <c r="LO141" s="443"/>
      <c r="LP141" s="443"/>
      <c r="LQ141" s="443"/>
      <c r="LY141" s="448"/>
      <c r="MN141" s="443"/>
      <c r="MO141" s="443"/>
      <c r="NE141" s="82"/>
      <c r="NF141" s="82"/>
      <c r="NG141" s="82"/>
      <c r="NH141" s="82"/>
      <c r="NI141" s="82"/>
      <c r="NJ141" s="82"/>
      <c r="NK141" s="82"/>
      <c r="NL141" s="82"/>
      <c r="NM141" s="82"/>
      <c r="NN141" s="82"/>
      <c r="NO141" s="82"/>
      <c r="NP141" s="82"/>
      <c r="NQ141" s="82"/>
      <c r="NR141" s="82"/>
      <c r="NS141" s="82"/>
      <c r="NT141" s="82"/>
      <c r="NU141" s="82"/>
      <c r="NV141" s="82"/>
      <c r="NW141" s="82"/>
      <c r="NX141" s="82"/>
      <c r="NY141" s="82"/>
      <c r="NZ141" s="82"/>
      <c r="OA141" s="82"/>
      <c r="OB141" s="82"/>
      <c r="OC141" s="82"/>
      <c r="OD141" s="82"/>
      <c r="OE141" s="82"/>
      <c r="OF141" s="82"/>
      <c r="OG141" s="82"/>
      <c r="OH141" s="82"/>
      <c r="OI141" s="82"/>
      <c r="OJ141" s="82"/>
      <c r="OK141" s="82"/>
      <c r="OL141" s="82"/>
      <c r="OM141" s="82"/>
      <c r="ON141" s="82"/>
      <c r="OO141" s="82"/>
      <c r="OP141" s="82"/>
      <c r="OQ141" s="82"/>
      <c r="OR141" s="82"/>
      <c r="OS141" s="82"/>
      <c r="OT141" s="82"/>
      <c r="OU141" s="82"/>
      <c r="OV141" s="82"/>
      <c r="OW141" s="82"/>
      <c r="OX141" s="82"/>
      <c r="OY141" s="82"/>
      <c r="OZ141" s="82"/>
      <c r="PA141" s="82"/>
      <c r="PB141" s="82"/>
      <c r="PC141" s="82"/>
      <c r="PD141" s="82"/>
      <c r="PE141" s="82"/>
      <c r="PF141" s="82"/>
      <c r="PG141" s="82"/>
      <c r="PH141" s="82"/>
      <c r="PI141" s="82"/>
      <c r="PJ141" s="82"/>
      <c r="PK141" s="82"/>
      <c r="PL141" s="82"/>
      <c r="PM141" s="82"/>
      <c r="PN141" s="82"/>
      <c r="PO141" s="82"/>
      <c r="PP141" s="82"/>
      <c r="PQ141" s="82"/>
      <c r="PR141" s="82"/>
      <c r="PS141" s="82"/>
      <c r="PT141" s="82"/>
      <c r="PU141" s="82"/>
      <c r="PV141" s="82"/>
      <c r="PW141" s="82"/>
      <c r="PX141" s="82"/>
      <c r="PY141" s="82"/>
      <c r="PZ141" s="82"/>
      <c r="QA141" s="82"/>
      <c r="QB141" s="82"/>
      <c r="QC141" s="82"/>
      <c r="QD141" s="82"/>
      <c r="QE141" s="82"/>
      <c r="QF141" s="82"/>
      <c r="QG141" s="82"/>
      <c r="QH141" s="82"/>
      <c r="QI141" s="82"/>
      <c r="QJ141" s="82"/>
      <c r="QK141" s="82"/>
      <c r="QL141" s="82"/>
      <c r="QM141" s="82"/>
      <c r="QN141" s="82"/>
      <c r="QO141" s="82"/>
      <c r="QP141" s="82"/>
      <c r="QQ141" s="82"/>
      <c r="QR141" s="82"/>
      <c r="QS141" s="82"/>
      <c r="QT141" s="82"/>
      <c r="QU141" s="82"/>
      <c r="QV141" s="82"/>
      <c r="QW141" s="82"/>
      <c r="QX141" s="82"/>
      <c r="QY141" s="82"/>
      <c r="QZ141" s="82"/>
      <c r="RA141" s="82"/>
      <c r="RB141" s="82"/>
      <c r="RC141" s="82"/>
      <c r="RD141" s="82"/>
      <c r="RE141" s="82"/>
      <c r="RF141" s="82"/>
      <c r="RG141" s="82"/>
      <c r="RH141" s="82"/>
      <c r="RI141" s="82"/>
      <c r="RJ141" s="82"/>
      <c r="RK141" s="82"/>
      <c r="RL141" s="82"/>
      <c r="RM141" s="82"/>
      <c r="RN141" s="82"/>
      <c r="RO141" s="82"/>
      <c r="RP141" s="82"/>
      <c r="RQ141" s="82"/>
      <c r="RR141" s="82"/>
      <c r="RS141" s="82"/>
      <c r="RT141" s="82"/>
      <c r="RU141" s="82"/>
      <c r="RV141" s="82"/>
      <c r="RW141" s="82"/>
      <c r="RX141" s="82"/>
      <c r="RY141" s="82"/>
      <c r="RZ141" s="82"/>
      <c r="SA141" s="82"/>
      <c r="SB141" s="82"/>
      <c r="SC141" s="82"/>
      <c r="SD141" s="82"/>
      <c r="SE141" s="82"/>
      <c r="SF141" s="82"/>
      <c r="SG141" s="82"/>
      <c r="SH141" s="82"/>
      <c r="SI141" s="82"/>
    </row>
    <row r="142" spans="3:503" ht="14.25" customHeight="1">
      <c r="C142" s="94"/>
      <c r="D142" s="94"/>
      <c r="E142" s="110" t="s">
        <v>548</v>
      </c>
      <c r="F142" s="1"/>
      <c r="G142" s="82"/>
      <c r="H142" s="1740"/>
      <c r="I142" s="40"/>
      <c r="J142" s="82"/>
      <c r="K142" s="1380">
        <f>IY48</f>
        <v>0</v>
      </c>
      <c r="L142" s="1381">
        <f>IZ48</f>
        <v>0</v>
      </c>
      <c r="M142" s="1381">
        <f>JA48</f>
        <v>0</v>
      </c>
      <c r="N142" s="1381">
        <f>JB48</f>
        <v>0</v>
      </c>
      <c r="O142" s="1382">
        <f>JC48</f>
        <v>0</v>
      </c>
      <c r="P142" s="573">
        <f t="shared" si="383"/>
        <v>0</v>
      </c>
      <c r="S142" s="3996"/>
      <c r="T142" s="3997"/>
      <c r="U142" s="3997"/>
      <c r="V142" s="3997"/>
      <c r="W142" s="3998"/>
      <c r="X142" s="445"/>
      <c r="AA142" s="445"/>
      <c r="AB142" s="449"/>
      <c r="AC142" s="445"/>
      <c r="AF142" s="445"/>
      <c r="AG142" s="449"/>
      <c r="AH142" s="445"/>
      <c r="AK142" s="445"/>
      <c r="AL142" s="449"/>
      <c r="AM142" s="445"/>
      <c r="AP142" s="445"/>
      <c r="AQ142" s="449"/>
      <c r="AR142" s="450"/>
      <c r="AS142" s="450"/>
      <c r="AT142" s="450"/>
      <c r="AU142" s="450"/>
      <c r="AV142" s="450"/>
      <c r="AW142" s="450"/>
      <c r="AX142" s="1006"/>
      <c r="AY142" s="445"/>
      <c r="BB142" s="450"/>
      <c r="BC142" s="1006"/>
      <c r="BD142" s="445"/>
      <c r="LY142" s="448"/>
      <c r="MN142" s="443"/>
      <c r="MO142" s="443"/>
      <c r="NE142" s="82"/>
      <c r="NF142" s="82"/>
      <c r="NG142" s="82"/>
      <c r="NH142" s="82"/>
      <c r="NI142" s="82"/>
      <c r="NJ142" s="82"/>
      <c r="NK142" s="82"/>
      <c r="NL142" s="82"/>
      <c r="NM142" s="82"/>
      <c r="NN142" s="82"/>
      <c r="NO142" s="82"/>
      <c r="NP142" s="82"/>
      <c r="NQ142" s="82"/>
      <c r="NR142" s="82"/>
      <c r="NS142" s="82"/>
      <c r="NT142" s="82"/>
      <c r="NU142" s="82"/>
      <c r="NV142" s="82"/>
      <c r="NW142" s="82"/>
      <c r="NX142" s="82"/>
      <c r="NY142" s="82"/>
      <c r="NZ142" s="82"/>
      <c r="OA142" s="82"/>
      <c r="OB142" s="82"/>
      <c r="OC142" s="82"/>
      <c r="OD142" s="82"/>
      <c r="OE142" s="82"/>
      <c r="OF142" s="82"/>
      <c r="OG142" s="82"/>
      <c r="OH142" s="82"/>
      <c r="OI142" s="82"/>
      <c r="OJ142" s="82"/>
      <c r="OK142" s="82"/>
      <c r="OL142" s="82"/>
      <c r="OM142" s="82"/>
      <c r="ON142" s="82"/>
      <c r="OO142" s="82"/>
      <c r="OP142" s="82"/>
      <c r="OQ142" s="82"/>
      <c r="OR142" s="82"/>
      <c r="OS142" s="82"/>
      <c r="OT142" s="82"/>
      <c r="OU142" s="82"/>
      <c r="OV142" s="82"/>
      <c r="OW142" s="82"/>
      <c r="OX142" s="82"/>
      <c r="OY142" s="82"/>
      <c r="OZ142" s="82"/>
      <c r="PA142" s="82"/>
      <c r="PB142" s="82"/>
      <c r="PC142" s="82"/>
      <c r="PD142" s="82"/>
      <c r="PE142" s="82"/>
      <c r="PF142" s="82"/>
      <c r="PG142" s="82"/>
      <c r="PH142" s="82"/>
      <c r="PI142" s="82"/>
      <c r="PJ142" s="82"/>
      <c r="PK142" s="82"/>
      <c r="PL142" s="82"/>
      <c r="PM142" s="82"/>
      <c r="PN142" s="82"/>
      <c r="PO142" s="82"/>
      <c r="PP142" s="82"/>
      <c r="PQ142" s="82"/>
      <c r="PR142" s="82"/>
      <c r="PS142" s="82"/>
      <c r="PT142" s="82"/>
      <c r="PU142" s="82"/>
      <c r="PV142" s="82"/>
      <c r="PW142" s="82"/>
      <c r="PX142" s="82"/>
      <c r="PY142" s="82"/>
      <c r="PZ142" s="82"/>
      <c r="QA142" s="82"/>
      <c r="QB142" s="82"/>
      <c r="QC142" s="82"/>
      <c r="QD142" s="82"/>
      <c r="QE142" s="82"/>
      <c r="QF142" s="82"/>
      <c r="QG142" s="82"/>
      <c r="QH142" s="82"/>
      <c r="QI142" s="82"/>
      <c r="QJ142" s="82"/>
      <c r="QK142" s="82"/>
      <c r="QL142" s="82"/>
      <c r="QM142" s="82"/>
      <c r="QN142" s="82"/>
      <c r="QO142" s="82"/>
      <c r="QP142" s="82"/>
      <c r="QQ142" s="82"/>
      <c r="QR142" s="82"/>
      <c r="QS142" s="82"/>
      <c r="QT142" s="82"/>
      <c r="QU142" s="82"/>
      <c r="QV142" s="82"/>
      <c r="QW142" s="82"/>
      <c r="QX142" s="82"/>
      <c r="QY142" s="82"/>
      <c r="QZ142" s="82"/>
      <c r="RA142" s="82"/>
      <c r="RB142" s="82"/>
      <c r="RC142" s="82"/>
      <c r="RD142" s="82"/>
      <c r="RE142" s="82"/>
      <c r="RF142" s="82"/>
      <c r="RG142" s="82"/>
      <c r="RH142" s="82"/>
      <c r="RI142" s="82"/>
      <c r="RJ142" s="82"/>
      <c r="RK142" s="82"/>
      <c r="RL142" s="82"/>
      <c r="RM142" s="82"/>
      <c r="RN142" s="82"/>
      <c r="RO142" s="82"/>
      <c r="RP142" s="82"/>
      <c r="RQ142" s="82"/>
      <c r="RR142" s="82"/>
      <c r="RS142" s="82"/>
      <c r="RT142" s="82"/>
      <c r="RU142" s="82"/>
      <c r="RV142" s="82"/>
      <c r="RW142" s="82"/>
      <c r="RX142" s="82"/>
      <c r="RY142" s="82"/>
      <c r="RZ142" s="82"/>
      <c r="SA142" s="82"/>
      <c r="SB142" s="82"/>
      <c r="SC142" s="82"/>
      <c r="SD142" s="82"/>
      <c r="SE142" s="82"/>
      <c r="SF142" s="82"/>
      <c r="SG142" s="82"/>
      <c r="SH142" s="82"/>
      <c r="SI142" s="82"/>
    </row>
    <row r="143" spans="3:503" ht="14.25" customHeight="1">
      <c r="C143" s="94"/>
      <c r="D143" s="94"/>
      <c r="E143" s="110"/>
      <c r="F143" s="1"/>
      <c r="G143" s="82"/>
      <c r="H143" s="1757" t="s">
        <v>3251</v>
      </c>
      <c r="I143" s="852"/>
      <c r="J143" s="82"/>
      <c r="K143" s="1356">
        <f>JD48</f>
        <v>0</v>
      </c>
      <c r="L143" s="1357">
        <f>JE48</f>
        <v>0</v>
      </c>
      <c r="M143" s="1357">
        <f>JF48</f>
        <v>0</v>
      </c>
      <c r="N143" s="1357">
        <f>JG48</f>
        <v>0</v>
      </c>
      <c r="O143" s="1358">
        <f>JH48</f>
        <v>0</v>
      </c>
      <c r="P143" s="572">
        <f t="shared" si="383"/>
        <v>0</v>
      </c>
      <c r="S143" s="3996"/>
      <c r="T143" s="3997"/>
      <c r="U143" s="3997"/>
      <c r="V143" s="3997"/>
      <c r="W143" s="3998"/>
      <c r="X143" s="445"/>
      <c r="AA143" s="445"/>
      <c r="AB143" s="449"/>
      <c r="AC143" s="445"/>
      <c r="AF143" s="445"/>
      <c r="AG143" s="449"/>
      <c r="AH143" s="445"/>
      <c r="AK143" s="445"/>
      <c r="AL143" s="449"/>
      <c r="AM143" s="445"/>
      <c r="AP143" s="445"/>
      <c r="AQ143" s="449"/>
      <c r="AR143" s="450"/>
      <c r="AS143" s="450"/>
      <c r="AT143" s="450"/>
      <c r="AU143" s="450"/>
      <c r="AV143" s="450"/>
      <c r="AW143" s="450"/>
      <c r="AX143" s="1006"/>
      <c r="AY143" s="445"/>
      <c r="BB143" s="450"/>
      <c r="BC143" s="1006"/>
      <c r="BD143" s="445"/>
      <c r="LY143" s="448"/>
      <c r="MN143" s="443"/>
      <c r="MO143" s="443"/>
      <c r="NE143" s="82"/>
      <c r="NF143" s="82"/>
      <c r="NG143" s="82"/>
      <c r="NH143" s="82"/>
      <c r="NI143" s="82"/>
      <c r="NJ143" s="82"/>
      <c r="NK143" s="82"/>
      <c r="NL143" s="82"/>
      <c r="NM143" s="82"/>
      <c r="NN143" s="82"/>
      <c r="NO143" s="82"/>
      <c r="NP143" s="82"/>
      <c r="NQ143" s="82"/>
      <c r="NR143" s="82"/>
      <c r="NS143" s="82"/>
      <c r="NT143" s="82"/>
      <c r="NU143" s="82"/>
      <c r="NV143" s="82"/>
      <c r="NW143" s="82"/>
      <c r="NX143" s="82"/>
      <c r="NY143" s="82"/>
      <c r="NZ143" s="82"/>
      <c r="OA143" s="82"/>
      <c r="OB143" s="82"/>
      <c r="OC143" s="82"/>
      <c r="OD143" s="82"/>
      <c r="OE143" s="82"/>
      <c r="OF143" s="82"/>
      <c r="OG143" s="82"/>
      <c r="OH143" s="82"/>
      <c r="OI143" s="82"/>
      <c r="OJ143" s="82"/>
      <c r="OK143" s="82"/>
      <c r="OL143" s="82"/>
      <c r="OM143" s="82"/>
      <c r="ON143" s="82"/>
      <c r="OO143" s="82"/>
      <c r="OP143" s="82"/>
      <c r="OQ143" s="82"/>
      <c r="OR143" s="82"/>
      <c r="OS143" s="82"/>
      <c r="OT143" s="82"/>
      <c r="OU143" s="82"/>
      <c r="OV143" s="82"/>
      <c r="OW143" s="82"/>
      <c r="OX143" s="82"/>
      <c r="OY143" s="82"/>
      <c r="OZ143" s="82"/>
      <c r="PA143" s="82"/>
      <c r="PB143" s="82"/>
      <c r="PC143" s="82"/>
      <c r="PD143" s="82"/>
      <c r="PE143" s="82"/>
      <c r="PF143" s="82"/>
      <c r="PG143" s="82"/>
      <c r="PH143" s="82"/>
      <c r="PI143" s="82"/>
      <c r="PJ143" s="82"/>
      <c r="PK143" s="82"/>
      <c r="PL143" s="82"/>
      <c r="PM143" s="82"/>
      <c r="PN143" s="82"/>
      <c r="PO143" s="82"/>
      <c r="PP143" s="82"/>
      <c r="PQ143" s="82"/>
      <c r="PR143" s="82"/>
      <c r="PS143" s="82"/>
      <c r="PT143" s="82"/>
      <c r="PU143" s="82"/>
      <c r="PV143" s="82"/>
      <c r="PW143" s="82"/>
      <c r="PX143" s="82"/>
      <c r="PY143" s="82"/>
      <c r="PZ143" s="82"/>
      <c r="QA143" s="82"/>
      <c r="QB143" s="82"/>
      <c r="QC143" s="82"/>
      <c r="QD143" s="82"/>
      <c r="QE143" s="82"/>
      <c r="QF143" s="82"/>
      <c r="QG143" s="82"/>
      <c r="QH143" s="82"/>
      <c r="QI143" s="82"/>
      <c r="QJ143" s="82"/>
      <c r="QK143" s="82"/>
      <c r="QL143" s="82"/>
      <c r="QM143" s="82"/>
      <c r="QN143" s="82"/>
      <c r="QO143" s="82"/>
      <c r="QP143" s="82"/>
      <c r="QQ143" s="82"/>
      <c r="QR143" s="82"/>
      <c r="QS143" s="82"/>
      <c r="QT143" s="82"/>
      <c r="QU143" s="82"/>
      <c r="QV143" s="82"/>
      <c r="QW143" s="82"/>
      <c r="QX143" s="82"/>
      <c r="QY143" s="82"/>
      <c r="QZ143" s="82"/>
      <c r="RA143" s="82"/>
      <c r="RB143" s="82"/>
      <c r="RC143" s="82"/>
      <c r="RD143" s="82"/>
      <c r="RE143" s="82"/>
      <c r="RF143" s="82"/>
      <c r="RG143" s="82"/>
      <c r="RH143" s="82"/>
      <c r="RI143" s="82"/>
      <c r="RJ143" s="82"/>
      <c r="RK143" s="82"/>
      <c r="RL143" s="82"/>
      <c r="RM143" s="82"/>
      <c r="RN143" s="82"/>
      <c r="RO143" s="82"/>
      <c r="RP143" s="82"/>
      <c r="RQ143" s="82"/>
      <c r="RR143" s="82"/>
      <c r="RS143" s="82"/>
      <c r="RT143" s="82"/>
      <c r="RU143" s="82"/>
      <c r="RV143" s="82"/>
      <c r="RW143" s="82"/>
      <c r="RX143" s="82"/>
      <c r="RY143" s="82"/>
      <c r="RZ143" s="82"/>
      <c r="SA143" s="82"/>
      <c r="SB143" s="82"/>
      <c r="SC143" s="82"/>
      <c r="SD143" s="82"/>
      <c r="SE143" s="82"/>
      <c r="SF143" s="82"/>
      <c r="SG143" s="82"/>
      <c r="SH143" s="82"/>
      <c r="SI143" s="82"/>
    </row>
    <row r="144" spans="3:503" ht="14.25" customHeight="1">
      <c r="C144" s="94"/>
      <c r="D144" s="94"/>
      <c r="E144" s="89" t="s">
        <v>549</v>
      </c>
      <c r="F144" s="1"/>
      <c r="G144" s="82"/>
      <c r="H144" s="1740"/>
      <c r="I144" s="40"/>
      <c r="J144" s="82"/>
      <c r="K144" s="1380">
        <f>IO48</f>
        <v>0</v>
      </c>
      <c r="L144" s="1381">
        <f>IP48</f>
        <v>0</v>
      </c>
      <c r="M144" s="1381">
        <f>IQ48</f>
        <v>0</v>
      </c>
      <c r="N144" s="1381">
        <f>IR48</f>
        <v>0</v>
      </c>
      <c r="O144" s="1382">
        <f>IS48</f>
        <v>0</v>
      </c>
      <c r="P144" s="573">
        <f t="shared" si="383"/>
        <v>0</v>
      </c>
      <c r="S144" s="3996"/>
      <c r="T144" s="3997"/>
      <c r="U144" s="3997"/>
      <c r="V144" s="3997"/>
      <c r="W144" s="3998"/>
      <c r="X144" s="445"/>
      <c r="AA144" s="445"/>
      <c r="AB144" s="449"/>
      <c r="AC144" s="445"/>
      <c r="AF144" s="445"/>
      <c r="AG144" s="449"/>
      <c r="AH144" s="445"/>
      <c r="AK144" s="445"/>
      <c r="AL144" s="449"/>
      <c r="AM144" s="445"/>
      <c r="AP144" s="445"/>
      <c r="AQ144" s="449"/>
      <c r="AR144" s="450"/>
      <c r="AS144" s="450"/>
      <c r="AT144" s="450"/>
      <c r="AU144" s="450"/>
      <c r="AV144" s="450"/>
      <c r="AW144" s="450"/>
      <c r="AX144" s="608"/>
      <c r="BB144" s="450"/>
      <c r="BC144" s="608"/>
      <c r="JW144" s="443"/>
      <c r="KB144" s="443"/>
      <c r="KC144" s="443"/>
      <c r="KD144" s="443"/>
      <c r="KE144" s="443"/>
      <c r="KF144" s="443"/>
      <c r="KG144" s="443"/>
      <c r="KH144" s="443"/>
      <c r="KI144" s="443"/>
      <c r="KJ144" s="443"/>
      <c r="KK144" s="443"/>
      <c r="KL144" s="443"/>
      <c r="KM144" s="443"/>
      <c r="KN144" s="443"/>
      <c r="KO144" s="443"/>
      <c r="KP144" s="443"/>
      <c r="KQ144" s="443"/>
      <c r="KR144" s="443"/>
      <c r="KS144" s="443"/>
      <c r="KT144" s="443"/>
      <c r="KU144" s="443"/>
      <c r="KV144" s="443"/>
      <c r="KW144" s="443"/>
      <c r="KX144" s="443"/>
      <c r="KY144" s="443"/>
      <c r="KZ144" s="443"/>
      <c r="LA144" s="443"/>
      <c r="LB144" s="443"/>
      <c r="LC144" s="443"/>
      <c r="LD144" s="443"/>
      <c r="LE144" s="443"/>
      <c r="LF144" s="443"/>
      <c r="LG144" s="443"/>
      <c r="LH144" s="443"/>
      <c r="LI144" s="443"/>
      <c r="LJ144" s="443"/>
      <c r="LK144" s="443"/>
      <c r="LL144" s="443"/>
      <c r="LM144" s="443"/>
      <c r="LN144" s="443"/>
      <c r="LO144" s="443"/>
      <c r="LP144" s="443"/>
      <c r="LQ144" s="443"/>
      <c r="LY144" s="448"/>
      <c r="MN144" s="443"/>
      <c r="MO144" s="443"/>
      <c r="NE144" s="82"/>
      <c r="NF144" s="82"/>
      <c r="NG144" s="82"/>
      <c r="NH144" s="82"/>
      <c r="NI144" s="82"/>
      <c r="NJ144" s="82"/>
      <c r="NK144" s="82"/>
      <c r="NL144" s="82"/>
      <c r="NM144" s="82"/>
      <c r="NN144" s="82"/>
      <c r="NO144" s="82"/>
      <c r="NP144" s="82"/>
      <c r="NQ144" s="82"/>
      <c r="NR144" s="82"/>
      <c r="NS144" s="82"/>
      <c r="NT144" s="82"/>
      <c r="NU144" s="82"/>
      <c r="NV144" s="82"/>
      <c r="NW144" s="82"/>
      <c r="NX144" s="82"/>
      <c r="NY144" s="82"/>
      <c r="NZ144" s="82"/>
      <c r="OA144" s="82"/>
      <c r="OB144" s="82"/>
      <c r="OC144" s="82"/>
      <c r="OD144" s="82"/>
      <c r="OE144" s="82"/>
      <c r="OF144" s="82"/>
      <c r="OG144" s="82"/>
      <c r="OH144" s="82"/>
      <c r="OI144" s="82"/>
      <c r="OJ144" s="82"/>
      <c r="OK144" s="82"/>
      <c r="OL144" s="82"/>
      <c r="OM144" s="82"/>
      <c r="ON144" s="82"/>
      <c r="OO144" s="82"/>
      <c r="OP144" s="82"/>
      <c r="OQ144" s="82"/>
      <c r="OR144" s="82"/>
      <c r="OS144" s="82"/>
      <c r="OT144" s="82"/>
      <c r="OU144" s="82"/>
      <c r="OV144" s="82"/>
      <c r="OW144" s="82"/>
      <c r="OX144" s="82"/>
      <c r="OY144" s="82"/>
      <c r="OZ144" s="82"/>
      <c r="PA144" s="82"/>
      <c r="PB144" s="82"/>
      <c r="PC144" s="82"/>
      <c r="PD144" s="82"/>
      <c r="PE144" s="82"/>
      <c r="PF144" s="82"/>
      <c r="PG144" s="82"/>
      <c r="PH144" s="82"/>
      <c r="PI144" s="82"/>
      <c r="PJ144" s="82"/>
      <c r="PK144" s="82"/>
      <c r="PL144" s="82"/>
      <c r="PM144" s="82"/>
      <c r="PN144" s="82"/>
      <c r="PO144" s="82"/>
      <c r="PP144" s="82"/>
      <c r="PQ144" s="82"/>
      <c r="PR144" s="82"/>
      <c r="PS144" s="82"/>
      <c r="PT144" s="82"/>
      <c r="PU144" s="82"/>
      <c r="PV144" s="82"/>
      <c r="PW144" s="82"/>
      <c r="PX144" s="82"/>
      <c r="PY144" s="82"/>
      <c r="PZ144" s="82"/>
      <c r="QA144" s="82"/>
      <c r="QB144" s="82"/>
      <c r="QC144" s="82"/>
      <c r="QD144" s="82"/>
      <c r="QE144" s="82"/>
      <c r="QF144" s="82"/>
      <c r="QG144" s="82"/>
      <c r="QH144" s="82"/>
      <c r="QI144" s="82"/>
      <c r="QJ144" s="82"/>
      <c r="QK144" s="82"/>
      <c r="QL144" s="82"/>
      <c r="QM144" s="82"/>
      <c r="QN144" s="82"/>
      <c r="QO144" s="82"/>
      <c r="QP144" s="82"/>
      <c r="QQ144" s="82"/>
      <c r="QR144" s="82"/>
      <c r="QS144" s="82"/>
      <c r="QT144" s="82"/>
      <c r="QU144" s="82"/>
      <c r="QV144" s="82"/>
      <c r="QW144" s="82"/>
      <c r="QX144" s="82"/>
      <c r="QY144" s="82"/>
      <c r="QZ144" s="82"/>
      <c r="RA144" s="82"/>
      <c r="RB144" s="82"/>
      <c r="RC144" s="82"/>
      <c r="RD144" s="82"/>
      <c r="RE144" s="82"/>
      <c r="RF144" s="82"/>
      <c r="RG144" s="82"/>
      <c r="RH144" s="82"/>
      <c r="RI144" s="82"/>
      <c r="RJ144" s="82"/>
      <c r="RK144" s="82"/>
      <c r="RL144" s="82"/>
      <c r="RM144" s="82"/>
      <c r="RN144" s="82"/>
      <c r="RO144" s="82"/>
      <c r="RP144" s="82"/>
      <c r="RQ144" s="82"/>
      <c r="RR144" s="82"/>
      <c r="RS144" s="82"/>
      <c r="RT144" s="82"/>
      <c r="RU144" s="82"/>
      <c r="RV144" s="82"/>
      <c r="RW144" s="82"/>
      <c r="RX144" s="82"/>
      <c r="RY144" s="82"/>
      <c r="RZ144" s="82"/>
      <c r="SA144" s="82"/>
      <c r="SB144" s="82"/>
      <c r="SC144" s="82"/>
      <c r="SD144" s="82"/>
      <c r="SE144" s="82"/>
      <c r="SF144" s="82"/>
      <c r="SG144" s="82"/>
      <c r="SH144" s="82"/>
      <c r="SI144" s="82"/>
    </row>
    <row r="145" spans="1:503" ht="14.25" customHeight="1">
      <c r="C145" s="94"/>
      <c r="D145" s="94"/>
      <c r="E145" s="89"/>
      <c r="F145" s="1"/>
      <c r="G145" s="82"/>
      <c r="H145" s="1757" t="s">
        <v>3251</v>
      </c>
      <c r="I145" s="852"/>
      <c r="J145" s="82"/>
      <c r="K145" s="1359">
        <f>IT48</f>
        <v>0</v>
      </c>
      <c r="L145" s="1360">
        <f>IU48</f>
        <v>0</v>
      </c>
      <c r="M145" s="1360">
        <f>IV48</f>
        <v>0</v>
      </c>
      <c r="N145" s="1360">
        <f>IW48</f>
        <v>0</v>
      </c>
      <c r="O145" s="1361">
        <f>IX48</f>
        <v>0</v>
      </c>
      <c r="P145" s="915">
        <f t="shared" si="383"/>
        <v>0</v>
      </c>
      <c r="S145" s="4027"/>
      <c r="T145" s="4028"/>
      <c r="U145" s="4028"/>
      <c r="V145" s="4028"/>
      <c r="W145" s="4029"/>
      <c r="X145" s="445"/>
      <c r="AA145" s="445"/>
      <c r="AB145" s="449"/>
      <c r="AC145" s="445"/>
      <c r="AF145" s="445"/>
      <c r="AG145" s="449"/>
      <c r="AH145" s="445"/>
      <c r="AK145" s="445"/>
      <c r="AL145" s="449"/>
      <c r="AM145" s="445"/>
      <c r="AP145" s="445"/>
      <c r="AQ145" s="449"/>
      <c r="AR145" s="450"/>
      <c r="AS145" s="450"/>
      <c r="AT145" s="450"/>
      <c r="AU145" s="450"/>
      <c r="AV145" s="450"/>
      <c r="AW145" s="450"/>
      <c r="AX145" s="608"/>
      <c r="BB145" s="450"/>
      <c r="BC145" s="608"/>
      <c r="JW145" s="443"/>
      <c r="KB145" s="443"/>
      <c r="KC145" s="443"/>
      <c r="KD145" s="443"/>
      <c r="KE145" s="443"/>
      <c r="KF145" s="443"/>
      <c r="KG145" s="443"/>
      <c r="KH145" s="443"/>
      <c r="KI145" s="443"/>
      <c r="KJ145" s="443"/>
      <c r="KK145" s="443"/>
      <c r="KL145" s="443"/>
      <c r="KM145" s="443"/>
      <c r="KN145" s="443"/>
      <c r="KO145" s="443"/>
      <c r="KP145" s="443"/>
      <c r="KQ145" s="443"/>
      <c r="KR145" s="443"/>
      <c r="KS145" s="443"/>
      <c r="KT145" s="443"/>
      <c r="KU145" s="443"/>
      <c r="KV145" s="443"/>
      <c r="KW145" s="443"/>
      <c r="KX145" s="443"/>
      <c r="KY145" s="443"/>
      <c r="KZ145" s="443"/>
      <c r="LA145" s="443"/>
      <c r="LB145" s="443"/>
      <c r="LC145" s="443"/>
      <c r="LD145" s="443"/>
      <c r="LE145" s="443"/>
      <c r="LF145" s="443"/>
      <c r="LG145" s="443"/>
      <c r="LH145" s="443"/>
      <c r="LI145" s="443"/>
      <c r="LJ145" s="443"/>
      <c r="LK145" s="443"/>
      <c r="LL145" s="443"/>
      <c r="LM145" s="443"/>
      <c r="LN145" s="443"/>
      <c r="LO145" s="443"/>
      <c r="LP145" s="443"/>
      <c r="LQ145" s="443"/>
      <c r="LY145" s="448"/>
      <c r="MN145" s="443"/>
      <c r="MO145" s="443"/>
      <c r="NE145" s="82"/>
      <c r="NF145" s="82"/>
      <c r="NG145" s="82"/>
      <c r="NH145" s="82"/>
      <c r="NI145" s="82"/>
      <c r="NJ145" s="82"/>
      <c r="NK145" s="82"/>
      <c r="NL145" s="82"/>
      <c r="NM145" s="82"/>
      <c r="NN145" s="82"/>
      <c r="NO145" s="82"/>
      <c r="NP145" s="82"/>
      <c r="NQ145" s="82"/>
      <c r="NR145" s="82"/>
      <c r="NS145" s="82"/>
      <c r="NT145" s="82"/>
      <c r="NU145" s="82"/>
      <c r="NV145" s="82"/>
      <c r="NW145" s="82"/>
      <c r="NX145" s="82"/>
      <c r="NY145" s="82"/>
      <c r="NZ145" s="82"/>
      <c r="OA145" s="82"/>
      <c r="OB145" s="82"/>
      <c r="OC145" s="82"/>
      <c r="OD145" s="82"/>
      <c r="OE145" s="82"/>
      <c r="OF145" s="82"/>
      <c r="OG145" s="82"/>
      <c r="OH145" s="82"/>
      <c r="OI145" s="82"/>
      <c r="OJ145" s="82"/>
      <c r="OK145" s="82"/>
      <c r="OL145" s="82"/>
      <c r="OM145" s="82"/>
      <c r="ON145" s="82"/>
      <c r="OO145" s="82"/>
      <c r="OP145" s="82"/>
      <c r="OQ145" s="82"/>
      <c r="OR145" s="82"/>
      <c r="OS145" s="82"/>
      <c r="OT145" s="82"/>
      <c r="OU145" s="82"/>
      <c r="OV145" s="82"/>
      <c r="OW145" s="82"/>
      <c r="OX145" s="82"/>
      <c r="OY145" s="82"/>
      <c r="OZ145" s="82"/>
      <c r="PA145" s="82"/>
      <c r="PB145" s="82"/>
      <c r="PC145" s="82"/>
      <c r="PD145" s="82"/>
      <c r="PE145" s="82"/>
      <c r="PF145" s="82"/>
      <c r="PG145" s="82"/>
      <c r="PH145" s="82"/>
      <c r="PI145" s="82"/>
      <c r="PJ145" s="82"/>
      <c r="PK145" s="82"/>
      <c r="PL145" s="82"/>
      <c r="PM145" s="82"/>
      <c r="PN145" s="82"/>
      <c r="PO145" s="82"/>
      <c r="PP145" s="82"/>
      <c r="PQ145" s="82"/>
      <c r="PR145" s="82"/>
      <c r="PS145" s="82"/>
      <c r="PT145" s="82"/>
      <c r="PU145" s="82"/>
      <c r="PV145" s="82"/>
      <c r="PW145" s="82"/>
      <c r="PX145" s="82"/>
      <c r="PY145" s="82"/>
      <c r="PZ145" s="82"/>
      <c r="QA145" s="82"/>
      <c r="QB145" s="82"/>
      <c r="QC145" s="82"/>
      <c r="QD145" s="82"/>
      <c r="QE145" s="82"/>
      <c r="QF145" s="82"/>
      <c r="QG145" s="82"/>
      <c r="QH145" s="82"/>
      <c r="QI145" s="82"/>
      <c r="QJ145" s="82"/>
      <c r="QK145" s="82"/>
      <c r="QL145" s="82"/>
      <c r="QM145" s="82"/>
      <c r="QN145" s="82"/>
      <c r="QO145" s="82"/>
      <c r="QP145" s="82"/>
      <c r="QQ145" s="82"/>
      <c r="QR145" s="82"/>
      <c r="QS145" s="82"/>
      <c r="QT145" s="82"/>
      <c r="QU145" s="82"/>
      <c r="QV145" s="82"/>
      <c r="QW145" s="82"/>
      <c r="QX145" s="82"/>
      <c r="QY145" s="82"/>
      <c r="QZ145" s="82"/>
      <c r="RA145" s="82"/>
      <c r="RB145" s="82"/>
      <c r="RC145" s="82"/>
      <c r="RD145" s="82"/>
      <c r="RE145" s="82"/>
      <c r="RF145" s="82"/>
      <c r="RG145" s="82"/>
      <c r="RH145" s="82"/>
      <c r="RI145" s="82"/>
      <c r="RJ145" s="82"/>
      <c r="RK145" s="82"/>
      <c r="RL145" s="82"/>
      <c r="RM145" s="82"/>
      <c r="RN145" s="82"/>
      <c r="RO145" s="82"/>
      <c r="RP145" s="82"/>
      <c r="RQ145" s="82"/>
      <c r="RR145" s="82"/>
      <c r="RS145" s="82"/>
      <c r="RT145" s="82"/>
      <c r="RU145" s="82"/>
      <c r="RV145" s="82"/>
      <c r="RW145" s="82"/>
      <c r="RX145" s="82"/>
      <c r="RY145" s="82"/>
      <c r="RZ145" s="82"/>
      <c r="SA145" s="82"/>
      <c r="SB145" s="82"/>
      <c r="SC145" s="82"/>
      <c r="SD145" s="82"/>
      <c r="SE145" s="82"/>
      <c r="SF145" s="82"/>
      <c r="SG145" s="82"/>
      <c r="SH145" s="82"/>
      <c r="SI145" s="82"/>
    </row>
    <row r="146" spans="1:503" ht="10.5" customHeight="1" thickBot="1">
      <c r="C146" s="94"/>
      <c r="D146" s="147"/>
      <c r="G146" s="82"/>
      <c r="H146" s="477"/>
      <c r="I146" s="871"/>
      <c r="J146" s="82"/>
      <c r="K146" s="574"/>
      <c r="L146" s="574"/>
      <c r="M146" s="574"/>
      <c r="N146" s="574"/>
      <c r="O146" s="574"/>
      <c r="P146" s="574"/>
      <c r="MO146" s="443"/>
      <c r="NE146" s="82"/>
      <c r="NF146" s="82"/>
      <c r="NG146" s="82"/>
      <c r="NH146" s="82"/>
      <c r="NI146" s="82"/>
      <c r="NJ146" s="82"/>
      <c r="NK146" s="82"/>
      <c r="NL146" s="82"/>
      <c r="NM146" s="82"/>
      <c r="NN146" s="82"/>
      <c r="NO146" s="82"/>
      <c r="NP146" s="82"/>
      <c r="NQ146" s="82"/>
      <c r="NR146" s="82"/>
      <c r="NS146" s="82"/>
      <c r="NT146" s="82"/>
      <c r="NU146" s="82"/>
      <c r="NV146" s="82"/>
      <c r="NW146" s="82"/>
      <c r="NX146" s="82"/>
      <c r="NY146" s="82"/>
      <c r="NZ146" s="82"/>
      <c r="OA146" s="82"/>
      <c r="OB146" s="82"/>
      <c r="OC146" s="82"/>
      <c r="OD146" s="82"/>
      <c r="OE146" s="82"/>
      <c r="OF146" s="82"/>
      <c r="OG146" s="82"/>
      <c r="OH146" s="82"/>
      <c r="OI146" s="82"/>
      <c r="OJ146" s="82"/>
      <c r="OK146" s="82"/>
      <c r="OL146" s="82"/>
      <c r="OM146" s="82"/>
      <c r="ON146" s="82"/>
      <c r="OO146" s="82"/>
      <c r="OP146" s="82"/>
      <c r="OQ146" s="82"/>
      <c r="OR146" s="82"/>
      <c r="OS146" s="82"/>
      <c r="OT146" s="82"/>
      <c r="OU146" s="82"/>
      <c r="OV146" s="82"/>
      <c r="OW146" s="82"/>
      <c r="OX146" s="82"/>
      <c r="OY146" s="82"/>
      <c r="OZ146" s="82"/>
      <c r="PA146" s="82"/>
      <c r="PB146" s="82"/>
      <c r="PC146" s="82"/>
      <c r="PD146" s="82"/>
      <c r="PE146" s="82"/>
      <c r="PF146" s="82"/>
      <c r="PG146" s="82"/>
      <c r="PH146" s="82"/>
      <c r="PI146" s="82"/>
      <c r="PJ146" s="82"/>
      <c r="PK146" s="82"/>
      <c r="PL146" s="82"/>
      <c r="PM146" s="82"/>
      <c r="PN146" s="82"/>
      <c r="PO146" s="82"/>
      <c r="PP146" s="82"/>
      <c r="PQ146" s="82"/>
      <c r="PR146" s="82"/>
      <c r="PS146" s="82"/>
      <c r="PT146" s="82"/>
      <c r="PU146" s="82"/>
      <c r="PV146" s="82"/>
      <c r="PW146" s="82"/>
      <c r="PX146" s="82"/>
      <c r="PY146" s="82"/>
      <c r="PZ146" s="82"/>
      <c r="QA146" s="82"/>
      <c r="QB146" s="82"/>
      <c r="QC146" s="82"/>
      <c r="QD146" s="82"/>
      <c r="QE146" s="82"/>
      <c r="QF146" s="82"/>
      <c r="QG146" s="82"/>
      <c r="QH146" s="82"/>
      <c r="QI146" s="82"/>
      <c r="QJ146" s="82"/>
      <c r="QK146" s="82"/>
      <c r="QL146" s="82"/>
      <c r="QM146" s="82"/>
      <c r="QN146" s="82"/>
      <c r="QO146" s="82"/>
      <c r="QP146" s="82"/>
      <c r="QQ146" s="82"/>
      <c r="QR146" s="82"/>
      <c r="QS146" s="82"/>
      <c r="QT146" s="82"/>
      <c r="QU146" s="82"/>
      <c r="QV146" s="82"/>
      <c r="QW146" s="82"/>
      <c r="QX146" s="82"/>
      <c r="QY146" s="82"/>
      <c r="QZ146" s="82"/>
      <c r="RA146" s="82"/>
      <c r="RB146" s="82"/>
      <c r="RC146" s="82"/>
      <c r="RD146" s="82"/>
      <c r="RE146" s="82"/>
      <c r="RF146" s="82"/>
      <c r="RG146" s="82"/>
      <c r="RH146" s="82"/>
      <c r="RI146" s="82"/>
      <c r="RJ146" s="82"/>
      <c r="RK146" s="82"/>
      <c r="RL146" s="82"/>
      <c r="RM146" s="82"/>
      <c r="RN146" s="82"/>
      <c r="RO146" s="82"/>
      <c r="RP146" s="82"/>
      <c r="RQ146" s="82"/>
      <c r="RR146" s="82"/>
      <c r="RS146" s="82"/>
      <c r="RT146" s="82"/>
      <c r="RU146" s="82"/>
      <c r="RV146" s="82"/>
      <c r="RW146" s="82"/>
      <c r="RX146" s="82"/>
      <c r="RY146" s="82"/>
      <c r="RZ146" s="82"/>
      <c r="SA146" s="82"/>
      <c r="SB146" s="82"/>
      <c r="SC146" s="82"/>
      <c r="SD146" s="82"/>
      <c r="SE146" s="82"/>
      <c r="SF146" s="82"/>
      <c r="SG146" s="82"/>
      <c r="SH146" s="82"/>
      <c r="SI146" s="82"/>
    </row>
    <row r="147" spans="1:503" ht="14.4" customHeight="1" thickBot="1">
      <c r="A147" s="13" t="s">
        <v>722</v>
      </c>
      <c r="B147" s="13" t="s">
        <v>4423</v>
      </c>
      <c r="H147" s="89"/>
      <c r="L147" s="2674" t="str">
        <f>$L$53</f>
        <v>Income Averaging</v>
      </c>
      <c r="M147" s="2675"/>
      <c r="N147" s="2675"/>
      <c r="O147" s="2676"/>
      <c r="P147" s="82"/>
      <c r="S147" s="2641" t="str">
        <f>B147</f>
        <v>UNIT SUMMARY (Continued)</v>
      </c>
      <c r="T147" s="2641"/>
      <c r="U147" s="2641"/>
      <c r="V147" s="2641"/>
      <c r="X147" s="608"/>
      <c r="AA147" s="608"/>
      <c r="AB147" s="608"/>
      <c r="AC147" s="608"/>
      <c r="AF147" s="608"/>
      <c r="AG147" s="608"/>
      <c r="AH147" s="608"/>
      <c r="AK147" s="608"/>
      <c r="AL147" s="608"/>
      <c r="AM147" s="608"/>
      <c r="AP147" s="608"/>
      <c r="AQ147" s="608"/>
      <c r="AR147" s="608"/>
      <c r="AS147" s="608"/>
      <c r="AT147" s="608"/>
      <c r="AU147" s="608"/>
      <c r="AV147" s="608"/>
      <c r="AW147" s="608"/>
      <c r="AX147" s="608"/>
      <c r="AY147" s="445"/>
      <c r="BB147" s="608"/>
      <c r="BC147" s="608"/>
      <c r="BD147" s="445"/>
      <c r="LY147" s="448"/>
      <c r="MN147" s="443"/>
      <c r="MO147" s="443"/>
      <c r="NE147" s="82"/>
      <c r="NF147" s="82"/>
      <c r="NG147" s="82"/>
      <c r="NH147" s="82"/>
      <c r="NI147" s="82"/>
      <c r="NJ147" s="82"/>
      <c r="NK147" s="82"/>
      <c r="NL147" s="82"/>
      <c r="NM147" s="82"/>
      <c r="NN147" s="82"/>
      <c r="NO147" s="82"/>
      <c r="NP147" s="82"/>
      <c r="NQ147" s="82"/>
      <c r="NR147" s="82"/>
      <c r="NS147" s="82"/>
      <c r="NT147" s="82"/>
      <c r="NU147" s="82"/>
      <c r="NV147" s="82"/>
      <c r="NW147" s="82"/>
      <c r="NX147" s="82"/>
      <c r="NY147" s="82"/>
      <c r="NZ147" s="82"/>
      <c r="OA147" s="82"/>
      <c r="OB147" s="82"/>
      <c r="OC147" s="82"/>
      <c r="OD147" s="82"/>
      <c r="OE147" s="82"/>
      <c r="OF147" s="82"/>
      <c r="OG147" s="82"/>
      <c r="OH147" s="82"/>
      <c r="OI147" s="82"/>
      <c r="OJ147" s="82"/>
      <c r="OK147" s="82"/>
      <c r="OL147" s="82"/>
      <c r="OM147" s="82"/>
      <c r="ON147" s="82"/>
      <c r="OO147" s="82"/>
      <c r="OP147" s="82"/>
      <c r="OQ147" s="82"/>
      <c r="OR147" s="82"/>
      <c r="OS147" s="82"/>
      <c r="OT147" s="82"/>
      <c r="OU147" s="82"/>
      <c r="OV147" s="82"/>
      <c r="OW147" s="82"/>
      <c r="OX147" s="82"/>
      <c r="OY147" s="82"/>
      <c r="OZ147" s="82"/>
      <c r="PA147" s="82"/>
      <c r="PB147" s="82"/>
      <c r="PC147" s="82"/>
      <c r="PD147" s="82"/>
      <c r="PE147" s="82"/>
      <c r="PF147" s="82"/>
      <c r="PG147" s="82"/>
      <c r="PH147" s="82"/>
      <c r="PI147" s="82"/>
      <c r="PJ147" s="82"/>
      <c r="PK147" s="82"/>
      <c r="PL147" s="82"/>
      <c r="PM147" s="82"/>
      <c r="PN147" s="82"/>
      <c r="PO147" s="82"/>
      <c r="PP147" s="82"/>
      <c r="PQ147" s="82"/>
      <c r="PR147" s="82"/>
      <c r="PS147" s="82"/>
      <c r="PT147" s="82"/>
      <c r="PU147" s="82"/>
      <c r="PV147" s="82"/>
      <c r="PW147" s="82"/>
      <c r="PX147" s="82"/>
      <c r="PY147" s="82"/>
      <c r="PZ147" s="82"/>
      <c r="QA147" s="82"/>
      <c r="QB147" s="82"/>
      <c r="QC147" s="82"/>
      <c r="QD147" s="82"/>
      <c r="QE147" s="82"/>
      <c r="QF147" s="82"/>
      <c r="QG147" s="82"/>
      <c r="QH147" s="82"/>
      <c r="QI147" s="82"/>
      <c r="QJ147" s="82"/>
      <c r="QK147" s="82"/>
      <c r="QL147" s="82"/>
      <c r="QM147" s="82"/>
      <c r="QN147" s="82"/>
      <c r="QO147" s="82"/>
      <c r="QP147" s="82"/>
      <c r="QQ147" s="82"/>
      <c r="QR147" s="82"/>
      <c r="QS147" s="82"/>
      <c r="QT147" s="82"/>
      <c r="QU147" s="82"/>
      <c r="QV147" s="82"/>
      <c r="QW147" s="82"/>
      <c r="QX147" s="82"/>
      <c r="QY147" s="82"/>
      <c r="QZ147" s="82"/>
      <c r="RA147" s="82"/>
      <c r="RB147" s="82"/>
      <c r="RC147" s="82"/>
      <c r="RD147" s="82"/>
      <c r="RE147" s="82"/>
      <c r="RF147" s="82"/>
      <c r="RG147" s="82"/>
      <c r="RH147" s="82"/>
      <c r="RI147" s="82"/>
      <c r="RJ147" s="82"/>
      <c r="RK147" s="82"/>
      <c r="RL147" s="82"/>
      <c r="RM147" s="82"/>
      <c r="RN147" s="82"/>
      <c r="RO147" s="82"/>
      <c r="RP147" s="82"/>
      <c r="RQ147" s="82"/>
      <c r="RR147" s="82"/>
      <c r="RS147" s="82"/>
      <c r="RT147" s="82"/>
      <c r="RU147" s="82"/>
      <c r="RV147" s="82"/>
      <c r="RW147" s="82"/>
      <c r="RX147" s="82"/>
      <c r="RY147" s="82"/>
      <c r="RZ147" s="82"/>
      <c r="SA147" s="82"/>
      <c r="SB147" s="82"/>
      <c r="SC147" s="82"/>
      <c r="SD147" s="82"/>
      <c r="SE147" s="82"/>
      <c r="SF147" s="82"/>
      <c r="SG147" s="82"/>
      <c r="SH147" s="82"/>
      <c r="SI147" s="82"/>
    </row>
    <row r="148" spans="1:503" ht="9" customHeight="1">
      <c r="A148" s="13"/>
      <c r="B148" s="13"/>
      <c r="H148" s="89"/>
      <c r="P148" s="82"/>
      <c r="Q148" s="1476"/>
      <c r="S148" s="293" t="str">
        <f>C149</f>
        <v>Building Type:
(for Cost Limit purposes only - see Application Instructions for further detail)</v>
      </c>
      <c r="T148" s="403"/>
      <c r="U148" s="1507"/>
      <c r="X148" s="608"/>
      <c r="AA148" s="608"/>
      <c r="AB148" s="608"/>
      <c r="AC148" s="608"/>
      <c r="AF148" s="608"/>
      <c r="AG148" s="608"/>
      <c r="AH148" s="608"/>
      <c r="AK148" s="608"/>
      <c r="AL148" s="608"/>
      <c r="AM148" s="608"/>
      <c r="AP148" s="608"/>
      <c r="AQ148" s="608"/>
      <c r="AR148" s="608"/>
      <c r="AS148" s="608"/>
      <c r="AT148" s="608"/>
      <c r="AU148" s="608"/>
      <c r="AV148" s="608"/>
      <c r="AW148" s="608"/>
      <c r="AX148" s="608"/>
      <c r="AY148" s="445"/>
      <c r="BB148" s="608"/>
      <c r="BC148" s="608"/>
      <c r="BD148" s="445"/>
      <c r="LY148" s="448"/>
      <c r="MN148" s="443"/>
      <c r="MO148" s="443"/>
      <c r="NE148" s="82"/>
      <c r="NF148" s="82"/>
      <c r="NG148" s="82"/>
      <c r="NH148" s="82"/>
      <c r="NI148" s="82"/>
      <c r="NJ148" s="82"/>
      <c r="NK148" s="82"/>
      <c r="NL148" s="82"/>
      <c r="NM148" s="82"/>
      <c r="NN148" s="82"/>
      <c r="NO148" s="82"/>
      <c r="NP148" s="82"/>
      <c r="NQ148" s="82"/>
      <c r="NR148" s="82"/>
      <c r="NS148" s="82"/>
      <c r="NT148" s="82"/>
      <c r="NU148" s="82"/>
      <c r="NV148" s="82"/>
      <c r="NW148" s="82"/>
      <c r="NX148" s="82"/>
      <c r="NY148" s="82"/>
      <c r="NZ148" s="82"/>
      <c r="OA148" s="82"/>
      <c r="OB148" s="82"/>
      <c r="OC148" s="82"/>
      <c r="OD148" s="82"/>
      <c r="OE148" s="82"/>
      <c r="OF148" s="82"/>
      <c r="OG148" s="82"/>
      <c r="OH148" s="82"/>
      <c r="OI148" s="82"/>
      <c r="OJ148" s="82"/>
      <c r="OK148" s="82"/>
      <c r="OL148" s="82"/>
      <c r="OM148" s="82"/>
      <c r="ON148" s="82"/>
      <c r="OO148" s="82"/>
      <c r="OP148" s="82"/>
      <c r="OQ148" s="82"/>
      <c r="OR148" s="82"/>
      <c r="OS148" s="82"/>
      <c r="OT148" s="82"/>
      <c r="OU148" s="82"/>
      <c r="OV148" s="82"/>
      <c r="OW148" s="82"/>
      <c r="OX148" s="82"/>
      <c r="OY148" s="82"/>
      <c r="OZ148" s="82"/>
      <c r="PA148" s="82"/>
      <c r="PB148" s="82"/>
      <c r="PC148" s="82"/>
      <c r="PD148" s="82"/>
      <c r="PE148" s="82"/>
      <c r="PF148" s="82"/>
      <c r="PG148" s="82"/>
      <c r="PH148" s="82"/>
      <c r="PI148" s="82"/>
      <c r="PJ148" s="82"/>
      <c r="PK148" s="82"/>
      <c r="PL148" s="82"/>
      <c r="PM148" s="82"/>
      <c r="PN148" s="82"/>
      <c r="PO148" s="82"/>
      <c r="PP148" s="82"/>
      <c r="PQ148" s="82"/>
      <c r="PR148" s="82"/>
      <c r="PS148" s="82"/>
      <c r="PT148" s="82"/>
      <c r="PU148" s="82"/>
      <c r="PV148" s="82"/>
      <c r="PW148" s="82"/>
      <c r="PX148" s="82"/>
      <c r="PY148" s="82"/>
      <c r="PZ148" s="82"/>
      <c r="QA148" s="82"/>
      <c r="QB148" s="82"/>
      <c r="QC148" s="82"/>
      <c r="QD148" s="82"/>
      <c r="QE148" s="82"/>
      <c r="QF148" s="82"/>
      <c r="QG148" s="82"/>
      <c r="QH148" s="82"/>
      <c r="QI148" s="82"/>
      <c r="QJ148" s="82"/>
      <c r="QK148" s="82"/>
      <c r="QL148" s="82"/>
      <c r="QM148" s="82"/>
      <c r="QN148" s="82"/>
      <c r="QO148" s="82"/>
      <c r="QP148" s="82"/>
      <c r="QQ148" s="82"/>
      <c r="QR148" s="82"/>
      <c r="QS148" s="82"/>
      <c r="QT148" s="82"/>
      <c r="QU148" s="82"/>
      <c r="QV148" s="82"/>
      <c r="QW148" s="82"/>
      <c r="QX148" s="82"/>
      <c r="QY148" s="82"/>
      <c r="QZ148" s="82"/>
      <c r="RA148" s="82"/>
      <c r="RB148" s="82"/>
      <c r="RC148" s="82"/>
      <c r="RD148" s="82"/>
      <c r="RE148" s="82"/>
      <c r="RF148" s="82"/>
      <c r="RG148" s="82"/>
      <c r="RH148" s="82"/>
      <c r="RI148" s="82"/>
      <c r="RJ148" s="82"/>
      <c r="RK148" s="82"/>
      <c r="RL148" s="82"/>
      <c r="RM148" s="82"/>
      <c r="RN148" s="82"/>
      <c r="RO148" s="82"/>
      <c r="RP148" s="82"/>
      <c r="RQ148" s="82"/>
      <c r="RR148" s="82"/>
      <c r="RS148" s="82"/>
      <c r="RT148" s="82"/>
      <c r="RU148" s="82"/>
      <c r="RV148" s="82"/>
      <c r="RW148" s="82"/>
      <c r="RX148" s="82"/>
      <c r="RY148" s="82"/>
      <c r="RZ148" s="82"/>
      <c r="SA148" s="82"/>
      <c r="SB148" s="82"/>
      <c r="SC148" s="82"/>
      <c r="SD148" s="82"/>
      <c r="SE148" s="82"/>
      <c r="SF148" s="82"/>
      <c r="SG148" s="82"/>
      <c r="SH148" s="82"/>
      <c r="SI148" s="82"/>
    </row>
    <row r="149" spans="1:503" ht="14.25" customHeight="1">
      <c r="C149" s="2657" t="s">
        <v>4115</v>
      </c>
      <c r="D149" s="2657"/>
      <c r="E149" s="1090" t="s">
        <v>3246</v>
      </c>
      <c r="F149" s="1091"/>
      <c r="G149" s="1092"/>
      <c r="H149" s="1758"/>
      <c r="I149" s="1095"/>
      <c r="J149" s="1093"/>
      <c r="K149" s="1383">
        <f t="shared" ref="K149:O150" si="385">K138+K142+K144</f>
        <v>0</v>
      </c>
      <c r="L149" s="1384">
        <f>L138+L142+L144</f>
        <v>0</v>
      </c>
      <c r="M149" s="1384">
        <f t="shared" si="385"/>
        <v>0</v>
      </c>
      <c r="N149" s="1384">
        <f t="shared" si="385"/>
        <v>0</v>
      </c>
      <c r="O149" s="1385">
        <f t="shared" si="385"/>
        <v>0</v>
      </c>
      <c r="P149" s="916">
        <f t="shared" ref="P149:P156" si="386">SUM(K149:O149)</f>
        <v>0</v>
      </c>
      <c r="S149" s="4034"/>
      <c r="T149" s="4035"/>
      <c r="U149" s="4035"/>
      <c r="V149" s="4035"/>
      <c r="W149" s="4036"/>
      <c r="X149" s="445"/>
      <c r="AA149" s="445"/>
      <c r="AB149" s="449"/>
      <c r="AC149" s="445"/>
      <c r="AF149" s="445"/>
      <c r="AG149" s="449"/>
      <c r="AH149" s="445"/>
      <c r="AK149" s="445"/>
      <c r="AL149" s="449"/>
      <c r="AM149" s="445"/>
      <c r="AP149" s="445"/>
      <c r="AQ149" s="449"/>
      <c r="AR149" s="450"/>
      <c r="AS149" s="450"/>
      <c r="AT149" s="450"/>
      <c r="AU149" s="450"/>
      <c r="AV149" s="450"/>
      <c r="AW149" s="450"/>
      <c r="AX149" s="608"/>
      <c r="BB149" s="450"/>
      <c r="BC149" s="608"/>
      <c r="JW149" s="443"/>
      <c r="KB149" s="443"/>
      <c r="KC149" s="443"/>
      <c r="KD149" s="443"/>
      <c r="KE149" s="443"/>
      <c r="KF149" s="443"/>
      <c r="KG149" s="443"/>
      <c r="KH149" s="443"/>
      <c r="KI149" s="443"/>
      <c r="KJ149" s="443"/>
      <c r="KK149" s="443"/>
      <c r="KL149" s="443"/>
      <c r="KM149" s="443"/>
      <c r="KN149" s="443"/>
      <c r="KO149" s="443"/>
      <c r="KP149" s="443"/>
      <c r="KQ149" s="443"/>
      <c r="KR149" s="443"/>
      <c r="KS149" s="443"/>
      <c r="KT149" s="443"/>
      <c r="KU149" s="443"/>
      <c r="KV149" s="443"/>
      <c r="KW149" s="443"/>
      <c r="KX149" s="443"/>
      <c r="KY149" s="443"/>
      <c r="KZ149" s="443"/>
      <c r="LA149" s="443"/>
      <c r="LB149" s="443"/>
      <c r="LC149" s="443"/>
      <c r="LD149" s="443"/>
      <c r="LE149" s="443"/>
      <c r="LF149" s="443"/>
      <c r="LG149" s="443"/>
      <c r="LH149" s="443"/>
      <c r="LI149" s="443"/>
      <c r="LJ149" s="443"/>
      <c r="LK149" s="443"/>
      <c r="LL149" s="443"/>
      <c r="LM149" s="443"/>
      <c r="LN149" s="443"/>
      <c r="LO149" s="443"/>
      <c r="LP149" s="443"/>
      <c r="LQ149" s="443"/>
      <c r="LY149" s="448"/>
      <c r="MN149" s="443"/>
      <c r="MO149" s="443"/>
      <c r="NE149" s="82"/>
      <c r="NF149" s="82"/>
      <c r="NG149" s="82"/>
      <c r="NH149" s="82"/>
      <c r="NI149" s="82"/>
      <c r="NJ149" s="82"/>
      <c r="NK149" s="82"/>
      <c r="NL149" s="82"/>
      <c r="NM149" s="82"/>
      <c r="NN149" s="82"/>
      <c r="NO149" s="82"/>
      <c r="NP149" s="82"/>
      <c r="NQ149" s="82"/>
      <c r="NR149" s="82"/>
      <c r="NS149" s="82"/>
      <c r="NT149" s="82"/>
      <c r="NU149" s="82"/>
      <c r="NV149" s="82"/>
      <c r="NW149" s="82"/>
      <c r="NX149" s="82"/>
      <c r="NY149" s="82"/>
      <c r="NZ149" s="82"/>
      <c r="OA149" s="82"/>
      <c r="OB149" s="82"/>
      <c r="OC149" s="82"/>
      <c r="OD149" s="82"/>
      <c r="OE149" s="82"/>
      <c r="OF149" s="82"/>
      <c r="OG149" s="82"/>
      <c r="OH149" s="82"/>
      <c r="OI149" s="82"/>
      <c r="OJ149" s="82"/>
      <c r="OK149" s="82"/>
      <c r="OL149" s="82"/>
      <c r="OM149" s="82"/>
      <c r="ON149" s="82"/>
      <c r="OO149" s="82"/>
      <c r="OP149" s="82"/>
      <c r="OQ149" s="82"/>
      <c r="OR149" s="82"/>
      <c r="OS149" s="82"/>
      <c r="OT149" s="82"/>
      <c r="OU149" s="82"/>
      <c r="OV149" s="82"/>
      <c r="OW149" s="82"/>
      <c r="OX149" s="82"/>
      <c r="OY149" s="82"/>
      <c r="OZ149" s="82"/>
      <c r="PA149" s="82"/>
      <c r="PB149" s="82"/>
      <c r="PC149" s="82"/>
      <c r="PD149" s="82"/>
      <c r="PE149" s="82"/>
      <c r="PF149" s="82"/>
      <c r="PG149" s="82"/>
      <c r="PH149" s="82"/>
      <c r="PI149" s="82"/>
      <c r="PJ149" s="82"/>
      <c r="PK149" s="82"/>
      <c r="PL149" s="82"/>
      <c r="PM149" s="82"/>
      <c r="PN149" s="82"/>
      <c r="PO149" s="82"/>
      <c r="PP149" s="82"/>
      <c r="PQ149" s="82"/>
      <c r="PR149" s="82"/>
      <c r="PS149" s="82"/>
      <c r="PT149" s="82"/>
      <c r="PU149" s="82"/>
      <c r="PV149" s="82"/>
      <c r="PW149" s="82"/>
      <c r="PX149" s="82"/>
      <c r="PY149" s="82"/>
      <c r="PZ149" s="82"/>
      <c r="QA149" s="82"/>
      <c r="QB149" s="82"/>
      <c r="QC149" s="82"/>
      <c r="QD149" s="82"/>
      <c r="QE149" s="82"/>
      <c r="QF149" s="82"/>
      <c r="QG149" s="82"/>
      <c r="QH149" s="82"/>
      <c r="QI149" s="82"/>
      <c r="QJ149" s="82"/>
      <c r="QK149" s="82"/>
      <c r="QL149" s="82"/>
      <c r="QM149" s="82"/>
      <c r="QN149" s="82"/>
      <c r="QO149" s="82"/>
      <c r="QP149" s="82"/>
      <c r="QQ149" s="82"/>
      <c r="QR149" s="82"/>
      <c r="QS149" s="82"/>
      <c r="QT149" s="82"/>
      <c r="QU149" s="82"/>
      <c r="QV149" s="82"/>
      <c r="QW149" s="82"/>
      <c r="QX149" s="82"/>
      <c r="QY149" s="82"/>
      <c r="QZ149" s="82"/>
      <c r="RA149" s="82"/>
      <c r="RB149" s="82"/>
      <c r="RC149" s="82"/>
      <c r="RD149" s="82"/>
      <c r="RE149" s="82"/>
      <c r="RF149" s="82"/>
      <c r="RG149" s="82"/>
      <c r="RH149" s="82"/>
      <c r="RI149" s="82"/>
      <c r="RJ149" s="82"/>
      <c r="RK149" s="82"/>
      <c r="RL149" s="82"/>
      <c r="RM149" s="82"/>
      <c r="RN149" s="82"/>
      <c r="RO149" s="82"/>
      <c r="RP149" s="82"/>
      <c r="RQ149" s="82"/>
      <c r="RR149" s="82"/>
      <c r="RS149" s="82"/>
      <c r="RT149" s="82"/>
      <c r="RU149" s="82"/>
      <c r="RV149" s="82"/>
      <c r="RW149" s="82"/>
      <c r="RX149" s="82"/>
      <c r="RY149" s="82"/>
      <c r="RZ149" s="82"/>
      <c r="SA149" s="82"/>
      <c r="SB149" s="82"/>
      <c r="SC149" s="82"/>
      <c r="SD149" s="82"/>
      <c r="SE149" s="82"/>
      <c r="SF149" s="82"/>
      <c r="SG149" s="82"/>
      <c r="SH149" s="82"/>
      <c r="SI149" s="82"/>
    </row>
    <row r="150" spans="1:503" ht="14.25" customHeight="1">
      <c r="C150" s="2658"/>
      <c r="D150" s="2658"/>
      <c r="E150" s="103"/>
      <c r="F150" s="483"/>
      <c r="G150" s="151"/>
      <c r="H150" s="1756" t="s">
        <v>3251</v>
      </c>
      <c r="I150" s="95"/>
      <c r="J150" s="1094"/>
      <c r="K150" s="1386">
        <f t="shared" si="385"/>
        <v>0</v>
      </c>
      <c r="L150" s="1387">
        <f t="shared" si="385"/>
        <v>0</v>
      </c>
      <c r="M150" s="1387">
        <f t="shared" si="385"/>
        <v>0</v>
      </c>
      <c r="N150" s="1387">
        <f t="shared" si="385"/>
        <v>0</v>
      </c>
      <c r="O150" s="1388">
        <f t="shared" si="385"/>
        <v>0</v>
      </c>
      <c r="P150" s="575">
        <f t="shared" si="386"/>
        <v>0</v>
      </c>
      <c r="S150" s="3996"/>
      <c r="T150" s="3997"/>
      <c r="U150" s="3997"/>
      <c r="V150" s="3997"/>
      <c r="W150" s="3998"/>
      <c r="X150" s="445"/>
      <c r="AA150" s="445"/>
      <c r="AB150" s="449"/>
      <c r="AC150" s="445"/>
      <c r="AF150" s="445"/>
      <c r="AG150" s="449"/>
      <c r="AH150" s="445"/>
      <c r="AK150" s="445"/>
      <c r="AL150" s="449"/>
      <c r="AM150" s="445"/>
      <c r="AP150" s="445"/>
      <c r="AQ150" s="449"/>
      <c r="AR150" s="450"/>
      <c r="AS150" s="450"/>
      <c r="AT150" s="450"/>
      <c r="AU150" s="450"/>
      <c r="AV150" s="450"/>
      <c r="AW150" s="450"/>
      <c r="AX150" s="608"/>
      <c r="BB150" s="450"/>
      <c r="BC150" s="608"/>
      <c r="JW150" s="443"/>
      <c r="KB150" s="443"/>
      <c r="KC150" s="443"/>
      <c r="KD150" s="443"/>
      <c r="KE150" s="443"/>
      <c r="KF150" s="443"/>
      <c r="KG150" s="443"/>
      <c r="KH150" s="443"/>
      <c r="KI150" s="443"/>
      <c r="KJ150" s="443"/>
      <c r="KK150" s="443"/>
      <c r="KL150" s="443"/>
      <c r="KM150" s="443"/>
      <c r="KN150" s="443"/>
      <c r="KO150" s="443"/>
      <c r="KP150" s="443"/>
      <c r="KQ150" s="443"/>
      <c r="KR150" s="443"/>
      <c r="KS150" s="443"/>
      <c r="KT150" s="443"/>
      <c r="KU150" s="443"/>
      <c r="KV150" s="443"/>
      <c r="KW150" s="443"/>
      <c r="KX150" s="443"/>
      <c r="KY150" s="443"/>
      <c r="KZ150" s="443"/>
      <c r="LA150" s="443"/>
      <c r="LB150" s="443"/>
      <c r="LC150" s="443"/>
      <c r="LD150" s="443"/>
      <c r="LE150" s="443"/>
      <c r="LF150" s="443"/>
      <c r="LG150" s="443"/>
      <c r="LH150" s="443"/>
      <c r="LI150" s="443"/>
      <c r="LJ150" s="443"/>
      <c r="LK150" s="443"/>
      <c r="LL150" s="443"/>
      <c r="LM150" s="443"/>
      <c r="LN150" s="443"/>
      <c r="LO150" s="443"/>
      <c r="LP150" s="443"/>
      <c r="LQ150" s="443"/>
      <c r="LY150" s="448"/>
      <c r="MN150" s="443"/>
      <c r="MO150" s="443"/>
      <c r="NE150" s="82"/>
      <c r="NF150" s="82"/>
      <c r="NG150" s="82"/>
      <c r="NH150" s="82"/>
      <c r="NI150" s="82"/>
      <c r="NJ150" s="82"/>
      <c r="NK150" s="82"/>
      <c r="NL150" s="82"/>
      <c r="NM150" s="82"/>
      <c r="NN150" s="82"/>
      <c r="NO150" s="82"/>
      <c r="NP150" s="82"/>
      <c r="NQ150" s="82"/>
      <c r="NR150" s="82"/>
      <c r="NS150" s="82"/>
      <c r="NT150" s="82"/>
      <c r="NU150" s="82"/>
      <c r="NV150" s="82"/>
      <c r="NW150" s="82"/>
      <c r="NX150" s="82"/>
      <c r="NY150" s="82"/>
      <c r="NZ150" s="82"/>
      <c r="OA150" s="82"/>
      <c r="OB150" s="82"/>
      <c r="OC150" s="82"/>
      <c r="OD150" s="82"/>
      <c r="OE150" s="82"/>
      <c r="OF150" s="82"/>
      <c r="OG150" s="82"/>
      <c r="OH150" s="82"/>
      <c r="OI150" s="82"/>
      <c r="OJ150" s="82"/>
      <c r="OK150" s="82"/>
      <c r="OL150" s="82"/>
      <c r="OM150" s="82"/>
      <c r="ON150" s="82"/>
      <c r="OO150" s="82"/>
      <c r="OP150" s="82"/>
      <c r="OQ150" s="82"/>
      <c r="OR150" s="82"/>
      <c r="OS150" s="82"/>
      <c r="OT150" s="82"/>
      <c r="OU150" s="82"/>
      <c r="OV150" s="82"/>
      <c r="OW150" s="82"/>
      <c r="OX150" s="82"/>
      <c r="OY150" s="82"/>
      <c r="OZ150" s="82"/>
      <c r="PA150" s="82"/>
      <c r="PB150" s="82"/>
      <c r="PC150" s="82"/>
      <c r="PD150" s="82"/>
      <c r="PE150" s="82"/>
      <c r="PF150" s="82"/>
      <c r="PG150" s="82"/>
      <c r="PH150" s="82"/>
      <c r="PI150" s="82"/>
      <c r="PJ150" s="82"/>
      <c r="PK150" s="82"/>
      <c r="PL150" s="82"/>
      <c r="PM150" s="82"/>
      <c r="PN150" s="82"/>
      <c r="PO150" s="82"/>
      <c r="PP150" s="82"/>
      <c r="PQ150" s="82"/>
      <c r="PR150" s="82"/>
      <c r="PS150" s="82"/>
      <c r="PT150" s="82"/>
      <c r="PU150" s="82"/>
      <c r="PV150" s="82"/>
      <c r="PW150" s="82"/>
      <c r="PX150" s="82"/>
      <c r="PY150" s="82"/>
      <c r="PZ150" s="82"/>
      <c r="QA150" s="82"/>
      <c r="QB150" s="82"/>
      <c r="QC150" s="82"/>
      <c r="QD150" s="82"/>
      <c r="QE150" s="82"/>
      <c r="QF150" s="82"/>
      <c r="QG150" s="82"/>
      <c r="QH150" s="82"/>
      <c r="QI150" s="82"/>
      <c r="QJ150" s="82"/>
      <c r="QK150" s="82"/>
      <c r="QL150" s="82"/>
      <c r="QM150" s="82"/>
      <c r="QN150" s="82"/>
      <c r="QO150" s="82"/>
      <c r="QP150" s="82"/>
      <c r="QQ150" s="82"/>
      <c r="QR150" s="82"/>
      <c r="QS150" s="82"/>
      <c r="QT150" s="82"/>
      <c r="QU150" s="82"/>
      <c r="QV150" s="82"/>
      <c r="QW150" s="82"/>
      <c r="QX150" s="82"/>
      <c r="QY150" s="82"/>
      <c r="QZ150" s="82"/>
      <c r="RA150" s="82"/>
      <c r="RB150" s="82"/>
      <c r="RC150" s="82"/>
      <c r="RD150" s="82"/>
      <c r="RE150" s="82"/>
      <c r="RF150" s="82"/>
      <c r="RG150" s="82"/>
      <c r="RH150" s="82"/>
      <c r="RI150" s="82"/>
      <c r="RJ150" s="82"/>
      <c r="RK150" s="82"/>
      <c r="RL150" s="82"/>
      <c r="RM150" s="82"/>
      <c r="RN150" s="82"/>
      <c r="RO150" s="82"/>
      <c r="RP150" s="82"/>
      <c r="RQ150" s="82"/>
      <c r="RR150" s="82"/>
      <c r="RS150" s="82"/>
      <c r="RT150" s="82"/>
      <c r="RU150" s="82"/>
      <c r="RV150" s="82"/>
      <c r="RW150" s="82"/>
      <c r="RX150" s="82"/>
      <c r="RY150" s="82"/>
      <c r="RZ150" s="82"/>
      <c r="SA150" s="82"/>
      <c r="SB150" s="82"/>
      <c r="SC150" s="82"/>
      <c r="SD150" s="82"/>
      <c r="SE150" s="82"/>
      <c r="SF150" s="82"/>
      <c r="SG150" s="82"/>
      <c r="SH150" s="82"/>
      <c r="SI150" s="82"/>
    </row>
    <row r="151" spans="1:503" ht="14.25" customHeight="1">
      <c r="C151" s="2658"/>
      <c r="D151" s="2658"/>
      <c r="E151" s="103" t="s">
        <v>3247</v>
      </c>
      <c r="F151" s="483"/>
      <c r="G151" s="151"/>
      <c r="H151" s="1020"/>
      <c r="I151" s="483"/>
      <c r="J151" s="1094"/>
      <c r="K151" s="1389">
        <f t="shared" ref="K151:O152" si="387">K128+K140</f>
        <v>0</v>
      </c>
      <c r="L151" s="1390">
        <f t="shared" si="387"/>
        <v>0</v>
      </c>
      <c r="M151" s="1390">
        <f t="shared" si="387"/>
        <v>0</v>
      </c>
      <c r="N151" s="1390">
        <f t="shared" si="387"/>
        <v>0</v>
      </c>
      <c r="O151" s="1391">
        <f t="shared" si="387"/>
        <v>0</v>
      </c>
      <c r="P151" s="917">
        <f t="shared" si="386"/>
        <v>0</v>
      </c>
      <c r="S151" s="3996"/>
      <c r="T151" s="3997"/>
      <c r="U151" s="3997"/>
      <c r="V151" s="3997"/>
      <c r="W151" s="3998"/>
      <c r="X151" s="445"/>
      <c r="AA151" s="445"/>
      <c r="AB151" s="449"/>
      <c r="AC151" s="445"/>
      <c r="AF151" s="445"/>
      <c r="AG151" s="449"/>
      <c r="AH151" s="445"/>
      <c r="AK151" s="445"/>
      <c r="AL151" s="449"/>
      <c r="AM151" s="445"/>
      <c r="AP151" s="445"/>
      <c r="AQ151" s="449"/>
      <c r="AR151" s="450"/>
      <c r="AS151" s="450"/>
      <c r="AT151" s="450"/>
      <c r="AU151" s="450"/>
      <c r="AV151" s="450"/>
      <c r="AW151" s="450"/>
      <c r="AX151" s="608"/>
      <c r="BB151" s="450"/>
      <c r="BC151" s="608"/>
      <c r="JW151" s="443"/>
      <c r="KB151" s="443"/>
      <c r="KC151" s="443"/>
      <c r="KD151" s="443"/>
      <c r="KE151" s="443"/>
      <c r="KF151" s="443"/>
      <c r="KG151" s="443"/>
      <c r="KH151" s="443"/>
      <c r="KI151" s="443"/>
      <c r="KJ151" s="443"/>
      <c r="KK151" s="443"/>
      <c r="KL151" s="443"/>
      <c r="KM151" s="443"/>
      <c r="KN151" s="443"/>
      <c r="KO151" s="443"/>
      <c r="KP151" s="443"/>
      <c r="KQ151" s="443"/>
      <c r="KR151" s="443"/>
      <c r="KS151" s="443"/>
      <c r="KT151" s="443"/>
      <c r="KU151" s="443"/>
      <c r="KV151" s="443"/>
      <c r="KW151" s="443"/>
      <c r="KX151" s="443"/>
      <c r="KY151" s="443"/>
      <c r="KZ151" s="443"/>
      <c r="LA151" s="443"/>
      <c r="LB151" s="443"/>
      <c r="LC151" s="443"/>
      <c r="LD151" s="443"/>
      <c r="LE151" s="443"/>
      <c r="LF151" s="443"/>
      <c r="LG151" s="443"/>
      <c r="LH151" s="443"/>
      <c r="LI151" s="443"/>
      <c r="LJ151" s="443"/>
      <c r="LK151" s="443"/>
      <c r="LL151" s="443"/>
      <c r="LM151" s="443"/>
      <c r="LN151" s="443"/>
      <c r="LO151" s="443"/>
      <c r="LP151" s="443"/>
      <c r="LQ151" s="443"/>
      <c r="LY151" s="448"/>
      <c r="MN151" s="443"/>
      <c r="MO151" s="443"/>
      <c r="NE151" s="82"/>
      <c r="NF151" s="82"/>
      <c r="NG151" s="82"/>
      <c r="NH151" s="82"/>
      <c r="NI151" s="82"/>
      <c r="NJ151" s="82"/>
      <c r="NK151" s="82"/>
      <c r="NL151" s="82"/>
      <c r="NM151" s="82"/>
      <c r="NN151" s="82"/>
      <c r="NO151" s="82"/>
      <c r="NP151" s="82"/>
      <c r="NQ151" s="82"/>
      <c r="NR151" s="82"/>
      <c r="NS151" s="82"/>
      <c r="NT151" s="82"/>
      <c r="NU151" s="82"/>
      <c r="NV151" s="82"/>
      <c r="NW151" s="82"/>
      <c r="NX151" s="82"/>
      <c r="NY151" s="82"/>
      <c r="NZ151" s="82"/>
      <c r="OA151" s="82"/>
      <c r="OB151" s="82"/>
      <c r="OC151" s="82"/>
      <c r="OD151" s="82"/>
      <c r="OE151" s="82"/>
      <c r="OF151" s="82"/>
      <c r="OG151" s="82"/>
      <c r="OH151" s="82"/>
      <c r="OI151" s="82"/>
      <c r="OJ151" s="82"/>
      <c r="OK151" s="82"/>
      <c r="OL151" s="82"/>
      <c r="OM151" s="82"/>
      <c r="ON151" s="82"/>
      <c r="OO151" s="82"/>
      <c r="OP151" s="82"/>
      <c r="OQ151" s="82"/>
      <c r="OR151" s="82"/>
      <c r="OS151" s="82"/>
      <c r="OT151" s="82"/>
      <c r="OU151" s="82"/>
      <c r="OV151" s="82"/>
      <c r="OW151" s="82"/>
      <c r="OX151" s="82"/>
      <c r="OY151" s="82"/>
      <c r="OZ151" s="82"/>
      <c r="PA151" s="82"/>
      <c r="PB151" s="82"/>
      <c r="PC151" s="82"/>
      <c r="PD151" s="82"/>
      <c r="PE151" s="82"/>
      <c r="PF151" s="82"/>
      <c r="PG151" s="82"/>
      <c r="PH151" s="82"/>
      <c r="PI151" s="82"/>
      <c r="PJ151" s="82"/>
      <c r="PK151" s="82"/>
      <c r="PL151" s="82"/>
      <c r="PM151" s="82"/>
      <c r="PN151" s="82"/>
      <c r="PO151" s="82"/>
      <c r="PP151" s="82"/>
      <c r="PQ151" s="82"/>
      <c r="PR151" s="82"/>
      <c r="PS151" s="82"/>
      <c r="PT151" s="82"/>
      <c r="PU151" s="82"/>
      <c r="PV151" s="82"/>
      <c r="PW151" s="82"/>
      <c r="PX151" s="82"/>
      <c r="PY151" s="82"/>
      <c r="PZ151" s="82"/>
      <c r="QA151" s="82"/>
      <c r="QB151" s="82"/>
      <c r="QC151" s="82"/>
      <c r="QD151" s="82"/>
      <c r="QE151" s="82"/>
      <c r="QF151" s="82"/>
      <c r="QG151" s="82"/>
      <c r="QH151" s="82"/>
      <c r="QI151" s="82"/>
      <c r="QJ151" s="82"/>
      <c r="QK151" s="82"/>
      <c r="QL151" s="82"/>
      <c r="QM151" s="82"/>
      <c r="QN151" s="82"/>
      <c r="QO151" s="82"/>
      <c r="QP151" s="82"/>
      <c r="QQ151" s="82"/>
      <c r="QR151" s="82"/>
      <c r="QS151" s="82"/>
      <c r="QT151" s="82"/>
      <c r="QU151" s="82"/>
      <c r="QV151" s="82"/>
      <c r="QW151" s="82"/>
      <c r="QX151" s="82"/>
      <c r="QY151" s="82"/>
      <c r="QZ151" s="82"/>
      <c r="RA151" s="82"/>
      <c r="RB151" s="82"/>
      <c r="RC151" s="82"/>
      <c r="RD151" s="82"/>
      <c r="RE151" s="82"/>
      <c r="RF151" s="82"/>
      <c r="RG151" s="82"/>
      <c r="RH151" s="82"/>
      <c r="RI151" s="82"/>
      <c r="RJ151" s="82"/>
      <c r="RK151" s="82"/>
      <c r="RL151" s="82"/>
      <c r="RM151" s="82"/>
      <c r="RN151" s="82"/>
      <c r="RO151" s="82"/>
      <c r="RP151" s="82"/>
      <c r="RQ151" s="82"/>
      <c r="RR151" s="82"/>
      <c r="RS151" s="82"/>
      <c r="RT151" s="82"/>
      <c r="RU151" s="82"/>
      <c r="RV151" s="82"/>
      <c r="RW151" s="82"/>
      <c r="RX151" s="82"/>
      <c r="RY151" s="82"/>
      <c r="RZ151" s="82"/>
      <c r="SA151" s="82"/>
      <c r="SB151" s="82"/>
      <c r="SC151" s="82"/>
      <c r="SD151" s="82"/>
      <c r="SE151" s="82"/>
      <c r="SF151" s="82"/>
      <c r="SG151" s="82"/>
      <c r="SH151" s="82"/>
      <c r="SI151" s="82"/>
    </row>
    <row r="152" spans="1:503" ht="14.25" customHeight="1">
      <c r="C152" s="2658"/>
      <c r="D152" s="2658"/>
      <c r="E152" s="103"/>
      <c r="F152" s="483"/>
      <c r="G152" s="151"/>
      <c r="H152" s="1756" t="s">
        <v>3251</v>
      </c>
      <c r="I152" s="95"/>
      <c r="J152" s="1094"/>
      <c r="K152" s="1386">
        <f t="shared" si="387"/>
        <v>0</v>
      </c>
      <c r="L152" s="1387">
        <f t="shared" si="387"/>
        <v>0</v>
      </c>
      <c r="M152" s="1387">
        <f t="shared" si="387"/>
        <v>0</v>
      </c>
      <c r="N152" s="1387">
        <f t="shared" si="387"/>
        <v>0</v>
      </c>
      <c r="O152" s="1388">
        <f t="shared" si="387"/>
        <v>0</v>
      </c>
      <c r="P152" s="575">
        <f t="shared" si="386"/>
        <v>0</v>
      </c>
      <c r="S152" s="3996"/>
      <c r="T152" s="3997"/>
      <c r="U152" s="3997"/>
      <c r="V152" s="3997"/>
      <c r="W152" s="3998"/>
      <c r="X152" s="445"/>
      <c r="AA152" s="445"/>
      <c r="AB152" s="449"/>
      <c r="AC152" s="445"/>
      <c r="AF152" s="445"/>
      <c r="AG152" s="449"/>
      <c r="AH152" s="445"/>
      <c r="AK152" s="445"/>
      <c r="AL152" s="449"/>
      <c r="AM152" s="445"/>
      <c r="AP152" s="445"/>
      <c r="AQ152" s="449"/>
      <c r="AR152" s="450"/>
      <c r="AS152" s="450"/>
      <c r="AT152" s="450"/>
      <c r="AU152" s="450"/>
      <c r="AV152" s="450"/>
      <c r="AW152" s="450"/>
      <c r="AX152" s="608"/>
      <c r="BB152" s="450"/>
      <c r="BC152" s="608"/>
      <c r="JW152" s="443"/>
      <c r="KB152" s="443"/>
      <c r="KC152" s="443"/>
      <c r="KD152" s="443"/>
      <c r="KE152" s="443"/>
      <c r="KF152" s="443"/>
      <c r="KG152" s="443"/>
      <c r="KH152" s="443"/>
      <c r="KI152" s="443"/>
      <c r="KJ152" s="443"/>
      <c r="KK152" s="443"/>
      <c r="KL152" s="443"/>
      <c r="KM152" s="443"/>
      <c r="KN152" s="443"/>
      <c r="KO152" s="443"/>
      <c r="KP152" s="443"/>
      <c r="KQ152" s="443"/>
      <c r="KR152" s="443"/>
      <c r="KS152" s="443"/>
      <c r="KT152" s="443"/>
      <c r="KU152" s="443"/>
      <c r="KV152" s="443"/>
      <c r="KW152" s="443"/>
      <c r="KX152" s="443"/>
      <c r="KY152" s="443"/>
      <c r="KZ152" s="443"/>
      <c r="LA152" s="443"/>
      <c r="LB152" s="443"/>
      <c r="LC152" s="443"/>
      <c r="LD152" s="443"/>
      <c r="LE152" s="443"/>
      <c r="LF152" s="443"/>
      <c r="LG152" s="443"/>
      <c r="LH152" s="443"/>
      <c r="LI152" s="443"/>
      <c r="LJ152" s="443"/>
      <c r="LK152" s="443"/>
      <c r="LL152" s="443"/>
      <c r="LM152" s="443"/>
      <c r="LN152" s="443"/>
      <c r="LO152" s="443"/>
      <c r="LP152" s="443"/>
      <c r="LQ152" s="443"/>
      <c r="LY152" s="448"/>
      <c r="MN152" s="443"/>
      <c r="MO152" s="443"/>
      <c r="NE152" s="82"/>
      <c r="NF152" s="82"/>
      <c r="NG152" s="82"/>
      <c r="NH152" s="82"/>
      <c r="NI152" s="82"/>
      <c r="NJ152" s="82"/>
      <c r="NK152" s="82"/>
      <c r="NL152" s="82"/>
      <c r="NM152" s="82"/>
      <c r="NN152" s="82"/>
      <c r="NO152" s="82"/>
      <c r="NP152" s="82"/>
      <c r="NQ152" s="82"/>
      <c r="NR152" s="82"/>
      <c r="NS152" s="82"/>
      <c r="NT152" s="82"/>
      <c r="NU152" s="82"/>
      <c r="NV152" s="82"/>
      <c r="NW152" s="82"/>
      <c r="NX152" s="82"/>
      <c r="NY152" s="82"/>
      <c r="NZ152" s="82"/>
      <c r="OA152" s="82"/>
      <c r="OB152" s="82"/>
      <c r="OC152" s="82"/>
      <c r="OD152" s="82"/>
      <c r="OE152" s="82"/>
      <c r="OF152" s="82"/>
      <c r="OG152" s="82"/>
      <c r="OH152" s="82"/>
      <c r="OI152" s="82"/>
      <c r="OJ152" s="82"/>
      <c r="OK152" s="82"/>
      <c r="OL152" s="82"/>
      <c r="OM152" s="82"/>
      <c r="ON152" s="82"/>
      <c r="OO152" s="82"/>
      <c r="OP152" s="82"/>
      <c r="OQ152" s="82"/>
      <c r="OR152" s="82"/>
      <c r="OS152" s="82"/>
      <c r="OT152" s="82"/>
      <c r="OU152" s="82"/>
      <c r="OV152" s="82"/>
      <c r="OW152" s="82"/>
      <c r="OX152" s="82"/>
      <c r="OY152" s="82"/>
      <c r="OZ152" s="82"/>
      <c r="PA152" s="82"/>
      <c r="PB152" s="82"/>
      <c r="PC152" s="82"/>
      <c r="PD152" s="82"/>
      <c r="PE152" s="82"/>
      <c r="PF152" s="82"/>
      <c r="PG152" s="82"/>
      <c r="PH152" s="82"/>
      <c r="PI152" s="82"/>
      <c r="PJ152" s="82"/>
      <c r="PK152" s="82"/>
      <c r="PL152" s="82"/>
      <c r="PM152" s="82"/>
      <c r="PN152" s="82"/>
      <c r="PO152" s="82"/>
      <c r="PP152" s="82"/>
      <c r="PQ152" s="82"/>
      <c r="PR152" s="82"/>
      <c r="PS152" s="82"/>
      <c r="PT152" s="82"/>
      <c r="PU152" s="82"/>
      <c r="PV152" s="82"/>
      <c r="PW152" s="82"/>
      <c r="PX152" s="82"/>
      <c r="PY152" s="82"/>
      <c r="PZ152" s="82"/>
      <c r="QA152" s="82"/>
      <c r="QB152" s="82"/>
      <c r="QC152" s="82"/>
      <c r="QD152" s="82"/>
      <c r="QE152" s="82"/>
      <c r="QF152" s="82"/>
      <c r="QG152" s="82"/>
      <c r="QH152" s="82"/>
      <c r="QI152" s="82"/>
      <c r="QJ152" s="82"/>
      <c r="QK152" s="82"/>
      <c r="QL152" s="82"/>
      <c r="QM152" s="82"/>
      <c r="QN152" s="82"/>
      <c r="QO152" s="82"/>
      <c r="QP152" s="82"/>
      <c r="QQ152" s="82"/>
      <c r="QR152" s="82"/>
      <c r="QS152" s="82"/>
      <c r="QT152" s="82"/>
      <c r="QU152" s="82"/>
      <c r="QV152" s="82"/>
      <c r="QW152" s="82"/>
      <c r="QX152" s="82"/>
      <c r="QY152" s="82"/>
      <c r="QZ152" s="82"/>
      <c r="RA152" s="82"/>
      <c r="RB152" s="82"/>
      <c r="RC152" s="82"/>
      <c r="RD152" s="82"/>
      <c r="RE152" s="82"/>
      <c r="RF152" s="82"/>
      <c r="RG152" s="82"/>
      <c r="RH152" s="82"/>
      <c r="RI152" s="82"/>
      <c r="RJ152" s="82"/>
      <c r="RK152" s="82"/>
      <c r="RL152" s="82"/>
      <c r="RM152" s="82"/>
      <c r="RN152" s="82"/>
      <c r="RO152" s="82"/>
      <c r="RP152" s="82"/>
      <c r="RQ152" s="82"/>
      <c r="RR152" s="82"/>
      <c r="RS152" s="82"/>
      <c r="RT152" s="82"/>
      <c r="RU152" s="82"/>
      <c r="RV152" s="82"/>
      <c r="RW152" s="82"/>
      <c r="RX152" s="82"/>
      <c r="RY152" s="82"/>
      <c r="RZ152" s="82"/>
      <c r="SA152" s="82"/>
      <c r="SB152" s="82"/>
      <c r="SC152" s="82"/>
      <c r="SD152" s="82"/>
      <c r="SE152" s="82"/>
      <c r="SF152" s="82"/>
      <c r="SG152" s="82"/>
      <c r="SH152" s="82"/>
      <c r="SI152" s="82"/>
    </row>
    <row r="153" spans="1:503" ht="14.25" customHeight="1">
      <c r="C153" s="2658"/>
      <c r="D153" s="2658"/>
      <c r="E153" s="103" t="s">
        <v>3248</v>
      </c>
      <c r="F153" s="483"/>
      <c r="G153" s="151"/>
      <c r="H153" s="1752"/>
      <c r="I153" s="856"/>
      <c r="J153" s="1094"/>
      <c r="K153" s="1389">
        <f t="shared" ref="K153:O154" si="388">K132+K134</f>
        <v>0</v>
      </c>
      <c r="L153" s="1390">
        <f t="shared" si="388"/>
        <v>0</v>
      </c>
      <c r="M153" s="1390">
        <f t="shared" si="388"/>
        <v>0</v>
      </c>
      <c r="N153" s="1390">
        <f t="shared" si="388"/>
        <v>0</v>
      </c>
      <c r="O153" s="1391">
        <f t="shared" si="388"/>
        <v>0</v>
      </c>
      <c r="P153" s="917">
        <f t="shared" si="386"/>
        <v>0</v>
      </c>
      <c r="S153" s="3996"/>
      <c r="T153" s="3997"/>
      <c r="U153" s="3997"/>
      <c r="V153" s="3997"/>
      <c r="W153" s="3998"/>
      <c r="X153" s="445"/>
      <c r="AA153" s="445"/>
      <c r="AB153" s="449"/>
      <c r="AC153" s="445"/>
      <c r="AF153" s="445"/>
      <c r="AG153" s="449"/>
      <c r="AH153" s="445"/>
      <c r="AK153" s="445"/>
      <c r="AL153" s="449"/>
      <c r="AM153" s="445"/>
      <c r="AP153" s="445"/>
      <c r="AQ153" s="449"/>
      <c r="AR153" s="450"/>
      <c r="AS153" s="450"/>
      <c r="AT153" s="450"/>
      <c r="AU153" s="450"/>
      <c r="AV153" s="450"/>
      <c r="AW153" s="450"/>
      <c r="AX153" s="608"/>
      <c r="BB153" s="450"/>
      <c r="BC153" s="608"/>
      <c r="JW153" s="443"/>
      <c r="KB153" s="443"/>
      <c r="KC153" s="443"/>
      <c r="KD153" s="443"/>
      <c r="KE153" s="443"/>
      <c r="KF153" s="443"/>
      <c r="KG153" s="443"/>
      <c r="KH153" s="443"/>
      <c r="KI153" s="443"/>
      <c r="KJ153" s="443"/>
      <c r="KK153" s="443"/>
      <c r="KL153" s="443"/>
      <c r="KM153" s="443"/>
      <c r="KN153" s="443"/>
      <c r="KO153" s="443"/>
      <c r="KP153" s="443"/>
      <c r="KQ153" s="443"/>
      <c r="KR153" s="443"/>
      <c r="KS153" s="443"/>
      <c r="KT153" s="443"/>
      <c r="KU153" s="443"/>
      <c r="KV153" s="443"/>
      <c r="KW153" s="443"/>
      <c r="KX153" s="443"/>
      <c r="KY153" s="443"/>
      <c r="KZ153" s="443"/>
      <c r="LA153" s="443"/>
      <c r="LB153" s="443"/>
      <c r="LC153" s="443"/>
      <c r="LD153" s="443"/>
      <c r="LE153" s="443"/>
      <c r="LF153" s="443"/>
      <c r="LG153" s="443"/>
      <c r="LH153" s="443"/>
      <c r="LI153" s="443"/>
      <c r="LJ153" s="443"/>
      <c r="LK153" s="443"/>
      <c r="LL153" s="443"/>
      <c r="LM153" s="443"/>
      <c r="LN153" s="443"/>
      <c r="LO153" s="443"/>
      <c r="LP153" s="443"/>
      <c r="LQ153" s="443"/>
      <c r="LY153" s="448"/>
      <c r="MN153" s="443"/>
      <c r="MO153" s="443"/>
      <c r="NE153" s="82"/>
      <c r="NF153" s="82"/>
      <c r="NG153" s="82"/>
      <c r="NH153" s="82"/>
      <c r="NI153" s="82"/>
      <c r="NJ153" s="82"/>
      <c r="NK153" s="82"/>
      <c r="NL153" s="82"/>
      <c r="NM153" s="82"/>
      <c r="NN153" s="82"/>
      <c r="NO153" s="82"/>
      <c r="NP153" s="82"/>
      <c r="NQ153" s="82"/>
      <c r="NR153" s="82"/>
      <c r="NS153" s="82"/>
      <c r="NT153" s="82"/>
      <c r="NU153" s="82"/>
      <c r="NV153" s="82"/>
      <c r="NW153" s="82"/>
      <c r="NX153" s="82"/>
      <c r="NY153" s="82"/>
      <c r="NZ153" s="82"/>
      <c r="OA153" s="82"/>
      <c r="OB153" s="82"/>
      <c r="OC153" s="82"/>
      <c r="OD153" s="82"/>
      <c r="OE153" s="82"/>
      <c r="OF153" s="82"/>
      <c r="OG153" s="82"/>
      <c r="OH153" s="82"/>
      <c r="OI153" s="82"/>
      <c r="OJ153" s="82"/>
      <c r="OK153" s="82"/>
      <c r="OL153" s="82"/>
      <c r="OM153" s="82"/>
      <c r="ON153" s="82"/>
      <c r="OO153" s="82"/>
      <c r="OP153" s="82"/>
      <c r="OQ153" s="82"/>
      <c r="OR153" s="82"/>
      <c r="OS153" s="82"/>
      <c r="OT153" s="82"/>
      <c r="OU153" s="82"/>
      <c r="OV153" s="82"/>
      <c r="OW153" s="82"/>
      <c r="OX153" s="82"/>
      <c r="OY153" s="82"/>
      <c r="OZ153" s="82"/>
      <c r="PA153" s="82"/>
      <c r="PB153" s="82"/>
      <c r="PC153" s="82"/>
      <c r="PD153" s="82"/>
      <c r="PE153" s="82"/>
      <c r="PF153" s="82"/>
      <c r="PG153" s="82"/>
      <c r="PH153" s="82"/>
      <c r="PI153" s="82"/>
      <c r="PJ153" s="82"/>
      <c r="PK153" s="82"/>
      <c r="PL153" s="82"/>
      <c r="PM153" s="82"/>
      <c r="PN153" s="82"/>
      <c r="PO153" s="82"/>
      <c r="PP153" s="82"/>
      <c r="PQ153" s="82"/>
      <c r="PR153" s="82"/>
      <c r="PS153" s="82"/>
      <c r="PT153" s="82"/>
      <c r="PU153" s="82"/>
      <c r="PV153" s="82"/>
      <c r="PW153" s="82"/>
      <c r="PX153" s="82"/>
      <c r="PY153" s="82"/>
      <c r="PZ153" s="82"/>
      <c r="QA153" s="82"/>
      <c r="QB153" s="82"/>
      <c r="QC153" s="82"/>
      <c r="QD153" s="82"/>
      <c r="QE153" s="82"/>
      <c r="QF153" s="82"/>
      <c r="QG153" s="82"/>
      <c r="QH153" s="82"/>
      <c r="QI153" s="82"/>
      <c r="QJ153" s="82"/>
      <c r="QK153" s="82"/>
      <c r="QL153" s="82"/>
      <c r="QM153" s="82"/>
      <c r="QN153" s="82"/>
      <c r="QO153" s="82"/>
      <c r="QP153" s="82"/>
      <c r="QQ153" s="82"/>
      <c r="QR153" s="82"/>
      <c r="QS153" s="82"/>
      <c r="QT153" s="82"/>
      <c r="QU153" s="82"/>
      <c r="QV153" s="82"/>
      <c r="QW153" s="82"/>
      <c r="QX153" s="82"/>
      <c r="QY153" s="82"/>
      <c r="QZ153" s="82"/>
      <c r="RA153" s="82"/>
      <c r="RB153" s="82"/>
      <c r="RC153" s="82"/>
      <c r="RD153" s="82"/>
      <c r="RE153" s="82"/>
      <c r="RF153" s="82"/>
      <c r="RG153" s="82"/>
      <c r="RH153" s="82"/>
      <c r="RI153" s="82"/>
      <c r="RJ153" s="82"/>
      <c r="RK153" s="82"/>
      <c r="RL153" s="82"/>
      <c r="RM153" s="82"/>
      <c r="RN153" s="82"/>
      <c r="RO153" s="82"/>
      <c r="RP153" s="82"/>
      <c r="RQ153" s="82"/>
      <c r="RR153" s="82"/>
      <c r="RS153" s="82"/>
      <c r="RT153" s="82"/>
      <c r="RU153" s="82"/>
      <c r="RV153" s="82"/>
      <c r="RW153" s="82"/>
      <c r="RX153" s="82"/>
      <c r="RY153" s="82"/>
      <c r="RZ153" s="82"/>
      <c r="SA153" s="82"/>
      <c r="SB153" s="82"/>
      <c r="SC153" s="82"/>
      <c r="SD153" s="82"/>
      <c r="SE153" s="82"/>
      <c r="SF153" s="82"/>
      <c r="SG153" s="82"/>
      <c r="SH153" s="82"/>
      <c r="SI153" s="82"/>
    </row>
    <row r="154" spans="1:503" ht="14.25" customHeight="1">
      <c r="C154" s="2658"/>
      <c r="D154" s="2658"/>
      <c r="E154" s="103"/>
      <c r="F154" s="483"/>
      <c r="G154" s="151"/>
      <c r="H154" s="1756" t="s">
        <v>3251</v>
      </c>
      <c r="I154" s="95"/>
      <c r="J154" s="1094"/>
      <c r="K154" s="1386">
        <f t="shared" si="388"/>
        <v>0</v>
      </c>
      <c r="L154" s="1387">
        <f t="shared" si="388"/>
        <v>0</v>
      </c>
      <c r="M154" s="1387">
        <f t="shared" si="388"/>
        <v>0</v>
      </c>
      <c r="N154" s="1387">
        <f t="shared" si="388"/>
        <v>0</v>
      </c>
      <c r="O154" s="1388">
        <f t="shared" si="388"/>
        <v>0</v>
      </c>
      <c r="P154" s="575">
        <f t="shared" si="386"/>
        <v>0</v>
      </c>
      <c r="S154" s="3996"/>
      <c r="T154" s="3997"/>
      <c r="U154" s="3997"/>
      <c r="V154" s="3997"/>
      <c r="W154" s="3998"/>
      <c r="X154" s="445"/>
      <c r="AA154" s="445"/>
      <c r="AB154" s="449"/>
      <c r="AC154" s="445"/>
      <c r="AF154" s="445"/>
      <c r="AG154" s="449"/>
      <c r="AH154" s="445"/>
      <c r="AK154" s="445"/>
      <c r="AL154" s="449"/>
      <c r="AM154" s="445"/>
      <c r="AP154" s="445"/>
      <c r="AQ154" s="449"/>
      <c r="AR154" s="450"/>
      <c r="AS154" s="450"/>
      <c r="AT154" s="450"/>
      <c r="AU154" s="450"/>
      <c r="AV154" s="450"/>
      <c r="AW154" s="450"/>
      <c r="AX154" s="608"/>
      <c r="BB154" s="450"/>
      <c r="BC154" s="608"/>
      <c r="JW154" s="443"/>
      <c r="KB154" s="443"/>
      <c r="KC154" s="443"/>
      <c r="KD154" s="443"/>
      <c r="KE154" s="443"/>
      <c r="KF154" s="443"/>
      <c r="KG154" s="443"/>
      <c r="KH154" s="443"/>
      <c r="KI154" s="443"/>
      <c r="KJ154" s="443"/>
      <c r="KK154" s="443"/>
      <c r="KL154" s="443"/>
      <c r="KM154" s="443"/>
      <c r="KN154" s="443"/>
      <c r="KO154" s="443"/>
      <c r="KP154" s="443"/>
      <c r="KQ154" s="443"/>
      <c r="KR154" s="443"/>
      <c r="KS154" s="443"/>
      <c r="KT154" s="443"/>
      <c r="KU154" s="443"/>
      <c r="KV154" s="443"/>
      <c r="KW154" s="443"/>
      <c r="KX154" s="443"/>
      <c r="KY154" s="443"/>
      <c r="KZ154" s="443"/>
      <c r="LA154" s="443"/>
      <c r="LB154" s="443"/>
      <c r="LC154" s="443"/>
      <c r="LD154" s="443"/>
      <c r="LE154" s="443"/>
      <c r="LF154" s="443"/>
      <c r="LG154" s="443"/>
      <c r="LH154" s="443"/>
      <c r="LI154" s="443"/>
      <c r="LJ154" s="443"/>
      <c r="LK154" s="443"/>
      <c r="LL154" s="443"/>
      <c r="LM154" s="443"/>
      <c r="LN154" s="443"/>
      <c r="LO154" s="443"/>
      <c r="LP154" s="443"/>
      <c r="LQ154" s="443"/>
      <c r="LY154" s="448"/>
      <c r="MN154" s="443"/>
      <c r="MO154" s="443"/>
      <c r="NE154" s="82"/>
      <c r="NF154" s="82"/>
      <c r="NG154" s="82"/>
      <c r="NH154" s="82"/>
      <c r="NI154" s="82"/>
      <c r="NJ154" s="82"/>
      <c r="NK154" s="82"/>
      <c r="NL154" s="82"/>
      <c r="NM154" s="82"/>
      <c r="NN154" s="82"/>
      <c r="NO154" s="82"/>
      <c r="NP154" s="82"/>
      <c r="NQ154" s="82"/>
      <c r="NR154" s="82"/>
      <c r="NS154" s="82"/>
      <c r="NT154" s="82"/>
      <c r="NU154" s="82"/>
      <c r="NV154" s="82"/>
      <c r="NW154" s="82"/>
      <c r="NX154" s="82"/>
      <c r="NY154" s="82"/>
      <c r="NZ154" s="82"/>
      <c r="OA154" s="82"/>
      <c r="OB154" s="82"/>
      <c r="OC154" s="82"/>
      <c r="OD154" s="82"/>
      <c r="OE154" s="82"/>
      <c r="OF154" s="82"/>
      <c r="OG154" s="82"/>
      <c r="OH154" s="82"/>
      <c r="OI154" s="82"/>
      <c r="OJ154" s="82"/>
      <c r="OK154" s="82"/>
      <c r="OL154" s="82"/>
      <c r="OM154" s="82"/>
      <c r="ON154" s="82"/>
      <c r="OO154" s="82"/>
      <c r="OP154" s="82"/>
      <c r="OQ154" s="82"/>
      <c r="OR154" s="82"/>
      <c r="OS154" s="82"/>
      <c r="OT154" s="82"/>
      <c r="OU154" s="82"/>
      <c r="OV154" s="82"/>
      <c r="OW154" s="82"/>
      <c r="OX154" s="82"/>
      <c r="OY154" s="82"/>
      <c r="OZ154" s="82"/>
      <c r="PA154" s="82"/>
      <c r="PB154" s="82"/>
      <c r="PC154" s="82"/>
      <c r="PD154" s="82"/>
      <c r="PE154" s="82"/>
      <c r="PF154" s="82"/>
      <c r="PG154" s="82"/>
      <c r="PH154" s="82"/>
      <c r="PI154" s="82"/>
      <c r="PJ154" s="82"/>
      <c r="PK154" s="82"/>
      <c r="PL154" s="82"/>
      <c r="PM154" s="82"/>
      <c r="PN154" s="82"/>
      <c r="PO154" s="82"/>
      <c r="PP154" s="82"/>
      <c r="PQ154" s="82"/>
      <c r="PR154" s="82"/>
      <c r="PS154" s="82"/>
      <c r="PT154" s="82"/>
      <c r="PU154" s="82"/>
      <c r="PV154" s="82"/>
      <c r="PW154" s="82"/>
      <c r="PX154" s="82"/>
      <c r="PY154" s="82"/>
      <c r="PZ154" s="82"/>
      <c r="QA154" s="82"/>
      <c r="QB154" s="82"/>
      <c r="QC154" s="82"/>
      <c r="QD154" s="82"/>
      <c r="QE154" s="82"/>
      <c r="QF154" s="82"/>
      <c r="QG154" s="82"/>
      <c r="QH154" s="82"/>
      <c r="QI154" s="82"/>
      <c r="QJ154" s="82"/>
      <c r="QK154" s="82"/>
      <c r="QL154" s="82"/>
      <c r="QM154" s="82"/>
      <c r="QN154" s="82"/>
      <c r="QO154" s="82"/>
      <c r="QP154" s="82"/>
      <c r="QQ154" s="82"/>
      <c r="QR154" s="82"/>
      <c r="QS154" s="82"/>
      <c r="QT154" s="82"/>
      <c r="QU154" s="82"/>
      <c r="QV154" s="82"/>
      <c r="QW154" s="82"/>
      <c r="QX154" s="82"/>
      <c r="QY154" s="82"/>
      <c r="QZ154" s="82"/>
      <c r="RA154" s="82"/>
      <c r="RB154" s="82"/>
      <c r="RC154" s="82"/>
      <c r="RD154" s="82"/>
      <c r="RE154" s="82"/>
      <c r="RF154" s="82"/>
      <c r="RG154" s="82"/>
      <c r="RH154" s="82"/>
      <c r="RI154" s="82"/>
      <c r="RJ154" s="82"/>
      <c r="RK154" s="82"/>
      <c r="RL154" s="82"/>
      <c r="RM154" s="82"/>
      <c r="RN154" s="82"/>
      <c r="RO154" s="82"/>
      <c r="RP154" s="82"/>
      <c r="RQ154" s="82"/>
      <c r="RR154" s="82"/>
      <c r="RS154" s="82"/>
      <c r="RT154" s="82"/>
      <c r="RU154" s="82"/>
      <c r="RV154" s="82"/>
      <c r="RW154" s="82"/>
      <c r="RX154" s="82"/>
      <c r="RY154" s="82"/>
      <c r="RZ154" s="82"/>
      <c r="SA154" s="82"/>
      <c r="SB154" s="82"/>
      <c r="SC154" s="82"/>
      <c r="SD154" s="82"/>
      <c r="SE154" s="82"/>
      <c r="SF154" s="82"/>
      <c r="SG154" s="82"/>
      <c r="SH154" s="82"/>
      <c r="SI154" s="82"/>
    </row>
    <row r="155" spans="1:503" ht="14.25" customHeight="1">
      <c r="C155" s="2658"/>
      <c r="D155" s="2658"/>
      <c r="E155" s="103" t="s">
        <v>3249</v>
      </c>
      <c r="F155" s="483"/>
      <c r="G155" s="151"/>
      <c r="H155" s="1752"/>
      <c r="I155" s="856"/>
      <c r="J155" s="1094"/>
      <c r="K155" s="1389">
        <f t="shared" ref="K155:O156" si="389">K130+K136</f>
        <v>0</v>
      </c>
      <c r="L155" s="1390">
        <f t="shared" si="389"/>
        <v>20</v>
      </c>
      <c r="M155" s="1390">
        <f t="shared" si="389"/>
        <v>52</v>
      </c>
      <c r="N155" s="1390">
        <f t="shared" si="389"/>
        <v>0</v>
      </c>
      <c r="O155" s="1391">
        <f t="shared" si="389"/>
        <v>0</v>
      </c>
      <c r="P155" s="917">
        <f t="shared" si="386"/>
        <v>72</v>
      </c>
      <c r="S155" s="3996"/>
      <c r="T155" s="3997"/>
      <c r="U155" s="3997"/>
      <c r="V155" s="3997"/>
      <c r="W155" s="3998"/>
      <c r="X155" s="445"/>
      <c r="AA155" s="445"/>
      <c r="AB155" s="449"/>
      <c r="AC155" s="445"/>
      <c r="AF155" s="445"/>
      <c r="AG155" s="449"/>
      <c r="AH155" s="445"/>
      <c r="AK155" s="445"/>
      <c r="AL155" s="449"/>
      <c r="AM155" s="445"/>
      <c r="AP155" s="445"/>
      <c r="AQ155" s="449"/>
      <c r="AR155" s="450"/>
      <c r="AS155" s="450"/>
      <c r="AT155" s="450"/>
      <c r="AU155" s="450"/>
      <c r="AV155" s="450"/>
      <c r="AW155" s="450"/>
      <c r="AX155" s="608"/>
      <c r="BB155" s="450"/>
      <c r="BC155" s="608"/>
      <c r="JW155" s="443"/>
      <c r="KB155" s="443"/>
      <c r="KC155" s="443"/>
      <c r="KD155" s="443"/>
      <c r="KE155" s="443"/>
      <c r="KF155" s="443"/>
      <c r="KG155" s="443"/>
      <c r="KH155" s="443"/>
      <c r="KI155" s="443"/>
      <c r="KJ155" s="443"/>
      <c r="KK155" s="443"/>
      <c r="KL155" s="443"/>
      <c r="KM155" s="443"/>
      <c r="KN155" s="443"/>
      <c r="KO155" s="443"/>
      <c r="KP155" s="443"/>
      <c r="KQ155" s="443"/>
      <c r="KR155" s="443"/>
      <c r="KS155" s="443"/>
      <c r="KT155" s="443"/>
      <c r="KU155" s="443"/>
      <c r="KV155" s="443"/>
      <c r="KW155" s="443"/>
      <c r="KX155" s="443"/>
      <c r="KY155" s="443"/>
      <c r="KZ155" s="443"/>
      <c r="LA155" s="443"/>
      <c r="LB155" s="443"/>
      <c r="LC155" s="443"/>
      <c r="LD155" s="443"/>
      <c r="LE155" s="443"/>
      <c r="LF155" s="443"/>
      <c r="LG155" s="443"/>
      <c r="LH155" s="443"/>
      <c r="LI155" s="443"/>
      <c r="LJ155" s="443"/>
      <c r="LK155" s="443"/>
      <c r="LL155" s="443"/>
      <c r="LM155" s="443"/>
      <c r="LN155" s="443"/>
      <c r="LO155" s="443"/>
      <c r="LP155" s="443"/>
      <c r="LQ155" s="443"/>
      <c r="LY155" s="448"/>
      <c r="MN155" s="443"/>
      <c r="MO155" s="443"/>
      <c r="NE155" s="82"/>
      <c r="NF155" s="82"/>
      <c r="NG155" s="82"/>
      <c r="NH155" s="82"/>
      <c r="NI155" s="82"/>
      <c r="NJ155" s="82"/>
      <c r="NK155" s="82"/>
      <c r="NL155" s="82"/>
      <c r="NM155" s="82"/>
      <c r="NN155" s="82"/>
      <c r="NO155" s="82"/>
      <c r="NP155" s="82"/>
      <c r="NQ155" s="82"/>
      <c r="NR155" s="82"/>
      <c r="NS155" s="82"/>
      <c r="NT155" s="82"/>
      <c r="NU155" s="82"/>
      <c r="NV155" s="82"/>
      <c r="NW155" s="82"/>
      <c r="NX155" s="82"/>
      <c r="NY155" s="82"/>
      <c r="NZ155" s="82"/>
      <c r="OA155" s="82"/>
      <c r="OB155" s="82"/>
      <c r="OC155" s="82"/>
      <c r="OD155" s="82"/>
      <c r="OE155" s="82"/>
      <c r="OF155" s="82"/>
      <c r="OG155" s="82"/>
      <c r="OH155" s="82"/>
      <c r="OI155" s="82"/>
      <c r="OJ155" s="82"/>
      <c r="OK155" s="82"/>
      <c r="OL155" s="82"/>
      <c r="OM155" s="82"/>
      <c r="ON155" s="82"/>
      <c r="OO155" s="82"/>
      <c r="OP155" s="82"/>
      <c r="OQ155" s="82"/>
      <c r="OR155" s="82"/>
      <c r="OS155" s="82"/>
      <c r="OT155" s="82"/>
      <c r="OU155" s="82"/>
      <c r="OV155" s="82"/>
      <c r="OW155" s="82"/>
      <c r="OX155" s="82"/>
      <c r="OY155" s="82"/>
      <c r="OZ155" s="82"/>
      <c r="PA155" s="82"/>
      <c r="PB155" s="82"/>
      <c r="PC155" s="82"/>
      <c r="PD155" s="82"/>
      <c r="PE155" s="82"/>
      <c r="PF155" s="82"/>
      <c r="PG155" s="82"/>
      <c r="PH155" s="82"/>
      <c r="PI155" s="82"/>
      <c r="PJ155" s="82"/>
      <c r="PK155" s="82"/>
      <c r="PL155" s="82"/>
      <c r="PM155" s="82"/>
      <c r="PN155" s="82"/>
      <c r="PO155" s="82"/>
      <c r="PP155" s="82"/>
      <c r="PQ155" s="82"/>
      <c r="PR155" s="82"/>
      <c r="PS155" s="82"/>
      <c r="PT155" s="82"/>
      <c r="PU155" s="82"/>
      <c r="PV155" s="82"/>
      <c r="PW155" s="82"/>
      <c r="PX155" s="82"/>
      <c r="PY155" s="82"/>
      <c r="PZ155" s="82"/>
      <c r="QA155" s="82"/>
      <c r="QB155" s="82"/>
      <c r="QC155" s="82"/>
      <c r="QD155" s="82"/>
      <c r="QE155" s="82"/>
      <c r="QF155" s="82"/>
      <c r="QG155" s="82"/>
      <c r="QH155" s="82"/>
      <c r="QI155" s="82"/>
      <c r="QJ155" s="82"/>
      <c r="QK155" s="82"/>
      <c r="QL155" s="82"/>
      <c r="QM155" s="82"/>
      <c r="QN155" s="82"/>
      <c r="QO155" s="82"/>
      <c r="QP155" s="82"/>
      <c r="QQ155" s="82"/>
      <c r="QR155" s="82"/>
      <c r="QS155" s="82"/>
      <c r="QT155" s="82"/>
      <c r="QU155" s="82"/>
      <c r="QV155" s="82"/>
      <c r="QW155" s="82"/>
      <c r="QX155" s="82"/>
      <c r="QY155" s="82"/>
      <c r="QZ155" s="82"/>
      <c r="RA155" s="82"/>
      <c r="RB155" s="82"/>
      <c r="RC155" s="82"/>
      <c r="RD155" s="82"/>
      <c r="RE155" s="82"/>
      <c r="RF155" s="82"/>
      <c r="RG155" s="82"/>
      <c r="RH155" s="82"/>
      <c r="RI155" s="82"/>
      <c r="RJ155" s="82"/>
      <c r="RK155" s="82"/>
      <c r="RL155" s="82"/>
      <c r="RM155" s="82"/>
      <c r="RN155" s="82"/>
      <c r="RO155" s="82"/>
      <c r="RP155" s="82"/>
      <c r="RQ155" s="82"/>
      <c r="RR155" s="82"/>
      <c r="RS155" s="82"/>
      <c r="RT155" s="82"/>
      <c r="RU155" s="82"/>
      <c r="RV155" s="82"/>
      <c r="RW155" s="82"/>
      <c r="RX155" s="82"/>
      <c r="RY155" s="82"/>
      <c r="RZ155" s="82"/>
      <c r="SA155" s="82"/>
      <c r="SB155" s="82"/>
      <c r="SC155" s="82"/>
      <c r="SD155" s="82"/>
      <c r="SE155" s="82"/>
      <c r="SF155" s="82"/>
      <c r="SG155" s="82"/>
      <c r="SH155" s="82"/>
      <c r="SI155" s="82"/>
    </row>
    <row r="156" spans="1:503" ht="14.25" customHeight="1">
      <c r="C156" s="1"/>
      <c r="D156" s="1"/>
      <c r="E156" s="387"/>
      <c r="F156" s="172"/>
      <c r="G156" s="82"/>
      <c r="H156" s="1757" t="s">
        <v>3251</v>
      </c>
      <c r="I156" s="852"/>
      <c r="J156" s="82"/>
      <c r="K156" s="1392">
        <f t="shared" si="389"/>
        <v>0</v>
      </c>
      <c r="L156" s="1393">
        <f t="shared" si="389"/>
        <v>0</v>
      </c>
      <c r="M156" s="1393">
        <f t="shared" si="389"/>
        <v>0</v>
      </c>
      <c r="N156" s="1393">
        <f t="shared" si="389"/>
        <v>0</v>
      </c>
      <c r="O156" s="1394">
        <f t="shared" si="389"/>
        <v>0</v>
      </c>
      <c r="P156" s="918">
        <f t="shared" si="386"/>
        <v>0</v>
      </c>
      <c r="Q156" s="2680" t="s">
        <v>4449</v>
      </c>
      <c r="S156" s="4027"/>
      <c r="T156" s="4028"/>
      <c r="U156" s="4028"/>
      <c r="V156" s="4028"/>
      <c r="W156" s="4029"/>
      <c r="X156" s="445"/>
      <c r="AA156" s="445"/>
      <c r="AB156" s="449"/>
      <c r="AC156" s="445"/>
      <c r="AF156" s="445"/>
      <c r="AG156" s="449"/>
      <c r="AH156" s="445"/>
      <c r="AK156" s="445"/>
      <c r="AL156" s="449"/>
      <c r="AM156" s="445"/>
      <c r="AP156" s="445"/>
      <c r="AQ156" s="449"/>
      <c r="AR156" s="450"/>
      <c r="AS156" s="450"/>
      <c r="AT156" s="450"/>
      <c r="AU156" s="450"/>
      <c r="AV156" s="450"/>
      <c r="AW156" s="450"/>
      <c r="AX156" s="608"/>
      <c r="BB156" s="450"/>
      <c r="BC156" s="608"/>
      <c r="JW156" s="443"/>
      <c r="KB156" s="443"/>
      <c r="KC156" s="443"/>
      <c r="KD156" s="443"/>
      <c r="KE156" s="443"/>
      <c r="KF156" s="443"/>
      <c r="KG156" s="443"/>
      <c r="KH156" s="443"/>
      <c r="KI156" s="443"/>
      <c r="KJ156" s="443"/>
      <c r="KK156" s="443"/>
      <c r="KL156" s="443"/>
      <c r="KM156" s="443"/>
      <c r="KN156" s="443"/>
      <c r="KO156" s="443"/>
      <c r="KP156" s="443"/>
      <c r="KQ156" s="443"/>
      <c r="KR156" s="443"/>
      <c r="KS156" s="443"/>
      <c r="KT156" s="443"/>
      <c r="KU156" s="443"/>
      <c r="KV156" s="443"/>
      <c r="KW156" s="443"/>
      <c r="KX156" s="443"/>
      <c r="KY156" s="443"/>
      <c r="KZ156" s="443"/>
      <c r="LA156" s="443"/>
      <c r="LB156" s="443"/>
      <c r="LC156" s="443"/>
      <c r="LD156" s="443"/>
      <c r="LE156" s="443"/>
      <c r="LF156" s="443"/>
      <c r="LG156" s="443"/>
      <c r="LH156" s="443"/>
      <c r="LI156" s="443"/>
      <c r="LJ156" s="443"/>
      <c r="LK156" s="443"/>
      <c r="LL156" s="443"/>
      <c r="LM156" s="443"/>
      <c r="LN156" s="443"/>
      <c r="LO156" s="443"/>
      <c r="LP156" s="443"/>
      <c r="LQ156" s="443"/>
      <c r="LY156" s="448"/>
      <c r="MN156" s="443"/>
      <c r="MO156" s="443"/>
      <c r="NE156" s="82"/>
      <c r="NF156" s="82"/>
      <c r="NG156" s="82"/>
      <c r="NH156" s="82"/>
      <c r="NI156" s="82"/>
      <c r="NJ156" s="82"/>
      <c r="NK156" s="82"/>
      <c r="NL156" s="82"/>
      <c r="NM156" s="82"/>
      <c r="NN156" s="82"/>
      <c r="NO156" s="82"/>
      <c r="NP156" s="82"/>
      <c r="NQ156" s="82"/>
      <c r="NR156" s="82"/>
      <c r="NS156" s="82"/>
      <c r="NT156" s="82"/>
      <c r="NU156" s="82"/>
      <c r="NV156" s="82"/>
      <c r="NW156" s="82"/>
      <c r="NX156" s="82"/>
      <c r="NY156" s="82"/>
      <c r="NZ156" s="82"/>
      <c r="OA156" s="82"/>
      <c r="OB156" s="82"/>
      <c r="OC156" s="82"/>
      <c r="OD156" s="82"/>
      <c r="OE156" s="82"/>
      <c r="OF156" s="82"/>
      <c r="OG156" s="82"/>
      <c r="OH156" s="82"/>
      <c r="OI156" s="82"/>
      <c r="OJ156" s="82"/>
      <c r="OK156" s="82"/>
      <c r="OL156" s="82"/>
      <c r="OM156" s="82"/>
      <c r="ON156" s="82"/>
      <c r="OO156" s="82"/>
      <c r="OP156" s="82"/>
      <c r="OQ156" s="82"/>
      <c r="OR156" s="82"/>
      <c r="OS156" s="82"/>
      <c r="OT156" s="82"/>
      <c r="OU156" s="82"/>
      <c r="OV156" s="82"/>
      <c r="OW156" s="82"/>
      <c r="OX156" s="82"/>
      <c r="OY156" s="82"/>
      <c r="OZ156" s="82"/>
      <c r="PA156" s="82"/>
      <c r="PB156" s="82"/>
      <c r="PC156" s="82"/>
      <c r="PD156" s="82"/>
      <c r="PE156" s="82"/>
      <c r="PF156" s="82"/>
      <c r="PG156" s="82"/>
      <c r="PH156" s="82"/>
      <c r="PI156" s="82"/>
      <c r="PJ156" s="82"/>
      <c r="PK156" s="82"/>
      <c r="PL156" s="82"/>
      <c r="PM156" s="82"/>
      <c r="PN156" s="82"/>
      <c r="PO156" s="82"/>
      <c r="PP156" s="82"/>
      <c r="PQ156" s="82"/>
      <c r="PR156" s="82"/>
      <c r="PS156" s="82"/>
      <c r="PT156" s="82"/>
      <c r="PU156" s="82"/>
      <c r="PV156" s="82"/>
      <c r="PW156" s="82"/>
      <c r="PX156" s="82"/>
      <c r="PY156" s="82"/>
      <c r="PZ156" s="82"/>
      <c r="QA156" s="82"/>
      <c r="QB156" s="82"/>
      <c r="QC156" s="82"/>
      <c r="QD156" s="82"/>
      <c r="QE156" s="82"/>
      <c r="QF156" s="82"/>
      <c r="QG156" s="82"/>
      <c r="QH156" s="82"/>
      <c r="QI156" s="82"/>
      <c r="QJ156" s="82"/>
      <c r="QK156" s="82"/>
      <c r="QL156" s="82"/>
      <c r="QM156" s="82"/>
      <c r="QN156" s="82"/>
      <c r="QO156" s="82"/>
      <c r="QP156" s="82"/>
      <c r="QQ156" s="82"/>
      <c r="QR156" s="82"/>
      <c r="QS156" s="82"/>
      <c r="QT156" s="82"/>
      <c r="QU156" s="82"/>
      <c r="QV156" s="82"/>
      <c r="QW156" s="82"/>
      <c r="QX156" s="82"/>
      <c r="QY156" s="82"/>
      <c r="QZ156" s="82"/>
      <c r="RA156" s="82"/>
      <c r="RB156" s="82"/>
      <c r="RC156" s="82"/>
      <c r="RD156" s="82"/>
      <c r="RE156" s="82"/>
      <c r="RF156" s="82"/>
      <c r="RG156" s="82"/>
      <c r="RH156" s="82"/>
      <c r="RI156" s="82"/>
      <c r="RJ156" s="82"/>
      <c r="RK156" s="82"/>
      <c r="RL156" s="82"/>
      <c r="RM156" s="82"/>
      <c r="RN156" s="82"/>
      <c r="RO156" s="82"/>
      <c r="RP156" s="82"/>
      <c r="RQ156" s="82"/>
      <c r="RR156" s="82"/>
      <c r="RS156" s="82"/>
      <c r="RT156" s="82"/>
      <c r="RU156" s="82"/>
      <c r="RV156" s="82"/>
      <c r="RW156" s="82"/>
      <c r="RX156" s="82"/>
      <c r="RY156" s="82"/>
      <c r="RZ156" s="82"/>
      <c r="SA156" s="82"/>
      <c r="SB156" s="82"/>
      <c r="SC156" s="82"/>
      <c r="SD156" s="82"/>
      <c r="SE156" s="82"/>
      <c r="SF156" s="82"/>
      <c r="SG156" s="82"/>
      <c r="SH156" s="82"/>
      <c r="SI156" s="82"/>
    </row>
    <row r="157" spans="1:503" ht="9" customHeight="1">
      <c r="A157" s="1351"/>
      <c r="B157" s="1351"/>
      <c r="D157" s="577"/>
      <c r="E157" s="110"/>
      <c r="F157" s="1"/>
      <c r="G157" s="82"/>
      <c r="H157" s="36"/>
      <c r="I157" s="36"/>
      <c r="J157" s="82"/>
      <c r="K157" s="571"/>
      <c r="L157" s="571"/>
      <c r="M157" s="571"/>
      <c r="N157" s="571"/>
      <c r="O157" s="571"/>
      <c r="P157" s="571"/>
      <c r="Q157" s="2680"/>
      <c r="S157" s="311"/>
      <c r="T157" s="151"/>
      <c r="U157" s="404"/>
      <c r="X157" s="1815"/>
      <c r="AA157" s="1815"/>
      <c r="AB157" s="449"/>
      <c r="AC157" s="1815"/>
      <c r="AF157" s="1815"/>
      <c r="AG157" s="449"/>
      <c r="AH157" s="1815"/>
      <c r="AK157" s="1815"/>
      <c r="AL157" s="449"/>
      <c r="AM157" s="1815"/>
      <c r="AP157" s="1815"/>
      <c r="AQ157" s="449"/>
      <c r="AR157" s="1815"/>
      <c r="AS157" s="1815"/>
      <c r="AT157" s="1815"/>
      <c r="AU157" s="1815"/>
      <c r="AV157" s="1815"/>
      <c r="AW157" s="1815"/>
      <c r="AX157" s="608"/>
      <c r="AY157" s="445"/>
      <c r="BB157" s="1815"/>
      <c r="BC157" s="608"/>
      <c r="BD157" s="445"/>
      <c r="LY157" s="448"/>
      <c r="MN157" s="443"/>
      <c r="MO157" s="443"/>
      <c r="NE157" s="82"/>
      <c r="NF157" s="82"/>
      <c r="NG157" s="82"/>
      <c r="NH157" s="82"/>
      <c r="NI157" s="82"/>
      <c r="NJ157" s="82"/>
      <c r="NK157" s="82"/>
      <c r="NL157" s="82"/>
      <c r="NM157" s="82"/>
      <c r="NN157" s="82"/>
      <c r="NO157" s="82"/>
      <c r="NP157" s="82"/>
      <c r="NQ157" s="82"/>
      <c r="NR157" s="82"/>
      <c r="NS157" s="82"/>
      <c r="NT157" s="82"/>
      <c r="NU157" s="82"/>
      <c r="NV157" s="82"/>
      <c r="NW157" s="82"/>
      <c r="NX157" s="82"/>
      <c r="NY157" s="82"/>
      <c r="NZ157" s="82"/>
      <c r="OA157" s="82"/>
      <c r="OB157" s="82"/>
      <c r="OC157" s="82"/>
      <c r="OD157" s="82"/>
      <c r="OE157" s="82"/>
      <c r="OF157" s="82"/>
      <c r="OG157" s="82"/>
      <c r="OH157" s="82"/>
      <c r="OI157" s="82"/>
      <c r="OJ157" s="82"/>
      <c r="OK157" s="82"/>
      <c r="OL157" s="82"/>
      <c r="OM157" s="82"/>
      <c r="ON157" s="82"/>
      <c r="OO157" s="82"/>
      <c r="OP157" s="82"/>
      <c r="OQ157" s="82"/>
      <c r="OR157" s="82"/>
      <c r="OS157" s="82"/>
      <c r="OT157" s="82"/>
      <c r="OU157" s="82"/>
      <c r="OV157" s="82"/>
      <c r="OW157" s="82"/>
      <c r="OX157" s="82"/>
      <c r="OY157" s="82"/>
      <c r="OZ157" s="82"/>
      <c r="PA157" s="82"/>
      <c r="PB157" s="82"/>
      <c r="PC157" s="82"/>
      <c r="PD157" s="82"/>
      <c r="PE157" s="82"/>
      <c r="PF157" s="82"/>
      <c r="PG157" s="82"/>
      <c r="PH157" s="82"/>
      <c r="PI157" s="82"/>
      <c r="PJ157" s="82"/>
      <c r="PK157" s="82"/>
      <c r="PL157" s="82"/>
      <c r="PM157" s="82"/>
      <c r="PN157" s="82"/>
      <c r="PO157" s="82"/>
      <c r="PP157" s="82"/>
      <c r="PQ157" s="82"/>
      <c r="PR157" s="82"/>
      <c r="PS157" s="82"/>
      <c r="PT157" s="82"/>
      <c r="PU157" s="82"/>
      <c r="PV157" s="82"/>
      <c r="PW157" s="82"/>
      <c r="PX157" s="82"/>
      <c r="PY157" s="82"/>
      <c r="PZ157" s="82"/>
      <c r="QA157" s="82"/>
      <c r="QB157" s="82"/>
      <c r="QC157" s="82"/>
      <c r="QD157" s="82"/>
      <c r="QE157" s="82"/>
      <c r="QF157" s="82"/>
      <c r="QG157" s="82"/>
      <c r="QH157" s="82"/>
      <c r="QI157" s="82"/>
      <c r="QJ157" s="82"/>
      <c r="QK157" s="82"/>
      <c r="QL157" s="82"/>
      <c r="QM157" s="82"/>
      <c r="QN157" s="82"/>
      <c r="QO157" s="82"/>
      <c r="QP157" s="82"/>
      <c r="QQ157" s="82"/>
      <c r="QR157" s="82"/>
      <c r="QS157" s="82"/>
      <c r="QT157" s="82"/>
      <c r="QU157" s="82"/>
      <c r="QV157" s="82"/>
      <c r="QW157" s="82"/>
      <c r="QX157" s="82"/>
      <c r="QY157" s="82"/>
      <c r="QZ157" s="82"/>
      <c r="RA157" s="82"/>
      <c r="RB157" s="82"/>
      <c r="RC157" s="82"/>
      <c r="RD157" s="82"/>
      <c r="RE157" s="82"/>
      <c r="RF157" s="82"/>
      <c r="RG157" s="82"/>
      <c r="RH157" s="82"/>
      <c r="RI157" s="82"/>
      <c r="RJ157" s="82"/>
      <c r="RK157" s="82"/>
      <c r="RL157" s="82"/>
      <c r="RM157" s="82"/>
      <c r="RN157" s="82"/>
      <c r="RO157" s="82"/>
      <c r="RP157" s="82"/>
      <c r="RQ157" s="82"/>
      <c r="RR157" s="82"/>
      <c r="RS157" s="82"/>
      <c r="RT157" s="82"/>
      <c r="RU157" s="82"/>
      <c r="RV157" s="82"/>
      <c r="RW157" s="82"/>
      <c r="RX157" s="82"/>
      <c r="RY157" s="82"/>
      <c r="RZ157" s="82"/>
      <c r="SA157" s="82"/>
      <c r="SB157" s="82"/>
      <c r="SC157" s="82"/>
      <c r="SD157" s="82"/>
      <c r="SE157" s="82"/>
      <c r="SF157" s="82"/>
      <c r="SG157" s="82"/>
      <c r="SH157" s="82"/>
      <c r="SI157" s="82"/>
    </row>
    <row r="158" spans="1:503" ht="12" customHeight="1">
      <c r="A158" s="13"/>
      <c r="B158" s="13" t="s">
        <v>2115</v>
      </c>
      <c r="C158" s="1"/>
      <c r="D158" s="1"/>
      <c r="E158" s="1"/>
      <c r="F158" s="1"/>
      <c r="G158" s="82"/>
      <c r="H158" s="40"/>
      <c r="I158" s="40"/>
      <c r="J158" s="82"/>
      <c r="K158" s="576"/>
      <c r="L158" s="576"/>
      <c r="M158" s="576"/>
      <c r="N158" s="576"/>
      <c r="O158" s="576"/>
      <c r="P158" s="576"/>
      <c r="Q158" s="2680"/>
      <c r="S158" s="2525" t="str">
        <f>B158</f>
        <v>Unit Square Footage:</v>
      </c>
      <c r="T158" s="2525"/>
      <c r="U158" s="2525"/>
      <c r="X158" s="1815"/>
      <c r="AA158" s="1815"/>
      <c r="AB158" s="449"/>
      <c r="AC158" s="1815"/>
      <c r="AF158" s="1815"/>
      <c r="AG158" s="449"/>
      <c r="AH158" s="1815"/>
      <c r="AK158" s="1815"/>
      <c r="AL158" s="449"/>
      <c r="AM158" s="1815"/>
      <c r="AP158" s="1815"/>
      <c r="AQ158" s="449"/>
      <c r="AR158" s="1815"/>
      <c r="AS158" s="1815"/>
      <c r="AT158" s="1815"/>
      <c r="AU158" s="1815"/>
      <c r="AV158" s="1815"/>
      <c r="AW158" s="1815"/>
      <c r="AX158" s="608"/>
      <c r="AY158" s="445"/>
      <c r="BB158" s="1815"/>
      <c r="BC158" s="608"/>
      <c r="BD158" s="445"/>
      <c r="LY158" s="448"/>
      <c r="MN158" s="443"/>
      <c r="MO158" s="443"/>
      <c r="NE158" s="82"/>
      <c r="NF158" s="82"/>
      <c r="NG158" s="82"/>
      <c r="NH158" s="82"/>
      <c r="NI158" s="82"/>
      <c r="NJ158" s="82"/>
      <c r="NK158" s="82"/>
      <c r="NL158" s="82"/>
      <c r="NM158" s="82"/>
      <c r="NN158" s="82"/>
      <c r="NO158" s="82"/>
      <c r="NP158" s="82"/>
      <c r="NQ158" s="82"/>
      <c r="NR158" s="82"/>
      <c r="NS158" s="82"/>
      <c r="NT158" s="82"/>
      <c r="NU158" s="82"/>
      <c r="NV158" s="82"/>
      <c r="NW158" s="82"/>
      <c r="NX158" s="82"/>
      <c r="NY158" s="82"/>
      <c r="NZ158" s="82"/>
      <c r="OA158" s="82"/>
      <c r="OB158" s="82"/>
      <c r="OC158" s="82"/>
      <c r="OD158" s="82"/>
      <c r="OE158" s="82"/>
      <c r="OF158" s="82"/>
      <c r="OG158" s="82"/>
      <c r="OH158" s="82"/>
      <c r="OI158" s="82"/>
      <c r="OJ158" s="82"/>
      <c r="OK158" s="82"/>
      <c r="OL158" s="82"/>
      <c r="OM158" s="82"/>
      <c r="ON158" s="82"/>
      <c r="OO158" s="82"/>
      <c r="OP158" s="82"/>
      <c r="OQ158" s="82"/>
      <c r="OR158" s="82"/>
      <c r="OS158" s="82"/>
      <c r="OT158" s="82"/>
      <c r="OU158" s="82"/>
      <c r="OV158" s="82"/>
      <c r="OW158" s="82"/>
      <c r="OX158" s="82"/>
      <c r="OY158" s="82"/>
      <c r="OZ158" s="82"/>
      <c r="PA158" s="82"/>
      <c r="PB158" s="82"/>
      <c r="PC158" s="82"/>
      <c r="PD158" s="82"/>
      <c r="PE158" s="82"/>
      <c r="PF158" s="82"/>
      <c r="PG158" s="82"/>
      <c r="PH158" s="82"/>
      <c r="PI158" s="82"/>
      <c r="PJ158" s="82"/>
      <c r="PK158" s="82"/>
      <c r="PL158" s="82"/>
      <c r="PM158" s="82"/>
      <c r="PN158" s="82"/>
      <c r="PO158" s="82"/>
      <c r="PP158" s="82"/>
      <c r="PQ158" s="82"/>
      <c r="PR158" s="82"/>
      <c r="PS158" s="82"/>
      <c r="PT158" s="82"/>
      <c r="PU158" s="82"/>
      <c r="PV158" s="82"/>
      <c r="PW158" s="82"/>
      <c r="PX158" s="82"/>
      <c r="PY158" s="82"/>
      <c r="PZ158" s="82"/>
      <c r="QA158" s="82"/>
      <c r="QB158" s="82"/>
      <c r="QC158" s="82"/>
      <c r="QD158" s="82"/>
      <c r="QE158" s="82"/>
      <c r="QF158" s="82"/>
      <c r="QG158" s="82"/>
      <c r="QH158" s="82"/>
      <c r="QI158" s="82"/>
      <c r="QJ158" s="82"/>
      <c r="QK158" s="82"/>
      <c r="QL158" s="82"/>
      <c r="QM158" s="82"/>
      <c r="QN158" s="82"/>
      <c r="QO158" s="82"/>
      <c r="QP158" s="82"/>
      <c r="QQ158" s="82"/>
      <c r="QR158" s="82"/>
      <c r="QS158" s="82"/>
      <c r="QT158" s="82"/>
      <c r="QU158" s="82"/>
      <c r="QV158" s="82"/>
      <c r="QW158" s="82"/>
      <c r="QX158" s="82"/>
      <c r="QY158" s="82"/>
      <c r="QZ158" s="82"/>
      <c r="RA158" s="82"/>
      <c r="RB158" s="82"/>
      <c r="RC158" s="82"/>
      <c r="RD158" s="82"/>
      <c r="RE158" s="82"/>
      <c r="RF158" s="82"/>
      <c r="RG158" s="82"/>
      <c r="RH158" s="82"/>
      <c r="RI158" s="82"/>
      <c r="RJ158" s="82"/>
      <c r="RK158" s="82"/>
      <c r="RL158" s="82"/>
      <c r="RM158" s="82"/>
      <c r="RN158" s="82"/>
      <c r="RO158" s="82"/>
      <c r="RP158" s="82"/>
      <c r="RQ158" s="82"/>
      <c r="RR158" s="82"/>
      <c r="RS158" s="82"/>
      <c r="RT158" s="82"/>
      <c r="RU158" s="82"/>
      <c r="RV158" s="82"/>
      <c r="RW158" s="82"/>
      <c r="RX158" s="82"/>
      <c r="RY158" s="82"/>
      <c r="RZ158" s="82"/>
      <c r="SA158" s="82"/>
      <c r="SB158" s="82"/>
      <c r="SC158" s="82"/>
      <c r="SD158" s="82"/>
      <c r="SE158" s="82"/>
      <c r="SF158" s="82"/>
      <c r="SG158" s="82"/>
      <c r="SH158" s="82"/>
      <c r="SI158" s="82"/>
    </row>
    <row r="159" spans="1:503" ht="14.25" customHeight="1">
      <c r="C159" s="5" t="s">
        <v>2086</v>
      </c>
      <c r="D159" s="1"/>
      <c r="E159" s="1"/>
      <c r="F159" s="1"/>
      <c r="G159" s="82"/>
      <c r="H159" s="89" t="s">
        <v>4120</v>
      </c>
      <c r="I159" s="55"/>
      <c r="J159" s="82"/>
      <c r="K159" s="1362">
        <f>EI48</f>
        <v>0</v>
      </c>
      <c r="L159" s="1363">
        <f>EJ48</f>
        <v>4000</v>
      </c>
      <c r="M159" s="1363">
        <f>EK48</f>
        <v>9000</v>
      </c>
      <c r="N159" s="1363">
        <f>EL48</f>
        <v>0</v>
      </c>
      <c r="O159" s="1364">
        <f>EM48</f>
        <v>0</v>
      </c>
      <c r="P159" s="1322">
        <f t="shared" ref="P159:P165" si="390">SUM(K159:O159)</f>
        <v>13000</v>
      </c>
      <c r="Q159" s="1555">
        <f t="shared" ref="Q159:Q165" si="391">IF(OR(P56=0,P56=""),"",P159/P56)</f>
        <v>928.57142857142856</v>
      </c>
      <c r="S159" s="4034"/>
      <c r="T159" s="4035"/>
      <c r="U159" s="4035"/>
      <c r="V159" s="4035"/>
      <c r="W159" s="4036"/>
      <c r="X159" s="1815"/>
      <c r="AA159" s="1815"/>
      <c r="AB159" s="449"/>
      <c r="AC159" s="1815"/>
      <c r="AF159" s="1815"/>
      <c r="AG159" s="449"/>
      <c r="AH159" s="1815"/>
      <c r="AK159" s="1815"/>
      <c r="AL159" s="449"/>
      <c r="AM159" s="1815"/>
      <c r="AP159" s="1815"/>
      <c r="AQ159" s="449"/>
      <c r="AR159" s="450"/>
      <c r="AS159" s="450"/>
      <c r="AT159" s="450"/>
      <c r="AU159" s="450"/>
      <c r="AV159" s="450"/>
      <c r="AW159" s="450"/>
      <c r="AX159" s="608"/>
      <c r="AY159" s="445"/>
      <c r="BB159" s="450"/>
      <c r="BC159" s="608"/>
      <c r="BD159" s="445"/>
      <c r="LY159" s="448"/>
      <c r="MN159" s="443"/>
      <c r="MO159" s="443"/>
      <c r="NE159" s="82"/>
      <c r="NF159" s="82"/>
      <c r="NG159" s="82"/>
      <c r="NH159" s="82"/>
      <c r="NI159" s="82"/>
      <c r="NJ159" s="82"/>
      <c r="NK159" s="82"/>
      <c r="NL159" s="82"/>
      <c r="NM159" s="82"/>
      <c r="NN159" s="82"/>
      <c r="NO159" s="82"/>
      <c r="NP159" s="82"/>
      <c r="NQ159" s="82"/>
      <c r="NR159" s="82"/>
      <c r="NS159" s="82"/>
      <c r="NT159" s="82"/>
      <c r="NU159" s="82"/>
      <c r="NV159" s="82"/>
      <c r="NW159" s="82"/>
      <c r="NX159" s="82"/>
      <c r="NY159" s="82"/>
      <c r="NZ159" s="82"/>
      <c r="OA159" s="82"/>
      <c r="OB159" s="82"/>
      <c r="OC159" s="82"/>
      <c r="OD159" s="82"/>
      <c r="OE159" s="82"/>
      <c r="OF159" s="82"/>
      <c r="OG159" s="82"/>
      <c r="OH159" s="82"/>
      <c r="OI159" s="82"/>
      <c r="OJ159" s="82"/>
      <c r="OK159" s="82"/>
      <c r="OL159" s="82"/>
      <c r="OM159" s="82"/>
      <c r="ON159" s="82"/>
      <c r="OO159" s="82"/>
      <c r="OP159" s="82"/>
      <c r="OQ159" s="82"/>
      <c r="OR159" s="82"/>
      <c r="OS159" s="82"/>
      <c r="OT159" s="82"/>
      <c r="OU159" s="82"/>
      <c r="OV159" s="82"/>
      <c r="OW159" s="82"/>
      <c r="OX159" s="82"/>
      <c r="OY159" s="82"/>
      <c r="OZ159" s="82"/>
      <c r="PA159" s="82"/>
      <c r="PB159" s="82"/>
      <c r="PC159" s="82"/>
      <c r="PD159" s="82"/>
      <c r="PE159" s="82"/>
      <c r="PF159" s="82"/>
      <c r="PG159" s="82"/>
      <c r="PH159" s="82"/>
      <c r="PI159" s="82"/>
      <c r="PJ159" s="82"/>
      <c r="PK159" s="82"/>
      <c r="PL159" s="82"/>
      <c r="PM159" s="82"/>
      <c r="PN159" s="82"/>
      <c r="PO159" s="82"/>
      <c r="PP159" s="82"/>
      <c r="PQ159" s="82"/>
      <c r="PR159" s="82"/>
      <c r="PS159" s="82"/>
      <c r="PT159" s="82"/>
      <c r="PU159" s="82"/>
      <c r="PV159" s="82"/>
      <c r="PW159" s="82"/>
      <c r="PX159" s="82"/>
      <c r="PY159" s="82"/>
      <c r="PZ159" s="82"/>
      <c r="QA159" s="82"/>
      <c r="QB159" s="82"/>
      <c r="QC159" s="82"/>
      <c r="QD159" s="82"/>
      <c r="QE159" s="82"/>
      <c r="QF159" s="82"/>
      <c r="QG159" s="82"/>
      <c r="QH159" s="82"/>
      <c r="QI159" s="82"/>
      <c r="QJ159" s="82"/>
      <c r="QK159" s="82"/>
      <c r="QL159" s="82"/>
      <c r="QM159" s="82"/>
      <c r="QN159" s="82"/>
      <c r="QO159" s="82"/>
      <c r="QP159" s="82"/>
      <c r="QQ159" s="82"/>
      <c r="QR159" s="82"/>
      <c r="QS159" s="82"/>
      <c r="QT159" s="82"/>
      <c r="QU159" s="82"/>
      <c r="QV159" s="82"/>
      <c r="QW159" s="82"/>
      <c r="QX159" s="82"/>
      <c r="QY159" s="82"/>
      <c r="QZ159" s="82"/>
      <c r="RA159" s="82"/>
      <c r="RB159" s="82"/>
      <c r="RC159" s="82"/>
      <c r="RD159" s="82"/>
      <c r="RE159" s="82"/>
      <c r="RF159" s="82"/>
      <c r="RG159" s="82"/>
      <c r="RH159" s="82"/>
      <c r="RI159" s="82"/>
      <c r="RJ159" s="82"/>
      <c r="RK159" s="82"/>
      <c r="RL159" s="82"/>
      <c r="RM159" s="82"/>
      <c r="RN159" s="82"/>
      <c r="RO159" s="82"/>
      <c r="RP159" s="82"/>
      <c r="RQ159" s="82"/>
      <c r="RR159" s="82"/>
      <c r="RS159" s="82"/>
      <c r="RT159" s="82"/>
      <c r="RU159" s="82"/>
      <c r="RV159" s="82"/>
      <c r="RW159" s="82"/>
      <c r="RX159" s="82"/>
      <c r="RY159" s="82"/>
      <c r="RZ159" s="82"/>
      <c r="SA159" s="82"/>
      <c r="SB159" s="82"/>
      <c r="SC159" s="82"/>
      <c r="SD159" s="82"/>
      <c r="SE159" s="82"/>
      <c r="SF159" s="82"/>
      <c r="SG159" s="82"/>
      <c r="SH159" s="82"/>
      <c r="SI159" s="82"/>
    </row>
    <row r="160" spans="1:503" ht="14.25" customHeight="1">
      <c r="C160" s="5"/>
      <c r="D160" s="1"/>
      <c r="E160" s="1"/>
      <c r="F160" s="1"/>
      <c r="G160" s="82"/>
      <c r="H160" s="1740" t="s">
        <v>4121</v>
      </c>
      <c r="I160" s="40"/>
      <c r="J160" s="82"/>
      <c r="K160" s="1395">
        <f>EN48</f>
        <v>0</v>
      </c>
      <c r="L160" s="1396">
        <f>EO48</f>
        <v>0</v>
      </c>
      <c r="M160" s="1396">
        <f>EP48</f>
        <v>0</v>
      </c>
      <c r="N160" s="1396">
        <f>EQ48</f>
        <v>0</v>
      </c>
      <c r="O160" s="1397">
        <f>ER48</f>
        <v>0</v>
      </c>
      <c r="P160" s="1323">
        <f t="shared" si="390"/>
        <v>0</v>
      </c>
      <c r="Q160" s="1555" t="str">
        <f t="shared" si="391"/>
        <v/>
      </c>
      <c r="S160" s="3996"/>
      <c r="T160" s="3997"/>
      <c r="U160" s="3997"/>
      <c r="V160" s="3997"/>
      <c r="W160" s="3998"/>
      <c r="X160" s="1815"/>
      <c r="AA160" s="1815"/>
      <c r="AB160" s="449"/>
      <c r="AC160" s="1815"/>
      <c r="AF160" s="1815"/>
      <c r="AG160" s="449"/>
      <c r="AH160" s="1815"/>
      <c r="AK160" s="1815"/>
      <c r="AL160" s="449"/>
      <c r="AM160" s="1815"/>
      <c r="AP160" s="1815"/>
      <c r="AQ160" s="449"/>
      <c r="AR160" s="450"/>
      <c r="AS160" s="450"/>
      <c r="AT160" s="450"/>
      <c r="AU160" s="450"/>
      <c r="AV160" s="450"/>
      <c r="AW160" s="450"/>
      <c r="AX160" s="608"/>
      <c r="AY160" s="445"/>
      <c r="BB160" s="450"/>
      <c r="BC160" s="608"/>
      <c r="BD160" s="445"/>
      <c r="LY160" s="448"/>
      <c r="MN160" s="443"/>
      <c r="MO160" s="443"/>
      <c r="NE160" s="82"/>
      <c r="NF160" s="82"/>
      <c r="NG160" s="82"/>
      <c r="NH160" s="82"/>
      <c r="NI160" s="82"/>
      <c r="NJ160" s="82"/>
      <c r="NK160" s="82"/>
      <c r="NL160" s="82"/>
      <c r="NM160" s="82"/>
      <c r="NN160" s="82"/>
      <c r="NO160" s="82"/>
      <c r="NP160" s="82"/>
      <c r="NQ160" s="82"/>
      <c r="NR160" s="82"/>
      <c r="NS160" s="82"/>
      <c r="NT160" s="82"/>
      <c r="NU160" s="82"/>
      <c r="NV160" s="82"/>
      <c r="NW160" s="82"/>
      <c r="NX160" s="82"/>
      <c r="NY160" s="82"/>
      <c r="NZ160" s="82"/>
      <c r="OA160" s="82"/>
      <c r="OB160" s="82"/>
      <c r="OC160" s="82"/>
      <c r="OD160" s="82"/>
      <c r="OE160" s="82"/>
      <c r="OF160" s="82"/>
      <c r="OG160" s="82"/>
      <c r="OH160" s="82"/>
      <c r="OI160" s="82"/>
      <c r="OJ160" s="82"/>
      <c r="OK160" s="82"/>
      <c r="OL160" s="82"/>
      <c r="OM160" s="82"/>
      <c r="ON160" s="82"/>
      <c r="OO160" s="82"/>
      <c r="OP160" s="82"/>
      <c r="OQ160" s="82"/>
      <c r="OR160" s="82"/>
      <c r="OS160" s="82"/>
      <c r="OT160" s="82"/>
      <c r="OU160" s="82"/>
      <c r="OV160" s="82"/>
      <c r="OW160" s="82"/>
      <c r="OX160" s="82"/>
      <c r="OY160" s="82"/>
      <c r="OZ160" s="82"/>
      <c r="PA160" s="82"/>
      <c r="PB160" s="82"/>
      <c r="PC160" s="82"/>
      <c r="PD160" s="82"/>
      <c r="PE160" s="82"/>
      <c r="PF160" s="82"/>
      <c r="PG160" s="82"/>
      <c r="PH160" s="82"/>
      <c r="PI160" s="82"/>
      <c r="PJ160" s="82"/>
      <c r="PK160" s="82"/>
      <c r="PL160" s="82"/>
      <c r="PM160" s="82"/>
      <c r="PN160" s="82"/>
      <c r="PO160" s="82"/>
      <c r="PP160" s="82"/>
      <c r="PQ160" s="82"/>
      <c r="PR160" s="82"/>
      <c r="PS160" s="82"/>
      <c r="PT160" s="82"/>
      <c r="PU160" s="82"/>
      <c r="PV160" s="82"/>
      <c r="PW160" s="82"/>
      <c r="PX160" s="82"/>
      <c r="PY160" s="82"/>
      <c r="PZ160" s="82"/>
      <c r="QA160" s="82"/>
      <c r="QB160" s="82"/>
      <c r="QC160" s="82"/>
      <c r="QD160" s="82"/>
      <c r="QE160" s="82"/>
      <c r="QF160" s="82"/>
      <c r="QG160" s="82"/>
      <c r="QH160" s="82"/>
      <c r="QI160" s="82"/>
      <c r="QJ160" s="82"/>
      <c r="QK160" s="82"/>
      <c r="QL160" s="82"/>
      <c r="QM160" s="82"/>
      <c r="QN160" s="82"/>
      <c r="QO160" s="82"/>
      <c r="QP160" s="82"/>
      <c r="QQ160" s="82"/>
      <c r="QR160" s="82"/>
      <c r="QS160" s="82"/>
      <c r="QT160" s="82"/>
      <c r="QU160" s="82"/>
      <c r="QV160" s="82"/>
      <c r="QW160" s="82"/>
      <c r="QX160" s="82"/>
      <c r="QY160" s="82"/>
      <c r="QZ160" s="82"/>
      <c r="RA160" s="82"/>
      <c r="RB160" s="82"/>
      <c r="RC160" s="82"/>
      <c r="RD160" s="82"/>
      <c r="RE160" s="82"/>
      <c r="RF160" s="82"/>
      <c r="RG160" s="82"/>
      <c r="RH160" s="82"/>
      <c r="RI160" s="82"/>
      <c r="RJ160" s="82"/>
      <c r="RK160" s="82"/>
      <c r="RL160" s="82"/>
      <c r="RM160" s="82"/>
      <c r="RN160" s="82"/>
      <c r="RO160" s="82"/>
      <c r="RP160" s="82"/>
      <c r="RQ160" s="82"/>
      <c r="RR160" s="82"/>
      <c r="RS160" s="82"/>
      <c r="RT160" s="82"/>
      <c r="RU160" s="82"/>
      <c r="RV160" s="82"/>
      <c r="RW160" s="82"/>
      <c r="RX160" s="82"/>
      <c r="RY160" s="82"/>
      <c r="RZ160" s="82"/>
      <c r="SA160" s="82"/>
      <c r="SB160" s="82"/>
      <c r="SC160" s="82"/>
      <c r="SD160" s="82"/>
      <c r="SE160" s="82"/>
      <c r="SF160" s="82"/>
      <c r="SG160" s="82"/>
      <c r="SH160" s="82"/>
      <c r="SI160" s="82"/>
    </row>
    <row r="161" spans="1:503" ht="14.25" customHeight="1">
      <c r="C161" s="5"/>
      <c r="D161" s="1"/>
      <c r="E161" s="1"/>
      <c r="F161" s="1"/>
      <c r="G161" s="82"/>
      <c r="H161" s="1740" t="s">
        <v>1127</v>
      </c>
      <c r="I161" s="40"/>
      <c r="J161" s="82"/>
      <c r="K161" s="1395">
        <f>ES48</f>
        <v>0</v>
      </c>
      <c r="L161" s="1396">
        <f>ET48</f>
        <v>7200</v>
      </c>
      <c r="M161" s="1396">
        <f>EU48</f>
        <v>25000</v>
      </c>
      <c r="N161" s="1396">
        <f>EV48</f>
        <v>0</v>
      </c>
      <c r="O161" s="1397">
        <f>EW48</f>
        <v>0</v>
      </c>
      <c r="P161" s="1323">
        <f t="shared" si="390"/>
        <v>32200</v>
      </c>
      <c r="Q161" s="1555">
        <f t="shared" si="391"/>
        <v>947.05882352941171</v>
      </c>
      <c r="S161" s="3996"/>
      <c r="T161" s="3997"/>
      <c r="U161" s="3997"/>
      <c r="V161" s="3997"/>
      <c r="W161" s="3998"/>
      <c r="X161" s="1815"/>
      <c r="AA161" s="1815"/>
      <c r="AB161" s="449"/>
      <c r="AC161" s="1815"/>
      <c r="AF161" s="1815"/>
      <c r="AG161" s="449"/>
      <c r="AH161" s="1815"/>
      <c r="AK161" s="1815"/>
      <c r="AL161" s="449"/>
      <c r="AM161" s="1815"/>
      <c r="AP161" s="1815"/>
      <c r="AQ161" s="449"/>
      <c r="AR161" s="450"/>
      <c r="AS161" s="450"/>
      <c r="AT161" s="450"/>
      <c r="AU161" s="450"/>
      <c r="AV161" s="450"/>
      <c r="AW161" s="450"/>
      <c r="AX161" s="608"/>
      <c r="AY161" s="445"/>
      <c r="BB161" s="450"/>
      <c r="BC161" s="608"/>
      <c r="BD161" s="445"/>
      <c r="LY161" s="448"/>
      <c r="MN161" s="443"/>
      <c r="MO161" s="443"/>
      <c r="NE161" s="82"/>
      <c r="NF161" s="82"/>
      <c r="NG161" s="82"/>
      <c r="NH161" s="82"/>
      <c r="NI161" s="82"/>
      <c r="NJ161" s="82"/>
      <c r="NK161" s="82"/>
      <c r="NL161" s="82"/>
      <c r="NM161" s="82"/>
      <c r="NN161" s="82"/>
      <c r="NO161" s="82"/>
      <c r="NP161" s="82"/>
      <c r="NQ161" s="82"/>
      <c r="NR161" s="82"/>
      <c r="NS161" s="82"/>
      <c r="NT161" s="82"/>
      <c r="NU161" s="82"/>
      <c r="NV161" s="82"/>
      <c r="NW161" s="82"/>
      <c r="NX161" s="82"/>
      <c r="NY161" s="82"/>
      <c r="NZ161" s="82"/>
      <c r="OA161" s="82"/>
      <c r="OB161" s="82"/>
      <c r="OC161" s="82"/>
      <c r="OD161" s="82"/>
      <c r="OE161" s="82"/>
      <c r="OF161" s="82"/>
      <c r="OG161" s="82"/>
      <c r="OH161" s="82"/>
      <c r="OI161" s="82"/>
      <c r="OJ161" s="82"/>
      <c r="OK161" s="82"/>
      <c r="OL161" s="82"/>
      <c r="OM161" s="82"/>
      <c r="ON161" s="82"/>
      <c r="OO161" s="82"/>
      <c r="OP161" s="82"/>
      <c r="OQ161" s="82"/>
      <c r="OR161" s="82"/>
      <c r="OS161" s="82"/>
      <c r="OT161" s="82"/>
      <c r="OU161" s="82"/>
      <c r="OV161" s="82"/>
      <c r="OW161" s="82"/>
      <c r="OX161" s="82"/>
      <c r="OY161" s="82"/>
      <c r="OZ161" s="82"/>
      <c r="PA161" s="82"/>
      <c r="PB161" s="82"/>
      <c r="PC161" s="82"/>
      <c r="PD161" s="82"/>
      <c r="PE161" s="82"/>
      <c r="PF161" s="82"/>
      <c r="PG161" s="82"/>
      <c r="PH161" s="82"/>
      <c r="PI161" s="82"/>
      <c r="PJ161" s="82"/>
      <c r="PK161" s="82"/>
      <c r="PL161" s="82"/>
      <c r="PM161" s="82"/>
      <c r="PN161" s="82"/>
      <c r="PO161" s="82"/>
      <c r="PP161" s="82"/>
      <c r="PQ161" s="82"/>
      <c r="PR161" s="82"/>
      <c r="PS161" s="82"/>
      <c r="PT161" s="82"/>
      <c r="PU161" s="82"/>
      <c r="PV161" s="82"/>
      <c r="PW161" s="82"/>
      <c r="PX161" s="82"/>
      <c r="PY161" s="82"/>
      <c r="PZ161" s="82"/>
      <c r="QA161" s="82"/>
      <c r="QB161" s="82"/>
      <c r="QC161" s="82"/>
      <c r="QD161" s="82"/>
      <c r="QE161" s="82"/>
      <c r="QF161" s="82"/>
      <c r="QG161" s="82"/>
      <c r="QH161" s="82"/>
      <c r="QI161" s="82"/>
      <c r="QJ161" s="82"/>
      <c r="QK161" s="82"/>
      <c r="QL161" s="82"/>
      <c r="QM161" s="82"/>
      <c r="QN161" s="82"/>
      <c r="QO161" s="82"/>
      <c r="QP161" s="82"/>
      <c r="QQ161" s="82"/>
      <c r="QR161" s="82"/>
      <c r="QS161" s="82"/>
      <c r="QT161" s="82"/>
      <c r="QU161" s="82"/>
      <c r="QV161" s="82"/>
      <c r="QW161" s="82"/>
      <c r="QX161" s="82"/>
      <c r="QY161" s="82"/>
      <c r="QZ161" s="82"/>
      <c r="RA161" s="82"/>
      <c r="RB161" s="82"/>
      <c r="RC161" s="82"/>
      <c r="RD161" s="82"/>
      <c r="RE161" s="82"/>
      <c r="RF161" s="82"/>
      <c r="RG161" s="82"/>
      <c r="RH161" s="82"/>
      <c r="RI161" s="82"/>
      <c r="RJ161" s="82"/>
      <c r="RK161" s="82"/>
      <c r="RL161" s="82"/>
      <c r="RM161" s="82"/>
      <c r="RN161" s="82"/>
      <c r="RO161" s="82"/>
      <c r="RP161" s="82"/>
      <c r="RQ161" s="82"/>
      <c r="RR161" s="82"/>
      <c r="RS161" s="82"/>
      <c r="RT161" s="82"/>
      <c r="RU161" s="82"/>
      <c r="RV161" s="82"/>
      <c r="RW161" s="82"/>
      <c r="RX161" s="82"/>
      <c r="RY161" s="82"/>
      <c r="RZ161" s="82"/>
      <c r="SA161" s="82"/>
      <c r="SB161" s="82"/>
      <c r="SC161" s="82"/>
      <c r="SD161" s="82"/>
      <c r="SE161" s="82"/>
      <c r="SF161" s="82"/>
      <c r="SG161" s="82"/>
      <c r="SH161" s="82"/>
      <c r="SI161" s="82"/>
    </row>
    <row r="162" spans="1:503" ht="14.25" customHeight="1">
      <c r="C162" s="5"/>
      <c r="D162" s="1"/>
      <c r="E162" s="1"/>
      <c r="F162" s="1"/>
      <c r="G162" s="82"/>
      <c r="H162" s="1752" t="s">
        <v>115</v>
      </c>
      <c r="I162" s="856"/>
      <c r="J162" s="1094"/>
      <c r="K162" s="1490">
        <f>EX48</f>
        <v>0</v>
      </c>
      <c r="L162" s="1491">
        <f>EY48</f>
        <v>0</v>
      </c>
      <c r="M162" s="1491">
        <f>EZ48</f>
        <v>0</v>
      </c>
      <c r="N162" s="1491">
        <f>FA48</f>
        <v>0</v>
      </c>
      <c r="O162" s="1492">
        <f>FB48</f>
        <v>0</v>
      </c>
      <c r="P162" s="1493">
        <f t="shared" si="390"/>
        <v>0</v>
      </c>
      <c r="Q162" s="1555" t="str">
        <f t="shared" si="391"/>
        <v/>
      </c>
      <c r="S162" s="3996"/>
      <c r="T162" s="3997"/>
      <c r="U162" s="3997"/>
      <c r="V162" s="3997"/>
      <c r="W162" s="3998"/>
      <c r="X162" s="1815"/>
      <c r="AA162" s="1815"/>
      <c r="AB162" s="449"/>
      <c r="AC162" s="1815"/>
      <c r="AF162" s="1815"/>
      <c r="AG162" s="449"/>
      <c r="AH162" s="1815"/>
      <c r="AK162" s="1815"/>
      <c r="AL162" s="449"/>
      <c r="AM162" s="1815"/>
      <c r="AP162" s="1815"/>
      <c r="AQ162" s="449"/>
      <c r="AR162" s="450"/>
      <c r="AS162" s="450"/>
      <c r="AT162" s="450"/>
      <c r="AU162" s="450"/>
      <c r="AV162" s="450"/>
      <c r="AW162" s="450"/>
      <c r="AX162" s="608"/>
      <c r="AY162" s="445"/>
      <c r="BB162" s="450"/>
      <c r="BC162" s="608"/>
      <c r="BD162" s="445"/>
      <c r="LY162" s="448"/>
      <c r="MN162" s="443"/>
      <c r="MO162" s="443"/>
      <c r="NE162" s="82"/>
      <c r="NF162" s="82"/>
      <c r="NG162" s="82"/>
      <c r="NH162" s="82"/>
      <c r="NI162" s="82"/>
      <c r="NJ162" s="82"/>
      <c r="NK162" s="82"/>
      <c r="NL162" s="82"/>
      <c r="NM162" s="82"/>
      <c r="NN162" s="82"/>
      <c r="NO162" s="82"/>
      <c r="NP162" s="82"/>
      <c r="NQ162" s="82"/>
      <c r="NR162" s="82"/>
      <c r="NS162" s="82"/>
      <c r="NT162" s="82"/>
      <c r="NU162" s="82"/>
      <c r="NV162" s="82"/>
      <c r="NW162" s="82"/>
      <c r="NX162" s="82"/>
      <c r="NY162" s="82"/>
      <c r="NZ162" s="82"/>
      <c r="OA162" s="82"/>
      <c r="OB162" s="82"/>
      <c r="OC162" s="82"/>
      <c r="OD162" s="82"/>
      <c r="OE162" s="82"/>
      <c r="OF162" s="82"/>
      <c r="OG162" s="82"/>
      <c r="OH162" s="82"/>
      <c r="OI162" s="82"/>
      <c r="OJ162" s="82"/>
      <c r="OK162" s="82"/>
      <c r="OL162" s="82"/>
      <c r="OM162" s="82"/>
      <c r="ON162" s="82"/>
      <c r="OO162" s="82"/>
      <c r="OP162" s="82"/>
      <c r="OQ162" s="82"/>
      <c r="OR162" s="82"/>
      <c r="OS162" s="82"/>
      <c r="OT162" s="82"/>
      <c r="OU162" s="82"/>
      <c r="OV162" s="82"/>
      <c r="OW162" s="82"/>
      <c r="OX162" s="82"/>
      <c r="OY162" s="82"/>
      <c r="OZ162" s="82"/>
      <c r="PA162" s="82"/>
      <c r="PB162" s="82"/>
      <c r="PC162" s="82"/>
      <c r="PD162" s="82"/>
      <c r="PE162" s="82"/>
      <c r="PF162" s="82"/>
      <c r="PG162" s="82"/>
      <c r="PH162" s="82"/>
      <c r="PI162" s="82"/>
      <c r="PJ162" s="82"/>
      <c r="PK162" s="82"/>
      <c r="PL162" s="82"/>
      <c r="PM162" s="82"/>
      <c r="PN162" s="82"/>
      <c r="PO162" s="82"/>
      <c r="PP162" s="82"/>
      <c r="PQ162" s="82"/>
      <c r="PR162" s="82"/>
      <c r="PS162" s="82"/>
      <c r="PT162" s="82"/>
      <c r="PU162" s="82"/>
      <c r="PV162" s="82"/>
      <c r="PW162" s="82"/>
      <c r="PX162" s="82"/>
      <c r="PY162" s="82"/>
      <c r="PZ162" s="82"/>
      <c r="QA162" s="82"/>
      <c r="QB162" s="82"/>
      <c r="QC162" s="82"/>
      <c r="QD162" s="82"/>
      <c r="QE162" s="82"/>
      <c r="QF162" s="82"/>
      <c r="QG162" s="82"/>
      <c r="QH162" s="82"/>
      <c r="QI162" s="82"/>
      <c r="QJ162" s="82"/>
      <c r="QK162" s="82"/>
      <c r="QL162" s="82"/>
      <c r="QM162" s="82"/>
      <c r="QN162" s="82"/>
      <c r="QO162" s="82"/>
      <c r="QP162" s="82"/>
      <c r="QQ162" s="82"/>
      <c r="QR162" s="82"/>
      <c r="QS162" s="82"/>
      <c r="QT162" s="82"/>
      <c r="QU162" s="82"/>
      <c r="QV162" s="82"/>
      <c r="QW162" s="82"/>
      <c r="QX162" s="82"/>
      <c r="QY162" s="82"/>
      <c r="QZ162" s="82"/>
      <c r="RA162" s="82"/>
      <c r="RB162" s="82"/>
      <c r="RC162" s="82"/>
      <c r="RD162" s="82"/>
      <c r="RE162" s="82"/>
      <c r="RF162" s="82"/>
      <c r="RG162" s="82"/>
      <c r="RH162" s="82"/>
      <c r="RI162" s="82"/>
      <c r="RJ162" s="82"/>
      <c r="RK162" s="82"/>
      <c r="RL162" s="82"/>
      <c r="RM162" s="82"/>
      <c r="RN162" s="82"/>
      <c r="RO162" s="82"/>
      <c r="RP162" s="82"/>
      <c r="RQ162" s="82"/>
      <c r="RR162" s="82"/>
      <c r="RS162" s="82"/>
      <c r="RT162" s="82"/>
      <c r="RU162" s="82"/>
      <c r="RV162" s="82"/>
      <c r="RW162" s="82"/>
      <c r="RX162" s="82"/>
      <c r="RY162" s="82"/>
      <c r="RZ162" s="82"/>
      <c r="SA162" s="82"/>
      <c r="SB162" s="82"/>
      <c r="SC162" s="82"/>
      <c r="SD162" s="82"/>
      <c r="SE162" s="82"/>
      <c r="SF162" s="82"/>
      <c r="SG162" s="82"/>
      <c r="SH162" s="82"/>
      <c r="SI162" s="82"/>
    </row>
    <row r="163" spans="1:503" ht="14.25" customHeight="1">
      <c r="C163" s="5"/>
      <c r="D163" s="1"/>
      <c r="E163" s="1"/>
      <c r="F163" s="1"/>
      <c r="G163" s="82"/>
      <c r="H163" s="1752" t="s">
        <v>4122</v>
      </c>
      <c r="I163" s="856"/>
      <c r="J163" s="1094"/>
      <c r="K163" s="1395">
        <f>FC48</f>
        <v>0</v>
      </c>
      <c r="L163" s="1396">
        <f>FD48</f>
        <v>4800</v>
      </c>
      <c r="M163" s="1396">
        <f>FE48</f>
        <v>18000</v>
      </c>
      <c r="N163" s="1396">
        <f>FF48</f>
        <v>0</v>
      </c>
      <c r="O163" s="1397">
        <f>FG48</f>
        <v>0</v>
      </c>
      <c r="P163" s="1323">
        <f t="shared" si="390"/>
        <v>22800</v>
      </c>
      <c r="Q163" s="1555">
        <f t="shared" si="391"/>
        <v>950</v>
      </c>
      <c r="S163" s="3996"/>
      <c r="T163" s="3997"/>
      <c r="U163" s="3997"/>
      <c r="V163" s="3997"/>
      <c r="W163" s="3998"/>
      <c r="X163" s="1815"/>
      <c r="AA163" s="1815"/>
      <c r="AB163" s="449"/>
      <c r="AC163" s="1815"/>
      <c r="AF163" s="1815"/>
      <c r="AG163" s="449"/>
      <c r="AH163" s="1815"/>
      <c r="AK163" s="1815"/>
      <c r="AL163" s="449"/>
      <c r="AM163" s="1815"/>
      <c r="AP163" s="1815"/>
      <c r="AQ163" s="449"/>
      <c r="AR163" s="450"/>
      <c r="AS163" s="450"/>
      <c r="AT163" s="450"/>
      <c r="AU163" s="450"/>
      <c r="AV163" s="450"/>
      <c r="AW163" s="450"/>
      <c r="AX163" s="608"/>
      <c r="AY163" s="445"/>
      <c r="BB163" s="450"/>
      <c r="BC163" s="608"/>
      <c r="BD163" s="445"/>
      <c r="LY163" s="448"/>
      <c r="MN163" s="443"/>
      <c r="MO163" s="443"/>
      <c r="NE163" s="82"/>
      <c r="NF163" s="82"/>
      <c r="NG163" s="82"/>
      <c r="NH163" s="82"/>
      <c r="NI163" s="82"/>
      <c r="NJ163" s="82"/>
      <c r="NK163" s="82"/>
      <c r="NL163" s="82"/>
      <c r="NM163" s="82"/>
      <c r="NN163" s="82"/>
      <c r="NO163" s="82"/>
      <c r="NP163" s="82"/>
      <c r="NQ163" s="82"/>
      <c r="NR163" s="82"/>
      <c r="NS163" s="82"/>
      <c r="NT163" s="82"/>
      <c r="NU163" s="82"/>
      <c r="NV163" s="82"/>
      <c r="NW163" s="82"/>
      <c r="NX163" s="82"/>
      <c r="NY163" s="82"/>
      <c r="NZ163" s="82"/>
      <c r="OA163" s="82"/>
      <c r="OB163" s="82"/>
      <c r="OC163" s="82"/>
      <c r="OD163" s="82"/>
      <c r="OE163" s="82"/>
      <c r="OF163" s="82"/>
      <c r="OG163" s="82"/>
      <c r="OH163" s="82"/>
      <c r="OI163" s="82"/>
      <c r="OJ163" s="82"/>
      <c r="OK163" s="82"/>
      <c r="OL163" s="82"/>
      <c r="OM163" s="82"/>
      <c r="ON163" s="82"/>
      <c r="OO163" s="82"/>
      <c r="OP163" s="82"/>
      <c r="OQ163" s="82"/>
      <c r="OR163" s="82"/>
      <c r="OS163" s="82"/>
      <c r="OT163" s="82"/>
      <c r="OU163" s="82"/>
      <c r="OV163" s="82"/>
      <c r="OW163" s="82"/>
      <c r="OX163" s="82"/>
      <c r="OY163" s="82"/>
      <c r="OZ163" s="82"/>
      <c r="PA163" s="82"/>
      <c r="PB163" s="82"/>
      <c r="PC163" s="82"/>
      <c r="PD163" s="82"/>
      <c r="PE163" s="82"/>
      <c r="PF163" s="82"/>
      <c r="PG163" s="82"/>
      <c r="PH163" s="82"/>
      <c r="PI163" s="82"/>
      <c r="PJ163" s="82"/>
      <c r="PK163" s="82"/>
      <c r="PL163" s="82"/>
      <c r="PM163" s="82"/>
      <c r="PN163" s="82"/>
      <c r="PO163" s="82"/>
      <c r="PP163" s="82"/>
      <c r="PQ163" s="82"/>
      <c r="PR163" s="82"/>
      <c r="PS163" s="82"/>
      <c r="PT163" s="82"/>
      <c r="PU163" s="82"/>
      <c r="PV163" s="82"/>
      <c r="PW163" s="82"/>
      <c r="PX163" s="82"/>
      <c r="PY163" s="82"/>
      <c r="PZ163" s="82"/>
      <c r="QA163" s="82"/>
      <c r="QB163" s="82"/>
      <c r="QC163" s="82"/>
      <c r="QD163" s="82"/>
      <c r="QE163" s="82"/>
      <c r="QF163" s="82"/>
      <c r="QG163" s="82"/>
      <c r="QH163" s="82"/>
      <c r="QI163" s="82"/>
      <c r="QJ163" s="82"/>
      <c r="QK163" s="82"/>
      <c r="QL163" s="82"/>
      <c r="QM163" s="82"/>
      <c r="QN163" s="82"/>
      <c r="QO163" s="82"/>
      <c r="QP163" s="82"/>
      <c r="QQ163" s="82"/>
      <c r="QR163" s="82"/>
      <c r="QS163" s="82"/>
      <c r="QT163" s="82"/>
      <c r="QU163" s="82"/>
      <c r="QV163" s="82"/>
      <c r="QW163" s="82"/>
      <c r="QX163" s="82"/>
      <c r="QY163" s="82"/>
      <c r="QZ163" s="82"/>
      <c r="RA163" s="82"/>
      <c r="RB163" s="82"/>
      <c r="RC163" s="82"/>
      <c r="RD163" s="82"/>
      <c r="RE163" s="82"/>
      <c r="RF163" s="82"/>
      <c r="RG163" s="82"/>
      <c r="RH163" s="82"/>
      <c r="RI163" s="82"/>
      <c r="RJ163" s="82"/>
      <c r="RK163" s="82"/>
      <c r="RL163" s="82"/>
      <c r="RM163" s="82"/>
      <c r="RN163" s="82"/>
      <c r="RO163" s="82"/>
      <c r="RP163" s="82"/>
      <c r="RQ163" s="82"/>
      <c r="RR163" s="82"/>
      <c r="RS163" s="82"/>
      <c r="RT163" s="82"/>
      <c r="RU163" s="82"/>
      <c r="RV163" s="82"/>
      <c r="RW163" s="82"/>
      <c r="RX163" s="82"/>
      <c r="RY163" s="82"/>
      <c r="RZ163" s="82"/>
      <c r="SA163" s="82"/>
      <c r="SB163" s="82"/>
      <c r="SC163" s="82"/>
      <c r="SD163" s="82"/>
      <c r="SE163" s="82"/>
      <c r="SF163" s="82"/>
      <c r="SG163" s="82"/>
      <c r="SH163" s="82"/>
      <c r="SI163" s="82"/>
    </row>
    <row r="164" spans="1:503" ht="14.25" customHeight="1">
      <c r="C164" s="5"/>
      <c r="D164" s="1"/>
      <c r="E164" s="1"/>
      <c r="F164" s="1"/>
      <c r="G164" s="82"/>
      <c r="H164" s="1740" t="s">
        <v>4123</v>
      </c>
      <c r="I164" s="40"/>
      <c r="J164" s="82"/>
      <c r="K164" s="1395">
        <f>FH48</f>
        <v>0</v>
      </c>
      <c r="L164" s="1396">
        <f>FI48</f>
        <v>0</v>
      </c>
      <c r="M164" s="1396">
        <f>FJ48</f>
        <v>0</v>
      </c>
      <c r="N164" s="1396">
        <f>FK48</f>
        <v>0</v>
      </c>
      <c r="O164" s="1397">
        <f>FL48</f>
        <v>0</v>
      </c>
      <c r="P164" s="1323">
        <f t="shared" si="390"/>
        <v>0</v>
      </c>
      <c r="Q164" s="1555" t="str">
        <f t="shared" si="391"/>
        <v/>
      </c>
      <c r="S164" s="3996"/>
      <c r="T164" s="3997"/>
      <c r="U164" s="3997"/>
      <c r="V164" s="3997"/>
      <c r="W164" s="3998"/>
      <c r="X164" s="1815"/>
      <c r="AA164" s="1815"/>
      <c r="AB164" s="449"/>
      <c r="AC164" s="1815"/>
      <c r="AF164" s="1815"/>
      <c r="AG164" s="449"/>
      <c r="AH164" s="1815"/>
      <c r="AK164" s="1815"/>
      <c r="AL164" s="449"/>
      <c r="AM164" s="1815"/>
      <c r="AP164" s="1815"/>
      <c r="AQ164" s="449"/>
      <c r="AR164" s="450"/>
      <c r="AS164" s="450"/>
      <c r="AT164" s="450"/>
      <c r="AU164" s="450"/>
      <c r="AV164" s="450"/>
      <c r="AW164" s="450"/>
      <c r="AX164" s="608"/>
      <c r="AY164" s="445"/>
      <c r="BB164" s="450"/>
      <c r="BC164" s="608"/>
      <c r="BD164" s="445"/>
      <c r="LY164" s="448"/>
      <c r="MN164" s="443"/>
      <c r="MO164" s="443"/>
      <c r="NE164" s="82"/>
      <c r="NF164" s="82"/>
      <c r="NG164" s="82"/>
      <c r="NH164" s="82"/>
      <c r="NI164" s="82"/>
      <c r="NJ164" s="82"/>
      <c r="NK164" s="82"/>
      <c r="NL164" s="82"/>
      <c r="NM164" s="82"/>
      <c r="NN164" s="82"/>
      <c r="NO164" s="82"/>
      <c r="NP164" s="82"/>
      <c r="NQ164" s="82"/>
      <c r="NR164" s="82"/>
      <c r="NS164" s="82"/>
      <c r="NT164" s="82"/>
      <c r="NU164" s="82"/>
      <c r="NV164" s="82"/>
      <c r="NW164" s="82"/>
      <c r="NX164" s="82"/>
      <c r="NY164" s="82"/>
      <c r="NZ164" s="82"/>
      <c r="OA164" s="82"/>
      <c r="OB164" s="82"/>
      <c r="OC164" s="82"/>
      <c r="OD164" s="82"/>
      <c r="OE164" s="82"/>
      <c r="OF164" s="82"/>
      <c r="OG164" s="82"/>
      <c r="OH164" s="82"/>
      <c r="OI164" s="82"/>
      <c r="OJ164" s="82"/>
      <c r="OK164" s="82"/>
      <c r="OL164" s="82"/>
      <c r="OM164" s="82"/>
      <c r="ON164" s="82"/>
      <c r="OO164" s="82"/>
      <c r="OP164" s="82"/>
      <c r="OQ164" s="82"/>
      <c r="OR164" s="82"/>
      <c r="OS164" s="82"/>
      <c r="OT164" s="82"/>
      <c r="OU164" s="82"/>
      <c r="OV164" s="82"/>
      <c r="OW164" s="82"/>
      <c r="OX164" s="82"/>
      <c r="OY164" s="82"/>
      <c r="OZ164" s="82"/>
      <c r="PA164" s="82"/>
      <c r="PB164" s="82"/>
      <c r="PC164" s="82"/>
      <c r="PD164" s="82"/>
      <c r="PE164" s="82"/>
      <c r="PF164" s="82"/>
      <c r="PG164" s="82"/>
      <c r="PH164" s="82"/>
      <c r="PI164" s="82"/>
      <c r="PJ164" s="82"/>
      <c r="PK164" s="82"/>
      <c r="PL164" s="82"/>
      <c r="PM164" s="82"/>
      <c r="PN164" s="82"/>
      <c r="PO164" s="82"/>
      <c r="PP164" s="82"/>
      <c r="PQ164" s="82"/>
      <c r="PR164" s="82"/>
      <c r="PS164" s="82"/>
      <c r="PT164" s="82"/>
      <c r="PU164" s="82"/>
      <c r="PV164" s="82"/>
      <c r="PW164" s="82"/>
      <c r="PX164" s="82"/>
      <c r="PY164" s="82"/>
      <c r="PZ164" s="82"/>
      <c r="QA164" s="82"/>
      <c r="QB164" s="82"/>
      <c r="QC164" s="82"/>
      <c r="QD164" s="82"/>
      <c r="QE164" s="82"/>
      <c r="QF164" s="82"/>
      <c r="QG164" s="82"/>
      <c r="QH164" s="82"/>
      <c r="QI164" s="82"/>
      <c r="QJ164" s="82"/>
      <c r="QK164" s="82"/>
      <c r="QL164" s="82"/>
      <c r="QM164" s="82"/>
      <c r="QN164" s="82"/>
      <c r="QO164" s="82"/>
      <c r="QP164" s="82"/>
      <c r="QQ164" s="82"/>
      <c r="QR164" s="82"/>
      <c r="QS164" s="82"/>
      <c r="QT164" s="82"/>
      <c r="QU164" s="82"/>
      <c r="QV164" s="82"/>
      <c r="QW164" s="82"/>
      <c r="QX164" s="82"/>
      <c r="QY164" s="82"/>
      <c r="QZ164" s="82"/>
      <c r="RA164" s="82"/>
      <c r="RB164" s="82"/>
      <c r="RC164" s="82"/>
      <c r="RD164" s="82"/>
      <c r="RE164" s="82"/>
      <c r="RF164" s="82"/>
      <c r="RG164" s="82"/>
      <c r="RH164" s="82"/>
      <c r="RI164" s="82"/>
      <c r="RJ164" s="82"/>
      <c r="RK164" s="82"/>
      <c r="RL164" s="82"/>
      <c r="RM164" s="82"/>
      <c r="RN164" s="82"/>
      <c r="RO164" s="82"/>
      <c r="RP164" s="82"/>
      <c r="RQ164" s="82"/>
      <c r="RR164" s="82"/>
      <c r="RS164" s="82"/>
      <c r="RT164" s="82"/>
      <c r="RU164" s="82"/>
      <c r="RV164" s="82"/>
      <c r="RW164" s="82"/>
      <c r="RX164" s="82"/>
      <c r="RY164" s="82"/>
      <c r="RZ164" s="82"/>
      <c r="SA164" s="82"/>
      <c r="SB164" s="82"/>
      <c r="SC164" s="82"/>
      <c r="SD164" s="82"/>
      <c r="SE164" s="82"/>
      <c r="SF164" s="82"/>
      <c r="SG164" s="82"/>
      <c r="SH164" s="82"/>
      <c r="SI164" s="82"/>
    </row>
    <row r="165" spans="1:503" ht="14.25" customHeight="1">
      <c r="C165" s="4"/>
      <c r="D165" s="1"/>
      <c r="E165" s="1"/>
      <c r="F165" s="1"/>
      <c r="G165" s="82"/>
      <c r="H165" s="89" t="s">
        <v>4124</v>
      </c>
      <c r="I165" s="55"/>
      <c r="J165" s="82"/>
      <c r="K165" s="1368">
        <f>FM48</f>
        <v>0</v>
      </c>
      <c r="L165" s="1369">
        <f>FN48</f>
        <v>0</v>
      </c>
      <c r="M165" s="1369">
        <f>FO48</f>
        <v>0</v>
      </c>
      <c r="N165" s="1369">
        <f>FP48</f>
        <v>0</v>
      </c>
      <c r="O165" s="1370">
        <f>FQ48</f>
        <v>0</v>
      </c>
      <c r="P165" s="1324">
        <f t="shared" si="390"/>
        <v>0</v>
      </c>
      <c r="Q165" s="1555" t="str">
        <f t="shared" si="391"/>
        <v/>
      </c>
      <c r="S165" s="3996"/>
      <c r="T165" s="3997"/>
      <c r="U165" s="3997"/>
      <c r="V165" s="3997"/>
      <c r="W165" s="3998"/>
      <c r="X165" s="2251"/>
      <c r="AA165" s="1815"/>
      <c r="AB165" s="449"/>
      <c r="AC165" s="2251"/>
      <c r="AF165" s="1815"/>
      <c r="AG165" s="449"/>
      <c r="AH165" s="2251"/>
      <c r="AK165" s="1815"/>
      <c r="AL165" s="449"/>
      <c r="AM165" s="2251"/>
      <c r="AP165" s="1815"/>
      <c r="AQ165" s="449"/>
      <c r="AR165" s="450"/>
      <c r="AS165" s="450"/>
      <c r="AT165" s="450"/>
      <c r="AU165" s="450"/>
      <c r="AV165" s="450"/>
      <c r="AW165" s="450"/>
      <c r="AX165" s="1815"/>
      <c r="AY165" s="445"/>
      <c r="BB165" s="450"/>
      <c r="BC165" s="1815"/>
      <c r="BD165" s="445"/>
      <c r="LY165" s="448"/>
      <c r="MN165" s="443"/>
      <c r="MO165" s="443"/>
      <c r="NE165" s="82"/>
      <c r="NF165" s="82"/>
      <c r="NG165" s="82"/>
      <c r="NH165" s="82"/>
      <c r="NI165" s="82"/>
      <c r="NJ165" s="82"/>
      <c r="NK165" s="82"/>
      <c r="NL165" s="82"/>
      <c r="NM165" s="82"/>
      <c r="NN165" s="82"/>
      <c r="NO165" s="82"/>
      <c r="NP165" s="82"/>
      <c r="NQ165" s="82"/>
      <c r="NR165" s="82"/>
      <c r="NS165" s="82"/>
      <c r="NT165" s="82"/>
      <c r="NU165" s="82"/>
      <c r="NV165" s="82"/>
      <c r="NW165" s="82"/>
      <c r="NX165" s="82"/>
      <c r="NY165" s="82"/>
      <c r="NZ165" s="82"/>
      <c r="OA165" s="82"/>
      <c r="OB165" s="82"/>
      <c r="OC165" s="82"/>
      <c r="OD165" s="82"/>
      <c r="OE165" s="82"/>
      <c r="OF165" s="82"/>
      <c r="OG165" s="82"/>
      <c r="OH165" s="82"/>
      <c r="OI165" s="82"/>
      <c r="OJ165" s="82"/>
      <c r="OK165" s="82"/>
      <c r="OL165" s="82"/>
      <c r="OM165" s="82"/>
      <c r="ON165" s="82"/>
      <c r="OO165" s="82"/>
      <c r="OP165" s="82"/>
      <c r="OQ165" s="82"/>
      <c r="OR165" s="82"/>
      <c r="OS165" s="82"/>
      <c r="OT165" s="82"/>
      <c r="OU165" s="82"/>
      <c r="OV165" s="82"/>
      <c r="OW165" s="82"/>
      <c r="OX165" s="82"/>
      <c r="OY165" s="82"/>
      <c r="OZ165" s="82"/>
      <c r="PA165" s="82"/>
      <c r="PB165" s="82"/>
      <c r="PC165" s="82"/>
      <c r="PD165" s="82"/>
      <c r="PE165" s="82"/>
      <c r="PF165" s="82"/>
      <c r="PG165" s="82"/>
      <c r="PH165" s="82"/>
      <c r="PI165" s="82"/>
      <c r="PJ165" s="82"/>
      <c r="PK165" s="82"/>
      <c r="PL165" s="82"/>
      <c r="PM165" s="82"/>
      <c r="PN165" s="82"/>
      <c r="PO165" s="82"/>
      <c r="PP165" s="82"/>
      <c r="PQ165" s="82"/>
      <c r="PR165" s="82"/>
      <c r="PS165" s="82"/>
      <c r="PT165" s="82"/>
      <c r="PU165" s="82"/>
      <c r="PV165" s="82"/>
      <c r="PW165" s="82"/>
      <c r="PX165" s="82"/>
      <c r="PY165" s="82"/>
      <c r="PZ165" s="82"/>
      <c r="QA165" s="82"/>
      <c r="QB165" s="82"/>
      <c r="QC165" s="82"/>
      <c r="QD165" s="82"/>
      <c r="QE165" s="82"/>
      <c r="QF165" s="82"/>
      <c r="QG165" s="82"/>
      <c r="QH165" s="82"/>
      <c r="QI165" s="82"/>
      <c r="QJ165" s="82"/>
      <c r="QK165" s="82"/>
      <c r="QL165" s="82"/>
      <c r="QM165" s="82"/>
      <c r="QN165" s="82"/>
      <c r="QO165" s="82"/>
      <c r="QP165" s="82"/>
      <c r="QQ165" s="82"/>
      <c r="QR165" s="82"/>
      <c r="QS165" s="82"/>
      <c r="QT165" s="82"/>
      <c r="QU165" s="82"/>
      <c r="QV165" s="82"/>
      <c r="QW165" s="82"/>
      <c r="QX165" s="82"/>
      <c r="QY165" s="82"/>
      <c r="QZ165" s="82"/>
      <c r="RA165" s="82"/>
      <c r="RB165" s="82"/>
      <c r="RC165" s="82"/>
      <c r="RD165" s="82"/>
      <c r="RE165" s="82"/>
      <c r="RF165" s="82"/>
      <c r="RG165" s="82"/>
      <c r="RH165" s="82"/>
      <c r="RI165" s="82"/>
      <c r="RJ165" s="82"/>
      <c r="RK165" s="82"/>
      <c r="RL165" s="82"/>
      <c r="RM165" s="82"/>
      <c r="RN165" s="82"/>
      <c r="RO165" s="82"/>
      <c r="RP165" s="82"/>
      <c r="RQ165" s="82"/>
      <c r="RR165" s="82"/>
      <c r="RS165" s="82"/>
      <c r="RT165" s="82"/>
      <c r="RU165" s="82"/>
      <c r="RV165" s="82"/>
      <c r="RW165" s="82"/>
      <c r="RX165" s="82"/>
      <c r="RY165" s="82"/>
      <c r="RZ165" s="82"/>
      <c r="SA165" s="82"/>
      <c r="SB165" s="82"/>
      <c r="SC165" s="82"/>
      <c r="SD165" s="82"/>
      <c r="SE165" s="82"/>
      <c r="SF165" s="82"/>
      <c r="SG165" s="82"/>
      <c r="SH165" s="82"/>
      <c r="SI165" s="82"/>
    </row>
    <row r="166" spans="1:503" ht="14.25" customHeight="1">
      <c r="C166" s="4"/>
      <c r="D166" s="1"/>
      <c r="E166" s="1"/>
      <c r="F166" s="1"/>
      <c r="G166" s="82"/>
      <c r="H166" s="1740" t="s">
        <v>4205</v>
      </c>
      <c r="I166" s="40"/>
      <c r="J166" s="82"/>
      <c r="K166" s="1332">
        <f>SUM(K159:K165)</f>
        <v>0</v>
      </c>
      <c r="L166" s="1332">
        <f>SUM(L159:L165)</f>
        <v>16000</v>
      </c>
      <c r="M166" s="1332">
        <f>SUM(M159:M165)</f>
        <v>52000</v>
      </c>
      <c r="N166" s="1332">
        <f>SUM(N159:N165)</f>
        <v>0</v>
      </c>
      <c r="O166" s="1332">
        <f>SUM(O159:O165)</f>
        <v>0</v>
      </c>
      <c r="P166" s="1332">
        <f>SUM(K166:O166)</f>
        <v>68000</v>
      </c>
      <c r="S166" s="3996"/>
      <c r="T166" s="3997"/>
      <c r="U166" s="3997"/>
      <c r="V166" s="3997"/>
      <c r="W166" s="3998"/>
      <c r="X166" s="2251"/>
      <c r="AA166" s="1815"/>
      <c r="AB166" s="449"/>
      <c r="AC166" s="2251"/>
      <c r="AF166" s="1815"/>
      <c r="AG166" s="449"/>
      <c r="AH166" s="2251"/>
      <c r="AK166" s="1815"/>
      <c r="AL166" s="449"/>
      <c r="AM166" s="2251"/>
      <c r="AP166" s="1815"/>
      <c r="AQ166" s="449"/>
      <c r="AR166" s="450"/>
      <c r="AS166" s="450"/>
      <c r="AT166" s="450"/>
      <c r="AU166" s="450"/>
      <c r="AV166" s="450"/>
      <c r="AW166" s="450"/>
      <c r="AX166" s="1815"/>
      <c r="AY166" s="445"/>
      <c r="BB166" s="450"/>
      <c r="BC166" s="1815"/>
      <c r="BD166" s="445"/>
      <c r="LY166" s="448"/>
      <c r="MN166" s="443"/>
      <c r="MO166" s="443"/>
      <c r="NE166" s="82"/>
      <c r="NF166" s="82"/>
      <c r="NG166" s="82"/>
      <c r="NH166" s="82"/>
      <c r="NI166" s="82"/>
      <c r="NJ166" s="82"/>
      <c r="NK166" s="82"/>
      <c r="NL166" s="82"/>
      <c r="NM166" s="82"/>
      <c r="NN166" s="82"/>
      <c r="NO166" s="82"/>
      <c r="NP166" s="82"/>
      <c r="NQ166" s="82"/>
      <c r="NR166" s="82"/>
      <c r="NS166" s="82"/>
      <c r="NT166" s="82"/>
      <c r="NU166" s="82"/>
      <c r="NV166" s="82"/>
      <c r="NW166" s="82"/>
      <c r="NX166" s="82"/>
      <c r="NY166" s="82"/>
      <c r="NZ166" s="82"/>
      <c r="OA166" s="82"/>
      <c r="OB166" s="82"/>
      <c r="OC166" s="82"/>
      <c r="OD166" s="82"/>
      <c r="OE166" s="82"/>
      <c r="OF166" s="82"/>
      <c r="OG166" s="82"/>
      <c r="OH166" s="82"/>
      <c r="OI166" s="82"/>
      <c r="OJ166" s="82"/>
      <c r="OK166" s="82"/>
      <c r="OL166" s="82"/>
      <c r="OM166" s="82"/>
      <c r="ON166" s="82"/>
      <c r="OO166" s="82"/>
      <c r="OP166" s="82"/>
      <c r="OQ166" s="82"/>
      <c r="OR166" s="82"/>
      <c r="OS166" s="82"/>
      <c r="OT166" s="82"/>
      <c r="OU166" s="82"/>
      <c r="OV166" s="82"/>
      <c r="OW166" s="82"/>
      <c r="OX166" s="82"/>
      <c r="OY166" s="82"/>
      <c r="OZ166" s="82"/>
      <c r="PA166" s="82"/>
      <c r="PB166" s="82"/>
      <c r="PC166" s="82"/>
      <c r="PD166" s="82"/>
      <c r="PE166" s="82"/>
      <c r="PF166" s="82"/>
      <c r="PG166" s="82"/>
      <c r="PH166" s="82"/>
      <c r="PI166" s="82"/>
      <c r="PJ166" s="82"/>
      <c r="PK166" s="82"/>
      <c r="PL166" s="82"/>
      <c r="PM166" s="82"/>
      <c r="PN166" s="82"/>
      <c r="PO166" s="82"/>
      <c r="PP166" s="82"/>
      <c r="PQ166" s="82"/>
      <c r="PR166" s="82"/>
      <c r="PS166" s="82"/>
      <c r="PT166" s="82"/>
      <c r="PU166" s="82"/>
      <c r="PV166" s="82"/>
      <c r="PW166" s="82"/>
      <c r="PX166" s="82"/>
      <c r="PY166" s="82"/>
      <c r="PZ166" s="82"/>
      <c r="QA166" s="82"/>
      <c r="QB166" s="82"/>
      <c r="QC166" s="82"/>
      <c r="QD166" s="82"/>
      <c r="QE166" s="82"/>
      <c r="QF166" s="82"/>
      <c r="QG166" s="82"/>
      <c r="QH166" s="82"/>
      <c r="QI166" s="82"/>
      <c r="QJ166" s="82"/>
      <c r="QK166" s="82"/>
      <c r="QL166" s="82"/>
      <c r="QM166" s="82"/>
      <c r="QN166" s="82"/>
      <c r="QO166" s="82"/>
      <c r="QP166" s="82"/>
      <c r="QQ166" s="82"/>
      <c r="QR166" s="82"/>
      <c r="QS166" s="82"/>
      <c r="QT166" s="82"/>
      <c r="QU166" s="82"/>
      <c r="QV166" s="82"/>
      <c r="QW166" s="82"/>
      <c r="QX166" s="82"/>
      <c r="QY166" s="82"/>
      <c r="QZ166" s="82"/>
      <c r="RA166" s="82"/>
      <c r="RB166" s="82"/>
      <c r="RC166" s="82"/>
      <c r="RD166" s="82"/>
      <c r="RE166" s="82"/>
      <c r="RF166" s="82"/>
      <c r="RG166" s="82"/>
      <c r="RH166" s="82"/>
      <c r="RI166" s="82"/>
      <c r="RJ166" s="82"/>
      <c r="RK166" s="82"/>
      <c r="RL166" s="82"/>
      <c r="RM166" s="82"/>
      <c r="RN166" s="82"/>
      <c r="RO166" s="82"/>
      <c r="RP166" s="82"/>
      <c r="RQ166" s="82"/>
      <c r="RR166" s="82"/>
      <c r="RS166" s="82"/>
      <c r="RT166" s="82"/>
      <c r="RU166" s="82"/>
      <c r="RV166" s="82"/>
      <c r="RW166" s="82"/>
      <c r="RX166" s="82"/>
      <c r="RY166" s="82"/>
      <c r="RZ166" s="82"/>
      <c r="SA166" s="82"/>
      <c r="SB166" s="82"/>
      <c r="SC166" s="82"/>
      <c r="SD166" s="82"/>
      <c r="SE166" s="82"/>
      <c r="SF166" s="82"/>
      <c r="SG166" s="82"/>
      <c r="SH166" s="82"/>
      <c r="SI166" s="82"/>
    </row>
    <row r="167" spans="1:503" ht="14.25" customHeight="1">
      <c r="C167" s="1" t="s">
        <v>298</v>
      </c>
      <c r="D167" s="1"/>
      <c r="E167" s="1"/>
      <c r="F167" s="1"/>
      <c r="G167" s="1"/>
      <c r="H167" s="82"/>
      <c r="I167" s="82"/>
      <c r="J167" s="82"/>
      <c r="K167" s="1398">
        <f>FR48</f>
        <v>0</v>
      </c>
      <c r="L167" s="1399">
        <f>FS48</f>
        <v>0</v>
      </c>
      <c r="M167" s="1399">
        <f>FT48</f>
        <v>0</v>
      </c>
      <c r="N167" s="1399">
        <f>FU48</f>
        <v>0</v>
      </c>
      <c r="O167" s="1400">
        <f>FV48</f>
        <v>0</v>
      </c>
      <c r="P167" s="1330">
        <f>SUM(K167:O167)</f>
        <v>0</v>
      </c>
      <c r="Q167" s="1497" t="str">
        <f>IF(OR(P64=0,P64=""),"",P167/P64)</f>
        <v/>
      </c>
      <c r="S167" s="3996"/>
      <c r="T167" s="3997"/>
      <c r="U167" s="3997"/>
      <c r="V167" s="3997"/>
      <c r="W167" s="3998"/>
      <c r="X167" s="445"/>
      <c r="AA167" s="1815"/>
      <c r="AB167" s="1815"/>
      <c r="AC167" s="445"/>
      <c r="AF167" s="1815"/>
      <c r="AG167" s="1815"/>
      <c r="AH167" s="445"/>
      <c r="AK167" s="1815"/>
      <c r="AL167" s="1815"/>
      <c r="AM167" s="445"/>
      <c r="AP167" s="1815"/>
      <c r="AQ167" s="1815"/>
      <c r="AR167" s="450"/>
      <c r="AS167" s="450"/>
      <c r="AT167" s="450"/>
      <c r="AU167" s="450"/>
      <c r="AV167" s="450"/>
      <c r="AW167" s="450"/>
      <c r="AX167" s="608"/>
      <c r="AY167" s="445"/>
      <c r="BB167" s="450"/>
      <c r="BC167" s="608"/>
      <c r="BD167" s="445"/>
      <c r="LY167" s="448"/>
      <c r="MN167" s="443"/>
      <c r="MO167" s="443"/>
      <c r="NE167" s="82"/>
      <c r="NF167" s="82"/>
      <c r="NG167" s="82"/>
      <c r="NH167" s="82"/>
      <c r="NI167" s="82"/>
      <c r="NJ167" s="82"/>
      <c r="NK167" s="82"/>
      <c r="NL167" s="82"/>
      <c r="NM167" s="82"/>
      <c r="NN167" s="82"/>
      <c r="NO167" s="82"/>
      <c r="NP167" s="82"/>
      <c r="NQ167" s="82"/>
      <c r="NR167" s="82"/>
      <c r="NS167" s="82"/>
      <c r="NT167" s="82"/>
      <c r="NU167" s="82"/>
      <c r="NV167" s="82"/>
      <c r="NW167" s="82"/>
      <c r="NX167" s="82"/>
      <c r="NY167" s="82"/>
      <c r="NZ167" s="82"/>
      <c r="OA167" s="82"/>
      <c r="OB167" s="82"/>
      <c r="OC167" s="82"/>
      <c r="OD167" s="82"/>
      <c r="OE167" s="82"/>
      <c r="OF167" s="82"/>
      <c r="OG167" s="82"/>
      <c r="OH167" s="82"/>
      <c r="OI167" s="82"/>
      <c r="OJ167" s="82"/>
      <c r="OK167" s="82"/>
      <c r="OL167" s="82"/>
      <c r="OM167" s="82"/>
      <c r="ON167" s="82"/>
      <c r="OO167" s="82"/>
      <c r="OP167" s="82"/>
      <c r="OQ167" s="82"/>
      <c r="OR167" s="82"/>
      <c r="OS167" s="82"/>
      <c r="OT167" s="82"/>
      <c r="OU167" s="82"/>
      <c r="OV167" s="82"/>
      <c r="OW167" s="82"/>
      <c r="OX167" s="82"/>
      <c r="OY167" s="82"/>
      <c r="OZ167" s="82"/>
      <c r="PA167" s="82"/>
      <c r="PB167" s="82"/>
      <c r="PC167" s="82"/>
      <c r="PD167" s="82"/>
      <c r="PE167" s="82"/>
      <c r="PF167" s="82"/>
      <c r="PG167" s="82"/>
      <c r="PH167" s="82"/>
      <c r="PI167" s="82"/>
      <c r="PJ167" s="82"/>
      <c r="PK167" s="82"/>
      <c r="PL167" s="82"/>
      <c r="PM167" s="82"/>
      <c r="PN167" s="82"/>
      <c r="PO167" s="82"/>
      <c r="PP167" s="82"/>
      <c r="PQ167" s="82"/>
      <c r="PR167" s="82"/>
      <c r="PS167" s="82"/>
      <c r="PT167" s="82"/>
      <c r="PU167" s="82"/>
      <c r="PV167" s="82"/>
      <c r="PW167" s="82"/>
      <c r="PX167" s="82"/>
      <c r="PY167" s="82"/>
      <c r="PZ167" s="82"/>
      <c r="QA167" s="82"/>
      <c r="QB167" s="82"/>
      <c r="QC167" s="82"/>
      <c r="QD167" s="82"/>
      <c r="QE167" s="82"/>
      <c r="QF167" s="82"/>
      <c r="QG167" s="82"/>
      <c r="QH167" s="82"/>
      <c r="QI167" s="82"/>
      <c r="QJ167" s="82"/>
      <c r="QK167" s="82"/>
      <c r="QL167" s="82"/>
      <c r="QM167" s="82"/>
      <c r="QN167" s="82"/>
      <c r="QO167" s="82"/>
      <c r="QP167" s="82"/>
      <c r="QQ167" s="82"/>
      <c r="QR167" s="82"/>
      <c r="QS167" s="82"/>
      <c r="QT167" s="82"/>
      <c r="QU167" s="82"/>
      <c r="QV167" s="82"/>
      <c r="QW167" s="82"/>
      <c r="QX167" s="82"/>
      <c r="QY167" s="82"/>
      <c r="QZ167" s="82"/>
      <c r="RA167" s="82"/>
      <c r="RB167" s="82"/>
      <c r="RC167" s="82"/>
      <c r="RD167" s="82"/>
      <c r="RE167" s="82"/>
      <c r="RF167" s="82"/>
      <c r="RG167" s="82"/>
      <c r="RH167" s="82"/>
      <c r="RI167" s="82"/>
      <c r="RJ167" s="82"/>
      <c r="RK167" s="82"/>
      <c r="RL167" s="82"/>
      <c r="RM167" s="82"/>
      <c r="RN167" s="82"/>
      <c r="RO167" s="82"/>
      <c r="RP167" s="82"/>
      <c r="RQ167" s="82"/>
      <c r="RR167" s="82"/>
      <c r="RS167" s="82"/>
      <c r="RT167" s="82"/>
      <c r="RU167" s="82"/>
      <c r="RV167" s="82"/>
      <c r="RW167" s="82"/>
      <c r="RX167" s="82"/>
      <c r="RY167" s="82"/>
      <c r="RZ167" s="82"/>
      <c r="SA167" s="82"/>
      <c r="SB167" s="82"/>
      <c r="SC167" s="82"/>
      <c r="SD167" s="82"/>
      <c r="SE167" s="82"/>
      <c r="SF167" s="82"/>
      <c r="SG167" s="82"/>
      <c r="SH167" s="82"/>
      <c r="SI167" s="82"/>
    </row>
    <row r="168" spans="1:503" ht="14.25" customHeight="1">
      <c r="C168" s="5" t="s">
        <v>1116</v>
      </c>
      <c r="D168" s="1"/>
      <c r="E168" s="1"/>
      <c r="F168" s="1"/>
      <c r="G168" s="1"/>
      <c r="H168" s="82"/>
      <c r="I168" s="82"/>
      <c r="J168" s="82"/>
      <c r="K168" s="1331">
        <f>SUM(K166:K167)</f>
        <v>0</v>
      </c>
      <c r="L168" s="1331">
        <f>SUM(L166:L167)</f>
        <v>16000</v>
      </c>
      <c r="M168" s="1331">
        <f>SUM(M166:M167)</f>
        <v>52000</v>
      </c>
      <c r="N168" s="1331">
        <f>SUM(N166:N167)</f>
        <v>0</v>
      </c>
      <c r="O168" s="1331">
        <f>SUM(O166:O167)</f>
        <v>0</v>
      </c>
      <c r="P168" s="1331">
        <f>SUM(K168:O168)</f>
        <v>68000</v>
      </c>
      <c r="S168" s="3996"/>
      <c r="T168" s="3997"/>
      <c r="U168" s="3997"/>
      <c r="V168" s="3997"/>
      <c r="W168" s="3998"/>
      <c r="X168" s="1815"/>
      <c r="AA168" s="1815"/>
      <c r="AB168" s="1815"/>
      <c r="AC168" s="1815"/>
      <c r="AF168" s="1815"/>
      <c r="AG168" s="1815"/>
      <c r="AH168" s="1815"/>
      <c r="AK168" s="1815"/>
      <c r="AL168" s="1815"/>
      <c r="AM168" s="1815"/>
      <c r="AP168" s="1815"/>
      <c r="AQ168" s="1815"/>
      <c r="AR168" s="450"/>
      <c r="AS168" s="450"/>
      <c r="AT168" s="450"/>
      <c r="AU168" s="450"/>
      <c r="AV168" s="450"/>
      <c r="AW168" s="450"/>
      <c r="AX168" s="608"/>
      <c r="AY168" s="445"/>
      <c r="BB168" s="450"/>
      <c r="BC168" s="608"/>
      <c r="BD168" s="445"/>
      <c r="LY168" s="448"/>
      <c r="MN168" s="443"/>
    </row>
    <row r="169" spans="1:503" ht="14.25" customHeight="1">
      <c r="C169" s="5" t="s">
        <v>2445</v>
      </c>
      <c r="D169" s="1"/>
      <c r="E169" s="1"/>
      <c r="F169" s="1"/>
      <c r="G169" s="1"/>
      <c r="H169" s="82"/>
      <c r="I169" s="82"/>
      <c r="J169" s="82"/>
      <c r="K169" s="1398">
        <f>GB48</f>
        <v>0</v>
      </c>
      <c r="L169" s="1399">
        <f>GC48</f>
        <v>0</v>
      </c>
      <c r="M169" s="1399">
        <f>GD48</f>
        <v>0</v>
      </c>
      <c r="N169" s="1399">
        <f>GE48</f>
        <v>0</v>
      </c>
      <c r="O169" s="1400">
        <f>GF48</f>
        <v>0</v>
      </c>
      <c r="P169" s="1330">
        <f>SUM(K169:O169)</f>
        <v>0</v>
      </c>
      <c r="Q169" s="1497" t="str">
        <f>IF(OR(P66=0,P66=""),"",P169/P66)</f>
        <v/>
      </c>
      <c r="S169" s="3996"/>
      <c r="T169" s="3997"/>
      <c r="U169" s="3997"/>
      <c r="V169" s="3997"/>
      <c r="W169" s="3998"/>
      <c r="X169" s="1815"/>
      <c r="AA169" s="1815"/>
      <c r="AB169" s="1815"/>
      <c r="AC169" s="1815"/>
      <c r="AF169" s="1815"/>
      <c r="AG169" s="1815"/>
      <c r="AH169" s="1815"/>
      <c r="AK169" s="1815"/>
      <c r="AL169" s="1815"/>
      <c r="AM169" s="1815"/>
      <c r="AP169" s="1815"/>
      <c r="AQ169" s="1815"/>
      <c r="AR169" s="450"/>
      <c r="AS169" s="450"/>
      <c r="AT169" s="450"/>
      <c r="AU169" s="450"/>
      <c r="AV169" s="450"/>
      <c r="AW169" s="450"/>
      <c r="AX169" s="608"/>
      <c r="AY169" s="445"/>
      <c r="BB169" s="450"/>
      <c r="BC169" s="608"/>
      <c r="BD169" s="445"/>
      <c r="LY169" s="448"/>
      <c r="MN169" s="443"/>
    </row>
    <row r="170" spans="1:503" ht="14.25" customHeight="1">
      <c r="C170" s="5" t="s">
        <v>524</v>
      </c>
      <c r="D170" s="1"/>
      <c r="E170" s="1"/>
      <c r="F170" s="1"/>
      <c r="G170" s="1"/>
      <c r="H170" s="82"/>
      <c r="I170" s="82"/>
      <c r="J170" s="82"/>
      <c r="K170" s="1329">
        <f>SUM(K168:K169)</f>
        <v>0</v>
      </c>
      <c r="L170" s="1329">
        <f>SUM(L168:L169)</f>
        <v>16000</v>
      </c>
      <c r="M170" s="1329">
        <f>SUM(M168:M169)</f>
        <v>52000</v>
      </c>
      <c r="N170" s="1329">
        <f>SUM(N168:N169)</f>
        <v>0</v>
      </c>
      <c r="O170" s="1329">
        <f>SUM(O168:O169)</f>
        <v>0</v>
      </c>
      <c r="P170" s="1329">
        <f>SUM(K170:O170)</f>
        <v>68000</v>
      </c>
      <c r="S170" s="4027"/>
      <c r="T170" s="4028"/>
      <c r="U170" s="4028"/>
      <c r="V170" s="4028"/>
      <c r="W170" s="4029"/>
      <c r="X170" s="1815"/>
      <c r="AA170" s="1815"/>
      <c r="AB170" s="1815"/>
      <c r="AC170" s="1815"/>
      <c r="AF170" s="1815"/>
      <c r="AG170" s="1815"/>
      <c r="AH170" s="1815"/>
      <c r="AK170" s="1815"/>
      <c r="AL170" s="1815"/>
      <c r="AM170" s="1815"/>
      <c r="AP170" s="1815"/>
      <c r="AQ170" s="1815"/>
      <c r="AR170" s="450"/>
      <c r="AS170" s="450"/>
      <c r="AT170" s="450"/>
      <c r="AU170" s="450"/>
      <c r="AV170" s="450"/>
      <c r="AW170" s="450"/>
      <c r="AX170" s="608"/>
      <c r="AY170" s="445"/>
      <c r="BB170" s="450"/>
      <c r="BC170" s="608"/>
      <c r="BD170" s="445"/>
      <c r="LY170" s="448"/>
      <c r="MN170" s="443"/>
    </row>
    <row r="171" spans="1:503" ht="14.1" customHeight="1"/>
    <row r="172" spans="1:503" s="90" customFormat="1" ht="14.1" customHeight="1">
      <c r="A172" s="1"/>
      <c r="B172" s="1"/>
      <c r="C172" s="1"/>
      <c r="D172" s="1"/>
      <c r="E172" s="1"/>
      <c r="F172" s="1"/>
      <c r="G172" s="1"/>
      <c r="J172" s="1"/>
      <c r="K172" s="1"/>
      <c r="L172" s="1"/>
      <c r="M172" s="1"/>
      <c r="N172" s="1"/>
      <c r="O172" s="1"/>
      <c r="P172" s="1"/>
      <c r="X172" s="445"/>
      <c r="Y172" s="445"/>
      <c r="Z172" s="445"/>
      <c r="AA172" s="445"/>
      <c r="AB172" s="445"/>
      <c r="AC172" s="445"/>
      <c r="AD172" s="445"/>
      <c r="AE172" s="445"/>
      <c r="AF172" s="445"/>
      <c r="AG172" s="445"/>
      <c r="AH172" s="445"/>
      <c r="AI172" s="445"/>
      <c r="AJ172" s="445"/>
      <c r="AK172" s="445"/>
      <c r="AL172" s="445"/>
      <c r="AM172" s="445"/>
      <c r="AN172" s="445"/>
      <c r="AO172" s="445"/>
      <c r="AP172" s="445"/>
      <c r="AQ172" s="445"/>
      <c r="AR172" s="445"/>
      <c r="AS172" s="445"/>
      <c r="AT172" s="445"/>
      <c r="AU172" s="445"/>
      <c r="AV172" s="445"/>
      <c r="AW172" s="445"/>
      <c r="AX172" s="445"/>
      <c r="AY172" s="445"/>
      <c r="AZ172" s="445"/>
      <c r="BA172" s="445"/>
      <c r="BB172" s="445"/>
      <c r="BC172" s="445"/>
      <c r="BD172" s="445"/>
      <c r="BE172" s="445"/>
      <c r="BF172" s="445"/>
      <c r="BG172" s="445"/>
      <c r="BH172" s="445"/>
      <c r="BI172" s="445"/>
      <c r="BJ172" s="445"/>
      <c r="BK172" s="445"/>
      <c r="BL172" s="445"/>
      <c r="BM172" s="445"/>
      <c r="BN172" s="445"/>
      <c r="BO172" s="445"/>
      <c r="BP172" s="445"/>
      <c r="BQ172" s="445"/>
      <c r="BR172" s="445"/>
      <c r="BS172" s="445"/>
      <c r="BT172" s="445"/>
      <c r="BU172" s="445"/>
      <c r="BV172" s="445"/>
      <c r="BW172" s="445"/>
      <c r="BX172" s="445"/>
      <c r="BY172" s="445"/>
      <c r="BZ172" s="445"/>
      <c r="CA172" s="445"/>
      <c r="CB172" s="445"/>
      <c r="CC172" s="445"/>
      <c r="CD172" s="445"/>
      <c r="CE172" s="445"/>
      <c r="CF172" s="445"/>
      <c r="CG172" s="445"/>
      <c r="CH172" s="445"/>
      <c r="CI172" s="445"/>
      <c r="CJ172" s="445"/>
      <c r="CK172" s="445"/>
      <c r="CL172" s="445"/>
      <c r="CM172" s="445"/>
      <c r="CN172" s="445"/>
      <c r="CO172" s="445"/>
      <c r="CP172" s="445"/>
      <c r="CQ172" s="445"/>
      <c r="CR172" s="445"/>
      <c r="CS172" s="445"/>
      <c r="CT172" s="445"/>
      <c r="CU172" s="445"/>
      <c r="CV172" s="445"/>
      <c r="CW172" s="445"/>
      <c r="CX172" s="445"/>
      <c r="CY172" s="445"/>
      <c r="CZ172" s="445"/>
      <c r="DA172" s="445"/>
      <c r="DB172" s="445"/>
      <c r="DC172" s="445"/>
      <c r="DD172" s="445"/>
      <c r="DE172" s="445"/>
      <c r="DF172" s="445"/>
      <c r="DG172" s="445"/>
      <c r="DH172" s="445"/>
      <c r="DI172" s="445"/>
      <c r="DJ172" s="445"/>
      <c r="DK172" s="445"/>
      <c r="DL172" s="445"/>
      <c r="DM172" s="445"/>
      <c r="DN172" s="445"/>
      <c r="DO172" s="445"/>
      <c r="DP172" s="445"/>
      <c r="DQ172" s="445"/>
      <c r="DR172" s="445"/>
      <c r="DS172" s="445"/>
      <c r="DT172" s="445"/>
      <c r="DU172" s="445"/>
      <c r="DV172" s="445"/>
      <c r="DW172" s="445"/>
      <c r="DX172" s="445"/>
      <c r="DY172" s="445"/>
      <c r="DZ172" s="445"/>
      <c r="EA172" s="445"/>
      <c r="EB172" s="445"/>
      <c r="EC172" s="445"/>
      <c r="ED172" s="445"/>
      <c r="EE172" s="445"/>
      <c r="EF172" s="445"/>
      <c r="EG172" s="445"/>
      <c r="EH172" s="445"/>
      <c r="EI172" s="445"/>
      <c r="EJ172" s="445"/>
      <c r="EK172" s="445"/>
      <c r="EL172" s="445"/>
      <c r="EM172" s="445"/>
      <c r="EN172" s="445"/>
      <c r="EO172" s="445"/>
      <c r="EP172" s="445"/>
      <c r="EQ172" s="445"/>
      <c r="ER172" s="445"/>
      <c r="ES172" s="445"/>
      <c r="ET172" s="445"/>
      <c r="EU172" s="445"/>
      <c r="EV172" s="445"/>
      <c r="EW172" s="445"/>
      <c r="EX172" s="445"/>
      <c r="EY172" s="445"/>
      <c r="EZ172" s="445"/>
      <c r="FA172" s="445"/>
      <c r="FB172" s="445"/>
      <c r="FC172" s="445"/>
      <c r="FD172" s="445"/>
      <c r="FE172" s="445"/>
      <c r="FF172" s="445"/>
      <c r="FG172" s="445"/>
      <c r="FH172" s="445"/>
      <c r="FI172" s="445"/>
      <c r="FJ172" s="445"/>
      <c r="FK172" s="445"/>
      <c r="FL172" s="445"/>
      <c r="FM172" s="445"/>
      <c r="FN172" s="445"/>
      <c r="FO172" s="445"/>
      <c r="FP172" s="445"/>
      <c r="FQ172" s="445"/>
      <c r="FR172" s="445"/>
      <c r="FS172" s="445"/>
      <c r="FT172" s="445"/>
      <c r="FU172" s="445"/>
      <c r="FV172" s="445"/>
      <c r="FW172" s="445"/>
      <c r="FX172" s="445"/>
      <c r="FY172" s="445"/>
      <c r="FZ172" s="445"/>
      <c r="GA172" s="445"/>
      <c r="GB172" s="445"/>
      <c r="GC172" s="445"/>
      <c r="GD172" s="445"/>
      <c r="GE172" s="445"/>
      <c r="GF172" s="445"/>
      <c r="GG172" s="445"/>
      <c r="GH172" s="445"/>
      <c r="GI172" s="445"/>
      <c r="GJ172" s="445"/>
      <c r="GK172" s="445"/>
      <c r="GL172" s="445"/>
      <c r="GM172" s="445"/>
      <c r="GN172" s="445"/>
      <c r="GO172" s="445"/>
      <c r="GP172" s="445"/>
      <c r="GQ172" s="445"/>
      <c r="GR172" s="445"/>
      <c r="GS172" s="445"/>
      <c r="GT172" s="445"/>
      <c r="GU172" s="445"/>
      <c r="GV172" s="445"/>
      <c r="GW172" s="445"/>
      <c r="GX172" s="445"/>
      <c r="GY172" s="445"/>
      <c r="GZ172" s="445"/>
      <c r="HA172" s="445"/>
      <c r="HB172" s="445"/>
      <c r="HC172" s="445"/>
      <c r="HD172" s="445"/>
      <c r="HE172" s="445"/>
      <c r="HF172" s="445"/>
      <c r="HG172" s="445"/>
      <c r="HH172" s="445"/>
      <c r="HI172" s="445"/>
      <c r="HJ172" s="445"/>
      <c r="HK172" s="445"/>
      <c r="HL172" s="445"/>
      <c r="HM172" s="445"/>
      <c r="HN172" s="445"/>
      <c r="HO172" s="445"/>
      <c r="HP172" s="445"/>
      <c r="HQ172" s="445"/>
      <c r="HR172" s="445"/>
      <c r="HS172" s="445"/>
      <c r="HT172" s="445"/>
      <c r="HU172" s="445"/>
      <c r="HV172" s="445"/>
      <c r="HW172" s="445"/>
      <c r="HX172" s="445"/>
      <c r="HY172" s="445"/>
      <c r="HZ172" s="445"/>
      <c r="IA172" s="445"/>
      <c r="IB172" s="445"/>
      <c r="IC172" s="445"/>
      <c r="ID172" s="445"/>
      <c r="IE172" s="445"/>
      <c r="IF172" s="445"/>
      <c r="IG172" s="445"/>
      <c r="IH172" s="445"/>
      <c r="II172" s="445"/>
      <c r="IJ172" s="445"/>
      <c r="IK172" s="445"/>
      <c r="IL172" s="445"/>
      <c r="IM172" s="445"/>
      <c r="IN172" s="445"/>
      <c r="IO172" s="445"/>
      <c r="IP172" s="445"/>
      <c r="IQ172" s="445"/>
      <c r="IR172" s="445"/>
      <c r="IS172" s="445"/>
      <c r="IT172" s="445"/>
      <c r="IU172" s="445"/>
      <c r="IV172" s="445"/>
      <c r="IW172" s="445"/>
      <c r="IX172" s="445"/>
      <c r="IY172" s="445"/>
      <c r="IZ172" s="445"/>
      <c r="JA172" s="445"/>
      <c r="JB172" s="445"/>
      <c r="JC172" s="445"/>
      <c r="JD172" s="445"/>
      <c r="JE172" s="445"/>
      <c r="JF172" s="445"/>
      <c r="JG172" s="445"/>
      <c r="JH172" s="445"/>
      <c r="JI172" s="445"/>
      <c r="JJ172" s="445"/>
      <c r="JK172" s="445"/>
      <c r="JL172" s="445"/>
      <c r="JM172" s="445"/>
      <c r="JN172" s="445"/>
      <c r="JO172" s="445"/>
      <c r="JP172" s="445"/>
      <c r="JQ172" s="445"/>
      <c r="JR172" s="445"/>
      <c r="JS172" s="445"/>
      <c r="JT172" s="445"/>
      <c r="JU172" s="445"/>
      <c r="JV172" s="445"/>
      <c r="JW172" s="2242"/>
      <c r="JX172" s="445"/>
      <c r="JY172" s="445"/>
      <c r="JZ172" s="445"/>
      <c r="KA172" s="445"/>
      <c r="KB172" s="2242"/>
      <c r="KC172" s="2242"/>
      <c r="KD172" s="2242"/>
      <c r="KE172" s="2242"/>
      <c r="KF172" s="2242"/>
      <c r="KG172" s="2242"/>
      <c r="KH172" s="2242"/>
      <c r="KI172" s="2242"/>
      <c r="KJ172" s="2242"/>
      <c r="KK172" s="2242"/>
      <c r="KL172" s="2242"/>
      <c r="KM172" s="2242"/>
      <c r="KN172" s="2242"/>
      <c r="KO172" s="2242"/>
      <c r="KP172" s="2242"/>
      <c r="KQ172" s="2242"/>
      <c r="KR172" s="2242"/>
      <c r="KS172" s="2242"/>
      <c r="KT172" s="2242"/>
      <c r="KU172" s="2242"/>
      <c r="KV172" s="2242"/>
      <c r="KW172" s="2242"/>
      <c r="KX172" s="2242"/>
      <c r="KY172" s="2242"/>
      <c r="KZ172" s="2242"/>
      <c r="LA172" s="2242"/>
      <c r="LB172" s="2242"/>
      <c r="LC172" s="2242"/>
      <c r="LD172" s="2242"/>
      <c r="LE172" s="2242"/>
      <c r="LF172" s="2242"/>
      <c r="LG172" s="2242"/>
      <c r="LH172" s="2242"/>
      <c r="LI172" s="2242"/>
      <c r="LJ172" s="2242"/>
      <c r="LK172" s="2242"/>
      <c r="LL172" s="2242"/>
      <c r="LM172" s="2242"/>
      <c r="LN172" s="2242"/>
      <c r="LO172" s="2242"/>
      <c r="LP172" s="2242"/>
      <c r="LQ172" s="2242"/>
      <c r="LR172" s="445"/>
      <c r="LS172" s="445"/>
      <c r="LT172" s="445"/>
      <c r="LU172" s="445"/>
      <c r="LV172" s="445"/>
      <c r="LW172" s="445"/>
      <c r="LX172" s="2243"/>
      <c r="LY172" s="445"/>
      <c r="LZ172" s="445"/>
      <c r="MA172" s="445"/>
      <c r="MB172" s="445"/>
      <c r="MC172" s="445"/>
      <c r="MD172" s="445"/>
      <c r="ME172" s="445"/>
      <c r="MF172" s="445"/>
      <c r="MG172" s="445"/>
      <c r="MH172" s="445"/>
      <c r="MI172" s="445"/>
      <c r="MJ172" s="445"/>
      <c r="MK172" s="445"/>
      <c r="ML172" s="445"/>
      <c r="MM172" s="445"/>
      <c r="MN172" s="2243"/>
      <c r="MO172" s="2243"/>
      <c r="MP172" s="445"/>
      <c r="MQ172" s="445"/>
      <c r="MR172" s="445"/>
      <c r="MS172" s="445"/>
      <c r="MT172" s="445"/>
      <c r="MU172" s="445"/>
      <c r="MV172" s="445"/>
      <c r="MW172" s="445"/>
      <c r="MX172" s="445"/>
      <c r="MY172" s="445"/>
      <c r="MZ172" s="445"/>
      <c r="NA172" s="445"/>
      <c r="NB172" s="445"/>
      <c r="NC172" s="445"/>
      <c r="ND172" s="445"/>
      <c r="NE172" s="94"/>
      <c r="NF172" s="94"/>
      <c r="NG172" s="94"/>
      <c r="NH172" s="94"/>
      <c r="NI172" s="94"/>
      <c r="NJ172" s="94"/>
      <c r="NK172" s="94"/>
      <c r="NL172" s="94"/>
      <c r="NM172" s="94"/>
      <c r="NN172" s="94"/>
      <c r="NO172" s="94"/>
      <c r="NP172" s="94"/>
      <c r="NQ172" s="94"/>
      <c r="NR172" s="94"/>
      <c r="NS172" s="94"/>
      <c r="NT172" s="94"/>
      <c r="NU172" s="94"/>
      <c r="NV172" s="94"/>
      <c r="NW172" s="94"/>
      <c r="NX172" s="94"/>
      <c r="NY172" s="94"/>
      <c r="NZ172" s="94"/>
      <c r="OA172" s="94"/>
      <c r="OB172" s="94"/>
      <c r="OC172" s="94"/>
      <c r="OD172" s="94"/>
      <c r="OE172" s="94"/>
      <c r="OF172" s="94"/>
      <c r="OG172" s="94"/>
      <c r="OH172" s="94"/>
      <c r="OI172" s="94"/>
      <c r="OJ172" s="94"/>
      <c r="OK172" s="94"/>
      <c r="OL172" s="94"/>
      <c r="OM172" s="94"/>
      <c r="ON172" s="94"/>
      <c r="OO172" s="94"/>
      <c r="OP172" s="94"/>
      <c r="OQ172" s="94"/>
      <c r="OR172" s="94"/>
      <c r="OS172" s="94"/>
      <c r="OT172" s="94"/>
      <c r="OU172" s="94"/>
      <c r="OV172" s="94"/>
      <c r="OW172" s="94"/>
      <c r="OX172" s="94"/>
      <c r="OY172" s="94"/>
      <c r="OZ172" s="94"/>
      <c r="PA172" s="94"/>
      <c r="PB172" s="94"/>
      <c r="PC172" s="94"/>
      <c r="PD172" s="94"/>
      <c r="PE172" s="94"/>
      <c r="PF172" s="94"/>
      <c r="PG172" s="94"/>
      <c r="PH172" s="94"/>
      <c r="PI172" s="94"/>
      <c r="PJ172" s="94"/>
      <c r="PK172" s="94"/>
      <c r="PL172" s="94"/>
      <c r="PM172" s="94"/>
      <c r="PN172" s="94"/>
      <c r="PO172" s="94"/>
      <c r="PP172" s="94"/>
      <c r="PQ172" s="94"/>
      <c r="PR172" s="94"/>
      <c r="PS172" s="94"/>
      <c r="PT172" s="94"/>
      <c r="PU172" s="94"/>
      <c r="PV172" s="94"/>
      <c r="PW172" s="94"/>
      <c r="PX172" s="94"/>
      <c r="PY172" s="94"/>
      <c r="PZ172" s="94"/>
      <c r="QA172" s="94"/>
      <c r="QB172" s="94"/>
      <c r="QC172" s="94"/>
      <c r="QD172" s="94"/>
      <c r="QE172" s="94"/>
      <c r="QF172" s="94"/>
      <c r="QG172" s="94"/>
      <c r="QH172" s="94"/>
      <c r="QI172" s="94"/>
      <c r="QJ172" s="94"/>
      <c r="QK172" s="94"/>
      <c r="QL172" s="94"/>
      <c r="QM172" s="94"/>
      <c r="QN172" s="94"/>
      <c r="QO172" s="94"/>
      <c r="QP172" s="94"/>
      <c r="QQ172" s="94"/>
      <c r="QR172" s="94"/>
      <c r="QS172" s="94"/>
      <c r="QT172" s="94"/>
      <c r="QU172" s="94"/>
      <c r="QV172" s="94"/>
      <c r="QW172" s="94"/>
      <c r="QX172" s="94"/>
      <c r="QY172" s="94"/>
      <c r="QZ172" s="94"/>
      <c r="RA172" s="94"/>
      <c r="RB172" s="94"/>
      <c r="RC172" s="94"/>
      <c r="RD172" s="94"/>
      <c r="RE172" s="94"/>
      <c r="RF172" s="94"/>
      <c r="RG172" s="94"/>
      <c r="RH172" s="94"/>
      <c r="RI172" s="94"/>
      <c r="RJ172" s="94"/>
      <c r="RK172" s="94"/>
      <c r="RL172" s="94"/>
      <c r="RM172" s="94"/>
      <c r="RN172" s="94"/>
      <c r="RO172" s="94"/>
      <c r="RP172" s="94"/>
      <c r="RQ172" s="94"/>
      <c r="RR172" s="94"/>
      <c r="RS172" s="94"/>
      <c r="RT172" s="94"/>
      <c r="RU172" s="94"/>
      <c r="RV172" s="94"/>
      <c r="RW172" s="94"/>
      <c r="RX172" s="94"/>
      <c r="RY172" s="94"/>
      <c r="RZ172" s="94"/>
      <c r="SA172" s="94"/>
      <c r="SB172" s="94"/>
      <c r="SC172" s="94"/>
      <c r="SD172" s="94"/>
      <c r="SE172" s="94"/>
      <c r="SF172" s="94"/>
      <c r="SG172" s="94"/>
      <c r="SH172" s="94"/>
      <c r="SI172" s="94"/>
    </row>
    <row r="173" spans="1:503" s="90" customFormat="1" ht="14.25" customHeight="1">
      <c r="A173" s="1"/>
      <c r="B173" s="1"/>
      <c r="C173" s="94" t="s">
        <v>4444</v>
      </c>
      <c r="D173" s="1"/>
      <c r="E173" s="1"/>
      <c r="F173" s="1"/>
      <c r="G173" s="1"/>
      <c r="H173" s="1"/>
      <c r="I173" s="1"/>
      <c r="J173" s="1"/>
      <c r="K173" s="1554" t="str">
        <f>IF(OR(K67="",K67=0),"",K170/K67)</f>
        <v/>
      </c>
      <c r="L173" s="1554">
        <f>IF(OR(L67="",L67=0),"",L170/L67)</f>
        <v>800</v>
      </c>
      <c r="M173" s="1554">
        <f>IF(OR(M67="",M67=0),"",M170/M67)</f>
        <v>1000</v>
      </c>
      <c r="N173" s="1554" t="str">
        <f>IF(OR(N67="",N67=0),"",N170/N67)</f>
        <v/>
      </c>
      <c r="O173" s="1554" t="str">
        <f>IF(OR(O67="",O67=0),"",O170/O67)</f>
        <v/>
      </c>
      <c r="P173" s="1496"/>
      <c r="X173" s="445"/>
      <c r="Y173" s="445"/>
      <c r="Z173" s="445"/>
      <c r="AA173" s="445"/>
      <c r="AB173" s="445"/>
      <c r="AC173" s="445"/>
      <c r="AD173" s="445"/>
      <c r="AE173" s="445"/>
      <c r="AF173" s="445"/>
      <c r="AG173" s="445"/>
      <c r="AH173" s="445"/>
      <c r="AI173" s="445"/>
      <c r="AJ173" s="445"/>
      <c r="AK173" s="445"/>
      <c r="AL173" s="445"/>
      <c r="AM173" s="445"/>
      <c r="AN173" s="445"/>
      <c r="AO173" s="445"/>
      <c r="AP173" s="445"/>
      <c r="AQ173" s="445"/>
      <c r="AR173" s="445"/>
      <c r="AS173" s="445"/>
      <c r="AT173" s="445"/>
      <c r="AU173" s="445"/>
      <c r="AV173" s="445"/>
      <c r="AW173" s="445"/>
      <c r="AX173" s="445"/>
      <c r="AY173" s="445"/>
      <c r="AZ173" s="445"/>
      <c r="BA173" s="445"/>
      <c r="BB173" s="445"/>
      <c r="BC173" s="445"/>
      <c r="BD173" s="445"/>
      <c r="BE173" s="445"/>
      <c r="BF173" s="445"/>
      <c r="BG173" s="445"/>
      <c r="BH173" s="445"/>
      <c r="BI173" s="445"/>
      <c r="BJ173" s="445"/>
      <c r="BK173" s="445"/>
      <c r="BL173" s="445"/>
      <c r="BM173" s="445"/>
      <c r="BN173" s="445"/>
      <c r="BO173" s="445"/>
      <c r="BP173" s="445"/>
      <c r="BQ173" s="445"/>
      <c r="BR173" s="445"/>
      <c r="BS173" s="445"/>
      <c r="BT173" s="445"/>
      <c r="BU173" s="445"/>
      <c r="BV173" s="445"/>
      <c r="BW173" s="445"/>
      <c r="BX173" s="445"/>
      <c r="BY173" s="445"/>
      <c r="BZ173" s="445"/>
      <c r="CA173" s="445"/>
      <c r="CB173" s="445"/>
      <c r="CC173" s="445"/>
      <c r="CD173" s="445"/>
      <c r="CE173" s="445"/>
      <c r="CF173" s="445"/>
      <c r="CG173" s="445"/>
      <c r="CH173" s="445"/>
      <c r="CI173" s="445"/>
      <c r="CJ173" s="445"/>
      <c r="CK173" s="445"/>
      <c r="CL173" s="445"/>
      <c r="CM173" s="445"/>
      <c r="CN173" s="445"/>
      <c r="CO173" s="445"/>
      <c r="CP173" s="445"/>
      <c r="CQ173" s="445"/>
      <c r="CR173" s="445"/>
      <c r="CS173" s="445"/>
      <c r="CT173" s="445"/>
      <c r="CU173" s="445"/>
      <c r="CV173" s="445"/>
      <c r="CW173" s="445"/>
      <c r="CX173" s="445"/>
      <c r="CY173" s="445"/>
      <c r="CZ173" s="445"/>
      <c r="DA173" s="445"/>
      <c r="DB173" s="445"/>
      <c r="DC173" s="445"/>
      <c r="DD173" s="445"/>
      <c r="DE173" s="445"/>
      <c r="DF173" s="445"/>
      <c r="DG173" s="445"/>
      <c r="DH173" s="445"/>
      <c r="DI173" s="445"/>
      <c r="DJ173" s="445"/>
      <c r="DK173" s="445"/>
      <c r="DL173" s="445"/>
      <c r="DM173" s="445"/>
      <c r="DN173" s="445"/>
      <c r="DO173" s="445"/>
      <c r="DP173" s="445"/>
      <c r="DQ173" s="445"/>
      <c r="DR173" s="445"/>
      <c r="DS173" s="445"/>
      <c r="DT173" s="445"/>
      <c r="DU173" s="445"/>
      <c r="DV173" s="445"/>
      <c r="DW173" s="445"/>
      <c r="DX173" s="445"/>
      <c r="DY173" s="445"/>
      <c r="DZ173" s="445"/>
      <c r="EA173" s="445"/>
      <c r="EB173" s="445"/>
      <c r="EC173" s="445"/>
      <c r="ED173" s="445"/>
      <c r="EE173" s="445"/>
      <c r="EF173" s="445"/>
      <c r="EG173" s="445"/>
      <c r="EH173" s="445"/>
      <c r="EI173" s="445"/>
      <c r="EJ173" s="445"/>
      <c r="EK173" s="445"/>
      <c r="EL173" s="445"/>
      <c r="EM173" s="445"/>
      <c r="EN173" s="445"/>
      <c r="EO173" s="445"/>
      <c r="EP173" s="445"/>
      <c r="EQ173" s="445"/>
      <c r="ER173" s="445"/>
      <c r="ES173" s="445"/>
      <c r="ET173" s="445"/>
      <c r="EU173" s="445"/>
      <c r="EV173" s="445"/>
      <c r="EW173" s="445"/>
      <c r="EX173" s="445"/>
      <c r="EY173" s="445"/>
      <c r="EZ173" s="445"/>
      <c r="FA173" s="445"/>
      <c r="FB173" s="445"/>
      <c r="FC173" s="445"/>
      <c r="FD173" s="445"/>
      <c r="FE173" s="445"/>
      <c r="FF173" s="445"/>
      <c r="FG173" s="445"/>
      <c r="FH173" s="445"/>
      <c r="FI173" s="445"/>
      <c r="FJ173" s="445"/>
      <c r="FK173" s="445"/>
      <c r="FL173" s="445"/>
      <c r="FM173" s="445"/>
      <c r="FN173" s="445"/>
      <c r="FO173" s="445"/>
      <c r="FP173" s="445"/>
      <c r="FQ173" s="445"/>
      <c r="FR173" s="445"/>
      <c r="FS173" s="445"/>
      <c r="FT173" s="445"/>
      <c r="FU173" s="445"/>
      <c r="FV173" s="445"/>
      <c r="FW173" s="445"/>
      <c r="FX173" s="445"/>
      <c r="FY173" s="445"/>
      <c r="FZ173" s="445"/>
      <c r="GA173" s="445"/>
      <c r="GB173" s="445"/>
      <c r="GC173" s="445"/>
      <c r="GD173" s="445"/>
      <c r="GE173" s="445"/>
      <c r="GF173" s="445"/>
      <c r="GG173" s="445"/>
      <c r="GH173" s="445"/>
      <c r="GI173" s="445"/>
      <c r="GJ173" s="445"/>
      <c r="GK173" s="445"/>
      <c r="GL173" s="445"/>
      <c r="GM173" s="445"/>
      <c r="GN173" s="445"/>
      <c r="GO173" s="445"/>
      <c r="GP173" s="445"/>
      <c r="GQ173" s="445"/>
      <c r="GR173" s="445"/>
      <c r="GS173" s="445"/>
      <c r="GT173" s="445"/>
      <c r="GU173" s="445"/>
      <c r="GV173" s="445"/>
      <c r="GW173" s="445"/>
      <c r="GX173" s="445"/>
      <c r="GY173" s="445"/>
      <c r="GZ173" s="445"/>
      <c r="HA173" s="445"/>
      <c r="HB173" s="445"/>
      <c r="HC173" s="445"/>
      <c r="HD173" s="445"/>
      <c r="HE173" s="445"/>
      <c r="HF173" s="445"/>
      <c r="HG173" s="445"/>
      <c r="HH173" s="445"/>
      <c r="HI173" s="445"/>
      <c r="HJ173" s="445"/>
      <c r="HK173" s="445"/>
      <c r="HL173" s="445"/>
      <c r="HM173" s="445"/>
      <c r="HN173" s="445"/>
      <c r="HO173" s="445"/>
      <c r="HP173" s="445"/>
      <c r="HQ173" s="445"/>
      <c r="HR173" s="445"/>
      <c r="HS173" s="445"/>
      <c r="HT173" s="445"/>
      <c r="HU173" s="445"/>
      <c r="HV173" s="445"/>
      <c r="HW173" s="445"/>
      <c r="HX173" s="445"/>
      <c r="HY173" s="445"/>
      <c r="HZ173" s="445"/>
      <c r="IA173" s="445"/>
      <c r="IB173" s="445"/>
      <c r="IC173" s="445"/>
      <c r="ID173" s="445"/>
      <c r="IE173" s="445"/>
      <c r="IF173" s="445"/>
      <c r="IG173" s="445"/>
      <c r="IH173" s="445"/>
      <c r="II173" s="445"/>
      <c r="IJ173" s="445"/>
      <c r="IK173" s="445"/>
      <c r="IL173" s="445"/>
      <c r="IM173" s="445"/>
      <c r="IN173" s="445"/>
      <c r="IO173" s="445"/>
      <c r="IP173" s="445"/>
      <c r="IQ173" s="445"/>
      <c r="IR173" s="445"/>
      <c r="IS173" s="445"/>
      <c r="IT173" s="445"/>
      <c r="IU173" s="445"/>
      <c r="IV173" s="445"/>
      <c r="IW173" s="445"/>
      <c r="IX173" s="445"/>
      <c r="IY173" s="445"/>
      <c r="IZ173" s="445"/>
      <c r="JA173" s="445"/>
      <c r="JB173" s="445"/>
      <c r="JC173" s="445"/>
      <c r="JD173" s="445"/>
      <c r="JE173" s="445"/>
      <c r="JF173" s="445"/>
      <c r="JG173" s="445"/>
      <c r="JH173" s="445"/>
      <c r="JI173" s="445"/>
      <c r="JJ173" s="445"/>
      <c r="JK173" s="445"/>
      <c r="JL173" s="445"/>
      <c r="JM173" s="445"/>
      <c r="JN173" s="445"/>
      <c r="JO173" s="445"/>
      <c r="JP173" s="445"/>
      <c r="JQ173" s="445"/>
      <c r="JR173" s="445"/>
      <c r="JS173" s="445"/>
      <c r="JT173" s="445"/>
      <c r="JU173" s="445"/>
      <c r="JV173" s="445"/>
      <c r="JW173" s="2242"/>
      <c r="JX173" s="445"/>
      <c r="JY173" s="445"/>
      <c r="JZ173" s="445"/>
      <c r="KA173" s="445"/>
      <c r="KB173" s="2242"/>
      <c r="KC173" s="2242"/>
      <c r="KD173" s="2242"/>
      <c r="KE173" s="2242"/>
      <c r="KF173" s="2242"/>
      <c r="KG173" s="2242"/>
      <c r="KH173" s="2242"/>
      <c r="KI173" s="2242"/>
      <c r="KJ173" s="2242"/>
      <c r="KK173" s="2242"/>
      <c r="KL173" s="2242"/>
      <c r="KM173" s="2242"/>
      <c r="KN173" s="2242"/>
      <c r="KO173" s="2242"/>
      <c r="KP173" s="2242"/>
      <c r="KQ173" s="2242"/>
      <c r="KR173" s="2242"/>
      <c r="KS173" s="2242"/>
      <c r="KT173" s="2242"/>
      <c r="KU173" s="2242"/>
      <c r="KV173" s="2242"/>
      <c r="KW173" s="2242"/>
      <c r="KX173" s="2242"/>
      <c r="KY173" s="2242"/>
      <c r="KZ173" s="2242"/>
      <c r="LA173" s="2242"/>
      <c r="LB173" s="2242"/>
      <c r="LC173" s="2242"/>
      <c r="LD173" s="2242"/>
      <c r="LE173" s="2242"/>
      <c r="LF173" s="2242"/>
      <c r="LG173" s="2242"/>
      <c r="LH173" s="2242"/>
      <c r="LI173" s="2242"/>
      <c r="LJ173" s="2242"/>
      <c r="LK173" s="2242"/>
      <c r="LL173" s="2242"/>
      <c r="LM173" s="2242"/>
      <c r="LN173" s="2242"/>
      <c r="LO173" s="2242"/>
      <c r="LP173" s="2242"/>
      <c r="LQ173" s="2242"/>
      <c r="LR173" s="445"/>
      <c r="LS173" s="445"/>
      <c r="LT173" s="445"/>
      <c r="LU173" s="445"/>
      <c r="LV173" s="445"/>
      <c r="LW173" s="445"/>
      <c r="LX173" s="2243"/>
      <c r="LY173" s="445"/>
      <c r="LZ173" s="445"/>
      <c r="MA173" s="445"/>
      <c r="MB173" s="445"/>
      <c r="MC173" s="445"/>
      <c r="MD173" s="445"/>
      <c r="ME173" s="445"/>
      <c r="MF173" s="445"/>
      <c r="MG173" s="445"/>
      <c r="MH173" s="445"/>
      <c r="MI173" s="445"/>
      <c r="MJ173" s="445"/>
      <c r="MK173" s="445"/>
      <c r="ML173" s="445"/>
      <c r="MM173" s="445"/>
      <c r="MN173" s="2243"/>
      <c r="MO173" s="2243"/>
      <c r="MP173" s="445"/>
      <c r="MQ173" s="445"/>
      <c r="MR173" s="445"/>
      <c r="MS173" s="445"/>
      <c r="MT173" s="445"/>
      <c r="MU173" s="445"/>
      <c r="MV173" s="445"/>
      <c r="MW173" s="445"/>
      <c r="MX173" s="445"/>
      <c r="MY173" s="445"/>
      <c r="MZ173" s="445"/>
      <c r="NA173" s="445"/>
      <c r="NB173" s="445"/>
      <c r="NC173" s="445"/>
      <c r="ND173" s="445"/>
      <c r="NE173" s="94"/>
      <c r="NF173" s="94"/>
      <c r="NG173" s="94"/>
      <c r="NH173" s="94"/>
      <c r="NI173" s="94"/>
      <c r="NJ173" s="94"/>
      <c r="NK173" s="94"/>
      <c r="NL173" s="94"/>
      <c r="NM173" s="94"/>
      <c r="NN173" s="94"/>
      <c r="NO173" s="94"/>
      <c r="NP173" s="94"/>
      <c r="NQ173" s="94"/>
      <c r="NR173" s="94"/>
      <c r="NS173" s="94"/>
      <c r="NT173" s="94"/>
      <c r="NU173" s="94"/>
      <c r="NV173" s="94"/>
      <c r="NW173" s="94"/>
      <c r="NX173" s="94"/>
      <c r="NY173" s="94"/>
      <c r="NZ173" s="94"/>
      <c r="OA173" s="94"/>
      <c r="OB173" s="94"/>
      <c r="OC173" s="94"/>
      <c r="OD173" s="94"/>
      <c r="OE173" s="94"/>
      <c r="OF173" s="94"/>
      <c r="OG173" s="94"/>
      <c r="OH173" s="94"/>
      <c r="OI173" s="94"/>
      <c r="OJ173" s="94"/>
      <c r="OK173" s="94"/>
      <c r="OL173" s="94"/>
      <c r="OM173" s="94"/>
      <c r="ON173" s="94"/>
      <c r="OO173" s="94"/>
      <c r="OP173" s="94"/>
      <c r="OQ173" s="94"/>
      <c r="OR173" s="94"/>
      <c r="OS173" s="94"/>
      <c r="OT173" s="94"/>
      <c r="OU173" s="94"/>
      <c r="OV173" s="94"/>
      <c r="OW173" s="94"/>
      <c r="OX173" s="94"/>
      <c r="OY173" s="94"/>
      <c r="OZ173" s="94"/>
      <c r="PA173" s="94"/>
      <c r="PB173" s="94"/>
      <c r="PC173" s="94"/>
      <c r="PD173" s="94"/>
      <c r="PE173" s="94"/>
      <c r="PF173" s="94"/>
      <c r="PG173" s="94"/>
      <c r="PH173" s="94"/>
      <c r="PI173" s="94"/>
      <c r="PJ173" s="94"/>
      <c r="PK173" s="94"/>
      <c r="PL173" s="94"/>
      <c r="PM173" s="94"/>
      <c r="PN173" s="94"/>
      <c r="PO173" s="94"/>
      <c r="PP173" s="94"/>
      <c r="PQ173" s="94"/>
      <c r="PR173" s="94"/>
      <c r="PS173" s="94"/>
      <c r="PT173" s="94"/>
      <c r="PU173" s="94"/>
      <c r="PV173" s="94"/>
      <c r="PW173" s="94"/>
      <c r="PX173" s="94"/>
      <c r="PY173" s="94"/>
      <c r="PZ173" s="94"/>
      <c r="QA173" s="94"/>
      <c r="QB173" s="94"/>
      <c r="QC173" s="94"/>
      <c r="QD173" s="94"/>
      <c r="QE173" s="94"/>
      <c r="QF173" s="94"/>
      <c r="QG173" s="94"/>
      <c r="QH173" s="94"/>
      <c r="QI173" s="94"/>
      <c r="QJ173" s="94"/>
      <c r="QK173" s="94"/>
      <c r="QL173" s="94"/>
      <c r="QM173" s="94"/>
      <c r="QN173" s="94"/>
      <c r="QO173" s="94"/>
      <c r="QP173" s="94"/>
      <c r="QQ173" s="94"/>
      <c r="QR173" s="94"/>
      <c r="QS173" s="94"/>
      <c r="QT173" s="94"/>
      <c r="QU173" s="94"/>
      <c r="QV173" s="94"/>
      <c r="QW173" s="94"/>
      <c r="QX173" s="94"/>
      <c r="QY173" s="94"/>
      <c r="QZ173" s="94"/>
      <c r="RA173" s="94"/>
      <c r="RB173" s="94"/>
      <c r="RC173" s="94"/>
      <c r="RD173" s="94"/>
      <c r="RE173" s="94"/>
      <c r="RF173" s="94"/>
      <c r="RG173" s="94"/>
      <c r="RH173" s="94"/>
      <c r="RI173" s="94"/>
      <c r="RJ173" s="94"/>
      <c r="RK173" s="94"/>
      <c r="RL173" s="94"/>
      <c r="RM173" s="94"/>
      <c r="RN173" s="94"/>
      <c r="RO173" s="94"/>
      <c r="RP173" s="94"/>
      <c r="RQ173" s="94"/>
      <c r="RR173" s="94"/>
      <c r="RS173" s="94"/>
      <c r="RT173" s="94"/>
      <c r="RU173" s="94"/>
      <c r="RV173" s="94"/>
      <c r="RW173" s="94"/>
      <c r="RX173" s="94"/>
      <c r="RY173" s="94"/>
      <c r="RZ173" s="94"/>
      <c r="SA173" s="94"/>
      <c r="SB173" s="94"/>
      <c r="SC173" s="94"/>
      <c r="SD173" s="94"/>
      <c r="SE173" s="94"/>
      <c r="SF173" s="94"/>
      <c r="SG173" s="94"/>
      <c r="SH173" s="94"/>
      <c r="SI173" s="94"/>
    </row>
    <row r="174" spans="1:503" s="90" customFormat="1" ht="14.1" customHeight="1">
      <c r="A174" s="1"/>
      <c r="B174" s="1"/>
      <c r="C174" s="1"/>
      <c r="D174" s="1"/>
      <c r="E174" s="1"/>
      <c r="F174" s="1"/>
      <c r="G174" s="1"/>
      <c r="H174" s="1"/>
      <c r="I174" s="1"/>
      <c r="J174" s="1"/>
      <c r="K174" s="1"/>
      <c r="L174" s="1"/>
      <c r="M174" s="1"/>
      <c r="N174" s="1"/>
      <c r="O174" s="1"/>
      <c r="P174" s="1"/>
      <c r="X174" s="445"/>
      <c r="Y174" s="445"/>
      <c r="Z174" s="445"/>
      <c r="AA174" s="445"/>
      <c r="AB174" s="445"/>
      <c r="AC174" s="445"/>
      <c r="AD174" s="445"/>
      <c r="AE174" s="445"/>
      <c r="AF174" s="445"/>
      <c r="AG174" s="445"/>
      <c r="AH174" s="445"/>
      <c r="AI174" s="445"/>
      <c r="AJ174" s="445"/>
      <c r="AK174" s="445"/>
      <c r="AL174" s="445"/>
      <c r="AM174" s="445"/>
      <c r="AN174" s="445"/>
      <c r="AO174" s="445"/>
      <c r="AP174" s="445"/>
      <c r="AQ174" s="445"/>
      <c r="AR174" s="445"/>
      <c r="AS174" s="445"/>
      <c r="AT174" s="445"/>
      <c r="AU174" s="445"/>
      <c r="AV174" s="445"/>
      <c r="AW174" s="445"/>
      <c r="AX174" s="445"/>
      <c r="AY174" s="445"/>
      <c r="AZ174" s="445"/>
      <c r="BA174" s="445"/>
      <c r="BB174" s="445"/>
      <c r="BC174" s="445"/>
      <c r="BD174" s="445"/>
      <c r="BE174" s="445"/>
      <c r="BF174" s="445"/>
      <c r="BG174" s="445"/>
      <c r="BH174" s="445"/>
      <c r="BI174" s="445"/>
      <c r="BJ174" s="445"/>
      <c r="BK174" s="445"/>
      <c r="BL174" s="445"/>
      <c r="BM174" s="445"/>
      <c r="BN174" s="445"/>
      <c r="BO174" s="445"/>
      <c r="BP174" s="445"/>
      <c r="BQ174" s="445"/>
      <c r="BR174" s="445"/>
      <c r="BS174" s="445"/>
      <c r="BT174" s="445"/>
      <c r="BU174" s="445"/>
      <c r="BV174" s="445"/>
      <c r="BW174" s="445"/>
      <c r="BX174" s="445"/>
      <c r="BY174" s="445"/>
      <c r="BZ174" s="445"/>
      <c r="CA174" s="445"/>
      <c r="CB174" s="445"/>
      <c r="CC174" s="445"/>
      <c r="CD174" s="445"/>
      <c r="CE174" s="445"/>
      <c r="CF174" s="445"/>
      <c r="CG174" s="445"/>
      <c r="CH174" s="445"/>
      <c r="CI174" s="445"/>
      <c r="CJ174" s="445"/>
      <c r="CK174" s="445"/>
      <c r="CL174" s="445"/>
      <c r="CM174" s="445"/>
      <c r="CN174" s="445"/>
      <c r="CO174" s="445"/>
      <c r="CP174" s="445"/>
      <c r="CQ174" s="445"/>
      <c r="CR174" s="445"/>
      <c r="CS174" s="445"/>
      <c r="CT174" s="445"/>
      <c r="CU174" s="445"/>
      <c r="CV174" s="445"/>
      <c r="CW174" s="445"/>
      <c r="CX174" s="445"/>
      <c r="CY174" s="445"/>
      <c r="CZ174" s="445"/>
      <c r="DA174" s="445"/>
      <c r="DB174" s="445"/>
      <c r="DC174" s="445"/>
      <c r="DD174" s="445"/>
      <c r="DE174" s="445"/>
      <c r="DF174" s="445"/>
      <c r="DG174" s="445"/>
      <c r="DH174" s="445"/>
      <c r="DI174" s="445"/>
      <c r="DJ174" s="445"/>
      <c r="DK174" s="445"/>
      <c r="DL174" s="445"/>
      <c r="DM174" s="445"/>
      <c r="DN174" s="445"/>
      <c r="DO174" s="445"/>
      <c r="DP174" s="445"/>
      <c r="DQ174" s="445"/>
      <c r="DR174" s="445"/>
      <c r="DS174" s="445"/>
      <c r="DT174" s="445"/>
      <c r="DU174" s="445"/>
      <c r="DV174" s="445"/>
      <c r="DW174" s="445"/>
      <c r="DX174" s="445"/>
      <c r="DY174" s="445"/>
      <c r="DZ174" s="445"/>
      <c r="EA174" s="445"/>
      <c r="EB174" s="445"/>
      <c r="EC174" s="445"/>
      <c r="ED174" s="445"/>
      <c r="EE174" s="445"/>
      <c r="EF174" s="445"/>
      <c r="EG174" s="445"/>
      <c r="EH174" s="445"/>
      <c r="EI174" s="445"/>
      <c r="EJ174" s="445"/>
      <c r="EK174" s="445"/>
      <c r="EL174" s="445"/>
      <c r="EM174" s="445"/>
      <c r="EN174" s="445"/>
      <c r="EO174" s="445"/>
      <c r="EP174" s="445"/>
      <c r="EQ174" s="445"/>
      <c r="ER174" s="445"/>
      <c r="ES174" s="445"/>
      <c r="ET174" s="445"/>
      <c r="EU174" s="445"/>
      <c r="EV174" s="445"/>
      <c r="EW174" s="445"/>
      <c r="EX174" s="445"/>
      <c r="EY174" s="445"/>
      <c r="EZ174" s="445"/>
      <c r="FA174" s="445"/>
      <c r="FB174" s="445"/>
      <c r="FC174" s="445"/>
      <c r="FD174" s="445"/>
      <c r="FE174" s="445"/>
      <c r="FF174" s="445"/>
      <c r="FG174" s="445"/>
      <c r="FH174" s="445"/>
      <c r="FI174" s="445"/>
      <c r="FJ174" s="445"/>
      <c r="FK174" s="445"/>
      <c r="FL174" s="445"/>
      <c r="FM174" s="445"/>
      <c r="FN174" s="445"/>
      <c r="FO174" s="445"/>
      <c r="FP174" s="445"/>
      <c r="FQ174" s="445"/>
      <c r="FR174" s="445"/>
      <c r="FS174" s="445"/>
      <c r="FT174" s="445"/>
      <c r="FU174" s="445"/>
      <c r="FV174" s="445"/>
      <c r="FW174" s="445"/>
      <c r="FX174" s="445"/>
      <c r="FY174" s="445"/>
      <c r="FZ174" s="445"/>
      <c r="GA174" s="445"/>
      <c r="GB174" s="445"/>
      <c r="GC174" s="445"/>
      <c r="GD174" s="445"/>
      <c r="GE174" s="445"/>
      <c r="GF174" s="445"/>
      <c r="GG174" s="445"/>
      <c r="GH174" s="445"/>
      <c r="GI174" s="445"/>
      <c r="GJ174" s="445"/>
      <c r="GK174" s="445"/>
      <c r="GL174" s="445"/>
      <c r="GM174" s="445"/>
      <c r="GN174" s="445"/>
      <c r="GO174" s="445"/>
      <c r="GP174" s="445"/>
      <c r="GQ174" s="445"/>
      <c r="GR174" s="445"/>
      <c r="GS174" s="445"/>
      <c r="GT174" s="445"/>
      <c r="GU174" s="445"/>
      <c r="GV174" s="445"/>
      <c r="GW174" s="445"/>
      <c r="GX174" s="445"/>
      <c r="GY174" s="445"/>
      <c r="GZ174" s="445"/>
      <c r="HA174" s="445"/>
      <c r="HB174" s="445"/>
      <c r="HC174" s="445"/>
      <c r="HD174" s="445"/>
      <c r="HE174" s="445"/>
      <c r="HF174" s="445"/>
      <c r="HG174" s="445"/>
      <c r="HH174" s="445"/>
      <c r="HI174" s="445"/>
      <c r="HJ174" s="445"/>
      <c r="HK174" s="445"/>
      <c r="HL174" s="445"/>
      <c r="HM174" s="445"/>
      <c r="HN174" s="445"/>
      <c r="HO174" s="445"/>
      <c r="HP174" s="445"/>
      <c r="HQ174" s="445"/>
      <c r="HR174" s="445"/>
      <c r="HS174" s="445"/>
      <c r="HT174" s="445"/>
      <c r="HU174" s="445"/>
      <c r="HV174" s="445"/>
      <c r="HW174" s="445"/>
      <c r="HX174" s="445"/>
      <c r="HY174" s="445"/>
      <c r="HZ174" s="445"/>
      <c r="IA174" s="445"/>
      <c r="IB174" s="445"/>
      <c r="IC174" s="445"/>
      <c r="ID174" s="445"/>
      <c r="IE174" s="445"/>
      <c r="IF174" s="445"/>
      <c r="IG174" s="445"/>
      <c r="IH174" s="445"/>
      <c r="II174" s="445"/>
      <c r="IJ174" s="445"/>
      <c r="IK174" s="445"/>
      <c r="IL174" s="445"/>
      <c r="IM174" s="445"/>
      <c r="IN174" s="445"/>
      <c r="IO174" s="445"/>
      <c r="IP174" s="445"/>
      <c r="IQ174" s="445"/>
      <c r="IR174" s="445"/>
      <c r="IS174" s="445"/>
      <c r="IT174" s="445"/>
      <c r="IU174" s="445"/>
      <c r="IV174" s="445"/>
      <c r="IW174" s="445"/>
      <c r="IX174" s="445"/>
      <c r="IY174" s="445"/>
      <c r="IZ174" s="445"/>
      <c r="JA174" s="445"/>
      <c r="JB174" s="445"/>
      <c r="JC174" s="445"/>
      <c r="JD174" s="445"/>
      <c r="JE174" s="445"/>
      <c r="JF174" s="445"/>
      <c r="JG174" s="445"/>
      <c r="JH174" s="445"/>
      <c r="JI174" s="445"/>
      <c r="JJ174" s="445"/>
      <c r="JK174" s="445"/>
      <c r="JL174" s="445"/>
      <c r="JM174" s="445"/>
      <c r="JN174" s="445"/>
      <c r="JO174" s="445"/>
      <c r="JP174" s="445"/>
      <c r="JQ174" s="445"/>
      <c r="JR174" s="445"/>
      <c r="JS174" s="445"/>
      <c r="JT174" s="445"/>
      <c r="JU174" s="445"/>
      <c r="JV174" s="445"/>
      <c r="JW174" s="2242"/>
      <c r="JX174" s="445"/>
      <c r="JY174" s="445"/>
      <c r="JZ174" s="445"/>
      <c r="KA174" s="445"/>
      <c r="KB174" s="2242"/>
      <c r="KC174" s="2242"/>
      <c r="KD174" s="2242"/>
      <c r="KE174" s="2242"/>
      <c r="KF174" s="2242"/>
      <c r="KG174" s="2242"/>
      <c r="KH174" s="2242"/>
      <c r="KI174" s="2242"/>
      <c r="KJ174" s="2242"/>
      <c r="KK174" s="2242"/>
      <c r="KL174" s="2242"/>
      <c r="KM174" s="2242"/>
      <c r="KN174" s="2242"/>
      <c r="KO174" s="2242"/>
      <c r="KP174" s="2242"/>
      <c r="KQ174" s="2242"/>
      <c r="KR174" s="2242"/>
      <c r="KS174" s="2242"/>
      <c r="KT174" s="2242"/>
      <c r="KU174" s="2242"/>
      <c r="KV174" s="2242"/>
      <c r="KW174" s="2242"/>
      <c r="KX174" s="2242"/>
      <c r="KY174" s="2242"/>
      <c r="KZ174" s="2242"/>
      <c r="LA174" s="2242"/>
      <c r="LB174" s="2242"/>
      <c r="LC174" s="2242"/>
      <c r="LD174" s="2242"/>
      <c r="LE174" s="2242"/>
      <c r="LF174" s="2242"/>
      <c r="LG174" s="2242"/>
      <c r="LH174" s="2242"/>
      <c r="LI174" s="2242"/>
      <c r="LJ174" s="2242"/>
      <c r="LK174" s="2242"/>
      <c r="LL174" s="2242"/>
      <c r="LM174" s="2242"/>
      <c r="LN174" s="2242"/>
      <c r="LO174" s="2242"/>
      <c r="LP174" s="2242"/>
      <c r="LQ174" s="2242"/>
      <c r="LR174" s="445"/>
      <c r="LS174" s="445"/>
      <c r="LT174" s="445"/>
      <c r="LU174" s="445"/>
      <c r="LV174" s="445"/>
      <c r="LW174" s="445"/>
      <c r="LX174" s="2243"/>
      <c r="LY174" s="445"/>
      <c r="LZ174" s="445"/>
      <c r="MA174" s="445"/>
      <c r="MB174" s="445"/>
      <c r="MC174" s="445"/>
      <c r="MD174" s="445"/>
      <c r="ME174" s="445"/>
      <c r="MF174" s="445"/>
      <c r="MG174" s="445"/>
      <c r="MH174" s="445"/>
      <c r="MI174" s="445"/>
      <c r="MJ174" s="445"/>
      <c r="MK174" s="445"/>
      <c r="ML174" s="445"/>
      <c r="MM174" s="445"/>
      <c r="MN174" s="2243"/>
      <c r="MO174" s="2243"/>
      <c r="MP174" s="445"/>
      <c r="MQ174" s="445"/>
      <c r="MR174" s="445"/>
      <c r="MS174" s="445"/>
      <c r="MT174" s="445"/>
      <c r="MU174" s="445"/>
      <c r="MV174" s="445"/>
      <c r="MW174" s="445"/>
      <c r="MX174" s="445"/>
      <c r="MY174" s="445"/>
      <c r="MZ174" s="445"/>
      <c r="NA174" s="445"/>
      <c r="NB174" s="445"/>
      <c r="NC174" s="445"/>
      <c r="ND174" s="445"/>
      <c r="NE174" s="94"/>
      <c r="NF174" s="94"/>
      <c r="NG174" s="94"/>
      <c r="NH174" s="94"/>
      <c r="NI174" s="94"/>
      <c r="NJ174" s="94"/>
      <c r="NK174" s="94"/>
      <c r="NL174" s="94"/>
      <c r="NM174" s="94"/>
      <c r="NN174" s="94"/>
      <c r="NO174" s="94"/>
      <c r="NP174" s="94"/>
      <c r="NQ174" s="94"/>
      <c r="NR174" s="94"/>
      <c r="NS174" s="94"/>
      <c r="NT174" s="94"/>
      <c r="NU174" s="94"/>
      <c r="NV174" s="94"/>
      <c r="NW174" s="94"/>
      <c r="NX174" s="94"/>
      <c r="NY174" s="94"/>
      <c r="NZ174" s="94"/>
      <c r="OA174" s="94"/>
      <c r="OB174" s="94"/>
      <c r="OC174" s="94"/>
      <c r="OD174" s="94"/>
      <c r="OE174" s="94"/>
      <c r="OF174" s="94"/>
      <c r="OG174" s="94"/>
      <c r="OH174" s="94"/>
      <c r="OI174" s="94"/>
      <c r="OJ174" s="94"/>
      <c r="OK174" s="94"/>
      <c r="OL174" s="94"/>
      <c r="OM174" s="94"/>
      <c r="ON174" s="94"/>
      <c r="OO174" s="94"/>
      <c r="OP174" s="94"/>
      <c r="OQ174" s="94"/>
      <c r="OR174" s="94"/>
      <c r="OS174" s="94"/>
      <c r="OT174" s="94"/>
      <c r="OU174" s="94"/>
      <c r="OV174" s="94"/>
      <c r="OW174" s="94"/>
      <c r="OX174" s="94"/>
      <c r="OY174" s="94"/>
      <c r="OZ174" s="94"/>
      <c r="PA174" s="94"/>
      <c r="PB174" s="94"/>
      <c r="PC174" s="94"/>
      <c r="PD174" s="94"/>
      <c r="PE174" s="94"/>
      <c r="PF174" s="94"/>
      <c r="PG174" s="94"/>
      <c r="PH174" s="94"/>
      <c r="PI174" s="94"/>
      <c r="PJ174" s="94"/>
      <c r="PK174" s="94"/>
      <c r="PL174" s="94"/>
      <c r="PM174" s="94"/>
      <c r="PN174" s="94"/>
      <c r="PO174" s="94"/>
      <c r="PP174" s="94"/>
      <c r="PQ174" s="94"/>
      <c r="PR174" s="94"/>
      <c r="PS174" s="94"/>
      <c r="PT174" s="94"/>
      <c r="PU174" s="94"/>
      <c r="PV174" s="94"/>
      <c r="PW174" s="94"/>
      <c r="PX174" s="94"/>
      <c r="PY174" s="94"/>
      <c r="PZ174" s="94"/>
      <c r="QA174" s="94"/>
      <c r="QB174" s="94"/>
      <c r="QC174" s="94"/>
      <c r="QD174" s="94"/>
      <c r="QE174" s="94"/>
      <c r="QF174" s="94"/>
      <c r="QG174" s="94"/>
      <c r="QH174" s="94"/>
      <c r="QI174" s="94"/>
      <c r="QJ174" s="94"/>
      <c r="QK174" s="94"/>
      <c r="QL174" s="94"/>
      <c r="QM174" s="94"/>
      <c r="QN174" s="94"/>
      <c r="QO174" s="94"/>
      <c r="QP174" s="94"/>
      <c r="QQ174" s="94"/>
      <c r="QR174" s="94"/>
      <c r="QS174" s="94"/>
      <c r="QT174" s="94"/>
      <c r="QU174" s="94"/>
      <c r="QV174" s="94"/>
      <c r="QW174" s="94"/>
      <c r="QX174" s="94"/>
      <c r="QY174" s="94"/>
      <c r="QZ174" s="94"/>
      <c r="RA174" s="94"/>
      <c r="RB174" s="94"/>
      <c r="RC174" s="94"/>
      <c r="RD174" s="94"/>
      <c r="RE174" s="94"/>
      <c r="RF174" s="94"/>
      <c r="RG174" s="94"/>
      <c r="RH174" s="94"/>
      <c r="RI174" s="94"/>
      <c r="RJ174" s="94"/>
      <c r="RK174" s="94"/>
      <c r="RL174" s="94"/>
      <c r="RM174" s="94"/>
      <c r="RN174" s="94"/>
      <c r="RO174" s="94"/>
      <c r="RP174" s="94"/>
      <c r="RQ174" s="94"/>
      <c r="RR174" s="94"/>
      <c r="RS174" s="94"/>
      <c r="RT174" s="94"/>
      <c r="RU174" s="94"/>
      <c r="RV174" s="94"/>
      <c r="RW174" s="94"/>
      <c r="RX174" s="94"/>
      <c r="RY174" s="94"/>
      <c r="RZ174" s="94"/>
      <c r="SA174" s="94"/>
      <c r="SB174" s="94"/>
      <c r="SC174" s="94"/>
      <c r="SD174" s="94"/>
      <c r="SE174" s="94"/>
      <c r="SF174" s="94"/>
      <c r="SG174" s="94"/>
      <c r="SH174" s="94"/>
      <c r="SI174" s="94"/>
    </row>
    <row r="175" spans="1:503" s="90" customFormat="1" ht="14.1" customHeight="1">
      <c r="A175" s="32"/>
      <c r="B175" s="1"/>
      <c r="C175" s="1"/>
      <c r="D175" s="1"/>
      <c r="E175" s="1"/>
      <c r="F175" s="1"/>
      <c r="G175" s="1"/>
      <c r="H175" s="1"/>
      <c r="I175" s="1"/>
      <c r="J175" s="1"/>
      <c r="K175" s="1"/>
      <c r="L175" s="1"/>
      <c r="M175" s="1"/>
      <c r="N175" s="1"/>
      <c r="O175" s="1"/>
      <c r="P175" s="1"/>
      <c r="X175" s="445"/>
      <c r="Y175" s="445"/>
      <c r="Z175" s="445"/>
      <c r="AA175" s="445"/>
      <c r="AB175" s="445"/>
      <c r="AC175" s="445"/>
      <c r="AD175" s="445"/>
      <c r="AE175" s="445"/>
      <c r="AF175" s="445"/>
      <c r="AG175" s="445"/>
      <c r="AH175" s="445"/>
      <c r="AI175" s="445"/>
      <c r="AJ175" s="445"/>
      <c r="AK175" s="445"/>
      <c r="AL175" s="445"/>
      <c r="AM175" s="445"/>
      <c r="AN175" s="445"/>
      <c r="AO175" s="445"/>
      <c r="AP175" s="445"/>
      <c r="AQ175" s="445"/>
      <c r="AR175" s="445"/>
      <c r="AS175" s="445"/>
      <c r="AT175" s="445"/>
      <c r="AU175" s="445"/>
      <c r="AV175" s="445"/>
      <c r="AW175" s="445"/>
      <c r="AX175" s="445"/>
      <c r="AY175" s="445"/>
      <c r="AZ175" s="445"/>
      <c r="BA175" s="445"/>
      <c r="BB175" s="445"/>
      <c r="BC175" s="445"/>
      <c r="BD175" s="445"/>
      <c r="BE175" s="445"/>
      <c r="BF175" s="445"/>
      <c r="BG175" s="445"/>
      <c r="BH175" s="445"/>
      <c r="BI175" s="445"/>
      <c r="BJ175" s="445"/>
      <c r="BK175" s="445"/>
      <c r="BL175" s="445"/>
      <c r="BM175" s="445"/>
      <c r="BN175" s="445"/>
      <c r="BO175" s="445"/>
      <c r="BP175" s="445"/>
      <c r="BQ175" s="445"/>
      <c r="BR175" s="445"/>
      <c r="BS175" s="445"/>
      <c r="BT175" s="445"/>
      <c r="BU175" s="445"/>
      <c r="BV175" s="445"/>
      <c r="BW175" s="445"/>
      <c r="BX175" s="445"/>
      <c r="BY175" s="445"/>
      <c r="BZ175" s="445"/>
      <c r="CA175" s="445"/>
      <c r="CB175" s="445"/>
      <c r="CC175" s="445"/>
      <c r="CD175" s="445"/>
      <c r="CE175" s="445"/>
      <c r="CF175" s="445"/>
      <c r="CG175" s="445"/>
      <c r="CH175" s="445"/>
      <c r="CI175" s="445"/>
      <c r="CJ175" s="445"/>
      <c r="CK175" s="445"/>
      <c r="CL175" s="445"/>
      <c r="CM175" s="445"/>
      <c r="CN175" s="445"/>
      <c r="CO175" s="445"/>
      <c r="CP175" s="445"/>
      <c r="CQ175" s="445"/>
      <c r="CR175" s="445"/>
      <c r="CS175" s="445"/>
      <c r="CT175" s="445"/>
      <c r="CU175" s="445"/>
      <c r="CV175" s="445"/>
      <c r="CW175" s="445"/>
      <c r="CX175" s="445"/>
      <c r="CY175" s="445"/>
      <c r="CZ175" s="445"/>
      <c r="DA175" s="445"/>
      <c r="DB175" s="445"/>
      <c r="DC175" s="445"/>
      <c r="DD175" s="445"/>
      <c r="DE175" s="445"/>
      <c r="DF175" s="445"/>
      <c r="DG175" s="445"/>
      <c r="DH175" s="445"/>
      <c r="DI175" s="445"/>
      <c r="DJ175" s="445"/>
      <c r="DK175" s="445"/>
      <c r="DL175" s="445"/>
      <c r="DM175" s="445"/>
      <c r="DN175" s="445"/>
      <c r="DO175" s="445"/>
      <c r="DP175" s="445"/>
      <c r="DQ175" s="445"/>
      <c r="DR175" s="445"/>
      <c r="DS175" s="445"/>
      <c r="DT175" s="445"/>
      <c r="DU175" s="445"/>
      <c r="DV175" s="445"/>
      <c r="DW175" s="445"/>
      <c r="DX175" s="445"/>
      <c r="DY175" s="445"/>
      <c r="DZ175" s="445"/>
      <c r="EA175" s="445"/>
      <c r="EB175" s="445"/>
      <c r="EC175" s="445"/>
      <c r="ED175" s="445"/>
      <c r="EE175" s="445"/>
      <c r="EF175" s="445"/>
      <c r="EG175" s="445"/>
      <c r="EH175" s="445"/>
      <c r="EI175" s="445"/>
      <c r="EJ175" s="445"/>
      <c r="EK175" s="445"/>
      <c r="EL175" s="445"/>
      <c r="EM175" s="445"/>
      <c r="EN175" s="445"/>
      <c r="EO175" s="445"/>
      <c r="EP175" s="445"/>
      <c r="EQ175" s="445"/>
      <c r="ER175" s="445"/>
      <c r="ES175" s="445"/>
      <c r="ET175" s="445"/>
      <c r="EU175" s="445"/>
      <c r="EV175" s="445"/>
      <c r="EW175" s="445"/>
      <c r="EX175" s="445"/>
      <c r="EY175" s="445"/>
      <c r="EZ175" s="445"/>
      <c r="FA175" s="445"/>
      <c r="FB175" s="445"/>
      <c r="FC175" s="445"/>
      <c r="FD175" s="445"/>
      <c r="FE175" s="445"/>
      <c r="FF175" s="445"/>
      <c r="FG175" s="445"/>
      <c r="FH175" s="445"/>
      <c r="FI175" s="445"/>
      <c r="FJ175" s="445"/>
      <c r="FK175" s="445"/>
      <c r="FL175" s="445"/>
      <c r="FM175" s="445"/>
      <c r="FN175" s="445"/>
      <c r="FO175" s="445"/>
      <c r="FP175" s="445"/>
      <c r="FQ175" s="445"/>
      <c r="FR175" s="445"/>
      <c r="FS175" s="445"/>
      <c r="FT175" s="445"/>
      <c r="FU175" s="445"/>
      <c r="FV175" s="445"/>
      <c r="FW175" s="445"/>
      <c r="FX175" s="445"/>
      <c r="FY175" s="445"/>
      <c r="FZ175" s="445"/>
      <c r="GA175" s="445"/>
      <c r="GB175" s="445"/>
      <c r="GC175" s="445"/>
      <c r="GD175" s="445"/>
      <c r="GE175" s="445"/>
      <c r="GF175" s="445"/>
      <c r="GG175" s="445"/>
      <c r="GH175" s="445"/>
      <c r="GI175" s="445"/>
      <c r="GJ175" s="445"/>
      <c r="GK175" s="445"/>
      <c r="GL175" s="445"/>
      <c r="GM175" s="445"/>
      <c r="GN175" s="445"/>
      <c r="GO175" s="445"/>
      <c r="GP175" s="445"/>
      <c r="GQ175" s="445"/>
      <c r="GR175" s="445"/>
      <c r="GS175" s="445"/>
      <c r="GT175" s="445"/>
      <c r="GU175" s="445"/>
      <c r="GV175" s="445"/>
      <c r="GW175" s="445"/>
      <c r="GX175" s="445"/>
      <c r="GY175" s="445"/>
      <c r="GZ175" s="445"/>
      <c r="HA175" s="445"/>
      <c r="HB175" s="445"/>
      <c r="HC175" s="445"/>
      <c r="HD175" s="445"/>
      <c r="HE175" s="445"/>
      <c r="HF175" s="445"/>
      <c r="HG175" s="445"/>
      <c r="HH175" s="445"/>
      <c r="HI175" s="445"/>
      <c r="HJ175" s="445"/>
      <c r="HK175" s="445"/>
      <c r="HL175" s="445"/>
      <c r="HM175" s="445"/>
      <c r="HN175" s="445"/>
      <c r="HO175" s="445"/>
      <c r="HP175" s="445"/>
      <c r="HQ175" s="445"/>
      <c r="HR175" s="445"/>
      <c r="HS175" s="445"/>
      <c r="HT175" s="445"/>
      <c r="HU175" s="445"/>
      <c r="HV175" s="445"/>
      <c r="HW175" s="445"/>
      <c r="HX175" s="445"/>
      <c r="HY175" s="445"/>
      <c r="HZ175" s="445"/>
      <c r="IA175" s="445"/>
      <c r="IB175" s="445"/>
      <c r="IC175" s="445"/>
      <c r="ID175" s="445"/>
      <c r="IE175" s="445"/>
      <c r="IF175" s="445"/>
      <c r="IG175" s="445"/>
      <c r="IH175" s="445"/>
      <c r="II175" s="445"/>
      <c r="IJ175" s="445"/>
      <c r="IK175" s="445"/>
      <c r="IL175" s="445"/>
      <c r="IM175" s="445"/>
      <c r="IN175" s="445"/>
      <c r="IO175" s="445"/>
      <c r="IP175" s="445"/>
      <c r="IQ175" s="445"/>
      <c r="IR175" s="445"/>
      <c r="IS175" s="445"/>
      <c r="IT175" s="445"/>
      <c r="IU175" s="445"/>
      <c r="IV175" s="445"/>
      <c r="IW175" s="445"/>
      <c r="IX175" s="445"/>
      <c r="IY175" s="445"/>
      <c r="IZ175" s="445"/>
      <c r="JA175" s="445"/>
      <c r="JB175" s="445"/>
      <c r="JC175" s="445"/>
      <c r="JD175" s="445"/>
      <c r="JE175" s="445"/>
      <c r="JF175" s="445"/>
      <c r="JG175" s="445"/>
      <c r="JH175" s="445"/>
      <c r="JI175" s="445"/>
      <c r="JJ175" s="445"/>
      <c r="JK175" s="445"/>
      <c r="JL175" s="445"/>
      <c r="JM175" s="445"/>
      <c r="JN175" s="445"/>
      <c r="JO175" s="445"/>
      <c r="JP175" s="445"/>
      <c r="JQ175" s="445"/>
      <c r="JR175" s="445"/>
      <c r="JS175" s="445"/>
      <c r="JT175" s="445"/>
      <c r="JU175" s="445"/>
      <c r="JV175" s="445"/>
      <c r="JW175" s="2242"/>
      <c r="JX175" s="445"/>
      <c r="JY175" s="445"/>
      <c r="JZ175" s="445"/>
      <c r="KA175" s="445"/>
      <c r="KB175" s="2242"/>
      <c r="KC175" s="2242"/>
      <c r="KD175" s="2242"/>
      <c r="KE175" s="2242"/>
      <c r="KF175" s="2242"/>
      <c r="KG175" s="2242"/>
      <c r="KH175" s="2242"/>
      <c r="KI175" s="2242"/>
      <c r="KJ175" s="2242"/>
      <c r="KK175" s="2242"/>
      <c r="KL175" s="2242"/>
      <c r="KM175" s="2242"/>
      <c r="KN175" s="2242"/>
      <c r="KO175" s="2242"/>
      <c r="KP175" s="2242"/>
      <c r="KQ175" s="2242"/>
      <c r="KR175" s="2242"/>
      <c r="KS175" s="2242"/>
      <c r="KT175" s="2242"/>
      <c r="KU175" s="2242"/>
      <c r="KV175" s="2242"/>
      <c r="KW175" s="2242"/>
      <c r="KX175" s="2242"/>
      <c r="KY175" s="2242"/>
      <c r="KZ175" s="2242"/>
      <c r="LA175" s="2242"/>
      <c r="LB175" s="2242"/>
      <c r="LC175" s="2242"/>
      <c r="LD175" s="2242"/>
      <c r="LE175" s="2242"/>
      <c r="LF175" s="2242"/>
      <c r="LG175" s="2242"/>
      <c r="LH175" s="2242"/>
      <c r="LI175" s="2242"/>
      <c r="LJ175" s="2242"/>
      <c r="LK175" s="2242"/>
      <c r="LL175" s="2242"/>
      <c r="LM175" s="2242"/>
      <c r="LN175" s="2242"/>
      <c r="LO175" s="2242"/>
      <c r="LP175" s="2242"/>
      <c r="LQ175" s="2242"/>
      <c r="LR175" s="445"/>
      <c r="LS175" s="445"/>
      <c r="LT175" s="445"/>
      <c r="LU175" s="445"/>
      <c r="LV175" s="445"/>
      <c r="LW175" s="445"/>
      <c r="LX175" s="2243"/>
      <c r="LY175" s="445"/>
      <c r="LZ175" s="445"/>
      <c r="MA175" s="445"/>
      <c r="MB175" s="445"/>
      <c r="MC175" s="445"/>
      <c r="MD175" s="445"/>
      <c r="ME175" s="445"/>
      <c r="MF175" s="445"/>
      <c r="MG175" s="445"/>
      <c r="MH175" s="445"/>
      <c r="MI175" s="445"/>
      <c r="MJ175" s="445"/>
      <c r="MK175" s="445"/>
      <c r="ML175" s="445"/>
      <c r="MM175" s="445"/>
      <c r="MN175" s="2243"/>
      <c r="MO175" s="2243"/>
      <c r="MP175" s="445"/>
      <c r="MQ175" s="445"/>
      <c r="MR175" s="445"/>
      <c r="MS175" s="445"/>
      <c r="MT175" s="445"/>
      <c r="MU175" s="445"/>
      <c r="MV175" s="445"/>
      <c r="MW175" s="445"/>
      <c r="MX175" s="445"/>
      <c r="MY175" s="445"/>
      <c r="MZ175" s="445"/>
      <c r="NA175" s="445"/>
      <c r="NB175" s="445"/>
      <c r="NC175" s="445"/>
      <c r="ND175" s="445"/>
      <c r="NE175" s="94"/>
      <c r="NF175" s="94"/>
      <c r="NG175" s="94"/>
      <c r="NH175" s="94"/>
      <c r="NI175" s="94"/>
      <c r="NJ175" s="94"/>
      <c r="NK175" s="94"/>
      <c r="NL175" s="94"/>
      <c r="NM175" s="94"/>
      <c r="NN175" s="94"/>
      <c r="NO175" s="94"/>
      <c r="NP175" s="94"/>
      <c r="NQ175" s="94"/>
      <c r="NR175" s="94"/>
      <c r="NS175" s="94"/>
      <c r="NT175" s="94"/>
      <c r="NU175" s="94"/>
      <c r="NV175" s="94"/>
      <c r="NW175" s="94"/>
      <c r="NX175" s="94"/>
      <c r="NY175" s="94"/>
      <c r="NZ175" s="94"/>
      <c r="OA175" s="94"/>
      <c r="OB175" s="94"/>
      <c r="OC175" s="94"/>
      <c r="OD175" s="94"/>
      <c r="OE175" s="94"/>
      <c r="OF175" s="94"/>
      <c r="OG175" s="94"/>
      <c r="OH175" s="94"/>
      <c r="OI175" s="94"/>
      <c r="OJ175" s="94"/>
      <c r="OK175" s="94"/>
      <c r="OL175" s="94"/>
      <c r="OM175" s="94"/>
      <c r="ON175" s="94"/>
      <c r="OO175" s="94"/>
      <c r="OP175" s="94"/>
      <c r="OQ175" s="94"/>
      <c r="OR175" s="94"/>
      <c r="OS175" s="94"/>
      <c r="OT175" s="94"/>
      <c r="OU175" s="94"/>
      <c r="OV175" s="94"/>
      <c r="OW175" s="94"/>
      <c r="OX175" s="94"/>
      <c r="OY175" s="94"/>
      <c r="OZ175" s="94"/>
      <c r="PA175" s="94"/>
      <c r="PB175" s="94"/>
      <c r="PC175" s="94"/>
      <c r="PD175" s="94"/>
      <c r="PE175" s="94"/>
      <c r="PF175" s="94"/>
      <c r="PG175" s="94"/>
      <c r="PH175" s="94"/>
      <c r="PI175" s="94"/>
      <c r="PJ175" s="94"/>
      <c r="PK175" s="94"/>
      <c r="PL175" s="94"/>
      <c r="PM175" s="94"/>
      <c r="PN175" s="94"/>
      <c r="PO175" s="94"/>
      <c r="PP175" s="94"/>
      <c r="PQ175" s="94"/>
      <c r="PR175" s="94"/>
      <c r="PS175" s="94"/>
      <c r="PT175" s="94"/>
      <c r="PU175" s="94"/>
      <c r="PV175" s="94"/>
      <c r="PW175" s="94"/>
      <c r="PX175" s="94"/>
      <c r="PY175" s="94"/>
      <c r="PZ175" s="94"/>
      <c r="QA175" s="94"/>
      <c r="QB175" s="94"/>
      <c r="QC175" s="94"/>
      <c r="QD175" s="94"/>
      <c r="QE175" s="94"/>
      <c r="QF175" s="94"/>
      <c r="QG175" s="94"/>
      <c r="QH175" s="94"/>
      <c r="QI175" s="94"/>
      <c r="QJ175" s="94"/>
      <c r="QK175" s="94"/>
      <c r="QL175" s="94"/>
      <c r="QM175" s="94"/>
      <c r="QN175" s="94"/>
      <c r="QO175" s="94"/>
      <c r="QP175" s="94"/>
      <c r="QQ175" s="94"/>
      <c r="QR175" s="94"/>
      <c r="QS175" s="94"/>
      <c r="QT175" s="94"/>
      <c r="QU175" s="94"/>
      <c r="QV175" s="94"/>
      <c r="QW175" s="94"/>
      <c r="QX175" s="94"/>
      <c r="QY175" s="94"/>
      <c r="QZ175" s="94"/>
      <c r="RA175" s="94"/>
      <c r="RB175" s="94"/>
      <c r="RC175" s="94"/>
      <c r="RD175" s="94"/>
      <c r="RE175" s="94"/>
      <c r="RF175" s="94"/>
      <c r="RG175" s="94"/>
      <c r="RH175" s="94"/>
      <c r="RI175" s="94"/>
      <c r="RJ175" s="94"/>
      <c r="RK175" s="94"/>
      <c r="RL175" s="94"/>
      <c r="RM175" s="94"/>
      <c r="RN175" s="94"/>
      <c r="RO175" s="94"/>
      <c r="RP175" s="94"/>
      <c r="RQ175" s="94"/>
      <c r="RR175" s="94"/>
      <c r="RS175" s="94"/>
      <c r="RT175" s="94"/>
      <c r="RU175" s="94"/>
      <c r="RV175" s="94"/>
      <c r="RW175" s="94"/>
      <c r="RX175" s="94"/>
      <c r="RY175" s="94"/>
      <c r="RZ175" s="94"/>
      <c r="SA175" s="94"/>
      <c r="SB175" s="94"/>
      <c r="SC175" s="94"/>
      <c r="SD175" s="94"/>
      <c r="SE175" s="94"/>
      <c r="SF175" s="94"/>
      <c r="SG175" s="94"/>
      <c r="SH175" s="94"/>
      <c r="SI175" s="94"/>
    </row>
    <row r="176" spans="1:503" ht="14.1" customHeight="1">
      <c r="A176" s="13" t="s">
        <v>724</v>
      </c>
      <c r="B176" s="13" t="s">
        <v>220</v>
      </c>
      <c r="Q176" s="8"/>
      <c r="R176" s="8"/>
      <c r="S176" s="13" t="s">
        <v>1799</v>
      </c>
      <c r="U176" s="405"/>
      <c r="JW176" s="443"/>
      <c r="KB176" s="443"/>
      <c r="LR176" s="2246"/>
      <c r="LX176" s="443"/>
      <c r="LY176" s="448"/>
      <c r="MN176" s="443"/>
      <c r="MP176" s="448"/>
    </row>
    <row r="177" spans="1:503" ht="2.25" customHeight="1">
      <c r="Q177" s="405"/>
      <c r="R177" s="405"/>
    </row>
    <row r="178" spans="1:503" s="90" customFormat="1" ht="15.6" customHeight="1">
      <c r="A178" s="1"/>
      <c r="B178" s="165" t="s">
        <v>994</v>
      </c>
      <c r="C178" s="110"/>
      <c r="D178" s="110"/>
      <c r="E178" s="110"/>
      <c r="F178" s="110"/>
      <c r="G178" s="110"/>
      <c r="H178" s="4056">
        <f>'Part VII-Pro Forma'!B9*M49</f>
        <v>10171.44</v>
      </c>
      <c r="I178" s="4057"/>
      <c r="J178" s="4058"/>
      <c r="K178" s="110"/>
      <c r="L178" s="1740" t="s">
        <v>2657</v>
      </c>
      <c r="M178" s="110"/>
      <c r="N178" s="110"/>
      <c r="O178" s="110"/>
      <c r="P178" s="1783">
        <f>H178/M49</f>
        <v>0.02</v>
      </c>
      <c r="Q178" s="375"/>
      <c r="R178" s="375"/>
      <c r="S178" s="4" t="str">
        <f>B178</f>
        <v>Ancillary Income</v>
      </c>
      <c r="X178" s="445"/>
      <c r="Y178" s="445"/>
      <c r="Z178" s="445"/>
      <c r="AA178" s="445"/>
      <c r="AB178" s="445"/>
      <c r="AC178" s="445"/>
      <c r="AD178" s="445"/>
      <c r="AE178" s="445"/>
      <c r="AF178" s="445"/>
      <c r="AG178" s="445"/>
      <c r="AH178" s="445"/>
      <c r="AI178" s="445"/>
      <c r="AJ178" s="445"/>
      <c r="AK178" s="445"/>
      <c r="AL178" s="445"/>
      <c r="AM178" s="445"/>
      <c r="AN178" s="445"/>
      <c r="AO178" s="445"/>
      <c r="AP178" s="445"/>
      <c r="AQ178" s="445"/>
      <c r="AR178" s="445"/>
      <c r="AS178" s="445"/>
      <c r="AT178" s="445"/>
      <c r="AU178" s="445"/>
      <c r="AV178" s="445"/>
      <c r="AW178" s="445"/>
      <c r="AX178" s="445"/>
      <c r="AY178" s="445"/>
      <c r="AZ178" s="445"/>
      <c r="BA178" s="445"/>
      <c r="BB178" s="445"/>
      <c r="BC178" s="445"/>
      <c r="BD178" s="445"/>
      <c r="BE178" s="445"/>
      <c r="BF178" s="445"/>
      <c r="BG178" s="445"/>
      <c r="BH178" s="445"/>
      <c r="BI178" s="445"/>
      <c r="BJ178" s="445"/>
      <c r="BK178" s="445"/>
      <c r="BL178" s="445"/>
      <c r="BM178" s="445"/>
      <c r="BN178" s="445"/>
      <c r="BO178" s="445"/>
      <c r="BP178" s="445"/>
      <c r="BQ178" s="445"/>
      <c r="BR178" s="445"/>
      <c r="BS178" s="445"/>
      <c r="BT178" s="445"/>
      <c r="BU178" s="445"/>
      <c r="BV178" s="445"/>
      <c r="BW178" s="445"/>
      <c r="BX178" s="445"/>
      <c r="BY178" s="445"/>
      <c r="BZ178" s="445"/>
      <c r="CA178" s="445"/>
      <c r="CB178" s="445"/>
      <c r="CC178" s="445"/>
      <c r="CD178" s="445"/>
      <c r="CE178" s="445"/>
      <c r="CF178" s="445"/>
      <c r="CG178" s="445"/>
      <c r="CH178" s="445"/>
      <c r="CI178" s="445"/>
      <c r="CJ178" s="445"/>
      <c r="CK178" s="445"/>
      <c r="CL178" s="445"/>
      <c r="CM178" s="445"/>
      <c r="CN178" s="445"/>
      <c r="CO178" s="445"/>
      <c r="CP178" s="445"/>
      <c r="CQ178" s="445"/>
      <c r="CR178" s="445"/>
      <c r="CS178" s="445"/>
      <c r="CT178" s="445"/>
      <c r="CU178" s="445"/>
      <c r="CV178" s="445"/>
      <c r="CW178" s="445"/>
      <c r="CX178" s="445"/>
      <c r="CY178" s="445"/>
      <c r="CZ178" s="445"/>
      <c r="DA178" s="445"/>
      <c r="DB178" s="445"/>
      <c r="DC178" s="445"/>
      <c r="DD178" s="445"/>
      <c r="DE178" s="445"/>
      <c r="DF178" s="445"/>
      <c r="DG178" s="445"/>
      <c r="DH178" s="445"/>
      <c r="DI178" s="445"/>
      <c r="DJ178" s="445"/>
      <c r="DK178" s="445"/>
      <c r="DL178" s="445"/>
      <c r="DM178" s="445"/>
      <c r="DN178" s="445"/>
      <c r="DO178" s="445"/>
      <c r="DP178" s="445"/>
      <c r="DQ178" s="445"/>
      <c r="DR178" s="445"/>
      <c r="DS178" s="445"/>
      <c r="DT178" s="445"/>
      <c r="DU178" s="445"/>
      <c r="DV178" s="445"/>
      <c r="DW178" s="445"/>
      <c r="DX178" s="445"/>
      <c r="DY178" s="445"/>
      <c r="DZ178" s="445"/>
      <c r="EA178" s="445"/>
      <c r="EB178" s="445"/>
      <c r="EC178" s="445"/>
      <c r="ED178" s="445"/>
      <c r="EE178" s="445"/>
      <c r="EF178" s="445"/>
      <c r="EG178" s="445"/>
      <c r="EH178" s="445"/>
      <c r="EI178" s="445"/>
      <c r="EJ178" s="445"/>
      <c r="EK178" s="445"/>
      <c r="EL178" s="445"/>
      <c r="EM178" s="445"/>
      <c r="EN178" s="445"/>
      <c r="EO178" s="445"/>
      <c r="EP178" s="445"/>
      <c r="EQ178" s="445"/>
      <c r="ER178" s="445"/>
      <c r="ES178" s="445"/>
      <c r="ET178" s="445"/>
      <c r="EU178" s="445"/>
      <c r="EV178" s="445"/>
      <c r="EW178" s="445"/>
      <c r="EX178" s="445"/>
      <c r="EY178" s="445"/>
      <c r="EZ178" s="445"/>
      <c r="FA178" s="445"/>
      <c r="FB178" s="445"/>
      <c r="FC178" s="445"/>
      <c r="FD178" s="445"/>
      <c r="FE178" s="445"/>
      <c r="FF178" s="445"/>
      <c r="FG178" s="445"/>
      <c r="FH178" s="445"/>
      <c r="FI178" s="445"/>
      <c r="FJ178" s="445"/>
      <c r="FK178" s="445"/>
      <c r="FL178" s="445"/>
      <c r="FM178" s="445"/>
      <c r="FN178" s="445"/>
      <c r="FO178" s="445"/>
      <c r="FP178" s="445"/>
      <c r="FQ178" s="445"/>
      <c r="FR178" s="445"/>
      <c r="FS178" s="445"/>
      <c r="FT178" s="445"/>
      <c r="FU178" s="445"/>
      <c r="FV178" s="445"/>
      <c r="FW178" s="445"/>
      <c r="FX178" s="445"/>
      <c r="FY178" s="445"/>
      <c r="FZ178" s="445"/>
      <c r="GA178" s="445"/>
      <c r="GB178" s="445"/>
      <c r="GC178" s="445"/>
      <c r="GD178" s="445"/>
      <c r="GE178" s="445"/>
      <c r="GF178" s="445"/>
      <c r="GG178" s="445"/>
      <c r="GH178" s="445"/>
      <c r="GI178" s="445"/>
      <c r="GJ178" s="445"/>
      <c r="GK178" s="445"/>
      <c r="GL178" s="445"/>
      <c r="GM178" s="445"/>
      <c r="GN178" s="445"/>
      <c r="GO178" s="445"/>
      <c r="GP178" s="445"/>
      <c r="GQ178" s="445"/>
      <c r="GR178" s="445"/>
      <c r="GS178" s="445"/>
      <c r="GT178" s="445"/>
      <c r="GU178" s="445"/>
      <c r="GV178" s="445"/>
      <c r="GW178" s="445"/>
      <c r="GX178" s="445"/>
      <c r="GY178" s="445"/>
      <c r="GZ178" s="445"/>
      <c r="HA178" s="445"/>
      <c r="HB178" s="445"/>
      <c r="HC178" s="445"/>
      <c r="HD178" s="445"/>
      <c r="HE178" s="445"/>
      <c r="HF178" s="445"/>
      <c r="HG178" s="445"/>
      <c r="HH178" s="445"/>
      <c r="HI178" s="445"/>
      <c r="HJ178" s="445"/>
      <c r="HK178" s="445"/>
      <c r="HL178" s="445"/>
      <c r="HM178" s="445"/>
      <c r="HN178" s="445"/>
      <c r="HO178" s="445"/>
      <c r="HP178" s="445"/>
      <c r="HQ178" s="445"/>
      <c r="HR178" s="445"/>
      <c r="HS178" s="445"/>
      <c r="HT178" s="445"/>
      <c r="HU178" s="445"/>
      <c r="HV178" s="445"/>
      <c r="HW178" s="445"/>
      <c r="HX178" s="445"/>
      <c r="HY178" s="445"/>
      <c r="HZ178" s="445"/>
      <c r="IA178" s="445"/>
      <c r="IB178" s="445"/>
      <c r="IC178" s="445"/>
      <c r="ID178" s="445"/>
      <c r="IE178" s="445"/>
      <c r="IF178" s="445"/>
      <c r="IG178" s="445"/>
      <c r="IH178" s="445"/>
      <c r="II178" s="445"/>
      <c r="IJ178" s="445"/>
      <c r="IK178" s="445"/>
      <c r="IL178" s="445"/>
      <c r="IM178" s="445"/>
      <c r="IN178" s="445"/>
      <c r="IO178" s="445"/>
      <c r="IP178" s="445"/>
      <c r="IQ178" s="445"/>
      <c r="IR178" s="445"/>
      <c r="IS178" s="445"/>
      <c r="IT178" s="445"/>
      <c r="IU178" s="445"/>
      <c r="IV178" s="445"/>
      <c r="IW178" s="445"/>
      <c r="IX178" s="445"/>
      <c r="IY178" s="445"/>
      <c r="IZ178" s="445"/>
      <c r="JA178" s="445"/>
      <c r="JB178" s="445"/>
      <c r="JC178" s="445"/>
      <c r="JD178" s="445"/>
      <c r="JE178" s="445"/>
      <c r="JF178" s="445"/>
      <c r="JG178" s="445"/>
      <c r="JH178" s="445"/>
      <c r="JI178" s="445"/>
      <c r="JJ178" s="445"/>
      <c r="JK178" s="445"/>
      <c r="JL178" s="445"/>
      <c r="JM178" s="445"/>
      <c r="JN178" s="445"/>
      <c r="JO178" s="445"/>
      <c r="JP178" s="445"/>
      <c r="JQ178" s="445"/>
      <c r="JR178" s="445"/>
      <c r="JS178" s="445"/>
      <c r="JT178" s="445"/>
      <c r="JU178" s="445"/>
      <c r="JV178" s="445"/>
      <c r="JW178" s="2242"/>
      <c r="JX178" s="445"/>
      <c r="JY178" s="445"/>
      <c r="JZ178" s="445"/>
      <c r="KA178" s="445"/>
      <c r="KB178" s="2242"/>
      <c r="KC178" s="2242"/>
      <c r="KD178" s="2242"/>
      <c r="KE178" s="2242"/>
      <c r="KF178" s="2242"/>
      <c r="KG178" s="2242"/>
      <c r="KH178" s="2242"/>
      <c r="KI178" s="2242"/>
      <c r="KJ178" s="2242"/>
      <c r="KK178" s="2242"/>
      <c r="KL178" s="2242"/>
      <c r="KM178" s="2242"/>
      <c r="KN178" s="2242"/>
      <c r="KO178" s="2242"/>
      <c r="KP178" s="2242"/>
      <c r="KQ178" s="2242"/>
      <c r="KR178" s="2242"/>
      <c r="KS178" s="2242"/>
      <c r="KT178" s="2242"/>
      <c r="KU178" s="2242"/>
      <c r="KV178" s="2242"/>
      <c r="KW178" s="2242"/>
      <c r="KX178" s="2242"/>
      <c r="KY178" s="2242"/>
      <c r="KZ178" s="2242"/>
      <c r="LA178" s="2242"/>
      <c r="LB178" s="2242"/>
      <c r="LC178" s="2242"/>
      <c r="LD178" s="2242"/>
      <c r="LE178" s="2242"/>
      <c r="LF178" s="2242"/>
      <c r="LG178" s="2242"/>
      <c r="LH178" s="2242"/>
      <c r="LI178" s="2242"/>
      <c r="LJ178" s="2242"/>
      <c r="LK178" s="2242"/>
      <c r="LL178" s="2242"/>
      <c r="LM178" s="2242"/>
      <c r="LN178" s="2242"/>
      <c r="LO178" s="2242"/>
      <c r="LP178" s="2242"/>
      <c r="LQ178" s="2242"/>
      <c r="LR178" s="445"/>
      <c r="LS178" s="445"/>
      <c r="LT178" s="445"/>
      <c r="LU178" s="445"/>
      <c r="LV178" s="445"/>
      <c r="LW178" s="445"/>
      <c r="LX178" s="2243"/>
      <c r="LY178" s="445"/>
      <c r="LZ178" s="445"/>
      <c r="MA178" s="445"/>
      <c r="MB178" s="445"/>
      <c r="MC178" s="445"/>
      <c r="MD178" s="445"/>
      <c r="ME178" s="445"/>
      <c r="MF178" s="445"/>
      <c r="MG178" s="445"/>
      <c r="MH178" s="445"/>
      <c r="MI178" s="445"/>
      <c r="MJ178" s="445"/>
      <c r="MK178" s="445"/>
      <c r="ML178" s="445"/>
      <c r="MM178" s="445"/>
      <c r="MN178" s="2243"/>
      <c r="MO178" s="2243"/>
      <c r="MP178" s="445"/>
      <c r="MQ178" s="445"/>
      <c r="MR178" s="445"/>
      <c r="MS178" s="445"/>
      <c r="MT178" s="445"/>
      <c r="MU178" s="445"/>
      <c r="MV178" s="445"/>
      <c r="MW178" s="445"/>
      <c r="MX178" s="445"/>
      <c r="MY178" s="445"/>
      <c r="MZ178" s="445"/>
      <c r="NA178" s="445"/>
      <c r="NB178" s="445"/>
      <c r="NC178" s="445"/>
      <c r="ND178" s="445"/>
      <c r="NE178" s="94"/>
      <c r="NF178" s="94"/>
      <c r="NG178" s="94"/>
      <c r="NH178" s="94"/>
      <c r="NI178" s="94"/>
      <c r="NJ178" s="94"/>
      <c r="NK178" s="94"/>
      <c r="NL178" s="94"/>
      <c r="NM178" s="94"/>
      <c r="NN178" s="94"/>
      <c r="NO178" s="94"/>
      <c r="NP178" s="94"/>
      <c r="NQ178" s="94"/>
      <c r="NR178" s="94"/>
      <c r="NS178" s="94"/>
      <c r="NT178" s="94"/>
      <c r="NU178" s="94"/>
      <c r="NV178" s="94"/>
      <c r="NW178" s="94"/>
      <c r="NX178" s="94"/>
      <c r="NY178" s="94"/>
      <c r="NZ178" s="94"/>
      <c r="OA178" s="94"/>
      <c r="OB178" s="94"/>
      <c r="OC178" s="94"/>
      <c r="OD178" s="94"/>
      <c r="OE178" s="94"/>
      <c r="OF178" s="94"/>
      <c r="OG178" s="94"/>
      <c r="OH178" s="94"/>
      <c r="OI178" s="94"/>
      <c r="OJ178" s="94"/>
      <c r="OK178" s="94"/>
      <c r="OL178" s="94"/>
      <c r="OM178" s="94"/>
      <c r="ON178" s="94"/>
      <c r="OO178" s="94"/>
      <c r="OP178" s="94"/>
      <c r="OQ178" s="94"/>
      <c r="OR178" s="94"/>
      <c r="OS178" s="94"/>
      <c r="OT178" s="94"/>
      <c r="OU178" s="94"/>
      <c r="OV178" s="94"/>
      <c r="OW178" s="94"/>
      <c r="OX178" s="94"/>
      <c r="OY178" s="94"/>
      <c r="OZ178" s="94"/>
      <c r="PA178" s="94"/>
      <c r="PB178" s="94"/>
      <c r="PC178" s="94"/>
      <c r="PD178" s="94"/>
      <c r="PE178" s="94"/>
      <c r="PF178" s="94"/>
      <c r="PG178" s="94"/>
      <c r="PH178" s="94"/>
      <c r="PI178" s="94"/>
      <c r="PJ178" s="94"/>
      <c r="PK178" s="94"/>
      <c r="PL178" s="94"/>
      <c r="PM178" s="94"/>
      <c r="PN178" s="94"/>
      <c r="PO178" s="94"/>
      <c r="PP178" s="94"/>
      <c r="PQ178" s="94"/>
      <c r="PR178" s="94"/>
      <c r="PS178" s="94"/>
      <c r="PT178" s="94"/>
      <c r="PU178" s="94"/>
      <c r="PV178" s="94"/>
      <c r="PW178" s="94"/>
      <c r="PX178" s="94"/>
      <c r="PY178" s="94"/>
      <c r="PZ178" s="94"/>
      <c r="QA178" s="94"/>
      <c r="QB178" s="94"/>
      <c r="QC178" s="94"/>
      <c r="QD178" s="94"/>
      <c r="QE178" s="94"/>
      <c r="QF178" s="94"/>
      <c r="QG178" s="94"/>
      <c r="QH178" s="94"/>
      <c r="QI178" s="94"/>
      <c r="QJ178" s="94"/>
      <c r="QK178" s="94"/>
      <c r="QL178" s="94"/>
      <c r="QM178" s="94"/>
      <c r="QN178" s="94"/>
      <c r="QO178" s="94"/>
      <c r="QP178" s="94"/>
      <c r="QQ178" s="94"/>
      <c r="QR178" s="94"/>
      <c r="QS178" s="94"/>
      <c r="QT178" s="94"/>
      <c r="QU178" s="94"/>
      <c r="QV178" s="94"/>
      <c r="QW178" s="94"/>
      <c r="QX178" s="94"/>
      <c r="QY178" s="94"/>
      <c r="QZ178" s="94"/>
      <c r="RA178" s="94"/>
      <c r="RB178" s="94"/>
      <c r="RC178" s="94"/>
      <c r="RD178" s="94"/>
      <c r="RE178" s="94"/>
      <c r="RF178" s="94"/>
      <c r="RG178" s="94"/>
      <c r="RH178" s="94"/>
      <c r="RI178" s="94"/>
      <c r="RJ178" s="94"/>
      <c r="RK178" s="94"/>
      <c r="RL178" s="94"/>
      <c r="RM178" s="94"/>
      <c r="RN178" s="94"/>
      <c r="RO178" s="94"/>
      <c r="RP178" s="94"/>
      <c r="RQ178" s="94"/>
      <c r="RR178" s="94"/>
      <c r="RS178" s="94"/>
      <c r="RT178" s="94"/>
      <c r="RU178" s="94"/>
      <c r="RV178" s="94"/>
      <c r="RW178" s="94"/>
      <c r="RX178" s="94"/>
      <c r="RY178" s="94"/>
      <c r="RZ178" s="94"/>
      <c r="SA178" s="94"/>
      <c r="SB178" s="94"/>
      <c r="SC178" s="94"/>
      <c r="SD178" s="94"/>
      <c r="SE178" s="94"/>
      <c r="SF178" s="94"/>
      <c r="SG178" s="94"/>
      <c r="SH178" s="94"/>
      <c r="SI178" s="94"/>
    </row>
    <row r="179" spans="1:503" ht="15.6" customHeight="1">
      <c r="B179" s="873"/>
      <c r="C179" s="89"/>
      <c r="D179" s="110"/>
      <c r="E179" s="874"/>
      <c r="F179" s="89"/>
      <c r="G179" s="89"/>
      <c r="H179" s="89"/>
      <c r="I179" s="89"/>
      <c r="J179" s="108"/>
      <c r="K179" s="89"/>
      <c r="L179" s="89"/>
      <c r="M179" s="89"/>
      <c r="N179" s="89"/>
      <c r="O179" s="89"/>
      <c r="P179" s="89"/>
      <c r="Q179" s="375"/>
      <c r="R179" s="375"/>
    </row>
    <row r="180" spans="1:503" ht="15.6" customHeight="1">
      <c r="B180" s="873" t="s">
        <v>1417</v>
      </c>
      <c r="C180" s="89"/>
      <c r="D180" s="89"/>
      <c r="E180" s="89"/>
      <c r="F180" s="89"/>
      <c r="G180" s="89"/>
      <c r="H180" s="89"/>
      <c r="I180" s="89"/>
      <c r="J180" s="873"/>
      <c r="K180" s="89"/>
      <c r="L180" s="875"/>
      <c r="M180" s="89"/>
      <c r="N180" s="89"/>
      <c r="O180" s="89"/>
      <c r="P180" s="89"/>
      <c r="Q180" s="111"/>
      <c r="S180" s="2373" t="str">
        <f>B180</f>
        <v>Other Income (OI) by Year:</v>
      </c>
    </row>
    <row r="181" spans="1:503" ht="15.6" customHeight="1">
      <c r="B181" s="876" t="s">
        <v>2228</v>
      </c>
      <c r="C181" s="89"/>
      <c r="D181" s="89"/>
      <c r="E181" s="89"/>
      <c r="F181" s="89"/>
      <c r="H181" s="877">
        <v>1</v>
      </c>
      <c r="I181" s="877">
        <v>2</v>
      </c>
      <c r="J181" s="877">
        <v>3</v>
      </c>
      <c r="K181" s="877">
        <v>4</v>
      </c>
      <c r="L181" s="878">
        <v>5</v>
      </c>
      <c r="M181" s="877">
        <v>6</v>
      </c>
      <c r="N181" s="877">
        <v>7</v>
      </c>
      <c r="O181" s="877">
        <v>8</v>
      </c>
      <c r="P181" s="877">
        <v>9</v>
      </c>
      <c r="Q181" s="877">
        <v>10</v>
      </c>
      <c r="R181" s="595"/>
      <c r="S181" s="94" t="str">
        <f>B181</f>
        <v>Included in Mgt Fee:</v>
      </c>
    </row>
    <row r="182" spans="1:503" ht="15.6" customHeight="1">
      <c r="B182" s="110" t="s">
        <v>995</v>
      </c>
      <c r="C182" s="110"/>
      <c r="D182" s="110"/>
      <c r="E182" s="110"/>
      <c r="F182" s="110"/>
      <c r="H182" s="4059"/>
      <c r="I182" s="4059"/>
      <c r="J182" s="4059"/>
      <c r="K182" s="4059"/>
      <c r="L182" s="4059"/>
      <c r="M182" s="4059"/>
      <c r="N182" s="4059"/>
      <c r="O182" s="4059"/>
      <c r="P182" s="4059"/>
      <c r="Q182" s="4059"/>
      <c r="R182" s="837"/>
      <c r="S182" s="4034"/>
      <c r="T182" s="4035"/>
      <c r="U182" s="4035"/>
      <c r="V182" s="4035"/>
      <c r="W182" s="4036"/>
    </row>
    <row r="183" spans="1:503" ht="15.6" customHeight="1">
      <c r="B183" s="110" t="s">
        <v>723</v>
      </c>
      <c r="C183" s="4060"/>
      <c r="D183" s="4061"/>
      <c r="E183" s="4061"/>
      <c r="F183" s="4062"/>
      <c r="H183" s="4063"/>
      <c r="I183" s="4063"/>
      <c r="J183" s="4063"/>
      <c r="K183" s="4063"/>
      <c r="L183" s="4064"/>
      <c r="M183" s="4063"/>
      <c r="N183" s="4063"/>
      <c r="O183" s="4063"/>
      <c r="P183" s="4063"/>
      <c r="Q183" s="4063"/>
      <c r="R183" s="837"/>
      <c r="S183" s="3996"/>
      <c r="T183" s="3997"/>
      <c r="U183" s="3997"/>
      <c r="V183" s="3997"/>
      <c r="W183" s="3998"/>
    </row>
    <row r="184" spans="1:503" ht="15.6" customHeight="1">
      <c r="B184" s="110"/>
      <c r="C184" s="110" t="s">
        <v>907</v>
      </c>
      <c r="D184" s="110"/>
      <c r="E184" s="110"/>
      <c r="F184" s="110"/>
      <c r="H184" s="879">
        <f>SUM(H182:H183)</f>
        <v>0</v>
      </c>
      <c r="I184" s="879">
        <f>SUM(I182:I183)</f>
        <v>0</v>
      </c>
      <c r="J184" s="879">
        <f t="shared" ref="J184:Q184" si="392">SUM(J182:J183)</f>
        <v>0</v>
      </c>
      <c r="K184" s="879">
        <f t="shared" si="392"/>
        <v>0</v>
      </c>
      <c r="L184" s="879">
        <f t="shared" si="392"/>
        <v>0</v>
      </c>
      <c r="M184" s="879">
        <f t="shared" si="392"/>
        <v>0</v>
      </c>
      <c r="N184" s="879">
        <f t="shared" si="392"/>
        <v>0</v>
      </c>
      <c r="O184" s="879">
        <f t="shared" si="392"/>
        <v>0</v>
      </c>
      <c r="P184" s="879">
        <f t="shared" si="392"/>
        <v>0</v>
      </c>
      <c r="Q184" s="879">
        <f t="shared" si="392"/>
        <v>0</v>
      </c>
      <c r="R184" s="118"/>
      <c r="S184" s="4027"/>
      <c r="T184" s="4028"/>
      <c r="U184" s="4028"/>
      <c r="V184" s="4028"/>
      <c r="W184" s="4029"/>
    </row>
    <row r="185" spans="1:503" ht="15.6" customHeight="1">
      <c r="B185" s="880" t="s">
        <v>3496</v>
      </c>
      <c r="C185" s="89"/>
      <c r="D185" s="89"/>
      <c r="E185" s="89"/>
      <c r="F185" s="89"/>
      <c r="H185" s="881"/>
      <c r="I185" s="89"/>
      <c r="J185" s="89"/>
      <c r="K185" s="89"/>
      <c r="L185" s="89"/>
      <c r="M185" s="89"/>
      <c r="N185" s="89"/>
      <c r="O185" s="89"/>
      <c r="P185" s="89"/>
      <c r="Q185" s="89"/>
      <c r="R185" s="8"/>
      <c r="S185" s="94" t="str">
        <f>B185</f>
        <v>NOT Included in Mgt Fee:</v>
      </c>
    </row>
    <row r="186" spans="1:503" ht="15.6" customHeight="1">
      <c r="B186" s="110" t="s">
        <v>518</v>
      </c>
      <c r="C186" s="110"/>
      <c r="D186" s="110"/>
      <c r="E186" s="110"/>
      <c r="F186" s="110"/>
      <c r="H186" s="4059"/>
      <c r="I186" s="4059"/>
      <c r="J186" s="4059"/>
      <c r="K186" s="4059"/>
      <c r="L186" s="4059"/>
      <c r="M186" s="4059"/>
      <c r="N186" s="4059"/>
      <c r="O186" s="4059"/>
      <c r="P186" s="4059"/>
      <c r="Q186" s="4059"/>
      <c r="R186" s="837"/>
      <c r="S186" s="4034"/>
      <c r="T186" s="4035"/>
      <c r="U186" s="4035"/>
      <c r="V186" s="4035"/>
      <c r="W186" s="4036"/>
    </row>
    <row r="187" spans="1:503" ht="15.6" customHeight="1">
      <c r="B187" s="110" t="s">
        <v>723</v>
      </c>
      <c r="C187" s="4060"/>
      <c r="D187" s="4061"/>
      <c r="E187" s="4061"/>
      <c r="F187" s="4062"/>
      <c r="H187" s="4063"/>
      <c r="I187" s="4063"/>
      <c r="J187" s="4063"/>
      <c r="K187" s="4063"/>
      <c r="L187" s="4064"/>
      <c r="M187" s="4063"/>
      <c r="N187" s="4063"/>
      <c r="O187" s="4063"/>
      <c r="P187" s="4063"/>
      <c r="Q187" s="4063"/>
      <c r="R187" s="837"/>
      <c r="S187" s="3996"/>
      <c r="T187" s="3997"/>
      <c r="U187" s="3997"/>
      <c r="V187" s="3997"/>
      <c r="W187" s="3998"/>
    </row>
    <row r="188" spans="1:503" ht="15.6" customHeight="1">
      <c r="B188" s="110"/>
      <c r="C188" s="110" t="s">
        <v>188</v>
      </c>
      <c r="D188" s="110"/>
      <c r="E188" s="110"/>
      <c r="F188" s="110"/>
      <c r="H188" s="879">
        <f>SUM(H186:H187)</f>
        <v>0</v>
      </c>
      <c r="I188" s="879">
        <f>SUM(I186:I187)</f>
        <v>0</v>
      </c>
      <c r="J188" s="879">
        <f t="shared" ref="J188:Q188" si="393">SUM(J186:J187)</f>
        <v>0</v>
      </c>
      <c r="K188" s="879">
        <f t="shared" si="393"/>
        <v>0</v>
      </c>
      <c r="L188" s="879">
        <f t="shared" si="393"/>
        <v>0</v>
      </c>
      <c r="M188" s="879">
        <f t="shared" si="393"/>
        <v>0</v>
      </c>
      <c r="N188" s="879">
        <f t="shared" si="393"/>
        <v>0</v>
      </c>
      <c r="O188" s="879">
        <f t="shared" si="393"/>
        <v>0</v>
      </c>
      <c r="P188" s="879">
        <f t="shared" si="393"/>
        <v>0</v>
      </c>
      <c r="Q188" s="879">
        <f t="shared" si="393"/>
        <v>0</v>
      </c>
      <c r="R188" s="118"/>
      <c r="S188" s="4027"/>
      <c r="T188" s="4028"/>
      <c r="U188" s="4028"/>
      <c r="V188" s="4028"/>
      <c r="W188" s="4029"/>
    </row>
    <row r="189" spans="1:503" ht="15.6" customHeight="1">
      <c r="B189" s="873"/>
      <c r="C189" s="89"/>
      <c r="D189" s="89"/>
      <c r="E189" s="89"/>
      <c r="F189" s="89"/>
      <c r="H189" s="881"/>
      <c r="I189" s="89"/>
      <c r="J189" s="89"/>
      <c r="K189" s="89"/>
      <c r="L189" s="89"/>
      <c r="M189" s="89"/>
      <c r="N189" s="89"/>
      <c r="O189" s="89"/>
      <c r="P189" s="89"/>
      <c r="Q189" s="89"/>
      <c r="R189" s="8"/>
    </row>
    <row r="190" spans="1:503" ht="15.6" customHeight="1">
      <c r="B190" s="876" t="s">
        <v>2228</v>
      </c>
      <c r="C190" s="89"/>
      <c r="D190" s="89"/>
      <c r="E190" s="89"/>
      <c r="F190" s="89"/>
      <c r="H190" s="877">
        <v>11</v>
      </c>
      <c r="I190" s="877">
        <v>12</v>
      </c>
      <c r="J190" s="877">
        <v>13</v>
      </c>
      <c r="K190" s="877">
        <v>14</v>
      </c>
      <c r="L190" s="877">
        <v>15</v>
      </c>
      <c r="M190" s="877">
        <v>16</v>
      </c>
      <c r="N190" s="877">
        <v>17</v>
      </c>
      <c r="O190" s="877">
        <v>18</v>
      </c>
      <c r="P190" s="877">
        <v>19</v>
      </c>
      <c r="Q190" s="877">
        <v>20</v>
      </c>
      <c r="S190" s="138" t="s">
        <v>2554</v>
      </c>
      <c r="T190" s="94" t="str">
        <f>B190</f>
        <v>Included in Mgt Fee:</v>
      </c>
    </row>
    <row r="191" spans="1:503" ht="15.6" customHeight="1">
      <c r="A191" s="82"/>
      <c r="B191" s="110" t="s">
        <v>995</v>
      </c>
      <c r="C191" s="110"/>
      <c r="D191" s="110"/>
      <c r="E191" s="110"/>
      <c r="F191" s="110"/>
      <c r="H191" s="4059"/>
      <c r="I191" s="4059"/>
      <c r="J191" s="4059"/>
      <c r="K191" s="4059"/>
      <c r="L191" s="4065"/>
      <c r="M191" s="4059"/>
      <c r="N191" s="4059"/>
      <c r="O191" s="4059"/>
      <c r="P191" s="4059"/>
      <c r="Q191" s="4059"/>
      <c r="R191" s="837"/>
      <c r="S191" s="4034"/>
      <c r="T191" s="4035"/>
      <c r="U191" s="4035"/>
      <c r="V191" s="4035"/>
      <c r="W191" s="4036"/>
      <c r="JW191" s="443"/>
      <c r="KB191" s="443"/>
      <c r="KC191" s="443"/>
      <c r="KD191" s="443"/>
      <c r="KE191" s="443"/>
      <c r="KF191" s="443"/>
      <c r="KG191" s="443"/>
      <c r="KH191" s="443"/>
      <c r="KI191" s="443"/>
      <c r="KJ191" s="443"/>
      <c r="KK191" s="443"/>
      <c r="KL191" s="443"/>
      <c r="KM191" s="443"/>
      <c r="KN191" s="443"/>
      <c r="KO191" s="443"/>
      <c r="KP191" s="443"/>
      <c r="KQ191" s="443"/>
      <c r="KR191" s="443"/>
      <c r="KS191" s="443"/>
      <c r="KT191" s="443"/>
      <c r="KU191" s="443"/>
      <c r="KV191" s="443"/>
      <c r="KW191" s="443"/>
      <c r="KX191" s="443"/>
      <c r="KY191" s="443"/>
      <c r="KZ191" s="443"/>
      <c r="LA191" s="443"/>
      <c r="LB191" s="443"/>
      <c r="LC191" s="443"/>
      <c r="LD191" s="443"/>
      <c r="LE191" s="443"/>
      <c r="LF191" s="443"/>
      <c r="LG191" s="443"/>
      <c r="LH191" s="443"/>
      <c r="LI191" s="443"/>
      <c r="LJ191" s="443"/>
      <c r="LK191" s="443"/>
      <c r="LL191" s="443"/>
      <c r="LM191" s="443"/>
      <c r="LN191" s="443"/>
      <c r="LO191" s="443"/>
      <c r="LP191" s="443"/>
      <c r="LQ191" s="443"/>
      <c r="LX191" s="443"/>
      <c r="MN191" s="443"/>
      <c r="MO191" s="443"/>
      <c r="NE191" s="82"/>
      <c r="NF191" s="82"/>
      <c r="NG191" s="82"/>
      <c r="NH191" s="82"/>
      <c r="NI191" s="82"/>
      <c r="NJ191" s="82"/>
      <c r="NK191" s="82"/>
      <c r="NL191" s="82"/>
      <c r="NM191" s="82"/>
      <c r="NN191" s="82"/>
      <c r="NO191" s="82"/>
      <c r="NP191" s="82"/>
      <c r="NQ191" s="82"/>
      <c r="NR191" s="82"/>
      <c r="NS191" s="82"/>
      <c r="NT191" s="82"/>
      <c r="NU191" s="82"/>
      <c r="NV191" s="82"/>
      <c r="NW191" s="82"/>
      <c r="NX191" s="82"/>
      <c r="NY191" s="82"/>
      <c r="NZ191" s="82"/>
      <c r="OA191" s="82"/>
      <c r="OB191" s="82"/>
      <c r="OC191" s="82"/>
      <c r="OD191" s="82"/>
      <c r="OE191" s="82"/>
      <c r="OF191" s="82"/>
      <c r="OG191" s="82"/>
      <c r="OH191" s="82"/>
      <c r="OI191" s="82"/>
      <c r="OJ191" s="82"/>
      <c r="OK191" s="82"/>
      <c r="OL191" s="82"/>
      <c r="OM191" s="82"/>
      <c r="ON191" s="82"/>
      <c r="OO191" s="82"/>
      <c r="OP191" s="82"/>
      <c r="OQ191" s="82"/>
      <c r="OR191" s="82"/>
      <c r="OS191" s="82"/>
      <c r="OT191" s="82"/>
      <c r="OU191" s="82"/>
      <c r="OV191" s="82"/>
      <c r="OW191" s="82"/>
      <c r="OX191" s="82"/>
      <c r="OY191" s="82"/>
      <c r="OZ191" s="82"/>
      <c r="PA191" s="82"/>
      <c r="PB191" s="82"/>
      <c r="PC191" s="82"/>
      <c r="PD191" s="82"/>
      <c r="PE191" s="82"/>
      <c r="PF191" s="82"/>
      <c r="PG191" s="82"/>
      <c r="PH191" s="82"/>
      <c r="PI191" s="82"/>
      <c r="PJ191" s="82"/>
      <c r="PK191" s="82"/>
      <c r="PL191" s="82"/>
      <c r="PM191" s="82"/>
      <c r="PN191" s="82"/>
      <c r="PO191" s="82"/>
      <c r="PP191" s="82"/>
      <c r="PQ191" s="82"/>
      <c r="PR191" s="82"/>
      <c r="PS191" s="82"/>
      <c r="PT191" s="82"/>
      <c r="PU191" s="82"/>
      <c r="PV191" s="82"/>
      <c r="PW191" s="82"/>
      <c r="PX191" s="82"/>
      <c r="PY191" s="82"/>
      <c r="PZ191" s="82"/>
      <c r="QA191" s="82"/>
      <c r="QB191" s="82"/>
      <c r="QC191" s="82"/>
      <c r="QD191" s="82"/>
      <c r="QE191" s="82"/>
      <c r="QF191" s="82"/>
      <c r="QG191" s="82"/>
      <c r="QH191" s="82"/>
      <c r="QI191" s="82"/>
      <c r="QJ191" s="82"/>
      <c r="QK191" s="82"/>
      <c r="QL191" s="82"/>
      <c r="QM191" s="82"/>
      <c r="QN191" s="82"/>
      <c r="QO191" s="82"/>
      <c r="QP191" s="82"/>
      <c r="QQ191" s="82"/>
      <c r="QR191" s="82"/>
      <c r="QS191" s="82"/>
      <c r="QT191" s="82"/>
      <c r="QU191" s="82"/>
      <c r="QV191" s="82"/>
      <c r="QW191" s="82"/>
      <c r="QX191" s="82"/>
      <c r="QY191" s="82"/>
      <c r="QZ191" s="82"/>
      <c r="RA191" s="82"/>
      <c r="RB191" s="82"/>
      <c r="RC191" s="82"/>
      <c r="RD191" s="82"/>
      <c r="RE191" s="82"/>
      <c r="RF191" s="82"/>
      <c r="RG191" s="82"/>
      <c r="RH191" s="82"/>
      <c r="RI191" s="82"/>
      <c r="RJ191" s="82"/>
      <c r="RK191" s="82"/>
      <c r="RL191" s="82"/>
      <c r="RM191" s="82"/>
      <c r="RN191" s="82"/>
      <c r="RO191" s="82"/>
      <c r="RP191" s="82"/>
      <c r="RQ191" s="82"/>
      <c r="RR191" s="82"/>
      <c r="RS191" s="82"/>
      <c r="RT191" s="82"/>
      <c r="RU191" s="82"/>
      <c r="RV191" s="82"/>
      <c r="RW191" s="82"/>
      <c r="RX191" s="82"/>
      <c r="RY191" s="82"/>
      <c r="RZ191" s="82"/>
      <c r="SA191" s="82"/>
      <c r="SB191" s="82"/>
      <c r="SC191" s="82"/>
      <c r="SD191" s="82"/>
      <c r="SE191" s="82"/>
      <c r="SF191" s="82"/>
      <c r="SG191" s="82"/>
      <c r="SH191" s="82"/>
      <c r="SI191" s="82"/>
    </row>
    <row r="192" spans="1:503" ht="15.6" customHeight="1">
      <c r="A192" s="82"/>
      <c r="B192" s="110" t="s">
        <v>723</v>
      </c>
      <c r="C192" s="4060"/>
      <c r="D192" s="4061"/>
      <c r="E192" s="4061"/>
      <c r="F192" s="4062"/>
      <c r="H192" s="4063"/>
      <c r="I192" s="4063"/>
      <c r="J192" s="4063"/>
      <c r="K192" s="4063"/>
      <c r="L192" s="4064"/>
      <c r="M192" s="4063"/>
      <c r="N192" s="4063"/>
      <c r="O192" s="4063"/>
      <c r="P192" s="4063"/>
      <c r="Q192" s="4063"/>
      <c r="R192" s="837"/>
      <c r="S192" s="3996"/>
      <c r="T192" s="3997"/>
      <c r="U192" s="3997"/>
      <c r="V192" s="3997"/>
      <c r="W192" s="3998"/>
      <c r="JW192" s="443"/>
      <c r="KB192" s="443"/>
      <c r="KC192" s="443"/>
      <c r="KD192" s="443"/>
      <c r="KE192" s="443"/>
      <c r="KF192" s="443"/>
      <c r="KG192" s="443"/>
      <c r="KH192" s="443"/>
      <c r="KI192" s="443"/>
      <c r="KJ192" s="443"/>
      <c r="KK192" s="443"/>
      <c r="KL192" s="443"/>
      <c r="KM192" s="443"/>
      <c r="KN192" s="443"/>
      <c r="KO192" s="443"/>
      <c r="KP192" s="443"/>
      <c r="KQ192" s="443"/>
      <c r="KR192" s="443"/>
      <c r="KS192" s="443"/>
      <c r="KT192" s="443"/>
      <c r="KU192" s="443"/>
      <c r="KV192" s="443"/>
      <c r="KW192" s="443"/>
      <c r="KX192" s="443"/>
      <c r="KY192" s="443"/>
      <c r="KZ192" s="443"/>
      <c r="LA192" s="443"/>
      <c r="LB192" s="443"/>
      <c r="LC192" s="443"/>
      <c r="LD192" s="443"/>
      <c r="LE192" s="443"/>
      <c r="LF192" s="443"/>
      <c r="LG192" s="443"/>
      <c r="LH192" s="443"/>
      <c r="LI192" s="443"/>
      <c r="LJ192" s="443"/>
      <c r="LK192" s="443"/>
      <c r="LL192" s="443"/>
      <c r="LM192" s="443"/>
      <c r="LN192" s="443"/>
      <c r="LO192" s="443"/>
      <c r="LP192" s="443"/>
      <c r="LQ192" s="443"/>
      <c r="LX192" s="443"/>
      <c r="MN192" s="443"/>
      <c r="MO192" s="443"/>
      <c r="NE192" s="82"/>
      <c r="NF192" s="82"/>
      <c r="NG192" s="82"/>
      <c r="NH192" s="82"/>
      <c r="NI192" s="82"/>
      <c r="NJ192" s="82"/>
      <c r="NK192" s="82"/>
      <c r="NL192" s="82"/>
      <c r="NM192" s="82"/>
      <c r="NN192" s="82"/>
      <c r="NO192" s="82"/>
      <c r="NP192" s="82"/>
      <c r="NQ192" s="82"/>
      <c r="NR192" s="82"/>
      <c r="NS192" s="82"/>
      <c r="NT192" s="82"/>
      <c r="NU192" s="82"/>
      <c r="NV192" s="82"/>
      <c r="NW192" s="82"/>
      <c r="NX192" s="82"/>
      <c r="NY192" s="82"/>
      <c r="NZ192" s="82"/>
      <c r="OA192" s="82"/>
      <c r="OB192" s="82"/>
      <c r="OC192" s="82"/>
      <c r="OD192" s="82"/>
      <c r="OE192" s="82"/>
      <c r="OF192" s="82"/>
      <c r="OG192" s="82"/>
      <c r="OH192" s="82"/>
      <c r="OI192" s="82"/>
      <c r="OJ192" s="82"/>
      <c r="OK192" s="82"/>
      <c r="OL192" s="82"/>
      <c r="OM192" s="82"/>
      <c r="ON192" s="82"/>
      <c r="OO192" s="82"/>
      <c r="OP192" s="82"/>
      <c r="OQ192" s="82"/>
      <c r="OR192" s="82"/>
      <c r="OS192" s="82"/>
      <c r="OT192" s="82"/>
      <c r="OU192" s="82"/>
      <c r="OV192" s="82"/>
      <c r="OW192" s="82"/>
      <c r="OX192" s="82"/>
      <c r="OY192" s="82"/>
      <c r="OZ192" s="82"/>
      <c r="PA192" s="82"/>
      <c r="PB192" s="82"/>
      <c r="PC192" s="82"/>
      <c r="PD192" s="82"/>
      <c r="PE192" s="82"/>
      <c r="PF192" s="82"/>
      <c r="PG192" s="82"/>
      <c r="PH192" s="82"/>
      <c r="PI192" s="82"/>
      <c r="PJ192" s="82"/>
      <c r="PK192" s="82"/>
      <c r="PL192" s="82"/>
      <c r="PM192" s="82"/>
      <c r="PN192" s="82"/>
      <c r="PO192" s="82"/>
      <c r="PP192" s="82"/>
      <c r="PQ192" s="82"/>
      <c r="PR192" s="82"/>
      <c r="PS192" s="82"/>
      <c r="PT192" s="82"/>
      <c r="PU192" s="82"/>
      <c r="PV192" s="82"/>
      <c r="PW192" s="82"/>
      <c r="PX192" s="82"/>
      <c r="PY192" s="82"/>
      <c r="PZ192" s="82"/>
      <c r="QA192" s="82"/>
      <c r="QB192" s="82"/>
      <c r="QC192" s="82"/>
      <c r="QD192" s="82"/>
      <c r="QE192" s="82"/>
      <c r="QF192" s="82"/>
      <c r="QG192" s="82"/>
      <c r="QH192" s="82"/>
      <c r="QI192" s="82"/>
      <c r="QJ192" s="82"/>
      <c r="QK192" s="82"/>
      <c r="QL192" s="82"/>
      <c r="QM192" s="82"/>
      <c r="QN192" s="82"/>
      <c r="QO192" s="82"/>
      <c r="QP192" s="82"/>
      <c r="QQ192" s="82"/>
      <c r="QR192" s="82"/>
      <c r="QS192" s="82"/>
      <c r="QT192" s="82"/>
      <c r="QU192" s="82"/>
      <c r="QV192" s="82"/>
      <c r="QW192" s="82"/>
      <c r="QX192" s="82"/>
      <c r="QY192" s="82"/>
      <c r="QZ192" s="82"/>
      <c r="RA192" s="82"/>
      <c r="RB192" s="82"/>
      <c r="RC192" s="82"/>
      <c r="RD192" s="82"/>
      <c r="RE192" s="82"/>
      <c r="RF192" s="82"/>
      <c r="RG192" s="82"/>
      <c r="RH192" s="82"/>
      <c r="RI192" s="82"/>
      <c r="RJ192" s="82"/>
      <c r="RK192" s="82"/>
      <c r="RL192" s="82"/>
      <c r="RM192" s="82"/>
      <c r="RN192" s="82"/>
      <c r="RO192" s="82"/>
      <c r="RP192" s="82"/>
      <c r="RQ192" s="82"/>
      <c r="RR192" s="82"/>
      <c r="RS192" s="82"/>
      <c r="RT192" s="82"/>
      <c r="RU192" s="82"/>
      <c r="RV192" s="82"/>
      <c r="RW192" s="82"/>
      <c r="RX192" s="82"/>
      <c r="RY192" s="82"/>
      <c r="RZ192" s="82"/>
      <c r="SA192" s="82"/>
      <c r="SB192" s="82"/>
      <c r="SC192" s="82"/>
      <c r="SD192" s="82"/>
      <c r="SE192" s="82"/>
      <c r="SF192" s="82"/>
      <c r="SG192" s="82"/>
      <c r="SH192" s="82"/>
      <c r="SI192" s="82"/>
    </row>
    <row r="193" spans="1:503" ht="15.6" customHeight="1">
      <c r="A193" s="82"/>
      <c r="B193" s="110"/>
      <c r="C193" s="110" t="s">
        <v>907</v>
      </c>
      <c r="D193" s="110"/>
      <c r="E193" s="110"/>
      <c r="F193" s="110"/>
      <c r="H193" s="879">
        <f>SUM(H191:H192)</f>
        <v>0</v>
      </c>
      <c r="I193" s="879">
        <f>SUM(I191:I192)</f>
        <v>0</v>
      </c>
      <c r="J193" s="879">
        <f t="shared" ref="J193:Q193" si="394">SUM(J191:J192)</f>
        <v>0</v>
      </c>
      <c r="K193" s="879">
        <f t="shared" si="394"/>
        <v>0</v>
      </c>
      <c r="L193" s="879">
        <f t="shared" si="394"/>
        <v>0</v>
      </c>
      <c r="M193" s="879">
        <f t="shared" si="394"/>
        <v>0</v>
      </c>
      <c r="N193" s="879">
        <f t="shared" si="394"/>
        <v>0</v>
      </c>
      <c r="O193" s="879">
        <f t="shared" si="394"/>
        <v>0</v>
      </c>
      <c r="P193" s="879">
        <f t="shared" si="394"/>
        <v>0</v>
      </c>
      <c r="Q193" s="879">
        <f t="shared" si="394"/>
        <v>0</v>
      </c>
      <c r="R193" s="118"/>
      <c r="S193" s="4027"/>
      <c r="T193" s="4028"/>
      <c r="U193" s="4028"/>
      <c r="V193" s="4028"/>
      <c r="W193" s="4029"/>
      <c r="JW193" s="443"/>
      <c r="KB193" s="443"/>
      <c r="KC193" s="443"/>
      <c r="KD193" s="443"/>
      <c r="KE193" s="443"/>
      <c r="KF193" s="443"/>
      <c r="KG193" s="443"/>
      <c r="KH193" s="443"/>
      <c r="KI193" s="443"/>
      <c r="KJ193" s="443"/>
      <c r="KK193" s="443"/>
      <c r="KL193" s="443"/>
      <c r="KM193" s="443"/>
      <c r="KN193" s="443"/>
      <c r="KO193" s="443"/>
      <c r="KP193" s="443"/>
      <c r="KQ193" s="443"/>
      <c r="KR193" s="443"/>
      <c r="KS193" s="443"/>
      <c r="KT193" s="443"/>
      <c r="KU193" s="443"/>
      <c r="KV193" s="443"/>
      <c r="KW193" s="443"/>
      <c r="KX193" s="443"/>
      <c r="KY193" s="443"/>
      <c r="KZ193" s="443"/>
      <c r="LA193" s="443"/>
      <c r="LB193" s="443"/>
      <c r="LC193" s="443"/>
      <c r="LD193" s="443"/>
      <c r="LE193" s="443"/>
      <c r="LF193" s="443"/>
      <c r="LG193" s="443"/>
      <c r="LH193" s="443"/>
      <c r="LI193" s="443"/>
      <c r="LJ193" s="443"/>
      <c r="LK193" s="443"/>
      <c r="LL193" s="443"/>
      <c r="LM193" s="443"/>
      <c r="LN193" s="443"/>
      <c r="LO193" s="443"/>
      <c r="LP193" s="443"/>
      <c r="LQ193" s="443"/>
      <c r="LX193" s="443"/>
      <c r="MN193" s="443"/>
      <c r="MO193" s="443"/>
      <c r="NE193" s="82"/>
      <c r="NF193" s="82"/>
      <c r="NG193" s="82"/>
      <c r="NH193" s="82"/>
      <c r="NI193" s="82"/>
      <c r="NJ193" s="82"/>
      <c r="NK193" s="82"/>
      <c r="NL193" s="82"/>
      <c r="NM193" s="82"/>
      <c r="NN193" s="82"/>
      <c r="NO193" s="82"/>
      <c r="NP193" s="82"/>
      <c r="NQ193" s="82"/>
      <c r="NR193" s="82"/>
      <c r="NS193" s="82"/>
      <c r="NT193" s="82"/>
      <c r="NU193" s="82"/>
      <c r="NV193" s="82"/>
      <c r="NW193" s="82"/>
      <c r="NX193" s="82"/>
      <c r="NY193" s="82"/>
      <c r="NZ193" s="82"/>
      <c r="OA193" s="82"/>
      <c r="OB193" s="82"/>
      <c r="OC193" s="82"/>
      <c r="OD193" s="82"/>
      <c r="OE193" s="82"/>
      <c r="OF193" s="82"/>
      <c r="OG193" s="82"/>
      <c r="OH193" s="82"/>
      <c r="OI193" s="82"/>
      <c r="OJ193" s="82"/>
      <c r="OK193" s="82"/>
      <c r="OL193" s="82"/>
      <c r="OM193" s="82"/>
      <c r="ON193" s="82"/>
      <c r="OO193" s="82"/>
      <c r="OP193" s="82"/>
      <c r="OQ193" s="82"/>
      <c r="OR193" s="82"/>
      <c r="OS193" s="82"/>
      <c r="OT193" s="82"/>
      <c r="OU193" s="82"/>
      <c r="OV193" s="82"/>
      <c r="OW193" s="82"/>
      <c r="OX193" s="82"/>
      <c r="OY193" s="82"/>
      <c r="OZ193" s="82"/>
      <c r="PA193" s="82"/>
      <c r="PB193" s="82"/>
      <c r="PC193" s="82"/>
      <c r="PD193" s="82"/>
      <c r="PE193" s="82"/>
      <c r="PF193" s="82"/>
      <c r="PG193" s="82"/>
      <c r="PH193" s="82"/>
      <c r="PI193" s="82"/>
      <c r="PJ193" s="82"/>
      <c r="PK193" s="82"/>
      <c r="PL193" s="82"/>
      <c r="PM193" s="82"/>
      <c r="PN193" s="82"/>
      <c r="PO193" s="82"/>
      <c r="PP193" s="82"/>
      <c r="PQ193" s="82"/>
      <c r="PR193" s="82"/>
      <c r="PS193" s="82"/>
      <c r="PT193" s="82"/>
      <c r="PU193" s="82"/>
      <c r="PV193" s="82"/>
      <c r="PW193" s="82"/>
      <c r="PX193" s="82"/>
      <c r="PY193" s="82"/>
      <c r="PZ193" s="82"/>
      <c r="QA193" s="82"/>
      <c r="QB193" s="82"/>
      <c r="QC193" s="82"/>
      <c r="QD193" s="82"/>
      <c r="QE193" s="82"/>
      <c r="QF193" s="82"/>
      <c r="QG193" s="82"/>
      <c r="QH193" s="82"/>
      <c r="QI193" s="82"/>
      <c r="QJ193" s="82"/>
      <c r="QK193" s="82"/>
      <c r="QL193" s="82"/>
      <c r="QM193" s="82"/>
      <c r="QN193" s="82"/>
      <c r="QO193" s="82"/>
      <c r="QP193" s="82"/>
      <c r="QQ193" s="82"/>
      <c r="QR193" s="82"/>
      <c r="QS193" s="82"/>
      <c r="QT193" s="82"/>
      <c r="QU193" s="82"/>
      <c r="QV193" s="82"/>
      <c r="QW193" s="82"/>
      <c r="QX193" s="82"/>
      <c r="QY193" s="82"/>
      <c r="QZ193" s="82"/>
      <c r="RA193" s="82"/>
      <c r="RB193" s="82"/>
      <c r="RC193" s="82"/>
      <c r="RD193" s="82"/>
      <c r="RE193" s="82"/>
      <c r="RF193" s="82"/>
      <c r="RG193" s="82"/>
      <c r="RH193" s="82"/>
      <c r="RI193" s="82"/>
      <c r="RJ193" s="82"/>
      <c r="RK193" s="82"/>
      <c r="RL193" s="82"/>
      <c r="RM193" s="82"/>
      <c r="RN193" s="82"/>
      <c r="RO193" s="82"/>
      <c r="RP193" s="82"/>
      <c r="RQ193" s="82"/>
      <c r="RR193" s="82"/>
      <c r="RS193" s="82"/>
      <c r="RT193" s="82"/>
      <c r="RU193" s="82"/>
      <c r="RV193" s="82"/>
      <c r="RW193" s="82"/>
      <c r="RX193" s="82"/>
      <c r="RY193" s="82"/>
      <c r="RZ193" s="82"/>
      <c r="SA193" s="82"/>
      <c r="SB193" s="82"/>
      <c r="SC193" s="82"/>
      <c r="SD193" s="82"/>
      <c r="SE193" s="82"/>
      <c r="SF193" s="82"/>
      <c r="SG193" s="82"/>
      <c r="SH193" s="82"/>
      <c r="SI193" s="82"/>
    </row>
    <row r="194" spans="1:503" ht="15.6" customHeight="1">
      <c r="A194" s="82"/>
      <c r="B194" s="880" t="s">
        <v>3496</v>
      </c>
      <c r="C194" s="89"/>
      <c r="D194" s="89"/>
      <c r="E194" s="89"/>
      <c r="F194" s="89"/>
      <c r="H194" s="881"/>
      <c r="I194" s="89"/>
      <c r="J194" s="89"/>
      <c r="K194" s="89"/>
      <c r="L194" s="89"/>
      <c r="M194" s="89"/>
      <c r="N194" s="89"/>
      <c r="O194" s="89"/>
      <c r="P194" s="89"/>
      <c r="Q194" s="89"/>
      <c r="R194" s="8"/>
      <c r="S194" s="94" t="str">
        <f>B194</f>
        <v>NOT Included in Mgt Fee:</v>
      </c>
      <c r="JW194" s="443"/>
      <c r="KB194" s="443"/>
      <c r="KC194" s="443"/>
      <c r="KD194" s="443"/>
      <c r="KE194" s="443"/>
      <c r="KF194" s="443"/>
      <c r="KG194" s="443"/>
      <c r="KH194" s="443"/>
      <c r="KI194" s="443"/>
      <c r="KJ194" s="443"/>
      <c r="KK194" s="443"/>
      <c r="KL194" s="443"/>
      <c r="KM194" s="443"/>
      <c r="KN194" s="443"/>
      <c r="KO194" s="443"/>
      <c r="KP194" s="443"/>
      <c r="KQ194" s="443"/>
      <c r="KR194" s="443"/>
      <c r="KS194" s="443"/>
      <c r="KT194" s="443"/>
      <c r="KU194" s="443"/>
      <c r="KV194" s="443"/>
      <c r="KW194" s="443"/>
      <c r="KX194" s="443"/>
      <c r="KY194" s="443"/>
      <c r="KZ194" s="443"/>
      <c r="LA194" s="443"/>
      <c r="LB194" s="443"/>
      <c r="LC194" s="443"/>
      <c r="LD194" s="443"/>
      <c r="LE194" s="443"/>
      <c r="LF194" s="443"/>
      <c r="LG194" s="443"/>
      <c r="LH194" s="443"/>
      <c r="LI194" s="443"/>
      <c r="LJ194" s="443"/>
      <c r="LK194" s="443"/>
      <c r="LL194" s="443"/>
      <c r="LM194" s="443"/>
      <c r="LN194" s="443"/>
      <c r="LO194" s="443"/>
      <c r="LP194" s="443"/>
      <c r="LQ194" s="443"/>
      <c r="LX194" s="443"/>
      <c r="MN194" s="443"/>
      <c r="MO194" s="443"/>
      <c r="NE194" s="82"/>
      <c r="NF194" s="82"/>
      <c r="NG194" s="82"/>
      <c r="NH194" s="82"/>
      <c r="NI194" s="82"/>
      <c r="NJ194" s="82"/>
      <c r="NK194" s="82"/>
      <c r="NL194" s="82"/>
      <c r="NM194" s="82"/>
      <c r="NN194" s="82"/>
      <c r="NO194" s="82"/>
      <c r="NP194" s="82"/>
      <c r="NQ194" s="82"/>
      <c r="NR194" s="82"/>
      <c r="NS194" s="82"/>
      <c r="NT194" s="82"/>
      <c r="NU194" s="82"/>
      <c r="NV194" s="82"/>
      <c r="NW194" s="82"/>
      <c r="NX194" s="82"/>
      <c r="NY194" s="82"/>
      <c r="NZ194" s="82"/>
      <c r="OA194" s="82"/>
      <c r="OB194" s="82"/>
      <c r="OC194" s="82"/>
      <c r="OD194" s="82"/>
      <c r="OE194" s="82"/>
      <c r="OF194" s="82"/>
      <c r="OG194" s="82"/>
      <c r="OH194" s="82"/>
      <c r="OI194" s="82"/>
      <c r="OJ194" s="82"/>
      <c r="OK194" s="82"/>
      <c r="OL194" s="82"/>
      <c r="OM194" s="82"/>
      <c r="ON194" s="82"/>
      <c r="OO194" s="82"/>
      <c r="OP194" s="82"/>
      <c r="OQ194" s="82"/>
      <c r="OR194" s="82"/>
      <c r="OS194" s="82"/>
      <c r="OT194" s="82"/>
      <c r="OU194" s="82"/>
      <c r="OV194" s="82"/>
      <c r="OW194" s="82"/>
      <c r="OX194" s="82"/>
      <c r="OY194" s="82"/>
      <c r="OZ194" s="82"/>
      <c r="PA194" s="82"/>
      <c r="PB194" s="82"/>
      <c r="PC194" s="82"/>
      <c r="PD194" s="82"/>
      <c r="PE194" s="82"/>
      <c r="PF194" s="82"/>
      <c r="PG194" s="82"/>
      <c r="PH194" s="82"/>
      <c r="PI194" s="82"/>
      <c r="PJ194" s="82"/>
      <c r="PK194" s="82"/>
      <c r="PL194" s="82"/>
      <c r="PM194" s="82"/>
      <c r="PN194" s="82"/>
      <c r="PO194" s="82"/>
      <c r="PP194" s="82"/>
      <c r="PQ194" s="82"/>
      <c r="PR194" s="82"/>
      <c r="PS194" s="82"/>
      <c r="PT194" s="82"/>
      <c r="PU194" s="82"/>
      <c r="PV194" s="82"/>
      <c r="PW194" s="82"/>
      <c r="PX194" s="82"/>
      <c r="PY194" s="82"/>
      <c r="PZ194" s="82"/>
      <c r="QA194" s="82"/>
      <c r="QB194" s="82"/>
      <c r="QC194" s="82"/>
      <c r="QD194" s="82"/>
      <c r="QE194" s="82"/>
      <c r="QF194" s="82"/>
      <c r="QG194" s="82"/>
      <c r="QH194" s="82"/>
      <c r="QI194" s="82"/>
      <c r="QJ194" s="82"/>
      <c r="QK194" s="82"/>
      <c r="QL194" s="82"/>
      <c r="QM194" s="82"/>
      <c r="QN194" s="82"/>
      <c r="QO194" s="82"/>
      <c r="QP194" s="82"/>
      <c r="QQ194" s="82"/>
      <c r="QR194" s="82"/>
      <c r="QS194" s="82"/>
      <c r="QT194" s="82"/>
      <c r="QU194" s="82"/>
      <c r="QV194" s="82"/>
      <c r="QW194" s="82"/>
      <c r="QX194" s="82"/>
      <c r="QY194" s="82"/>
      <c r="QZ194" s="82"/>
      <c r="RA194" s="82"/>
      <c r="RB194" s="82"/>
      <c r="RC194" s="82"/>
      <c r="RD194" s="82"/>
      <c r="RE194" s="82"/>
      <c r="RF194" s="82"/>
      <c r="RG194" s="82"/>
      <c r="RH194" s="82"/>
      <c r="RI194" s="82"/>
      <c r="RJ194" s="82"/>
      <c r="RK194" s="82"/>
      <c r="RL194" s="82"/>
      <c r="RM194" s="82"/>
      <c r="RN194" s="82"/>
      <c r="RO194" s="82"/>
      <c r="RP194" s="82"/>
      <c r="RQ194" s="82"/>
      <c r="RR194" s="82"/>
      <c r="RS194" s="82"/>
      <c r="RT194" s="82"/>
      <c r="RU194" s="82"/>
      <c r="RV194" s="82"/>
      <c r="RW194" s="82"/>
      <c r="RX194" s="82"/>
      <c r="RY194" s="82"/>
      <c r="RZ194" s="82"/>
      <c r="SA194" s="82"/>
      <c r="SB194" s="82"/>
      <c r="SC194" s="82"/>
      <c r="SD194" s="82"/>
      <c r="SE194" s="82"/>
      <c r="SF194" s="82"/>
      <c r="SG194" s="82"/>
      <c r="SH194" s="82"/>
      <c r="SI194" s="82"/>
    </row>
    <row r="195" spans="1:503" ht="15.6" customHeight="1">
      <c r="A195" s="82"/>
      <c r="B195" s="110" t="s">
        <v>518</v>
      </c>
      <c r="C195" s="110"/>
      <c r="D195" s="110"/>
      <c r="E195" s="110"/>
      <c r="F195" s="110"/>
      <c r="H195" s="4059"/>
      <c r="I195" s="4059"/>
      <c r="J195" s="4059"/>
      <c r="K195" s="4059"/>
      <c r="L195" s="4065"/>
      <c r="M195" s="4059"/>
      <c r="N195" s="4059"/>
      <c r="O195" s="4059"/>
      <c r="P195" s="4059"/>
      <c r="Q195" s="4059"/>
      <c r="R195" s="837"/>
      <c r="S195" s="4034"/>
      <c r="T195" s="4035"/>
      <c r="U195" s="4035"/>
      <c r="V195" s="4035"/>
      <c r="W195" s="4036"/>
      <c r="JW195" s="443"/>
      <c r="KB195" s="443"/>
      <c r="KC195" s="443"/>
      <c r="KD195" s="443"/>
      <c r="KE195" s="443"/>
      <c r="KF195" s="443"/>
      <c r="KG195" s="443"/>
      <c r="KH195" s="443"/>
      <c r="KI195" s="443"/>
      <c r="KJ195" s="443"/>
      <c r="KK195" s="443"/>
      <c r="KL195" s="443"/>
      <c r="KM195" s="443"/>
      <c r="KN195" s="443"/>
      <c r="KO195" s="443"/>
      <c r="KP195" s="443"/>
      <c r="KQ195" s="443"/>
      <c r="KR195" s="443"/>
      <c r="KS195" s="443"/>
      <c r="KT195" s="443"/>
      <c r="KU195" s="443"/>
      <c r="KV195" s="443"/>
      <c r="KW195" s="443"/>
      <c r="KX195" s="443"/>
      <c r="KY195" s="443"/>
      <c r="KZ195" s="443"/>
      <c r="LA195" s="443"/>
      <c r="LB195" s="443"/>
      <c r="LC195" s="443"/>
      <c r="LD195" s="443"/>
      <c r="LE195" s="443"/>
      <c r="LF195" s="443"/>
      <c r="LG195" s="443"/>
      <c r="LH195" s="443"/>
      <c r="LI195" s="443"/>
      <c r="LJ195" s="443"/>
      <c r="LK195" s="443"/>
      <c r="LL195" s="443"/>
      <c r="LM195" s="443"/>
      <c r="LN195" s="443"/>
      <c r="LO195" s="443"/>
      <c r="LP195" s="443"/>
      <c r="LQ195" s="443"/>
      <c r="LX195" s="443"/>
      <c r="MN195" s="443"/>
      <c r="MO195" s="443"/>
      <c r="NE195" s="82"/>
      <c r="NF195" s="82"/>
      <c r="NG195" s="82"/>
      <c r="NH195" s="82"/>
      <c r="NI195" s="82"/>
      <c r="NJ195" s="82"/>
      <c r="NK195" s="82"/>
      <c r="NL195" s="82"/>
      <c r="NM195" s="82"/>
      <c r="NN195" s="82"/>
      <c r="NO195" s="82"/>
      <c r="NP195" s="82"/>
      <c r="NQ195" s="82"/>
      <c r="NR195" s="82"/>
      <c r="NS195" s="82"/>
      <c r="NT195" s="82"/>
      <c r="NU195" s="82"/>
      <c r="NV195" s="82"/>
      <c r="NW195" s="82"/>
      <c r="NX195" s="82"/>
      <c r="NY195" s="82"/>
      <c r="NZ195" s="82"/>
      <c r="OA195" s="82"/>
      <c r="OB195" s="82"/>
      <c r="OC195" s="82"/>
      <c r="OD195" s="82"/>
      <c r="OE195" s="82"/>
      <c r="OF195" s="82"/>
      <c r="OG195" s="82"/>
      <c r="OH195" s="82"/>
      <c r="OI195" s="82"/>
      <c r="OJ195" s="82"/>
      <c r="OK195" s="82"/>
      <c r="OL195" s="82"/>
      <c r="OM195" s="82"/>
      <c r="ON195" s="82"/>
      <c r="OO195" s="82"/>
      <c r="OP195" s="82"/>
      <c r="OQ195" s="82"/>
      <c r="OR195" s="82"/>
      <c r="OS195" s="82"/>
      <c r="OT195" s="82"/>
      <c r="OU195" s="82"/>
      <c r="OV195" s="82"/>
      <c r="OW195" s="82"/>
      <c r="OX195" s="82"/>
      <c r="OY195" s="82"/>
      <c r="OZ195" s="82"/>
      <c r="PA195" s="82"/>
      <c r="PB195" s="82"/>
      <c r="PC195" s="82"/>
      <c r="PD195" s="82"/>
      <c r="PE195" s="82"/>
      <c r="PF195" s="82"/>
      <c r="PG195" s="82"/>
      <c r="PH195" s="82"/>
      <c r="PI195" s="82"/>
      <c r="PJ195" s="82"/>
      <c r="PK195" s="82"/>
      <c r="PL195" s="82"/>
      <c r="PM195" s="82"/>
      <c r="PN195" s="82"/>
      <c r="PO195" s="82"/>
      <c r="PP195" s="82"/>
      <c r="PQ195" s="82"/>
      <c r="PR195" s="82"/>
      <c r="PS195" s="82"/>
      <c r="PT195" s="82"/>
      <c r="PU195" s="82"/>
      <c r="PV195" s="82"/>
      <c r="PW195" s="82"/>
      <c r="PX195" s="82"/>
      <c r="PY195" s="82"/>
      <c r="PZ195" s="82"/>
      <c r="QA195" s="82"/>
      <c r="QB195" s="82"/>
      <c r="QC195" s="82"/>
      <c r="QD195" s="82"/>
      <c r="QE195" s="82"/>
      <c r="QF195" s="82"/>
      <c r="QG195" s="82"/>
      <c r="QH195" s="82"/>
      <c r="QI195" s="82"/>
      <c r="QJ195" s="82"/>
      <c r="QK195" s="82"/>
      <c r="QL195" s="82"/>
      <c r="QM195" s="82"/>
      <c r="QN195" s="82"/>
      <c r="QO195" s="82"/>
      <c r="QP195" s="82"/>
      <c r="QQ195" s="82"/>
      <c r="QR195" s="82"/>
      <c r="QS195" s="82"/>
      <c r="QT195" s="82"/>
      <c r="QU195" s="82"/>
      <c r="QV195" s="82"/>
      <c r="QW195" s="82"/>
      <c r="QX195" s="82"/>
      <c r="QY195" s="82"/>
      <c r="QZ195" s="82"/>
      <c r="RA195" s="82"/>
      <c r="RB195" s="82"/>
      <c r="RC195" s="82"/>
      <c r="RD195" s="82"/>
      <c r="RE195" s="82"/>
      <c r="RF195" s="82"/>
      <c r="RG195" s="82"/>
      <c r="RH195" s="82"/>
      <c r="RI195" s="82"/>
      <c r="RJ195" s="82"/>
      <c r="RK195" s="82"/>
      <c r="RL195" s="82"/>
      <c r="RM195" s="82"/>
      <c r="RN195" s="82"/>
      <c r="RO195" s="82"/>
      <c r="RP195" s="82"/>
      <c r="RQ195" s="82"/>
      <c r="RR195" s="82"/>
      <c r="RS195" s="82"/>
      <c r="RT195" s="82"/>
      <c r="RU195" s="82"/>
      <c r="RV195" s="82"/>
      <c r="RW195" s="82"/>
      <c r="RX195" s="82"/>
      <c r="RY195" s="82"/>
      <c r="RZ195" s="82"/>
      <c r="SA195" s="82"/>
      <c r="SB195" s="82"/>
      <c r="SC195" s="82"/>
      <c r="SD195" s="82"/>
      <c r="SE195" s="82"/>
      <c r="SF195" s="82"/>
      <c r="SG195" s="82"/>
      <c r="SH195" s="82"/>
      <c r="SI195" s="82"/>
    </row>
    <row r="196" spans="1:503" ht="15.6" customHeight="1">
      <c r="A196" s="82"/>
      <c r="B196" s="110" t="s">
        <v>723</v>
      </c>
      <c r="C196" s="4060"/>
      <c r="D196" s="4061"/>
      <c r="E196" s="4061"/>
      <c r="F196" s="4062"/>
      <c r="H196" s="4063"/>
      <c r="I196" s="4063"/>
      <c r="J196" s="4063"/>
      <c r="K196" s="4063"/>
      <c r="L196" s="4064"/>
      <c r="M196" s="4063"/>
      <c r="N196" s="4063"/>
      <c r="O196" s="4063"/>
      <c r="P196" s="4063"/>
      <c r="Q196" s="4063"/>
      <c r="R196" s="837"/>
      <c r="S196" s="3996"/>
      <c r="T196" s="3997"/>
      <c r="U196" s="3997"/>
      <c r="V196" s="3997"/>
      <c r="W196" s="3998"/>
      <c r="JW196" s="443"/>
      <c r="KB196" s="443"/>
      <c r="KC196" s="443"/>
      <c r="KD196" s="443"/>
      <c r="KE196" s="443"/>
      <c r="KF196" s="443"/>
      <c r="KG196" s="443"/>
      <c r="KH196" s="443"/>
      <c r="KI196" s="443"/>
      <c r="KJ196" s="443"/>
      <c r="KK196" s="443"/>
      <c r="KL196" s="443"/>
      <c r="KM196" s="443"/>
      <c r="KN196" s="443"/>
      <c r="KO196" s="443"/>
      <c r="KP196" s="443"/>
      <c r="KQ196" s="443"/>
      <c r="KR196" s="443"/>
      <c r="KS196" s="443"/>
      <c r="KT196" s="443"/>
      <c r="KU196" s="443"/>
      <c r="KV196" s="443"/>
      <c r="KW196" s="443"/>
      <c r="KX196" s="443"/>
      <c r="KY196" s="443"/>
      <c r="KZ196" s="443"/>
      <c r="LA196" s="443"/>
      <c r="LB196" s="443"/>
      <c r="LC196" s="443"/>
      <c r="LD196" s="443"/>
      <c r="LE196" s="443"/>
      <c r="LF196" s="443"/>
      <c r="LG196" s="443"/>
      <c r="LH196" s="443"/>
      <c r="LI196" s="443"/>
      <c r="LJ196" s="443"/>
      <c r="LK196" s="443"/>
      <c r="LL196" s="443"/>
      <c r="LM196" s="443"/>
      <c r="LN196" s="443"/>
      <c r="LO196" s="443"/>
      <c r="LP196" s="443"/>
      <c r="LQ196" s="443"/>
      <c r="LX196" s="443"/>
      <c r="MN196" s="443"/>
      <c r="MO196" s="443"/>
      <c r="NE196" s="82"/>
      <c r="NF196" s="82"/>
      <c r="NG196" s="82"/>
      <c r="NH196" s="82"/>
      <c r="NI196" s="82"/>
      <c r="NJ196" s="82"/>
      <c r="NK196" s="82"/>
      <c r="NL196" s="82"/>
      <c r="NM196" s="82"/>
      <c r="NN196" s="82"/>
      <c r="NO196" s="82"/>
      <c r="NP196" s="82"/>
      <c r="NQ196" s="82"/>
      <c r="NR196" s="82"/>
      <c r="NS196" s="82"/>
      <c r="NT196" s="82"/>
      <c r="NU196" s="82"/>
      <c r="NV196" s="82"/>
      <c r="NW196" s="82"/>
      <c r="NX196" s="82"/>
      <c r="NY196" s="82"/>
      <c r="NZ196" s="82"/>
      <c r="OA196" s="82"/>
      <c r="OB196" s="82"/>
      <c r="OC196" s="82"/>
      <c r="OD196" s="82"/>
      <c r="OE196" s="82"/>
      <c r="OF196" s="82"/>
      <c r="OG196" s="82"/>
      <c r="OH196" s="82"/>
      <c r="OI196" s="82"/>
      <c r="OJ196" s="82"/>
      <c r="OK196" s="82"/>
      <c r="OL196" s="82"/>
      <c r="OM196" s="82"/>
      <c r="ON196" s="82"/>
      <c r="OO196" s="82"/>
      <c r="OP196" s="82"/>
      <c r="OQ196" s="82"/>
      <c r="OR196" s="82"/>
      <c r="OS196" s="82"/>
      <c r="OT196" s="82"/>
      <c r="OU196" s="82"/>
      <c r="OV196" s="82"/>
      <c r="OW196" s="82"/>
      <c r="OX196" s="82"/>
      <c r="OY196" s="82"/>
      <c r="OZ196" s="82"/>
      <c r="PA196" s="82"/>
      <c r="PB196" s="82"/>
      <c r="PC196" s="82"/>
      <c r="PD196" s="82"/>
      <c r="PE196" s="82"/>
      <c r="PF196" s="82"/>
      <c r="PG196" s="82"/>
      <c r="PH196" s="82"/>
      <c r="PI196" s="82"/>
      <c r="PJ196" s="82"/>
      <c r="PK196" s="82"/>
      <c r="PL196" s="82"/>
      <c r="PM196" s="82"/>
      <c r="PN196" s="82"/>
      <c r="PO196" s="82"/>
      <c r="PP196" s="82"/>
      <c r="PQ196" s="82"/>
      <c r="PR196" s="82"/>
      <c r="PS196" s="82"/>
      <c r="PT196" s="82"/>
      <c r="PU196" s="82"/>
      <c r="PV196" s="82"/>
      <c r="PW196" s="82"/>
      <c r="PX196" s="82"/>
      <c r="PY196" s="82"/>
      <c r="PZ196" s="82"/>
      <c r="QA196" s="82"/>
      <c r="QB196" s="82"/>
      <c r="QC196" s="82"/>
      <c r="QD196" s="82"/>
      <c r="QE196" s="82"/>
      <c r="QF196" s="82"/>
      <c r="QG196" s="82"/>
      <c r="QH196" s="82"/>
      <c r="QI196" s="82"/>
      <c r="QJ196" s="82"/>
      <c r="QK196" s="82"/>
      <c r="QL196" s="82"/>
      <c r="QM196" s="82"/>
      <c r="QN196" s="82"/>
      <c r="QO196" s="82"/>
      <c r="QP196" s="82"/>
      <c r="QQ196" s="82"/>
      <c r="QR196" s="82"/>
      <c r="QS196" s="82"/>
      <c r="QT196" s="82"/>
      <c r="QU196" s="82"/>
      <c r="QV196" s="82"/>
      <c r="QW196" s="82"/>
      <c r="QX196" s="82"/>
      <c r="QY196" s="82"/>
      <c r="QZ196" s="82"/>
      <c r="RA196" s="82"/>
      <c r="RB196" s="82"/>
      <c r="RC196" s="82"/>
      <c r="RD196" s="82"/>
      <c r="RE196" s="82"/>
      <c r="RF196" s="82"/>
      <c r="RG196" s="82"/>
      <c r="RH196" s="82"/>
      <c r="RI196" s="82"/>
      <c r="RJ196" s="82"/>
      <c r="RK196" s="82"/>
      <c r="RL196" s="82"/>
      <c r="RM196" s="82"/>
      <c r="RN196" s="82"/>
      <c r="RO196" s="82"/>
      <c r="RP196" s="82"/>
      <c r="RQ196" s="82"/>
      <c r="RR196" s="82"/>
      <c r="RS196" s="82"/>
      <c r="RT196" s="82"/>
      <c r="RU196" s="82"/>
      <c r="RV196" s="82"/>
      <c r="RW196" s="82"/>
      <c r="RX196" s="82"/>
      <c r="RY196" s="82"/>
      <c r="RZ196" s="82"/>
      <c r="SA196" s="82"/>
      <c r="SB196" s="82"/>
      <c r="SC196" s="82"/>
      <c r="SD196" s="82"/>
      <c r="SE196" s="82"/>
      <c r="SF196" s="82"/>
      <c r="SG196" s="82"/>
      <c r="SH196" s="82"/>
      <c r="SI196" s="82"/>
    </row>
    <row r="197" spans="1:503" ht="15.6" customHeight="1">
      <c r="A197" s="82"/>
      <c r="B197" s="110"/>
      <c r="C197" s="110" t="s">
        <v>188</v>
      </c>
      <c r="D197" s="110"/>
      <c r="E197" s="110"/>
      <c r="F197" s="110"/>
      <c r="H197" s="879">
        <f>SUM(H195:H196)</f>
        <v>0</v>
      </c>
      <c r="I197" s="879">
        <f>SUM(I195:I196)</f>
        <v>0</v>
      </c>
      <c r="J197" s="879">
        <f t="shared" ref="J197:Q197" si="395">SUM(J195:J196)</f>
        <v>0</v>
      </c>
      <c r="K197" s="879">
        <f t="shared" si="395"/>
        <v>0</v>
      </c>
      <c r="L197" s="879">
        <f t="shared" si="395"/>
        <v>0</v>
      </c>
      <c r="M197" s="879">
        <f t="shared" si="395"/>
        <v>0</v>
      </c>
      <c r="N197" s="879">
        <f t="shared" si="395"/>
        <v>0</v>
      </c>
      <c r="O197" s="879">
        <f t="shared" si="395"/>
        <v>0</v>
      </c>
      <c r="P197" s="879">
        <f t="shared" si="395"/>
        <v>0</v>
      </c>
      <c r="Q197" s="879">
        <f t="shared" si="395"/>
        <v>0</v>
      </c>
      <c r="R197" s="118"/>
      <c r="S197" s="4027"/>
      <c r="T197" s="4028"/>
      <c r="U197" s="4028"/>
      <c r="V197" s="4028"/>
      <c r="W197" s="4029"/>
      <c r="JW197" s="443"/>
      <c r="KB197" s="443"/>
      <c r="KC197" s="443"/>
      <c r="KD197" s="443"/>
      <c r="KE197" s="443"/>
      <c r="KF197" s="443"/>
      <c r="KG197" s="443"/>
      <c r="KH197" s="443"/>
      <c r="KI197" s="443"/>
      <c r="KJ197" s="443"/>
      <c r="KK197" s="443"/>
      <c r="KL197" s="443"/>
      <c r="KM197" s="443"/>
      <c r="KN197" s="443"/>
      <c r="KO197" s="443"/>
      <c r="KP197" s="443"/>
      <c r="KQ197" s="443"/>
      <c r="KR197" s="443"/>
      <c r="KS197" s="443"/>
      <c r="KT197" s="443"/>
      <c r="KU197" s="443"/>
      <c r="KV197" s="443"/>
      <c r="KW197" s="443"/>
      <c r="KX197" s="443"/>
      <c r="KY197" s="443"/>
      <c r="KZ197" s="443"/>
      <c r="LA197" s="443"/>
      <c r="LB197" s="443"/>
      <c r="LC197" s="443"/>
      <c r="LD197" s="443"/>
      <c r="LE197" s="443"/>
      <c r="LF197" s="443"/>
      <c r="LG197" s="443"/>
      <c r="LH197" s="443"/>
      <c r="LI197" s="443"/>
      <c r="LJ197" s="443"/>
      <c r="LK197" s="443"/>
      <c r="LL197" s="443"/>
      <c r="LM197" s="443"/>
      <c r="LN197" s="443"/>
      <c r="LO197" s="443"/>
      <c r="LP197" s="443"/>
      <c r="LQ197" s="443"/>
      <c r="LX197" s="443"/>
      <c r="MN197" s="443"/>
      <c r="MO197" s="443"/>
      <c r="NE197" s="82"/>
      <c r="NF197" s="82"/>
      <c r="NG197" s="82"/>
      <c r="NH197" s="82"/>
      <c r="NI197" s="82"/>
      <c r="NJ197" s="82"/>
      <c r="NK197" s="82"/>
      <c r="NL197" s="82"/>
      <c r="NM197" s="82"/>
      <c r="NN197" s="82"/>
      <c r="NO197" s="82"/>
      <c r="NP197" s="82"/>
      <c r="NQ197" s="82"/>
      <c r="NR197" s="82"/>
      <c r="NS197" s="82"/>
      <c r="NT197" s="82"/>
      <c r="NU197" s="82"/>
      <c r="NV197" s="82"/>
      <c r="NW197" s="82"/>
      <c r="NX197" s="82"/>
      <c r="NY197" s="82"/>
      <c r="NZ197" s="82"/>
      <c r="OA197" s="82"/>
      <c r="OB197" s="82"/>
      <c r="OC197" s="82"/>
      <c r="OD197" s="82"/>
      <c r="OE197" s="82"/>
      <c r="OF197" s="82"/>
      <c r="OG197" s="82"/>
      <c r="OH197" s="82"/>
      <c r="OI197" s="82"/>
      <c r="OJ197" s="82"/>
      <c r="OK197" s="82"/>
      <c r="OL197" s="82"/>
      <c r="OM197" s="82"/>
      <c r="ON197" s="82"/>
      <c r="OO197" s="82"/>
      <c r="OP197" s="82"/>
      <c r="OQ197" s="82"/>
      <c r="OR197" s="82"/>
      <c r="OS197" s="82"/>
      <c r="OT197" s="82"/>
      <c r="OU197" s="82"/>
      <c r="OV197" s="82"/>
      <c r="OW197" s="82"/>
      <c r="OX197" s="82"/>
      <c r="OY197" s="82"/>
      <c r="OZ197" s="82"/>
      <c r="PA197" s="82"/>
      <c r="PB197" s="82"/>
      <c r="PC197" s="82"/>
      <c r="PD197" s="82"/>
      <c r="PE197" s="82"/>
      <c r="PF197" s="82"/>
      <c r="PG197" s="82"/>
      <c r="PH197" s="82"/>
      <c r="PI197" s="82"/>
      <c r="PJ197" s="82"/>
      <c r="PK197" s="82"/>
      <c r="PL197" s="82"/>
      <c r="PM197" s="82"/>
      <c r="PN197" s="82"/>
      <c r="PO197" s="82"/>
      <c r="PP197" s="82"/>
      <c r="PQ197" s="82"/>
      <c r="PR197" s="82"/>
      <c r="PS197" s="82"/>
      <c r="PT197" s="82"/>
      <c r="PU197" s="82"/>
      <c r="PV197" s="82"/>
      <c r="PW197" s="82"/>
      <c r="PX197" s="82"/>
      <c r="PY197" s="82"/>
      <c r="PZ197" s="82"/>
      <c r="QA197" s="82"/>
      <c r="QB197" s="82"/>
      <c r="QC197" s="82"/>
      <c r="QD197" s="82"/>
      <c r="QE197" s="82"/>
      <c r="QF197" s="82"/>
      <c r="QG197" s="82"/>
      <c r="QH197" s="82"/>
      <c r="QI197" s="82"/>
      <c r="QJ197" s="82"/>
      <c r="QK197" s="82"/>
      <c r="QL197" s="82"/>
      <c r="QM197" s="82"/>
      <c r="QN197" s="82"/>
      <c r="QO197" s="82"/>
      <c r="QP197" s="82"/>
      <c r="QQ197" s="82"/>
      <c r="QR197" s="82"/>
      <c r="QS197" s="82"/>
      <c r="QT197" s="82"/>
      <c r="QU197" s="82"/>
      <c r="QV197" s="82"/>
      <c r="QW197" s="82"/>
      <c r="QX197" s="82"/>
      <c r="QY197" s="82"/>
      <c r="QZ197" s="82"/>
      <c r="RA197" s="82"/>
      <c r="RB197" s="82"/>
      <c r="RC197" s="82"/>
      <c r="RD197" s="82"/>
      <c r="RE197" s="82"/>
      <c r="RF197" s="82"/>
      <c r="RG197" s="82"/>
      <c r="RH197" s="82"/>
      <c r="RI197" s="82"/>
      <c r="RJ197" s="82"/>
      <c r="RK197" s="82"/>
      <c r="RL197" s="82"/>
      <c r="RM197" s="82"/>
      <c r="RN197" s="82"/>
      <c r="RO197" s="82"/>
      <c r="RP197" s="82"/>
      <c r="RQ197" s="82"/>
      <c r="RR197" s="82"/>
      <c r="RS197" s="82"/>
      <c r="RT197" s="82"/>
      <c r="RU197" s="82"/>
      <c r="RV197" s="82"/>
      <c r="RW197" s="82"/>
      <c r="RX197" s="82"/>
      <c r="RY197" s="82"/>
      <c r="RZ197" s="82"/>
      <c r="SA197" s="82"/>
      <c r="SB197" s="82"/>
      <c r="SC197" s="82"/>
      <c r="SD197" s="82"/>
      <c r="SE197" s="82"/>
      <c r="SF197" s="82"/>
      <c r="SG197" s="82"/>
      <c r="SH197" s="82"/>
      <c r="SI197" s="82"/>
    </row>
    <row r="198" spans="1:503" ht="15.6" customHeight="1">
      <c r="A198" s="82"/>
      <c r="B198" s="873"/>
      <c r="C198" s="89"/>
      <c r="D198" s="89"/>
      <c r="E198" s="89"/>
      <c r="F198" s="89"/>
      <c r="H198" s="881"/>
      <c r="I198" s="89"/>
      <c r="J198" s="89"/>
      <c r="K198" s="89"/>
      <c r="L198" s="89"/>
      <c r="M198" s="89"/>
      <c r="N198" s="89"/>
      <c r="O198" s="89"/>
      <c r="P198" s="89"/>
      <c r="Q198" s="89"/>
      <c r="R198" s="8"/>
      <c r="JW198" s="443"/>
      <c r="KB198" s="443"/>
      <c r="KC198" s="443"/>
      <c r="KD198" s="443"/>
      <c r="KE198" s="443"/>
      <c r="KF198" s="443"/>
      <c r="KG198" s="443"/>
      <c r="KH198" s="443"/>
      <c r="KI198" s="443"/>
      <c r="KJ198" s="443"/>
      <c r="KK198" s="443"/>
      <c r="KL198" s="443"/>
      <c r="KM198" s="443"/>
      <c r="KN198" s="443"/>
      <c r="KO198" s="443"/>
      <c r="KP198" s="443"/>
      <c r="KQ198" s="443"/>
      <c r="KR198" s="443"/>
      <c r="KS198" s="443"/>
      <c r="KT198" s="443"/>
      <c r="KU198" s="443"/>
      <c r="KV198" s="443"/>
      <c r="KW198" s="443"/>
      <c r="KX198" s="443"/>
      <c r="KY198" s="443"/>
      <c r="KZ198" s="443"/>
      <c r="LA198" s="443"/>
      <c r="LB198" s="443"/>
      <c r="LC198" s="443"/>
      <c r="LD198" s="443"/>
      <c r="LE198" s="443"/>
      <c r="LF198" s="443"/>
      <c r="LG198" s="443"/>
      <c r="LH198" s="443"/>
      <c r="LI198" s="443"/>
      <c r="LJ198" s="443"/>
      <c r="LK198" s="443"/>
      <c r="LL198" s="443"/>
      <c r="LM198" s="443"/>
      <c r="LN198" s="443"/>
      <c r="LO198" s="443"/>
      <c r="LP198" s="443"/>
      <c r="LQ198" s="443"/>
      <c r="LX198" s="443"/>
      <c r="MN198" s="443"/>
      <c r="MO198" s="443"/>
      <c r="NE198" s="82"/>
      <c r="NF198" s="82"/>
      <c r="NG198" s="82"/>
      <c r="NH198" s="82"/>
      <c r="NI198" s="82"/>
      <c r="NJ198" s="82"/>
      <c r="NK198" s="82"/>
      <c r="NL198" s="82"/>
      <c r="NM198" s="82"/>
      <c r="NN198" s="82"/>
      <c r="NO198" s="82"/>
      <c r="NP198" s="82"/>
      <c r="NQ198" s="82"/>
      <c r="NR198" s="82"/>
      <c r="NS198" s="82"/>
      <c r="NT198" s="82"/>
      <c r="NU198" s="82"/>
      <c r="NV198" s="82"/>
      <c r="NW198" s="82"/>
      <c r="NX198" s="82"/>
      <c r="NY198" s="82"/>
      <c r="NZ198" s="82"/>
      <c r="OA198" s="82"/>
      <c r="OB198" s="82"/>
      <c r="OC198" s="82"/>
      <c r="OD198" s="82"/>
      <c r="OE198" s="82"/>
      <c r="OF198" s="82"/>
      <c r="OG198" s="82"/>
      <c r="OH198" s="82"/>
      <c r="OI198" s="82"/>
      <c r="OJ198" s="82"/>
      <c r="OK198" s="82"/>
      <c r="OL198" s="82"/>
      <c r="OM198" s="82"/>
      <c r="ON198" s="82"/>
      <c r="OO198" s="82"/>
      <c r="OP198" s="82"/>
      <c r="OQ198" s="82"/>
      <c r="OR198" s="82"/>
      <c r="OS198" s="82"/>
      <c r="OT198" s="82"/>
      <c r="OU198" s="82"/>
      <c r="OV198" s="82"/>
      <c r="OW198" s="82"/>
      <c r="OX198" s="82"/>
      <c r="OY198" s="82"/>
      <c r="OZ198" s="82"/>
      <c r="PA198" s="82"/>
      <c r="PB198" s="82"/>
      <c r="PC198" s="82"/>
      <c r="PD198" s="82"/>
      <c r="PE198" s="82"/>
      <c r="PF198" s="82"/>
      <c r="PG198" s="82"/>
      <c r="PH198" s="82"/>
      <c r="PI198" s="82"/>
      <c r="PJ198" s="82"/>
      <c r="PK198" s="82"/>
      <c r="PL198" s="82"/>
      <c r="PM198" s="82"/>
      <c r="PN198" s="82"/>
      <c r="PO198" s="82"/>
      <c r="PP198" s="82"/>
      <c r="PQ198" s="82"/>
      <c r="PR198" s="82"/>
      <c r="PS198" s="82"/>
      <c r="PT198" s="82"/>
      <c r="PU198" s="82"/>
      <c r="PV198" s="82"/>
      <c r="PW198" s="82"/>
      <c r="PX198" s="82"/>
      <c r="PY198" s="82"/>
      <c r="PZ198" s="82"/>
      <c r="QA198" s="82"/>
      <c r="QB198" s="82"/>
      <c r="QC198" s="82"/>
      <c r="QD198" s="82"/>
      <c r="QE198" s="82"/>
      <c r="QF198" s="82"/>
      <c r="QG198" s="82"/>
      <c r="QH198" s="82"/>
      <c r="QI198" s="82"/>
      <c r="QJ198" s="82"/>
      <c r="QK198" s="82"/>
      <c r="QL198" s="82"/>
      <c r="QM198" s="82"/>
      <c r="QN198" s="82"/>
      <c r="QO198" s="82"/>
      <c r="QP198" s="82"/>
      <c r="QQ198" s="82"/>
      <c r="QR198" s="82"/>
      <c r="QS198" s="82"/>
      <c r="QT198" s="82"/>
      <c r="QU198" s="82"/>
      <c r="QV198" s="82"/>
      <c r="QW198" s="82"/>
      <c r="QX198" s="82"/>
      <c r="QY198" s="82"/>
      <c r="QZ198" s="82"/>
      <c r="RA198" s="82"/>
      <c r="RB198" s="82"/>
      <c r="RC198" s="82"/>
      <c r="RD198" s="82"/>
      <c r="RE198" s="82"/>
      <c r="RF198" s="82"/>
      <c r="RG198" s="82"/>
      <c r="RH198" s="82"/>
      <c r="RI198" s="82"/>
      <c r="RJ198" s="82"/>
      <c r="RK198" s="82"/>
      <c r="RL198" s="82"/>
      <c r="RM198" s="82"/>
      <c r="RN198" s="82"/>
      <c r="RO198" s="82"/>
      <c r="RP198" s="82"/>
      <c r="RQ198" s="82"/>
      <c r="RR198" s="82"/>
      <c r="RS198" s="82"/>
      <c r="RT198" s="82"/>
      <c r="RU198" s="82"/>
      <c r="RV198" s="82"/>
      <c r="RW198" s="82"/>
      <c r="RX198" s="82"/>
      <c r="RY198" s="82"/>
      <c r="RZ198" s="82"/>
      <c r="SA198" s="82"/>
      <c r="SB198" s="82"/>
      <c r="SC198" s="82"/>
      <c r="SD198" s="82"/>
      <c r="SE198" s="82"/>
      <c r="SF198" s="82"/>
      <c r="SG198" s="82"/>
      <c r="SH198" s="82"/>
      <c r="SI198" s="82"/>
    </row>
    <row r="199" spans="1:503" ht="15.6" customHeight="1">
      <c r="A199" s="82"/>
      <c r="B199" s="876" t="s">
        <v>2228</v>
      </c>
      <c r="C199" s="89"/>
      <c r="D199" s="89"/>
      <c r="E199" s="89"/>
      <c r="F199" s="89"/>
      <c r="H199" s="877">
        <v>21</v>
      </c>
      <c r="I199" s="877">
        <v>22</v>
      </c>
      <c r="J199" s="877">
        <v>23</v>
      </c>
      <c r="K199" s="877">
        <v>24</v>
      </c>
      <c r="L199" s="877">
        <v>25</v>
      </c>
      <c r="M199" s="877">
        <v>26</v>
      </c>
      <c r="N199" s="877">
        <v>27</v>
      </c>
      <c r="O199" s="877">
        <v>28</v>
      </c>
      <c r="P199" s="877">
        <v>29</v>
      </c>
      <c r="Q199" s="877">
        <v>30</v>
      </c>
      <c r="R199" s="595"/>
      <c r="S199" s="138" t="s">
        <v>2555</v>
      </c>
      <c r="T199" s="94" t="str">
        <f>B199</f>
        <v>Included in Mgt Fee:</v>
      </c>
      <c r="JW199" s="443"/>
      <c r="KB199" s="443"/>
      <c r="KC199" s="443"/>
      <c r="KD199" s="443"/>
      <c r="KE199" s="443"/>
      <c r="KF199" s="443"/>
      <c r="KG199" s="443"/>
      <c r="KH199" s="443"/>
      <c r="KI199" s="443"/>
      <c r="KJ199" s="443"/>
      <c r="KK199" s="443"/>
      <c r="KL199" s="443"/>
      <c r="KM199" s="443"/>
      <c r="KN199" s="443"/>
      <c r="KO199" s="443"/>
      <c r="KP199" s="443"/>
      <c r="KQ199" s="443"/>
      <c r="KR199" s="443"/>
      <c r="KS199" s="443"/>
      <c r="KT199" s="443"/>
      <c r="KU199" s="443"/>
      <c r="KV199" s="443"/>
      <c r="KW199" s="443"/>
      <c r="KX199" s="443"/>
      <c r="KY199" s="443"/>
      <c r="KZ199" s="443"/>
      <c r="LA199" s="443"/>
      <c r="LB199" s="443"/>
      <c r="LC199" s="443"/>
      <c r="LD199" s="443"/>
      <c r="LE199" s="443"/>
      <c r="LF199" s="443"/>
      <c r="LG199" s="443"/>
      <c r="LH199" s="443"/>
      <c r="LI199" s="443"/>
      <c r="LJ199" s="443"/>
      <c r="LK199" s="443"/>
      <c r="LL199" s="443"/>
      <c r="LM199" s="443"/>
      <c r="LN199" s="443"/>
      <c r="LO199" s="443"/>
      <c r="LP199" s="443"/>
      <c r="LQ199" s="443"/>
      <c r="LX199" s="443"/>
      <c r="MN199" s="443"/>
      <c r="MO199" s="443"/>
      <c r="NE199" s="82"/>
      <c r="NF199" s="82"/>
      <c r="NG199" s="82"/>
      <c r="NH199" s="82"/>
      <c r="NI199" s="82"/>
      <c r="NJ199" s="82"/>
      <c r="NK199" s="82"/>
      <c r="NL199" s="82"/>
      <c r="NM199" s="82"/>
      <c r="NN199" s="82"/>
      <c r="NO199" s="82"/>
      <c r="NP199" s="82"/>
      <c r="NQ199" s="82"/>
      <c r="NR199" s="82"/>
      <c r="NS199" s="82"/>
      <c r="NT199" s="82"/>
      <c r="NU199" s="82"/>
      <c r="NV199" s="82"/>
      <c r="NW199" s="82"/>
      <c r="NX199" s="82"/>
      <c r="NY199" s="82"/>
      <c r="NZ199" s="82"/>
      <c r="OA199" s="82"/>
      <c r="OB199" s="82"/>
      <c r="OC199" s="82"/>
      <c r="OD199" s="82"/>
      <c r="OE199" s="82"/>
      <c r="OF199" s="82"/>
      <c r="OG199" s="82"/>
      <c r="OH199" s="82"/>
      <c r="OI199" s="82"/>
      <c r="OJ199" s="82"/>
      <c r="OK199" s="82"/>
      <c r="OL199" s="82"/>
      <c r="OM199" s="82"/>
      <c r="ON199" s="82"/>
      <c r="OO199" s="82"/>
      <c r="OP199" s="82"/>
      <c r="OQ199" s="82"/>
      <c r="OR199" s="82"/>
      <c r="OS199" s="82"/>
      <c r="OT199" s="82"/>
      <c r="OU199" s="82"/>
      <c r="OV199" s="82"/>
      <c r="OW199" s="82"/>
      <c r="OX199" s="82"/>
      <c r="OY199" s="82"/>
      <c r="OZ199" s="82"/>
      <c r="PA199" s="82"/>
      <c r="PB199" s="82"/>
      <c r="PC199" s="82"/>
      <c r="PD199" s="82"/>
      <c r="PE199" s="82"/>
      <c r="PF199" s="82"/>
      <c r="PG199" s="82"/>
      <c r="PH199" s="82"/>
      <c r="PI199" s="82"/>
      <c r="PJ199" s="82"/>
      <c r="PK199" s="82"/>
      <c r="PL199" s="82"/>
      <c r="PM199" s="82"/>
      <c r="PN199" s="82"/>
      <c r="PO199" s="82"/>
      <c r="PP199" s="82"/>
      <c r="PQ199" s="82"/>
      <c r="PR199" s="82"/>
      <c r="PS199" s="82"/>
      <c r="PT199" s="82"/>
      <c r="PU199" s="82"/>
      <c r="PV199" s="82"/>
      <c r="PW199" s="82"/>
      <c r="PX199" s="82"/>
      <c r="PY199" s="82"/>
      <c r="PZ199" s="82"/>
      <c r="QA199" s="82"/>
      <c r="QB199" s="82"/>
      <c r="QC199" s="82"/>
      <c r="QD199" s="82"/>
      <c r="QE199" s="82"/>
      <c r="QF199" s="82"/>
      <c r="QG199" s="82"/>
      <c r="QH199" s="82"/>
      <c r="QI199" s="82"/>
      <c r="QJ199" s="82"/>
      <c r="QK199" s="82"/>
      <c r="QL199" s="82"/>
      <c r="QM199" s="82"/>
      <c r="QN199" s="82"/>
      <c r="QO199" s="82"/>
      <c r="QP199" s="82"/>
      <c r="QQ199" s="82"/>
      <c r="QR199" s="82"/>
      <c r="QS199" s="82"/>
      <c r="QT199" s="82"/>
      <c r="QU199" s="82"/>
      <c r="QV199" s="82"/>
      <c r="QW199" s="82"/>
      <c r="QX199" s="82"/>
      <c r="QY199" s="82"/>
      <c r="QZ199" s="82"/>
      <c r="RA199" s="82"/>
      <c r="RB199" s="82"/>
      <c r="RC199" s="82"/>
      <c r="RD199" s="82"/>
      <c r="RE199" s="82"/>
      <c r="RF199" s="82"/>
      <c r="RG199" s="82"/>
      <c r="RH199" s="82"/>
      <c r="RI199" s="82"/>
      <c r="RJ199" s="82"/>
      <c r="RK199" s="82"/>
      <c r="RL199" s="82"/>
      <c r="RM199" s="82"/>
      <c r="RN199" s="82"/>
      <c r="RO199" s="82"/>
      <c r="RP199" s="82"/>
      <c r="RQ199" s="82"/>
      <c r="RR199" s="82"/>
      <c r="RS199" s="82"/>
      <c r="RT199" s="82"/>
      <c r="RU199" s="82"/>
      <c r="RV199" s="82"/>
      <c r="RW199" s="82"/>
      <c r="RX199" s="82"/>
      <c r="RY199" s="82"/>
      <c r="RZ199" s="82"/>
      <c r="SA199" s="82"/>
      <c r="SB199" s="82"/>
      <c r="SC199" s="82"/>
      <c r="SD199" s="82"/>
      <c r="SE199" s="82"/>
      <c r="SF199" s="82"/>
      <c r="SG199" s="82"/>
      <c r="SH199" s="82"/>
      <c r="SI199" s="82"/>
    </row>
    <row r="200" spans="1:503" ht="15.6" customHeight="1">
      <c r="A200" s="82"/>
      <c r="B200" s="110" t="s">
        <v>995</v>
      </c>
      <c r="C200" s="110"/>
      <c r="D200" s="110"/>
      <c r="E200" s="110"/>
      <c r="F200" s="110"/>
      <c r="H200" s="4059"/>
      <c r="I200" s="4059"/>
      <c r="J200" s="4059"/>
      <c r="K200" s="4059"/>
      <c r="L200" s="4065"/>
      <c r="M200" s="4059"/>
      <c r="N200" s="4059"/>
      <c r="O200" s="4059"/>
      <c r="P200" s="4059"/>
      <c r="Q200" s="4059"/>
      <c r="R200" s="837"/>
      <c r="S200" s="4034"/>
      <c r="T200" s="4035"/>
      <c r="U200" s="4035"/>
      <c r="V200" s="4035"/>
      <c r="W200" s="4036"/>
      <c r="JW200" s="443"/>
      <c r="KB200" s="443"/>
      <c r="KC200" s="443"/>
      <c r="KD200" s="443"/>
      <c r="KE200" s="443"/>
      <c r="KF200" s="443"/>
      <c r="KG200" s="443"/>
      <c r="KH200" s="443"/>
      <c r="KI200" s="443"/>
      <c r="KJ200" s="443"/>
      <c r="KK200" s="443"/>
      <c r="KL200" s="443"/>
      <c r="KM200" s="443"/>
      <c r="KN200" s="443"/>
      <c r="KO200" s="443"/>
      <c r="KP200" s="443"/>
      <c r="KQ200" s="443"/>
      <c r="KR200" s="443"/>
      <c r="KS200" s="443"/>
      <c r="KT200" s="443"/>
      <c r="KU200" s="443"/>
      <c r="KV200" s="443"/>
      <c r="KW200" s="443"/>
      <c r="KX200" s="443"/>
      <c r="KY200" s="443"/>
      <c r="KZ200" s="443"/>
      <c r="LA200" s="443"/>
      <c r="LB200" s="443"/>
      <c r="LC200" s="443"/>
      <c r="LD200" s="443"/>
      <c r="LE200" s="443"/>
      <c r="LF200" s="443"/>
      <c r="LG200" s="443"/>
      <c r="LH200" s="443"/>
      <c r="LI200" s="443"/>
      <c r="LJ200" s="443"/>
      <c r="LK200" s="443"/>
      <c r="LL200" s="443"/>
      <c r="LM200" s="443"/>
      <c r="LN200" s="443"/>
      <c r="LO200" s="443"/>
      <c r="LP200" s="443"/>
      <c r="LQ200" s="443"/>
      <c r="LX200" s="443"/>
      <c r="MN200" s="443"/>
      <c r="MO200" s="443"/>
      <c r="NE200" s="82"/>
      <c r="NF200" s="82"/>
      <c r="NG200" s="82"/>
      <c r="NH200" s="82"/>
      <c r="NI200" s="82"/>
      <c r="NJ200" s="82"/>
      <c r="NK200" s="82"/>
      <c r="NL200" s="82"/>
      <c r="NM200" s="82"/>
      <c r="NN200" s="82"/>
      <c r="NO200" s="82"/>
      <c r="NP200" s="82"/>
      <c r="NQ200" s="82"/>
      <c r="NR200" s="82"/>
      <c r="NS200" s="82"/>
      <c r="NT200" s="82"/>
      <c r="NU200" s="82"/>
      <c r="NV200" s="82"/>
      <c r="NW200" s="82"/>
      <c r="NX200" s="82"/>
      <c r="NY200" s="82"/>
      <c r="NZ200" s="82"/>
      <c r="OA200" s="82"/>
      <c r="OB200" s="82"/>
      <c r="OC200" s="82"/>
      <c r="OD200" s="82"/>
      <c r="OE200" s="82"/>
      <c r="OF200" s="82"/>
      <c r="OG200" s="82"/>
      <c r="OH200" s="82"/>
      <c r="OI200" s="82"/>
      <c r="OJ200" s="82"/>
      <c r="OK200" s="82"/>
      <c r="OL200" s="82"/>
      <c r="OM200" s="82"/>
      <c r="ON200" s="82"/>
      <c r="OO200" s="82"/>
      <c r="OP200" s="82"/>
      <c r="OQ200" s="82"/>
      <c r="OR200" s="82"/>
      <c r="OS200" s="82"/>
      <c r="OT200" s="82"/>
      <c r="OU200" s="82"/>
      <c r="OV200" s="82"/>
      <c r="OW200" s="82"/>
      <c r="OX200" s="82"/>
      <c r="OY200" s="82"/>
      <c r="OZ200" s="82"/>
      <c r="PA200" s="82"/>
      <c r="PB200" s="82"/>
      <c r="PC200" s="82"/>
      <c r="PD200" s="82"/>
      <c r="PE200" s="82"/>
      <c r="PF200" s="82"/>
      <c r="PG200" s="82"/>
      <c r="PH200" s="82"/>
      <c r="PI200" s="82"/>
      <c r="PJ200" s="82"/>
      <c r="PK200" s="82"/>
      <c r="PL200" s="82"/>
      <c r="PM200" s="82"/>
      <c r="PN200" s="82"/>
      <c r="PO200" s="82"/>
      <c r="PP200" s="82"/>
      <c r="PQ200" s="82"/>
      <c r="PR200" s="82"/>
      <c r="PS200" s="82"/>
      <c r="PT200" s="82"/>
      <c r="PU200" s="82"/>
      <c r="PV200" s="82"/>
      <c r="PW200" s="82"/>
      <c r="PX200" s="82"/>
      <c r="PY200" s="82"/>
      <c r="PZ200" s="82"/>
      <c r="QA200" s="82"/>
      <c r="QB200" s="82"/>
      <c r="QC200" s="82"/>
      <c r="QD200" s="82"/>
      <c r="QE200" s="82"/>
      <c r="QF200" s="82"/>
      <c r="QG200" s="82"/>
      <c r="QH200" s="82"/>
      <c r="QI200" s="82"/>
      <c r="QJ200" s="82"/>
      <c r="QK200" s="82"/>
      <c r="QL200" s="82"/>
      <c r="QM200" s="82"/>
      <c r="QN200" s="82"/>
      <c r="QO200" s="82"/>
      <c r="QP200" s="82"/>
      <c r="QQ200" s="82"/>
      <c r="QR200" s="82"/>
      <c r="QS200" s="82"/>
      <c r="QT200" s="82"/>
      <c r="QU200" s="82"/>
      <c r="QV200" s="82"/>
      <c r="QW200" s="82"/>
      <c r="QX200" s="82"/>
      <c r="QY200" s="82"/>
      <c r="QZ200" s="82"/>
      <c r="RA200" s="82"/>
      <c r="RB200" s="82"/>
      <c r="RC200" s="82"/>
      <c r="RD200" s="82"/>
      <c r="RE200" s="82"/>
      <c r="RF200" s="82"/>
      <c r="RG200" s="82"/>
      <c r="RH200" s="82"/>
      <c r="RI200" s="82"/>
      <c r="RJ200" s="82"/>
      <c r="RK200" s="82"/>
      <c r="RL200" s="82"/>
      <c r="RM200" s="82"/>
      <c r="RN200" s="82"/>
      <c r="RO200" s="82"/>
      <c r="RP200" s="82"/>
      <c r="RQ200" s="82"/>
      <c r="RR200" s="82"/>
      <c r="RS200" s="82"/>
      <c r="RT200" s="82"/>
      <c r="RU200" s="82"/>
      <c r="RV200" s="82"/>
      <c r="RW200" s="82"/>
      <c r="RX200" s="82"/>
      <c r="RY200" s="82"/>
      <c r="RZ200" s="82"/>
      <c r="SA200" s="82"/>
      <c r="SB200" s="82"/>
      <c r="SC200" s="82"/>
      <c r="SD200" s="82"/>
      <c r="SE200" s="82"/>
      <c r="SF200" s="82"/>
      <c r="SG200" s="82"/>
      <c r="SH200" s="82"/>
      <c r="SI200" s="82"/>
    </row>
    <row r="201" spans="1:503" ht="15.6" customHeight="1">
      <c r="A201" s="82"/>
      <c r="B201" s="110" t="s">
        <v>723</v>
      </c>
      <c r="C201" s="4060"/>
      <c r="D201" s="4061"/>
      <c r="E201" s="4061"/>
      <c r="F201" s="4062"/>
      <c r="H201" s="4063"/>
      <c r="I201" s="4063"/>
      <c r="J201" s="4063"/>
      <c r="K201" s="4063"/>
      <c r="L201" s="4064"/>
      <c r="M201" s="4063"/>
      <c r="N201" s="4063"/>
      <c r="O201" s="4063"/>
      <c r="P201" s="4063"/>
      <c r="Q201" s="4063"/>
      <c r="R201" s="837"/>
      <c r="S201" s="3996"/>
      <c r="T201" s="3997"/>
      <c r="U201" s="3997"/>
      <c r="V201" s="3997"/>
      <c r="W201" s="3998"/>
      <c r="JW201" s="443"/>
      <c r="KB201" s="443"/>
      <c r="KC201" s="443"/>
      <c r="KD201" s="443"/>
      <c r="KE201" s="443"/>
      <c r="KF201" s="443"/>
      <c r="KG201" s="443"/>
      <c r="KH201" s="443"/>
      <c r="KI201" s="443"/>
      <c r="KJ201" s="443"/>
      <c r="KK201" s="443"/>
      <c r="KL201" s="443"/>
      <c r="KM201" s="443"/>
      <c r="KN201" s="443"/>
      <c r="KO201" s="443"/>
      <c r="KP201" s="443"/>
      <c r="KQ201" s="443"/>
      <c r="KR201" s="443"/>
      <c r="KS201" s="443"/>
      <c r="KT201" s="443"/>
      <c r="KU201" s="443"/>
      <c r="KV201" s="443"/>
      <c r="KW201" s="443"/>
      <c r="KX201" s="443"/>
      <c r="KY201" s="443"/>
      <c r="KZ201" s="443"/>
      <c r="LA201" s="443"/>
      <c r="LB201" s="443"/>
      <c r="LC201" s="443"/>
      <c r="LD201" s="443"/>
      <c r="LE201" s="443"/>
      <c r="LF201" s="443"/>
      <c r="LG201" s="443"/>
      <c r="LH201" s="443"/>
      <c r="LI201" s="443"/>
      <c r="LJ201" s="443"/>
      <c r="LK201" s="443"/>
      <c r="LL201" s="443"/>
      <c r="LM201" s="443"/>
      <c r="LN201" s="443"/>
      <c r="LO201" s="443"/>
      <c r="LP201" s="443"/>
      <c r="LQ201" s="443"/>
      <c r="LX201" s="443"/>
      <c r="MN201" s="443"/>
      <c r="MO201" s="443"/>
      <c r="NE201" s="82"/>
      <c r="NF201" s="82"/>
      <c r="NG201" s="82"/>
      <c r="NH201" s="82"/>
      <c r="NI201" s="82"/>
      <c r="NJ201" s="82"/>
      <c r="NK201" s="82"/>
      <c r="NL201" s="82"/>
      <c r="NM201" s="82"/>
      <c r="NN201" s="82"/>
      <c r="NO201" s="82"/>
      <c r="NP201" s="82"/>
      <c r="NQ201" s="82"/>
      <c r="NR201" s="82"/>
      <c r="NS201" s="82"/>
      <c r="NT201" s="82"/>
      <c r="NU201" s="82"/>
      <c r="NV201" s="82"/>
      <c r="NW201" s="82"/>
      <c r="NX201" s="82"/>
      <c r="NY201" s="82"/>
      <c r="NZ201" s="82"/>
      <c r="OA201" s="82"/>
      <c r="OB201" s="82"/>
      <c r="OC201" s="82"/>
      <c r="OD201" s="82"/>
      <c r="OE201" s="82"/>
      <c r="OF201" s="82"/>
      <c r="OG201" s="82"/>
      <c r="OH201" s="82"/>
      <c r="OI201" s="82"/>
      <c r="OJ201" s="82"/>
      <c r="OK201" s="82"/>
      <c r="OL201" s="82"/>
      <c r="OM201" s="82"/>
      <c r="ON201" s="82"/>
      <c r="OO201" s="82"/>
      <c r="OP201" s="82"/>
      <c r="OQ201" s="82"/>
      <c r="OR201" s="82"/>
      <c r="OS201" s="82"/>
      <c r="OT201" s="82"/>
      <c r="OU201" s="82"/>
      <c r="OV201" s="82"/>
      <c r="OW201" s="82"/>
      <c r="OX201" s="82"/>
      <c r="OY201" s="82"/>
      <c r="OZ201" s="82"/>
      <c r="PA201" s="82"/>
      <c r="PB201" s="82"/>
      <c r="PC201" s="82"/>
      <c r="PD201" s="82"/>
      <c r="PE201" s="82"/>
      <c r="PF201" s="82"/>
      <c r="PG201" s="82"/>
      <c r="PH201" s="82"/>
      <c r="PI201" s="82"/>
      <c r="PJ201" s="82"/>
      <c r="PK201" s="82"/>
      <c r="PL201" s="82"/>
      <c r="PM201" s="82"/>
      <c r="PN201" s="82"/>
      <c r="PO201" s="82"/>
      <c r="PP201" s="82"/>
      <c r="PQ201" s="82"/>
      <c r="PR201" s="82"/>
      <c r="PS201" s="82"/>
      <c r="PT201" s="82"/>
      <c r="PU201" s="82"/>
      <c r="PV201" s="82"/>
      <c r="PW201" s="82"/>
      <c r="PX201" s="82"/>
      <c r="PY201" s="82"/>
      <c r="PZ201" s="82"/>
      <c r="QA201" s="82"/>
      <c r="QB201" s="82"/>
      <c r="QC201" s="82"/>
      <c r="QD201" s="82"/>
      <c r="QE201" s="82"/>
      <c r="QF201" s="82"/>
      <c r="QG201" s="82"/>
      <c r="QH201" s="82"/>
      <c r="QI201" s="82"/>
      <c r="QJ201" s="82"/>
      <c r="QK201" s="82"/>
      <c r="QL201" s="82"/>
      <c r="QM201" s="82"/>
      <c r="QN201" s="82"/>
      <c r="QO201" s="82"/>
      <c r="QP201" s="82"/>
      <c r="QQ201" s="82"/>
      <c r="QR201" s="82"/>
      <c r="QS201" s="82"/>
      <c r="QT201" s="82"/>
      <c r="QU201" s="82"/>
      <c r="QV201" s="82"/>
      <c r="QW201" s="82"/>
      <c r="QX201" s="82"/>
      <c r="QY201" s="82"/>
      <c r="QZ201" s="82"/>
      <c r="RA201" s="82"/>
      <c r="RB201" s="82"/>
      <c r="RC201" s="82"/>
      <c r="RD201" s="82"/>
      <c r="RE201" s="82"/>
      <c r="RF201" s="82"/>
      <c r="RG201" s="82"/>
      <c r="RH201" s="82"/>
      <c r="RI201" s="82"/>
      <c r="RJ201" s="82"/>
      <c r="RK201" s="82"/>
      <c r="RL201" s="82"/>
      <c r="RM201" s="82"/>
      <c r="RN201" s="82"/>
      <c r="RO201" s="82"/>
      <c r="RP201" s="82"/>
      <c r="RQ201" s="82"/>
      <c r="RR201" s="82"/>
      <c r="RS201" s="82"/>
      <c r="RT201" s="82"/>
      <c r="RU201" s="82"/>
      <c r="RV201" s="82"/>
      <c r="RW201" s="82"/>
      <c r="RX201" s="82"/>
      <c r="RY201" s="82"/>
      <c r="RZ201" s="82"/>
      <c r="SA201" s="82"/>
      <c r="SB201" s="82"/>
      <c r="SC201" s="82"/>
      <c r="SD201" s="82"/>
      <c r="SE201" s="82"/>
      <c r="SF201" s="82"/>
      <c r="SG201" s="82"/>
      <c r="SH201" s="82"/>
      <c r="SI201" s="82"/>
    </row>
    <row r="202" spans="1:503" ht="15.6" customHeight="1">
      <c r="A202" s="82"/>
      <c r="B202" s="110"/>
      <c r="C202" s="110" t="s">
        <v>907</v>
      </c>
      <c r="D202" s="110"/>
      <c r="E202" s="110"/>
      <c r="F202" s="110"/>
      <c r="H202" s="879">
        <f>SUM(H200:H201)</f>
        <v>0</v>
      </c>
      <c r="I202" s="879">
        <f>SUM(I200:I201)</f>
        <v>0</v>
      </c>
      <c r="J202" s="879">
        <f t="shared" ref="J202:Q202" si="396">SUM(J200:J201)</f>
        <v>0</v>
      </c>
      <c r="K202" s="879">
        <f t="shared" si="396"/>
        <v>0</v>
      </c>
      <c r="L202" s="879">
        <f t="shared" si="396"/>
        <v>0</v>
      </c>
      <c r="M202" s="879">
        <f t="shared" si="396"/>
        <v>0</v>
      </c>
      <c r="N202" s="879">
        <f t="shared" si="396"/>
        <v>0</v>
      </c>
      <c r="O202" s="879">
        <f t="shared" si="396"/>
        <v>0</v>
      </c>
      <c r="P202" s="879">
        <f t="shared" si="396"/>
        <v>0</v>
      </c>
      <c r="Q202" s="879">
        <f t="shared" si="396"/>
        <v>0</v>
      </c>
      <c r="R202" s="118"/>
      <c r="S202" s="4027"/>
      <c r="T202" s="4028"/>
      <c r="U202" s="4028"/>
      <c r="V202" s="4028"/>
      <c r="W202" s="4029"/>
      <c r="JW202" s="443"/>
      <c r="KB202" s="443"/>
      <c r="KC202" s="443"/>
      <c r="KD202" s="443"/>
      <c r="KE202" s="443"/>
      <c r="KF202" s="443"/>
      <c r="KG202" s="443"/>
      <c r="KH202" s="443"/>
      <c r="KI202" s="443"/>
      <c r="KJ202" s="443"/>
      <c r="KK202" s="443"/>
      <c r="KL202" s="443"/>
      <c r="KM202" s="443"/>
      <c r="KN202" s="443"/>
      <c r="KO202" s="443"/>
      <c r="KP202" s="443"/>
      <c r="KQ202" s="443"/>
      <c r="KR202" s="443"/>
      <c r="KS202" s="443"/>
      <c r="KT202" s="443"/>
      <c r="KU202" s="443"/>
      <c r="KV202" s="443"/>
      <c r="KW202" s="443"/>
      <c r="KX202" s="443"/>
      <c r="KY202" s="443"/>
      <c r="KZ202" s="443"/>
      <c r="LA202" s="443"/>
      <c r="LB202" s="443"/>
      <c r="LC202" s="443"/>
      <c r="LD202" s="443"/>
      <c r="LE202" s="443"/>
      <c r="LF202" s="443"/>
      <c r="LG202" s="443"/>
      <c r="LH202" s="443"/>
      <c r="LI202" s="443"/>
      <c r="LJ202" s="443"/>
      <c r="LK202" s="443"/>
      <c r="LL202" s="443"/>
      <c r="LM202" s="443"/>
      <c r="LN202" s="443"/>
      <c r="LO202" s="443"/>
      <c r="LP202" s="443"/>
      <c r="LQ202" s="443"/>
      <c r="LX202" s="443"/>
      <c r="MN202" s="443"/>
      <c r="MO202" s="443"/>
      <c r="NE202" s="82"/>
      <c r="NF202" s="82"/>
      <c r="NG202" s="82"/>
      <c r="NH202" s="82"/>
      <c r="NI202" s="82"/>
      <c r="NJ202" s="82"/>
      <c r="NK202" s="82"/>
      <c r="NL202" s="82"/>
      <c r="NM202" s="82"/>
      <c r="NN202" s="82"/>
      <c r="NO202" s="82"/>
      <c r="NP202" s="82"/>
      <c r="NQ202" s="82"/>
      <c r="NR202" s="82"/>
      <c r="NS202" s="82"/>
      <c r="NT202" s="82"/>
      <c r="NU202" s="82"/>
      <c r="NV202" s="82"/>
      <c r="NW202" s="82"/>
      <c r="NX202" s="82"/>
      <c r="NY202" s="82"/>
      <c r="NZ202" s="82"/>
      <c r="OA202" s="82"/>
      <c r="OB202" s="82"/>
      <c r="OC202" s="82"/>
      <c r="OD202" s="82"/>
      <c r="OE202" s="82"/>
      <c r="OF202" s="82"/>
      <c r="OG202" s="82"/>
      <c r="OH202" s="82"/>
      <c r="OI202" s="82"/>
      <c r="OJ202" s="82"/>
      <c r="OK202" s="82"/>
      <c r="OL202" s="82"/>
      <c r="OM202" s="82"/>
      <c r="ON202" s="82"/>
      <c r="OO202" s="82"/>
      <c r="OP202" s="82"/>
      <c r="OQ202" s="82"/>
      <c r="OR202" s="82"/>
      <c r="OS202" s="82"/>
      <c r="OT202" s="82"/>
      <c r="OU202" s="82"/>
      <c r="OV202" s="82"/>
      <c r="OW202" s="82"/>
      <c r="OX202" s="82"/>
      <c r="OY202" s="82"/>
      <c r="OZ202" s="82"/>
      <c r="PA202" s="82"/>
      <c r="PB202" s="82"/>
      <c r="PC202" s="82"/>
      <c r="PD202" s="82"/>
      <c r="PE202" s="82"/>
      <c r="PF202" s="82"/>
      <c r="PG202" s="82"/>
      <c r="PH202" s="82"/>
      <c r="PI202" s="82"/>
      <c r="PJ202" s="82"/>
      <c r="PK202" s="82"/>
      <c r="PL202" s="82"/>
      <c r="PM202" s="82"/>
      <c r="PN202" s="82"/>
      <c r="PO202" s="82"/>
      <c r="PP202" s="82"/>
      <c r="PQ202" s="82"/>
      <c r="PR202" s="82"/>
      <c r="PS202" s="82"/>
      <c r="PT202" s="82"/>
      <c r="PU202" s="82"/>
      <c r="PV202" s="82"/>
      <c r="PW202" s="82"/>
      <c r="PX202" s="82"/>
      <c r="PY202" s="82"/>
      <c r="PZ202" s="82"/>
      <c r="QA202" s="82"/>
      <c r="QB202" s="82"/>
      <c r="QC202" s="82"/>
      <c r="QD202" s="82"/>
      <c r="QE202" s="82"/>
      <c r="QF202" s="82"/>
      <c r="QG202" s="82"/>
      <c r="QH202" s="82"/>
      <c r="QI202" s="82"/>
      <c r="QJ202" s="82"/>
      <c r="QK202" s="82"/>
      <c r="QL202" s="82"/>
      <c r="QM202" s="82"/>
      <c r="QN202" s="82"/>
      <c r="QO202" s="82"/>
      <c r="QP202" s="82"/>
      <c r="QQ202" s="82"/>
      <c r="QR202" s="82"/>
      <c r="QS202" s="82"/>
      <c r="QT202" s="82"/>
      <c r="QU202" s="82"/>
      <c r="QV202" s="82"/>
      <c r="QW202" s="82"/>
      <c r="QX202" s="82"/>
      <c r="QY202" s="82"/>
      <c r="QZ202" s="82"/>
      <c r="RA202" s="82"/>
      <c r="RB202" s="82"/>
      <c r="RC202" s="82"/>
      <c r="RD202" s="82"/>
      <c r="RE202" s="82"/>
      <c r="RF202" s="82"/>
      <c r="RG202" s="82"/>
      <c r="RH202" s="82"/>
      <c r="RI202" s="82"/>
      <c r="RJ202" s="82"/>
      <c r="RK202" s="82"/>
      <c r="RL202" s="82"/>
      <c r="RM202" s="82"/>
      <c r="RN202" s="82"/>
      <c r="RO202" s="82"/>
      <c r="RP202" s="82"/>
      <c r="RQ202" s="82"/>
      <c r="RR202" s="82"/>
      <c r="RS202" s="82"/>
      <c r="RT202" s="82"/>
      <c r="RU202" s="82"/>
      <c r="RV202" s="82"/>
      <c r="RW202" s="82"/>
      <c r="RX202" s="82"/>
      <c r="RY202" s="82"/>
      <c r="RZ202" s="82"/>
      <c r="SA202" s="82"/>
      <c r="SB202" s="82"/>
      <c r="SC202" s="82"/>
      <c r="SD202" s="82"/>
      <c r="SE202" s="82"/>
      <c r="SF202" s="82"/>
      <c r="SG202" s="82"/>
      <c r="SH202" s="82"/>
      <c r="SI202" s="82"/>
    </row>
    <row r="203" spans="1:503" ht="15.6" customHeight="1">
      <c r="A203" s="82"/>
      <c r="B203" s="880" t="s">
        <v>3496</v>
      </c>
      <c r="C203" s="89"/>
      <c r="D203" s="89"/>
      <c r="E203" s="89"/>
      <c r="F203" s="89"/>
      <c r="H203" s="881"/>
      <c r="I203" s="89"/>
      <c r="J203" s="89"/>
      <c r="K203" s="89"/>
      <c r="L203" s="89"/>
      <c r="M203" s="89"/>
      <c r="N203" s="89"/>
      <c r="O203" s="89"/>
      <c r="P203" s="89"/>
      <c r="Q203" s="89"/>
      <c r="R203" s="8"/>
      <c r="S203" s="94" t="str">
        <f>B203</f>
        <v>NOT Included in Mgt Fee:</v>
      </c>
      <c r="JW203" s="443"/>
      <c r="KB203" s="443"/>
      <c r="KC203" s="443"/>
      <c r="KD203" s="443"/>
      <c r="KE203" s="443"/>
      <c r="KF203" s="443"/>
      <c r="KG203" s="443"/>
      <c r="KH203" s="443"/>
      <c r="KI203" s="443"/>
      <c r="KJ203" s="443"/>
      <c r="KK203" s="443"/>
      <c r="KL203" s="443"/>
      <c r="KM203" s="443"/>
      <c r="KN203" s="443"/>
      <c r="KO203" s="443"/>
      <c r="KP203" s="443"/>
      <c r="KQ203" s="443"/>
      <c r="KR203" s="443"/>
      <c r="KS203" s="443"/>
      <c r="KT203" s="443"/>
      <c r="KU203" s="443"/>
      <c r="KV203" s="443"/>
      <c r="KW203" s="443"/>
      <c r="KX203" s="443"/>
      <c r="KY203" s="443"/>
      <c r="KZ203" s="443"/>
      <c r="LA203" s="443"/>
      <c r="LB203" s="443"/>
      <c r="LC203" s="443"/>
      <c r="LD203" s="443"/>
      <c r="LE203" s="443"/>
      <c r="LF203" s="443"/>
      <c r="LG203" s="443"/>
      <c r="LH203" s="443"/>
      <c r="LI203" s="443"/>
      <c r="LJ203" s="443"/>
      <c r="LK203" s="443"/>
      <c r="LL203" s="443"/>
      <c r="LM203" s="443"/>
      <c r="LN203" s="443"/>
      <c r="LO203" s="443"/>
      <c r="LP203" s="443"/>
      <c r="LQ203" s="443"/>
      <c r="LX203" s="443"/>
      <c r="MN203" s="443"/>
      <c r="MO203" s="443"/>
      <c r="NE203" s="82"/>
      <c r="NF203" s="82"/>
      <c r="NG203" s="82"/>
      <c r="NH203" s="82"/>
      <c r="NI203" s="82"/>
      <c r="NJ203" s="82"/>
      <c r="NK203" s="82"/>
      <c r="NL203" s="82"/>
      <c r="NM203" s="82"/>
      <c r="NN203" s="82"/>
      <c r="NO203" s="82"/>
      <c r="NP203" s="82"/>
      <c r="NQ203" s="82"/>
      <c r="NR203" s="82"/>
      <c r="NS203" s="82"/>
      <c r="NT203" s="82"/>
      <c r="NU203" s="82"/>
      <c r="NV203" s="82"/>
      <c r="NW203" s="82"/>
      <c r="NX203" s="82"/>
      <c r="NY203" s="82"/>
      <c r="NZ203" s="82"/>
      <c r="OA203" s="82"/>
      <c r="OB203" s="82"/>
      <c r="OC203" s="82"/>
      <c r="OD203" s="82"/>
      <c r="OE203" s="82"/>
      <c r="OF203" s="82"/>
      <c r="OG203" s="82"/>
      <c r="OH203" s="82"/>
      <c r="OI203" s="82"/>
      <c r="OJ203" s="82"/>
      <c r="OK203" s="82"/>
      <c r="OL203" s="82"/>
      <c r="OM203" s="82"/>
      <c r="ON203" s="82"/>
      <c r="OO203" s="82"/>
      <c r="OP203" s="82"/>
      <c r="OQ203" s="82"/>
      <c r="OR203" s="82"/>
      <c r="OS203" s="82"/>
      <c r="OT203" s="82"/>
      <c r="OU203" s="82"/>
      <c r="OV203" s="82"/>
      <c r="OW203" s="82"/>
      <c r="OX203" s="82"/>
      <c r="OY203" s="82"/>
      <c r="OZ203" s="82"/>
      <c r="PA203" s="82"/>
      <c r="PB203" s="82"/>
      <c r="PC203" s="82"/>
      <c r="PD203" s="82"/>
      <c r="PE203" s="82"/>
      <c r="PF203" s="82"/>
      <c r="PG203" s="82"/>
      <c r="PH203" s="82"/>
      <c r="PI203" s="82"/>
      <c r="PJ203" s="82"/>
      <c r="PK203" s="82"/>
      <c r="PL203" s="82"/>
      <c r="PM203" s="82"/>
      <c r="PN203" s="82"/>
      <c r="PO203" s="82"/>
      <c r="PP203" s="82"/>
      <c r="PQ203" s="82"/>
      <c r="PR203" s="82"/>
      <c r="PS203" s="82"/>
      <c r="PT203" s="82"/>
      <c r="PU203" s="82"/>
      <c r="PV203" s="82"/>
      <c r="PW203" s="82"/>
      <c r="PX203" s="82"/>
      <c r="PY203" s="82"/>
      <c r="PZ203" s="82"/>
      <c r="QA203" s="82"/>
      <c r="QB203" s="82"/>
      <c r="QC203" s="82"/>
      <c r="QD203" s="82"/>
      <c r="QE203" s="82"/>
      <c r="QF203" s="82"/>
      <c r="QG203" s="82"/>
      <c r="QH203" s="82"/>
      <c r="QI203" s="82"/>
      <c r="QJ203" s="82"/>
      <c r="QK203" s="82"/>
      <c r="QL203" s="82"/>
      <c r="QM203" s="82"/>
      <c r="QN203" s="82"/>
      <c r="QO203" s="82"/>
      <c r="QP203" s="82"/>
      <c r="QQ203" s="82"/>
      <c r="QR203" s="82"/>
      <c r="QS203" s="82"/>
      <c r="QT203" s="82"/>
      <c r="QU203" s="82"/>
      <c r="QV203" s="82"/>
      <c r="QW203" s="82"/>
      <c r="QX203" s="82"/>
      <c r="QY203" s="82"/>
      <c r="QZ203" s="82"/>
      <c r="RA203" s="82"/>
      <c r="RB203" s="82"/>
      <c r="RC203" s="82"/>
      <c r="RD203" s="82"/>
      <c r="RE203" s="82"/>
      <c r="RF203" s="82"/>
      <c r="RG203" s="82"/>
      <c r="RH203" s="82"/>
      <c r="RI203" s="82"/>
      <c r="RJ203" s="82"/>
      <c r="RK203" s="82"/>
      <c r="RL203" s="82"/>
      <c r="RM203" s="82"/>
      <c r="RN203" s="82"/>
      <c r="RO203" s="82"/>
      <c r="RP203" s="82"/>
      <c r="RQ203" s="82"/>
      <c r="RR203" s="82"/>
      <c r="RS203" s="82"/>
      <c r="RT203" s="82"/>
      <c r="RU203" s="82"/>
      <c r="RV203" s="82"/>
      <c r="RW203" s="82"/>
      <c r="RX203" s="82"/>
      <c r="RY203" s="82"/>
      <c r="RZ203" s="82"/>
      <c r="SA203" s="82"/>
      <c r="SB203" s="82"/>
      <c r="SC203" s="82"/>
      <c r="SD203" s="82"/>
      <c r="SE203" s="82"/>
      <c r="SF203" s="82"/>
      <c r="SG203" s="82"/>
      <c r="SH203" s="82"/>
      <c r="SI203" s="82"/>
    </row>
    <row r="204" spans="1:503" ht="15.6" customHeight="1">
      <c r="A204" s="82"/>
      <c r="B204" s="110" t="s">
        <v>518</v>
      </c>
      <c r="C204" s="110"/>
      <c r="D204" s="110"/>
      <c r="E204" s="110"/>
      <c r="F204" s="110"/>
      <c r="H204" s="4059"/>
      <c r="I204" s="4059"/>
      <c r="J204" s="4059"/>
      <c r="K204" s="4059"/>
      <c r="L204" s="4065"/>
      <c r="M204" s="4059"/>
      <c r="N204" s="4059"/>
      <c r="O204" s="4059"/>
      <c r="P204" s="4059"/>
      <c r="Q204" s="4059"/>
      <c r="R204" s="837"/>
      <c r="S204" s="4034"/>
      <c r="T204" s="4035"/>
      <c r="U204" s="4035"/>
      <c r="V204" s="4035"/>
      <c r="W204" s="4036"/>
      <c r="JW204" s="443"/>
      <c r="KB204" s="443"/>
      <c r="KC204" s="443"/>
      <c r="KD204" s="443"/>
      <c r="KE204" s="443"/>
      <c r="KF204" s="443"/>
      <c r="KG204" s="443"/>
      <c r="KH204" s="443"/>
      <c r="KI204" s="443"/>
      <c r="KJ204" s="443"/>
      <c r="KK204" s="443"/>
      <c r="KL204" s="443"/>
      <c r="KM204" s="443"/>
      <c r="KN204" s="443"/>
      <c r="KO204" s="443"/>
      <c r="KP204" s="443"/>
      <c r="KQ204" s="443"/>
      <c r="KR204" s="443"/>
      <c r="KS204" s="443"/>
      <c r="KT204" s="443"/>
      <c r="KU204" s="443"/>
      <c r="KV204" s="443"/>
      <c r="KW204" s="443"/>
      <c r="KX204" s="443"/>
      <c r="KY204" s="443"/>
      <c r="KZ204" s="443"/>
      <c r="LA204" s="443"/>
      <c r="LB204" s="443"/>
      <c r="LC204" s="443"/>
      <c r="LD204" s="443"/>
      <c r="LE204" s="443"/>
      <c r="LF204" s="443"/>
      <c r="LG204" s="443"/>
      <c r="LH204" s="443"/>
      <c r="LI204" s="443"/>
      <c r="LJ204" s="443"/>
      <c r="LK204" s="443"/>
      <c r="LL204" s="443"/>
      <c r="LM204" s="443"/>
      <c r="LN204" s="443"/>
      <c r="LO204" s="443"/>
      <c r="LP204" s="443"/>
      <c r="LQ204" s="443"/>
      <c r="LX204" s="443"/>
      <c r="MN204" s="443"/>
      <c r="MO204" s="443"/>
      <c r="NE204" s="82"/>
      <c r="NF204" s="82"/>
      <c r="NG204" s="82"/>
      <c r="NH204" s="82"/>
      <c r="NI204" s="82"/>
      <c r="NJ204" s="82"/>
      <c r="NK204" s="82"/>
      <c r="NL204" s="82"/>
      <c r="NM204" s="82"/>
      <c r="NN204" s="82"/>
      <c r="NO204" s="82"/>
      <c r="NP204" s="82"/>
      <c r="NQ204" s="82"/>
      <c r="NR204" s="82"/>
      <c r="NS204" s="82"/>
      <c r="NT204" s="82"/>
      <c r="NU204" s="82"/>
      <c r="NV204" s="82"/>
      <c r="NW204" s="82"/>
      <c r="NX204" s="82"/>
      <c r="NY204" s="82"/>
      <c r="NZ204" s="82"/>
      <c r="OA204" s="82"/>
      <c r="OB204" s="82"/>
      <c r="OC204" s="82"/>
      <c r="OD204" s="82"/>
      <c r="OE204" s="82"/>
      <c r="OF204" s="82"/>
      <c r="OG204" s="82"/>
      <c r="OH204" s="82"/>
      <c r="OI204" s="82"/>
      <c r="OJ204" s="82"/>
      <c r="OK204" s="82"/>
      <c r="OL204" s="82"/>
      <c r="OM204" s="82"/>
      <c r="ON204" s="82"/>
      <c r="OO204" s="82"/>
      <c r="OP204" s="82"/>
      <c r="OQ204" s="82"/>
      <c r="OR204" s="82"/>
      <c r="OS204" s="82"/>
      <c r="OT204" s="82"/>
      <c r="OU204" s="82"/>
      <c r="OV204" s="82"/>
      <c r="OW204" s="82"/>
      <c r="OX204" s="82"/>
      <c r="OY204" s="82"/>
      <c r="OZ204" s="82"/>
      <c r="PA204" s="82"/>
      <c r="PB204" s="82"/>
      <c r="PC204" s="82"/>
      <c r="PD204" s="82"/>
      <c r="PE204" s="82"/>
      <c r="PF204" s="82"/>
      <c r="PG204" s="82"/>
      <c r="PH204" s="82"/>
      <c r="PI204" s="82"/>
      <c r="PJ204" s="82"/>
      <c r="PK204" s="82"/>
      <c r="PL204" s="82"/>
      <c r="PM204" s="82"/>
      <c r="PN204" s="82"/>
      <c r="PO204" s="82"/>
      <c r="PP204" s="82"/>
      <c r="PQ204" s="82"/>
      <c r="PR204" s="82"/>
      <c r="PS204" s="82"/>
      <c r="PT204" s="82"/>
      <c r="PU204" s="82"/>
      <c r="PV204" s="82"/>
      <c r="PW204" s="82"/>
      <c r="PX204" s="82"/>
      <c r="PY204" s="82"/>
      <c r="PZ204" s="82"/>
      <c r="QA204" s="82"/>
      <c r="QB204" s="82"/>
      <c r="QC204" s="82"/>
      <c r="QD204" s="82"/>
      <c r="QE204" s="82"/>
      <c r="QF204" s="82"/>
      <c r="QG204" s="82"/>
      <c r="QH204" s="82"/>
      <c r="QI204" s="82"/>
      <c r="QJ204" s="82"/>
      <c r="QK204" s="82"/>
      <c r="QL204" s="82"/>
      <c r="QM204" s="82"/>
      <c r="QN204" s="82"/>
      <c r="QO204" s="82"/>
      <c r="QP204" s="82"/>
      <c r="QQ204" s="82"/>
      <c r="QR204" s="82"/>
      <c r="QS204" s="82"/>
      <c r="QT204" s="82"/>
      <c r="QU204" s="82"/>
      <c r="QV204" s="82"/>
      <c r="QW204" s="82"/>
      <c r="QX204" s="82"/>
      <c r="QY204" s="82"/>
      <c r="QZ204" s="82"/>
      <c r="RA204" s="82"/>
      <c r="RB204" s="82"/>
      <c r="RC204" s="82"/>
      <c r="RD204" s="82"/>
      <c r="RE204" s="82"/>
      <c r="RF204" s="82"/>
      <c r="RG204" s="82"/>
      <c r="RH204" s="82"/>
      <c r="RI204" s="82"/>
      <c r="RJ204" s="82"/>
      <c r="RK204" s="82"/>
      <c r="RL204" s="82"/>
      <c r="RM204" s="82"/>
      <c r="RN204" s="82"/>
      <c r="RO204" s="82"/>
      <c r="RP204" s="82"/>
      <c r="RQ204" s="82"/>
      <c r="RR204" s="82"/>
      <c r="RS204" s="82"/>
      <c r="RT204" s="82"/>
      <c r="RU204" s="82"/>
      <c r="RV204" s="82"/>
      <c r="RW204" s="82"/>
      <c r="RX204" s="82"/>
      <c r="RY204" s="82"/>
      <c r="RZ204" s="82"/>
      <c r="SA204" s="82"/>
      <c r="SB204" s="82"/>
      <c r="SC204" s="82"/>
      <c r="SD204" s="82"/>
      <c r="SE204" s="82"/>
      <c r="SF204" s="82"/>
      <c r="SG204" s="82"/>
      <c r="SH204" s="82"/>
      <c r="SI204" s="82"/>
    </row>
    <row r="205" spans="1:503" ht="15.6" customHeight="1">
      <c r="A205" s="82"/>
      <c r="B205" s="110" t="s">
        <v>723</v>
      </c>
      <c r="C205" s="4060"/>
      <c r="D205" s="4061"/>
      <c r="E205" s="4061"/>
      <c r="F205" s="4062"/>
      <c r="H205" s="4063"/>
      <c r="I205" s="4063"/>
      <c r="J205" s="4063"/>
      <c r="K205" s="4063"/>
      <c r="L205" s="4064"/>
      <c r="M205" s="4063"/>
      <c r="N205" s="4063"/>
      <c r="O205" s="4063"/>
      <c r="P205" s="4063"/>
      <c r="Q205" s="4063"/>
      <c r="R205" s="837"/>
      <c r="S205" s="3996"/>
      <c r="T205" s="3997"/>
      <c r="U205" s="3997"/>
      <c r="V205" s="3997"/>
      <c r="W205" s="3998"/>
      <c r="JW205" s="443"/>
      <c r="KB205" s="443"/>
      <c r="KC205" s="443"/>
      <c r="KD205" s="443"/>
      <c r="KE205" s="443"/>
      <c r="KF205" s="443"/>
      <c r="KG205" s="443"/>
      <c r="KH205" s="443"/>
      <c r="KI205" s="443"/>
      <c r="KJ205" s="443"/>
      <c r="KK205" s="443"/>
      <c r="KL205" s="443"/>
      <c r="KM205" s="443"/>
      <c r="KN205" s="443"/>
      <c r="KO205" s="443"/>
      <c r="KP205" s="443"/>
      <c r="KQ205" s="443"/>
      <c r="KR205" s="443"/>
      <c r="KS205" s="443"/>
      <c r="KT205" s="443"/>
      <c r="KU205" s="443"/>
      <c r="KV205" s="443"/>
      <c r="KW205" s="443"/>
      <c r="KX205" s="443"/>
      <c r="KY205" s="443"/>
      <c r="KZ205" s="443"/>
      <c r="LA205" s="443"/>
      <c r="LB205" s="443"/>
      <c r="LC205" s="443"/>
      <c r="LD205" s="443"/>
      <c r="LE205" s="443"/>
      <c r="LF205" s="443"/>
      <c r="LG205" s="443"/>
      <c r="LH205" s="443"/>
      <c r="LI205" s="443"/>
      <c r="LJ205" s="443"/>
      <c r="LK205" s="443"/>
      <c r="LL205" s="443"/>
      <c r="LM205" s="443"/>
      <c r="LN205" s="443"/>
      <c r="LO205" s="443"/>
      <c r="LP205" s="443"/>
      <c r="LQ205" s="443"/>
      <c r="LX205" s="443"/>
      <c r="MN205" s="443"/>
      <c r="MO205" s="443"/>
      <c r="NE205" s="82"/>
      <c r="NF205" s="82"/>
      <c r="NG205" s="82"/>
      <c r="NH205" s="82"/>
      <c r="NI205" s="82"/>
      <c r="NJ205" s="82"/>
      <c r="NK205" s="82"/>
      <c r="NL205" s="82"/>
      <c r="NM205" s="82"/>
      <c r="NN205" s="82"/>
      <c r="NO205" s="82"/>
      <c r="NP205" s="82"/>
      <c r="NQ205" s="82"/>
      <c r="NR205" s="82"/>
      <c r="NS205" s="82"/>
      <c r="NT205" s="82"/>
      <c r="NU205" s="82"/>
      <c r="NV205" s="82"/>
      <c r="NW205" s="82"/>
      <c r="NX205" s="82"/>
      <c r="NY205" s="82"/>
      <c r="NZ205" s="82"/>
      <c r="OA205" s="82"/>
      <c r="OB205" s="82"/>
      <c r="OC205" s="82"/>
      <c r="OD205" s="82"/>
      <c r="OE205" s="82"/>
      <c r="OF205" s="82"/>
      <c r="OG205" s="82"/>
      <c r="OH205" s="82"/>
      <c r="OI205" s="82"/>
      <c r="OJ205" s="82"/>
      <c r="OK205" s="82"/>
      <c r="OL205" s="82"/>
      <c r="OM205" s="82"/>
      <c r="ON205" s="82"/>
      <c r="OO205" s="82"/>
      <c r="OP205" s="82"/>
      <c r="OQ205" s="82"/>
      <c r="OR205" s="82"/>
      <c r="OS205" s="82"/>
      <c r="OT205" s="82"/>
      <c r="OU205" s="82"/>
      <c r="OV205" s="82"/>
      <c r="OW205" s="82"/>
      <c r="OX205" s="82"/>
      <c r="OY205" s="82"/>
      <c r="OZ205" s="82"/>
      <c r="PA205" s="82"/>
      <c r="PB205" s="82"/>
      <c r="PC205" s="82"/>
      <c r="PD205" s="82"/>
      <c r="PE205" s="82"/>
      <c r="PF205" s="82"/>
      <c r="PG205" s="82"/>
      <c r="PH205" s="82"/>
      <c r="PI205" s="82"/>
      <c r="PJ205" s="82"/>
      <c r="PK205" s="82"/>
      <c r="PL205" s="82"/>
      <c r="PM205" s="82"/>
      <c r="PN205" s="82"/>
      <c r="PO205" s="82"/>
      <c r="PP205" s="82"/>
      <c r="PQ205" s="82"/>
      <c r="PR205" s="82"/>
      <c r="PS205" s="82"/>
      <c r="PT205" s="82"/>
      <c r="PU205" s="82"/>
      <c r="PV205" s="82"/>
      <c r="PW205" s="82"/>
      <c r="PX205" s="82"/>
      <c r="PY205" s="82"/>
      <c r="PZ205" s="82"/>
      <c r="QA205" s="82"/>
      <c r="QB205" s="82"/>
      <c r="QC205" s="82"/>
      <c r="QD205" s="82"/>
      <c r="QE205" s="82"/>
      <c r="QF205" s="82"/>
      <c r="QG205" s="82"/>
      <c r="QH205" s="82"/>
      <c r="QI205" s="82"/>
      <c r="QJ205" s="82"/>
      <c r="QK205" s="82"/>
      <c r="QL205" s="82"/>
      <c r="QM205" s="82"/>
      <c r="QN205" s="82"/>
      <c r="QO205" s="82"/>
      <c r="QP205" s="82"/>
      <c r="QQ205" s="82"/>
      <c r="QR205" s="82"/>
      <c r="QS205" s="82"/>
      <c r="QT205" s="82"/>
      <c r="QU205" s="82"/>
      <c r="QV205" s="82"/>
      <c r="QW205" s="82"/>
      <c r="QX205" s="82"/>
      <c r="QY205" s="82"/>
      <c r="QZ205" s="82"/>
      <c r="RA205" s="82"/>
      <c r="RB205" s="82"/>
      <c r="RC205" s="82"/>
      <c r="RD205" s="82"/>
      <c r="RE205" s="82"/>
      <c r="RF205" s="82"/>
      <c r="RG205" s="82"/>
      <c r="RH205" s="82"/>
      <c r="RI205" s="82"/>
      <c r="RJ205" s="82"/>
      <c r="RK205" s="82"/>
      <c r="RL205" s="82"/>
      <c r="RM205" s="82"/>
      <c r="RN205" s="82"/>
      <c r="RO205" s="82"/>
      <c r="RP205" s="82"/>
      <c r="RQ205" s="82"/>
      <c r="RR205" s="82"/>
      <c r="RS205" s="82"/>
      <c r="RT205" s="82"/>
      <c r="RU205" s="82"/>
      <c r="RV205" s="82"/>
      <c r="RW205" s="82"/>
      <c r="RX205" s="82"/>
      <c r="RY205" s="82"/>
      <c r="RZ205" s="82"/>
      <c r="SA205" s="82"/>
      <c r="SB205" s="82"/>
      <c r="SC205" s="82"/>
      <c r="SD205" s="82"/>
      <c r="SE205" s="82"/>
      <c r="SF205" s="82"/>
      <c r="SG205" s="82"/>
      <c r="SH205" s="82"/>
      <c r="SI205" s="82"/>
    </row>
    <row r="206" spans="1:503" ht="15.6" customHeight="1">
      <c r="A206" s="82"/>
      <c r="B206" s="110"/>
      <c r="C206" s="110" t="s">
        <v>188</v>
      </c>
      <c r="D206" s="110"/>
      <c r="E206" s="110"/>
      <c r="F206" s="110"/>
      <c r="H206" s="879">
        <f>SUM(H204:H205)</f>
        <v>0</v>
      </c>
      <c r="I206" s="879">
        <f>SUM(I204:I205)</f>
        <v>0</v>
      </c>
      <c r="J206" s="879">
        <f t="shared" ref="J206:Q206" si="397">SUM(J204:J205)</f>
        <v>0</v>
      </c>
      <c r="K206" s="879">
        <f t="shared" si="397"/>
        <v>0</v>
      </c>
      <c r="L206" s="879">
        <f t="shared" si="397"/>
        <v>0</v>
      </c>
      <c r="M206" s="879">
        <f t="shared" si="397"/>
        <v>0</v>
      </c>
      <c r="N206" s="879">
        <f t="shared" si="397"/>
        <v>0</v>
      </c>
      <c r="O206" s="879">
        <f t="shared" si="397"/>
        <v>0</v>
      </c>
      <c r="P206" s="879">
        <f t="shared" si="397"/>
        <v>0</v>
      </c>
      <c r="Q206" s="879">
        <f t="shared" si="397"/>
        <v>0</v>
      </c>
      <c r="R206" s="118"/>
      <c r="S206" s="4027"/>
      <c r="T206" s="4028"/>
      <c r="U206" s="4028"/>
      <c r="V206" s="4028"/>
      <c r="W206" s="4029"/>
      <c r="JW206" s="443"/>
      <c r="KB206" s="443"/>
      <c r="KC206" s="443"/>
      <c r="KD206" s="443"/>
      <c r="KE206" s="443"/>
      <c r="KF206" s="443"/>
      <c r="KG206" s="443"/>
      <c r="KH206" s="443"/>
      <c r="KI206" s="443"/>
      <c r="KJ206" s="443"/>
      <c r="KK206" s="443"/>
      <c r="KL206" s="443"/>
      <c r="KM206" s="443"/>
      <c r="KN206" s="443"/>
      <c r="KO206" s="443"/>
      <c r="KP206" s="443"/>
      <c r="KQ206" s="443"/>
      <c r="KR206" s="443"/>
      <c r="KS206" s="443"/>
      <c r="KT206" s="443"/>
      <c r="KU206" s="443"/>
      <c r="KV206" s="443"/>
      <c r="KW206" s="443"/>
      <c r="KX206" s="443"/>
      <c r="KY206" s="443"/>
      <c r="KZ206" s="443"/>
      <c r="LA206" s="443"/>
      <c r="LB206" s="443"/>
      <c r="LC206" s="443"/>
      <c r="LD206" s="443"/>
      <c r="LE206" s="443"/>
      <c r="LF206" s="443"/>
      <c r="LG206" s="443"/>
      <c r="LH206" s="443"/>
      <c r="LI206" s="443"/>
      <c r="LJ206" s="443"/>
      <c r="LK206" s="443"/>
      <c r="LL206" s="443"/>
      <c r="LM206" s="443"/>
      <c r="LN206" s="443"/>
      <c r="LO206" s="443"/>
      <c r="LP206" s="443"/>
      <c r="LQ206" s="443"/>
      <c r="LX206" s="443"/>
      <c r="MN206" s="443"/>
      <c r="MO206" s="443"/>
      <c r="NE206" s="82"/>
      <c r="NF206" s="82"/>
      <c r="NG206" s="82"/>
      <c r="NH206" s="82"/>
      <c r="NI206" s="82"/>
      <c r="NJ206" s="82"/>
      <c r="NK206" s="82"/>
      <c r="NL206" s="82"/>
      <c r="NM206" s="82"/>
      <c r="NN206" s="82"/>
      <c r="NO206" s="82"/>
      <c r="NP206" s="82"/>
      <c r="NQ206" s="82"/>
      <c r="NR206" s="82"/>
      <c r="NS206" s="82"/>
      <c r="NT206" s="82"/>
      <c r="NU206" s="82"/>
      <c r="NV206" s="82"/>
      <c r="NW206" s="82"/>
      <c r="NX206" s="82"/>
      <c r="NY206" s="82"/>
      <c r="NZ206" s="82"/>
      <c r="OA206" s="82"/>
      <c r="OB206" s="82"/>
      <c r="OC206" s="82"/>
      <c r="OD206" s="82"/>
      <c r="OE206" s="82"/>
      <c r="OF206" s="82"/>
      <c r="OG206" s="82"/>
      <c r="OH206" s="82"/>
      <c r="OI206" s="82"/>
      <c r="OJ206" s="82"/>
      <c r="OK206" s="82"/>
      <c r="OL206" s="82"/>
      <c r="OM206" s="82"/>
      <c r="ON206" s="82"/>
      <c r="OO206" s="82"/>
      <c r="OP206" s="82"/>
      <c r="OQ206" s="82"/>
      <c r="OR206" s="82"/>
      <c r="OS206" s="82"/>
      <c r="OT206" s="82"/>
      <c r="OU206" s="82"/>
      <c r="OV206" s="82"/>
      <c r="OW206" s="82"/>
      <c r="OX206" s="82"/>
      <c r="OY206" s="82"/>
      <c r="OZ206" s="82"/>
      <c r="PA206" s="82"/>
      <c r="PB206" s="82"/>
      <c r="PC206" s="82"/>
      <c r="PD206" s="82"/>
      <c r="PE206" s="82"/>
      <c r="PF206" s="82"/>
      <c r="PG206" s="82"/>
      <c r="PH206" s="82"/>
      <c r="PI206" s="82"/>
      <c r="PJ206" s="82"/>
      <c r="PK206" s="82"/>
      <c r="PL206" s="82"/>
      <c r="PM206" s="82"/>
      <c r="PN206" s="82"/>
      <c r="PO206" s="82"/>
      <c r="PP206" s="82"/>
      <c r="PQ206" s="82"/>
      <c r="PR206" s="82"/>
      <c r="PS206" s="82"/>
      <c r="PT206" s="82"/>
      <c r="PU206" s="82"/>
      <c r="PV206" s="82"/>
      <c r="PW206" s="82"/>
      <c r="PX206" s="82"/>
      <c r="PY206" s="82"/>
      <c r="PZ206" s="82"/>
      <c r="QA206" s="82"/>
      <c r="QB206" s="82"/>
      <c r="QC206" s="82"/>
      <c r="QD206" s="82"/>
      <c r="QE206" s="82"/>
      <c r="QF206" s="82"/>
      <c r="QG206" s="82"/>
      <c r="QH206" s="82"/>
      <c r="QI206" s="82"/>
      <c r="QJ206" s="82"/>
      <c r="QK206" s="82"/>
      <c r="QL206" s="82"/>
      <c r="QM206" s="82"/>
      <c r="QN206" s="82"/>
      <c r="QO206" s="82"/>
      <c r="QP206" s="82"/>
      <c r="QQ206" s="82"/>
      <c r="QR206" s="82"/>
      <c r="QS206" s="82"/>
      <c r="QT206" s="82"/>
      <c r="QU206" s="82"/>
      <c r="QV206" s="82"/>
      <c r="QW206" s="82"/>
      <c r="QX206" s="82"/>
      <c r="QY206" s="82"/>
      <c r="QZ206" s="82"/>
      <c r="RA206" s="82"/>
      <c r="RB206" s="82"/>
      <c r="RC206" s="82"/>
      <c r="RD206" s="82"/>
      <c r="RE206" s="82"/>
      <c r="RF206" s="82"/>
      <c r="RG206" s="82"/>
      <c r="RH206" s="82"/>
      <c r="RI206" s="82"/>
      <c r="RJ206" s="82"/>
      <c r="RK206" s="82"/>
      <c r="RL206" s="82"/>
      <c r="RM206" s="82"/>
      <c r="RN206" s="82"/>
      <c r="RO206" s="82"/>
      <c r="RP206" s="82"/>
      <c r="RQ206" s="82"/>
      <c r="RR206" s="82"/>
      <c r="RS206" s="82"/>
      <c r="RT206" s="82"/>
      <c r="RU206" s="82"/>
      <c r="RV206" s="82"/>
      <c r="RW206" s="82"/>
      <c r="RX206" s="82"/>
      <c r="RY206" s="82"/>
      <c r="RZ206" s="82"/>
      <c r="SA206" s="82"/>
      <c r="SB206" s="82"/>
      <c r="SC206" s="82"/>
      <c r="SD206" s="82"/>
      <c r="SE206" s="82"/>
      <c r="SF206" s="82"/>
      <c r="SG206" s="82"/>
      <c r="SH206" s="82"/>
      <c r="SI206" s="82"/>
    </row>
    <row r="207" spans="1:503" ht="15.6" customHeight="1">
      <c r="B207" s="873"/>
      <c r="C207" s="89"/>
      <c r="D207" s="89"/>
      <c r="E207" s="89"/>
      <c r="F207" s="89"/>
      <c r="H207" s="881"/>
      <c r="I207" s="89"/>
      <c r="J207" s="89"/>
      <c r="K207" s="89"/>
      <c r="L207" s="89"/>
      <c r="M207" s="89"/>
      <c r="N207" s="89"/>
      <c r="O207" s="89"/>
      <c r="P207" s="89"/>
      <c r="Q207" s="89"/>
      <c r="R207" s="8"/>
    </row>
    <row r="208" spans="1:503" ht="15.6" customHeight="1">
      <c r="B208" s="876" t="s">
        <v>2228</v>
      </c>
      <c r="C208" s="89"/>
      <c r="D208" s="89"/>
      <c r="E208" s="89"/>
      <c r="F208" s="89"/>
      <c r="H208" s="877">
        <v>31</v>
      </c>
      <c r="I208" s="877">
        <v>32</v>
      </c>
      <c r="J208" s="877">
        <v>33</v>
      </c>
      <c r="K208" s="877">
        <v>34</v>
      </c>
      <c r="L208" s="877">
        <v>35</v>
      </c>
      <c r="M208" s="89"/>
      <c r="N208" s="89"/>
      <c r="O208" s="89"/>
      <c r="P208" s="89"/>
      <c r="Q208" s="89"/>
      <c r="S208" s="138" t="s">
        <v>2555</v>
      </c>
      <c r="T208" s="94" t="str">
        <f>B208</f>
        <v>Included in Mgt Fee:</v>
      </c>
    </row>
    <row r="209" spans="1:503" ht="15.6" customHeight="1">
      <c r="B209" s="110" t="s">
        <v>995</v>
      </c>
      <c r="C209" s="110"/>
      <c r="D209" s="110"/>
      <c r="E209" s="110"/>
      <c r="F209" s="110"/>
      <c r="H209" s="4059"/>
      <c r="I209" s="4059"/>
      <c r="J209" s="4059"/>
      <c r="K209" s="4059"/>
      <c r="L209" s="4065"/>
      <c r="M209" s="89"/>
      <c r="N209" s="89"/>
      <c r="O209" s="89"/>
      <c r="P209" s="89"/>
      <c r="Q209" s="89"/>
      <c r="R209" s="8"/>
      <c r="S209" s="4034"/>
      <c r="T209" s="4035"/>
      <c r="U209" s="4035"/>
      <c r="V209" s="4035"/>
      <c r="W209" s="4036"/>
    </row>
    <row r="210" spans="1:503" ht="15.6" customHeight="1">
      <c r="B210" s="110" t="s">
        <v>723</v>
      </c>
      <c r="C210" s="4060"/>
      <c r="D210" s="4061"/>
      <c r="E210" s="4061"/>
      <c r="F210" s="4062"/>
      <c r="H210" s="4063"/>
      <c r="I210" s="4063"/>
      <c r="J210" s="4063"/>
      <c r="K210" s="4063"/>
      <c r="L210" s="4064"/>
      <c r="M210" s="89"/>
      <c r="N210" s="89"/>
      <c r="O210" s="89"/>
      <c r="P210" s="89"/>
      <c r="Q210" s="89"/>
      <c r="R210" s="8"/>
      <c r="S210" s="3996"/>
      <c r="T210" s="3997"/>
      <c r="U210" s="3997"/>
      <c r="V210" s="3997"/>
      <c r="W210" s="3998"/>
    </row>
    <row r="211" spans="1:503" ht="15.6" customHeight="1">
      <c r="B211" s="110"/>
      <c r="C211" s="110" t="s">
        <v>907</v>
      </c>
      <c r="D211" s="110"/>
      <c r="E211" s="110"/>
      <c r="F211" s="110"/>
      <c r="H211" s="879">
        <f>SUM(H209:H210)</f>
        <v>0</v>
      </c>
      <c r="I211" s="879">
        <f>SUM(I209:I210)</f>
        <v>0</v>
      </c>
      <c r="J211" s="879">
        <f>SUM(J209:J210)</f>
        <v>0</v>
      </c>
      <c r="K211" s="879">
        <f>SUM(K209:K210)</f>
        <v>0</v>
      </c>
      <c r="L211" s="879">
        <f>SUM(L209:L210)</f>
        <v>0</v>
      </c>
      <c r="M211" s="89"/>
      <c r="N211" s="89"/>
      <c r="O211" s="89"/>
      <c r="P211" s="89"/>
      <c r="Q211" s="89"/>
      <c r="R211" s="8"/>
      <c r="S211" s="4027"/>
      <c r="T211" s="4028"/>
      <c r="U211" s="4028"/>
      <c r="V211" s="4028"/>
      <c r="W211" s="4029"/>
    </row>
    <row r="212" spans="1:503" ht="15.6" customHeight="1">
      <c r="B212" s="880" t="s">
        <v>3496</v>
      </c>
      <c r="C212" s="89"/>
      <c r="D212" s="89"/>
      <c r="E212" s="89"/>
      <c r="F212" s="89"/>
      <c r="H212" s="881"/>
      <c r="I212" s="89"/>
      <c r="J212" s="89"/>
      <c r="K212" s="89"/>
      <c r="L212" s="89"/>
      <c r="M212" s="89"/>
      <c r="N212" s="89"/>
      <c r="O212" s="89"/>
      <c r="P212" s="89"/>
      <c r="Q212" s="89"/>
      <c r="R212" s="8"/>
      <c r="S212" s="94" t="str">
        <f>B212</f>
        <v>NOT Included in Mgt Fee:</v>
      </c>
    </row>
    <row r="213" spans="1:503" ht="15.6" customHeight="1">
      <c r="B213" s="110" t="s">
        <v>518</v>
      </c>
      <c r="C213" s="110"/>
      <c r="D213" s="110"/>
      <c r="E213" s="110"/>
      <c r="F213" s="110"/>
      <c r="H213" s="4059"/>
      <c r="I213" s="4059"/>
      <c r="J213" s="4059"/>
      <c r="K213" s="4059"/>
      <c r="L213" s="4065"/>
      <c r="M213" s="89"/>
      <c r="N213" s="89"/>
      <c r="O213" s="89"/>
      <c r="P213" s="89"/>
      <c r="Q213" s="89"/>
      <c r="R213" s="8"/>
      <c r="S213" s="4034"/>
      <c r="T213" s="4035"/>
      <c r="U213" s="4035"/>
      <c r="V213" s="4035"/>
      <c r="W213" s="4036"/>
    </row>
    <row r="214" spans="1:503" ht="15.6" customHeight="1">
      <c r="B214" s="110" t="s">
        <v>723</v>
      </c>
      <c r="C214" s="4060"/>
      <c r="D214" s="4061"/>
      <c r="E214" s="4061"/>
      <c r="F214" s="4062"/>
      <c r="H214" s="4063"/>
      <c r="I214" s="4063"/>
      <c r="J214" s="4063"/>
      <c r="K214" s="4063"/>
      <c r="L214" s="4064"/>
      <c r="M214" s="89"/>
      <c r="N214" s="89"/>
      <c r="O214" s="89"/>
      <c r="P214" s="89"/>
      <c r="Q214" s="89"/>
      <c r="R214" s="8"/>
      <c r="S214" s="3996"/>
      <c r="T214" s="3997"/>
      <c r="U214" s="3997"/>
      <c r="V214" s="3997"/>
      <c r="W214" s="3998"/>
    </row>
    <row r="215" spans="1:503" ht="15.6" customHeight="1">
      <c r="B215" s="110"/>
      <c r="C215" s="110" t="s">
        <v>188</v>
      </c>
      <c r="D215" s="110"/>
      <c r="E215" s="110"/>
      <c r="F215" s="110"/>
      <c r="H215" s="879">
        <f>SUM(H213:H214)</f>
        <v>0</v>
      </c>
      <c r="I215" s="879">
        <f>SUM(I213:I214)</f>
        <v>0</v>
      </c>
      <c r="J215" s="879">
        <f>SUM(J213:J214)</f>
        <v>0</v>
      </c>
      <c r="K215" s="879">
        <f>SUM(K213:K214)</f>
        <v>0</v>
      </c>
      <c r="L215" s="879">
        <f>SUM(L213:L214)</f>
        <v>0</v>
      </c>
      <c r="M215" s="89"/>
      <c r="N215" s="89"/>
      <c r="O215" s="89"/>
      <c r="P215" s="89"/>
      <c r="Q215" s="89"/>
      <c r="R215" s="8"/>
      <c r="S215" s="4027"/>
      <c r="T215" s="4028"/>
      <c r="U215" s="4028"/>
      <c r="V215" s="4028"/>
      <c r="W215" s="4029"/>
    </row>
    <row r="216" spans="1:503" ht="2.25" customHeight="1">
      <c r="B216" s="13"/>
      <c r="F216" s="34"/>
      <c r="G216" s="34"/>
      <c r="K216" s="16"/>
      <c r="Q216" s="8"/>
      <c r="R216" s="8"/>
    </row>
    <row r="217" spans="1:503" s="90" customFormat="1" ht="11.25" customHeight="1">
      <c r="A217" s="4" t="s">
        <v>1748</v>
      </c>
      <c r="B217" s="2" t="s">
        <v>997</v>
      </c>
      <c r="C217" s="2"/>
      <c r="D217" s="2"/>
      <c r="E217" s="2"/>
      <c r="F217" s="2"/>
      <c r="G217" s="2"/>
      <c r="H217" s="2"/>
      <c r="I217" s="2"/>
      <c r="J217" s="2"/>
      <c r="K217" s="2"/>
      <c r="L217" s="2"/>
      <c r="M217" s="1"/>
      <c r="N217" s="14"/>
      <c r="O217" s="6"/>
      <c r="P217" s="6"/>
      <c r="Q217" s="1"/>
      <c r="R217" s="1"/>
      <c r="S217" s="4" t="str">
        <f>B217</f>
        <v>ANNUAL OPERATING EXPENSE BUDGET</v>
      </c>
      <c r="T217" s="82"/>
      <c r="X217" s="443"/>
      <c r="Y217" s="445"/>
      <c r="Z217" s="445"/>
      <c r="AA217" s="445"/>
      <c r="AB217" s="445"/>
      <c r="AC217" s="443"/>
      <c r="AD217" s="445"/>
      <c r="AE217" s="445"/>
      <c r="AF217" s="445"/>
      <c r="AG217" s="445"/>
      <c r="AH217" s="443"/>
      <c r="AI217" s="445"/>
      <c r="AJ217" s="445"/>
      <c r="AK217" s="445"/>
      <c r="AL217" s="445"/>
      <c r="AM217" s="443"/>
      <c r="AN217" s="445"/>
      <c r="AO217" s="445"/>
      <c r="AP217" s="445"/>
      <c r="AQ217" s="445"/>
      <c r="AR217" s="445"/>
      <c r="AS217" s="445"/>
      <c r="AT217" s="445"/>
      <c r="AU217" s="445"/>
      <c r="AV217" s="445"/>
      <c r="AW217" s="445"/>
      <c r="AX217" s="445"/>
      <c r="AY217" s="445"/>
      <c r="AZ217" s="445"/>
      <c r="BA217" s="445"/>
      <c r="BB217" s="445"/>
      <c r="BC217" s="445"/>
      <c r="BD217" s="445"/>
      <c r="BE217" s="445"/>
      <c r="BF217" s="445"/>
      <c r="BG217" s="445"/>
      <c r="BH217" s="445"/>
      <c r="BI217" s="445"/>
      <c r="BJ217" s="445"/>
      <c r="BK217" s="445"/>
      <c r="BL217" s="445"/>
      <c r="BM217" s="445"/>
      <c r="BN217" s="445"/>
      <c r="BO217" s="445"/>
      <c r="BP217" s="445"/>
      <c r="BQ217" s="445"/>
      <c r="BR217" s="445"/>
      <c r="BS217" s="445"/>
      <c r="BT217" s="445"/>
      <c r="BU217" s="445"/>
      <c r="BV217" s="445"/>
      <c r="BW217" s="445"/>
      <c r="BX217" s="445"/>
      <c r="BY217" s="445"/>
      <c r="BZ217" s="445"/>
      <c r="CA217" s="445"/>
      <c r="CB217" s="445"/>
      <c r="CC217" s="445"/>
      <c r="CD217" s="445"/>
      <c r="CE217" s="445"/>
      <c r="CF217" s="445"/>
      <c r="CG217" s="445"/>
      <c r="CH217" s="445"/>
      <c r="CI217" s="445"/>
      <c r="CJ217" s="445"/>
      <c r="CK217" s="445"/>
      <c r="CL217" s="445"/>
      <c r="CM217" s="445"/>
      <c r="CN217" s="445"/>
      <c r="CO217" s="445"/>
      <c r="CP217" s="445"/>
      <c r="CQ217" s="445"/>
      <c r="CR217" s="445"/>
      <c r="CS217" s="445"/>
      <c r="CT217" s="445"/>
      <c r="CU217" s="445"/>
      <c r="CV217" s="445"/>
      <c r="CW217" s="445"/>
      <c r="CX217" s="445"/>
      <c r="CY217" s="445"/>
      <c r="CZ217" s="445"/>
      <c r="DA217" s="445"/>
      <c r="DB217" s="445"/>
      <c r="DC217" s="445"/>
      <c r="DD217" s="445"/>
      <c r="DE217" s="445"/>
      <c r="DF217" s="445"/>
      <c r="DG217" s="445"/>
      <c r="DH217" s="445"/>
      <c r="DI217" s="445"/>
      <c r="DJ217" s="445"/>
      <c r="DK217" s="445"/>
      <c r="DL217" s="445"/>
      <c r="DM217" s="445"/>
      <c r="DN217" s="445"/>
      <c r="DO217" s="445"/>
      <c r="DP217" s="445"/>
      <c r="DQ217" s="445"/>
      <c r="DR217" s="445"/>
      <c r="DS217" s="445"/>
      <c r="DT217" s="445"/>
      <c r="DU217" s="445"/>
      <c r="DV217" s="445"/>
      <c r="DW217" s="445"/>
      <c r="DX217" s="445"/>
      <c r="DY217" s="445"/>
      <c r="DZ217" s="445"/>
      <c r="EA217" s="445"/>
      <c r="EB217" s="445"/>
      <c r="EC217" s="445"/>
      <c r="ED217" s="445"/>
      <c r="EE217" s="445"/>
      <c r="EF217" s="445"/>
      <c r="EG217" s="445"/>
      <c r="EH217" s="445"/>
      <c r="EI217" s="445"/>
      <c r="EJ217" s="445"/>
      <c r="EK217" s="445"/>
      <c r="EL217" s="445"/>
      <c r="EM217" s="445"/>
      <c r="EN217" s="445"/>
      <c r="EO217" s="445"/>
      <c r="EP217" s="445"/>
      <c r="EQ217" s="445"/>
      <c r="ER217" s="445"/>
      <c r="ES217" s="445"/>
      <c r="ET217" s="445"/>
      <c r="EU217" s="445"/>
      <c r="EV217" s="445"/>
      <c r="EW217" s="445"/>
      <c r="EX217" s="445"/>
      <c r="EY217" s="445"/>
      <c r="EZ217" s="445"/>
      <c r="FA217" s="445"/>
      <c r="FB217" s="445"/>
      <c r="FC217" s="445"/>
      <c r="FD217" s="445"/>
      <c r="FE217" s="445"/>
      <c r="FF217" s="445"/>
      <c r="FG217" s="445"/>
      <c r="FH217" s="445"/>
      <c r="FI217" s="445"/>
      <c r="FJ217" s="445"/>
      <c r="FK217" s="445"/>
      <c r="FL217" s="445"/>
      <c r="FM217" s="445"/>
      <c r="FN217" s="445"/>
      <c r="FO217" s="445"/>
      <c r="FP217" s="445"/>
      <c r="FQ217" s="445"/>
      <c r="FR217" s="445"/>
      <c r="FS217" s="445"/>
      <c r="FT217" s="445"/>
      <c r="FU217" s="445"/>
      <c r="FV217" s="445"/>
      <c r="FW217" s="445"/>
      <c r="FX217" s="445"/>
      <c r="FY217" s="445"/>
      <c r="FZ217" s="445"/>
      <c r="GA217" s="445"/>
      <c r="GB217" s="445"/>
      <c r="GC217" s="445"/>
      <c r="GD217" s="445"/>
      <c r="GE217" s="445"/>
      <c r="GF217" s="445"/>
      <c r="GG217" s="445"/>
      <c r="GH217" s="445"/>
      <c r="GI217" s="445"/>
      <c r="GJ217" s="445"/>
      <c r="GK217" s="445"/>
      <c r="GL217" s="445"/>
      <c r="GM217" s="445"/>
      <c r="GN217" s="445"/>
      <c r="GO217" s="445"/>
      <c r="GP217" s="445"/>
      <c r="GQ217" s="445"/>
      <c r="GR217" s="445"/>
      <c r="GS217" s="445"/>
      <c r="GT217" s="445"/>
      <c r="GU217" s="445"/>
      <c r="GV217" s="445"/>
      <c r="GW217" s="445"/>
      <c r="GX217" s="445"/>
      <c r="GY217" s="445"/>
      <c r="GZ217" s="445"/>
      <c r="HA217" s="445"/>
      <c r="HB217" s="445"/>
      <c r="HC217" s="445"/>
      <c r="HD217" s="445"/>
      <c r="HE217" s="445"/>
      <c r="HF217" s="445"/>
      <c r="HG217" s="445"/>
      <c r="HH217" s="445"/>
      <c r="HI217" s="445"/>
      <c r="HJ217" s="445"/>
      <c r="HK217" s="445"/>
      <c r="HL217" s="445"/>
      <c r="HM217" s="445"/>
      <c r="HN217" s="445"/>
      <c r="HO217" s="445"/>
      <c r="HP217" s="445"/>
      <c r="HQ217" s="445"/>
      <c r="HR217" s="445"/>
      <c r="HS217" s="445"/>
      <c r="HT217" s="445"/>
      <c r="HU217" s="445"/>
      <c r="HV217" s="445"/>
      <c r="HW217" s="445"/>
      <c r="HX217" s="445"/>
      <c r="HY217" s="445"/>
      <c r="HZ217" s="445"/>
      <c r="IA217" s="445"/>
      <c r="IB217" s="445"/>
      <c r="IC217" s="445"/>
      <c r="ID217" s="445"/>
      <c r="IE217" s="445"/>
      <c r="IF217" s="445"/>
      <c r="IG217" s="445"/>
      <c r="IH217" s="445"/>
      <c r="II217" s="445"/>
      <c r="IJ217" s="445"/>
      <c r="IK217" s="445"/>
      <c r="IL217" s="445"/>
      <c r="IM217" s="445"/>
      <c r="IN217" s="445"/>
      <c r="IO217" s="445"/>
      <c r="IP217" s="445"/>
      <c r="IQ217" s="445"/>
      <c r="IR217" s="445"/>
      <c r="IS217" s="445"/>
      <c r="IT217" s="445"/>
      <c r="IU217" s="445"/>
      <c r="IV217" s="445"/>
      <c r="IW217" s="445"/>
      <c r="IX217" s="445"/>
      <c r="IY217" s="445"/>
      <c r="IZ217" s="445"/>
      <c r="JA217" s="445"/>
      <c r="JB217" s="445"/>
      <c r="JC217" s="445"/>
      <c r="JD217" s="445"/>
      <c r="JE217" s="445"/>
      <c r="JF217" s="445"/>
      <c r="JG217" s="445"/>
      <c r="JH217" s="445"/>
      <c r="JI217" s="445"/>
      <c r="JJ217" s="445"/>
      <c r="JK217" s="445"/>
      <c r="JL217" s="445"/>
      <c r="JM217" s="445"/>
      <c r="JN217" s="445"/>
      <c r="JO217" s="445"/>
      <c r="JP217" s="445"/>
      <c r="JQ217" s="445"/>
      <c r="JR217" s="445"/>
      <c r="JS217" s="445"/>
      <c r="JT217" s="445"/>
      <c r="JU217" s="445"/>
      <c r="JV217" s="445"/>
      <c r="JW217" s="2242"/>
      <c r="JX217" s="445"/>
      <c r="JY217" s="445"/>
      <c r="JZ217" s="445"/>
      <c r="KA217" s="445"/>
      <c r="KB217" s="2242"/>
      <c r="KC217" s="2242"/>
      <c r="KD217" s="2242"/>
      <c r="KE217" s="2242"/>
      <c r="KF217" s="2242"/>
      <c r="KG217" s="2242"/>
      <c r="KH217" s="2242"/>
      <c r="KI217" s="2242"/>
      <c r="KJ217" s="2242"/>
      <c r="KK217" s="2242"/>
      <c r="KL217" s="2242"/>
      <c r="KM217" s="2242"/>
      <c r="KN217" s="2242"/>
      <c r="KO217" s="2242"/>
      <c r="KP217" s="2242"/>
      <c r="KQ217" s="2242"/>
      <c r="KR217" s="2242"/>
      <c r="KS217" s="2242"/>
      <c r="KT217" s="2242"/>
      <c r="KU217" s="2242"/>
      <c r="KV217" s="2242"/>
      <c r="KW217" s="2242"/>
      <c r="KX217" s="2242"/>
      <c r="KY217" s="2242"/>
      <c r="KZ217" s="2242"/>
      <c r="LA217" s="2242"/>
      <c r="LB217" s="2242"/>
      <c r="LC217" s="2242"/>
      <c r="LD217" s="2242"/>
      <c r="LE217" s="2242"/>
      <c r="LF217" s="2242"/>
      <c r="LG217" s="2242"/>
      <c r="LH217" s="2242"/>
      <c r="LI217" s="2242"/>
      <c r="LJ217" s="2242"/>
      <c r="LK217" s="2242"/>
      <c r="LL217" s="2242"/>
      <c r="LM217" s="2242"/>
      <c r="LN217" s="2242"/>
      <c r="LO217" s="2242"/>
      <c r="LP217" s="2242"/>
      <c r="LQ217" s="2242"/>
      <c r="LR217" s="445"/>
      <c r="LS217" s="445"/>
      <c r="LT217" s="445"/>
      <c r="LU217" s="445"/>
      <c r="LV217" s="445"/>
      <c r="LW217" s="445"/>
      <c r="LX217" s="2243"/>
      <c r="LY217" s="445"/>
      <c r="LZ217" s="445"/>
      <c r="MA217" s="445"/>
      <c r="MB217" s="445"/>
      <c r="MC217" s="445"/>
      <c r="MD217" s="445"/>
      <c r="ME217" s="445"/>
      <c r="MF217" s="445"/>
      <c r="MG217" s="445"/>
      <c r="MH217" s="445"/>
      <c r="MI217" s="445"/>
      <c r="MJ217" s="445"/>
      <c r="MK217" s="445"/>
      <c r="ML217" s="445"/>
      <c r="MM217" s="445"/>
      <c r="MN217" s="2243"/>
      <c r="MO217" s="2243"/>
      <c r="MP217" s="445"/>
      <c r="MQ217" s="445"/>
      <c r="MR217" s="445"/>
      <c r="MS217" s="445"/>
      <c r="MT217" s="445"/>
      <c r="MU217" s="445"/>
      <c r="MV217" s="445"/>
      <c r="MW217" s="445"/>
      <c r="MX217" s="445"/>
      <c r="MY217" s="445"/>
      <c r="MZ217" s="445"/>
      <c r="NA217" s="445"/>
      <c r="NB217" s="445"/>
      <c r="NC217" s="445"/>
      <c r="ND217" s="445"/>
      <c r="NE217" s="94"/>
      <c r="NF217" s="94"/>
      <c r="NG217" s="94"/>
      <c r="NH217" s="94"/>
      <c r="NI217" s="94"/>
      <c r="NJ217" s="94"/>
      <c r="NK217" s="94"/>
      <c r="NL217" s="94"/>
      <c r="NM217" s="94"/>
      <c r="NN217" s="94"/>
      <c r="NO217" s="94"/>
      <c r="NP217" s="94"/>
      <c r="NQ217" s="94"/>
      <c r="NR217" s="94"/>
      <c r="NS217" s="94"/>
      <c r="NT217" s="94"/>
      <c r="NU217" s="94"/>
      <c r="NV217" s="94"/>
      <c r="NW217" s="94"/>
      <c r="NX217" s="94"/>
      <c r="NY217" s="94"/>
      <c r="NZ217" s="94"/>
      <c r="OA217" s="94"/>
      <c r="OB217" s="94"/>
      <c r="OC217" s="94"/>
      <c r="OD217" s="94"/>
      <c r="OE217" s="94"/>
      <c r="OF217" s="94"/>
      <c r="OG217" s="94"/>
      <c r="OH217" s="94"/>
      <c r="OI217" s="94"/>
      <c r="OJ217" s="94"/>
      <c r="OK217" s="94"/>
      <c r="OL217" s="94"/>
      <c r="OM217" s="94"/>
      <c r="ON217" s="94"/>
      <c r="OO217" s="94"/>
      <c r="OP217" s="94"/>
      <c r="OQ217" s="94"/>
      <c r="OR217" s="94"/>
      <c r="OS217" s="94"/>
      <c r="OT217" s="94"/>
      <c r="OU217" s="94"/>
      <c r="OV217" s="94"/>
      <c r="OW217" s="94"/>
      <c r="OX217" s="94"/>
      <c r="OY217" s="94"/>
      <c r="OZ217" s="94"/>
      <c r="PA217" s="94"/>
      <c r="PB217" s="94"/>
      <c r="PC217" s="94"/>
      <c r="PD217" s="94"/>
      <c r="PE217" s="94"/>
      <c r="PF217" s="94"/>
      <c r="PG217" s="94"/>
      <c r="PH217" s="94"/>
      <c r="PI217" s="94"/>
      <c r="PJ217" s="94"/>
      <c r="PK217" s="94"/>
      <c r="PL217" s="94"/>
      <c r="PM217" s="94"/>
      <c r="PN217" s="94"/>
      <c r="PO217" s="94"/>
      <c r="PP217" s="94"/>
      <c r="PQ217" s="94"/>
      <c r="PR217" s="94"/>
      <c r="PS217" s="94"/>
      <c r="PT217" s="94"/>
      <c r="PU217" s="94"/>
      <c r="PV217" s="94"/>
      <c r="PW217" s="94"/>
      <c r="PX217" s="94"/>
      <c r="PY217" s="94"/>
      <c r="PZ217" s="94"/>
      <c r="QA217" s="94"/>
      <c r="QB217" s="94"/>
      <c r="QC217" s="94"/>
      <c r="QD217" s="94"/>
      <c r="QE217" s="94"/>
      <c r="QF217" s="94"/>
      <c r="QG217" s="94"/>
      <c r="QH217" s="94"/>
      <c r="QI217" s="94"/>
      <c r="QJ217" s="94"/>
      <c r="QK217" s="94"/>
      <c r="QL217" s="94"/>
      <c r="QM217" s="94"/>
      <c r="QN217" s="94"/>
      <c r="QO217" s="94"/>
      <c r="QP217" s="94"/>
      <c r="QQ217" s="94"/>
      <c r="QR217" s="94"/>
      <c r="QS217" s="94"/>
      <c r="QT217" s="94"/>
      <c r="QU217" s="94"/>
      <c r="QV217" s="94"/>
      <c r="QW217" s="94"/>
      <c r="QX217" s="94"/>
      <c r="QY217" s="94"/>
      <c r="QZ217" s="94"/>
      <c r="RA217" s="94"/>
      <c r="RB217" s="94"/>
      <c r="RC217" s="94"/>
      <c r="RD217" s="94"/>
      <c r="RE217" s="94"/>
      <c r="RF217" s="94"/>
      <c r="RG217" s="94"/>
      <c r="RH217" s="94"/>
      <c r="RI217" s="94"/>
      <c r="RJ217" s="94"/>
      <c r="RK217" s="94"/>
      <c r="RL217" s="94"/>
      <c r="RM217" s="94"/>
      <c r="RN217" s="94"/>
      <c r="RO217" s="94"/>
      <c r="RP217" s="94"/>
      <c r="RQ217" s="94"/>
      <c r="RR217" s="94"/>
      <c r="RS217" s="94"/>
      <c r="RT217" s="94"/>
      <c r="RU217" s="94"/>
      <c r="RV217" s="94"/>
      <c r="RW217" s="94"/>
      <c r="RX217" s="94"/>
      <c r="RY217" s="94"/>
      <c r="RZ217" s="94"/>
      <c r="SA217" s="94"/>
      <c r="SB217" s="94"/>
      <c r="SC217" s="94"/>
      <c r="SD217" s="94"/>
      <c r="SE217" s="94"/>
      <c r="SF217" s="94"/>
      <c r="SG217" s="94"/>
      <c r="SH217" s="94"/>
      <c r="SI217" s="94"/>
    </row>
    <row r="218" spans="1:503" s="90" customFormat="1" ht="11.25" customHeight="1" thickBot="1">
      <c r="A218" s="1"/>
      <c r="B218" s="2"/>
      <c r="C218" s="2"/>
      <c r="D218" s="2"/>
      <c r="E218" s="2"/>
      <c r="F218" s="2"/>
      <c r="G218" s="2"/>
      <c r="H218" s="2"/>
      <c r="I218" s="2"/>
      <c r="J218" s="2"/>
      <c r="K218" s="2"/>
      <c r="L218" s="1"/>
      <c r="M218" s="1"/>
      <c r="N218" s="1"/>
      <c r="O218" s="1"/>
      <c r="P218" s="1"/>
      <c r="Q218" s="1"/>
      <c r="R218" s="1"/>
      <c r="S218" s="88" t="s">
        <v>1799</v>
      </c>
      <c r="T218" s="88"/>
      <c r="X218" s="445"/>
      <c r="Y218" s="445"/>
      <c r="Z218" s="445"/>
      <c r="AA218" s="445"/>
      <c r="AB218" s="445"/>
      <c r="AC218" s="445"/>
      <c r="AD218" s="445"/>
      <c r="AE218" s="445"/>
      <c r="AF218" s="445"/>
      <c r="AG218" s="445"/>
      <c r="AH218" s="445"/>
      <c r="AI218" s="445"/>
      <c r="AJ218" s="445"/>
      <c r="AK218" s="445"/>
      <c r="AL218" s="445"/>
      <c r="AM218" s="445"/>
      <c r="AN218" s="445"/>
      <c r="AO218" s="445"/>
      <c r="AP218" s="445"/>
      <c r="AQ218" s="445"/>
      <c r="AR218" s="445"/>
      <c r="AS218" s="445"/>
      <c r="AT218" s="445"/>
      <c r="AU218" s="445"/>
      <c r="AV218" s="445"/>
      <c r="AW218" s="445"/>
      <c r="AX218" s="445"/>
      <c r="AY218" s="445"/>
      <c r="AZ218" s="445"/>
      <c r="BA218" s="445"/>
      <c r="BB218" s="445"/>
      <c r="BC218" s="445"/>
      <c r="BD218" s="445"/>
      <c r="BE218" s="445"/>
      <c r="BF218" s="445"/>
      <c r="BG218" s="445"/>
      <c r="BH218" s="445"/>
      <c r="BI218" s="445"/>
      <c r="BJ218" s="445"/>
      <c r="BK218" s="445"/>
      <c r="BL218" s="445"/>
      <c r="BM218" s="445"/>
      <c r="BN218" s="445"/>
      <c r="BO218" s="445"/>
      <c r="BP218" s="445"/>
      <c r="BQ218" s="445"/>
      <c r="BR218" s="445"/>
      <c r="BS218" s="445"/>
      <c r="BT218" s="445"/>
      <c r="BU218" s="445"/>
      <c r="BV218" s="445"/>
      <c r="BW218" s="445"/>
      <c r="BX218" s="445"/>
      <c r="BY218" s="445"/>
      <c r="BZ218" s="445"/>
      <c r="CA218" s="445"/>
      <c r="CB218" s="445"/>
      <c r="CC218" s="445"/>
      <c r="CD218" s="445"/>
      <c r="CE218" s="445"/>
      <c r="CF218" s="445"/>
      <c r="CG218" s="445"/>
      <c r="CH218" s="445"/>
      <c r="CI218" s="445"/>
      <c r="CJ218" s="445"/>
      <c r="CK218" s="445"/>
      <c r="CL218" s="445"/>
      <c r="CM218" s="445"/>
      <c r="CN218" s="445"/>
      <c r="CO218" s="445"/>
      <c r="CP218" s="445"/>
      <c r="CQ218" s="445"/>
      <c r="CR218" s="445"/>
      <c r="CS218" s="445"/>
      <c r="CT218" s="445"/>
      <c r="CU218" s="445"/>
      <c r="CV218" s="445"/>
      <c r="CW218" s="445"/>
      <c r="CX218" s="445"/>
      <c r="CY218" s="445"/>
      <c r="CZ218" s="445"/>
      <c r="DA218" s="445"/>
      <c r="DB218" s="445"/>
      <c r="DC218" s="445"/>
      <c r="DD218" s="445"/>
      <c r="DE218" s="445"/>
      <c r="DF218" s="445"/>
      <c r="DG218" s="445"/>
      <c r="DH218" s="445"/>
      <c r="DI218" s="445"/>
      <c r="DJ218" s="445"/>
      <c r="DK218" s="445"/>
      <c r="DL218" s="445"/>
      <c r="DM218" s="445"/>
      <c r="DN218" s="445"/>
      <c r="DO218" s="445"/>
      <c r="DP218" s="445"/>
      <c r="DQ218" s="445"/>
      <c r="DR218" s="445"/>
      <c r="DS218" s="445"/>
      <c r="DT218" s="445"/>
      <c r="DU218" s="445"/>
      <c r="DV218" s="445"/>
      <c r="DW218" s="445"/>
      <c r="DX218" s="445"/>
      <c r="DY218" s="445"/>
      <c r="DZ218" s="445"/>
      <c r="EA218" s="445"/>
      <c r="EB218" s="445"/>
      <c r="EC218" s="445"/>
      <c r="ED218" s="445"/>
      <c r="EE218" s="445"/>
      <c r="EF218" s="445"/>
      <c r="EG218" s="445"/>
      <c r="EH218" s="445"/>
      <c r="EI218" s="445"/>
      <c r="EJ218" s="445"/>
      <c r="EK218" s="445"/>
      <c r="EL218" s="445"/>
      <c r="EM218" s="445"/>
      <c r="EN218" s="445"/>
      <c r="EO218" s="445"/>
      <c r="EP218" s="445"/>
      <c r="EQ218" s="445"/>
      <c r="ER218" s="445"/>
      <c r="ES218" s="445"/>
      <c r="ET218" s="445"/>
      <c r="EU218" s="445"/>
      <c r="EV218" s="445"/>
      <c r="EW218" s="445"/>
      <c r="EX218" s="445"/>
      <c r="EY218" s="445"/>
      <c r="EZ218" s="445"/>
      <c r="FA218" s="445"/>
      <c r="FB218" s="445"/>
      <c r="FC218" s="445"/>
      <c r="FD218" s="445"/>
      <c r="FE218" s="445"/>
      <c r="FF218" s="445"/>
      <c r="FG218" s="445"/>
      <c r="FH218" s="445"/>
      <c r="FI218" s="445"/>
      <c r="FJ218" s="445"/>
      <c r="FK218" s="445"/>
      <c r="FL218" s="445"/>
      <c r="FM218" s="445"/>
      <c r="FN218" s="445"/>
      <c r="FO218" s="445"/>
      <c r="FP218" s="445"/>
      <c r="FQ218" s="445"/>
      <c r="FR218" s="445"/>
      <c r="FS218" s="445"/>
      <c r="FT218" s="445"/>
      <c r="FU218" s="445"/>
      <c r="FV218" s="445"/>
      <c r="FW218" s="445"/>
      <c r="FX218" s="445"/>
      <c r="FY218" s="445"/>
      <c r="FZ218" s="445"/>
      <c r="GA218" s="445"/>
      <c r="GB218" s="445"/>
      <c r="GC218" s="445"/>
      <c r="GD218" s="445"/>
      <c r="GE218" s="445"/>
      <c r="GF218" s="445"/>
      <c r="GG218" s="445"/>
      <c r="GH218" s="445"/>
      <c r="GI218" s="445"/>
      <c r="GJ218" s="445"/>
      <c r="GK218" s="445"/>
      <c r="GL218" s="445"/>
      <c r="GM218" s="445"/>
      <c r="GN218" s="445"/>
      <c r="GO218" s="445"/>
      <c r="GP218" s="445"/>
      <c r="GQ218" s="445"/>
      <c r="GR218" s="445"/>
      <c r="GS218" s="445"/>
      <c r="GT218" s="445"/>
      <c r="GU218" s="445"/>
      <c r="GV218" s="445"/>
      <c r="GW218" s="445"/>
      <c r="GX218" s="445"/>
      <c r="GY218" s="445"/>
      <c r="GZ218" s="445"/>
      <c r="HA218" s="445"/>
      <c r="HB218" s="445"/>
      <c r="HC218" s="445"/>
      <c r="HD218" s="445"/>
      <c r="HE218" s="445"/>
      <c r="HF218" s="445"/>
      <c r="HG218" s="445"/>
      <c r="HH218" s="445"/>
      <c r="HI218" s="445"/>
      <c r="HJ218" s="445"/>
      <c r="HK218" s="445"/>
      <c r="HL218" s="445"/>
      <c r="HM218" s="445"/>
      <c r="HN218" s="445"/>
      <c r="HO218" s="445"/>
      <c r="HP218" s="445"/>
      <c r="HQ218" s="445"/>
      <c r="HR218" s="445"/>
      <c r="HS218" s="445"/>
      <c r="HT218" s="445"/>
      <c r="HU218" s="445"/>
      <c r="HV218" s="445"/>
      <c r="HW218" s="445"/>
      <c r="HX218" s="445"/>
      <c r="HY218" s="445"/>
      <c r="HZ218" s="445"/>
      <c r="IA218" s="445"/>
      <c r="IB218" s="445"/>
      <c r="IC218" s="445"/>
      <c r="ID218" s="445"/>
      <c r="IE218" s="445"/>
      <c r="IF218" s="445"/>
      <c r="IG218" s="445"/>
      <c r="IH218" s="445"/>
      <c r="II218" s="445"/>
      <c r="IJ218" s="445"/>
      <c r="IK218" s="445"/>
      <c r="IL218" s="445"/>
      <c r="IM218" s="445"/>
      <c r="IN218" s="445"/>
      <c r="IO218" s="445"/>
      <c r="IP218" s="445"/>
      <c r="IQ218" s="445"/>
      <c r="IR218" s="445"/>
      <c r="IS218" s="445"/>
      <c r="IT218" s="445"/>
      <c r="IU218" s="445"/>
      <c r="IV218" s="445"/>
      <c r="IW218" s="445"/>
      <c r="IX218" s="445"/>
      <c r="IY218" s="445"/>
      <c r="IZ218" s="445"/>
      <c r="JA218" s="445"/>
      <c r="JB218" s="445"/>
      <c r="JC218" s="445"/>
      <c r="JD218" s="445"/>
      <c r="JE218" s="445"/>
      <c r="JF218" s="445"/>
      <c r="JG218" s="445"/>
      <c r="JH218" s="445"/>
      <c r="JI218" s="445"/>
      <c r="JJ218" s="445"/>
      <c r="JK218" s="445"/>
      <c r="JL218" s="445"/>
      <c r="JM218" s="445"/>
      <c r="JN218" s="445"/>
      <c r="JO218" s="445"/>
      <c r="JP218" s="445"/>
      <c r="JQ218" s="445"/>
      <c r="JR218" s="445"/>
      <c r="JS218" s="445"/>
      <c r="JT218" s="445"/>
      <c r="JU218" s="445"/>
      <c r="JV218" s="445"/>
      <c r="JW218" s="2242"/>
      <c r="JX218" s="445"/>
      <c r="JY218" s="445"/>
      <c r="JZ218" s="445"/>
      <c r="KA218" s="445"/>
      <c r="KB218" s="2242"/>
      <c r="KC218" s="2242"/>
      <c r="KD218" s="2242"/>
      <c r="KE218" s="2242"/>
      <c r="KF218" s="2242"/>
      <c r="KG218" s="2242"/>
      <c r="KH218" s="2242"/>
      <c r="KI218" s="2242"/>
      <c r="KJ218" s="2242"/>
      <c r="KK218" s="2242"/>
      <c r="KL218" s="2242"/>
      <c r="KM218" s="2242"/>
      <c r="KN218" s="2242"/>
      <c r="KO218" s="2242"/>
      <c r="KP218" s="2242"/>
      <c r="KQ218" s="2242"/>
      <c r="KR218" s="2242"/>
      <c r="KS218" s="2242"/>
      <c r="KT218" s="2242"/>
      <c r="KU218" s="2242"/>
      <c r="KV218" s="2242"/>
      <c r="KW218" s="2242"/>
      <c r="KX218" s="2242"/>
      <c r="KY218" s="2242"/>
      <c r="KZ218" s="2242"/>
      <c r="LA218" s="2242"/>
      <c r="LB218" s="2242"/>
      <c r="LC218" s="2242"/>
      <c r="LD218" s="2242"/>
      <c r="LE218" s="2242"/>
      <c r="LF218" s="2242"/>
      <c r="LG218" s="2242"/>
      <c r="LH218" s="2242"/>
      <c r="LI218" s="2242"/>
      <c r="LJ218" s="2242"/>
      <c r="LK218" s="2242"/>
      <c r="LL218" s="2242"/>
      <c r="LM218" s="2242"/>
      <c r="LN218" s="2242"/>
      <c r="LO218" s="2242"/>
      <c r="LP218" s="2242"/>
      <c r="LQ218" s="2242"/>
      <c r="LR218" s="445"/>
      <c r="LS218" s="445"/>
      <c r="LT218" s="445"/>
      <c r="LU218" s="445"/>
      <c r="LV218" s="445"/>
      <c r="LW218" s="445"/>
      <c r="LX218" s="2243"/>
      <c r="LY218" s="445"/>
      <c r="LZ218" s="445"/>
      <c r="MA218" s="445"/>
      <c r="MB218" s="445"/>
      <c r="MC218" s="445"/>
      <c r="MD218" s="445"/>
      <c r="ME218" s="445"/>
      <c r="MF218" s="445"/>
      <c r="MG218" s="445"/>
      <c r="MH218" s="445"/>
      <c r="MI218" s="445"/>
      <c r="MJ218" s="445"/>
      <c r="MK218" s="445"/>
      <c r="ML218" s="445"/>
      <c r="MM218" s="445"/>
      <c r="MN218" s="2243"/>
      <c r="MO218" s="2243"/>
      <c r="MP218" s="445"/>
      <c r="MQ218" s="445"/>
      <c r="MR218" s="445"/>
      <c r="MS218" s="445"/>
      <c r="MT218" s="445"/>
      <c r="MU218" s="445"/>
      <c r="MV218" s="445"/>
      <c r="MW218" s="445"/>
      <c r="MX218" s="445"/>
      <c r="MY218" s="445"/>
      <c r="MZ218" s="445"/>
      <c r="NA218" s="445"/>
      <c r="NB218" s="445"/>
      <c r="NC218" s="445"/>
      <c r="ND218" s="445"/>
      <c r="NE218" s="94"/>
      <c r="NF218" s="94"/>
      <c r="NG218" s="94"/>
      <c r="NH218" s="94"/>
      <c r="NI218" s="94"/>
      <c r="NJ218" s="94"/>
      <c r="NK218" s="94"/>
      <c r="NL218" s="94"/>
      <c r="NM218" s="94"/>
      <c r="NN218" s="94"/>
      <c r="NO218" s="94"/>
      <c r="NP218" s="94"/>
      <c r="NQ218" s="94"/>
      <c r="NR218" s="94"/>
      <c r="NS218" s="94"/>
      <c r="NT218" s="94"/>
      <c r="NU218" s="94"/>
      <c r="NV218" s="94"/>
      <c r="NW218" s="94"/>
      <c r="NX218" s="94"/>
      <c r="NY218" s="94"/>
      <c r="NZ218" s="94"/>
      <c r="OA218" s="94"/>
      <c r="OB218" s="94"/>
      <c r="OC218" s="94"/>
      <c r="OD218" s="94"/>
      <c r="OE218" s="94"/>
      <c r="OF218" s="94"/>
      <c r="OG218" s="94"/>
      <c r="OH218" s="94"/>
      <c r="OI218" s="94"/>
      <c r="OJ218" s="94"/>
      <c r="OK218" s="94"/>
      <c r="OL218" s="94"/>
      <c r="OM218" s="94"/>
      <c r="ON218" s="94"/>
      <c r="OO218" s="94"/>
      <c r="OP218" s="94"/>
      <c r="OQ218" s="94"/>
      <c r="OR218" s="94"/>
      <c r="OS218" s="94"/>
      <c r="OT218" s="94"/>
      <c r="OU218" s="94"/>
      <c r="OV218" s="94"/>
      <c r="OW218" s="94"/>
      <c r="OX218" s="94"/>
      <c r="OY218" s="94"/>
      <c r="OZ218" s="94"/>
      <c r="PA218" s="94"/>
      <c r="PB218" s="94"/>
      <c r="PC218" s="94"/>
      <c r="PD218" s="94"/>
      <c r="PE218" s="94"/>
      <c r="PF218" s="94"/>
      <c r="PG218" s="94"/>
      <c r="PH218" s="94"/>
      <c r="PI218" s="94"/>
      <c r="PJ218" s="94"/>
      <c r="PK218" s="94"/>
      <c r="PL218" s="94"/>
      <c r="PM218" s="94"/>
      <c r="PN218" s="94"/>
      <c r="PO218" s="94"/>
      <c r="PP218" s="94"/>
      <c r="PQ218" s="94"/>
      <c r="PR218" s="94"/>
      <c r="PS218" s="94"/>
      <c r="PT218" s="94"/>
      <c r="PU218" s="94"/>
      <c r="PV218" s="94"/>
      <c r="PW218" s="94"/>
      <c r="PX218" s="94"/>
      <c r="PY218" s="94"/>
      <c r="PZ218" s="94"/>
      <c r="QA218" s="94"/>
      <c r="QB218" s="94"/>
      <c r="QC218" s="94"/>
      <c r="QD218" s="94"/>
      <c r="QE218" s="94"/>
      <c r="QF218" s="94"/>
      <c r="QG218" s="94"/>
      <c r="QH218" s="94"/>
      <c r="QI218" s="94"/>
      <c r="QJ218" s="94"/>
      <c r="QK218" s="94"/>
      <c r="QL218" s="94"/>
      <c r="QM218" s="94"/>
      <c r="QN218" s="94"/>
      <c r="QO218" s="94"/>
      <c r="QP218" s="94"/>
      <c r="QQ218" s="94"/>
      <c r="QR218" s="94"/>
      <c r="QS218" s="94"/>
      <c r="QT218" s="94"/>
      <c r="QU218" s="94"/>
      <c r="QV218" s="94"/>
      <c r="QW218" s="94"/>
      <c r="QX218" s="94"/>
      <c r="QY218" s="94"/>
      <c r="QZ218" s="94"/>
      <c r="RA218" s="94"/>
      <c r="RB218" s="94"/>
      <c r="RC218" s="94"/>
      <c r="RD218" s="94"/>
      <c r="RE218" s="94"/>
      <c r="RF218" s="94"/>
      <c r="RG218" s="94"/>
      <c r="RH218" s="94"/>
      <c r="RI218" s="94"/>
      <c r="RJ218" s="94"/>
      <c r="RK218" s="94"/>
      <c r="RL218" s="94"/>
      <c r="RM218" s="94"/>
      <c r="RN218" s="94"/>
      <c r="RO218" s="94"/>
      <c r="RP218" s="94"/>
      <c r="RQ218" s="94"/>
      <c r="RR218" s="94"/>
      <c r="RS218" s="94"/>
      <c r="RT218" s="94"/>
      <c r="RU218" s="94"/>
      <c r="RV218" s="94"/>
      <c r="RW218" s="94"/>
      <c r="RX218" s="94"/>
      <c r="RY218" s="94"/>
      <c r="RZ218" s="94"/>
      <c r="SA218" s="94"/>
      <c r="SB218" s="94"/>
      <c r="SC218" s="94"/>
      <c r="SD218" s="94"/>
      <c r="SE218" s="94"/>
      <c r="SF218" s="94"/>
      <c r="SG218" s="94"/>
      <c r="SH218" s="94"/>
      <c r="SI218" s="94"/>
    </row>
    <row r="219" spans="1:503" s="90" customFormat="1" ht="13.35" customHeight="1" thickBot="1">
      <c r="A219" s="1"/>
      <c r="B219" s="10" t="s">
        <v>1264</v>
      </c>
      <c r="C219" s="1"/>
      <c r="D219" s="1"/>
      <c r="E219" s="1"/>
      <c r="F219" s="27"/>
      <c r="G219" s="27"/>
      <c r="H219" s="1"/>
      <c r="I219" s="10" t="s">
        <v>1350</v>
      </c>
      <c r="K219" s="1"/>
      <c r="L219" s="1"/>
      <c r="M219" s="1"/>
      <c r="N219" s="1"/>
      <c r="O219" s="10" t="s">
        <v>1353</v>
      </c>
      <c r="P219" s="1"/>
      <c r="Q219" s="402">
        <f>IF(OR('Part VII-Pro Forma'!$B$21 = "Choose Mgt Fee",'Part VII-Pro Forma'!$B$21 = "Choose One!"), 0,- 'Part VII-Pro Forma'!$B$21)</f>
        <v>38595</v>
      </c>
      <c r="R219" s="1"/>
      <c r="S219" s="4034"/>
      <c r="T219" s="4035"/>
      <c r="U219" s="4035"/>
      <c r="V219" s="4035"/>
      <c r="W219" s="4036"/>
      <c r="X219" s="443"/>
      <c r="Y219" s="445"/>
      <c r="Z219" s="445"/>
      <c r="AA219" s="445"/>
      <c r="AB219" s="445"/>
      <c r="AC219" s="443"/>
      <c r="AD219" s="445"/>
      <c r="AE219" s="445"/>
      <c r="AF219" s="445"/>
      <c r="AG219" s="445"/>
      <c r="AH219" s="443"/>
      <c r="AI219" s="445"/>
      <c r="AJ219" s="445"/>
      <c r="AK219" s="445"/>
      <c r="AL219" s="445"/>
      <c r="AM219" s="443"/>
      <c r="AN219" s="445"/>
      <c r="AO219" s="445"/>
      <c r="AP219" s="445"/>
      <c r="AQ219" s="445"/>
      <c r="AR219" s="445"/>
      <c r="AS219" s="445"/>
      <c r="AT219" s="445"/>
      <c r="AU219" s="445"/>
      <c r="AV219" s="445"/>
      <c r="AW219" s="445"/>
      <c r="AX219" s="445"/>
      <c r="AY219" s="445"/>
      <c r="AZ219" s="445"/>
      <c r="BA219" s="445"/>
      <c r="BB219" s="445"/>
      <c r="BC219" s="445"/>
      <c r="BD219" s="445"/>
      <c r="BE219" s="445"/>
      <c r="BF219" s="445"/>
      <c r="BG219" s="445"/>
      <c r="BH219" s="445"/>
      <c r="BI219" s="445"/>
      <c r="BJ219" s="445"/>
      <c r="BK219" s="445"/>
      <c r="BL219" s="445"/>
      <c r="BM219" s="445"/>
      <c r="BN219" s="445"/>
      <c r="BO219" s="445"/>
      <c r="BP219" s="445"/>
      <c r="BQ219" s="445"/>
      <c r="BR219" s="445"/>
      <c r="BS219" s="445"/>
      <c r="BT219" s="445"/>
      <c r="BU219" s="445"/>
      <c r="BV219" s="445"/>
      <c r="BW219" s="445"/>
      <c r="BX219" s="445"/>
      <c r="BY219" s="445"/>
      <c r="BZ219" s="445"/>
      <c r="CA219" s="445"/>
      <c r="CB219" s="445"/>
      <c r="CC219" s="445"/>
      <c r="CD219" s="445"/>
      <c r="CE219" s="445"/>
      <c r="CF219" s="445"/>
      <c r="CG219" s="445"/>
      <c r="CH219" s="445"/>
      <c r="CI219" s="445"/>
      <c r="CJ219" s="445"/>
      <c r="CK219" s="445"/>
      <c r="CL219" s="445"/>
      <c r="CM219" s="445"/>
      <c r="CN219" s="445"/>
      <c r="CO219" s="445"/>
      <c r="CP219" s="445"/>
      <c r="CQ219" s="445"/>
      <c r="CR219" s="445"/>
      <c r="CS219" s="445"/>
      <c r="CT219" s="445"/>
      <c r="CU219" s="445"/>
      <c r="CV219" s="445"/>
      <c r="CW219" s="445"/>
      <c r="CX219" s="445"/>
      <c r="CY219" s="445"/>
      <c r="CZ219" s="445"/>
      <c r="DA219" s="445"/>
      <c r="DB219" s="445"/>
      <c r="DC219" s="445"/>
      <c r="DD219" s="445"/>
      <c r="DE219" s="445"/>
      <c r="DF219" s="445"/>
      <c r="DG219" s="445"/>
      <c r="DH219" s="445"/>
      <c r="DI219" s="445"/>
      <c r="DJ219" s="445"/>
      <c r="DK219" s="445"/>
      <c r="DL219" s="445"/>
      <c r="DM219" s="445"/>
      <c r="DN219" s="445"/>
      <c r="DO219" s="445"/>
      <c r="DP219" s="445"/>
      <c r="DQ219" s="445"/>
      <c r="DR219" s="445"/>
      <c r="DS219" s="445"/>
      <c r="DT219" s="445"/>
      <c r="DU219" s="445"/>
      <c r="DV219" s="445"/>
      <c r="DW219" s="445"/>
      <c r="DX219" s="445"/>
      <c r="DY219" s="445"/>
      <c r="DZ219" s="445"/>
      <c r="EA219" s="445"/>
      <c r="EB219" s="445"/>
      <c r="EC219" s="445"/>
      <c r="ED219" s="445"/>
      <c r="EE219" s="445"/>
      <c r="EF219" s="445"/>
      <c r="EG219" s="445"/>
      <c r="EH219" s="445"/>
      <c r="EI219" s="445"/>
      <c r="EJ219" s="445"/>
      <c r="EK219" s="445"/>
      <c r="EL219" s="445"/>
      <c r="EM219" s="445"/>
      <c r="EN219" s="445"/>
      <c r="EO219" s="445"/>
      <c r="EP219" s="445"/>
      <c r="EQ219" s="445"/>
      <c r="ER219" s="445"/>
      <c r="ES219" s="445"/>
      <c r="ET219" s="445"/>
      <c r="EU219" s="445"/>
      <c r="EV219" s="445"/>
      <c r="EW219" s="445"/>
      <c r="EX219" s="445"/>
      <c r="EY219" s="445"/>
      <c r="EZ219" s="445"/>
      <c r="FA219" s="445"/>
      <c r="FB219" s="445"/>
      <c r="FC219" s="445"/>
      <c r="FD219" s="445"/>
      <c r="FE219" s="445"/>
      <c r="FF219" s="445"/>
      <c r="FG219" s="445"/>
      <c r="FH219" s="445"/>
      <c r="FI219" s="445"/>
      <c r="FJ219" s="445"/>
      <c r="FK219" s="445"/>
      <c r="FL219" s="445"/>
      <c r="FM219" s="445"/>
      <c r="FN219" s="445"/>
      <c r="FO219" s="445"/>
      <c r="FP219" s="445"/>
      <c r="FQ219" s="445"/>
      <c r="FR219" s="445"/>
      <c r="FS219" s="445"/>
      <c r="FT219" s="445"/>
      <c r="FU219" s="445"/>
      <c r="FV219" s="445"/>
      <c r="FW219" s="445"/>
      <c r="FX219" s="445"/>
      <c r="FY219" s="445"/>
      <c r="FZ219" s="445"/>
      <c r="GA219" s="445"/>
      <c r="GB219" s="445"/>
      <c r="GC219" s="445"/>
      <c r="GD219" s="445"/>
      <c r="GE219" s="445"/>
      <c r="GF219" s="445"/>
      <c r="GG219" s="445"/>
      <c r="GH219" s="445"/>
      <c r="GI219" s="445"/>
      <c r="GJ219" s="445"/>
      <c r="GK219" s="445"/>
      <c r="GL219" s="445"/>
      <c r="GM219" s="445"/>
      <c r="GN219" s="445"/>
      <c r="GO219" s="445"/>
      <c r="GP219" s="445"/>
      <c r="GQ219" s="445"/>
      <c r="GR219" s="445"/>
      <c r="GS219" s="445"/>
      <c r="GT219" s="445"/>
      <c r="GU219" s="445"/>
      <c r="GV219" s="445"/>
      <c r="GW219" s="445"/>
      <c r="GX219" s="445"/>
      <c r="GY219" s="445"/>
      <c r="GZ219" s="445"/>
      <c r="HA219" s="445"/>
      <c r="HB219" s="445"/>
      <c r="HC219" s="445"/>
      <c r="HD219" s="445"/>
      <c r="HE219" s="445"/>
      <c r="HF219" s="445"/>
      <c r="HG219" s="445"/>
      <c r="HH219" s="445"/>
      <c r="HI219" s="445"/>
      <c r="HJ219" s="445"/>
      <c r="HK219" s="445"/>
      <c r="HL219" s="445"/>
      <c r="HM219" s="445"/>
      <c r="HN219" s="445"/>
      <c r="HO219" s="445"/>
      <c r="HP219" s="445"/>
      <c r="HQ219" s="445"/>
      <c r="HR219" s="445"/>
      <c r="HS219" s="445"/>
      <c r="HT219" s="445"/>
      <c r="HU219" s="445"/>
      <c r="HV219" s="445"/>
      <c r="HW219" s="445"/>
      <c r="HX219" s="445"/>
      <c r="HY219" s="445"/>
      <c r="HZ219" s="445"/>
      <c r="IA219" s="445"/>
      <c r="IB219" s="445"/>
      <c r="IC219" s="445"/>
      <c r="ID219" s="445"/>
      <c r="IE219" s="445"/>
      <c r="IF219" s="445"/>
      <c r="IG219" s="445"/>
      <c r="IH219" s="445"/>
      <c r="II219" s="445"/>
      <c r="IJ219" s="445"/>
      <c r="IK219" s="445"/>
      <c r="IL219" s="445"/>
      <c r="IM219" s="445"/>
      <c r="IN219" s="445"/>
      <c r="IO219" s="445"/>
      <c r="IP219" s="445"/>
      <c r="IQ219" s="445"/>
      <c r="IR219" s="445"/>
      <c r="IS219" s="445"/>
      <c r="IT219" s="445"/>
      <c r="IU219" s="445"/>
      <c r="IV219" s="445"/>
      <c r="IW219" s="445"/>
      <c r="IX219" s="445"/>
      <c r="IY219" s="445"/>
      <c r="IZ219" s="445"/>
      <c r="JA219" s="445"/>
      <c r="JB219" s="445"/>
      <c r="JC219" s="445"/>
      <c r="JD219" s="445"/>
      <c r="JE219" s="445"/>
      <c r="JF219" s="445"/>
      <c r="JG219" s="445"/>
      <c r="JH219" s="445"/>
      <c r="JI219" s="445"/>
      <c r="JJ219" s="445"/>
      <c r="JK219" s="445"/>
      <c r="JL219" s="445"/>
      <c r="JM219" s="445"/>
      <c r="JN219" s="445"/>
      <c r="JO219" s="445"/>
      <c r="JP219" s="445"/>
      <c r="JQ219" s="445"/>
      <c r="JR219" s="445"/>
      <c r="JS219" s="445"/>
      <c r="JT219" s="445"/>
      <c r="JU219" s="445"/>
      <c r="JV219" s="445"/>
      <c r="JW219" s="2242"/>
      <c r="JX219" s="445"/>
      <c r="JY219" s="445"/>
      <c r="JZ219" s="445"/>
      <c r="KA219" s="445"/>
      <c r="KB219" s="2242"/>
      <c r="KC219" s="2242"/>
      <c r="KD219" s="2242"/>
      <c r="KE219" s="2242"/>
      <c r="KF219" s="2242"/>
      <c r="KG219" s="2242"/>
      <c r="KH219" s="2242"/>
      <c r="KI219" s="2242"/>
      <c r="KJ219" s="2242"/>
      <c r="KK219" s="2242"/>
      <c r="KL219" s="2242"/>
      <c r="KM219" s="2242"/>
      <c r="KN219" s="2242"/>
      <c r="KO219" s="2242"/>
      <c r="KP219" s="2242"/>
      <c r="KQ219" s="2242"/>
      <c r="KR219" s="2242"/>
      <c r="KS219" s="2242"/>
      <c r="KT219" s="2242"/>
      <c r="KU219" s="2242"/>
      <c r="KV219" s="2242"/>
      <c r="KW219" s="2242"/>
      <c r="KX219" s="2242"/>
      <c r="KY219" s="2242"/>
      <c r="KZ219" s="2242"/>
      <c r="LA219" s="2242"/>
      <c r="LB219" s="2242"/>
      <c r="LC219" s="2242"/>
      <c r="LD219" s="2242"/>
      <c r="LE219" s="2242"/>
      <c r="LF219" s="2242"/>
      <c r="LG219" s="2242"/>
      <c r="LH219" s="2242"/>
      <c r="LI219" s="2242"/>
      <c r="LJ219" s="2242"/>
      <c r="LK219" s="2242"/>
      <c r="LL219" s="2242"/>
      <c r="LM219" s="2242"/>
      <c r="LN219" s="2242"/>
      <c r="LO219" s="2242"/>
      <c r="LP219" s="2242"/>
      <c r="LQ219" s="2242"/>
      <c r="LR219" s="445"/>
      <c r="LS219" s="445"/>
      <c r="LT219" s="445"/>
      <c r="LU219" s="445"/>
      <c r="LV219" s="445"/>
      <c r="LW219" s="445"/>
      <c r="LX219" s="2243"/>
      <c r="LY219" s="445"/>
      <c r="LZ219" s="445"/>
      <c r="MA219" s="445"/>
      <c r="MB219" s="445"/>
      <c r="MC219" s="445"/>
      <c r="MD219" s="445"/>
      <c r="ME219" s="445"/>
      <c r="MF219" s="445"/>
      <c r="MG219" s="445"/>
      <c r="MH219" s="445"/>
      <c r="MI219" s="445"/>
      <c r="MJ219" s="445"/>
      <c r="MK219" s="445"/>
      <c r="ML219" s="445"/>
      <c r="MM219" s="445"/>
      <c r="MN219" s="2243"/>
      <c r="MO219" s="2243"/>
      <c r="MP219" s="445"/>
      <c r="MQ219" s="445"/>
      <c r="MR219" s="445"/>
      <c r="MS219" s="445"/>
      <c r="MT219" s="445"/>
      <c r="MU219" s="445"/>
      <c r="MV219" s="445"/>
      <c r="MW219" s="445"/>
      <c r="MX219" s="445"/>
      <c r="MY219" s="445"/>
      <c r="MZ219" s="445"/>
      <c r="NA219" s="445"/>
      <c r="NB219" s="445"/>
      <c r="NC219" s="445"/>
      <c r="ND219" s="445"/>
      <c r="NE219" s="94"/>
      <c r="NF219" s="94"/>
      <c r="NG219" s="94"/>
      <c r="NH219" s="94"/>
      <c r="NI219" s="94"/>
      <c r="NJ219" s="94"/>
      <c r="NK219" s="94"/>
      <c r="NL219" s="94"/>
      <c r="NM219" s="94"/>
      <c r="NN219" s="94"/>
      <c r="NO219" s="94"/>
      <c r="NP219" s="94"/>
      <c r="NQ219" s="94"/>
      <c r="NR219" s="94"/>
      <c r="NS219" s="94"/>
      <c r="NT219" s="94"/>
      <c r="NU219" s="94"/>
      <c r="NV219" s="94"/>
      <c r="NW219" s="94"/>
      <c r="NX219" s="94"/>
      <c r="NY219" s="94"/>
      <c r="NZ219" s="94"/>
      <c r="OA219" s="94"/>
      <c r="OB219" s="94"/>
      <c r="OC219" s="94"/>
      <c r="OD219" s="94"/>
      <c r="OE219" s="94"/>
      <c r="OF219" s="94"/>
      <c r="OG219" s="94"/>
      <c r="OH219" s="94"/>
      <c r="OI219" s="94"/>
      <c r="OJ219" s="94"/>
      <c r="OK219" s="94"/>
      <c r="OL219" s="94"/>
      <c r="OM219" s="94"/>
      <c r="ON219" s="94"/>
      <c r="OO219" s="94"/>
      <c r="OP219" s="94"/>
      <c r="OQ219" s="94"/>
      <c r="OR219" s="94"/>
      <c r="OS219" s="94"/>
      <c r="OT219" s="94"/>
      <c r="OU219" s="94"/>
      <c r="OV219" s="94"/>
      <c r="OW219" s="94"/>
      <c r="OX219" s="94"/>
      <c r="OY219" s="94"/>
      <c r="OZ219" s="94"/>
      <c r="PA219" s="94"/>
      <c r="PB219" s="94"/>
      <c r="PC219" s="94"/>
      <c r="PD219" s="94"/>
      <c r="PE219" s="94"/>
      <c r="PF219" s="94"/>
      <c r="PG219" s="94"/>
      <c r="PH219" s="94"/>
      <c r="PI219" s="94"/>
      <c r="PJ219" s="94"/>
      <c r="PK219" s="94"/>
      <c r="PL219" s="94"/>
      <c r="PM219" s="94"/>
      <c r="PN219" s="94"/>
      <c r="PO219" s="94"/>
      <c r="PP219" s="94"/>
      <c r="PQ219" s="94"/>
      <c r="PR219" s="94"/>
      <c r="PS219" s="94"/>
      <c r="PT219" s="94"/>
      <c r="PU219" s="94"/>
      <c r="PV219" s="94"/>
      <c r="PW219" s="94"/>
      <c r="PX219" s="94"/>
      <c r="PY219" s="94"/>
      <c r="PZ219" s="94"/>
      <c r="QA219" s="94"/>
      <c r="QB219" s="94"/>
      <c r="QC219" s="94"/>
      <c r="QD219" s="94"/>
      <c r="QE219" s="94"/>
      <c r="QF219" s="94"/>
      <c r="QG219" s="94"/>
      <c r="QH219" s="94"/>
      <c r="QI219" s="94"/>
      <c r="QJ219" s="94"/>
      <c r="QK219" s="94"/>
      <c r="QL219" s="94"/>
      <c r="QM219" s="94"/>
      <c r="QN219" s="94"/>
      <c r="QO219" s="94"/>
      <c r="QP219" s="94"/>
      <c r="QQ219" s="94"/>
      <c r="QR219" s="94"/>
      <c r="QS219" s="94"/>
      <c r="QT219" s="94"/>
      <c r="QU219" s="94"/>
      <c r="QV219" s="94"/>
      <c r="QW219" s="94"/>
      <c r="QX219" s="94"/>
      <c r="QY219" s="94"/>
      <c r="QZ219" s="94"/>
      <c r="RA219" s="94"/>
      <c r="RB219" s="94"/>
      <c r="RC219" s="94"/>
      <c r="RD219" s="94"/>
      <c r="RE219" s="94"/>
      <c r="RF219" s="94"/>
      <c r="RG219" s="94"/>
      <c r="RH219" s="94"/>
      <c r="RI219" s="94"/>
      <c r="RJ219" s="94"/>
      <c r="RK219" s="94"/>
      <c r="RL219" s="94"/>
      <c r="RM219" s="94"/>
      <c r="RN219" s="94"/>
      <c r="RO219" s="94"/>
      <c r="RP219" s="94"/>
      <c r="RQ219" s="94"/>
      <c r="RR219" s="94"/>
      <c r="RS219" s="94"/>
      <c r="RT219" s="94"/>
      <c r="RU219" s="94"/>
      <c r="RV219" s="94"/>
      <c r="RW219" s="94"/>
      <c r="RX219" s="94"/>
      <c r="RY219" s="94"/>
      <c r="RZ219" s="94"/>
      <c r="SA219" s="94"/>
      <c r="SB219" s="94"/>
      <c r="SC219" s="94"/>
      <c r="SD219" s="94"/>
      <c r="SE219" s="94"/>
      <c r="SF219" s="94"/>
      <c r="SG219" s="94"/>
      <c r="SH219" s="94"/>
      <c r="SI219" s="94"/>
    </row>
    <row r="220" spans="1:503" s="90" customFormat="1" ht="15.6" customHeight="1">
      <c r="A220" s="1"/>
      <c r="B220" s="1" t="s">
        <v>2146</v>
      </c>
      <c r="C220" s="1"/>
      <c r="D220" s="1"/>
      <c r="E220" s="1"/>
      <c r="F220" s="4066">
        <v>35000</v>
      </c>
      <c r="G220" s="4067"/>
      <c r="H220" s="1"/>
      <c r="I220" s="1" t="s">
        <v>1351</v>
      </c>
      <c r="K220" s="1"/>
      <c r="L220" s="4066"/>
      <c r="M220" s="4067"/>
      <c r="N220" s="1"/>
      <c r="O220" s="391">
        <f>+Q219/(P67*0.93)</f>
        <v>576.3888888888888</v>
      </c>
      <c r="P220" s="66" t="s">
        <v>2667</v>
      </c>
      <c r="Q220" s="1"/>
      <c r="R220" s="837"/>
      <c r="S220" s="3996"/>
      <c r="T220" s="3997"/>
      <c r="U220" s="3997"/>
      <c r="V220" s="3997"/>
      <c r="W220" s="3998"/>
      <c r="X220" s="443"/>
      <c r="Y220" s="445"/>
      <c r="Z220" s="445"/>
      <c r="AA220" s="445"/>
      <c r="AB220" s="445"/>
      <c r="AC220" s="443"/>
      <c r="AD220" s="445"/>
      <c r="AE220" s="445"/>
      <c r="AF220" s="445"/>
      <c r="AG220" s="445"/>
      <c r="AH220" s="443"/>
      <c r="AI220" s="445"/>
      <c r="AJ220" s="445"/>
      <c r="AK220" s="445"/>
      <c r="AL220" s="445"/>
      <c r="AM220" s="443"/>
      <c r="AN220" s="445"/>
      <c r="AO220" s="445"/>
      <c r="AP220" s="445"/>
      <c r="AQ220" s="445"/>
      <c r="AR220" s="445"/>
      <c r="AS220" s="445"/>
      <c r="AT220" s="445"/>
      <c r="AU220" s="445"/>
      <c r="AV220" s="445"/>
      <c r="AW220" s="445"/>
      <c r="AX220" s="445"/>
      <c r="AY220" s="445"/>
      <c r="AZ220" s="445"/>
      <c r="BA220" s="445"/>
      <c r="BB220" s="445"/>
      <c r="BC220" s="445"/>
      <c r="BD220" s="445"/>
      <c r="BE220" s="445"/>
      <c r="BF220" s="445"/>
      <c r="BG220" s="445"/>
      <c r="BH220" s="445"/>
      <c r="BI220" s="445"/>
      <c r="BJ220" s="445"/>
      <c r="BK220" s="445"/>
      <c r="BL220" s="445"/>
      <c r="BM220" s="445"/>
      <c r="BN220" s="445"/>
      <c r="BO220" s="445"/>
      <c r="BP220" s="445"/>
      <c r="BQ220" s="445"/>
      <c r="BR220" s="445"/>
      <c r="BS220" s="445"/>
      <c r="BT220" s="445"/>
      <c r="BU220" s="445"/>
      <c r="BV220" s="445"/>
      <c r="BW220" s="445"/>
      <c r="BX220" s="445"/>
      <c r="BY220" s="445"/>
      <c r="BZ220" s="445"/>
      <c r="CA220" s="445"/>
      <c r="CB220" s="445"/>
      <c r="CC220" s="445"/>
      <c r="CD220" s="445"/>
      <c r="CE220" s="445"/>
      <c r="CF220" s="445"/>
      <c r="CG220" s="445"/>
      <c r="CH220" s="445"/>
      <c r="CI220" s="445"/>
      <c r="CJ220" s="445"/>
      <c r="CK220" s="445"/>
      <c r="CL220" s="445"/>
      <c r="CM220" s="445"/>
      <c r="CN220" s="445"/>
      <c r="CO220" s="445"/>
      <c r="CP220" s="445"/>
      <c r="CQ220" s="445"/>
      <c r="CR220" s="445"/>
      <c r="CS220" s="445"/>
      <c r="CT220" s="445"/>
      <c r="CU220" s="445"/>
      <c r="CV220" s="445"/>
      <c r="CW220" s="445"/>
      <c r="CX220" s="445"/>
      <c r="CY220" s="445"/>
      <c r="CZ220" s="445"/>
      <c r="DA220" s="445"/>
      <c r="DB220" s="445"/>
      <c r="DC220" s="445"/>
      <c r="DD220" s="445"/>
      <c r="DE220" s="445"/>
      <c r="DF220" s="445"/>
      <c r="DG220" s="445"/>
      <c r="DH220" s="445"/>
      <c r="DI220" s="445"/>
      <c r="DJ220" s="445"/>
      <c r="DK220" s="445"/>
      <c r="DL220" s="445"/>
      <c r="DM220" s="445"/>
      <c r="DN220" s="445"/>
      <c r="DO220" s="445"/>
      <c r="DP220" s="445"/>
      <c r="DQ220" s="445"/>
      <c r="DR220" s="445"/>
      <c r="DS220" s="445"/>
      <c r="DT220" s="445"/>
      <c r="DU220" s="445"/>
      <c r="DV220" s="445"/>
      <c r="DW220" s="445"/>
      <c r="DX220" s="445"/>
      <c r="DY220" s="445"/>
      <c r="DZ220" s="445"/>
      <c r="EA220" s="445"/>
      <c r="EB220" s="445"/>
      <c r="EC220" s="445"/>
      <c r="ED220" s="445"/>
      <c r="EE220" s="445"/>
      <c r="EF220" s="445"/>
      <c r="EG220" s="445"/>
      <c r="EH220" s="445"/>
      <c r="EI220" s="445"/>
      <c r="EJ220" s="445"/>
      <c r="EK220" s="445"/>
      <c r="EL220" s="445"/>
      <c r="EM220" s="445"/>
      <c r="EN220" s="445"/>
      <c r="EO220" s="445"/>
      <c r="EP220" s="445"/>
      <c r="EQ220" s="445"/>
      <c r="ER220" s="445"/>
      <c r="ES220" s="445"/>
      <c r="ET220" s="445"/>
      <c r="EU220" s="445"/>
      <c r="EV220" s="445"/>
      <c r="EW220" s="445"/>
      <c r="EX220" s="445"/>
      <c r="EY220" s="445"/>
      <c r="EZ220" s="445"/>
      <c r="FA220" s="445"/>
      <c r="FB220" s="445"/>
      <c r="FC220" s="445"/>
      <c r="FD220" s="445"/>
      <c r="FE220" s="445"/>
      <c r="FF220" s="445"/>
      <c r="FG220" s="445"/>
      <c r="FH220" s="445"/>
      <c r="FI220" s="445"/>
      <c r="FJ220" s="445"/>
      <c r="FK220" s="445"/>
      <c r="FL220" s="445"/>
      <c r="FM220" s="445"/>
      <c r="FN220" s="445"/>
      <c r="FO220" s="445"/>
      <c r="FP220" s="445"/>
      <c r="FQ220" s="445"/>
      <c r="FR220" s="445"/>
      <c r="FS220" s="445"/>
      <c r="FT220" s="445"/>
      <c r="FU220" s="445"/>
      <c r="FV220" s="445"/>
      <c r="FW220" s="445"/>
      <c r="FX220" s="445"/>
      <c r="FY220" s="445"/>
      <c r="FZ220" s="445"/>
      <c r="GA220" s="445"/>
      <c r="GB220" s="445"/>
      <c r="GC220" s="445"/>
      <c r="GD220" s="445"/>
      <c r="GE220" s="445"/>
      <c r="GF220" s="445"/>
      <c r="GG220" s="445"/>
      <c r="GH220" s="445"/>
      <c r="GI220" s="445"/>
      <c r="GJ220" s="445"/>
      <c r="GK220" s="445"/>
      <c r="GL220" s="445"/>
      <c r="GM220" s="445"/>
      <c r="GN220" s="445"/>
      <c r="GO220" s="445"/>
      <c r="GP220" s="445"/>
      <c r="GQ220" s="445"/>
      <c r="GR220" s="445"/>
      <c r="GS220" s="445"/>
      <c r="GT220" s="445"/>
      <c r="GU220" s="445"/>
      <c r="GV220" s="445"/>
      <c r="GW220" s="445"/>
      <c r="GX220" s="445"/>
      <c r="GY220" s="445"/>
      <c r="GZ220" s="445"/>
      <c r="HA220" s="445"/>
      <c r="HB220" s="445"/>
      <c r="HC220" s="445"/>
      <c r="HD220" s="445"/>
      <c r="HE220" s="445"/>
      <c r="HF220" s="445"/>
      <c r="HG220" s="445"/>
      <c r="HH220" s="445"/>
      <c r="HI220" s="445"/>
      <c r="HJ220" s="445"/>
      <c r="HK220" s="445"/>
      <c r="HL220" s="445"/>
      <c r="HM220" s="445"/>
      <c r="HN220" s="445"/>
      <c r="HO220" s="445"/>
      <c r="HP220" s="445"/>
      <c r="HQ220" s="445"/>
      <c r="HR220" s="445"/>
      <c r="HS220" s="445"/>
      <c r="HT220" s="445"/>
      <c r="HU220" s="445"/>
      <c r="HV220" s="445"/>
      <c r="HW220" s="445"/>
      <c r="HX220" s="445"/>
      <c r="HY220" s="445"/>
      <c r="HZ220" s="445"/>
      <c r="IA220" s="445"/>
      <c r="IB220" s="445"/>
      <c r="IC220" s="445"/>
      <c r="ID220" s="445"/>
      <c r="IE220" s="445"/>
      <c r="IF220" s="445"/>
      <c r="IG220" s="445"/>
      <c r="IH220" s="445"/>
      <c r="II220" s="445"/>
      <c r="IJ220" s="445"/>
      <c r="IK220" s="445"/>
      <c r="IL220" s="445"/>
      <c r="IM220" s="445"/>
      <c r="IN220" s="445"/>
      <c r="IO220" s="445"/>
      <c r="IP220" s="445"/>
      <c r="IQ220" s="445"/>
      <c r="IR220" s="445"/>
      <c r="IS220" s="445"/>
      <c r="IT220" s="445"/>
      <c r="IU220" s="445"/>
      <c r="IV220" s="445"/>
      <c r="IW220" s="445"/>
      <c r="IX220" s="445"/>
      <c r="IY220" s="445"/>
      <c r="IZ220" s="445"/>
      <c r="JA220" s="445"/>
      <c r="JB220" s="445"/>
      <c r="JC220" s="445"/>
      <c r="JD220" s="445"/>
      <c r="JE220" s="445"/>
      <c r="JF220" s="445"/>
      <c r="JG220" s="445"/>
      <c r="JH220" s="445"/>
      <c r="JI220" s="445"/>
      <c r="JJ220" s="445"/>
      <c r="JK220" s="445"/>
      <c r="JL220" s="445"/>
      <c r="JM220" s="445"/>
      <c r="JN220" s="445"/>
      <c r="JO220" s="445"/>
      <c r="JP220" s="445"/>
      <c r="JQ220" s="445"/>
      <c r="JR220" s="445"/>
      <c r="JS220" s="445"/>
      <c r="JT220" s="445"/>
      <c r="JU220" s="445"/>
      <c r="JV220" s="445"/>
      <c r="JW220" s="2242"/>
      <c r="JX220" s="445"/>
      <c r="JY220" s="445"/>
      <c r="JZ220" s="445"/>
      <c r="KA220" s="445"/>
      <c r="KB220" s="2242"/>
      <c r="KC220" s="2242"/>
      <c r="KD220" s="2242"/>
      <c r="KE220" s="2242"/>
      <c r="KF220" s="2242"/>
      <c r="KG220" s="2242"/>
      <c r="KH220" s="2242"/>
      <c r="KI220" s="2242"/>
      <c r="KJ220" s="2242"/>
      <c r="KK220" s="2242"/>
      <c r="KL220" s="2242"/>
      <c r="KM220" s="2242"/>
      <c r="KN220" s="2242"/>
      <c r="KO220" s="2242"/>
      <c r="KP220" s="2242"/>
      <c r="KQ220" s="2242"/>
      <c r="KR220" s="2242"/>
      <c r="KS220" s="2242"/>
      <c r="KT220" s="2242"/>
      <c r="KU220" s="2242"/>
      <c r="KV220" s="2242"/>
      <c r="KW220" s="2242"/>
      <c r="KX220" s="2242"/>
      <c r="KY220" s="2242"/>
      <c r="KZ220" s="2242"/>
      <c r="LA220" s="2242"/>
      <c r="LB220" s="2242"/>
      <c r="LC220" s="2242"/>
      <c r="LD220" s="2242"/>
      <c r="LE220" s="2242"/>
      <c r="LF220" s="2242"/>
      <c r="LG220" s="2242"/>
      <c r="LH220" s="2242"/>
      <c r="LI220" s="2242"/>
      <c r="LJ220" s="2242"/>
      <c r="LK220" s="2242"/>
      <c r="LL220" s="2242"/>
      <c r="LM220" s="2242"/>
      <c r="LN220" s="2242"/>
      <c r="LO220" s="2242"/>
      <c r="LP220" s="2242"/>
      <c r="LQ220" s="2242"/>
      <c r="LR220" s="445"/>
      <c r="LS220" s="445"/>
      <c r="LT220" s="445"/>
      <c r="LU220" s="445"/>
      <c r="LV220" s="445"/>
      <c r="LW220" s="445"/>
      <c r="LX220" s="2243"/>
      <c r="LY220" s="445"/>
      <c r="LZ220" s="445"/>
      <c r="MA220" s="445"/>
      <c r="MB220" s="445"/>
      <c r="MC220" s="445"/>
      <c r="MD220" s="445"/>
      <c r="ME220" s="445"/>
      <c r="MF220" s="445"/>
      <c r="MG220" s="445"/>
      <c r="MH220" s="445"/>
      <c r="MI220" s="445"/>
      <c r="MJ220" s="445"/>
      <c r="MK220" s="445"/>
      <c r="ML220" s="445"/>
      <c r="MM220" s="445"/>
      <c r="MN220" s="2243"/>
      <c r="MO220" s="2243"/>
      <c r="MP220" s="445"/>
      <c r="MQ220" s="445"/>
      <c r="MR220" s="445"/>
      <c r="MS220" s="445"/>
      <c r="MT220" s="445"/>
      <c r="MU220" s="445"/>
      <c r="MV220" s="445"/>
      <c r="MW220" s="445"/>
      <c r="MX220" s="445"/>
      <c r="MY220" s="445"/>
      <c r="MZ220" s="445"/>
      <c r="NA220" s="445"/>
      <c r="NB220" s="445"/>
      <c r="NC220" s="445"/>
      <c r="ND220" s="445"/>
      <c r="NE220" s="94"/>
      <c r="NF220" s="94"/>
      <c r="NG220" s="94"/>
      <c r="NH220" s="94"/>
      <c r="NI220" s="94"/>
      <c r="NJ220" s="94"/>
      <c r="NK220" s="94"/>
      <c r="NL220" s="94"/>
      <c r="NM220" s="94"/>
      <c r="NN220" s="94"/>
      <c r="NO220" s="94"/>
      <c r="NP220" s="94"/>
      <c r="NQ220" s="94"/>
      <c r="NR220" s="94"/>
      <c r="NS220" s="94"/>
      <c r="NT220" s="94"/>
      <c r="NU220" s="94"/>
      <c r="NV220" s="94"/>
      <c r="NW220" s="94"/>
      <c r="NX220" s="94"/>
      <c r="NY220" s="94"/>
      <c r="NZ220" s="94"/>
      <c r="OA220" s="94"/>
      <c r="OB220" s="94"/>
      <c r="OC220" s="94"/>
      <c r="OD220" s="94"/>
      <c r="OE220" s="94"/>
      <c r="OF220" s="94"/>
      <c r="OG220" s="94"/>
      <c r="OH220" s="94"/>
      <c r="OI220" s="94"/>
      <c r="OJ220" s="94"/>
      <c r="OK220" s="94"/>
      <c r="OL220" s="94"/>
      <c r="OM220" s="94"/>
      <c r="ON220" s="94"/>
      <c r="OO220" s="94"/>
      <c r="OP220" s="94"/>
      <c r="OQ220" s="94"/>
      <c r="OR220" s="94"/>
      <c r="OS220" s="94"/>
      <c r="OT220" s="94"/>
      <c r="OU220" s="94"/>
      <c r="OV220" s="94"/>
      <c r="OW220" s="94"/>
      <c r="OX220" s="94"/>
      <c r="OY220" s="94"/>
      <c r="OZ220" s="94"/>
      <c r="PA220" s="94"/>
      <c r="PB220" s="94"/>
      <c r="PC220" s="94"/>
      <c r="PD220" s="94"/>
      <c r="PE220" s="94"/>
      <c r="PF220" s="94"/>
      <c r="PG220" s="94"/>
      <c r="PH220" s="94"/>
      <c r="PI220" s="94"/>
      <c r="PJ220" s="94"/>
      <c r="PK220" s="94"/>
      <c r="PL220" s="94"/>
      <c r="PM220" s="94"/>
      <c r="PN220" s="94"/>
      <c r="PO220" s="94"/>
      <c r="PP220" s="94"/>
      <c r="PQ220" s="94"/>
      <c r="PR220" s="94"/>
      <c r="PS220" s="94"/>
      <c r="PT220" s="94"/>
      <c r="PU220" s="94"/>
      <c r="PV220" s="94"/>
      <c r="PW220" s="94"/>
      <c r="PX220" s="94"/>
      <c r="PY220" s="94"/>
      <c r="PZ220" s="94"/>
      <c r="QA220" s="94"/>
      <c r="QB220" s="94"/>
      <c r="QC220" s="94"/>
      <c r="QD220" s="94"/>
      <c r="QE220" s="94"/>
      <c r="QF220" s="94"/>
      <c r="QG220" s="94"/>
      <c r="QH220" s="94"/>
      <c r="QI220" s="94"/>
      <c r="QJ220" s="94"/>
      <c r="QK220" s="94"/>
      <c r="QL220" s="94"/>
      <c r="QM220" s="94"/>
      <c r="QN220" s="94"/>
      <c r="QO220" s="94"/>
      <c r="QP220" s="94"/>
      <c r="QQ220" s="94"/>
      <c r="QR220" s="94"/>
      <c r="QS220" s="94"/>
      <c r="QT220" s="94"/>
      <c r="QU220" s="94"/>
      <c r="QV220" s="94"/>
      <c r="QW220" s="94"/>
      <c r="QX220" s="94"/>
      <c r="QY220" s="94"/>
      <c r="QZ220" s="94"/>
      <c r="RA220" s="94"/>
      <c r="RB220" s="94"/>
      <c r="RC220" s="94"/>
      <c r="RD220" s="94"/>
      <c r="RE220" s="94"/>
      <c r="RF220" s="94"/>
      <c r="RG220" s="94"/>
      <c r="RH220" s="94"/>
      <c r="RI220" s="94"/>
      <c r="RJ220" s="94"/>
      <c r="RK220" s="94"/>
      <c r="RL220" s="94"/>
      <c r="RM220" s="94"/>
      <c r="RN220" s="94"/>
      <c r="RO220" s="94"/>
      <c r="RP220" s="94"/>
      <c r="RQ220" s="94"/>
      <c r="RR220" s="94"/>
      <c r="RS220" s="94"/>
      <c r="RT220" s="94"/>
      <c r="RU220" s="94"/>
      <c r="RV220" s="94"/>
      <c r="RW220" s="94"/>
      <c r="RX220" s="94"/>
      <c r="RY220" s="94"/>
      <c r="RZ220" s="94"/>
      <c r="SA220" s="94"/>
      <c r="SB220" s="94"/>
      <c r="SC220" s="94"/>
      <c r="SD220" s="94"/>
      <c r="SE220" s="94"/>
      <c r="SF220" s="94"/>
      <c r="SG220" s="94"/>
      <c r="SH220" s="94"/>
      <c r="SI220" s="94"/>
    </row>
    <row r="221" spans="1:503" s="90" customFormat="1" ht="15.6" customHeight="1" thickBot="1">
      <c r="A221" s="1"/>
      <c r="B221" s="1" t="s">
        <v>1340</v>
      </c>
      <c r="C221" s="1"/>
      <c r="D221" s="1"/>
      <c r="E221" s="1"/>
      <c r="F221" s="4068">
        <v>25000</v>
      </c>
      <c r="G221" s="4069"/>
      <c r="H221" s="1"/>
      <c r="I221" s="1" t="s">
        <v>1352</v>
      </c>
      <c r="K221" s="1"/>
      <c r="L221" s="4070"/>
      <c r="M221" s="4071"/>
      <c r="N221" s="1"/>
      <c r="O221" s="391">
        <f>+Q219/(P67*0.93)/12</f>
        <v>48.032407407407398</v>
      </c>
      <c r="P221" s="66" t="s">
        <v>2668</v>
      </c>
      <c r="Q221" s="1"/>
      <c r="R221" s="837"/>
      <c r="S221" s="3996"/>
      <c r="T221" s="3997"/>
      <c r="U221" s="3997"/>
      <c r="V221" s="3997"/>
      <c r="W221" s="3998"/>
      <c r="X221" s="443"/>
      <c r="Y221" s="445"/>
      <c r="Z221" s="445"/>
      <c r="AA221" s="445"/>
      <c r="AB221" s="445"/>
      <c r="AC221" s="443"/>
      <c r="AD221" s="445"/>
      <c r="AE221" s="445"/>
      <c r="AF221" s="445"/>
      <c r="AG221" s="445"/>
      <c r="AH221" s="443"/>
      <c r="AI221" s="445"/>
      <c r="AJ221" s="445"/>
      <c r="AK221" s="445"/>
      <c r="AL221" s="445"/>
      <c r="AM221" s="443"/>
      <c r="AN221" s="445"/>
      <c r="AO221" s="445"/>
      <c r="AP221" s="445"/>
      <c r="AQ221" s="445"/>
      <c r="AR221" s="445"/>
      <c r="AS221" s="445"/>
      <c r="AT221" s="445"/>
      <c r="AU221" s="445"/>
      <c r="AV221" s="445"/>
      <c r="AW221" s="445"/>
      <c r="AX221" s="445"/>
      <c r="AY221" s="445"/>
      <c r="AZ221" s="445"/>
      <c r="BA221" s="445"/>
      <c r="BB221" s="445"/>
      <c r="BC221" s="445"/>
      <c r="BD221" s="445"/>
      <c r="BE221" s="445"/>
      <c r="BF221" s="445"/>
      <c r="BG221" s="445"/>
      <c r="BH221" s="445"/>
      <c r="BI221" s="445"/>
      <c r="BJ221" s="445"/>
      <c r="BK221" s="445"/>
      <c r="BL221" s="445"/>
      <c r="BM221" s="445"/>
      <c r="BN221" s="445"/>
      <c r="BO221" s="445"/>
      <c r="BP221" s="445"/>
      <c r="BQ221" s="445"/>
      <c r="BR221" s="445"/>
      <c r="BS221" s="445"/>
      <c r="BT221" s="445"/>
      <c r="BU221" s="445"/>
      <c r="BV221" s="445"/>
      <c r="BW221" s="445"/>
      <c r="BX221" s="445"/>
      <c r="BY221" s="445"/>
      <c r="BZ221" s="445"/>
      <c r="CA221" s="445"/>
      <c r="CB221" s="445"/>
      <c r="CC221" s="445"/>
      <c r="CD221" s="445"/>
      <c r="CE221" s="445"/>
      <c r="CF221" s="445"/>
      <c r="CG221" s="445"/>
      <c r="CH221" s="445"/>
      <c r="CI221" s="445"/>
      <c r="CJ221" s="445"/>
      <c r="CK221" s="445"/>
      <c r="CL221" s="445"/>
      <c r="CM221" s="445"/>
      <c r="CN221" s="445"/>
      <c r="CO221" s="445"/>
      <c r="CP221" s="445"/>
      <c r="CQ221" s="445"/>
      <c r="CR221" s="445"/>
      <c r="CS221" s="445"/>
      <c r="CT221" s="445"/>
      <c r="CU221" s="445"/>
      <c r="CV221" s="445"/>
      <c r="CW221" s="445"/>
      <c r="CX221" s="445"/>
      <c r="CY221" s="445"/>
      <c r="CZ221" s="445"/>
      <c r="DA221" s="445"/>
      <c r="DB221" s="445"/>
      <c r="DC221" s="445"/>
      <c r="DD221" s="445"/>
      <c r="DE221" s="445"/>
      <c r="DF221" s="445"/>
      <c r="DG221" s="445"/>
      <c r="DH221" s="445"/>
      <c r="DI221" s="445"/>
      <c r="DJ221" s="445"/>
      <c r="DK221" s="445"/>
      <c r="DL221" s="445"/>
      <c r="DM221" s="445"/>
      <c r="DN221" s="445"/>
      <c r="DO221" s="445"/>
      <c r="DP221" s="445"/>
      <c r="DQ221" s="445"/>
      <c r="DR221" s="445"/>
      <c r="DS221" s="445"/>
      <c r="DT221" s="445"/>
      <c r="DU221" s="445"/>
      <c r="DV221" s="445"/>
      <c r="DW221" s="445"/>
      <c r="DX221" s="445"/>
      <c r="DY221" s="445"/>
      <c r="DZ221" s="445"/>
      <c r="EA221" s="445"/>
      <c r="EB221" s="445"/>
      <c r="EC221" s="445"/>
      <c r="ED221" s="445"/>
      <c r="EE221" s="445"/>
      <c r="EF221" s="445"/>
      <c r="EG221" s="445"/>
      <c r="EH221" s="445"/>
      <c r="EI221" s="445"/>
      <c r="EJ221" s="445"/>
      <c r="EK221" s="445"/>
      <c r="EL221" s="445"/>
      <c r="EM221" s="445"/>
      <c r="EN221" s="445"/>
      <c r="EO221" s="445"/>
      <c r="EP221" s="445"/>
      <c r="EQ221" s="445"/>
      <c r="ER221" s="445"/>
      <c r="ES221" s="445"/>
      <c r="ET221" s="445"/>
      <c r="EU221" s="445"/>
      <c r="EV221" s="445"/>
      <c r="EW221" s="445"/>
      <c r="EX221" s="445"/>
      <c r="EY221" s="445"/>
      <c r="EZ221" s="445"/>
      <c r="FA221" s="445"/>
      <c r="FB221" s="445"/>
      <c r="FC221" s="445"/>
      <c r="FD221" s="445"/>
      <c r="FE221" s="445"/>
      <c r="FF221" s="445"/>
      <c r="FG221" s="445"/>
      <c r="FH221" s="445"/>
      <c r="FI221" s="445"/>
      <c r="FJ221" s="445"/>
      <c r="FK221" s="445"/>
      <c r="FL221" s="445"/>
      <c r="FM221" s="445"/>
      <c r="FN221" s="445"/>
      <c r="FO221" s="445"/>
      <c r="FP221" s="445"/>
      <c r="FQ221" s="445"/>
      <c r="FR221" s="445"/>
      <c r="FS221" s="445"/>
      <c r="FT221" s="445"/>
      <c r="FU221" s="445"/>
      <c r="FV221" s="445"/>
      <c r="FW221" s="445"/>
      <c r="FX221" s="445"/>
      <c r="FY221" s="445"/>
      <c r="FZ221" s="445"/>
      <c r="GA221" s="445"/>
      <c r="GB221" s="445"/>
      <c r="GC221" s="445"/>
      <c r="GD221" s="445"/>
      <c r="GE221" s="445"/>
      <c r="GF221" s="445"/>
      <c r="GG221" s="445"/>
      <c r="GH221" s="445"/>
      <c r="GI221" s="445"/>
      <c r="GJ221" s="445"/>
      <c r="GK221" s="445"/>
      <c r="GL221" s="445"/>
      <c r="GM221" s="445"/>
      <c r="GN221" s="445"/>
      <c r="GO221" s="445"/>
      <c r="GP221" s="445"/>
      <c r="GQ221" s="445"/>
      <c r="GR221" s="445"/>
      <c r="GS221" s="445"/>
      <c r="GT221" s="445"/>
      <c r="GU221" s="445"/>
      <c r="GV221" s="445"/>
      <c r="GW221" s="445"/>
      <c r="GX221" s="445"/>
      <c r="GY221" s="445"/>
      <c r="GZ221" s="445"/>
      <c r="HA221" s="445"/>
      <c r="HB221" s="445"/>
      <c r="HC221" s="445"/>
      <c r="HD221" s="445"/>
      <c r="HE221" s="445"/>
      <c r="HF221" s="445"/>
      <c r="HG221" s="445"/>
      <c r="HH221" s="445"/>
      <c r="HI221" s="445"/>
      <c r="HJ221" s="445"/>
      <c r="HK221" s="445"/>
      <c r="HL221" s="445"/>
      <c r="HM221" s="445"/>
      <c r="HN221" s="445"/>
      <c r="HO221" s="445"/>
      <c r="HP221" s="445"/>
      <c r="HQ221" s="445"/>
      <c r="HR221" s="445"/>
      <c r="HS221" s="445"/>
      <c r="HT221" s="445"/>
      <c r="HU221" s="445"/>
      <c r="HV221" s="445"/>
      <c r="HW221" s="445"/>
      <c r="HX221" s="445"/>
      <c r="HY221" s="445"/>
      <c r="HZ221" s="445"/>
      <c r="IA221" s="445"/>
      <c r="IB221" s="445"/>
      <c r="IC221" s="445"/>
      <c r="ID221" s="445"/>
      <c r="IE221" s="445"/>
      <c r="IF221" s="445"/>
      <c r="IG221" s="445"/>
      <c r="IH221" s="445"/>
      <c r="II221" s="445"/>
      <c r="IJ221" s="445"/>
      <c r="IK221" s="445"/>
      <c r="IL221" s="445"/>
      <c r="IM221" s="445"/>
      <c r="IN221" s="445"/>
      <c r="IO221" s="445"/>
      <c r="IP221" s="445"/>
      <c r="IQ221" s="445"/>
      <c r="IR221" s="445"/>
      <c r="IS221" s="445"/>
      <c r="IT221" s="445"/>
      <c r="IU221" s="445"/>
      <c r="IV221" s="445"/>
      <c r="IW221" s="445"/>
      <c r="IX221" s="445"/>
      <c r="IY221" s="445"/>
      <c r="IZ221" s="445"/>
      <c r="JA221" s="445"/>
      <c r="JB221" s="445"/>
      <c r="JC221" s="445"/>
      <c r="JD221" s="445"/>
      <c r="JE221" s="445"/>
      <c r="JF221" s="445"/>
      <c r="JG221" s="445"/>
      <c r="JH221" s="445"/>
      <c r="JI221" s="445"/>
      <c r="JJ221" s="445"/>
      <c r="JK221" s="445"/>
      <c r="JL221" s="445"/>
      <c r="JM221" s="445"/>
      <c r="JN221" s="445"/>
      <c r="JO221" s="445"/>
      <c r="JP221" s="445"/>
      <c r="JQ221" s="445"/>
      <c r="JR221" s="445"/>
      <c r="JS221" s="445"/>
      <c r="JT221" s="445"/>
      <c r="JU221" s="445"/>
      <c r="JV221" s="445"/>
      <c r="JW221" s="2242"/>
      <c r="JX221" s="445"/>
      <c r="JY221" s="445"/>
      <c r="JZ221" s="445"/>
      <c r="KA221" s="445"/>
      <c r="KB221" s="2242"/>
      <c r="KC221" s="2242"/>
      <c r="KD221" s="2242"/>
      <c r="KE221" s="2242"/>
      <c r="KF221" s="2242"/>
      <c r="KG221" s="2242"/>
      <c r="KH221" s="2242"/>
      <c r="KI221" s="2242"/>
      <c r="KJ221" s="2242"/>
      <c r="KK221" s="2242"/>
      <c r="KL221" s="2242"/>
      <c r="KM221" s="2242"/>
      <c r="KN221" s="2242"/>
      <c r="KO221" s="2242"/>
      <c r="KP221" s="2242"/>
      <c r="KQ221" s="2242"/>
      <c r="KR221" s="2242"/>
      <c r="KS221" s="2242"/>
      <c r="KT221" s="2242"/>
      <c r="KU221" s="2242"/>
      <c r="KV221" s="2242"/>
      <c r="KW221" s="2242"/>
      <c r="KX221" s="2242"/>
      <c r="KY221" s="2242"/>
      <c r="KZ221" s="2242"/>
      <c r="LA221" s="2242"/>
      <c r="LB221" s="2242"/>
      <c r="LC221" s="2242"/>
      <c r="LD221" s="2242"/>
      <c r="LE221" s="2242"/>
      <c r="LF221" s="2242"/>
      <c r="LG221" s="2242"/>
      <c r="LH221" s="2242"/>
      <c r="LI221" s="2242"/>
      <c r="LJ221" s="2242"/>
      <c r="LK221" s="2242"/>
      <c r="LL221" s="2242"/>
      <c r="LM221" s="2242"/>
      <c r="LN221" s="2242"/>
      <c r="LO221" s="2242"/>
      <c r="LP221" s="2242"/>
      <c r="LQ221" s="2242"/>
      <c r="LR221" s="445"/>
      <c r="LS221" s="445"/>
      <c r="LT221" s="445"/>
      <c r="LU221" s="445"/>
      <c r="LV221" s="445"/>
      <c r="LW221" s="445"/>
      <c r="LX221" s="2243"/>
      <c r="LY221" s="445"/>
      <c r="LZ221" s="445"/>
      <c r="MA221" s="445"/>
      <c r="MB221" s="445"/>
      <c r="MC221" s="445"/>
      <c r="MD221" s="445"/>
      <c r="ME221" s="445"/>
      <c r="MF221" s="445"/>
      <c r="MG221" s="445"/>
      <c r="MH221" s="445"/>
      <c r="MI221" s="445"/>
      <c r="MJ221" s="445"/>
      <c r="MK221" s="445"/>
      <c r="ML221" s="445"/>
      <c r="MM221" s="445"/>
      <c r="MN221" s="2243"/>
      <c r="MO221" s="2243"/>
      <c r="MP221" s="445"/>
      <c r="MQ221" s="445"/>
      <c r="MR221" s="445"/>
      <c r="MS221" s="445"/>
      <c r="MT221" s="445"/>
      <c r="MU221" s="445"/>
      <c r="MV221" s="445"/>
      <c r="MW221" s="445"/>
      <c r="MX221" s="445"/>
      <c r="MY221" s="445"/>
      <c r="MZ221" s="445"/>
      <c r="NA221" s="445"/>
      <c r="NB221" s="445"/>
      <c r="NC221" s="445"/>
      <c r="ND221" s="445"/>
      <c r="NE221" s="94"/>
      <c r="NF221" s="94"/>
      <c r="NG221" s="94"/>
      <c r="NH221" s="94"/>
      <c r="NI221" s="94"/>
      <c r="NJ221" s="94"/>
      <c r="NK221" s="94"/>
      <c r="NL221" s="94"/>
      <c r="NM221" s="94"/>
      <c r="NN221" s="94"/>
      <c r="NO221" s="94"/>
      <c r="NP221" s="94"/>
      <c r="NQ221" s="94"/>
      <c r="NR221" s="94"/>
      <c r="NS221" s="94"/>
      <c r="NT221" s="94"/>
      <c r="NU221" s="94"/>
      <c r="NV221" s="94"/>
      <c r="NW221" s="94"/>
      <c r="NX221" s="94"/>
      <c r="NY221" s="94"/>
      <c r="NZ221" s="94"/>
      <c r="OA221" s="94"/>
      <c r="OB221" s="94"/>
      <c r="OC221" s="94"/>
      <c r="OD221" s="94"/>
      <c r="OE221" s="94"/>
      <c r="OF221" s="94"/>
      <c r="OG221" s="94"/>
      <c r="OH221" s="94"/>
      <c r="OI221" s="94"/>
      <c r="OJ221" s="94"/>
      <c r="OK221" s="94"/>
      <c r="OL221" s="94"/>
      <c r="OM221" s="94"/>
      <c r="ON221" s="94"/>
      <c r="OO221" s="94"/>
      <c r="OP221" s="94"/>
      <c r="OQ221" s="94"/>
      <c r="OR221" s="94"/>
      <c r="OS221" s="94"/>
      <c r="OT221" s="94"/>
      <c r="OU221" s="94"/>
      <c r="OV221" s="94"/>
      <c r="OW221" s="94"/>
      <c r="OX221" s="94"/>
      <c r="OY221" s="94"/>
      <c r="OZ221" s="94"/>
      <c r="PA221" s="94"/>
      <c r="PB221" s="94"/>
      <c r="PC221" s="94"/>
      <c r="PD221" s="94"/>
      <c r="PE221" s="94"/>
      <c r="PF221" s="94"/>
      <c r="PG221" s="94"/>
      <c r="PH221" s="94"/>
      <c r="PI221" s="94"/>
      <c r="PJ221" s="94"/>
      <c r="PK221" s="94"/>
      <c r="PL221" s="94"/>
      <c r="PM221" s="94"/>
      <c r="PN221" s="94"/>
      <c r="PO221" s="94"/>
      <c r="PP221" s="94"/>
      <c r="PQ221" s="94"/>
      <c r="PR221" s="94"/>
      <c r="PS221" s="94"/>
      <c r="PT221" s="94"/>
      <c r="PU221" s="94"/>
      <c r="PV221" s="94"/>
      <c r="PW221" s="94"/>
      <c r="PX221" s="94"/>
      <c r="PY221" s="94"/>
      <c r="PZ221" s="94"/>
      <c r="QA221" s="94"/>
      <c r="QB221" s="94"/>
      <c r="QC221" s="94"/>
      <c r="QD221" s="94"/>
      <c r="QE221" s="94"/>
      <c r="QF221" s="94"/>
      <c r="QG221" s="94"/>
      <c r="QH221" s="94"/>
      <c r="QI221" s="94"/>
      <c r="QJ221" s="94"/>
      <c r="QK221" s="94"/>
      <c r="QL221" s="94"/>
      <c r="QM221" s="94"/>
      <c r="QN221" s="94"/>
      <c r="QO221" s="94"/>
      <c r="QP221" s="94"/>
      <c r="QQ221" s="94"/>
      <c r="QR221" s="94"/>
      <c r="QS221" s="94"/>
      <c r="QT221" s="94"/>
      <c r="QU221" s="94"/>
      <c r="QV221" s="94"/>
      <c r="QW221" s="94"/>
      <c r="QX221" s="94"/>
      <c r="QY221" s="94"/>
      <c r="QZ221" s="94"/>
      <c r="RA221" s="94"/>
      <c r="RB221" s="94"/>
      <c r="RC221" s="94"/>
      <c r="RD221" s="94"/>
      <c r="RE221" s="94"/>
      <c r="RF221" s="94"/>
      <c r="RG221" s="94"/>
      <c r="RH221" s="94"/>
      <c r="RI221" s="94"/>
      <c r="RJ221" s="94"/>
      <c r="RK221" s="94"/>
      <c r="RL221" s="94"/>
      <c r="RM221" s="94"/>
      <c r="RN221" s="94"/>
      <c r="RO221" s="94"/>
      <c r="RP221" s="94"/>
      <c r="RQ221" s="94"/>
      <c r="RR221" s="94"/>
      <c r="RS221" s="94"/>
      <c r="RT221" s="94"/>
      <c r="RU221" s="94"/>
      <c r="RV221" s="94"/>
      <c r="RW221" s="94"/>
      <c r="RX221" s="94"/>
      <c r="RY221" s="94"/>
      <c r="RZ221" s="94"/>
      <c r="SA221" s="94"/>
      <c r="SB221" s="94"/>
      <c r="SC221" s="94"/>
      <c r="SD221" s="94"/>
      <c r="SE221" s="94"/>
      <c r="SF221" s="94"/>
      <c r="SG221" s="94"/>
      <c r="SH221" s="94"/>
      <c r="SI221" s="94"/>
    </row>
    <row r="222" spans="1:503" s="90" customFormat="1" ht="15.6" customHeight="1" thickTop="1">
      <c r="A222" s="1"/>
      <c r="B222" s="1" t="s">
        <v>1213</v>
      </c>
      <c r="C222" s="1"/>
      <c r="D222" s="1"/>
      <c r="E222" s="1"/>
      <c r="F222" s="4068">
        <v>5000</v>
      </c>
      <c r="G222" s="4069"/>
      <c r="H222" s="1"/>
      <c r="I222" s="1"/>
      <c r="K222" s="122" t="s">
        <v>187</v>
      </c>
      <c r="L222" s="2648">
        <f>SUM(L220:M221)</f>
        <v>0</v>
      </c>
      <c r="M222" s="2649"/>
      <c r="N222" s="1"/>
      <c r="O222" s="36" t="s">
        <v>3545</v>
      </c>
      <c r="P222" s="930"/>
      <c r="Q222" s="930"/>
      <c r="R222" s="837"/>
      <c r="S222" s="3996"/>
      <c r="T222" s="3997"/>
      <c r="U222" s="3997"/>
      <c r="V222" s="3997"/>
      <c r="W222" s="3998"/>
      <c r="X222" s="443"/>
      <c r="Y222" s="445"/>
      <c r="Z222" s="445"/>
      <c r="AA222" s="445"/>
      <c r="AB222" s="445"/>
      <c r="AC222" s="443"/>
      <c r="AD222" s="445"/>
      <c r="AE222" s="445"/>
      <c r="AF222" s="445"/>
      <c r="AG222" s="445"/>
      <c r="AH222" s="443"/>
      <c r="AI222" s="445"/>
      <c r="AJ222" s="445"/>
      <c r="AK222" s="445"/>
      <c r="AL222" s="445"/>
      <c r="AM222" s="443"/>
      <c r="AN222" s="445"/>
      <c r="AO222" s="445"/>
      <c r="AP222" s="445"/>
      <c r="AQ222" s="445"/>
      <c r="AR222" s="445"/>
      <c r="AS222" s="445"/>
      <c r="AT222" s="445"/>
      <c r="AU222" s="445"/>
      <c r="AV222" s="445"/>
      <c r="AW222" s="445"/>
      <c r="AX222" s="445"/>
      <c r="AY222" s="445"/>
      <c r="AZ222" s="445"/>
      <c r="BA222" s="445"/>
      <c r="BB222" s="445"/>
      <c r="BC222" s="445"/>
      <c r="BD222" s="445"/>
      <c r="BE222" s="445"/>
      <c r="BF222" s="445"/>
      <c r="BG222" s="445"/>
      <c r="BH222" s="445"/>
      <c r="BI222" s="445"/>
      <c r="BJ222" s="445"/>
      <c r="BK222" s="445"/>
      <c r="BL222" s="445"/>
      <c r="BM222" s="445"/>
      <c r="BN222" s="445"/>
      <c r="BO222" s="445"/>
      <c r="BP222" s="445"/>
      <c r="BQ222" s="445"/>
      <c r="BR222" s="445"/>
      <c r="BS222" s="445"/>
      <c r="BT222" s="445"/>
      <c r="BU222" s="445"/>
      <c r="BV222" s="445"/>
      <c r="BW222" s="445"/>
      <c r="BX222" s="445"/>
      <c r="BY222" s="445"/>
      <c r="BZ222" s="445"/>
      <c r="CA222" s="445"/>
      <c r="CB222" s="445"/>
      <c r="CC222" s="445"/>
      <c r="CD222" s="445"/>
      <c r="CE222" s="445"/>
      <c r="CF222" s="445"/>
      <c r="CG222" s="445"/>
      <c r="CH222" s="445"/>
      <c r="CI222" s="445"/>
      <c r="CJ222" s="445"/>
      <c r="CK222" s="445"/>
      <c r="CL222" s="445"/>
      <c r="CM222" s="445"/>
      <c r="CN222" s="445"/>
      <c r="CO222" s="445"/>
      <c r="CP222" s="445"/>
      <c r="CQ222" s="445"/>
      <c r="CR222" s="445"/>
      <c r="CS222" s="445"/>
      <c r="CT222" s="445"/>
      <c r="CU222" s="445"/>
      <c r="CV222" s="445"/>
      <c r="CW222" s="445"/>
      <c r="CX222" s="445"/>
      <c r="CY222" s="445"/>
      <c r="CZ222" s="445"/>
      <c r="DA222" s="445"/>
      <c r="DB222" s="445"/>
      <c r="DC222" s="445"/>
      <c r="DD222" s="445"/>
      <c r="DE222" s="445"/>
      <c r="DF222" s="445"/>
      <c r="DG222" s="445"/>
      <c r="DH222" s="445"/>
      <c r="DI222" s="445"/>
      <c r="DJ222" s="445"/>
      <c r="DK222" s="445"/>
      <c r="DL222" s="445"/>
      <c r="DM222" s="445"/>
      <c r="DN222" s="445"/>
      <c r="DO222" s="445"/>
      <c r="DP222" s="445"/>
      <c r="DQ222" s="445"/>
      <c r="DR222" s="445"/>
      <c r="DS222" s="445"/>
      <c r="DT222" s="445"/>
      <c r="DU222" s="445"/>
      <c r="DV222" s="445"/>
      <c r="DW222" s="445"/>
      <c r="DX222" s="445"/>
      <c r="DY222" s="445"/>
      <c r="DZ222" s="445"/>
      <c r="EA222" s="445"/>
      <c r="EB222" s="445"/>
      <c r="EC222" s="445"/>
      <c r="ED222" s="445"/>
      <c r="EE222" s="445"/>
      <c r="EF222" s="445"/>
      <c r="EG222" s="445"/>
      <c r="EH222" s="445"/>
      <c r="EI222" s="445"/>
      <c r="EJ222" s="445"/>
      <c r="EK222" s="445"/>
      <c r="EL222" s="445"/>
      <c r="EM222" s="445"/>
      <c r="EN222" s="445"/>
      <c r="EO222" s="445"/>
      <c r="EP222" s="445"/>
      <c r="EQ222" s="445"/>
      <c r="ER222" s="445"/>
      <c r="ES222" s="445"/>
      <c r="ET222" s="445"/>
      <c r="EU222" s="445"/>
      <c r="EV222" s="445"/>
      <c r="EW222" s="445"/>
      <c r="EX222" s="445"/>
      <c r="EY222" s="445"/>
      <c r="EZ222" s="445"/>
      <c r="FA222" s="445"/>
      <c r="FB222" s="445"/>
      <c r="FC222" s="445"/>
      <c r="FD222" s="445"/>
      <c r="FE222" s="445"/>
      <c r="FF222" s="445"/>
      <c r="FG222" s="445"/>
      <c r="FH222" s="445"/>
      <c r="FI222" s="445"/>
      <c r="FJ222" s="445"/>
      <c r="FK222" s="445"/>
      <c r="FL222" s="445"/>
      <c r="FM222" s="445"/>
      <c r="FN222" s="445"/>
      <c r="FO222" s="445"/>
      <c r="FP222" s="445"/>
      <c r="FQ222" s="445"/>
      <c r="FR222" s="445"/>
      <c r="FS222" s="445"/>
      <c r="FT222" s="445"/>
      <c r="FU222" s="445"/>
      <c r="FV222" s="445"/>
      <c r="FW222" s="445"/>
      <c r="FX222" s="445"/>
      <c r="FY222" s="445"/>
      <c r="FZ222" s="445"/>
      <c r="GA222" s="445"/>
      <c r="GB222" s="445"/>
      <c r="GC222" s="445"/>
      <c r="GD222" s="445"/>
      <c r="GE222" s="445"/>
      <c r="GF222" s="445"/>
      <c r="GG222" s="445"/>
      <c r="GH222" s="445"/>
      <c r="GI222" s="445"/>
      <c r="GJ222" s="445"/>
      <c r="GK222" s="445"/>
      <c r="GL222" s="445"/>
      <c r="GM222" s="445"/>
      <c r="GN222" s="445"/>
      <c r="GO222" s="445"/>
      <c r="GP222" s="445"/>
      <c r="GQ222" s="445"/>
      <c r="GR222" s="445"/>
      <c r="GS222" s="445"/>
      <c r="GT222" s="445"/>
      <c r="GU222" s="445"/>
      <c r="GV222" s="445"/>
      <c r="GW222" s="445"/>
      <c r="GX222" s="445"/>
      <c r="GY222" s="445"/>
      <c r="GZ222" s="445"/>
      <c r="HA222" s="445"/>
      <c r="HB222" s="445"/>
      <c r="HC222" s="445"/>
      <c r="HD222" s="445"/>
      <c r="HE222" s="445"/>
      <c r="HF222" s="445"/>
      <c r="HG222" s="445"/>
      <c r="HH222" s="445"/>
      <c r="HI222" s="445"/>
      <c r="HJ222" s="445"/>
      <c r="HK222" s="445"/>
      <c r="HL222" s="445"/>
      <c r="HM222" s="445"/>
      <c r="HN222" s="445"/>
      <c r="HO222" s="445"/>
      <c r="HP222" s="445"/>
      <c r="HQ222" s="445"/>
      <c r="HR222" s="445"/>
      <c r="HS222" s="445"/>
      <c r="HT222" s="445"/>
      <c r="HU222" s="445"/>
      <c r="HV222" s="445"/>
      <c r="HW222" s="445"/>
      <c r="HX222" s="445"/>
      <c r="HY222" s="445"/>
      <c r="HZ222" s="445"/>
      <c r="IA222" s="445"/>
      <c r="IB222" s="445"/>
      <c r="IC222" s="445"/>
      <c r="ID222" s="445"/>
      <c r="IE222" s="445"/>
      <c r="IF222" s="445"/>
      <c r="IG222" s="445"/>
      <c r="IH222" s="445"/>
      <c r="II222" s="445"/>
      <c r="IJ222" s="445"/>
      <c r="IK222" s="445"/>
      <c r="IL222" s="445"/>
      <c r="IM222" s="445"/>
      <c r="IN222" s="445"/>
      <c r="IO222" s="445"/>
      <c r="IP222" s="445"/>
      <c r="IQ222" s="445"/>
      <c r="IR222" s="445"/>
      <c r="IS222" s="445"/>
      <c r="IT222" s="445"/>
      <c r="IU222" s="445"/>
      <c r="IV222" s="445"/>
      <c r="IW222" s="445"/>
      <c r="IX222" s="445"/>
      <c r="IY222" s="445"/>
      <c r="IZ222" s="445"/>
      <c r="JA222" s="445"/>
      <c r="JB222" s="445"/>
      <c r="JC222" s="445"/>
      <c r="JD222" s="445"/>
      <c r="JE222" s="445"/>
      <c r="JF222" s="445"/>
      <c r="JG222" s="445"/>
      <c r="JH222" s="445"/>
      <c r="JI222" s="445"/>
      <c r="JJ222" s="445"/>
      <c r="JK222" s="445"/>
      <c r="JL222" s="445"/>
      <c r="JM222" s="445"/>
      <c r="JN222" s="445"/>
      <c r="JO222" s="445"/>
      <c r="JP222" s="445"/>
      <c r="JQ222" s="445"/>
      <c r="JR222" s="445"/>
      <c r="JS222" s="445"/>
      <c r="JT222" s="445"/>
      <c r="JU222" s="445"/>
      <c r="JV222" s="445"/>
      <c r="JW222" s="2242"/>
      <c r="JX222" s="445"/>
      <c r="JY222" s="445"/>
      <c r="JZ222" s="445"/>
      <c r="KA222" s="445"/>
      <c r="KB222" s="2242"/>
      <c r="KC222" s="2242"/>
      <c r="KD222" s="2242"/>
      <c r="KE222" s="2242"/>
      <c r="KF222" s="2242"/>
      <c r="KG222" s="2242"/>
      <c r="KH222" s="2242"/>
      <c r="KI222" s="2242"/>
      <c r="KJ222" s="2242"/>
      <c r="KK222" s="2242"/>
      <c r="KL222" s="2242"/>
      <c r="KM222" s="2242"/>
      <c r="KN222" s="2242"/>
      <c r="KO222" s="2242"/>
      <c r="KP222" s="2242"/>
      <c r="KQ222" s="2242"/>
      <c r="KR222" s="2242"/>
      <c r="KS222" s="2242"/>
      <c r="KT222" s="2242"/>
      <c r="KU222" s="2242"/>
      <c r="KV222" s="2242"/>
      <c r="KW222" s="2242"/>
      <c r="KX222" s="2242"/>
      <c r="KY222" s="2242"/>
      <c r="KZ222" s="2242"/>
      <c r="LA222" s="2242"/>
      <c r="LB222" s="2242"/>
      <c r="LC222" s="2242"/>
      <c r="LD222" s="2242"/>
      <c r="LE222" s="2242"/>
      <c r="LF222" s="2242"/>
      <c r="LG222" s="2242"/>
      <c r="LH222" s="2242"/>
      <c r="LI222" s="2242"/>
      <c r="LJ222" s="2242"/>
      <c r="LK222" s="2242"/>
      <c r="LL222" s="2242"/>
      <c r="LM222" s="2242"/>
      <c r="LN222" s="2242"/>
      <c r="LO222" s="2242"/>
      <c r="LP222" s="2242"/>
      <c r="LQ222" s="2242"/>
      <c r="LR222" s="445"/>
      <c r="LS222" s="445"/>
      <c r="LT222" s="445"/>
      <c r="LU222" s="445"/>
      <c r="LV222" s="445"/>
      <c r="LW222" s="445"/>
      <c r="LX222" s="2243"/>
      <c r="LY222" s="445"/>
      <c r="LZ222" s="445"/>
      <c r="MA222" s="445"/>
      <c r="MB222" s="445"/>
      <c r="MC222" s="445"/>
      <c r="MD222" s="445"/>
      <c r="ME222" s="445"/>
      <c r="MF222" s="445"/>
      <c r="MG222" s="445"/>
      <c r="MH222" s="445"/>
      <c r="MI222" s="445"/>
      <c r="MJ222" s="445"/>
      <c r="MK222" s="445"/>
      <c r="ML222" s="445"/>
      <c r="MM222" s="445"/>
      <c r="MN222" s="2243"/>
      <c r="MO222" s="2243"/>
      <c r="MP222" s="445"/>
      <c r="MQ222" s="445"/>
      <c r="MR222" s="445"/>
      <c r="MS222" s="445"/>
      <c r="MT222" s="445"/>
      <c r="MU222" s="445"/>
      <c r="MV222" s="445"/>
      <c r="MW222" s="445"/>
      <c r="MX222" s="445"/>
      <c r="MY222" s="445"/>
      <c r="MZ222" s="445"/>
      <c r="NA222" s="445"/>
      <c r="NB222" s="445"/>
      <c r="NC222" s="445"/>
      <c r="ND222" s="445"/>
      <c r="NE222" s="94"/>
      <c r="NF222" s="94"/>
      <c r="NG222" s="94"/>
      <c r="NH222" s="94"/>
      <c r="NI222" s="94"/>
      <c r="NJ222" s="94"/>
      <c r="NK222" s="94"/>
      <c r="NL222" s="94"/>
      <c r="NM222" s="94"/>
      <c r="NN222" s="94"/>
      <c r="NO222" s="94"/>
      <c r="NP222" s="94"/>
      <c r="NQ222" s="94"/>
      <c r="NR222" s="94"/>
      <c r="NS222" s="94"/>
      <c r="NT222" s="94"/>
      <c r="NU222" s="94"/>
      <c r="NV222" s="94"/>
      <c r="NW222" s="94"/>
      <c r="NX222" s="94"/>
      <c r="NY222" s="94"/>
      <c r="NZ222" s="94"/>
      <c r="OA222" s="94"/>
      <c r="OB222" s="94"/>
      <c r="OC222" s="94"/>
      <c r="OD222" s="94"/>
      <c r="OE222" s="94"/>
      <c r="OF222" s="94"/>
      <c r="OG222" s="94"/>
      <c r="OH222" s="94"/>
      <c r="OI222" s="94"/>
      <c r="OJ222" s="94"/>
      <c r="OK222" s="94"/>
      <c r="OL222" s="94"/>
      <c r="OM222" s="94"/>
      <c r="ON222" s="94"/>
      <c r="OO222" s="94"/>
      <c r="OP222" s="94"/>
      <c r="OQ222" s="94"/>
      <c r="OR222" s="94"/>
      <c r="OS222" s="94"/>
      <c r="OT222" s="94"/>
      <c r="OU222" s="94"/>
      <c r="OV222" s="94"/>
      <c r="OW222" s="94"/>
      <c r="OX222" s="94"/>
      <c r="OY222" s="94"/>
      <c r="OZ222" s="94"/>
      <c r="PA222" s="94"/>
      <c r="PB222" s="94"/>
      <c r="PC222" s="94"/>
      <c r="PD222" s="94"/>
      <c r="PE222" s="94"/>
      <c r="PF222" s="94"/>
      <c r="PG222" s="94"/>
      <c r="PH222" s="94"/>
      <c r="PI222" s="94"/>
      <c r="PJ222" s="94"/>
      <c r="PK222" s="94"/>
      <c r="PL222" s="94"/>
      <c r="PM222" s="94"/>
      <c r="PN222" s="94"/>
      <c r="PO222" s="94"/>
      <c r="PP222" s="94"/>
      <c r="PQ222" s="94"/>
      <c r="PR222" s="94"/>
      <c r="PS222" s="94"/>
      <c r="PT222" s="94"/>
      <c r="PU222" s="94"/>
      <c r="PV222" s="94"/>
      <c r="PW222" s="94"/>
      <c r="PX222" s="94"/>
      <c r="PY222" s="94"/>
      <c r="PZ222" s="94"/>
      <c r="QA222" s="94"/>
      <c r="QB222" s="94"/>
      <c r="QC222" s="94"/>
      <c r="QD222" s="94"/>
      <c r="QE222" s="94"/>
      <c r="QF222" s="94"/>
      <c r="QG222" s="94"/>
      <c r="QH222" s="94"/>
      <c r="QI222" s="94"/>
      <c r="QJ222" s="94"/>
      <c r="QK222" s="94"/>
      <c r="QL222" s="94"/>
      <c r="QM222" s="94"/>
      <c r="QN222" s="94"/>
      <c r="QO222" s="94"/>
      <c r="QP222" s="94"/>
      <c r="QQ222" s="94"/>
      <c r="QR222" s="94"/>
      <c r="QS222" s="94"/>
      <c r="QT222" s="94"/>
      <c r="QU222" s="94"/>
      <c r="QV222" s="94"/>
      <c r="QW222" s="94"/>
      <c r="QX222" s="94"/>
      <c r="QY222" s="94"/>
      <c r="QZ222" s="94"/>
      <c r="RA222" s="94"/>
      <c r="RB222" s="94"/>
      <c r="RC222" s="94"/>
      <c r="RD222" s="94"/>
      <c r="RE222" s="94"/>
      <c r="RF222" s="94"/>
      <c r="RG222" s="94"/>
      <c r="RH222" s="94"/>
      <c r="RI222" s="94"/>
      <c r="RJ222" s="94"/>
      <c r="RK222" s="94"/>
      <c r="RL222" s="94"/>
      <c r="RM222" s="94"/>
      <c r="RN222" s="94"/>
      <c r="RO222" s="94"/>
      <c r="RP222" s="94"/>
      <c r="RQ222" s="94"/>
      <c r="RR222" s="94"/>
      <c r="RS222" s="94"/>
      <c r="RT222" s="94"/>
      <c r="RU222" s="94"/>
      <c r="RV222" s="94"/>
      <c r="RW222" s="94"/>
      <c r="RX222" s="94"/>
      <c r="RY222" s="94"/>
      <c r="RZ222" s="94"/>
      <c r="SA222" s="94"/>
      <c r="SB222" s="94"/>
      <c r="SC222" s="94"/>
      <c r="SD222" s="94"/>
      <c r="SE222" s="94"/>
      <c r="SF222" s="94"/>
      <c r="SG222" s="94"/>
      <c r="SH222" s="94"/>
      <c r="SI222" s="94"/>
    </row>
    <row r="223" spans="1:503" s="90" customFormat="1" ht="15.6" customHeight="1">
      <c r="A223" s="1"/>
      <c r="B223" s="1552" t="s">
        <v>4697</v>
      </c>
      <c r="F223" s="4068">
        <v>12480</v>
      </c>
      <c r="G223" s="4069"/>
      <c r="H223" s="1"/>
      <c r="I223" s="1"/>
      <c r="K223" s="1"/>
      <c r="L223" s="1"/>
      <c r="M223" s="1"/>
      <c r="N223" s="1"/>
      <c r="R223" s="837"/>
      <c r="S223" s="3996"/>
      <c r="T223" s="3997"/>
      <c r="U223" s="3997"/>
      <c r="V223" s="3997"/>
      <c r="W223" s="3998"/>
      <c r="X223" s="443"/>
      <c r="Y223" s="445"/>
      <c r="Z223" s="445"/>
      <c r="AA223" s="445"/>
      <c r="AB223" s="445"/>
      <c r="AC223" s="443"/>
      <c r="AD223" s="445"/>
      <c r="AE223" s="445"/>
      <c r="AF223" s="445"/>
      <c r="AG223" s="445"/>
      <c r="AH223" s="443"/>
      <c r="AI223" s="445"/>
      <c r="AJ223" s="445"/>
      <c r="AK223" s="445"/>
      <c r="AL223" s="445"/>
      <c r="AM223" s="443"/>
      <c r="AN223" s="445"/>
      <c r="AO223" s="445"/>
      <c r="AP223" s="445"/>
      <c r="AQ223" s="445"/>
      <c r="AR223" s="445"/>
      <c r="AS223" s="445"/>
      <c r="AT223" s="445"/>
      <c r="AU223" s="445"/>
      <c r="AV223" s="445"/>
      <c r="AW223" s="445"/>
      <c r="AX223" s="445"/>
      <c r="AY223" s="445"/>
      <c r="AZ223" s="445"/>
      <c r="BA223" s="445"/>
      <c r="BB223" s="445"/>
      <c r="BC223" s="445"/>
      <c r="BD223" s="445"/>
      <c r="BE223" s="445"/>
      <c r="BF223" s="445"/>
      <c r="BG223" s="445"/>
      <c r="BH223" s="445"/>
      <c r="BI223" s="445"/>
      <c r="BJ223" s="445"/>
      <c r="BK223" s="445"/>
      <c r="BL223" s="445"/>
      <c r="BM223" s="445"/>
      <c r="BN223" s="445"/>
      <c r="BO223" s="445"/>
      <c r="BP223" s="445"/>
      <c r="BQ223" s="445"/>
      <c r="BR223" s="445"/>
      <c r="BS223" s="445"/>
      <c r="BT223" s="445"/>
      <c r="BU223" s="445"/>
      <c r="BV223" s="445"/>
      <c r="BW223" s="445"/>
      <c r="BX223" s="445"/>
      <c r="BY223" s="445"/>
      <c r="BZ223" s="445"/>
      <c r="CA223" s="445"/>
      <c r="CB223" s="445"/>
      <c r="CC223" s="445"/>
      <c r="CD223" s="445"/>
      <c r="CE223" s="445"/>
      <c r="CF223" s="445"/>
      <c r="CG223" s="445"/>
      <c r="CH223" s="445"/>
      <c r="CI223" s="445"/>
      <c r="CJ223" s="445"/>
      <c r="CK223" s="445"/>
      <c r="CL223" s="445"/>
      <c r="CM223" s="445"/>
      <c r="CN223" s="445"/>
      <c r="CO223" s="445"/>
      <c r="CP223" s="445"/>
      <c r="CQ223" s="445"/>
      <c r="CR223" s="445"/>
      <c r="CS223" s="445"/>
      <c r="CT223" s="445"/>
      <c r="CU223" s="445"/>
      <c r="CV223" s="445"/>
      <c r="CW223" s="445"/>
      <c r="CX223" s="445"/>
      <c r="CY223" s="445"/>
      <c r="CZ223" s="445"/>
      <c r="DA223" s="445"/>
      <c r="DB223" s="445"/>
      <c r="DC223" s="445"/>
      <c r="DD223" s="445"/>
      <c r="DE223" s="445"/>
      <c r="DF223" s="445"/>
      <c r="DG223" s="445"/>
      <c r="DH223" s="445"/>
      <c r="DI223" s="445"/>
      <c r="DJ223" s="445"/>
      <c r="DK223" s="445"/>
      <c r="DL223" s="445"/>
      <c r="DM223" s="445"/>
      <c r="DN223" s="445"/>
      <c r="DO223" s="445"/>
      <c r="DP223" s="445"/>
      <c r="DQ223" s="445"/>
      <c r="DR223" s="445"/>
      <c r="DS223" s="445"/>
      <c r="DT223" s="445"/>
      <c r="DU223" s="445"/>
      <c r="DV223" s="445"/>
      <c r="DW223" s="445"/>
      <c r="DX223" s="445"/>
      <c r="DY223" s="445"/>
      <c r="DZ223" s="445"/>
      <c r="EA223" s="445"/>
      <c r="EB223" s="445"/>
      <c r="EC223" s="445"/>
      <c r="ED223" s="445"/>
      <c r="EE223" s="445"/>
      <c r="EF223" s="445"/>
      <c r="EG223" s="445"/>
      <c r="EH223" s="445"/>
      <c r="EI223" s="445"/>
      <c r="EJ223" s="445"/>
      <c r="EK223" s="445"/>
      <c r="EL223" s="445"/>
      <c r="EM223" s="445"/>
      <c r="EN223" s="445"/>
      <c r="EO223" s="445"/>
      <c r="EP223" s="445"/>
      <c r="EQ223" s="445"/>
      <c r="ER223" s="445"/>
      <c r="ES223" s="445"/>
      <c r="ET223" s="445"/>
      <c r="EU223" s="445"/>
      <c r="EV223" s="445"/>
      <c r="EW223" s="445"/>
      <c r="EX223" s="445"/>
      <c r="EY223" s="445"/>
      <c r="EZ223" s="445"/>
      <c r="FA223" s="445"/>
      <c r="FB223" s="445"/>
      <c r="FC223" s="445"/>
      <c r="FD223" s="445"/>
      <c r="FE223" s="445"/>
      <c r="FF223" s="445"/>
      <c r="FG223" s="445"/>
      <c r="FH223" s="445"/>
      <c r="FI223" s="445"/>
      <c r="FJ223" s="445"/>
      <c r="FK223" s="445"/>
      <c r="FL223" s="445"/>
      <c r="FM223" s="445"/>
      <c r="FN223" s="445"/>
      <c r="FO223" s="445"/>
      <c r="FP223" s="445"/>
      <c r="FQ223" s="445"/>
      <c r="FR223" s="445"/>
      <c r="FS223" s="445"/>
      <c r="FT223" s="445"/>
      <c r="FU223" s="445"/>
      <c r="FV223" s="445"/>
      <c r="FW223" s="445"/>
      <c r="FX223" s="445"/>
      <c r="FY223" s="445"/>
      <c r="FZ223" s="445"/>
      <c r="GA223" s="445"/>
      <c r="GB223" s="445"/>
      <c r="GC223" s="445"/>
      <c r="GD223" s="445"/>
      <c r="GE223" s="445"/>
      <c r="GF223" s="445"/>
      <c r="GG223" s="445"/>
      <c r="GH223" s="445"/>
      <c r="GI223" s="445"/>
      <c r="GJ223" s="445"/>
      <c r="GK223" s="445"/>
      <c r="GL223" s="445"/>
      <c r="GM223" s="445"/>
      <c r="GN223" s="445"/>
      <c r="GO223" s="445"/>
      <c r="GP223" s="445"/>
      <c r="GQ223" s="445"/>
      <c r="GR223" s="445"/>
      <c r="GS223" s="445"/>
      <c r="GT223" s="445"/>
      <c r="GU223" s="445"/>
      <c r="GV223" s="445"/>
      <c r="GW223" s="445"/>
      <c r="GX223" s="445"/>
      <c r="GY223" s="445"/>
      <c r="GZ223" s="445"/>
      <c r="HA223" s="445"/>
      <c r="HB223" s="445"/>
      <c r="HC223" s="445"/>
      <c r="HD223" s="445"/>
      <c r="HE223" s="445"/>
      <c r="HF223" s="445"/>
      <c r="HG223" s="445"/>
      <c r="HH223" s="445"/>
      <c r="HI223" s="445"/>
      <c r="HJ223" s="445"/>
      <c r="HK223" s="445"/>
      <c r="HL223" s="445"/>
      <c r="HM223" s="445"/>
      <c r="HN223" s="445"/>
      <c r="HO223" s="445"/>
      <c r="HP223" s="445"/>
      <c r="HQ223" s="445"/>
      <c r="HR223" s="445"/>
      <c r="HS223" s="445"/>
      <c r="HT223" s="445"/>
      <c r="HU223" s="445"/>
      <c r="HV223" s="445"/>
      <c r="HW223" s="445"/>
      <c r="HX223" s="445"/>
      <c r="HY223" s="445"/>
      <c r="HZ223" s="445"/>
      <c r="IA223" s="445"/>
      <c r="IB223" s="445"/>
      <c r="IC223" s="445"/>
      <c r="ID223" s="445"/>
      <c r="IE223" s="445"/>
      <c r="IF223" s="445"/>
      <c r="IG223" s="445"/>
      <c r="IH223" s="445"/>
      <c r="II223" s="445"/>
      <c r="IJ223" s="445"/>
      <c r="IK223" s="445"/>
      <c r="IL223" s="445"/>
      <c r="IM223" s="445"/>
      <c r="IN223" s="445"/>
      <c r="IO223" s="445"/>
      <c r="IP223" s="445"/>
      <c r="IQ223" s="445"/>
      <c r="IR223" s="445"/>
      <c r="IS223" s="445"/>
      <c r="IT223" s="445"/>
      <c r="IU223" s="445"/>
      <c r="IV223" s="445"/>
      <c r="IW223" s="445"/>
      <c r="IX223" s="445"/>
      <c r="IY223" s="445"/>
      <c r="IZ223" s="445"/>
      <c r="JA223" s="445"/>
      <c r="JB223" s="445"/>
      <c r="JC223" s="445"/>
      <c r="JD223" s="445"/>
      <c r="JE223" s="445"/>
      <c r="JF223" s="445"/>
      <c r="JG223" s="445"/>
      <c r="JH223" s="445"/>
      <c r="JI223" s="445"/>
      <c r="JJ223" s="445"/>
      <c r="JK223" s="445"/>
      <c r="JL223" s="445"/>
      <c r="JM223" s="445"/>
      <c r="JN223" s="445"/>
      <c r="JO223" s="445"/>
      <c r="JP223" s="445"/>
      <c r="JQ223" s="445"/>
      <c r="JR223" s="445"/>
      <c r="JS223" s="445"/>
      <c r="JT223" s="445"/>
      <c r="JU223" s="445"/>
      <c r="JV223" s="445"/>
      <c r="JW223" s="2242"/>
      <c r="JX223" s="445"/>
      <c r="JY223" s="445"/>
      <c r="JZ223" s="445"/>
      <c r="KA223" s="445"/>
      <c r="KB223" s="2242"/>
      <c r="KC223" s="2242"/>
      <c r="KD223" s="2242"/>
      <c r="KE223" s="2242"/>
      <c r="KF223" s="2242"/>
      <c r="KG223" s="2242"/>
      <c r="KH223" s="2242"/>
      <c r="KI223" s="2242"/>
      <c r="KJ223" s="2242"/>
      <c r="KK223" s="2242"/>
      <c r="KL223" s="2242"/>
      <c r="KM223" s="2242"/>
      <c r="KN223" s="2242"/>
      <c r="KO223" s="2242"/>
      <c r="KP223" s="2242"/>
      <c r="KQ223" s="2242"/>
      <c r="KR223" s="2242"/>
      <c r="KS223" s="2242"/>
      <c r="KT223" s="2242"/>
      <c r="KU223" s="2242"/>
      <c r="KV223" s="2242"/>
      <c r="KW223" s="2242"/>
      <c r="KX223" s="2242"/>
      <c r="KY223" s="2242"/>
      <c r="KZ223" s="2242"/>
      <c r="LA223" s="2242"/>
      <c r="LB223" s="2242"/>
      <c r="LC223" s="2242"/>
      <c r="LD223" s="2242"/>
      <c r="LE223" s="2242"/>
      <c r="LF223" s="2242"/>
      <c r="LG223" s="2242"/>
      <c r="LH223" s="2242"/>
      <c r="LI223" s="2242"/>
      <c r="LJ223" s="2242"/>
      <c r="LK223" s="2242"/>
      <c r="LL223" s="2242"/>
      <c r="LM223" s="2242"/>
      <c r="LN223" s="2242"/>
      <c r="LO223" s="2242"/>
      <c r="LP223" s="2242"/>
      <c r="LQ223" s="2242"/>
      <c r="LR223" s="445"/>
      <c r="LS223" s="445"/>
      <c r="LT223" s="445"/>
      <c r="LU223" s="445"/>
      <c r="LV223" s="445"/>
      <c r="LW223" s="445"/>
      <c r="LX223" s="2243"/>
      <c r="LY223" s="445"/>
      <c r="LZ223" s="445"/>
      <c r="MA223" s="445"/>
      <c r="MB223" s="445"/>
      <c r="MC223" s="445"/>
      <c r="MD223" s="445"/>
      <c r="ME223" s="445"/>
      <c r="MF223" s="445"/>
      <c r="MG223" s="445"/>
      <c r="MH223" s="445"/>
      <c r="MI223" s="445"/>
      <c r="MJ223" s="445"/>
      <c r="MK223" s="445"/>
      <c r="ML223" s="445"/>
      <c r="MM223" s="445"/>
      <c r="MN223" s="2243"/>
      <c r="MO223" s="2243"/>
      <c r="MP223" s="445"/>
      <c r="MQ223" s="445"/>
      <c r="MR223" s="445"/>
      <c r="MS223" s="445"/>
      <c r="MT223" s="445"/>
      <c r="MU223" s="445"/>
      <c r="MV223" s="445"/>
      <c r="MW223" s="445"/>
      <c r="MX223" s="445"/>
      <c r="MY223" s="445"/>
      <c r="MZ223" s="445"/>
      <c r="NA223" s="445"/>
      <c r="NB223" s="445"/>
      <c r="NC223" s="445"/>
      <c r="ND223" s="445"/>
      <c r="NE223" s="94"/>
      <c r="NF223" s="94"/>
      <c r="NG223" s="94"/>
      <c r="NH223" s="94"/>
      <c r="NI223" s="94"/>
      <c r="NJ223" s="94"/>
      <c r="NK223" s="94"/>
      <c r="NL223" s="94"/>
      <c r="NM223" s="94"/>
      <c r="NN223" s="94"/>
      <c r="NO223" s="94"/>
      <c r="NP223" s="94"/>
      <c r="NQ223" s="94"/>
      <c r="NR223" s="94"/>
      <c r="NS223" s="94"/>
      <c r="NT223" s="94"/>
      <c r="NU223" s="94"/>
      <c r="NV223" s="94"/>
      <c r="NW223" s="94"/>
      <c r="NX223" s="94"/>
      <c r="NY223" s="94"/>
      <c r="NZ223" s="94"/>
      <c r="OA223" s="94"/>
      <c r="OB223" s="94"/>
      <c r="OC223" s="94"/>
      <c r="OD223" s="94"/>
      <c r="OE223" s="94"/>
      <c r="OF223" s="94"/>
      <c r="OG223" s="94"/>
      <c r="OH223" s="94"/>
      <c r="OI223" s="94"/>
      <c r="OJ223" s="94"/>
      <c r="OK223" s="94"/>
      <c r="OL223" s="94"/>
      <c r="OM223" s="94"/>
      <c r="ON223" s="94"/>
      <c r="OO223" s="94"/>
      <c r="OP223" s="94"/>
      <c r="OQ223" s="94"/>
      <c r="OR223" s="94"/>
      <c r="OS223" s="94"/>
      <c r="OT223" s="94"/>
      <c r="OU223" s="94"/>
      <c r="OV223" s="94"/>
      <c r="OW223" s="94"/>
      <c r="OX223" s="94"/>
      <c r="OY223" s="94"/>
      <c r="OZ223" s="94"/>
      <c r="PA223" s="94"/>
      <c r="PB223" s="94"/>
      <c r="PC223" s="94"/>
      <c r="PD223" s="94"/>
      <c r="PE223" s="94"/>
      <c r="PF223" s="94"/>
      <c r="PG223" s="94"/>
      <c r="PH223" s="94"/>
      <c r="PI223" s="94"/>
      <c r="PJ223" s="94"/>
      <c r="PK223" s="94"/>
      <c r="PL223" s="94"/>
      <c r="PM223" s="94"/>
      <c r="PN223" s="94"/>
      <c r="PO223" s="94"/>
      <c r="PP223" s="94"/>
      <c r="PQ223" s="94"/>
      <c r="PR223" s="94"/>
      <c r="PS223" s="94"/>
      <c r="PT223" s="94"/>
      <c r="PU223" s="94"/>
      <c r="PV223" s="94"/>
      <c r="PW223" s="94"/>
      <c r="PX223" s="94"/>
      <c r="PY223" s="94"/>
      <c r="PZ223" s="94"/>
      <c r="QA223" s="94"/>
      <c r="QB223" s="94"/>
      <c r="QC223" s="94"/>
      <c r="QD223" s="94"/>
      <c r="QE223" s="94"/>
      <c r="QF223" s="94"/>
      <c r="QG223" s="94"/>
      <c r="QH223" s="94"/>
      <c r="QI223" s="94"/>
      <c r="QJ223" s="94"/>
      <c r="QK223" s="94"/>
      <c r="QL223" s="94"/>
      <c r="QM223" s="94"/>
      <c r="QN223" s="94"/>
      <c r="QO223" s="94"/>
      <c r="QP223" s="94"/>
      <c r="QQ223" s="94"/>
      <c r="QR223" s="94"/>
      <c r="QS223" s="94"/>
      <c r="QT223" s="94"/>
      <c r="QU223" s="94"/>
      <c r="QV223" s="94"/>
      <c r="QW223" s="94"/>
      <c r="QX223" s="94"/>
      <c r="QY223" s="94"/>
      <c r="QZ223" s="94"/>
      <c r="RA223" s="94"/>
      <c r="RB223" s="94"/>
      <c r="RC223" s="94"/>
      <c r="RD223" s="94"/>
      <c r="RE223" s="94"/>
      <c r="RF223" s="94"/>
      <c r="RG223" s="94"/>
      <c r="RH223" s="94"/>
      <c r="RI223" s="94"/>
      <c r="RJ223" s="94"/>
      <c r="RK223" s="94"/>
      <c r="RL223" s="94"/>
      <c r="RM223" s="94"/>
      <c r="RN223" s="94"/>
      <c r="RO223" s="94"/>
      <c r="RP223" s="94"/>
      <c r="RQ223" s="94"/>
      <c r="RR223" s="94"/>
      <c r="RS223" s="94"/>
      <c r="RT223" s="94"/>
      <c r="RU223" s="94"/>
      <c r="RV223" s="94"/>
      <c r="RW223" s="94"/>
      <c r="RX223" s="94"/>
      <c r="RY223" s="94"/>
      <c r="RZ223" s="94"/>
      <c r="SA223" s="94"/>
      <c r="SB223" s="94"/>
      <c r="SC223" s="94"/>
      <c r="SD223" s="94"/>
      <c r="SE223" s="94"/>
      <c r="SF223" s="94"/>
      <c r="SG223" s="94"/>
      <c r="SH223" s="94"/>
      <c r="SI223" s="94"/>
    </row>
    <row r="224" spans="1:503" s="90" customFormat="1" ht="15.6" customHeight="1">
      <c r="A224" s="1"/>
      <c r="B224" s="1552" t="s">
        <v>4698</v>
      </c>
      <c r="F224" s="4068"/>
      <c r="G224" s="4069"/>
      <c r="H224" s="1"/>
      <c r="I224" s="1"/>
      <c r="K224" s="1"/>
      <c r="L224" s="1"/>
      <c r="M224" s="1"/>
      <c r="N224" s="1"/>
      <c r="R224" s="837"/>
      <c r="S224" s="3996"/>
      <c r="T224" s="3997"/>
      <c r="U224" s="3997"/>
      <c r="V224" s="3997"/>
      <c r="W224" s="3998"/>
      <c r="X224" s="443"/>
      <c r="Y224" s="445"/>
      <c r="Z224" s="445"/>
      <c r="AA224" s="445"/>
      <c r="AB224" s="445"/>
      <c r="AC224" s="443"/>
      <c r="AD224" s="445"/>
      <c r="AE224" s="445"/>
      <c r="AF224" s="445"/>
      <c r="AG224" s="445"/>
      <c r="AH224" s="443"/>
      <c r="AI224" s="445"/>
      <c r="AJ224" s="445"/>
      <c r="AK224" s="445"/>
      <c r="AL224" s="445"/>
      <c r="AM224" s="443"/>
      <c r="AN224" s="445"/>
      <c r="AO224" s="445"/>
      <c r="AP224" s="445"/>
      <c r="AQ224" s="445"/>
      <c r="AR224" s="445"/>
      <c r="AS224" s="445"/>
      <c r="AT224" s="445"/>
      <c r="AU224" s="445"/>
      <c r="AV224" s="445"/>
      <c r="AW224" s="445"/>
      <c r="AX224" s="445"/>
      <c r="AY224" s="445"/>
      <c r="AZ224" s="445"/>
      <c r="BA224" s="445"/>
      <c r="BB224" s="445"/>
      <c r="BC224" s="445"/>
      <c r="BD224" s="445"/>
      <c r="BE224" s="445"/>
      <c r="BF224" s="445"/>
      <c r="BG224" s="445"/>
      <c r="BH224" s="445"/>
      <c r="BI224" s="445"/>
      <c r="BJ224" s="445"/>
      <c r="BK224" s="445"/>
      <c r="BL224" s="445"/>
      <c r="BM224" s="445"/>
      <c r="BN224" s="445"/>
      <c r="BO224" s="445"/>
      <c r="BP224" s="445"/>
      <c r="BQ224" s="445"/>
      <c r="BR224" s="445"/>
      <c r="BS224" s="445"/>
      <c r="BT224" s="445"/>
      <c r="BU224" s="445"/>
      <c r="BV224" s="445"/>
      <c r="BW224" s="445"/>
      <c r="BX224" s="445"/>
      <c r="BY224" s="445"/>
      <c r="BZ224" s="445"/>
      <c r="CA224" s="445"/>
      <c r="CB224" s="445"/>
      <c r="CC224" s="445"/>
      <c r="CD224" s="445"/>
      <c r="CE224" s="445"/>
      <c r="CF224" s="445"/>
      <c r="CG224" s="445"/>
      <c r="CH224" s="445"/>
      <c r="CI224" s="445"/>
      <c r="CJ224" s="445"/>
      <c r="CK224" s="445"/>
      <c r="CL224" s="445"/>
      <c r="CM224" s="445"/>
      <c r="CN224" s="445"/>
      <c r="CO224" s="445"/>
      <c r="CP224" s="445"/>
      <c r="CQ224" s="445"/>
      <c r="CR224" s="445"/>
      <c r="CS224" s="445"/>
      <c r="CT224" s="445"/>
      <c r="CU224" s="445"/>
      <c r="CV224" s="445"/>
      <c r="CW224" s="445"/>
      <c r="CX224" s="445"/>
      <c r="CY224" s="445"/>
      <c r="CZ224" s="445"/>
      <c r="DA224" s="445"/>
      <c r="DB224" s="445"/>
      <c r="DC224" s="445"/>
      <c r="DD224" s="445"/>
      <c r="DE224" s="445"/>
      <c r="DF224" s="445"/>
      <c r="DG224" s="445"/>
      <c r="DH224" s="445"/>
      <c r="DI224" s="445"/>
      <c r="DJ224" s="445"/>
      <c r="DK224" s="445"/>
      <c r="DL224" s="445"/>
      <c r="DM224" s="445"/>
      <c r="DN224" s="445"/>
      <c r="DO224" s="445"/>
      <c r="DP224" s="445"/>
      <c r="DQ224" s="445"/>
      <c r="DR224" s="445"/>
      <c r="DS224" s="445"/>
      <c r="DT224" s="445"/>
      <c r="DU224" s="445"/>
      <c r="DV224" s="445"/>
      <c r="DW224" s="445"/>
      <c r="DX224" s="445"/>
      <c r="DY224" s="445"/>
      <c r="DZ224" s="445"/>
      <c r="EA224" s="445"/>
      <c r="EB224" s="445"/>
      <c r="EC224" s="445"/>
      <c r="ED224" s="445"/>
      <c r="EE224" s="445"/>
      <c r="EF224" s="445"/>
      <c r="EG224" s="445"/>
      <c r="EH224" s="445"/>
      <c r="EI224" s="445"/>
      <c r="EJ224" s="445"/>
      <c r="EK224" s="445"/>
      <c r="EL224" s="445"/>
      <c r="EM224" s="445"/>
      <c r="EN224" s="445"/>
      <c r="EO224" s="445"/>
      <c r="EP224" s="445"/>
      <c r="EQ224" s="445"/>
      <c r="ER224" s="445"/>
      <c r="ES224" s="445"/>
      <c r="ET224" s="445"/>
      <c r="EU224" s="445"/>
      <c r="EV224" s="445"/>
      <c r="EW224" s="445"/>
      <c r="EX224" s="445"/>
      <c r="EY224" s="445"/>
      <c r="EZ224" s="445"/>
      <c r="FA224" s="445"/>
      <c r="FB224" s="445"/>
      <c r="FC224" s="445"/>
      <c r="FD224" s="445"/>
      <c r="FE224" s="445"/>
      <c r="FF224" s="445"/>
      <c r="FG224" s="445"/>
      <c r="FH224" s="445"/>
      <c r="FI224" s="445"/>
      <c r="FJ224" s="445"/>
      <c r="FK224" s="445"/>
      <c r="FL224" s="445"/>
      <c r="FM224" s="445"/>
      <c r="FN224" s="445"/>
      <c r="FO224" s="445"/>
      <c r="FP224" s="445"/>
      <c r="FQ224" s="445"/>
      <c r="FR224" s="445"/>
      <c r="FS224" s="445"/>
      <c r="FT224" s="445"/>
      <c r="FU224" s="445"/>
      <c r="FV224" s="445"/>
      <c r="FW224" s="445"/>
      <c r="FX224" s="445"/>
      <c r="FY224" s="445"/>
      <c r="FZ224" s="445"/>
      <c r="GA224" s="445"/>
      <c r="GB224" s="445"/>
      <c r="GC224" s="445"/>
      <c r="GD224" s="445"/>
      <c r="GE224" s="445"/>
      <c r="GF224" s="445"/>
      <c r="GG224" s="445"/>
      <c r="GH224" s="445"/>
      <c r="GI224" s="445"/>
      <c r="GJ224" s="445"/>
      <c r="GK224" s="445"/>
      <c r="GL224" s="445"/>
      <c r="GM224" s="445"/>
      <c r="GN224" s="445"/>
      <c r="GO224" s="445"/>
      <c r="GP224" s="445"/>
      <c r="GQ224" s="445"/>
      <c r="GR224" s="445"/>
      <c r="GS224" s="445"/>
      <c r="GT224" s="445"/>
      <c r="GU224" s="445"/>
      <c r="GV224" s="445"/>
      <c r="GW224" s="445"/>
      <c r="GX224" s="445"/>
      <c r="GY224" s="445"/>
      <c r="GZ224" s="445"/>
      <c r="HA224" s="445"/>
      <c r="HB224" s="445"/>
      <c r="HC224" s="445"/>
      <c r="HD224" s="445"/>
      <c r="HE224" s="445"/>
      <c r="HF224" s="445"/>
      <c r="HG224" s="445"/>
      <c r="HH224" s="445"/>
      <c r="HI224" s="445"/>
      <c r="HJ224" s="445"/>
      <c r="HK224" s="445"/>
      <c r="HL224" s="445"/>
      <c r="HM224" s="445"/>
      <c r="HN224" s="445"/>
      <c r="HO224" s="445"/>
      <c r="HP224" s="445"/>
      <c r="HQ224" s="445"/>
      <c r="HR224" s="445"/>
      <c r="HS224" s="445"/>
      <c r="HT224" s="445"/>
      <c r="HU224" s="445"/>
      <c r="HV224" s="445"/>
      <c r="HW224" s="445"/>
      <c r="HX224" s="445"/>
      <c r="HY224" s="445"/>
      <c r="HZ224" s="445"/>
      <c r="IA224" s="445"/>
      <c r="IB224" s="445"/>
      <c r="IC224" s="445"/>
      <c r="ID224" s="445"/>
      <c r="IE224" s="445"/>
      <c r="IF224" s="445"/>
      <c r="IG224" s="445"/>
      <c r="IH224" s="445"/>
      <c r="II224" s="445"/>
      <c r="IJ224" s="445"/>
      <c r="IK224" s="445"/>
      <c r="IL224" s="445"/>
      <c r="IM224" s="445"/>
      <c r="IN224" s="445"/>
      <c r="IO224" s="445"/>
      <c r="IP224" s="445"/>
      <c r="IQ224" s="445"/>
      <c r="IR224" s="445"/>
      <c r="IS224" s="445"/>
      <c r="IT224" s="445"/>
      <c r="IU224" s="445"/>
      <c r="IV224" s="445"/>
      <c r="IW224" s="445"/>
      <c r="IX224" s="445"/>
      <c r="IY224" s="445"/>
      <c r="IZ224" s="445"/>
      <c r="JA224" s="445"/>
      <c r="JB224" s="445"/>
      <c r="JC224" s="445"/>
      <c r="JD224" s="445"/>
      <c r="JE224" s="445"/>
      <c r="JF224" s="445"/>
      <c r="JG224" s="445"/>
      <c r="JH224" s="445"/>
      <c r="JI224" s="445"/>
      <c r="JJ224" s="445"/>
      <c r="JK224" s="445"/>
      <c r="JL224" s="445"/>
      <c r="JM224" s="445"/>
      <c r="JN224" s="445"/>
      <c r="JO224" s="445"/>
      <c r="JP224" s="445"/>
      <c r="JQ224" s="445"/>
      <c r="JR224" s="445"/>
      <c r="JS224" s="445"/>
      <c r="JT224" s="445"/>
      <c r="JU224" s="445"/>
      <c r="JV224" s="445"/>
      <c r="JW224" s="2242"/>
      <c r="JX224" s="445"/>
      <c r="JY224" s="445"/>
      <c r="JZ224" s="445"/>
      <c r="KA224" s="445"/>
      <c r="KB224" s="2242"/>
      <c r="KC224" s="2242"/>
      <c r="KD224" s="2242"/>
      <c r="KE224" s="2242"/>
      <c r="KF224" s="2242"/>
      <c r="KG224" s="2242"/>
      <c r="KH224" s="2242"/>
      <c r="KI224" s="2242"/>
      <c r="KJ224" s="2242"/>
      <c r="KK224" s="2242"/>
      <c r="KL224" s="2242"/>
      <c r="KM224" s="2242"/>
      <c r="KN224" s="2242"/>
      <c r="KO224" s="2242"/>
      <c r="KP224" s="2242"/>
      <c r="KQ224" s="2242"/>
      <c r="KR224" s="2242"/>
      <c r="KS224" s="2242"/>
      <c r="KT224" s="2242"/>
      <c r="KU224" s="2242"/>
      <c r="KV224" s="2242"/>
      <c r="KW224" s="2242"/>
      <c r="KX224" s="2242"/>
      <c r="KY224" s="2242"/>
      <c r="KZ224" s="2242"/>
      <c r="LA224" s="2242"/>
      <c r="LB224" s="2242"/>
      <c r="LC224" s="2242"/>
      <c r="LD224" s="2242"/>
      <c r="LE224" s="2242"/>
      <c r="LF224" s="2242"/>
      <c r="LG224" s="2242"/>
      <c r="LH224" s="2242"/>
      <c r="LI224" s="2242"/>
      <c r="LJ224" s="2242"/>
      <c r="LK224" s="2242"/>
      <c r="LL224" s="2242"/>
      <c r="LM224" s="2242"/>
      <c r="LN224" s="2242"/>
      <c r="LO224" s="2242"/>
      <c r="LP224" s="2242"/>
      <c r="LQ224" s="2242"/>
      <c r="LR224" s="445"/>
      <c r="LS224" s="445"/>
      <c r="LT224" s="445"/>
      <c r="LU224" s="445"/>
      <c r="LV224" s="445"/>
      <c r="LW224" s="445"/>
      <c r="LX224" s="2243"/>
      <c r="LY224" s="445"/>
      <c r="LZ224" s="445"/>
      <c r="MA224" s="445"/>
      <c r="MB224" s="445"/>
      <c r="MC224" s="445"/>
      <c r="MD224" s="445"/>
      <c r="ME224" s="445"/>
      <c r="MF224" s="445"/>
      <c r="MG224" s="445"/>
      <c r="MH224" s="445"/>
      <c r="MI224" s="445"/>
      <c r="MJ224" s="445"/>
      <c r="MK224" s="445"/>
      <c r="ML224" s="445"/>
      <c r="MM224" s="445"/>
      <c r="MN224" s="2243"/>
      <c r="MO224" s="2243"/>
      <c r="MP224" s="445"/>
      <c r="MQ224" s="445"/>
      <c r="MR224" s="445"/>
      <c r="MS224" s="445"/>
      <c r="MT224" s="445"/>
      <c r="MU224" s="445"/>
      <c r="MV224" s="445"/>
      <c r="MW224" s="445"/>
      <c r="MX224" s="445"/>
      <c r="MY224" s="445"/>
      <c r="MZ224" s="445"/>
      <c r="NA224" s="445"/>
      <c r="NB224" s="445"/>
      <c r="NC224" s="445"/>
      <c r="ND224" s="445"/>
      <c r="NE224" s="94"/>
      <c r="NF224" s="94"/>
      <c r="NG224" s="94"/>
      <c r="NH224" s="94"/>
      <c r="NI224" s="94"/>
      <c r="NJ224" s="94"/>
      <c r="NK224" s="94"/>
      <c r="NL224" s="94"/>
      <c r="NM224" s="94"/>
      <c r="NN224" s="94"/>
      <c r="NO224" s="94"/>
      <c r="NP224" s="94"/>
      <c r="NQ224" s="94"/>
      <c r="NR224" s="94"/>
      <c r="NS224" s="94"/>
      <c r="NT224" s="94"/>
      <c r="NU224" s="94"/>
      <c r="NV224" s="94"/>
      <c r="NW224" s="94"/>
      <c r="NX224" s="94"/>
      <c r="NY224" s="94"/>
      <c r="NZ224" s="94"/>
      <c r="OA224" s="94"/>
      <c r="OB224" s="94"/>
      <c r="OC224" s="94"/>
      <c r="OD224" s="94"/>
      <c r="OE224" s="94"/>
      <c r="OF224" s="94"/>
      <c r="OG224" s="94"/>
      <c r="OH224" s="94"/>
      <c r="OI224" s="94"/>
      <c r="OJ224" s="94"/>
      <c r="OK224" s="94"/>
      <c r="OL224" s="94"/>
      <c r="OM224" s="94"/>
      <c r="ON224" s="94"/>
      <c r="OO224" s="94"/>
      <c r="OP224" s="94"/>
      <c r="OQ224" s="94"/>
      <c r="OR224" s="94"/>
      <c r="OS224" s="94"/>
      <c r="OT224" s="94"/>
      <c r="OU224" s="94"/>
      <c r="OV224" s="94"/>
      <c r="OW224" s="94"/>
      <c r="OX224" s="94"/>
      <c r="OY224" s="94"/>
      <c r="OZ224" s="94"/>
      <c r="PA224" s="94"/>
      <c r="PB224" s="94"/>
      <c r="PC224" s="94"/>
      <c r="PD224" s="94"/>
      <c r="PE224" s="94"/>
      <c r="PF224" s="94"/>
      <c r="PG224" s="94"/>
      <c r="PH224" s="94"/>
      <c r="PI224" s="94"/>
      <c r="PJ224" s="94"/>
      <c r="PK224" s="94"/>
      <c r="PL224" s="94"/>
      <c r="PM224" s="94"/>
      <c r="PN224" s="94"/>
      <c r="PO224" s="94"/>
      <c r="PP224" s="94"/>
      <c r="PQ224" s="94"/>
      <c r="PR224" s="94"/>
      <c r="PS224" s="94"/>
      <c r="PT224" s="94"/>
      <c r="PU224" s="94"/>
      <c r="PV224" s="94"/>
      <c r="PW224" s="94"/>
      <c r="PX224" s="94"/>
      <c r="PY224" s="94"/>
      <c r="PZ224" s="94"/>
      <c r="QA224" s="94"/>
      <c r="QB224" s="94"/>
      <c r="QC224" s="94"/>
      <c r="QD224" s="94"/>
      <c r="QE224" s="94"/>
      <c r="QF224" s="94"/>
      <c r="QG224" s="94"/>
      <c r="QH224" s="94"/>
      <c r="QI224" s="94"/>
      <c r="QJ224" s="94"/>
      <c r="QK224" s="94"/>
      <c r="QL224" s="94"/>
      <c r="QM224" s="94"/>
      <c r="QN224" s="94"/>
      <c r="QO224" s="94"/>
      <c r="QP224" s="94"/>
      <c r="QQ224" s="94"/>
      <c r="QR224" s="94"/>
      <c r="QS224" s="94"/>
      <c r="QT224" s="94"/>
      <c r="QU224" s="94"/>
      <c r="QV224" s="94"/>
      <c r="QW224" s="94"/>
      <c r="QX224" s="94"/>
      <c r="QY224" s="94"/>
      <c r="QZ224" s="94"/>
      <c r="RA224" s="94"/>
      <c r="RB224" s="94"/>
      <c r="RC224" s="94"/>
      <c r="RD224" s="94"/>
      <c r="RE224" s="94"/>
      <c r="RF224" s="94"/>
      <c r="RG224" s="94"/>
      <c r="RH224" s="94"/>
      <c r="RI224" s="94"/>
      <c r="RJ224" s="94"/>
      <c r="RK224" s="94"/>
      <c r="RL224" s="94"/>
      <c r="RM224" s="94"/>
      <c r="RN224" s="94"/>
      <c r="RO224" s="94"/>
      <c r="RP224" s="94"/>
      <c r="RQ224" s="94"/>
      <c r="RR224" s="94"/>
      <c r="RS224" s="94"/>
      <c r="RT224" s="94"/>
      <c r="RU224" s="94"/>
      <c r="RV224" s="94"/>
      <c r="RW224" s="94"/>
      <c r="RX224" s="94"/>
      <c r="RY224" s="94"/>
      <c r="RZ224" s="94"/>
      <c r="SA224" s="94"/>
      <c r="SB224" s="94"/>
      <c r="SC224" s="94"/>
      <c r="SD224" s="94"/>
      <c r="SE224" s="94"/>
      <c r="SF224" s="94"/>
      <c r="SG224" s="94"/>
      <c r="SH224" s="94"/>
      <c r="SI224" s="94"/>
    </row>
    <row r="225" spans="1:503" s="90" customFormat="1" ht="15.6" customHeight="1" thickBot="1">
      <c r="A225" s="1"/>
      <c r="B225" s="4072" t="s">
        <v>7173</v>
      </c>
      <c r="C225" s="4073"/>
      <c r="D225" s="4073"/>
      <c r="E225" s="4074"/>
      <c r="F225" s="4070">
        <v>2100</v>
      </c>
      <c r="G225" s="4071"/>
      <c r="H225" s="1"/>
      <c r="I225" s="10" t="s">
        <v>1266</v>
      </c>
      <c r="K225" s="1"/>
      <c r="L225" s="1"/>
      <c r="M225" s="1"/>
      <c r="N225" s="1"/>
      <c r="R225" s="837"/>
      <c r="S225" s="3996"/>
      <c r="T225" s="3997"/>
      <c r="U225" s="3997"/>
      <c r="V225" s="3997"/>
      <c r="W225" s="3998"/>
      <c r="X225" s="443"/>
      <c r="Y225" s="445"/>
      <c r="Z225" s="445"/>
      <c r="AA225" s="445"/>
      <c r="AB225" s="445"/>
      <c r="AC225" s="443"/>
      <c r="AD225" s="445"/>
      <c r="AE225" s="445"/>
      <c r="AF225" s="445"/>
      <c r="AG225" s="445"/>
      <c r="AH225" s="443"/>
      <c r="AI225" s="445"/>
      <c r="AJ225" s="445"/>
      <c r="AK225" s="445"/>
      <c r="AL225" s="445"/>
      <c r="AM225" s="443"/>
      <c r="AN225" s="445"/>
      <c r="AO225" s="445"/>
      <c r="AP225" s="445"/>
      <c r="AQ225" s="445"/>
      <c r="AR225" s="445"/>
      <c r="AS225" s="445"/>
      <c r="AT225" s="445"/>
      <c r="AU225" s="445"/>
      <c r="AV225" s="445"/>
      <c r="AW225" s="445"/>
      <c r="AX225" s="445"/>
      <c r="AY225" s="445"/>
      <c r="AZ225" s="445"/>
      <c r="BA225" s="445"/>
      <c r="BB225" s="445"/>
      <c r="BC225" s="445"/>
      <c r="BD225" s="445"/>
      <c r="BE225" s="445"/>
      <c r="BF225" s="445"/>
      <c r="BG225" s="445"/>
      <c r="BH225" s="445"/>
      <c r="BI225" s="445"/>
      <c r="BJ225" s="445"/>
      <c r="BK225" s="445"/>
      <c r="BL225" s="445"/>
      <c r="BM225" s="445"/>
      <c r="BN225" s="445"/>
      <c r="BO225" s="445"/>
      <c r="BP225" s="445"/>
      <c r="BQ225" s="445"/>
      <c r="BR225" s="445"/>
      <c r="BS225" s="445"/>
      <c r="BT225" s="445"/>
      <c r="BU225" s="445"/>
      <c r="BV225" s="445"/>
      <c r="BW225" s="445"/>
      <c r="BX225" s="445"/>
      <c r="BY225" s="445"/>
      <c r="BZ225" s="445"/>
      <c r="CA225" s="445"/>
      <c r="CB225" s="445"/>
      <c r="CC225" s="445"/>
      <c r="CD225" s="445"/>
      <c r="CE225" s="445"/>
      <c r="CF225" s="445"/>
      <c r="CG225" s="445"/>
      <c r="CH225" s="445"/>
      <c r="CI225" s="445"/>
      <c r="CJ225" s="445"/>
      <c r="CK225" s="445"/>
      <c r="CL225" s="445"/>
      <c r="CM225" s="445"/>
      <c r="CN225" s="445"/>
      <c r="CO225" s="445"/>
      <c r="CP225" s="445"/>
      <c r="CQ225" s="445"/>
      <c r="CR225" s="445"/>
      <c r="CS225" s="445"/>
      <c r="CT225" s="445"/>
      <c r="CU225" s="445"/>
      <c r="CV225" s="445"/>
      <c r="CW225" s="445"/>
      <c r="CX225" s="445"/>
      <c r="CY225" s="445"/>
      <c r="CZ225" s="445"/>
      <c r="DA225" s="445"/>
      <c r="DB225" s="445"/>
      <c r="DC225" s="445"/>
      <c r="DD225" s="445"/>
      <c r="DE225" s="445"/>
      <c r="DF225" s="445"/>
      <c r="DG225" s="445"/>
      <c r="DH225" s="445"/>
      <c r="DI225" s="445"/>
      <c r="DJ225" s="445"/>
      <c r="DK225" s="445"/>
      <c r="DL225" s="445"/>
      <c r="DM225" s="445"/>
      <c r="DN225" s="445"/>
      <c r="DO225" s="445"/>
      <c r="DP225" s="445"/>
      <c r="DQ225" s="445"/>
      <c r="DR225" s="445"/>
      <c r="DS225" s="445"/>
      <c r="DT225" s="445"/>
      <c r="DU225" s="445"/>
      <c r="DV225" s="445"/>
      <c r="DW225" s="445"/>
      <c r="DX225" s="445"/>
      <c r="DY225" s="445"/>
      <c r="DZ225" s="445"/>
      <c r="EA225" s="445"/>
      <c r="EB225" s="445"/>
      <c r="EC225" s="445"/>
      <c r="ED225" s="445"/>
      <c r="EE225" s="445"/>
      <c r="EF225" s="445"/>
      <c r="EG225" s="445"/>
      <c r="EH225" s="445"/>
      <c r="EI225" s="445"/>
      <c r="EJ225" s="445"/>
      <c r="EK225" s="445"/>
      <c r="EL225" s="445"/>
      <c r="EM225" s="445"/>
      <c r="EN225" s="445"/>
      <c r="EO225" s="445"/>
      <c r="EP225" s="445"/>
      <c r="EQ225" s="445"/>
      <c r="ER225" s="445"/>
      <c r="ES225" s="445"/>
      <c r="ET225" s="445"/>
      <c r="EU225" s="445"/>
      <c r="EV225" s="445"/>
      <c r="EW225" s="445"/>
      <c r="EX225" s="445"/>
      <c r="EY225" s="445"/>
      <c r="EZ225" s="445"/>
      <c r="FA225" s="445"/>
      <c r="FB225" s="445"/>
      <c r="FC225" s="445"/>
      <c r="FD225" s="445"/>
      <c r="FE225" s="445"/>
      <c r="FF225" s="445"/>
      <c r="FG225" s="445"/>
      <c r="FH225" s="445"/>
      <c r="FI225" s="445"/>
      <c r="FJ225" s="445"/>
      <c r="FK225" s="445"/>
      <c r="FL225" s="445"/>
      <c r="FM225" s="445"/>
      <c r="FN225" s="445"/>
      <c r="FO225" s="445"/>
      <c r="FP225" s="445"/>
      <c r="FQ225" s="445"/>
      <c r="FR225" s="445"/>
      <c r="FS225" s="445"/>
      <c r="FT225" s="445"/>
      <c r="FU225" s="445"/>
      <c r="FV225" s="445"/>
      <c r="FW225" s="445"/>
      <c r="FX225" s="445"/>
      <c r="FY225" s="445"/>
      <c r="FZ225" s="445"/>
      <c r="GA225" s="445"/>
      <c r="GB225" s="445"/>
      <c r="GC225" s="445"/>
      <c r="GD225" s="445"/>
      <c r="GE225" s="445"/>
      <c r="GF225" s="445"/>
      <c r="GG225" s="445"/>
      <c r="GH225" s="445"/>
      <c r="GI225" s="445"/>
      <c r="GJ225" s="445"/>
      <c r="GK225" s="445"/>
      <c r="GL225" s="445"/>
      <c r="GM225" s="445"/>
      <c r="GN225" s="445"/>
      <c r="GO225" s="445"/>
      <c r="GP225" s="445"/>
      <c r="GQ225" s="445"/>
      <c r="GR225" s="445"/>
      <c r="GS225" s="445"/>
      <c r="GT225" s="445"/>
      <c r="GU225" s="445"/>
      <c r="GV225" s="445"/>
      <c r="GW225" s="445"/>
      <c r="GX225" s="445"/>
      <c r="GY225" s="445"/>
      <c r="GZ225" s="445"/>
      <c r="HA225" s="445"/>
      <c r="HB225" s="445"/>
      <c r="HC225" s="445"/>
      <c r="HD225" s="445"/>
      <c r="HE225" s="445"/>
      <c r="HF225" s="445"/>
      <c r="HG225" s="445"/>
      <c r="HH225" s="445"/>
      <c r="HI225" s="445"/>
      <c r="HJ225" s="445"/>
      <c r="HK225" s="445"/>
      <c r="HL225" s="445"/>
      <c r="HM225" s="445"/>
      <c r="HN225" s="445"/>
      <c r="HO225" s="445"/>
      <c r="HP225" s="445"/>
      <c r="HQ225" s="445"/>
      <c r="HR225" s="445"/>
      <c r="HS225" s="445"/>
      <c r="HT225" s="445"/>
      <c r="HU225" s="445"/>
      <c r="HV225" s="445"/>
      <c r="HW225" s="445"/>
      <c r="HX225" s="445"/>
      <c r="HY225" s="445"/>
      <c r="HZ225" s="445"/>
      <c r="IA225" s="445"/>
      <c r="IB225" s="445"/>
      <c r="IC225" s="445"/>
      <c r="ID225" s="445"/>
      <c r="IE225" s="445"/>
      <c r="IF225" s="445"/>
      <c r="IG225" s="445"/>
      <c r="IH225" s="445"/>
      <c r="II225" s="445"/>
      <c r="IJ225" s="445"/>
      <c r="IK225" s="445"/>
      <c r="IL225" s="445"/>
      <c r="IM225" s="445"/>
      <c r="IN225" s="445"/>
      <c r="IO225" s="445"/>
      <c r="IP225" s="445"/>
      <c r="IQ225" s="445"/>
      <c r="IR225" s="445"/>
      <c r="IS225" s="445"/>
      <c r="IT225" s="445"/>
      <c r="IU225" s="445"/>
      <c r="IV225" s="445"/>
      <c r="IW225" s="445"/>
      <c r="IX225" s="445"/>
      <c r="IY225" s="445"/>
      <c r="IZ225" s="445"/>
      <c r="JA225" s="445"/>
      <c r="JB225" s="445"/>
      <c r="JC225" s="445"/>
      <c r="JD225" s="445"/>
      <c r="JE225" s="445"/>
      <c r="JF225" s="445"/>
      <c r="JG225" s="445"/>
      <c r="JH225" s="445"/>
      <c r="JI225" s="445"/>
      <c r="JJ225" s="445"/>
      <c r="JK225" s="445"/>
      <c r="JL225" s="445"/>
      <c r="JM225" s="445"/>
      <c r="JN225" s="445"/>
      <c r="JO225" s="445"/>
      <c r="JP225" s="445"/>
      <c r="JQ225" s="445"/>
      <c r="JR225" s="445"/>
      <c r="JS225" s="445"/>
      <c r="JT225" s="445"/>
      <c r="JU225" s="445"/>
      <c r="JV225" s="445"/>
      <c r="JW225" s="2242"/>
      <c r="JX225" s="445"/>
      <c r="JY225" s="445"/>
      <c r="JZ225" s="445"/>
      <c r="KA225" s="445"/>
      <c r="KB225" s="2242"/>
      <c r="KC225" s="2242"/>
      <c r="KD225" s="2242"/>
      <c r="KE225" s="2242"/>
      <c r="KF225" s="2242"/>
      <c r="KG225" s="2242"/>
      <c r="KH225" s="2242"/>
      <c r="KI225" s="2242"/>
      <c r="KJ225" s="2242"/>
      <c r="KK225" s="2242"/>
      <c r="KL225" s="2242"/>
      <c r="KM225" s="2242"/>
      <c r="KN225" s="2242"/>
      <c r="KO225" s="2242"/>
      <c r="KP225" s="2242"/>
      <c r="KQ225" s="2242"/>
      <c r="KR225" s="2242"/>
      <c r="KS225" s="2242"/>
      <c r="KT225" s="2242"/>
      <c r="KU225" s="2242"/>
      <c r="KV225" s="2242"/>
      <c r="KW225" s="2242"/>
      <c r="KX225" s="2242"/>
      <c r="KY225" s="2242"/>
      <c r="KZ225" s="2242"/>
      <c r="LA225" s="2242"/>
      <c r="LB225" s="2242"/>
      <c r="LC225" s="2242"/>
      <c r="LD225" s="2242"/>
      <c r="LE225" s="2242"/>
      <c r="LF225" s="2242"/>
      <c r="LG225" s="2242"/>
      <c r="LH225" s="2242"/>
      <c r="LI225" s="2242"/>
      <c r="LJ225" s="2242"/>
      <c r="LK225" s="2242"/>
      <c r="LL225" s="2242"/>
      <c r="LM225" s="2242"/>
      <c r="LN225" s="2242"/>
      <c r="LO225" s="2242"/>
      <c r="LP225" s="2242"/>
      <c r="LQ225" s="2242"/>
      <c r="LR225" s="445"/>
      <c r="LS225" s="445"/>
      <c r="LT225" s="445"/>
      <c r="LU225" s="445"/>
      <c r="LV225" s="445"/>
      <c r="LW225" s="445"/>
      <c r="LX225" s="2243"/>
      <c r="LY225" s="445"/>
      <c r="LZ225" s="445"/>
      <c r="MA225" s="445"/>
      <c r="MB225" s="445"/>
      <c r="MC225" s="445"/>
      <c r="MD225" s="445"/>
      <c r="ME225" s="445"/>
      <c r="MF225" s="445"/>
      <c r="MG225" s="445"/>
      <c r="MH225" s="445"/>
      <c r="MI225" s="445"/>
      <c r="MJ225" s="445"/>
      <c r="MK225" s="445"/>
      <c r="ML225" s="445"/>
      <c r="MM225" s="445"/>
      <c r="MN225" s="2243"/>
      <c r="MO225" s="2243"/>
      <c r="MP225" s="445"/>
      <c r="MQ225" s="445"/>
      <c r="MR225" s="445"/>
      <c r="MS225" s="445"/>
      <c r="MT225" s="445"/>
      <c r="MU225" s="445"/>
      <c r="MV225" s="445"/>
      <c r="MW225" s="445"/>
      <c r="MX225" s="445"/>
      <c r="MY225" s="445"/>
      <c r="MZ225" s="445"/>
      <c r="NA225" s="445"/>
      <c r="NB225" s="445"/>
      <c r="NC225" s="445"/>
      <c r="ND225" s="445"/>
      <c r="NE225" s="94"/>
      <c r="NF225" s="94"/>
      <c r="NG225" s="94"/>
      <c r="NH225" s="94"/>
      <c r="NI225" s="94"/>
      <c r="NJ225" s="94"/>
      <c r="NK225" s="94"/>
      <c r="NL225" s="94"/>
      <c r="NM225" s="94"/>
      <c r="NN225" s="94"/>
      <c r="NO225" s="94"/>
      <c r="NP225" s="94"/>
      <c r="NQ225" s="94"/>
      <c r="NR225" s="94"/>
      <c r="NS225" s="94"/>
      <c r="NT225" s="94"/>
      <c r="NU225" s="94"/>
      <c r="NV225" s="94"/>
      <c r="NW225" s="94"/>
      <c r="NX225" s="94"/>
      <c r="NY225" s="94"/>
      <c r="NZ225" s="94"/>
      <c r="OA225" s="94"/>
      <c r="OB225" s="94"/>
      <c r="OC225" s="94"/>
      <c r="OD225" s="94"/>
      <c r="OE225" s="94"/>
      <c r="OF225" s="94"/>
      <c r="OG225" s="94"/>
      <c r="OH225" s="94"/>
      <c r="OI225" s="94"/>
      <c r="OJ225" s="94"/>
      <c r="OK225" s="94"/>
      <c r="OL225" s="94"/>
      <c r="OM225" s="94"/>
      <c r="ON225" s="94"/>
      <c r="OO225" s="94"/>
      <c r="OP225" s="94"/>
      <c r="OQ225" s="94"/>
      <c r="OR225" s="94"/>
      <c r="OS225" s="94"/>
      <c r="OT225" s="94"/>
      <c r="OU225" s="94"/>
      <c r="OV225" s="94"/>
      <c r="OW225" s="94"/>
      <c r="OX225" s="94"/>
      <c r="OY225" s="94"/>
      <c r="OZ225" s="94"/>
      <c r="PA225" s="94"/>
      <c r="PB225" s="94"/>
      <c r="PC225" s="94"/>
      <c r="PD225" s="94"/>
      <c r="PE225" s="94"/>
      <c r="PF225" s="94"/>
      <c r="PG225" s="94"/>
      <c r="PH225" s="94"/>
      <c r="PI225" s="94"/>
      <c r="PJ225" s="94"/>
      <c r="PK225" s="94"/>
      <c r="PL225" s="94"/>
      <c r="PM225" s="94"/>
      <c r="PN225" s="94"/>
      <c r="PO225" s="94"/>
      <c r="PP225" s="94"/>
      <c r="PQ225" s="94"/>
      <c r="PR225" s="94"/>
      <c r="PS225" s="94"/>
      <c r="PT225" s="94"/>
      <c r="PU225" s="94"/>
      <c r="PV225" s="94"/>
      <c r="PW225" s="94"/>
      <c r="PX225" s="94"/>
      <c r="PY225" s="94"/>
      <c r="PZ225" s="94"/>
      <c r="QA225" s="94"/>
      <c r="QB225" s="94"/>
      <c r="QC225" s="94"/>
      <c r="QD225" s="94"/>
      <c r="QE225" s="94"/>
      <c r="QF225" s="94"/>
      <c r="QG225" s="94"/>
      <c r="QH225" s="94"/>
      <c r="QI225" s="94"/>
      <c r="QJ225" s="94"/>
      <c r="QK225" s="94"/>
      <c r="QL225" s="94"/>
      <c r="QM225" s="94"/>
      <c r="QN225" s="94"/>
      <c r="QO225" s="94"/>
      <c r="QP225" s="94"/>
      <c r="QQ225" s="94"/>
      <c r="QR225" s="94"/>
      <c r="QS225" s="94"/>
      <c r="QT225" s="94"/>
      <c r="QU225" s="94"/>
      <c r="QV225" s="94"/>
      <c r="QW225" s="94"/>
      <c r="QX225" s="94"/>
      <c r="QY225" s="94"/>
      <c r="QZ225" s="94"/>
      <c r="RA225" s="94"/>
      <c r="RB225" s="94"/>
      <c r="RC225" s="94"/>
      <c r="RD225" s="94"/>
      <c r="RE225" s="94"/>
      <c r="RF225" s="94"/>
      <c r="RG225" s="94"/>
      <c r="RH225" s="94"/>
      <c r="RI225" s="94"/>
      <c r="RJ225" s="94"/>
      <c r="RK225" s="94"/>
      <c r="RL225" s="94"/>
      <c r="RM225" s="94"/>
      <c r="RN225" s="94"/>
      <c r="RO225" s="94"/>
      <c r="RP225" s="94"/>
      <c r="RQ225" s="94"/>
      <c r="RR225" s="94"/>
      <c r="RS225" s="94"/>
      <c r="RT225" s="94"/>
      <c r="RU225" s="94"/>
      <c r="RV225" s="94"/>
      <c r="RW225" s="94"/>
      <c r="RX225" s="94"/>
      <c r="RY225" s="94"/>
      <c r="RZ225" s="94"/>
      <c r="SA225" s="94"/>
      <c r="SB225" s="94"/>
      <c r="SC225" s="94"/>
      <c r="SD225" s="94"/>
      <c r="SE225" s="94"/>
      <c r="SF225" s="94"/>
      <c r="SG225" s="94"/>
      <c r="SH225" s="94"/>
      <c r="SI225" s="94"/>
    </row>
    <row r="226" spans="1:503" s="90" customFormat="1" ht="15.6" customHeight="1" thickTop="1" thickBot="1">
      <c r="A226" s="1"/>
      <c r="B226" s="1"/>
      <c r="D226" s="1"/>
      <c r="E226" s="11" t="s">
        <v>187</v>
      </c>
      <c r="F226" s="2648">
        <f>SUM(F220:G225)</f>
        <v>79580</v>
      </c>
      <c r="G226" s="2649"/>
      <c r="H226" s="1"/>
      <c r="I226" s="1" t="s">
        <v>1569</v>
      </c>
      <c r="K226" s="1"/>
      <c r="L226" s="4075">
        <v>4000</v>
      </c>
      <c r="M226" s="4076"/>
      <c r="N226" s="1"/>
      <c r="R226" s="1"/>
      <c r="S226" s="3996"/>
      <c r="T226" s="3997"/>
      <c r="U226" s="3997"/>
      <c r="V226" s="3997"/>
      <c r="W226" s="3998"/>
      <c r="X226" s="443"/>
      <c r="Y226" s="445"/>
      <c r="Z226" s="445"/>
      <c r="AA226" s="445"/>
      <c r="AB226" s="445"/>
      <c r="AC226" s="443"/>
      <c r="AD226" s="445"/>
      <c r="AE226" s="445"/>
      <c r="AF226" s="445"/>
      <c r="AG226" s="445"/>
      <c r="AH226" s="443"/>
      <c r="AI226" s="445"/>
      <c r="AJ226" s="445"/>
      <c r="AK226" s="445"/>
      <c r="AL226" s="445"/>
      <c r="AM226" s="443"/>
      <c r="AN226" s="445"/>
      <c r="AO226" s="445"/>
      <c r="AP226" s="445"/>
      <c r="AQ226" s="445"/>
      <c r="AR226" s="445"/>
      <c r="AS226" s="445"/>
      <c r="AT226" s="445"/>
      <c r="AU226" s="445"/>
      <c r="AV226" s="445"/>
      <c r="AW226" s="445"/>
      <c r="AX226" s="445"/>
      <c r="AY226" s="445"/>
      <c r="AZ226" s="445"/>
      <c r="BA226" s="445"/>
      <c r="BB226" s="445"/>
      <c r="BC226" s="445"/>
      <c r="BD226" s="445"/>
      <c r="BE226" s="445"/>
      <c r="BF226" s="445"/>
      <c r="BG226" s="445"/>
      <c r="BH226" s="445"/>
      <c r="BI226" s="445"/>
      <c r="BJ226" s="445"/>
      <c r="BK226" s="445"/>
      <c r="BL226" s="445"/>
      <c r="BM226" s="445"/>
      <c r="BN226" s="445"/>
      <c r="BO226" s="445"/>
      <c r="BP226" s="445"/>
      <c r="BQ226" s="445"/>
      <c r="BR226" s="445"/>
      <c r="BS226" s="445"/>
      <c r="BT226" s="445"/>
      <c r="BU226" s="445"/>
      <c r="BV226" s="445"/>
      <c r="BW226" s="445"/>
      <c r="BX226" s="445"/>
      <c r="BY226" s="445"/>
      <c r="BZ226" s="445"/>
      <c r="CA226" s="445"/>
      <c r="CB226" s="445"/>
      <c r="CC226" s="445"/>
      <c r="CD226" s="445"/>
      <c r="CE226" s="445"/>
      <c r="CF226" s="445"/>
      <c r="CG226" s="445"/>
      <c r="CH226" s="445"/>
      <c r="CI226" s="445"/>
      <c r="CJ226" s="445"/>
      <c r="CK226" s="445"/>
      <c r="CL226" s="445"/>
      <c r="CM226" s="445"/>
      <c r="CN226" s="445"/>
      <c r="CO226" s="445"/>
      <c r="CP226" s="445"/>
      <c r="CQ226" s="445"/>
      <c r="CR226" s="445"/>
      <c r="CS226" s="445"/>
      <c r="CT226" s="445"/>
      <c r="CU226" s="445"/>
      <c r="CV226" s="445"/>
      <c r="CW226" s="445"/>
      <c r="CX226" s="445"/>
      <c r="CY226" s="445"/>
      <c r="CZ226" s="445"/>
      <c r="DA226" s="445"/>
      <c r="DB226" s="445"/>
      <c r="DC226" s="445"/>
      <c r="DD226" s="445"/>
      <c r="DE226" s="445"/>
      <c r="DF226" s="445"/>
      <c r="DG226" s="445"/>
      <c r="DH226" s="445"/>
      <c r="DI226" s="445"/>
      <c r="DJ226" s="445"/>
      <c r="DK226" s="445"/>
      <c r="DL226" s="445"/>
      <c r="DM226" s="445"/>
      <c r="DN226" s="445"/>
      <c r="DO226" s="445"/>
      <c r="DP226" s="445"/>
      <c r="DQ226" s="445"/>
      <c r="DR226" s="445"/>
      <c r="DS226" s="445"/>
      <c r="DT226" s="445"/>
      <c r="DU226" s="445"/>
      <c r="DV226" s="445"/>
      <c r="DW226" s="445"/>
      <c r="DX226" s="445"/>
      <c r="DY226" s="445"/>
      <c r="DZ226" s="445"/>
      <c r="EA226" s="445"/>
      <c r="EB226" s="445"/>
      <c r="EC226" s="445"/>
      <c r="ED226" s="445"/>
      <c r="EE226" s="445"/>
      <c r="EF226" s="445"/>
      <c r="EG226" s="445"/>
      <c r="EH226" s="445"/>
      <c r="EI226" s="445"/>
      <c r="EJ226" s="445"/>
      <c r="EK226" s="445"/>
      <c r="EL226" s="445"/>
      <c r="EM226" s="445"/>
      <c r="EN226" s="445"/>
      <c r="EO226" s="445"/>
      <c r="EP226" s="445"/>
      <c r="EQ226" s="445"/>
      <c r="ER226" s="445"/>
      <c r="ES226" s="445"/>
      <c r="ET226" s="445"/>
      <c r="EU226" s="445"/>
      <c r="EV226" s="445"/>
      <c r="EW226" s="445"/>
      <c r="EX226" s="445"/>
      <c r="EY226" s="445"/>
      <c r="EZ226" s="445"/>
      <c r="FA226" s="445"/>
      <c r="FB226" s="445"/>
      <c r="FC226" s="445"/>
      <c r="FD226" s="445"/>
      <c r="FE226" s="445"/>
      <c r="FF226" s="445"/>
      <c r="FG226" s="445"/>
      <c r="FH226" s="445"/>
      <c r="FI226" s="445"/>
      <c r="FJ226" s="445"/>
      <c r="FK226" s="445"/>
      <c r="FL226" s="445"/>
      <c r="FM226" s="445"/>
      <c r="FN226" s="445"/>
      <c r="FO226" s="445"/>
      <c r="FP226" s="445"/>
      <c r="FQ226" s="445"/>
      <c r="FR226" s="445"/>
      <c r="FS226" s="445"/>
      <c r="FT226" s="445"/>
      <c r="FU226" s="445"/>
      <c r="FV226" s="445"/>
      <c r="FW226" s="445"/>
      <c r="FX226" s="445"/>
      <c r="FY226" s="445"/>
      <c r="FZ226" s="445"/>
      <c r="GA226" s="445"/>
      <c r="GB226" s="445"/>
      <c r="GC226" s="445"/>
      <c r="GD226" s="445"/>
      <c r="GE226" s="445"/>
      <c r="GF226" s="445"/>
      <c r="GG226" s="445"/>
      <c r="GH226" s="445"/>
      <c r="GI226" s="445"/>
      <c r="GJ226" s="445"/>
      <c r="GK226" s="445"/>
      <c r="GL226" s="445"/>
      <c r="GM226" s="445"/>
      <c r="GN226" s="445"/>
      <c r="GO226" s="445"/>
      <c r="GP226" s="445"/>
      <c r="GQ226" s="445"/>
      <c r="GR226" s="445"/>
      <c r="GS226" s="445"/>
      <c r="GT226" s="445"/>
      <c r="GU226" s="445"/>
      <c r="GV226" s="445"/>
      <c r="GW226" s="445"/>
      <c r="GX226" s="445"/>
      <c r="GY226" s="445"/>
      <c r="GZ226" s="445"/>
      <c r="HA226" s="445"/>
      <c r="HB226" s="445"/>
      <c r="HC226" s="445"/>
      <c r="HD226" s="445"/>
      <c r="HE226" s="445"/>
      <c r="HF226" s="445"/>
      <c r="HG226" s="445"/>
      <c r="HH226" s="445"/>
      <c r="HI226" s="445"/>
      <c r="HJ226" s="445"/>
      <c r="HK226" s="445"/>
      <c r="HL226" s="445"/>
      <c r="HM226" s="445"/>
      <c r="HN226" s="445"/>
      <c r="HO226" s="445"/>
      <c r="HP226" s="445"/>
      <c r="HQ226" s="445"/>
      <c r="HR226" s="445"/>
      <c r="HS226" s="445"/>
      <c r="HT226" s="445"/>
      <c r="HU226" s="445"/>
      <c r="HV226" s="445"/>
      <c r="HW226" s="445"/>
      <c r="HX226" s="445"/>
      <c r="HY226" s="445"/>
      <c r="HZ226" s="445"/>
      <c r="IA226" s="445"/>
      <c r="IB226" s="445"/>
      <c r="IC226" s="445"/>
      <c r="ID226" s="445"/>
      <c r="IE226" s="445"/>
      <c r="IF226" s="445"/>
      <c r="IG226" s="445"/>
      <c r="IH226" s="445"/>
      <c r="II226" s="445"/>
      <c r="IJ226" s="445"/>
      <c r="IK226" s="445"/>
      <c r="IL226" s="445"/>
      <c r="IM226" s="445"/>
      <c r="IN226" s="445"/>
      <c r="IO226" s="445"/>
      <c r="IP226" s="445"/>
      <c r="IQ226" s="445"/>
      <c r="IR226" s="445"/>
      <c r="IS226" s="445"/>
      <c r="IT226" s="445"/>
      <c r="IU226" s="445"/>
      <c r="IV226" s="445"/>
      <c r="IW226" s="445"/>
      <c r="IX226" s="445"/>
      <c r="IY226" s="445"/>
      <c r="IZ226" s="445"/>
      <c r="JA226" s="445"/>
      <c r="JB226" s="445"/>
      <c r="JC226" s="445"/>
      <c r="JD226" s="445"/>
      <c r="JE226" s="445"/>
      <c r="JF226" s="445"/>
      <c r="JG226" s="445"/>
      <c r="JH226" s="445"/>
      <c r="JI226" s="445"/>
      <c r="JJ226" s="445"/>
      <c r="JK226" s="445"/>
      <c r="JL226" s="445"/>
      <c r="JM226" s="445"/>
      <c r="JN226" s="445"/>
      <c r="JO226" s="445"/>
      <c r="JP226" s="445"/>
      <c r="JQ226" s="445"/>
      <c r="JR226" s="445"/>
      <c r="JS226" s="445"/>
      <c r="JT226" s="445"/>
      <c r="JU226" s="445"/>
      <c r="JV226" s="445"/>
      <c r="JW226" s="2242"/>
      <c r="JX226" s="445"/>
      <c r="JY226" s="445"/>
      <c r="JZ226" s="445"/>
      <c r="KA226" s="445"/>
      <c r="KB226" s="2242"/>
      <c r="KC226" s="2242"/>
      <c r="KD226" s="2242"/>
      <c r="KE226" s="2242"/>
      <c r="KF226" s="2242"/>
      <c r="KG226" s="2242"/>
      <c r="KH226" s="2242"/>
      <c r="KI226" s="2242"/>
      <c r="KJ226" s="2242"/>
      <c r="KK226" s="2242"/>
      <c r="KL226" s="2242"/>
      <c r="KM226" s="2242"/>
      <c r="KN226" s="2242"/>
      <c r="KO226" s="2242"/>
      <c r="KP226" s="2242"/>
      <c r="KQ226" s="2242"/>
      <c r="KR226" s="2242"/>
      <c r="KS226" s="2242"/>
      <c r="KT226" s="2242"/>
      <c r="KU226" s="2242"/>
      <c r="KV226" s="2242"/>
      <c r="KW226" s="2242"/>
      <c r="KX226" s="2242"/>
      <c r="KY226" s="2242"/>
      <c r="KZ226" s="2242"/>
      <c r="LA226" s="2242"/>
      <c r="LB226" s="2242"/>
      <c r="LC226" s="2242"/>
      <c r="LD226" s="2242"/>
      <c r="LE226" s="2242"/>
      <c r="LF226" s="2242"/>
      <c r="LG226" s="2242"/>
      <c r="LH226" s="2242"/>
      <c r="LI226" s="2242"/>
      <c r="LJ226" s="2242"/>
      <c r="LK226" s="2242"/>
      <c r="LL226" s="2242"/>
      <c r="LM226" s="2242"/>
      <c r="LN226" s="2242"/>
      <c r="LO226" s="2242"/>
      <c r="LP226" s="2242"/>
      <c r="LQ226" s="2242"/>
      <c r="LR226" s="445"/>
      <c r="LS226" s="445"/>
      <c r="LT226" s="445"/>
      <c r="LU226" s="445"/>
      <c r="LV226" s="445"/>
      <c r="LW226" s="445"/>
      <c r="LX226" s="2243"/>
      <c r="LY226" s="445"/>
      <c r="LZ226" s="445"/>
      <c r="MA226" s="445"/>
      <c r="MB226" s="445"/>
      <c r="MC226" s="445"/>
      <c r="MD226" s="445"/>
      <c r="ME226" s="445"/>
      <c r="MF226" s="445"/>
      <c r="MG226" s="445"/>
      <c r="MH226" s="445"/>
      <c r="MI226" s="445"/>
      <c r="MJ226" s="445"/>
      <c r="MK226" s="445"/>
      <c r="ML226" s="445"/>
      <c r="MM226" s="445"/>
      <c r="MN226" s="2243"/>
      <c r="MO226" s="2243"/>
      <c r="MP226" s="445"/>
      <c r="MQ226" s="445"/>
      <c r="MR226" s="445"/>
      <c r="MS226" s="445"/>
      <c r="MT226" s="445"/>
      <c r="MU226" s="445"/>
      <c r="MV226" s="445"/>
      <c r="MW226" s="445"/>
      <c r="MX226" s="445"/>
      <c r="MY226" s="445"/>
      <c r="MZ226" s="445"/>
      <c r="NA226" s="445"/>
      <c r="NB226" s="445"/>
      <c r="NC226" s="445"/>
      <c r="ND226" s="445"/>
      <c r="NE226" s="94"/>
      <c r="NF226" s="94"/>
      <c r="NG226" s="94"/>
      <c r="NH226" s="94"/>
      <c r="NI226" s="94"/>
      <c r="NJ226" s="94"/>
      <c r="NK226" s="94"/>
      <c r="NL226" s="94"/>
      <c r="NM226" s="94"/>
      <c r="NN226" s="94"/>
      <c r="NO226" s="94"/>
      <c r="NP226" s="94"/>
      <c r="NQ226" s="94"/>
      <c r="NR226" s="94"/>
      <c r="NS226" s="94"/>
      <c r="NT226" s="94"/>
      <c r="NU226" s="94"/>
      <c r="NV226" s="94"/>
      <c r="NW226" s="94"/>
      <c r="NX226" s="94"/>
      <c r="NY226" s="94"/>
      <c r="NZ226" s="94"/>
      <c r="OA226" s="94"/>
      <c r="OB226" s="94"/>
      <c r="OC226" s="94"/>
      <c r="OD226" s="94"/>
      <c r="OE226" s="94"/>
      <c r="OF226" s="94"/>
      <c r="OG226" s="94"/>
      <c r="OH226" s="94"/>
      <c r="OI226" s="94"/>
      <c r="OJ226" s="94"/>
      <c r="OK226" s="94"/>
      <c r="OL226" s="94"/>
      <c r="OM226" s="94"/>
      <c r="ON226" s="94"/>
      <c r="OO226" s="94"/>
      <c r="OP226" s="94"/>
      <c r="OQ226" s="94"/>
      <c r="OR226" s="94"/>
      <c r="OS226" s="94"/>
      <c r="OT226" s="94"/>
      <c r="OU226" s="94"/>
      <c r="OV226" s="94"/>
      <c r="OW226" s="94"/>
      <c r="OX226" s="94"/>
      <c r="OY226" s="94"/>
      <c r="OZ226" s="94"/>
      <c r="PA226" s="94"/>
      <c r="PB226" s="94"/>
      <c r="PC226" s="94"/>
      <c r="PD226" s="94"/>
      <c r="PE226" s="94"/>
      <c r="PF226" s="94"/>
      <c r="PG226" s="94"/>
      <c r="PH226" s="94"/>
      <c r="PI226" s="94"/>
      <c r="PJ226" s="94"/>
      <c r="PK226" s="94"/>
      <c r="PL226" s="94"/>
      <c r="PM226" s="94"/>
      <c r="PN226" s="94"/>
      <c r="PO226" s="94"/>
      <c r="PP226" s="94"/>
      <c r="PQ226" s="94"/>
      <c r="PR226" s="94"/>
      <c r="PS226" s="94"/>
      <c r="PT226" s="94"/>
      <c r="PU226" s="94"/>
      <c r="PV226" s="94"/>
      <c r="PW226" s="94"/>
      <c r="PX226" s="94"/>
      <c r="PY226" s="94"/>
      <c r="PZ226" s="94"/>
      <c r="QA226" s="94"/>
      <c r="QB226" s="94"/>
      <c r="QC226" s="94"/>
      <c r="QD226" s="94"/>
      <c r="QE226" s="94"/>
      <c r="QF226" s="94"/>
      <c r="QG226" s="94"/>
      <c r="QH226" s="94"/>
      <c r="QI226" s="94"/>
      <c r="QJ226" s="94"/>
      <c r="QK226" s="94"/>
      <c r="QL226" s="94"/>
      <c r="QM226" s="94"/>
      <c r="QN226" s="94"/>
      <c r="QO226" s="94"/>
      <c r="QP226" s="94"/>
      <c r="QQ226" s="94"/>
      <c r="QR226" s="94"/>
      <c r="QS226" s="94"/>
      <c r="QT226" s="94"/>
      <c r="QU226" s="94"/>
      <c r="QV226" s="94"/>
      <c r="QW226" s="94"/>
      <c r="QX226" s="94"/>
      <c r="QY226" s="94"/>
      <c r="QZ226" s="94"/>
      <c r="RA226" s="94"/>
      <c r="RB226" s="94"/>
      <c r="RC226" s="94"/>
      <c r="RD226" s="94"/>
      <c r="RE226" s="94"/>
      <c r="RF226" s="94"/>
      <c r="RG226" s="94"/>
      <c r="RH226" s="94"/>
      <c r="RI226" s="94"/>
      <c r="RJ226" s="94"/>
      <c r="RK226" s="94"/>
      <c r="RL226" s="94"/>
      <c r="RM226" s="94"/>
      <c r="RN226" s="94"/>
      <c r="RO226" s="94"/>
      <c r="RP226" s="94"/>
      <c r="RQ226" s="94"/>
      <c r="RR226" s="94"/>
      <c r="RS226" s="94"/>
      <c r="RT226" s="94"/>
      <c r="RU226" s="94"/>
      <c r="RV226" s="94"/>
      <c r="RW226" s="94"/>
      <c r="RX226" s="94"/>
      <c r="RY226" s="94"/>
      <c r="RZ226" s="94"/>
      <c r="SA226" s="94"/>
      <c r="SB226" s="94"/>
      <c r="SC226" s="94"/>
      <c r="SD226" s="94"/>
      <c r="SE226" s="94"/>
      <c r="SF226" s="94"/>
      <c r="SG226" s="94"/>
      <c r="SH226" s="94"/>
      <c r="SI226" s="94"/>
    </row>
    <row r="227" spans="1:503" s="90" customFormat="1" ht="15" customHeight="1" thickBot="1">
      <c r="A227" s="1"/>
      <c r="B227" s="1"/>
      <c r="C227" s="10"/>
      <c r="D227" s="11"/>
      <c r="E227" s="1"/>
      <c r="F227" s="12"/>
      <c r="G227" s="12"/>
      <c r="H227" s="1"/>
      <c r="I227" s="1" t="s">
        <v>2001</v>
      </c>
      <c r="K227" s="1"/>
      <c r="L227" s="4077">
        <v>4000</v>
      </c>
      <c r="M227" s="4078"/>
      <c r="N227" s="2673" t="str">
        <f>IF(Q229="","",IF(Q227&lt;Q229, "WARNING! OE below required minimum.",""))</f>
        <v/>
      </c>
      <c r="O227" s="10" t="s">
        <v>2136</v>
      </c>
      <c r="P227" s="5"/>
      <c r="Q227" s="401">
        <f>F226+F235+F246+L222+L230+L239+L246+Q219</f>
        <v>324000</v>
      </c>
      <c r="R227" s="5"/>
      <c r="S227" s="3996"/>
      <c r="T227" s="3997"/>
      <c r="U227" s="3997"/>
      <c r="V227" s="3997"/>
      <c r="W227" s="3998"/>
      <c r="X227" s="445"/>
      <c r="Y227" s="445"/>
      <c r="Z227" s="445"/>
      <c r="AA227" s="445"/>
      <c r="AB227" s="445"/>
      <c r="AC227" s="445"/>
      <c r="AD227" s="445"/>
      <c r="AE227" s="445"/>
      <c r="AF227" s="445"/>
      <c r="AG227" s="445"/>
      <c r="AH227" s="445"/>
      <c r="AI227" s="445"/>
      <c r="AJ227" s="445"/>
      <c r="AK227" s="445"/>
      <c r="AL227" s="445"/>
      <c r="AM227" s="445"/>
      <c r="AN227" s="445"/>
      <c r="AO227" s="445"/>
      <c r="AP227" s="445"/>
      <c r="AQ227" s="445"/>
      <c r="AR227" s="445"/>
      <c r="AS227" s="445"/>
      <c r="AT227" s="445"/>
      <c r="AU227" s="445"/>
      <c r="AV227" s="445"/>
      <c r="AW227" s="445"/>
      <c r="AX227" s="445"/>
      <c r="AY227" s="445"/>
      <c r="AZ227" s="445"/>
      <c r="BA227" s="445"/>
      <c r="BB227" s="445"/>
      <c r="BC227" s="445"/>
      <c r="BD227" s="445"/>
      <c r="BE227" s="445"/>
      <c r="BF227" s="445"/>
      <c r="BG227" s="445"/>
      <c r="BH227" s="445"/>
      <c r="BI227" s="445"/>
      <c r="BJ227" s="445"/>
      <c r="BK227" s="445"/>
      <c r="BL227" s="445"/>
      <c r="BM227" s="445"/>
      <c r="BN227" s="445"/>
      <c r="BO227" s="445"/>
      <c r="BP227" s="445"/>
      <c r="BQ227" s="445"/>
      <c r="BR227" s="445"/>
      <c r="BS227" s="445"/>
      <c r="BT227" s="445"/>
      <c r="BU227" s="445"/>
      <c r="BV227" s="445"/>
      <c r="BW227" s="445"/>
      <c r="BX227" s="445"/>
      <c r="BY227" s="445"/>
      <c r="BZ227" s="445"/>
      <c r="CA227" s="445"/>
      <c r="CB227" s="445"/>
      <c r="CC227" s="445"/>
      <c r="CD227" s="445"/>
      <c r="CE227" s="445"/>
      <c r="CF227" s="445"/>
      <c r="CG227" s="445"/>
      <c r="CH227" s="445"/>
      <c r="CI227" s="445"/>
      <c r="CJ227" s="445"/>
      <c r="CK227" s="445"/>
      <c r="CL227" s="445"/>
      <c r="CM227" s="445"/>
      <c r="CN227" s="445"/>
      <c r="CO227" s="445"/>
      <c r="CP227" s="445"/>
      <c r="CQ227" s="445"/>
      <c r="CR227" s="445"/>
      <c r="CS227" s="445"/>
      <c r="CT227" s="445"/>
      <c r="CU227" s="445"/>
      <c r="CV227" s="445"/>
      <c r="CW227" s="445"/>
      <c r="CX227" s="445"/>
      <c r="CY227" s="445"/>
      <c r="CZ227" s="445"/>
      <c r="DA227" s="445"/>
      <c r="DB227" s="445"/>
      <c r="DC227" s="445"/>
      <c r="DD227" s="445"/>
      <c r="DE227" s="445"/>
      <c r="DF227" s="445"/>
      <c r="DG227" s="445"/>
      <c r="DH227" s="445"/>
      <c r="DI227" s="445"/>
      <c r="DJ227" s="445"/>
      <c r="DK227" s="445"/>
      <c r="DL227" s="445"/>
      <c r="DM227" s="445"/>
      <c r="DN227" s="445"/>
      <c r="DO227" s="445"/>
      <c r="DP227" s="445"/>
      <c r="DQ227" s="445"/>
      <c r="DR227" s="445"/>
      <c r="DS227" s="445"/>
      <c r="DT227" s="445"/>
      <c r="DU227" s="445"/>
      <c r="DV227" s="445"/>
      <c r="DW227" s="445"/>
      <c r="DX227" s="445"/>
      <c r="DY227" s="445"/>
      <c r="DZ227" s="445"/>
      <c r="EA227" s="445"/>
      <c r="EB227" s="445"/>
      <c r="EC227" s="445"/>
      <c r="ED227" s="445"/>
      <c r="EE227" s="445"/>
      <c r="EF227" s="445"/>
      <c r="EG227" s="445"/>
      <c r="EH227" s="445"/>
      <c r="EI227" s="445"/>
      <c r="EJ227" s="445"/>
      <c r="EK227" s="445"/>
      <c r="EL227" s="445"/>
      <c r="EM227" s="445"/>
      <c r="EN227" s="445"/>
      <c r="EO227" s="445"/>
      <c r="EP227" s="445"/>
      <c r="EQ227" s="445"/>
      <c r="ER227" s="445"/>
      <c r="ES227" s="445"/>
      <c r="ET227" s="445"/>
      <c r="EU227" s="445"/>
      <c r="EV227" s="445"/>
      <c r="EW227" s="445"/>
      <c r="EX227" s="445"/>
      <c r="EY227" s="445"/>
      <c r="EZ227" s="445"/>
      <c r="FA227" s="445"/>
      <c r="FB227" s="445"/>
      <c r="FC227" s="445"/>
      <c r="FD227" s="445"/>
      <c r="FE227" s="445"/>
      <c r="FF227" s="445"/>
      <c r="FG227" s="445"/>
      <c r="FH227" s="445"/>
      <c r="FI227" s="445"/>
      <c r="FJ227" s="445"/>
      <c r="FK227" s="445"/>
      <c r="FL227" s="445"/>
      <c r="FM227" s="445"/>
      <c r="FN227" s="445"/>
      <c r="FO227" s="445"/>
      <c r="FP227" s="445"/>
      <c r="FQ227" s="445"/>
      <c r="FR227" s="445"/>
      <c r="FS227" s="445"/>
      <c r="FT227" s="445"/>
      <c r="FU227" s="445"/>
      <c r="FV227" s="445"/>
      <c r="FW227" s="445"/>
      <c r="FX227" s="445"/>
      <c r="FY227" s="445"/>
      <c r="FZ227" s="445"/>
      <c r="GA227" s="445"/>
      <c r="GB227" s="445"/>
      <c r="GC227" s="445"/>
      <c r="GD227" s="445"/>
      <c r="GE227" s="445"/>
      <c r="GF227" s="445"/>
      <c r="GG227" s="445"/>
      <c r="GH227" s="445"/>
      <c r="GI227" s="445"/>
      <c r="GJ227" s="445"/>
      <c r="GK227" s="445"/>
      <c r="GL227" s="445"/>
      <c r="GM227" s="445"/>
      <c r="GN227" s="445"/>
      <c r="GO227" s="445"/>
      <c r="GP227" s="445"/>
      <c r="GQ227" s="445"/>
      <c r="GR227" s="445"/>
      <c r="GS227" s="445"/>
      <c r="GT227" s="445"/>
      <c r="GU227" s="445"/>
      <c r="GV227" s="445"/>
      <c r="GW227" s="445"/>
      <c r="GX227" s="445"/>
      <c r="GY227" s="445"/>
      <c r="GZ227" s="445"/>
      <c r="HA227" s="445"/>
      <c r="HB227" s="445"/>
      <c r="HC227" s="445"/>
      <c r="HD227" s="445"/>
      <c r="HE227" s="445"/>
      <c r="HF227" s="445"/>
      <c r="HG227" s="445"/>
      <c r="HH227" s="445"/>
      <c r="HI227" s="445"/>
      <c r="HJ227" s="445"/>
      <c r="HK227" s="445"/>
      <c r="HL227" s="445"/>
      <c r="HM227" s="445"/>
      <c r="HN227" s="445"/>
      <c r="HO227" s="445"/>
      <c r="HP227" s="445"/>
      <c r="HQ227" s="445"/>
      <c r="HR227" s="445"/>
      <c r="HS227" s="445"/>
      <c r="HT227" s="445"/>
      <c r="HU227" s="445"/>
      <c r="HV227" s="445"/>
      <c r="HW227" s="445"/>
      <c r="HX227" s="445"/>
      <c r="HY227" s="445"/>
      <c r="HZ227" s="445"/>
      <c r="IA227" s="445"/>
      <c r="IB227" s="445"/>
      <c r="IC227" s="445"/>
      <c r="ID227" s="445"/>
      <c r="IE227" s="445"/>
      <c r="IF227" s="445"/>
      <c r="IG227" s="445"/>
      <c r="IH227" s="445"/>
      <c r="II227" s="445"/>
      <c r="IJ227" s="445"/>
      <c r="IK227" s="445"/>
      <c r="IL227" s="445"/>
      <c r="IM227" s="445"/>
      <c r="IN227" s="445"/>
      <c r="IO227" s="445"/>
      <c r="IP227" s="445"/>
      <c r="IQ227" s="445"/>
      <c r="IR227" s="445"/>
      <c r="IS227" s="445"/>
      <c r="IT227" s="445"/>
      <c r="IU227" s="445"/>
      <c r="IV227" s="445"/>
      <c r="IW227" s="445"/>
      <c r="IX227" s="445"/>
      <c r="IY227" s="445"/>
      <c r="IZ227" s="445"/>
      <c r="JA227" s="445"/>
      <c r="JB227" s="445"/>
      <c r="JC227" s="445"/>
      <c r="JD227" s="445"/>
      <c r="JE227" s="445"/>
      <c r="JF227" s="445"/>
      <c r="JG227" s="445"/>
      <c r="JH227" s="445"/>
      <c r="JI227" s="445"/>
      <c r="JJ227" s="445"/>
      <c r="JK227" s="445"/>
      <c r="JL227" s="445"/>
      <c r="JM227" s="445"/>
      <c r="JN227" s="445"/>
      <c r="JO227" s="445"/>
      <c r="JP227" s="445"/>
      <c r="JQ227" s="445"/>
      <c r="JR227" s="445"/>
      <c r="JS227" s="445"/>
      <c r="JT227" s="445"/>
      <c r="JU227" s="445"/>
      <c r="JV227" s="445"/>
      <c r="JW227" s="2242"/>
      <c r="JX227" s="445"/>
      <c r="JY227" s="445"/>
      <c r="JZ227" s="445"/>
      <c r="KA227" s="445"/>
      <c r="KB227" s="2242"/>
      <c r="KC227" s="2242"/>
      <c r="KD227" s="2242"/>
      <c r="KE227" s="2242"/>
      <c r="KF227" s="2242"/>
      <c r="KG227" s="2242"/>
      <c r="KH227" s="2242"/>
      <c r="KI227" s="2242"/>
      <c r="KJ227" s="2242"/>
      <c r="KK227" s="2242"/>
      <c r="KL227" s="2242"/>
      <c r="KM227" s="2242"/>
      <c r="KN227" s="2242"/>
      <c r="KO227" s="2242"/>
      <c r="KP227" s="2242"/>
      <c r="KQ227" s="2242"/>
      <c r="KR227" s="2242"/>
      <c r="KS227" s="2242"/>
      <c r="KT227" s="2242"/>
      <c r="KU227" s="2242"/>
      <c r="KV227" s="2242"/>
      <c r="KW227" s="2242"/>
      <c r="KX227" s="2242"/>
      <c r="KY227" s="2242"/>
      <c r="KZ227" s="2242"/>
      <c r="LA227" s="2242"/>
      <c r="LB227" s="2242"/>
      <c r="LC227" s="2242"/>
      <c r="LD227" s="2242"/>
      <c r="LE227" s="2242"/>
      <c r="LF227" s="2242"/>
      <c r="LG227" s="2242"/>
      <c r="LH227" s="2242"/>
      <c r="LI227" s="2242"/>
      <c r="LJ227" s="2242"/>
      <c r="LK227" s="2242"/>
      <c r="LL227" s="2242"/>
      <c r="LM227" s="2242"/>
      <c r="LN227" s="2242"/>
      <c r="LO227" s="2242"/>
      <c r="LP227" s="2242"/>
      <c r="LQ227" s="2242"/>
      <c r="LR227" s="445"/>
      <c r="LS227" s="445"/>
      <c r="LT227" s="445"/>
      <c r="LU227" s="445"/>
      <c r="LV227" s="445"/>
      <c r="LW227" s="445"/>
      <c r="LX227" s="2243"/>
      <c r="LY227" s="445"/>
      <c r="LZ227" s="445"/>
      <c r="MA227" s="445"/>
      <c r="MB227" s="445"/>
      <c r="MC227" s="445"/>
      <c r="MD227" s="445"/>
      <c r="ME227" s="445"/>
      <c r="MF227" s="445"/>
      <c r="MG227" s="445"/>
      <c r="MH227" s="445"/>
      <c r="MI227" s="445"/>
      <c r="MJ227" s="445"/>
      <c r="MK227" s="445"/>
      <c r="ML227" s="445"/>
      <c r="MM227" s="445"/>
      <c r="MN227" s="2243"/>
      <c r="MO227" s="2243"/>
      <c r="MP227" s="445"/>
      <c r="MQ227" s="445"/>
      <c r="MR227" s="445"/>
      <c r="MS227" s="445"/>
      <c r="MT227" s="445"/>
      <c r="MU227" s="445"/>
      <c r="MV227" s="445"/>
      <c r="MW227" s="445"/>
      <c r="MX227" s="445"/>
      <c r="MY227" s="445"/>
      <c r="MZ227" s="445"/>
      <c r="NA227" s="445"/>
      <c r="NB227" s="445"/>
      <c r="NC227" s="445"/>
      <c r="ND227" s="445"/>
      <c r="NE227" s="94"/>
      <c r="NF227" s="94"/>
      <c r="NG227" s="94"/>
      <c r="NH227" s="94"/>
      <c r="NI227" s="94"/>
      <c r="NJ227" s="94"/>
      <c r="NK227" s="94"/>
      <c r="NL227" s="94"/>
      <c r="NM227" s="94"/>
      <c r="NN227" s="94"/>
      <c r="NO227" s="94"/>
      <c r="NP227" s="94"/>
      <c r="NQ227" s="94"/>
      <c r="NR227" s="94"/>
      <c r="NS227" s="94"/>
      <c r="NT227" s="94"/>
      <c r="NU227" s="94"/>
      <c r="NV227" s="94"/>
      <c r="NW227" s="94"/>
      <c r="NX227" s="94"/>
      <c r="NY227" s="94"/>
      <c r="NZ227" s="94"/>
      <c r="OA227" s="94"/>
      <c r="OB227" s="94"/>
      <c r="OC227" s="94"/>
      <c r="OD227" s="94"/>
      <c r="OE227" s="94"/>
      <c r="OF227" s="94"/>
      <c r="OG227" s="94"/>
      <c r="OH227" s="94"/>
      <c r="OI227" s="94"/>
      <c r="OJ227" s="94"/>
      <c r="OK227" s="94"/>
      <c r="OL227" s="94"/>
      <c r="OM227" s="94"/>
      <c r="ON227" s="94"/>
      <c r="OO227" s="94"/>
      <c r="OP227" s="94"/>
      <c r="OQ227" s="94"/>
      <c r="OR227" s="94"/>
      <c r="OS227" s="94"/>
      <c r="OT227" s="94"/>
      <c r="OU227" s="94"/>
      <c r="OV227" s="94"/>
      <c r="OW227" s="94"/>
      <c r="OX227" s="94"/>
      <c r="OY227" s="94"/>
      <c r="OZ227" s="94"/>
      <c r="PA227" s="94"/>
      <c r="PB227" s="94"/>
      <c r="PC227" s="94"/>
      <c r="PD227" s="94"/>
      <c r="PE227" s="94"/>
      <c r="PF227" s="94"/>
      <c r="PG227" s="94"/>
      <c r="PH227" s="94"/>
      <c r="PI227" s="94"/>
      <c r="PJ227" s="94"/>
      <c r="PK227" s="94"/>
      <c r="PL227" s="94"/>
      <c r="PM227" s="94"/>
      <c r="PN227" s="94"/>
      <c r="PO227" s="94"/>
      <c r="PP227" s="94"/>
      <c r="PQ227" s="94"/>
      <c r="PR227" s="94"/>
      <c r="PS227" s="94"/>
      <c r="PT227" s="94"/>
      <c r="PU227" s="94"/>
      <c r="PV227" s="94"/>
      <c r="PW227" s="94"/>
      <c r="PX227" s="94"/>
      <c r="PY227" s="94"/>
      <c r="PZ227" s="94"/>
      <c r="QA227" s="94"/>
      <c r="QB227" s="94"/>
      <c r="QC227" s="94"/>
      <c r="QD227" s="94"/>
      <c r="QE227" s="94"/>
      <c r="QF227" s="94"/>
      <c r="QG227" s="94"/>
      <c r="QH227" s="94"/>
      <c r="QI227" s="94"/>
      <c r="QJ227" s="94"/>
      <c r="QK227" s="94"/>
      <c r="QL227" s="94"/>
      <c r="QM227" s="94"/>
      <c r="QN227" s="94"/>
      <c r="QO227" s="94"/>
      <c r="QP227" s="94"/>
      <c r="QQ227" s="94"/>
      <c r="QR227" s="94"/>
      <c r="QS227" s="94"/>
      <c r="QT227" s="94"/>
      <c r="QU227" s="94"/>
      <c r="QV227" s="94"/>
      <c r="QW227" s="94"/>
      <c r="QX227" s="94"/>
      <c r="QY227" s="94"/>
      <c r="QZ227" s="94"/>
      <c r="RA227" s="94"/>
      <c r="RB227" s="94"/>
      <c r="RC227" s="94"/>
      <c r="RD227" s="94"/>
      <c r="RE227" s="94"/>
      <c r="RF227" s="94"/>
      <c r="RG227" s="94"/>
      <c r="RH227" s="94"/>
      <c r="RI227" s="94"/>
      <c r="RJ227" s="94"/>
      <c r="RK227" s="94"/>
      <c r="RL227" s="94"/>
      <c r="RM227" s="94"/>
      <c r="RN227" s="94"/>
      <c r="RO227" s="94"/>
      <c r="RP227" s="94"/>
      <c r="RQ227" s="94"/>
      <c r="RR227" s="94"/>
      <c r="RS227" s="94"/>
      <c r="RT227" s="94"/>
      <c r="RU227" s="94"/>
      <c r="RV227" s="94"/>
      <c r="RW227" s="94"/>
      <c r="RX227" s="94"/>
      <c r="RY227" s="94"/>
      <c r="RZ227" s="94"/>
      <c r="SA227" s="94"/>
      <c r="SB227" s="94"/>
      <c r="SC227" s="94"/>
      <c r="SD227" s="94"/>
      <c r="SE227" s="94"/>
      <c r="SF227" s="94"/>
      <c r="SG227" s="94"/>
      <c r="SH227" s="94"/>
      <c r="SI227" s="94"/>
    </row>
    <row r="228" spans="1:503" s="90" customFormat="1" ht="13.35" customHeight="1">
      <c r="A228" s="1"/>
      <c r="B228" s="10" t="s">
        <v>1265</v>
      </c>
      <c r="C228" s="1"/>
      <c r="D228" s="9"/>
      <c r="E228" s="1"/>
      <c r="F228" s="1"/>
      <c r="G228" s="1"/>
      <c r="H228" s="1"/>
      <c r="I228" s="1" t="s">
        <v>1570</v>
      </c>
      <c r="K228" s="1"/>
      <c r="L228" s="4077">
        <v>5000</v>
      </c>
      <c r="M228" s="4078"/>
      <c r="N228" s="2673"/>
      <c r="O228" s="66" t="s">
        <v>2669</v>
      </c>
      <c r="P228" s="391">
        <f>+Q227/P67</f>
        <v>4500</v>
      </c>
      <c r="R228" s="838"/>
      <c r="S228" s="3996"/>
      <c r="T228" s="3997"/>
      <c r="U228" s="3997"/>
      <c r="V228" s="3997"/>
      <c r="W228" s="3998"/>
      <c r="X228" s="443"/>
      <c r="Y228" s="445"/>
      <c r="Z228" s="445"/>
      <c r="AA228" s="445"/>
      <c r="AB228" s="445"/>
      <c r="AC228" s="443"/>
      <c r="AD228" s="445"/>
      <c r="AE228" s="445"/>
      <c r="AF228" s="445"/>
      <c r="AG228" s="445"/>
      <c r="AH228" s="443"/>
      <c r="AI228" s="445"/>
      <c r="AJ228" s="445"/>
      <c r="AK228" s="445"/>
      <c r="AL228" s="445"/>
      <c r="AM228" s="443"/>
      <c r="AN228" s="445"/>
      <c r="AO228" s="445"/>
      <c r="AP228" s="445"/>
      <c r="AQ228" s="445"/>
      <c r="AR228" s="445"/>
      <c r="AS228" s="445"/>
      <c r="AT228" s="445"/>
      <c r="AU228" s="445"/>
      <c r="AV228" s="445"/>
      <c r="AW228" s="445"/>
      <c r="AX228" s="445"/>
      <c r="AY228" s="445"/>
      <c r="AZ228" s="445"/>
      <c r="BA228" s="445"/>
      <c r="BB228" s="445"/>
      <c r="BC228" s="445"/>
      <c r="BD228" s="445"/>
      <c r="BE228" s="445"/>
      <c r="BF228" s="445"/>
      <c r="BG228" s="445"/>
      <c r="BH228" s="445"/>
      <c r="BI228" s="445"/>
      <c r="BJ228" s="445"/>
      <c r="BK228" s="445"/>
      <c r="BL228" s="445"/>
      <c r="BM228" s="445"/>
      <c r="BN228" s="445"/>
      <c r="BO228" s="445"/>
      <c r="BP228" s="445"/>
      <c r="BQ228" s="445"/>
      <c r="BR228" s="445"/>
      <c r="BS228" s="445"/>
      <c r="BT228" s="445"/>
      <c r="BU228" s="445"/>
      <c r="BV228" s="445"/>
      <c r="BW228" s="445"/>
      <c r="BX228" s="445"/>
      <c r="BY228" s="445"/>
      <c r="BZ228" s="445"/>
      <c r="CA228" s="445"/>
      <c r="CB228" s="445"/>
      <c r="CC228" s="445"/>
      <c r="CD228" s="445"/>
      <c r="CE228" s="445"/>
      <c r="CF228" s="445"/>
      <c r="CG228" s="445"/>
      <c r="CH228" s="445"/>
      <c r="CI228" s="445"/>
      <c r="CJ228" s="445"/>
      <c r="CK228" s="445"/>
      <c r="CL228" s="445"/>
      <c r="CM228" s="445"/>
      <c r="CN228" s="445"/>
      <c r="CO228" s="445"/>
      <c r="CP228" s="445"/>
      <c r="CQ228" s="445"/>
      <c r="CR228" s="445"/>
      <c r="CS228" s="445"/>
      <c r="CT228" s="445"/>
      <c r="CU228" s="445"/>
      <c r="CV228" s="445"/>
      <c r="CW228" s="445"/>
      <c r="CX228" s="445"/>
      <c r="CY228" s="445"/>
      <c r="CZ228" s="445"/>
      <c r="DA228" s="445"/>
      <c r="DB228" s="445"/>
      <c r="DC228" s="445"/>
      <c r="DD228" s="445"/>
      <c r="DE228" s="445"/>
      <c r="DF228" s="445"/>
      <c r="DG228" s="445"/>
      <c r="DH228" s="445"/>
      <c r="DI228" s="445"/>
      <c r="DJ228" s="445"/>
      <c r="DK228" s="445"/>
      <c r="DL228" s="445"/>
      <c r="DM228" s="445"/>
      <c r="DN228" s="445"/>
      <c r="DO228" s="445"/>
      <c r="DP228" s="445"/>
      <c r="DQ228" s="445"/>
      <c r="DR228" s="445"/>
      <c r="DS228" s="445"/>
      <c r="DT228" s="445"/>
      <c r="DU228" s="445"/>
      <c r="DV228" s="445"/>
      <c r="DW228" s="445"/>
      <c r="DX228" s="445"/>
      <c r="DY228" s="445"/>
      <c r="DZ228" s="445"/>
      <c r="EA228" s="445"/>
      <c r="EB228" s="445"/>
      <c r="EC228" s="445"/>
      <c r="ED228" s="445"/>
      <c r="EE228" s="445"/>
      <c r="EF228" s="445"/>
      <c r="EG228" s="445"/>
      <c r="EH228" s="445"/>
      <c r="EI228" s="445"/>
      <c r="EJ228" s="445"/>
      <c r="EK228" s="445"/>
      <c r="EL228" s="445"/>
      <c r="EM228" s="445"/>
      <c r="EN228" s="445"/>
      <c r="EO228" s="445"/>
      <c r="EP228" s="445"/>
      <c r="EQ228" s="445"/>
      <c r="ER228" s="445"/>
      <c r="ES228" s="445"/>
      <c r="ET228" s="445"/>
      <c r="EU228" s="445"/>
      <c r="EV228" s="445"/>
      <c r="EW228" s="445"/>
      <c r="EX228" s="445"/>
      <c r="EY228" s="445"/>
      <c r="EZ228" s="445"/>
      <c r="FA228" s="445"/>
      <c r="FB228" s="445"/>
      <c r="FC228" s="445"/>
      <c r="FD228" s="445"/>
      <c r="FE228" s="445"/>
      <c r="FF228" s="445"/>
      <c r="FG228" s="445"/>
      <c r="FH228" s="445"/>
      <c r="FI228" s="445"/>
      <c r="FJ228" s="445"/>
      <c r="FK228" s="445"/>
      <c r="FL228" s="445"/>
      <c r="FM228" s="445"/>
      <c r="FN228" s="445"/>
      <c r="FO228" s="445"/>
      <c r="FP228" s="445"/>
      <c r="FQ228" s="445"/>
      <c r="FR228" s="445"/>
      <c r="FS228" s="445"/>
      <c r="FT228" s="445"/>
      <c r="FU228" s="445"/>
      <c r="FV228" s="445"/>
      <c r="FW228" s="445"/>
      <c r="FX228" s="445"/>
      <c r="FY228" s="445"/>
      <c r="FZ228" s="445"/>
      <c r="GA228" s="445"/>
      <c r="GB228" s="445"/>
      <c r="GC228" s="445"/>
      <c r="GD228" s="445"/>
      <c r="GE228" s="445"/>
      <c r="GF228" s="445"/>
      <c r="GG228" s="445"/>
      <c r="GH228" s="445"/>
      <c r="GI228" s="445"/>
      <c r="GJ228" s="445"/>
      <c r="GK228" s="445"/>
      <c r="GL228" s="445"/>
      <c r="GM228" s="445"/>
      <c r="GN228" s="445"/>
      <c r="GO228" s="445"/>
      <c r="GP228" s="445"/>
      <c r="GQ228" s="445"/>
      <c r="GR228" s="445"/>
      <c r="GS228" s="445"/>
      <c r="GT228" s="445"/>
      <c r="GU228" s="445"/>
      <c r="GV228" s="445"/>
      <c r="GW228" s="445"/>
      <c r="GX228" s="445"/>
      <c r="GY228" s="445"/>
      <c r="GZ228" s="445"/>
      <c r="HA228" s="445"/>
      <c r="HB228" s="445"/>
      <c r="HC228" s="445"/>
      <c r="HD228" s="445"/>
      <c r="HE228" s="445"/>
      <c r="HF228" s="445"/>
      <c r="HG228" s="445"/>
      <c r="HH228" s="445"/>
      <c r="HI228" s="445"/>
      <c r="HJ228" s="445"/>
      <c r="HK228" s="445"/>
      <c r="HL228" s="445"/>
      <c r="HM228" s="445"/>
      <c r="HN228" s="445"/>
      <c r="HO228" s="445"/>
      <c r="HP228" s="445"/>
      <c r="HQ228" s="445"/>
      <c r="HR228" s="445"/>
      <c r="HS228" s="445"/>
      <c r="HT228" s="445"/>
      <c r="HU228" s="445"/>
      <c r="HV228" s="445"/>
      <c r="HW228" s="445"/>
      <c r="HX228" s="445"/>
      <c r="HY228" s="445"/>
      <c r="HZ228" s="445"/>
      <c r="IA228" s="445"/>
      <c r="IB228" s="445"/>
      <c r="IC228" s="445"/>
      <c r="ID228" s="445"/>
      <c r="IE228" s="445"/>
      <c r="IF228" s="445"/>
      <c r="IG228" s="445"/>
      <c r="IH228" s="445"/>
      <c r="II228" s="445"/>
      <c r="IJ228" s="445"/>
      <c r="IK228" s="445"/>
      <c r="IL228" s="445"/>
      <c r="IM228" s="445"/>
      <c r="IN228" s="445"/>
      <c r="IO228" s="445"/>
      <c r="IP228" s="445"/>
      <c r="IQ228" s="445"/>
      <c r="IR228" s="445"/>
      <c r="IS228" s="445"/>
      <c r="IT228" s="445"/>
      <c r="IU228" s="445"/>
      <c r="IV228" s="445"/>
      <c r="IW228" s="445"/>
      <c r="IX228" s="445"/>
      <c r="IY228" s="445"/>
      <c r="IZ228" s="445"/>
      <c r="JA228" s="445"/>
      <c r="JB228" s="445"/>
      <c r="JC228" s="445"/>
      <c r="JD228" s="445"/>
      <c r="JE228" s="445"/>
      <c r="JF228" s="445"/>
      <c r="JG228" s="445"/>
      <c r="JH228" s="445"/>
      <c r="JI228" s="445"/>
      <c r="JJ228" s="445"/>
      <c r="JK228" s="445"/>
      <c r="JL228" s="445"/>
      <c r="JM228" s="445"/>
      <c r="JN228" s="445"/>
      <c r="JO228" s="445"/>
      <c r="JP228" s="445"/>
      <c r="JQ228" s="445"/>
      <c r="JR228" s="445"/>
      <c r="JS228" s="445"/>
      <c r="JT228" s="445"/>
      <c r="JU228" s="445"/>
      <c r="JV228" s="445"/>
      <c r="JW228" s="2242"/>
      <c r="JX228" s="445"/>
      <c r="JY228" s="445"/>
      <c r="JZ228" s="445"/>
      <c r="KA228" s="445"/>
      <c r="KB228" s="2242"/>
      <c r="KC228" s="2242"/>
      <c r="KD228" s="2242"/>
      <c r="KE228" s="2242"/>
      <c r="KF228" s="2242"/>
      <c r="KG228" s="2242"/>
      <c r="KH228" s="2242"/>
      <c r="KI228" s="2242"/>
      <c r="KJ228" s="2242"/>
      <c r="KK228" s="2242"/>
      <c r="KL228" s="2242"/>
      <c r="KM228" s="2242"/>
      <c r="KN228" s="2242"/>
      <c r="KO228" s="2242"/>
      <c r="KP228" s="2242"/>
      <c r="KQ228" s="2242"/>
      <c r="KR228" s="2242"/>
      <c r="KS228" s="2242"/>
      <c r="KT228" s="2242"/>
      <c r="KU228" s="2242"/>
      <c r="KV228" s="2242"/>
      <c r="KW228" s="2242"/>
      <c r="KX228" s="2242"/>
      <c r="KY228" s="2242"/>
      <c r="KZ228" s="2242"/>
      <c r="LA228" s="2242"/>
      <c r="LB228" s="2242"/>
      <c r="LC228" s="2242"/>
      <c r="LD228" s="2242"/>
      <c r="LE228" s="2242"/>
      <c r="LF228" s="2242"/>
      <c r="LG228" s="2242"/>
      <c r="LH228" s="2242"/>
      <c r="LI228" s="2242"/>
      <c r="LJ228" s="2242"/>
      <c r="LK228" s="2242"/>
      <c r="LL228" s="2242"/>
      <c r="LM228" s="2242"/>
      <c r="LN228" s="2242"/>
      <c r="LO228" s="2242"/>
      <c r="LP228" s="2242"/>
      <c r="LQ228" s="2242"/>
      <c r="LR228" s="445"/>
      <c r="LS228" s="445"/>
      <c r="LT228" s="445"/>
      <c r="LU228" s="445"/>
      <c r="LV228" s="445"/>
      <c r="LW228" s="445"/>
      <c r="LX228" s="2243"/>
      <c r="LY228" s="445"/>
      <c r="LZ228" s="445"/>
      <c r="MA228" s="445"/>
      <c r="MB228" s="445"/>
      <c r="MC228" s="445"/>
      <c r="MD228" s="445"/>
      <c r="ME228" s="445"/>
      <c r="MF228" s="445"/>
      <c r="MG228" s="445"/>
      <c r="MH228" s="445"/>
      <c r="MI228" s="445"/>
      <c r="MJ228" s="445"/>
      <c r="MK228" s="445"/>
      <c r="ML228" s="445"/>
      <c r="MM228" s="445"/>
      <c r="MN228" s="2243"/>
      <c r="MO228" s="2243"/>
      <c r="MP228" s="445"/>
      <c r="MQ228" s="445"/>
      <c r="MR228" s="445"/>
      <c r="MS228" s="445"/>
      <c r="MT228" s="445"/>
      <c r="MU228" s="445"/>
      <c r="MV228" s="445"/>
      <c r="MW228" s="445"/>
      <c r="MX228" s="445"/>
      <c r="MY228" s="445"/>
      <c r="MZ228" s="445"/>
      <c r="NA228" s="445"/>
      <c r="NB228" s="445"/>
      <c r="NC228" s="445"/>
      <c r="ND228" s="445"/>
      <c r="NE228" s="94"/>
      <c r="NF228" s="94"/>
      <c r="NG228" s="94"/>
      <c r="NH228" s="94"/>
      <c r="NI228" s="94"/>
      <c r="NJ228" s="94"/>
      <c r="NK228" s="94"/>
      <c r="NL228" s="94"/>
      <c r="NM228" s="94"/>
      <c r="NN228" s="94"/>
      <c r="NO228" s="94"/>
      <c r="NP228" s="94"/>
      <c r="NQ228" s="94"/>
      <c r="NR228" s="94"/>
      <c r="NS228" s="94"/>
      <c r="NT228" s="94"/>
      <c r="NU228" s="94"/>
      <c r="NV228" s="94"/>
      <c r="NW228" s="94"/>
      <c r="NX228" s="94"/>
      <c r="NY228" s="94"/>
      <c r="NZ228" s="94"/>
      <c r="OA228" s="94"/>
      <c r="OB228" s="94"/>
      <c r="OC228" s="94"/>
      <c r="OD228" s="94"/>
      <c r="OE228" s="94"/>
      <c r="OF228" s="94"/>
      <c r="OG228" s="94"/>
      <c r="OH228" s="94"/>
      <c r="OI228" s="94"/>
      <c r="OJ228" s="94"/>
      <c r="OK228" s="94"/>
      <c r="OL228" s="94"/>
      <c r="OM228" s="94"/>
      <c r="ON228" s="94"/>
      <c r="OO228" s="94"/>
      <c r="OP228" s="94"/>
      <c r="OQ228" s="94"/>
      <c r="OR228" s="94"/>
      <c r="OS228" s="94"/>
      <c r="OT228" s="94"/>
      <c r="OU228" s="94"/>
      <c r="OV228" s="94"/>
      <c r="OW228" s="94"/>
      <c r="OX228" s="94"/>
      <c r="OY228" s="94"/>
      <c r="OZ228" s="94"/>
      <c r="PA228" s="94"/>
      <c r="PB228" s="94"/>
      <c r="PC228" s="94"/>
      <c r="PD228" s="94"/>
      <c r="PE228" s="94"/>
      <c r="PF228" s="94"/>
      <c r="PG228" s="94"/>
      <c r="PH228" s="94"/>
      <c r="PI228" s="94"/>
      <c r="PJ228" s="94"/>
      <c r="PK228" s="94"/>
      <c r="PL228" s="94"/>
      <c r="PM228" s="94"/>
      <c r="PN228" s="94"/>
      <c r="PO228" s="94"/>
      <c r="PP228" s="94"/>
      <c r="PQ228" s="94"/>
      <c r="PR228" s="94"/>
      <c r="PS228" s="94"/>
      <c r="PT228" s="94"/>
      <c r="PU228" s="94"/>
      <c r="PV228" s="94"/>
      <c r="PW228" s="94"/>
      <c r="PX228" s="94"/>
      <c r="PY228" s="94"/>
      <c r="PZ228" s="94"/>
      <c r="QA228" s="94"/>
      <c r="QB228" s="94"/>
      <c r="QC228" s="94"/>
      <c r="QD228" s="94"/>
      <c r="QE228" s="94"/>
      <c r="QF228" s="94"/>
      <c r="QG228" s="94"/>
      <c r="QH228" s="94"/>
      <c r="QI228" s="94"/>
      <c r="QJ228" s="94"/>
      <c r="QK228" s="94"/>
      <c r="QL228" s="94"/>
      <c r="QM228" s="94"/>
      <c r="QN228" s="94"/>
      <c r="QO228" s="94"/>
      <c r="QP228" s="94"/>
      <c r="QQ228" s="94"/>
      <c r="QR228" s="94"/>
      <c r="QS228" s="94"/>
      <c r="QT228" s="94"/>
      <c r="QU228" s="94"/>
      <c r="QV228" s="94"/>
      <c r="QW228" s="94"/>
      <c r="QX228" s="94"/>
      <c r="QY228" s="94"/>
      <c r="QZ228" s="94"/>
      <c r="RA228" s="94"/>
      <c r="RB228" s="94"/>
      <c r="RC228" s="94"/>
      <c r="RD228" s="94"/>
      <c r="RE228" s="94"/>
      <c r="RF228" s="94"/>
      <c r="RG228" s="94"/>
      <c r="RH228" s="94"/>
      <c r="RI228" s="94"/>
      <c r="RJ228" s="94"/>
      <c r="RK228" s="94"/>
      <c r="RL228" s="94"/>
      <c r="RM228" s="94"/>
      <c r="RN228" s="94"/>
      <c r="RO228" s="94"/>
      <c r="RP228" s="94"/>
      <c r="RQ228" s="94"/>
      <c r="RR228" s="94"/>
      <c r="RS228" s="94"/>
      <c r="RT228" s="94"/>
      <c r="RU228" s="94"/>
      <c r="RV228" s="94"/>
      <c r="RW228" s="94"/>
      <c r="RX228" s="94"/>
      <c r="RY228" s="94"/>
      <c r="RZ228" s="94"/>
      <c r="SA228" s="94"/>
      <c r="SB228" s="94"/>
      <c r="SC228" s="94"/>
      <c r="SD228" s="94"/>
      <c r="SE228" s="94"/>
      <c r="SF228" s="94"/>
      <c r="SG228" s="94"/>
      <c r="SH228" s="94"/>
      <c r="SI228" s="94"/>
    </row>
    <row r="229" spans="1:503" s="90" customFormat="1" ht="15.6" customHeight="1" thickBot="1">
      <c r="A229" s="1"/>
      <c r="B229" s="1" t="s">
        <v>1345</v>
      </c>
      <c r="C229" s="1"/>
      <c r="D229" s="9"/>
      <c r="E229" s="1"/>
      <c r="F229" s="4066">
        <v>5000</v>
      </c>
      <c r="G229" s="4067"/>
      <c r="H229" s="1"/>
      <c r="I229" s="4079" t="s">
        <v>49</v>
      </c>
      <c r="J229" s="4080"/>
      <c r="K229" s="4081"/>
      <c r="L229" s="4082"/>
      <c r="M229" s="4083"/>
      <c r="N229" s="2673"/>
      <c r="P229" s="931" t="s">
        <v>3546</v>
      </c>
      <c r="Q229" s="932">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324000</v>
      </c>
      <c r="R229" s="1"/>
      <c r="S229" s="3996"/>
      <c r="T229" s="3997"/>
      <c r="U229" s="3997"/>
      <c r="V229" s="3997"/>
      <c r="W229" s="3998"/>
      <c r="X229" s="443"/>
      <c r="Y229" s="445"/>
      <c r="Z229" s="445"/>
      <c r="AA229" s="445"/>
      <c r="AB229" s="445"/>
      <c r="AC229" s="443"/>
      <c r="AD229" s="445"/>
      <c r="AE229" s="445"/>
      <c r="AF229" s="445"/>
      <c r="AG229" s="445"/>
      <c r="AH229" s="443"/>
      <c r="AI229" s="445"/>
      <c r="AJ229" s="445"/>
      <c r="AK229" s="445"/>
      <c r="AL229" s="445"/>
      <c r="AM229" s="443"/>
      <c r="AN229" s="445"/>
      <c r="AO229" s="445"/>
      <c r="AP229" s="445"/>
      <c r="AQ229" s="445"/>
      <c r="AR229" s="445"/>
      <c r="AS229" s="445"/>
      <c r="AT229" s="445"/>
      <c r="AU229" s="445"/>
      <c r="AV229" s="445"/>
      <c r="AW229" s="445"/>
      <c r="AX229" s="445"/>
      <c r="AY229" s="445"/>
      <c r="AZ229" s="445"/>
      <c r="BA229" s="445"/>
      <c r="BB229" s="445"/>
      <c r="BC229" s="445"/>
      <c r="BD229" s="445"/>
      <c r="BE229" s="445"/>
      <c r="BF229" s="445"/>
      <c r="BG229" s="445"/>
      <c r="BH229" s="445"/>
      <c r="BI229" s="445"/>
      <c r="BJ229" s="445"/>
      <c r="BK229" s="445"/>
      <c r="BL229" s="445"/>
      <c r="BM229" s="445"/>
      <c r="BN229" s="445"/>
      <c r="BO229" s="445"/>
      <c r="BP229" s="445"/>
      <c r="BQ229" s="445"/>
      <c r="BR229" s="445"/>
      <c r="BS229" s="445"/>
      <c r="BT229" s="445"/>
      <c r="BU229" s="445"/>
      <c r="BV229" s="445"/>
      <c r="BW229" s="445"/>
      <c r="BX229" s="445"/>
      <c r="BY229" s="445"/>
      <c r="BZ229" s="445"/>
      <c r="CA229" s="445"/>
      <c r="CB229" s="445"/>
      <c r="CC229" s="445"/>
      <c r="CD229" s="445"/>
      <c r="CE229" s="445"/>
      <c r="CF229" s="445"/>
      <c r="CG229" s="445"/>
      <c r="CH229" s="445"/>
      <c r="CI229" s="445"/>
      <c r="CJ229" s="445"/>
      <c r="CK229" s="445"/>
      <c r="CL229" s="445"/>
      <c r="CM229" s="445"/>
      <c r="CN229" s="445"/>
      <c r="CO229" s="445"/>
      <c r="CP229" s="445"/>
      <c r="CQ229" s="445"/>
      <c r="CR229" s="445"/>
      <c r="CS229" s="445"/>
      <c r="CT229" s="445"/>
      <c r="CU229" s="445"/>
      <c r="CV229" s="445"/>
      <c r="CW229" s="445"/>
      <c r="CX229" s="445"/>
      <c r="CY229" s="445"/>
      <c r="CZ229" s="445"/>
      <c r="DA229" s="445"/>
      <c r="DB229" s="445"/>
      <c r="DC229" s="445"/>
      <c r="DD229" s="445"/>
      <c r="DE229" s="445"/>
      <c r="DF229" s="445"/>
      <c r="DG229" s="445"/>
      <c r="DH229" s="445"/>
      <c r="DI229" s="445"/>
      <c r="DJ229" s="445"/>
      <c r="DK229" s="445"/>
      <c r="DL229" s="445"/>
      <c r="DM229" s="445"/>
      <c r="DN229" s="445"/>
      <c r="DO229" s="445"/>
      <c r="DP229" s="445"/>
      <c r="DQ229" s="445"/>
      <c r="DR229" s="445"/>
      <c r="DS229" s="445"/>
      <c r="DT229" s="445"/>
      <c r="DU229" s="445"/>
      <c r="DV229" s="445"/>
      <c r="DW229" s="445"/>
      <c r="DX229" s="445"/>
      <c r="DY229" s="445"/>
      <c r="DZ229" s="445"/>
      <c r="EA229" s="445"/>
      <c r="EB229" s="445"/>
      <c r="EC229" s="445"/>
      <c r="ED229" s="445"/>
      <c r="EE229" s="445"/>
      <c r="EF229" s="445"/>
      <c r="EG229" s="445"/>
      <c r="EH229" s="445"/>
      <c r="EI229" s="445"/>
      <c r="EJ229" s="445"/>
      <c r="EK229" s="445"/>
      <c r="EL229" s="445"/>
      <c r="EM229" s="445"/>
      <c r="EN229" s="445"/>
      <c r="EO229" s="445"/>
      <c r="EP229" s="445"/>
      <c r="EQ229" s="445"/>
      <c r="ER229" s="445"/>
      <c r="ES229" s="445"/>
      <c r="ET229" s="445"/>
      <c r="EU229" s="445"/>
      <c r="EV229" s="445"/>
      <c r="EW229" s="445"/>
      <c r="EX229" s="445"/>
      <c r="EY229" s="445"/>
      <c r="EZ229" s="445"/>
      <c r="FA229" s="445"/>
      <c r="FB229" s="445"/>
      <c r="FC229" s="445"/>
      <c r="FD229" s="445"/>
      <c r="FE229" s="445"/>
      <c r="FF229" s="445"/>
      <c r="FG229" s="445"/>
      <c r="FH229" s="445"/>
      <c r="FI229" s="445"/>
      <c r="FJ229" s="445"/>
      <c r="FK229" s="445"/>
      <c r="FL229" s="445"/>
      <c r="FM229" s="445"/>
      <c r="FN229" s="445"/>
      <c r="FO229" s="445"/>
      <c r="FP229" s="445"/>
      <c r="FQ229" s="445"/>
      <c r="FR229" s="445"/>
      <c r="FS229" s="445"/>
      <c r="FT229" s="445"/>
      <c r="FU229" s="445"/>
      <c r="FV229" s="445"/>
      <c r="FW229" s="445"/>
      <c r="FX229" s="445"/>
      <c r="FY229" s="445"/>
      <c r="FZ229" s="445"/>
      <c r="GA229" s="445"/>
      <c r="GB229" s="445"/>
      <c r="GC229" s="445"/>
      <c r="GD229" s="445"/>
      <c r="GE229" s="445"/>
      <c r="GF229" s="445"/>
      <c r="GG229" s="445"/>
      <c r="GH229" s="445"/>
      <c r="GI229" s="445"/>
      <c r="GJ229" s="445"/>
      <c r="GK229" s="445"/>
      <c r="GL229" s="445"/>
      <c r="GM229" s="445"/>
      <c r="GN229" s="445"/>
      <c r="GO229" s="445"/>
      <c r="GP229" s="445"/>
      <c r="GQ229" s="445"/>
      <c r="GR229" s="445"/>
      <c r="GS229" s="445"/>
      <c r="GT229" s="445"/>
      <c r="GU229" s="445"/>
      <c r="GV229" s="445"/>
      <c r="GW229" s="445"/>
      <c r="GX229" s="445"/>
      <c r="GY229" s="445"/>
      <c r="GZ229" s="445"/>
      <c r="HA229" s="445"/>
      <c r="HB229" s="445"/>
      <c r="HC229" s="445"/>
      <c r="HD229" s="445"/>
      <c r="HE229" s="445"/>
      <c r="HF229" s="445"/>
      <c r="HG229" s="445"/>
      <c r="HH229" s="445"/>
      <c r="HI229" s="445"/>
      <c r="HJ229" s="445"/>
      <c r="HK229" s="445"/>
      <c r="HL229" s="445"/>
      <c r="HM229" s="445"/>
      <c r="HN229" s="445"/>
      <c r="HO229" s="445"/>
      <c r="HP229" s="445"/>
      <c r="HQ229" s="445"/>
      <c r="HR229" s="445"/>
      <c r="HS229" s="445"/>
      <c r="HT229" s="445"/>
      <c r="HU229" s="445"/>
      <c r="HV229" s="445"/>
      <c r="HW229" s="445"/>
      <c r="HX229" s="445"/>
      <c r="HY229" s="445"/>
      <c r="HZ229" s="445"/>
      <c r="IA229" s="445"/>
      <c r="IB229" s="445"/>
      <c r="IC229" s="445"/>
      <c r="ID229" s="445"/>
      <c r="IE229" s="445"/>
      <c r="IF229" s="445"/>
      <c r="IG229" s="445"/>
      <c r="IH229" s="445"/>
      <c r="II229" s="445"/>
      <c r="IJ229" s="445"/>
      <c r="IK229" s="445"/>
      <c r="IL229" s="445"/>
      <c r="IM229" s="445"/>
      <c r="IN229" s="445"/>
      <c r="IO229" s="445"/>
      <c r="IP229" s="445"/>
      <c r="IQ229" s="445"/>
      <c r="IR229" s="445"/>
      <c r="IS229" s="445"/>
      <c r="IT229" s="445"/>
      <c r="IU229" s="445"/>
      <c r="IV229" s="445"/>
      <c r="IW229" s="445"/>
      <c r="IX229" s="445"/>
      <c r="IY229" s="445"/>
      <c r="IZ229" s="445"/>
      <c r="JA229" s="445"/>
      <c r="JB229" s="445"/>
      <c r="JC229" s="445"/>
      <c r="JD229" s="445"/>
      <c r="JE229" s="445"/>
      <c r="JF229" s="445"/>
      <c r="JG229" s="445"/>
      <c r="JH229" s="445"/>
      <c r="JI229" s="445"/>
      <c r="JJ229" s="445"/>
      <c r="JK229" s="445"/>
      <c r="JL229" s="445"/>
      <c r="JM229" s="445"/>
      <c r="JN229" s="445"/>
      <c r="JO229" s="445"/>
      <c r="JP229" s="445"/>
      <c r="JQ229" s="445"/>
      <c r="JR229" s="445"/>
      <c r="JS229" s="445"/>
      <c r="JT229" s="445"/>
      <c r="JU229" s="445"/>
      <c r="JV229" s="445"/>
      <c r="JW229" s="2242"/>
      <c r="JX229" s="445"/>
      <c r="JY229" s="445"/>
      <c r="JZ229" s="445"/>
      <c r="KA229" s="445"/>
      <c r="KB229" s="2242"/>
      <c r="KC229" s="2242"/>
      <c r="KD229" s="2242"/>
      <c r="KE229" s="2242"/>
      <c r="KF229" s="2242"/>
      <c r="KG229" s="2242"/>
      <c r="KH229" s="2242"/>
      <c r="KI229" s="2242"/>
      <c r="KJ229" s="2242"/>
      <c r="KK229" s="2242"/>
      <c r="KL229" s="2242"/>
      <c r="KM229" s="2242"/>
      <c r="KN229" s="2242"/>
      <c r="KO229" s="2242"/>
      <c r="KP229" s="2242"/>
      <c r="KQ229" s="2242"/>
      <c r="KR229" s="2242"/>
      <c r="KS229" s="2242"/>
      <c r="KT229" s="2242"/>
      <c r="KU229" s="2242"/>
      <c r="KV229" s="2242"/>
      <c r="KW229" s="2242"/>
      <c r="KX229" s="2242"/>
      <c r="KY229" s="2242"/>
      <c r="KZ229" s="2242"/>
      <c r="LA229" s="2242"/>
      <c r="LB229" s="2242"/>
      <c r="LC229" s="2242"/>
      <c r="LD229" s="2242"/>
      <c r="LE229" s="2242"/>
      <c r="LF229" s="2242"/>
      <c r="LG229" s="2242"/>
      <c r="LH229" s="2242"/>
      <c r="LI229" s="2242"/>
      <c r="LJ229" s="2242"/>
      <c r="LK229" s="2242"/>
      <c r="LL229" s="2242"/>
      <c r="LM229" s="2242"/>
      <c r="LN229" s="2242"/>
      <c r="LO229" s="2242"/>
      <c r="LP229" s="2242"/>
      <c r="LQ229" s="2242"/>
      <c r="LR229" s="445"/>
      <c r="LS229" s="445"/>
      <c r="LT229" s="445"/>
      <c r="LU229" s="445"/>
      <c r="LV229" s="445"/>
      <c r="LW229" s="445"/>
      <c r="LX229" s="2243"/>
      <c r="LY229" s="445"/>
      <c r="LZ229" s="445"/>
      <c r="MA229" s="445"/>
      <c r="MB229" s="445"/>
      <c r="MC229" s="445"/>
      <c r="MD229" s="445"/>
      <c r="ME229" s="445"/>
      <c r="MF229" s="445"/>
      <c r="MG229" s="445"/>
      <c r="MH229" s="445"/>
      <c r="MI229" s="445"/>
      <c r="MJ229" s="445"/>
      <c r="MK229" s="445"/>
      <c r="ML229" s="445"/>
      <c r="MM229" s="445"/>
      <c r="MN229" s="2243"/>
      <c r="MO229" s="2243"/>
      <c r="MP229" s="445"/>
      <c r="MQ229" s="445"/>
      <c r="MR229" s="445"/>
      <c r="MS229" s="445"/>
      <c r="MT229" s="445"/>
      <c r="MU229" s="445"/>
      <c r="MV229" s="445"/>
      <c r="MW229" s="445"/>
      <c r="MX229" s="445"/>
      <c r="MY229" s="445"/>
      <c r="MZ229" s="445"/>
      <c r="NA229" s="445"/>
      <c r="NB229" s="445"/>
      <c r="NC229" s="445"/>
      <c r="ND229" s="445"/>
      <c r="NE229" s="94"/>
      <c r="NF229" s="94"/>
      <c r="NG229" s="94"/>
      <c r="NH229" s="94"/>
      <c r="NI229" s="94"/>
      <c r="NJ229" s="94"/>
      <c r="NK229" s="94"/>
      <c r="NL229" s="94"/>
      <c r="NM229" s="94"/>
      <c r="NN229" s="94"/>
      <c r="NO229" s="94"/>
      <c r="NP229" s="94"/>
      <c r="NQ229" s="94"/>
      <c r="NR229" s="94"/>
      <c r="NS229" s="94"/>
      <c r="NT229" s="94"/>
      <c r="NU229" s="94"/>
      <c r="NV229" s="94"/>
      <c r="NW229" s="94"/>
      <c r="NX229" s="94"/>
      <c r="NY229" s="94"/>
      <c r="NZ229" s="94"/>
      <c r="OA229" s="94"/>
      <c r="OB229" s="94"/>
      <c r="OC229" s="94"/>
      <c r="OD229" s="94"/>
      <c r="OE229" s="94"/>
      <c r="OF229" s="94"/>
      <c r="OG229" s="94"/>
      <c r="OH229" s="94"/>
      <c r="OI229" s="94"/>
      <c r="OJ229" s="94"/>
      <c r="OK229" s="94"/>
      <c r="OL229" s="94"/>
      <c r="OM229" s="94"/>
      <c r="ON229" s="94"/>
      <c r="OO229" s="94"/>
      <c r="OP229" s="94"/>
      <c r="OQ229" s="94"/>
      <c r="OR229" s="94"/>
      <c r="OS229" s="94"/>
      <c r="OT229" s="94"/>
      <c r="OU229" s="94"/>
      <c r="OV229" s="94"/>
      <c r="OW229" s="94"/>
      <c r="OX229" s="94"/>
      <c r="OY229" s="94"/>
      <c r="OZ229" s="94"/>
      <c r="PA229" s="94"/>
      <c r="PB229" s="94"/>
      <c r="PC229" s="94"/>
      <c r="PD229" s="94"/>
      <c r="PE229" s="94"/>
      <c r="PF229" s="94"/>
      <c r="PG229" s="94"/>
      <c r="PH229" s="94"/>
      <c r="PI229" s="94"/>
      <c r="PJ229" s="94"/>
      <c r="PK229" s="94"/>
      <c r="PL229" s="94"/>
      <c r="PM229" s="94"/>
      <c r="PN229" s="94"/>
      <c r="PO229" s="94"/>
      <c r="PP229" s="94"/>
      <c r="PQ229" s="94"/>
      <c r="PR229" s="94"/>
      <c r="PS229" s="94"/>
      <c r="PT229" s="94"/>
      <c r="PU229" s="94"/>
      <c r="PV229" s="94"/>
      <c r="PW229" s="94"/>
      <c r="PX229" s="94"/>
      <c r="PY229" s="94"/>
      <c r="PZ229" s="94"/>
      <c r="QA229" s="94"/>
      <c r="QB229" s="94"/>
      <c r="QC229" s="94"/>
      <c r="QD229" s="94"/>
      <c r="QE229" s="94"/>
      <c r="QF229" s="94"/>
      <c r="QG229" s="94"/>
      <c r="QH229" s="94"/>
      <c r="QI229" s="94"/>
      <c r="QJ229" s="94"/>
      <c r="QK229" s="94"/>
      <c r="QL229" s="94"/>
      <c r="QM229" s="94"/>
      <c r="QN229" s="94"/>
      <c r="QO229" s="94"/>
      <c r="QP229" s="94"/>
      <c r="QQ229" s="94"/>
      <c r="QR229" s="94"/>
      <c r="QS229" s="94"/>
      <c r="QT229" s="94"/>
      <c r="QU229" s="94"/>
      <c r="QV229" s="94"/>
      <c r="QW229" s="94"/>
      <c r="QX229" s="94"/>
      <c r="QY229" s="94"/>
      <c r="QZ229" s="94"/>
      <c r="RA229" s="94"/>
      <c r="RB229" s="94"/>
      <c r="RC229" s="94"/>
      <c r="RD229" s="94"/>
      <c r="RE229" s="94"/>
      <c r="RF229" s="94"/>
      <c r="RG229" s="94"/>
      <c r="RH229" s="94"/>
      <c r="RI229" s="94"/>
      <c r="RJ229" s="94"/>
      <c r="RK229" s="94"/>
      <c r="RL229" s="94"/>
      <c r="RM229" s="94"/>
      <c r="RN229" s="94"/>
      <c r="RO229" s="94"/>
      <c r="RP229" s="94"/>
      <c r="RQ229" s="94"/>
      <c r="RR229" s="94"/>
      <c r="RS229" s="94"/>
      <c r="RT229" s="94"/>
      <c r="RU229" s="94"/>
      <c r="RV229" s="94"/>
      <c r="RW229" s="94"/>
      <c r="RX229" s="94"/>
      <c r="RY229" s="94"/>
      <c r="RZ229" s="94"/>
      <c r="SA229" s="94"/>
      <c r="SB229" s="94"/>
      <c r="SC229" s="94"/>
      <c r="SD229" s="94"/>
      <c r="SE229" s="94"/>
      <c r="SF229" s="94"/>
      <c r="SG229" s="94"/>
      <c r="SH229" s="94"/>
      <c r="SI229" s="94"/>
    </row>
    <row r="230" spans="1:503" s="90" customFormat="1" ht="15.6" customHeight="1" thickTop="1">
      <c r="A230" s="1"/>
      <c r="B230" s="1" t="s">
        <v>1346</v>
      </c>
      <c r="C230" s="1"/>
      <c r="D230" s="9"/>
      <c r="E230" s="1"/>
      <c r="F230" s="4068">
        <v>2500</v>
      </c>
      <c r="G230" s="4069"/>
      <c r="H230" s="1"/>
      <c r="I230" s="10"/>
      <c r="K230" s="11" t="s">
        <v>187</v>
      </c>
      <c r="L230" s="2650">
        <f>SUM(L226:L229)</f>
        <v>13000</v>
      </c>
      <c r="M230" s="2652"/>
      <c r="N230" s="2673"/>
      <c r="R230" s="1"/>
      <c r="S230" s="3996"/>
      <c r="T230" s="3997"/>
      <c r="U230" s="3997"/>
      <c r="V230" s="3997"/>
      <c r="W230" s="3998"/>
      <c r="X230" s="443"/>
      <c r="Y230" s="445"/>
      <c r="Z230" s="445"/>
      <c r="AA230" s="445"/>
      <c r="AB230" s="445"/>
      <c r="AC230" s="443"/>
      <c r="AD230" s="445"/>
      <c r="AE230" s="445"/>
      <c r="AF230" s="445"/>
      <c r="AG230" s="445"/>
      <c r="AH230" s="443"/>
      <c r="AI230" s="445"/>
      <c r="AJ230" s="445"/>
      <c r="AK230" s="445"/>
      <c r="AL230" s="445"/>
      <c r="AM230" s="443"/>
      <c r="AN230" s="445"/>
      <c r="AO230" s="445"/>
      <c r="AP230" s="445"/>
      <c r="AQ230" s="445"/>
      <c r="AR230" s="445"/>
      <c r="AS230" s="445"/>
      <c r="AT230" s="445"/>
      <c r="AU230" s="445"/>
      <c r="AV230" s="445"/>
      <c r="AW230" s="445"/>
      <c r="AX230" s="445"/>
      <c r="AY230" s="445"/>
      <c r="AZ230" s="445"/>
      <c r="BA230" s="445"/>
      <c r="BB230" s="445"/>
      <c r="BC230" s="445"/>
      <c r="BD230" s="445"/>
      <c r="BE230" s="445"/>
      <c r="BF230" s="445"/>
      <c r="BG230" s="445"/>
      <c r="BH230" s="445"/>
      <c r="BI230" s="445"/>
      <c r="BJ230" s="445"/>
      <c r="BK230" s="445"/>
      <c r="BL230" s="445"/>
      <c r="BM230" s="445"/>
      <c r="BN230" s="445"/>
      <c r="BO230" s="445"/>
      <c r="BP230" s="445"/>
      <c r="BQ230" s="445"/>
      <c r="BR230" s="445"/>
      <c r="BS230" s="445"/>
      <c r="BT230" s="445"/>
      <c r="BU230" s="445"/>
      <c r="BV230" s="445"/>
      <c r="BW230" s="445"/>
      <c r="BX230" s="445"/>
      <c r="BY230" s="445"/>
      <c r="BZ230" s="445"/>
      <c r="CA230" s="445"/>
      <c r="CB230" s="445"/>
      <c r="CC230" s="445"/>
      <c r="CD230" s="445"/>
      <c r="CE230" s="445"/>
      <c r="CF230" s="445"/>
      <c r="CG230" s="445"/>
      <c r="CH230" s="445"/>
      <c r="CI230" s="445"/>
      <c r="CJ230" s="445"/>
      <c r="CK230" s="445"/>
      <c r="CL230" s="445"/>
      <c r="CM230" s="445"/>
      <c r="CN230" s="445"/>
      <c r="CO230" s="445"/>
      <c r="CP230" s="445"/>
      <c r="CQ230" s="445"/>
      <c r="CR230" s="445"/>
      <c r="CS230" s="445"/>
      <c r="CT230" s="445"/>
      <c r="CU230" s="445"/>
      <c r="CV230" s="445"/>
      <c r="CW230" s="445"/>
      <c r="CX230" s="445"/>
      <c r="CY230" s="445"/>
      <c r="CZ230" s="445"/>
      <c r="DA230" s="445"/>
      <c r="DB230" s="445"/>
      <c r="DC230" s="445"/>
      <c r="DD230" s="445"/>
      <c r="DE230" s="445"/>
      <c r="DF230" s="445"/>
      <c r="DG230" s="445"/>
      <c r="DH230" s="445"/>
      <c r="DI230" s="445"/>
      <c r="DJ230" s="445"/>
      <c r="DK230" s="445"/>
      <c r="DL230" s="445"/>
      <c r="DM230" s="445"/>
      <c r="DN230" s="445"/>
      <c r="DO230" s="445"/>
      <c r="DP230" s="445"/>
      <c r="DQ230" s="445"/>
      <c r="DR230" s="445"/>
      <c r="DS230" s="445"/>
      <c r="DT230" s="445"/>
      <c r="DU230" s="445"/>
      <c r="DV230" s="445"/>
      <c r="DW230" s="445"/>
      <c r="DX230" s="445"/>
      <c r="DY230" s="445"/>
      <c r="DZ230" s="445"/>
      <c r="EA230" s="445"/>
      <c r="EB230" s="445"/>
      <c r="EC230" s="445"/>
      <c r="ED230" s="445"/>
      <c r="EE230" s="445"/>
      <c r="EF230" s="445"/>
      <c r="EG230" s="445"/>
      <c r="EH230" s="445"/>
      <c r="EI230" s="445"/>
      <c r="EJ230" s="445"/>
      <c r="EK230" s="445"/>
      <c r="EL230" s="445"/>
      <c r="EM230" s="445"/>
      <c r="EN230" s="445"/>
      <c r="EO230" s="445"/>
      <c r="EP230" s="445"/>
      <c r="EQ230" s="445"/>
      <c r="ER230" s="445"/>
      <c r="ES230" s="445"/>
      <c r="ET230" s="445"/>
      <c r="EU230" s="445"/>
      <c r="EV230" s="445"/>
      <c r="EW230" s="445"/>
      <c r="EX230" s="445"/>
      <c r="EY230" s="445"/>
      <c r="EZ230" s="445"/>
      <c r="FA230" s="445"/>
      <c r="FB230" s="445"/>
      <c r="FC230" s="445"/>
      <c r="FD230" s="445"/>
      <c r="FE230" s="445"/>
      <c r="FF230" s="445"/>
      <c r="FG230" s="445"/>
      <c r="FH230" s="445"/>
      <c r="FI230" s="445"/>
      <c r="FJ230" s="445"/>
      <c r="FK230" s="445"/>
      <c r="FL230" s="445"/>
      <c r="FM230" s="445"/>
      <c r="FN230" s="445"/>
      <c r="FO230" s="445"/>
      <c r="FP230" s="445"/>
      <c r="FQ230" s="445"/>
      <c r="FR230" s="445"/>
      <c r="FS230" s="445"/>
      <c r="FT230" s="445"/>
      <c r="FU230" s="445"/>
      <c r="FV230" s="445"/>
      <c r="FW230" s="445"/>
      <c r="FX230" s="445"/>
      <c r="FY230" s="445"/>
      <c r="FZ230" s="445"/>
      <c r="GA230" s="445"/>
      <c r="GB230" s="445"/>
      <c r="GC230" s="445"/>
      <c r="GD230" s="445"/>
      <c r="GE230" s="445"/>
      <c r="GF230" s="445"/>
      <c r="GG230" s="445"/>
      <c r="GH230" s="445"/>
      <c r="GI230" s="445"/>
      <c r="GJ230" s="445"/>
      <c r="GK230" s="445"/>
      <c r="GL230" s="445"/>
      <c r="GM230" s="445"/>
      <c r="GN230" s="445"/>
      <c r="GO230" s="445"/>
      <c r="GP230" s="445"/>
      <c r="GQ230" s="445"/>
      <c r="GR230" s="445"/>
      <c r="GS230" s="445"/>
      <c r="GT230" s="445"/>
      <c r="GU230" s="445"/>
      <c r="GV230" s="445"/>
      <c r="GW230" s="445"/>
      <c r="GX230" s="445"/>
      <c r="GY230" s="445"/>
      <c r="GZ230" s="445"/>
      <c r="HA230" s="445"/>
      <c r="HB230" s="445"/>
      <c r="HC230" s="445"/>
      <c r="HD230" s="445"/>
      <c r="HE230" s="445"/>
      <c r="HF230" s="445"/>
      <c r="HG230" s="445"/>
      <c r="HH230" s="445"/>
      <c r="HI230" s="445"/>
      <c r="HJ230" s="445"/>
      <c r="HK230" s="445"/>
      <c r="HL230" s="445"/>
      <c r="HM230" s="445"/>
      <c r="HN230" s="445"/>
      <c r="HO230" s="445"/>
      <c r="HP230" s="445"/>
      <c r="HQ230" s="445"/>
      <c r="HR230" s="445"/>
      <c r="HS230" s="445"/>
      <c r="HT230" s="445"/>
      <c r="HU230" s="445"/>
      <c r="HV230" s="445"/>
      <c r="HW230" s="445"/>
      <c r="HX230" s="445"/>
      <c r="HY230" s="445"/>
      <c r="HZ230" s="445"/>
      <c r="IA230" s="445"/>
      <c r="IB230" s="445"/>
      <c r="IC230" s="445"/>
      <c r="ID230" s="445"/>
      <c r="IE230" s="445"/>
      <c r="IF230" s="445"/>
      <c r="IG230" s="445"/>
      <c r="IH230" s="445"/>
      <c r="II230" s="445"/>
      <c r="IJ230" s="445"/>
      <c r="IK230" s="445"/>
      <c r="IL230" s="445"/>
      <c r="IM230" s="445"/>
      <c r="IN230" s="445"/>
      <c r="IO230" s="445"/>
      <c r="IP230" s="445"/>
      <c r="IQ230" s="445"/>
      <c r="IR230" s="445"/>
      <c r="IS230" s="445"/>
      <c r="IT230" s="445"/>
      <c r="IU230" s="445"/>
      <c r="IV230" s="445"/>
      <c r="IW230" s="445"/>
      <c r="IX230" s="445"/>
      <c r="IY230" s="445"/>
      <c r="IZ230" s="445"/>
      <c r="JA230" s="445"/>
      <c r="JB230" s="445"/>
      <c r="JC230" s="445"/>
      <c r="JD230" s="445"/>
      <c r="JE230" s="445"/>
      <c r="JF230" s="445"/>
      <c r="JG230" s="445"/>
      <c r="JH230" s="445"/>
      <c r="JI230" s="445"/>
      <c r="JJ230" s="445"/>
      <c r="JK230" s="445"/>
      <c r="JL230" s="445"/>
      <c r="JM230" s="445"/>
      <c r="JN230" s="445"/>
      <c r="JO230" s="445"/>
      <c r="JP230" s="445"/>
      <c r="JQ230" s="445"/>
      <c r="JR230" s="445"/>
      <c r="JS230" s="445"/>
      <c r="JT230" s="445"/>
      <c r="JU230" s="445"/>
      <c r="JV230" s="445"/>
      <c r="JW230" s="2242"/>
      <c r="JX230" s="445"/>
      <c r="JY230" s="445"/>
      <c r="JZ230" s="445"/>
      <c r="KA230" s="445"/>
      <c r="KB230" s="2242"/>
      <c r="KC230" s="2242"/>
      <c r="KD230" s="2242"/>
      <c r="KE230" s="2242"/>
      <c r="KF230" s="2242"/>
      <c r="KG230" s="2242"/>
      <c r="KH230" s="2242"/>
      <c r="KI230" s="2242"/>
      <c r="KJ230" s="2242"/>
      <c r="KK230" s="2242"/>
      <c r="KL230" s="2242"/>
      <c r="KM230" s="2242"/>
      <c r="KN230" s="2242"/>
      <c r="KO230" s="2242"/>
      <c r="KP230" s="2242"/>
      <c r="KQ230" s="2242"/>
      <c r="KR230" s="2242"/>
      <c r="KS230" s="2242"/>
      <c r="KT230" s="2242"/>
      <c r="KU230" s="2242"/>
      <c r="KV230" s="2242"/>
      <c r="KW230" s="2242"/>
      <c r="KX230" s="2242"/>
      <c r="KY230" s="2242"/>
      <c r="KZ230" s="2242"/>
      <c r="LA230" s="2242"/>
      <c r="LB230" s="2242"/>
      <c r="LC230" s="2242"/>
      <c r="LD230" s="2242"/>
      <c r="LE230" s="2242"/>
      <c r="LF230" s="2242"/>
      <c r="LG230" s="2242"/>
      <c r="LH230" s="2242"/>
      <c r="LI230" s="2242"/>
      <c r="LJ230" s="2242"/>
      <c r="LK230" s="2242"/>
      <c r="LL230" s="2242"/>
      <c r="LM230" s="2242"/>
      <c r="LN230" s="2242"/>
      <c r="LO230" s="2242"/>
      <c r="LP230" s="2242"/>
      <c r="LQ230" s="2242"/>
      <c r="LR230" s="445"/>
      <c r="LS230" s="445"/>
      <c r="LT230" s="445"/>
      <c r="LU230" s="445"/>
      <c r="LV230" s="445"/>
      <c r="LW230" s="445"/>
      <c r="LX230" s="2243"/>
      <c r="LY230" s="445"/>
      <c r="LZ230" s="445"/>
      <c r="MA230" s="445"/>
      <c r="MB230" s="445"/>
      <c r="MC230" s="445"/>
      <c r="MD230" s="445"/>
      <c r="ME230" s="445"/>
      <c r="MF230" s="445"/>
      <c r="MG230" s="445"/>
      <c r="MH230" s="445"/>
      <c r="MI230" s="445"/>
      <c r="MJ230" s="445"/>
      <c r="MK230" s="445"/>
      <c r="ML230" s="445"/>
      <c r="MM230" s="445"/>
      <c r="MN230" s="2243"/>
      <c r="MO230" s="2243"/>
      <c r="MP230" s="445"/>
      <c r="MQ230" s="445"/>
      <c r="MR230" s="445"/>
      <c r="MS230" s="445"/>
      <c r="MT230" s="445"/>
      <c r="MU230" s="445"/>
      <c r="MV230" s="445"/>
      <c r="MW230" s="445"/>
      <c r="MX230" s="445"/>
      <c r="MY230" s="445"/>
      <c r="MZ230" s="445"/>
      <c r="NA230" s="445"/>
      <c r="NB230" s="445"/>
      <c r="NC230" s="445"/>
      <c r="ND230" s="445"/>
      <c r="NE230" s="94"/>
      <c r="NF230" s="94"/>
      <c r="NG230" s="94"/>
      <c r="NH230" s="94"/>
      <c r="NI230" s="94"/>
      <c r="NJ230" s="94"/>
      <c r="NK230" s="94"/>
      <c r="NL230" s="94"/>
      <c r="NM230" s="94"/>
      <c r="NN230" s="94"/>
      <c r="NO230" s="94"/>
      <c r="NP230" s="94"/>
      <c r="NQ230" s="94"/>
      <c r="NR230" s="94"/>
      <c r="NS230" s="94"/>
      <c r="NT230" s="94"/>
      <c r="NU230" s="94"/>
      <c r="NV230" s="94"/>
      <c r="NW230" s="94"/>
      <c r="NX230" s="94"/>
      <c r="NY230" s="94"/>
      <c r="NZ230" s="94"/>
      <c r="OA230" s="94"/>
      <c r="OB230" s="94"/>
      <c r="OC230" s="94"/>
      <c r="OD230" s="94"/>
      <c r="OE230" s="94"/>
      <c r="OF230" s="94"/>
      <c r="OG230" s="94"/>
      <c r="OH230" s="94"/>
      <c r="OI230" s="94"/>
      <c r="OJ230" s="94"/>
      <c r="OK230" s="94"/>
      <c r="OL230" s="94"/>
      <c r="OM230" s="94"/>
      <c r="ON230" s="94"/>
      <c r="OO230" s="94"/>
      <c r="OP230" s="94"/>
      <c r="OQ230" s="94"/>
      <c r="OR230" s="94"/>
      <c r="OS230" s="94"/>
      <c r="OT230" s="94"/>
      <c r="OU230" s="94"/>
      <c r="OV230" s="94"/>
      <c r="OW230" s="94"/>
      <c r="OX230" s="94"/>
      <c r="OY230" s="94"/>
      <c r="OZ230" s="94"/>
      <c r="PA230" s="94"/>
      <c r="PB230" s="94"/>
      <c r="PC230" s="94"/>
      <c r="PD230" s="94"/>
      <c r="PE230" s="94"/>
      <c r="PF230" s="94"/>
      <c r="PG230" s="94"/>
      <c r="PH230" s="94"/>
      <c r="PI230" s="94"/>
      <c r="PJ230" s="94"/>
      <c r="PK230" s="94"/>
      <c r="PL230" s="94"/>
      <c r="PM230" s="94"/>
      <c r="PN230" s="94"/>
      <c r="PO230" s="94"/>
      <c r="PP230" s="94"/>
      <c r="PQ230" s="94"/>
      <c r="PR230" s="94"/>
      <c r="PS230" s="94"/>
      <c r="PT230" s="94"/>
      <c r="PU230" s="94"/>
      <c r="PV230" s="94"/>
      <c r="PW230" s="94"/>
      <c r="PX230" s="94"/>
      <c r="PY230" s="94"/>
      <c r="PZ230" s="94"/>
      <c r="QA230" s="94"/>
      <c r="QB230" s="94"/>
      <c r="QC230" s="94"/>
      <c r="QD230" s="94"/>
      <c r="QE230" s="94"/>
      <c r="QF230" s="94"/>
      <c r="QG230" s="94"/>
      <c r="QH230" s="94"/>
      <c r="QI230" s="94"/>
      <c r="QJ230" s="94"/>
      <c r="QK230" s="94"/>
      <c r="QL230" s="94"/>
      <c r="QM230" s="94"/>
      <c r="QN230" s="94"/>
      <c r="QO230" s="94"/>
      <c r="QP230" s="94"/>
      <c r="QQ230" s="94"/>
      <c r="QR230" s="94"/>
      <c r="QS230" s="94"/>
      <c r="QT230" s="94"/>
      <c r="QU230" s="94"/>
      <c r="QV230" s="94"/>
      <c r="QW230" s="94"/>
      <c r="QX230" s="94"/>
      <c r="QY230" s="94"/>
      <c r="QZ230" s="94"/>
      <c r="RA230" s="94"/>
      <c r="RB230" s="94"/>
      <c r="RC230" s="94"/>
      <c r="RD230" s="94"/>
      <c r="RE230" s="94"/>
      <c r="RF230" s="94"/>
      <c r="RG230" s="94"/>
      <c r="RH230" s="94"/>
      <c r="RI230" s="94"/>
      <c r="RJ230" s="94"/>
      <c r="RK230" s="94"/>
      <c r="RL230" s="94"/>
      <c r="RM230" s="94"/>
      <c r="RN230" s="94"/>
      <c r="RO230" s="94"/>
      <c r="RP230" s="94"/>
      <c r="RQ230" s="94"/>
      <c r="RR230" s="94"/>
      <c r="RS230" s="94"/>
      <c r="RT230" s="94"/>
      <c r="RU230" s="94"/>
      <c r="RV230" s="94"/>
      <c r="RW230" s="94"/>
      <c r="RX230" s="94"/>
      <c r="RY230" s="94"/>
      <c r="RZ230" s="94"/>
      <c r="SA230" s="94"/>
      <c r="SB230" s="94"/>
      <c r="SC230" s="94"/>
      <c r="SD230" s="94"/>
      <c r="SE230" s="94"/>
      <c r="SF230" s="94"/>
      <c r="SG230" s="94"/>
      <c r="SH230" s="94"/>
      <c r="SI230" s="94"/>
    </row>
    <row r="231" spans="1:503" s="90" customFormat="1" ht="15.6" customHeight="1">
      <c r="A231" s="1"/>
      <c r="B231" s="1" t="s">
        <v>1347</v>
      </c>
      <c r="C231" s="1"/>
      <c r="D231" s="9"/>
      <c r="E231" s="1"/>
      <c r="F231" s="4068">
        <v>2500</v>
      </c>
      <c r="G231" s="4069"/>
      <c r="H231" s="1"/>
      <c r="N231" s="1"/>
      <c r="R231" s="2382"/>
      <c r="S231" s="3996"/>
      <c r="T231" s="3997"/>
      <c r="U231" s="3997"/>
      <c r="V231" s="3997"/>
      <c r="W231" s="3998"/>
      <c r="X231" s="443"/>
      <c r="Y231" s="445"/>
      <c r="Z231" s="445"/>
      <c r="AA231" s="445"/>
      <c r="AB231" s="445"/>
      <c r="AC231" s="443"/>
      <c r="AD231" s="445"/>
      <c r="AE231" s="445"/>
      <c r="AF231" s="445"/>
      <c r="AG231" s="445"/>
      <c r="AH231" s="443"/>
      <c r="AI231" s="445"/>
      <c r="AJ231" s="445"/>
      <c r="AK231" s="445"/>
      <c r="AL231" s="445"/>
      <c r="AM231" s="443"/>
      <c r="AN231" s="445"/>
      <c r="AO231" s="445"/>
      <c r="AP231" s="445"/>
      <c r="AQ231" s="445"/>
      <c r="AR231" s="445"/>
      <c r="AS231" s="445"/>
      <c r="AT231" s="445"/>
      <c r="AU231" s="445"/>
      <c r="AV231" s="445"/>
      <c r="AW231" s="445"/>
      <c r="AX231" s="445"/>
      <c r="AY231" s="445"/>
      <c r="AZ231" s="445"/>
      <c r="BA231" s="445"/>
      <c r="BB231" s="445"/>
      <c r="BC231" s="445"/>
      <c r="BD231" s="445"/>
      <c r="BE231" s="445"/>
      <c r="BF231" s="445"/>
      <c r="BG231" s="445"/>
      <c r="BH231" s="445"/>
      <c r="BI231" s="445"/>
      <c r="BJ231" s="445"/>
      <c r="BK231" s="445"/>
      <c r="BL231" s="445"/>
      <c r="BM231" s="445"/>
      <c r="BN231" s="445"/>
      <c r="BO231" s="445"/>
      <c r="BP231" s="445"/>
      <c r="BQ231" s="445"/>
      <c r="BR231" s="445"/>
      <c r="BS231" s="445"/>
      <c r="BT231" s="445"/>
      <c r="BU231" s="445"/>
      <c r="BV231" s="445"/>
      <c r="BW231" s="445"/>
      <c r="BX231" s="445"/>
      <c r="BY231" s="445"/>
      <c r="BZ231" s="445"/>
      <c r="CA231" s="445"/>
      <c r="CB231" s="445"/>
      <c r="CC231" s="445"/>
      <c r="CD231" s="445"/>
      <c r="CE231" s="445"/>
      <c r="CF231" s="445"/>
      <c r="CG231" s="445"/>
      <c r="CH231" s="445"/>
      <c r="CI231" s="445"/>
      <c r="CJ231" s="445"/>
      <c r="CK231" s="445"/>
      <c r="CL231" s="445"/>
      <c r="CM231" s="445"/>
      <c r="CN231" s="445"/>
      <c r="CO231" s="445"/>
      <c r="CP231" s="445"/>
      <c r="CQ231" s="445"/>
      <c r="CR231" s="445"/>
      <c r="CS231" s="445"/>
      <c r="CT231" s="445"/>
      <c r="CU231" s="445"/>
      <c r="CV231" s="445"/>
      <c r="CW231" s="445"/>
      <c r="CX231" s="445"/>
      <c r="CY231" s="445"/>
      <c r="CZ231" s="445"/>
      <c r="DA231" s="445"/>
      <c r="DB231" s="445"/>
      <c r="DC231" s="445"/>
      <c r="DD231" s="445"/>
      <c r="DE231" s="445"/>
      <c r="DF231" s="445"/>
      <c r="DG231" s="445"/>
      <c r="DH231" s="445"/>
      <c r="DI231" s="445"/>
      <c r="DJ231" s="445"/>
      <c r="DK231" s="445"/>
      <c r="DL231" s="445"/>
      <c r="DM231" s="445"/>
      <c r="DN231" s="445"/>
      <c r="DO231" s="445"/>
      <c r="DP231" s="445"/>
      <c r="DQ231" s="445"/>
      <c r="DR231" s="445"/>
      <c r="DS231" s="445"/>
      <c r="DT231" s="445"/>
      <c r="DU231" s="445"/>
      <c r="DV231" s="445"/>
      <c r="DW231" s="445"/>
      <c r="DX231" s="445"/>
      <c r="DY231" s="445"/>
      <c r="DZ231" s="445"/>
      <c r="EA231" s="445"/>
      <c r="EB231" s="445"/>
      <c r="EC231" s="445"/>
      <c r="ED231" s="445"/>
      <c r="EE231" s="445"/>
      <c r="EF231" s="445"/>
      <c r="EG231" s="445"/>
      <c r="EH231" s="445"/>
      <c r="EI231" s="445"/>
      <c r="EJ231" s="445"/>
      <c r="EK231" s="445"/>
      <c r="EL231" s="445"/>
      <c r="EM231" s="445"/>
      <c r="EN231" s="445"/>
      <c r="EO231" s="445"/>
      <c r="EP231" s="445"/>
      <c r="EQ231" s="445"/>
      <c r="ER231" s="445"/>
      <c r="ES231" s="445"/>
      <c r="ET231" s="445"/>
      <c r="EU231" s="445"/>
      <c r="EV231" s="445"/>
      <c r="EW231" s="445"/>
      <c r="EX231" s="445"/>
      <c r="EY231" s="445"/>
      <c r="EZ231" s="445"/>
      <c r="FA231" s="445"/>
      <c r="FB231" s="445"/>
      <c r="FC231" s="445"/>
      <c r="FD231" s="445"/>
      <c r="FE231" s="445"/>
      <c r="FF231" s="445"/>
      <c r="FG231" s="445"/>
      <c r="FH231" s="445"/>
      <c r="FI231" s="445"/>
      <c r="FJ231" s="445"/>
      <c r="FK231" s="445"/>
      <c r="FL231" s="445"/>
      <c r="FM231" s="445"/>
      <c r="FN231" s="445"/>
      <c r="FO231" s="445"/>
      <c r="FP231" s="445"/>
      <c r="FQ231" s="445"/>
      <c r="FR231" s="445"/>
      <c r="FS231" s="445"/>
      <c r="FT231" s="445"/>
      <c r="FU231" s="445"/>
      <c r="FV231" s="445"/>
      <c r="FW231" s="445"/>
      <c r="FX231" s="445"/>
      <c r="FY231" s="445"/>
      <c r="FZ231" s="445"/>
      <c r="GA231" s="445"/>
      <c r="GB231" s="445"/>
      <c r="GC231" s="445"/>
      <c r="GD231" s="445"/>
      <c r="GE231" s="445"/>
      <c r="GF231" s="445"/>
      <c r="GG231" s="445"/>
      <c r="GH231" s="445"/>
      <c r="GI231" s="445"/>
      <c r="GJ231" s="445"/>
      <c r="GK231" s="445"/>
      <c r="GL231" s="445"/>
      <c r="GM231" s="445"/>
      <c r="GN231" s="445"/>
      <c r="GO231" s="445"/>
      <c r="GP231" s="445"/>
      <c r="GQ231" s="445"/>
      <c r="GR231" s="445"/>
      <c r="GS231" s="445"/>
      <c r="GT231" s="445"/>
      <c r="GU231" s="445"/>
      <c r="GV231" s="445"/>
      <c r="GW231" s="445"/>
      <c r="GX231" s="445"/>
      <c r="GY231" s="445"/>
      <c r="GZ231" s="445"/>
      <c r="HA231" s="445"/>
      <c r="HB231" s="445"/>
      <c r="HC231" s="445"/>
      <c r="HD231" s="445"/>
      <c r="HE231" s="445"/>
      <c r="HF231" s="445"/>
      <c r="HG231" s="445"/>
      <c r="HH231" s="445"/>
      <c r="HI231" s="445"/>
      <c r="HJ231" s="445"/>
      <c r="HK231" s="445"/>
      <c r="HL231" s="445"/>
      <c r="HM231" s="445"/>
      <c r="HN231" s="445"/>
      <c r="HO231" s="445"/>
      <c r="HP231" s="445"/>
      <c r="HQ231" s="445"/>
      <c r="HR231" s="445"/>
      <c r="HS231" s="445"/>
      <c r="HT231" s="445"/>
      <c r="HU231" s="445"/>
      <c r="HV231" s="445"/>
      <c r="HW231" s="445"/>
      <c r="HX231" s="445"/>
      <c r="HY231" s="445"/>
      <c r="HZ231" s="445"/>
      <c r="IA231" s="445"/>
      <c r="IB231" s="445"/>
      <c r="IC231" s="445"/>
      <c r="ID231" s="445"/>
      <c r="IE231" s="445"/>
      <c r="IF231" s="445"/>
      <c r="IG231" s="445"/>
      <c r="IH231" s="445"/>
      <c r="II231" s="445"/>
      <c r="IJ231" s="445"/>
      <c r="IK231" s="445"/>
      <c r="IL231" s="445"/>
      <c r="IM231" s="445"/>
      <c r="IN231" s="445"/>
      <c r="IO231" s="445"/>
      <c r="IP231" s="445"/>
      <c r="IQ231" s="445"/>
      <c r="IR231" s="445"/>
      <c r="IS231" s="445"/>
      <c r="IT231" s="445"/>
      <c r="IU231" s="445"/>
      <c r="IV231" s="445"/>
      <c r="IW231" s="445"/>
      <c r="IX231" s="445"/>
      <c r="IY231" s="445"/>
      <c r="IZ231" s="445"/>
      <c r="JA231" s="445"/>
      <c r="JB231" s="445"/>
      <c r="JC231" s="445"/>
      <c r="JD231" s="445"/>
      <c r="JE231" s="445"/>
      <c r="JF231" s="445"/>
      <c r="JG231" s="445"/>
      <c r="JH231" s="445"/>
      <c r="JI231" s="445"/>
      <c r="JJ231" s="445"/>
      <c r="JK231" s="445"/>
      <c r="JL231" s="445"/>
      <c r="JM231" s="445"/>
      <c r="JN231" s="445"/>
      <c r="JO231" s="445"/>
      <c r="JP231" s="445"/>
      <c r="JQ231" s="445"/>
      <c r="JR231" s="445"/>
      <c r="JS231" s="445"/>
      <c r="JT231" s="445"/>
      <c r="JU231" s="445"/>
      <c r="JV231" s="445"/>
      <c r="JW231" s="2242"/>
      <c r="JX231" s="445"/>
      <c r="JY231" s="445"/>
      <c r="JZ231" s="445"/>
      <c r="KA231" s="445"/>
      <c r="KB231" s="2242"/>
      <c r="KC231" s="2242"/>
      <c r="KD231" s="2242"/>
      <c r="KE231" s="2242"/>
      <c r="KF231" s="2242"/>
      <c r="KG231" s="2242"/>
      <c r="KH231" s="2242"/>
      <c r="KI231" s="2242"/>
      <c r="KJ231" s="2242"/>
      <c r="KK231" s="2242"/>
      <c r="KL231" s="2242"/>
      <c r="KM231" s="2242"/>
      <c r="KN231" s="2242"/>
      <c r="KO231" s="2242"/>
      <c r="KP231" s="2242"/>
      <c r="KQ231" s="2242"/>
      <c r="KR231" s="2242"/>
      <c r="KS231" s="2242"/>
      <c r="KT231" s="2242"/>
      <c r="KU231" s="2242"/>
      <c r="KV231" s="2242"/>
      <c r="KW231" s="2242"/>
      <c r="KX231" s="2242"/>
      <c r="KY231" s="2242"/>
      <c r="KZ231" s="2242"/>
      <c r="LA231" s="2242"/>
      <c r="LB231" s="2242"/>
      <c r="LC231" s="2242"/>
      <c r="LD231" s="2242"/>
      <c r="LE231" s="2242"/>
      <c r="LF231" s="2242"/>
      <c r="LG231" s="2242"/>
      <c r="LH231" s="2242"/>
      <c r="LI231" s="2242"/>
      <c r="LJ231" s="2242"/>
      <c r="LK231" s="2242"/>
      <c r="LL231" s="2242"/>
      <c r="LM231" s="2242"/>
      <c r="LN231" s="2242"/>
      <c r="LO231" s="2242"/>
      <c r="LP231" s="2242"/>
      <c r="LQ231" s="2242"/>
      <c r="LR231" s="445"/>
      <c r="LS231" s="445"/>
      <c r="LT231" s="445"/>
      <c r="LU231" s="445"/>
      <c r="LV231" s="445"/>
      <c r="LW231" s="445"/>
      <c r="LX231" s="2243"/>
      <c r="LY231" s="445"/>
      <c r="LZ231" s="445"/>
      <c r="MA231" s="445"/>
      <c r="MB231" s="445"/>
      <c r="MC231" s="445"/>
      <c r="MD231" s="445"/>
      <c r="ME231" s="445"/>
      <c r="MF231" s="445"/>
      <c r="MG231" s="445"/>
      <c r="MH231" s="445"/>
      <c r="MI231" s="445"/>
      <c r="MJ231" s="445"/>
      <c r="MK231" s="445"/>
      <c r="ML231" s="445"/>
      <c r="MM231" s="445"/>
      <c r="MN231" s="2243"/>
      <c r="MO231" s="2243"/>
      <c r="MP231" s="445"/>
      <c r="MQ231" s="445"/>
      <c r="MR231" s="445"/>
      <c r="MS231" s="445"/>
      <c r="MT231" s="445"/>
      <c r="MU231" s="445"/>
      <c r="MV231" s="445"/>
      <c r="MW231" s="445"/>
      <c r="MX231" s="445"/>
      <c r="MY231" s="445"/>
      <c r="MZ231" s="445"/>
      <c r="NA231" s="445"/>
      <c r="NB231" s="445"/>
      <c r="NC231" s="445"/>
      <c r="ND231" s="445"/>
      <c r="NE231" s="94"/>
      <c r="NF231" s="94"/>
      <c r="NG231" s="94"/>
      <c r="NH231" s="94"/>
      <c r="NI231" s="94"/>
      <c r="NJ231" s="94"/>
      <c r="NK231" s="94"/>
      <c r="NL231" s="94"/>
      <c r="NM231" s="94"/>
      <c r="NN231" s="94"/>
      <c r="NO231" s="94"/>
      <c r="NP231" s="94"/>
      <c r="NQ231" s="94"/>
      <c r="NR231" s="94"/>
      <c r="NS231" s="94"/>
      <c r="NT231" s="94"/>
      <c r="NU231" s="94"/>
      <c r="NV231" s="94"/>
      <c r="NW231" s="94"/>
      <c r="NX231" s="94"/>
      <c r="NY231" s="94"/>
      <c r="NZ231" s="94"/>
      <c r="OA231" s="94"/>
      <c r="OB231" s="94"/>
      <c r="OC231" s="94"/>
      <c r="OD231" s="94"/>
      <c r="OE231" s="94"/>
      <c r="OF231" s="94"/>
      <c r="OG231" s="94"/>
      <c r="OH231" s="94"/>
      <c r="OI231" s="94"/>
      <c r="OJ231" s="94"/>
      <c r="OK231" s="94"/>
      <c r="OL231" s="94"/>
      <c r="OM231" s="94"/>
      <c r="ON231" s="94"/>
      <c r="OO231" s="94"/>
      <c r="OP231" s="94"/>
      <c r="OQ231" s="94"/>
      <c r="OR231" s="94"/>
      <c r="OS231" s="94"/>
      <c r="OT231" s="94"/>
      <c r="OU231" s="94"/>
      <c r="OV231" s="94"/>
      <c r="OW231" s="94"/>
      <c r="OX231" s="94"/>
      <c r="OY231" s="94"/>
      <c r="OZ231" s="94"/>
      <c r="PA231" s="94"/>
      <c r="PB231" s="94"/>
      <c r="PC231" s="94"/>
      <c r="PD231" s="94"/>
      <c r="PE231" s="94"/>
      <c r="PF231" s="94"/>
      <c r="PG231" s="94"/>
      <c r="PH231" s="94"/>
      <c r="PI231" s="94"/>
      <c r="PJ231" s="94"/>
      <c r="PK231" s="94"/>
      <c r="PL231" s="94"/>
      <c r="PM231" s="94"/>
      <c r="PN231" s="94"/>
      <c r="PO231" s="94"/>
      <c r="PP231" s="94"/>
      <c r="PQ231" s="94"/>
      <c r="PR231" s="94"/>
      <c r="PS231" s="94"/>
      <c r="PT231" s="94"/>
      <c r="PU231" s="94"/>
      <c r="PV231" s="94"/>
      <c r="PW231" s="94"/>
      <c r="PX231" s="94"/>
      <c r="PY231" s="94"/>
      <c r="PZ231" s="94"/>
      <c r="QA231" s="94"/>
      <c r="QB231" s="94"/>
      <c r="QC231" s="94"/>
      <c r="QD231" s="94"/>
      <c r="QE231" s="94"/>
      <c r="QF231" s="94"/>
      <c r="QG231" s="94"/>
      <c r="QH231" s="94"/>
      <c r="QI231" s="94"/>
      <c r="QJ231" s="94"/>
      <c r="QK231" s="94"/>
      <c r="QL231" s="94"/>
      <c r="QM231" s="94"/>
      <c r="QN231" s="94"/>
      <c r="QO231" s="94"/>
      <c r="QP231" s="94"/>
      <c r="QQ231" s="94"/>
      <c r="QR231" s="94"/>
      <c r="QS231" s="94"/>
      <c r="QT231" s="94"/>
      <c r="QU231" s="94"/>
      <c r="QV231" s="94"/>
      <c r="QW231" s="94"/>
      <c r="QX231" s="94"/>
      <c r="QY231" s="94"/>
      <c r="QZ231" s="94"/>
      <c r="RA231" s="94"/>
      <c r="RB231" s="94"/>
      <c r="RC231" s="94"/>
      <c r="RD231" s="94"/>
      <c r="RE231" s="94"/>
      <c r="RF231" s="94"/>
      <c r="RG231" s="94"/>
      <c r="RH231" s="94"/>
      <c r="RI231" s="94"/>
      <c r="RJ231" s="94"/>
      <c r="RK231" s="94"/>
      <c r="RL231" s="94"/>
      <c r="RM231" s="94"/>
      <c r="RN231" s="94"/>
      <c r="RO231" s="94"/>
      <c r="RP231" s="94"/>
      <c r="RQ231" s="94"/>
      <c r="RR231" s="94"/>
      <c r="RS231" s="94"/>
      <c r="RT231" s="94"/>
      <c r="RU231" s="94"/>
      <c r="RV231" s="94"/>
      <c r="RW231" s="94"/>
      <c r="RX231" s="94"/>
      <c r="RY231" s="94"/>
      <c r="RZ231" s="94"/>
      <c r="SA231" s="94"/>
      <c r="SB231" s="94"/>
      <c r="SC231" s="94"/>
      <c r="SD231" s="94"/>
      <c r="SE231" s="94"/>
      <c r="SF231" s="94"/>
      <c r="SG231" s="94"/>
      <c r="SH231" s="94"/>
      <c r="SI231" s="94"/>
    </row>
    <row r="232" spans="1:503" s="90" customFormat="1" ht="15.6" customHeight="1" thickBot="1">
      <c r="A232" s="1"/>
      <c r="B232" s="1" t="s">
        <v>2282</v>
      </c>
      <c r="C232" s="1"/>
      <c r="D232" s="9"/>
      <c r="E232" s="1"/>
      <c r="F232" s="4068"/>
      <c r="G232" s="4069"/>
      <c r="H232" s="1"/>
      <c r="L232" s="1"/>
      <c r="M232" s="1"/>
      <c r="N232" s="1"/>
      <c r="R232" s="2382"/>
      <c r="S232" s="3996"/>
      <c r="T232" s="3997"/>
      <c r="U232" s="3997"/>
      <c r="V232" s="3997"/>
      <c r="W232" s="3998"/>
      <c r="X232" s="443"/>
      <c r="Y232" s="445"/>
      <c r="Z232" s="445"/>
      <c r="AA232" s="445"/>
      <c r="AB232" s="445"/>
      <c r="AC232" s="443"/>
      <c r="AD232" s="445"/>
      <c r="AE232" s="445"/>
      <c r="AF232" s="445"/>
      <c r="AG232" s="445"/>
      <c r="AH232" s="443"/>
      <c r="AI232" s="445"/>
      <c r="AJ232" s="445"/>
      <c r="AK232" s="445"/>
      <c r="AL232" s="445"/>
      <c r="AM232" s="443"/>
      <c r="AN232" s="445"/>
      <c r="AO232" s="445"/>
      <c r="AP232" s="445"/>
      <c r="AQ232" s="445"/>
      <c r="AR232" s="445"/>
      <c r="AS232" s="445"/>
      <c r="AT232" s="445"/>
      <c r="AU232" s="445"/>
      <c r="AV232" s="445"/>
      <c r="AW232" s="445"/>
      <c r="AX232" s="445"/>
      <c r="AY232" s="445"/>
      <c r="AZ232" s="445"/>
      <c r="BA232" s="445"/>
      <c r="BB232" s="445"/>
      <c r="BC232" s="445"/>
      <c r="BD232" s="445"/>
      <c r="BE232" s="445"/>
      <c r="BF232" s="445"/>
      <c r="BG232" s="445"/>
      <c r="BH232" s="445"/>
      <c r="BI232" s="445"/>
      <c r="BJ232" s="445"/>
      <c r="BK232" s="445"/>
      <c r="BL232" s="445"/>
      <c r="BM232" s="445"/>
      <c r="BN232" s="445"/>
      <c r="BO232" s="445"/>
      <c r="BP232" s="445"/>
      <c r="BQ232" s="445"/>
      <c r="BR232" s="445"/>
      <c r="BS232" s="445"/>
      <c r="BT232" s="445"/>
      <c r="BU232" s="445"/>
      <c r="BV232" s="445"/>
      <c r="BW232" s="445"/>
      <c r="BX232" s="445"/>
      <c r="BY232" s="445"/>
      <c r="BZ232" s="445"/>
      <c r="CA232" s="445"/>
      <c r="CB232" s="445"/>
      <c r="CC232" s="445"/>
      <c r="CD232" s="445"/>
      <c r="CE232" s="445"/>
      <c r="CF232" s="445"/>
      <c r="CG232" s="445"/>
      <c r="CH232" s="445"/>
      <c r="CI232" s="445"/>
      <c r="CJ232" s="445"/>
      <c r="CK232" s="445"/>
      <c r="CL232" s="445"/>
      <c r="CM232" s="445"/>
      <c r="CN232" s="445"/>
      <c r="CO232" s="445"/>
      <c r="CP232" s="445"/>
      <c r="CQ232" s="445"/>
      <c r="CR232" s="445"/>
      <c r="CS232" s="445"/>
      <c r="CT232" s="445"/>
      <c r="CU232" s="445"/>
      <c r="CV232" s="445"/>
      <c r="CW232" s="445"/>
      <c r="CX232" s="445"/>
      <c r="CY232" s="445"/>
      <c r="CZ232" s="445"/>
      <c r="DA232" s="445"/>
      <c r="DB232" s="445"/>
      <c r="DC232" s="445"/>
      <c r="DD232" s="445"/>
      <c r="DE232" s="445"/>
      <c r="DF232" s="445"/>
      <c r="DG232" s="445"/>
      <c r="DH232" s="445"/>
      <c r="DI232" s="445"/>
      <c r="DJ232" s="445"/>
      <c r="DK232" s="445"/>
      <c r="DL232" s="445"/>
      <c r="DM232" s="445"/>
      <c r="DN232" s="445"/>
      <c r="DO232" s="445"/>
      <c r="DP232" s="445"/>
      <c r="DQ232" s="445"/>
      <c r="DR232" s="445"/>
      <c r="DS232" s="445"/>
      <c r="DT232" s="445"/>
      <c r="DU232" s="445"/>
      <c r="DV232" s="445"/>
      <c r="DW232" s="445"/>
      <c r="DX232" s="445"/>
      <c r="DY232" s="445"/>
      <c r="DZ232" s="445"/>
      <c r="EA232" s="445"/>
      <c r="EB232" s="445"/>
      <c r="EC232" s="445"/>
      <c r="ED232" s="445"/>
      <c r="EE232" s="445"/>
      <c r="EF232" s="445"/>
      <c r="EG232" s="445"/>
      <c r="EH232" s="445"/>
      <c r="EI232" s="445"/>
      <c r="EJ232" s="445"/>
      <c r="EK232" s="445"/>
      <c r="EL232" s="445"/>
      <c r="EM232" s="445"/>
      <c r="EN232" s="445"/>
      <c r="EO232" s="445"/>
      <c r="EP232" s="445"/>
      <c r="EQ232" s="445"/>
      <c r="ER232" s="445"/>
      <c r="ES232" s="445"/>
      <c r="ET232" s="445"/>
      <c r="EU232" s="445"/>
      <c r="EV232" s="445"/>
      <c r="EW232" s="445"/>
      <c r="EX232" s="445"/>
      <c r="EY232" s="445"/>
      <c r="EZ232" s="445"/>
      <c r="FA232" s="445"/>
      <c r="FB232" s="445"/>
      <c r="FC232" s="445"/>
      <c r="FD232" s="445"/>
      <c r="FE232" s="445"/>
      <c r="FF232" s="445"/>
      <c r="FG232" s="445"/>
      <c r="FH232" s="445"/>
      <c r="FI232" s="445"/>
      <c r="FJ232" s="445"/>
      <c r="FK232" s="445"/>
      <c r="FL232" s="445"/>
      <c r="FM232" s="445"/>
      <c r="FN232" s="445"/>
      <c r="FO232" s="445"/>
      <c r="FP232" s="445"/>
      <c r="FQ232" s="445"/>
      <c r="FR232" s="445"/>
      <c r="FS232" s="445"/>
      <c r="FT232" s="445"/>
      <c r="FU232" s="445"/>
      <c r="FV232" s="445"/>
      <c r="FW232" s="445"/>
      <c r="FX232" s="445"/>
      <c r="FY232" s="445"/>
      <c r="FZ232" s="445"/>
      <c r="GA232" s="445"/>
      <c r="GB232" s="445"/>
      <c r="GC232" s="445"/>
      <c r="GD232" s="445"/>
      <c r="GE232" s="445"/>
      <c r="GF232" s="445"/>
      <c r="GG232" s="445"/>
      <c r="GH232" s="445"/>
      <c r="GI232" s="445"/>
      <c r="GJ232" s="445"/>
      <c r="GK232" s="445"/>
      <c r="GL232" s="445"/>
      <c r="GM232" s="445"/>
      <c r="GN232" s="445"/>
      <c r="GO232" s="445"/>
      <c r="GP232" s="445"/>
      <c r="GQ232" s="445"/>
      <c r="GR232" s="445"/>
      <c r="GS232" s="445"/>
      <c r="GT232" s="445"/>
      <c r="GU232" s="445"/>
      <c r="GV232" s="445"/>
      <c r="GW232" s="445"/>
      <c r="GX232" s="445"/>
      <c r="GY232" s="445"/>
      <c r="GZ232" s="445"/>
      <c r="HA232" s="445"/>
      <c r="HB232" s="445"/>
      <c r="HC232" s="445"/>
      <c r="HD232" s="445"/>
      <c r="HE232" s="445"/>
      <c r="HF232" s="445"/>
      <c r="HG232" s="445"/>
      <c r="HH232" s="445"/>
      <c r="HI232" s="445"/>
      <c r="HJ232" s="445"/>
      <c r="HK232" s="445"/>
      <c r="HL232" s="445"/>
      <c r="HM232" s="445"/>
      <c r="HN232" s="445"/>
      <c r="HO232" s="445"/>
      <c r="HP232" s="445"/>
      <c r="HQ232" s="445"/>
      <c r="HR232" s="445"/>
      <c r="HS232" s="445"/>
      <c r="HT232" s="445"/>
      <c r="HU232" s="445"/>
      <c r="HV232" s="445"/>
      <c r="HW232" s="445"/>
      <c r="HX232" s="445"/>
      <c r="HY232" s="445"/>
      <c r="HZ232" s="445"/>
      <c r="IA232" s="445"/>
      <c r="IB232" s="445"/>
      <c r="IC232" s="445"/>
      <c r="ID232" s="445"/>
      <c r="IE232" s="445"/>
      <c r="IF232" s="445"/>
      <c r="IG232" s="445"/>
      <c r="IH232" s="445"/>
      <c r="II232" s="445"/>
      <c r="IJ232" s="445"/>
      <c r="IK232" s="445"/>
      <c r="IL232" s="445"/>
      <c r="IM232" s="445"/>
      <c r="IN232" s="445"/>
      <c r="IO232" s="445"/>
      <c r="IP232" s="445"/>
      <c r="IQ232" s="445"/>
      <c r="IR232" s="445"/>
      <c r="IS232" s="445"/>
      <c r="IT232" s="445"/>
      <c r="IU232" s="445"/>
      <c r="IV232" s="445"/>
      <c r="IW232" s="445"/>
      <c r="IX232" s="445"/>
      <c r="IY232" s="445"/>
      <c r="IZ232" s="445"/>
      <c r="JA232" s="445"/>
      <c r="JB232" s="445"/>
      <c r="JC232" s="445"/>
      <c r="JD232" s="445"/>
      <c r="JE232" s="445"/>
      <c r="JF232" s="445"/>
      <c r="JG232" s="445"/>
      <c r="JH232" s="445"/>
      <c r="JI232" s="445"/>
      <c r="JJ232" s="445"/>
      <c r="JK232" s="445"/>
      <c r="JL232" s="445"/>
      <c r="JM232" s="445"/>
      <c r="JN232" s="445"/>
      <c r="JO232" s="445"/>
      <c r="JP232" s="445"/>
      <c r="JQ232" s="445"/>
      <c r="JR232" s="445"/>
      <c r="JS232" s="445"/>
      <c r="JT232" s="445"/>
      <c r="JU232" s="445"/>
      <c r="JV232" s="445"/>
      <c r="JW232" s="2242"/>
      <c r="JX232" s="445"/>
      <c r="JY232" s="445"/>
      <c r="JZ232" s="445"/>
      <c r="KA232" s="445"/>
      <c r="KB232" s="2242"/>
      <c r="KC232" s="2242"/>
      <c r="KD232" s="2242"/>
      <c r="KE232" s="2242"/>
      <c r="KF232" s="2242"/>
      <c r="KG232" s="2242"/>
      <c r="KH232" s="2242"/>
      <c r="KI232" s="2242"/>
      <c r="KJ232" s="2242"/>
      <c r="KK232" s="2242"/>
      <c r="KL232" s="2242"/>
      <c r="KM232" s="2242"/>
      <c r="KN232" s="2242"/>
      <c r="KO232" s="2242"/>
      <c r="KP232" s="2242"/>
      <c r="KQ232" s="2242"/>
      <c r="KR232" s="2242"/>
      <c r="KS232" s="2242"/>
      <c r="KT232" s="2242"/>
      <c r="KU232" s="2242"/>
      <c r="KV232" s="2242"/>
      <c r="KW232" s="2242"/>
      <c r="KX232" s="2242"/>
      <c r="KY232" s="2242"/>
      <c r="KZ232" s="2242"/>
      <c r="LA232" s="2242"/>
      <c r="LB232" s="2242"/>
      <c r="LC232" s="2242"/>
      <c r="LD232" s="2242"/>
      <c r="LE232" s="2242"/>
      <c r="LF232" s="2242"/>
      <c r="LG232" s="2242"/>
      <c r="LH232" s="2242"/>
      <c r="LI232" s="2242"/>
      <c r="LJ232" s="2242"/>
      <c r="LK232" s="2242"/>
      <c r="LL232" s="2242"/>
      <c r="LM232" s="2242"/>
      <c r="LN232" s="2242"/>
      <c r="LO232" s="2242"/>
      <c r="LP232" s="2242"/>
      <c r="LQ232" s="2242"/>
      <c r="LR232" s="445"/>
      <c r="LS232" s="445"/>
      <c r="LT232" s="445"/>
      <c r="LU232" s="445"/>
      <c r="LV232" s="445"/>
      <c r="LW232" s="445"/>
      <c r="LX232" s="2243"/>
      <c r="LY232" s="445"/>
      <c r="LZ232" s="445"/>
      <c r="MA232" s="445"/>
      <c r="MB232" s="445"/>
      <c r="MC232" s="445"/>
      <c r="MD232" s="445"/>
      <c r="ME232" s="445"/>
      <c r="MF232" s="445"/>
      <c r="MG232" s="445"/>
      <c r="MH232" s="445"/>
      <c r="MI232" s="445"/>
      <c r="MJ232" s="445"/>
      <c r="MK232" s="445"/>
      <c r="ML232" s="445"/>
      <c r="MM232" s="445"/>
      <c r="MN232" s="2243"/>
      <c r="MO232" s="2243"/>
      <c r="MP232" s="445"/>
      <c r="MQ232" s="445"/>
      <c r="MR232" s="445"/>
      <c r="MS232" s="445"/>
      <c r="MT232" s="445"/>
      <c r="MU232" s="445"/>
      <c r="MV232" s="445"/>
      <c r="MW232" s="445"/>
      <c r="MX232" s="445"/>
      <c r="MY232" s="445"/>
      <c r="MZ232" s="445"/>
      <c r="NA232" s="445"/>
      <c r="NB232" s="445"/>
      <c r="NC232" s="445"/>
      <c r="ND232" s="445"/>
      <c r="NE232" s="94"/>
      <c r="NF232" s="94"/>
      <c r="NG232" s="94"/>
      <c r="NH232" s="94"/>
      <c r="NI232" s="94"/>
      <c r="NJ232" s="94"/>
      <c r="NK232" s="94"/>
      <c r="NL232" s="94"/>
      <c r="NM232" s="94"/>
      <c r="NN232" s="94"/>
      <c r="NO232" s="94"/>
      <c r="NP232" s="94"/>
      <c r="NQ232" s="94"/>
      <c r="NR232" s="94"/>
      <c r="NS232" s="94"/>
      <c r="NT232" s="94"/>
      <c r="NU232" s="94"/>
      <c r="NV232" s="94"/>
      <c r="NW232" s="94"/>
      <c r="NX232" s="94"/>
      <c r="NY232" s="94"/>
      <c r="NZ232" s="94"/>
      <c r="OA232" s="94"/>
      <c r="OB232" s="94"/>
      <c r="OC232" s="94"/>
      <c r="OD232" s="94"/>
      <c r="OE232" s="94"/>
      <c r="OF232" s="94"/>
      <c r="OG232" s="94"/>
      <c r="OH232" s="94"/>
      <c r="OI232" s="94"/>
      <c r="OJ232" s="94"/>
      <c r="OK232" s="94"/>
      <c r="OL232" s="94"/>
      <c r="OM232" s="94"/>
      <c r="ON232" s="94"/>
      <c r="OO232" s="94"/>
      <c r="OP232" s="94"/>
      <c r="OQ232" s="94"/>
      <c r="OR232" s="94"/>
      <c r="OS232" s="94"/>
      <c r="OT232" s="94"/>
      <c r="OU232" s="94"/>
      <c r="OV232" s="94"/>
      <c r="OW232" s="94"/>
      <c r="OX232" s="94"/>
      <c r="OY232" s="94"/>
      <c r="OZ232" s="94"/>
      <c r="PA232" s="94"/>
      <c r="PB232" s="94"/>
      <c r="PC232" s="94"/>
      <c r="PD232" s="94"/>
      <c r="PE232" s="94"/>
      <c r="PF232" s="94"/>
      <c r="PG232" s="94"/>
      <c r="PH232" s="94"/>
      <c r="PI232" s="94"/>
      <c r="PJ232" s="94"/>
      <c r="PK232" s="94"/>
      <c r="PL232" s="94"/>
      <c r="PM232" s="94"/>
      <c r="PN232" s="94"/>
      <c r="PO232" s="94"/>
      <c r="PP232" s="94"/>
      <c r="PQ232" s="94"/>
      <c r="PR232" s="94"/>
      <c r="PS232" s="94"/>
      <c r="PT232" s="94"/>
      <c r="PU232" s="94"/>
      <c r="PV232" s="94"/>
      <c r="PW232" s="94"/>
      <c r="PX232" s="94"/>
      <c r="PY232" s="94"/>
      <c r="PZ232" s="94"/>
      <c r="QA232" s="94"/>
      <c r="QB232" s="94"/>
      <c r="QC232" s="94"/>
      <c r="QD232" s="94"/>
      <c r="QE232" s="94"/>
      <c r="QF232" s="94"/>
      <c r="QG232" s="94"/>
      <c r="QH232" s="94"/>
      <c r="QI232" s="94"/>
      <c r="QJ232" s="94"/>
      <c r="QK232" s="94"/>
      <c r="QL232" s="94"/>
      <c r="QM232" s="94"/>
      <c r="QN232" s="94"/>
      <c r="QO232" s="94"/>
      <c r="QP232" s="94"/>
      <c r="QQ232" s="94"/>
      <c r="QR232" s="94"/>
      <c r="QS232" s="94"/>
      <c r="QT232" s="94"/>
      <c r="QU232" s="94"/>
      <c r="QV232" s="94"/>
      <c r="QW232" s="94"/>
      <c r="QX232" s="94"/>
      <c r="QY232" s="94"/>
      <c r="QZ232" s="94"/>
      <c r="RA232" s="94"/>
      <c r="RB232" s="94"/>
      <c r="RC232" s="94"/>
      <c r="RD232" s="94"/>
      <c r="RE232" s="94"/>
      <c r="RF232" s="94"/>
      <c r="RG232" s="94"/>
      <c r="RH232" s="94"/>
      <c r="RI232" s="94"/>
      <c r="RJ232" s="94"/>
      <c r="RK232" s="94"/>
      <c r="RL232" s="94"/>
      <c r="RM232" s="94"/>
      <c r="RN232" s="94"/>
      <c r="RO232" s="94"/>
      <c r="RP232" s="94"/>
      <c r="RQ232" s="94"/>
      <c r="RR232" s="94"/>
      <c r="RS232" s="94"/>
      <c r="RT232" s="94"/>
      <c r="RU232" s="94"/>
      <c r="RV232" s="94"/>
      <c r="RW232" s="94"/>
      <c r="RX232" s="94"/>
      <c r="RY232" s="94"/>
      <c r="RZ232" s="94"/>
      <c r="SA232" s="94"/>
      <c r="SB232" s="94"/>
      <c r="SC232" s="94"/>
      <c r="SD232" s="94"/>
      <c r="SE232" s="94"/>
      <c r="SF232" s="94"/>
      <c r="SG232" s="94"/>
      <c r="SH232" s="94"/>
      <c r="SI232" s="94"/>
    </row>
    <row r="233" spans="1:503" s="90" customFormat="1" ht="15.6" customHeight="1" thickBot="1">
      <c r="A233" s="1"/>
      <c r="B233" s="1" t="s">
        <v>1567</v>
      </c>
      <c r="C233" s="1"/>
      <c r="D233" s="9"/>
      <c r="E233" s="1"/>
      <c r="F233" s="4068">
        <v>4996</v>
      </c>
      <c r="G233" s="4069"/>
      <c r="H233" s="1"/>
      <c r="I233" s="10" t="s">
        <v>1348</v>
      </c>
      <c r="K233" s="2351" t="s">
        <v>4435</v>
      </c>
      <c r="O233" s="1590" t="s">
        <v>3360</v>
      </c>
      <c r="P233" s="10"/>
      <c r="Q233" s="4084">
        <f>Q242</f>
        <v>18000</v>
      </c>
      <c r="S233" s="3996"/>
      <c r="T233" s="3997"/>
      <c r="U233" s="3997"/>
      <c r="V233" s="3997"/>
      <c r="W233" s="3998"/>
      <c r="X233" s="443"/>
      <c r="Y233" s="445"/>
      <c r="Z233" s="445"/>
      <c r="AA233" s="445"/>
      <c r="AB233" s="445"/>
      <c r="AC233" s="443"/>
      <c r="AD233" s="445"/>
      <c r="AE233" s="445"/>
      <c r="AF233" s="445"/>
      <c r="AG233" s="445"/>
      <c r="AH233" s="443"/>
      <c r="AI233" s="445"/>
      <c r="AJ233" s="445"/>
      <c r="AK233" s="445"/>
      <c r="AL233" s="445"/>
      <c r="AM233" s="443"/>
      <c r="AN233" s="445"/>
      <c r="AO233" s="445"/>
      <c r="AP233" s="445"/>
      <c r="AQ233" s="445"/>
      <c r="AR233" s="445"/>
      <c r="AS233" s="445"/>
      <c r="AT233" s="445"/>
      <c r="AU233" s="445"/>
      <c r="AV233" s="445"/>
      <c r="AW233" s="445"/>
      <c r="AX233" s="445"/>
      <c r="AY233" s="445"/>
      <c r="AZ233" s="445"/>
      <c r="BA233" s="445"/>
      <c r="BB233" s="445"/>
      <c r="BC233" s="445"/>
      <c r="BD233" s="445"/>
      <c r="BE233" s="445"/>
      <c r="BF233" s="445"/>
      <c r="BG233" s="445"/>
      <c r="BH233" s="445"/>
      <c r="BI233" s="445"/>
      <c r="BJ233" s="445"/>
      <c r="BK233" s="445"/>
      <c r="BL233" s="445"/>
      <c r="BM233" s="445"/>
      <c r="BN233" s="445"/>
      <c r="BO233" s="445"/>
      <c r="BP233" s="445"/>
      <c r="BQ233" s="445"/>
      <c r="BR233" s="445"/>
      <c r="BS233" s="445"/>
      <c r="BT233" s="445"/>
      <c r="BU233" s="445"/>
      <c r="BV233" s="445"/>
      <c r="BW233" s="445"/>
      <c r="BX233" s="445"/>
      <c r="BY233" s="445"/>
      <c r="BZ233" s="445"/>
      <c r="CA233" s="445"/>
      <c r="CB233" s="445"/>
      <c r="CC233" s="445"/>
      <c r="CD233" s="445"/>
      <c r="CE233" s="445"/>
      <c r="CF233" s="445"/>
      <c r="CG233" s="445"/>
      <c r="CH233" s="445"/>
      <c r="CI233" s="445"/>
      <c r="CJ233" s="445"/>
      <c r="CK233" s="445"/>
      <c r="CL233" s="445"/>
      <c r="CM233" s="445"/>
      <c r="CN233" s="445"/>
      <c r="CO233" s="445"/>
      <c r="CP233" s="445"/>
      <c r="CQ233" s="445"/>
      <c r="CR233" s="445"/>
      <c r="CS233" s="445"/>
      <c r="CT233" s="445"/>
      <c r="CU233" s="445"/>
      <c r="CV233" s="445"/>
      <c r="CW233" s="445"/>
      <c r="CX233" s="445"/>
      <c r="CY233" s="445"/>
      <c r="CZ233" s="445"/>
      <c r="DA233" s="445"/>
      <c r="DB233" s="445"/>
      <c r="DC233" s="445"/>
      <c r="DD233" s="445"/>
      <c r="DE233" s="445"/>
      <c r="DF233" s="445"/>
      <c r="DG233" s="445"/>
      <c r="DH233" s="445"/>
      <c r="DI233" s="445"/>
      <c r="DJ233" s="445"/>
      <c r="DK233" s="445"/>
      <c r="DL233" s="445"/>
      <c r="DM233" s="445"/>
      <c r="DN233" s="445"/>
      <c r="DO233" s="445"/>
      <c r="DP233" s="445"/>
      <c r="DQ233" s="445"/>
      <c r="DR233" s="445"/>
      <c r="DS233" s="445"/>
      <c r="DT233" s="445"/>
      <c r="DU233" s="445"/>
      <c r="DV233" s="445"/>
      <c r="DW233" s="445"/>
      <c r="DX233" s="445"/>
      <c r="DY233" s="445"/>
      <c r="DZ233" s="445"/>
      <c r="EA233" s="445"/>
      <c r="EB233" s="445"/>
      <c r="EC233" s="445"/>
      <c r="ED233" s="445"/>
      <c r="EE233" s="445"/>
      <c r="EF233" s="445"/>
      <c r="EG233" s="445"/>
      <c r="EH233" s="445"/>
      <c r="EI233" s="445"/>
      <c r="EJ233" s="445"/>
      <c r="EK233" s="445"/>
      <c r="EL233" s="445"/>
      <c r="EM233" s="445"/>
      <c r="EN233" s="445"/>
      <c r="EO233" s="445"/>
      <c r="EP233" s="445"/>
      <c r="EQ233" s="445"/>
      <c r="ER233" s="445"/>
      <c r="ES233" s="445"/>
      <c r="ET233" s="445"/>
      <c r="EU233" s="445"/>
      <c r="EV233" s="445"/>
      <c r="EW233" s="445"/>
      <c r="EX233" s="445"/>
      <c r="EY233" s="445"/>
      <c r="EZ233" s="445"/>
      <c r="FA233" s="445"/>
      <c r="FB233" s="445"/>
      <c r="FC233" s="445"/>
      <c r="FD233" s="445"/>
      <c r="FE233" s="445"/>
      <c r="FF233" s="445"/>
      <c r="FG233" s="445"/>
      <c r="FH233" s="445"/>
      <c r="FI233" s="445"/>
      <c r="FJ233" s="445"/>
      <c r="FK233" s="445"/>
      <c r="FL233" s="445"/>
      <c r="FM233" s="445"/>
      <c r="FN233" s="445"/>
      <c r="FO233" s="445"/>
      <c r="FP233" s="445"/>
      <c r="FQ233" s="445"/>
      <c r="FR233" s="445"/>
      <c r="FS233" s="445"/>
      <c r="FT233" s="445"/>
      <c r="FU233" s="445"/>
      <c r="FV233" s="445"/>
      <c r="FW233" s="445"/>
      <c r="FX233" s="445"/>
      <c r="FY233" s="445"/>
      <c r="FZ233" s="445"/>
      <c r="GA233" s="445"/>
      <c r="GB233" s="445"/>
      <c r="GC233" s="445"/>
      <c r="GD233" s="445"/>
      <c r="GE233" s="445"/>
      <c r="GF233" s="445"/>
      <c r="GG233" s="445"/>
      <c r="GH233" s="445"/>
      <c r="GI233" s="445"/>
      <c r="GJ233" s="445"/>
      <c r="GK233" s="445"/>
      <c r="GL233" s="445"/>
      <c r="GM233" s="445"/>
      <c r="GN233" s="445"/>
      <c r="GO233" s="445"/>
      <c r="GP233" s="445"/>
      <c r="GQ233" s="445"/>
      <c r="GR233" s="445"/>
      <c r="GS233" s="445"/>
      <c r="GT233" s="445"/>
      <c r="GU233" s="445"/>
      <c r="GV233" s="445"/>
      <c r="GW233" s="445"/>
      <c r="GX233" s="445"/>
      <c r="GY233" s="445"/>
      <c r="GZ233" s="445"/>
      <c r="HA233" s="445"/>
      <c r="HB233" s="445"/>
      <c r="HC233" s="445"/>
      <c r="HD233" s="445"/>
      <c r="HE233" s="445"/>
      <c r="HF233" s="445"/>
      <c r="HG233" s="445"/>
      <c r="HH233" s="445"/>
      <c r="HI233" s="445"/>
      <c r="HJ233" s="445"/>
      <c r="HK233" s="445"/>
      <c r="HL233" s="445"/>
      <c r="HM233" s="445"/>
      <c r="HN233" s="445"/>
      <c r="HO233" s="445"/>
      <c r="HP233" s="445"/>
      <c r="HQ233" s="445"/>
      <c r="HR233" s="445"/>
      <c r="HS233" s="445"/>
      <c r="HT233" s="445"/>
      <c r="HU233" s="445"/>
      <c r="HV233" s="445"/>
      <c r="HW233" s="445"/>
      <c r="HX233" s="445"/>
      <c r="HY233" s="445"/>
      <c r="HZ233" s="445"/>
      <c r="IA233" s="445"/>
      <c r="IB233" s="445"/>
      <c r="IC233" s="445"/>
      <c r="ID233" s="445"/>
      <c r="IE233" s="445"/>
      <c r="IF233" s="445"/>
      <c r="IG233" s="445"/>
      <c r="IH233" s="445"/>
      <c r="II233" s="445"/>
      <c r="IJ233" s="445"/>
      <c r="IK233" s="445"/>
      <c r="IL233" s="445"/>
      <c r="IM233" s="445"/>
      <c r="IN233" s="445"/>
      <c r="IO233" s="445"/>
      <c r="IP233" s="445"/>
      <c r="IQ233" s="445"/>
      <c r="IR233" s="445"/>
      <c r="IS233" s="445"/>
      <c r="IT233" s="445"/>
      <c r="IU233" s="445"/>
      <c r="IV233" s="445"/>
      <c r="IW233" s="445"/>
      <c r="IX233" s="445"/>
      <c r="IY233" s="445"/>
      <c r="IZ233" s="445"/>
      <c r="JA233" s="445"/>
      <c r="JB233" s="445"/>
      <c r="JC233" s="445"/>
      <c r="JD233" s="445"/>
      <c r="JE233" s="445"/>
      <c r="JF233" s="445"/>
      <c r="JG233" s="445"/>
      <c r="JH233" s="445"/>
      <c r="JI233" s="445"/>
      <c r="JJ233" s="445"/>
      <c r="JK233" s="445"/>
      <c r="JL233" s="445"/>
      <c r="JM233" s="445"/>
      <c r="JN233" s="445"/>
      <c r="JO233" s="445"/>
      <c r="JP233" s="445"/>
      <c r="JQ233" s="445"/>
      <c r="JR233" s="445"/>
      <c r="JS233" s="445"/>
      <c r="JT233" s="445"/>
      <c r="JU233" s="445"/>
      <c r="JV233" s="445"/>
      <c r="JW233" s="2242"/>
      <c r="JX233" s="445"/>
      <c r="JY233" s="445"/>
      <c r="JZ233" s="445"/>
      <c r="KA233" s="445"/>
      <c r="KB233" s="2242"/>
      <c r="KC233" s="2242"/>
      <c r="KD233" s="2242"/>
      <c r="KE233" s="2242"/>
      <c r="KF233" s="2242"/>
      <c r="KG233" s="2242"/>
      <c r="KH233" s="2242"/>
      <c r="KI233" s="2242"/>
      <c r="KJ233" s="2242"/>
      <c r="KK233" s="2242"/>
      <c r="KL233" s="2242"/>
      <c r="KM233" s="2242"/>
      <c r="KN233" s="2242"/>
      <c r="KO233" s="2242"/>
      <c r="KP233" s="2242"/>
      <c r="KQ233" s="2242"/>
      <c r="KR233" s="2242"/>
      <c r="KS233" s="2242"/>
      <c r="KT233" s="2242"/>
      <c r="KU233" s="2242"/>
      <c r="KV233" s="2242"/>
      <c r="KW233" s="2242"/>
      <c r="KX233" s="2242"/>
      <c r="KY233" s="2242"/>
      <c r="KZ233" s="2242"/>
      <c r="LA233" s="2242"/>
      <c r="LB233" s="2242"/>
      <c r="LC233" s="2242"/>
      <c r="LD233" s="2242"/>
      <c r="LE233" s="2242"/>
      <c r="LF233" s="2242"/>
      <c r="LG233" s="2242"/>
      <c r="LH233" s="2242"/>
      <c r="LI233" s="2242"/>
      <c r="LJ233" s="2242"/>
      <c r="LK233" s="2242"/>
      <c r="LL233" s="2242"/>
      <c r="LM233" s="2242"/>
      <c r="LN233" s="2242"/>
      <c r="LO233" s="2242"/>
      <c r="LP233" s="2242"/>
      <c r="LQ233" s="2242"/>
      <c r="LR233" s="445"/>
      <c r="LS233" s="445"/>
      <c r="LT233" s="445"/>
      <c r="LU233" s="445"/>
      <c r="LV233" s="445"/>
      <c r="LW233" s="445"/>
      <c r="LX233" s="2243"/>
      <c r="LY233" s="445"/>
      <c r="LZ233" s="445"/>
      <c r="MA233" s="445"/>
      <c r="MB233" s="445"/>
      <c r="MC233" s="445"/>
      <c r="MD233" s="445"/>
      <c r="ME233" s="445"/>
      <c r="MF233" s="445"/>
      <c r="MG233" s="445"/>
      <c r="MH233" s="445"/>
      <c r="MI233" s="445"/>
      <c r="MJ233" s="445"/>
      <c r="MK233" s="445"/>
      <c r="ML233" s="445"/>
      <c r="MM233" s="445"/>
      <c r="MN233" s="2243"/>
      <c r="MO233" s="2243"/>
      <c r="MP233" s="445"/>
      <c r="MQ233" s="445"/>
      <c r="MR233" s="445"/>
      <c r="MS233" s="445"/>
      <c r="MT233" s="445"/>
      <c r="MU233" s="445"/>
      <c r="MV233" s="445"/>
      <c r="MW233" s="445"/>
      <c r="MX233" s="445"/>
      <c r="MY233" s="445"/>
      <c r="MZ233" s="445"/>
      <c r="NA233" s="445"/>
      <c r="NB233" s="445"/>
      <c r="NC233" s="445"/>
      <c r="ND233" s="445"/>
      <c r="NE233" s="94"/>
      <c r="NF233" s="94"/>
      <c r="NG233" s="94"/>
      <c r="NH233" s="94"/>
      <c r="NI233" s="94"/>
      <c r="NJ233" s="94"/>
      <c r="NK233" s="94"/>
      <c r="NL233" s="94"/>
      <c r="NM233" s="94"/>
      <c r="NN233" s="94"/>
      <c r="NO233" s="94"/>
      <c r="NP233" s="94"/>
      <c r="NQ233" s="94"/>
      <c r="NR233" s="94"/>
      <c r="NS233" s="94"/>
      <c r="NT233" s="94"/>
      <c r="NU233" s="94"/>
      <c r="NV233" s="94"/>
      <c r="NW233" s="94"/>
      <c r="NX233" s="94"/>
      <c r="NY233" s="94"/>
      <c r="NZ233" s="94"/>
      <c r="OA233" s="94"/>
      <c r="OB233" s="94"/>
      <c r="OC233" s="94"/>
      <c r="OD233" s="94"/>
      <c r="OE233" s="94"/>
      <c r="OF233" s="94"/>
      <c r="OG233" s="94"/>
      <c r="OH233" s="94"/>
      <c r="OI233" s="94"/>
      <c r="OJ233" s="94"/>
      <c r="OK233" s="94"/>
      <c r="OL233" s="94"/>
      <c r="OM233" s="94"/>
      <c r="ON233" s="94"/>
      <c r="OO233" s="94"/>
      <c r="OP233" s="94"/>
      <c r="OQ233" s="94"/>
      <c r="OR233" s="94"/>
      <c r="OS233" s="94"/>
      <c r="OT233" s="94"/>
      <c r="OU233" s="94"/>
      <c r="OV233" s="94"/>
      <c r="OW233" s="94"/>
      <c r="OX233" s="94"/>
      <c r="OY233" s="94"/>
      <c r="OZ233" s="94"/>
      <c r="PA233" s="94"/>
      <c r="PB233" s="94"/>
      <c r="PC233" s="94"/>
      <c r="PD233" s="94"/>
      <c r="PE233" s="94"/>
      <c r="PF233" s="94"/>
      <c r="PG233" s="94"/>
      <c r="PH233" s="94"/>
      <c r="PI233" s="94"/>
      <c r="PJ233" s="94"/>
      <c r="PK233" s="94"/>
      <c r="PL233" s="94"/>
      <c r="PM233" s="94"/>
      <c r="PN233" s="94"/>
      <c r="PO233" s="94"/>
      <c r="PP233" s="94"/>
      <c r="PQ233" s="94"/>
      <c r="PR233" s="94"/>
      <c r="PS233" s="94"/>
      <c r="PT233" s="94"/>
      <c r="PU233" s="94"/>
      <c r="PV233" s="94"/>
      <c r="PW233" s="94"/>
      <c r="PX233" s="94"/>
      <c r="PY233" s="94"/>
      <c r="PZ233" s="94"/>
      <c r="QA233" s="94"/>
      <c r="QB233" s="94"/>
      <c r="QC233" s="94"/>
      <c r="QD233" s="94"/>
      <c r="QE233" s="94"/>
      <c r="QF233" s="94"/>
      <c r="QG233" s="94"/>
      <c r="QH233" s="94"/>
      <c r="QI233" s="94"/>
      <c r="QJ233" s="94"/>
      <c r="QK233" s="94"/>
      <c r="QL233" s="94"/>
      <c r="QM233" s="94"/>
      <c r="QN233" s="94"/>
      <c r="QO233" s="94"/>
      <c r="QP233" s="94"/>
      <c r="QQ233" s="94"/>
      <c r="QR233" s="94"/>
      <c r="QS233" s="94"/>
      <c r="QT233" s="94"/>
      <c r="QU233" s="94"/>
      <c r="QV233" s="94"/>
      <c r="QW233" s="94"/>
      <c r="QX233" s="94"/>
      <c r="QY233" s="94"/>
      <c r="QZ233" s="94"/>
      <c r="RA233" s="94"/>
      <c r="RB233" s="94"/>
      <c r="RC233" s="94"/>
      <c r="RD233" s="94"/>
      <c r="RE233" s="94"/>
      <c r="RF233" s="94"/>
      <c r="RG233" s="94"/>
      <c r="RH233" s="94"/>
      <c r="RI233" s="94"/>
      <c r="RJ233" s="94"/>
      <c r="RK233" s="94"/>
      <c r="RL233" s="94"/>
      <c r="RM233" s="94"/>
      <c r="RN233" s="94"/>
      <c r="RO233" s="94"/>
      <c r="RP233" s="94"/>
      <c r="RQ233" s="94"/>
      <c r="RR233" s="94"/>
      <c r="RS233" s="94"/>
      <c r="RT233" s="94"/>
      <c r="RU233" s="94"/>
      <c r="RV233" s="94"/>
      <c r="RW233" s="94"/>
      <c r="RX233" s="94"/>
      <c r="RY233" s="94"/>
      <c r="RZ233" s="94"/>
      <c r="SA233" s="94"/>
      <c r="SB233" s="94"/>
      <c r="SC233" s="94"/>
      <c r="SD233" s="94"/>
      <c r="SE233" s="94"/>
      <c r="SF233" s="94"/>
      <c r="SG233" s="94"/>
      <c r="SH233" s="94"/>
      <c r="SI233" s="94"/>
    </row>
    <row r="234" spans="1:503" s="90" customFormat="1" ht="15.6" customHeight="1" thickBot="1">
      <c r="A234" s="1"/>
      <c r="B234" s="4072" t="s">
        <v>49</v>
      </c>
      <c r="C234" s="4073"/>
      <c r="D234" s="4073"/>
      <c r="E234" s="4074"/>
      <c r="F234" s="4070"/>
      <c r="G234" s="4071"/>
      <c r="H234" s="1"/>
      <c r="I234" s="1" t="s">
        <v>1341</v>
      </c>
      <c r="K234" s="452">
        <f>L234/12/P67</f>
        <v>11.574074074074074</v>
      </c>
      <c r="L234" s="4075">
        <v>10000</v>
      </c>
      <c r="M234" s="4076"/>
      <c r="N234" s="2643" t="str">
        <f>IF(Q233&lt;Q242, "WARNING! RR proposed is below the DCA required minimum.","")</f>
        <v/>
      </c>
      <c r="O234" s="953" t="s">
        <v>4434</v>
      </c>
      <c r="P234" s="948"/>
      <c r="Q234" s="954">
        <f>Q233/P242</f>
        <v>250</v>
      </c>
      <c r="R234" s="837"/>
      <c r="S234" s="3996"/>
      <c r="T234" s="3997"/>
      <c r="U234" s="3997"/>
      <c r="V234" s="3997"/>
      <c r="W234" s="3998"/>
      <c r="X234" s="443"/>
      <c r="Y234" s="445"/>
      <c r="Z234" s="445"/>
      <c r="AA234" s="445"/>
      <c r="AB234" s="445"/>
      <c r="AC234" s="443"/>
      <c r="AD234" s="445"/>
      <c r="AE234" s="445"/>
      <c r="AF234" s="445"/>
      <c r="AG234" s="445"/>
      <c r="AH234" s="443"/>
      <c r="AI234" s="445"/>
      <c r="AJ234" s="445"/>
      <c r="AK234" s="445"/>
      <c r="AL234" s="445"/>
      <c r="AM234" s="443"/>
      <c r="AN234" s="445"/>
      <c r="AO234" s="445"/>
      <c r="AP234" s="445"/>
      <c r="AQ234" s="445"/>
      <c r="AR234" s="445"/>
      <c r="AS234" s="445"/>
      <c r="AT234" s="445"/>
      <c r="AU234" s="445"/>
      <c r="AV234" s="445"/>
      <c r="AW234" s="445"/>
      <c r="AX234" s="445"/>
      <c r="AY234" s="445"/>
      <c r="AZ234" s="445"/>
      <c r="BA234" s="445"/>
      <c r="BB234" s="445"/>
      <c r="BC234" s="445"/>
      <c r="BD234" s="445"/>
      <c r="BE234" s="445"/>
      <c r="BF234" s="445"/>
      <c r="BG234" s="445"/>
      <c r="BH234" s="445"/>
      <c r="BI234" s="445"/>
      <c r="BJ234" s="445"/>
      <c r="BK234" s="445"/>
      <c r="BL234" s="445"/>
      <c r="BM234" s="445"/>
      <c r="BN234" s="445"/>
      <c r="BO234" s="445"/>
      <c r="BP234" s="445"/>
      <c r="BQ234" s="445"/>
      <c r="BR234" s="445"/>
      <c r="BS234" s="445"/>
      <c r="BT234" s="445"/>
      <c r="BU234" s="445"/>
      <c r="BV234" s="445"/>
      <c r="BW234" s="445"/>
      <c r="BX234" s="445"/>
      <c r="BY234" s="445"/>
      <c r="BZ234" s="445"/>
      <c r="CA234" s="445"/>
      <c r="CB234" s="445"/>
      <c r="CC234" s="445"/>
      <c r="CD234" s="445"/>
      <c r="CE234" s="445"/>
      <c r="CF234" s="445"/>
      <c r="CG234" s="445"/>
      <c r="CH234" s="445"/>
      <c r="CI234" s="445"/>
      <c r="CJ234" s="445"/>
      <c r="CK234" s="445"/>
      <c r="CL234" s="445"/>
      <c r="CM234" s="445"/>
      <c r="CN234" s="445"/>
      <c r="CO234" s="445"/>
      <c r="CP234" s="445"/>
      <c r="CQ234" s="445"/>
      <c r="CR234" s="445"/>
      <c r="CS234" s="445"/>
      <c r="CT234" s="445"/>
      <c r="CU234" s="445"/>
      <c r="CV234" s="445"/>
      <c r="CW234" s="445"/>
      <c r="CX234" s="445"/>
      <c r="CY234" s="445"/>
      <c r="CZ234" s="445"/>
      <c r="DA234" s="445"/>
      <c r="DB234" s="445"/>
      <c r="DC234" s="445"/>
      <c r="DD234" s="445"/>
      <c r="DE234" s="445"/>
      <c r="DF234" s="445"/>
      <c r="DG234" s="445"/>
      <c r="DH234" s="445"/>
      <c r="DI234" s="445"/>
      <c r="DJ234" s="445"/>
      <c r="DK234" s="445"/>
      <c r="DL234" s="445"/>
      <c r="DM234" s="445"/>
      <c r="DN234" s="445"/>
      <c r="DO234" s="445"/>
      <c r="DP234" s="445"/>
      <c r="DQ234" s="445"/>
      <c r="DR234" s="445"/>
      <c r="DS234" s="445"/>
      <c r="DT234" s="445"/>
      <c r="DU234" s="445"/>
      <c r="DV234" s="445"/>
      <c r="DW234" s="445"/>
      <c r="DX234" s="445"/>
      <c r="DY234" s="445"/>
      <c r="DZ234" s="445"/>
      <c r="EA234" s="445"/>
      <c r="EB234" s="445"/>
      <c r="EC234" s="445"/>
      <c r="ED234" s="445"/>
      <c r="EE234" s="445"/>
      <c r="EF234" s="445"/>
      <c r="EG234" s="445"/>
      <c r="EH234" s="445"/>
      <c r="EI234" s="445"/>
      <c r="EJ234" s="445"/>
      <c r="EK234" s="445"/>
      <c r="EL234" s="445"/>
      <c r="EM234" s="445"/>
      <c r="EN234" s="445"/>
      <c r="EO234" s="445"/>
      <c r="EP234" s="445"/>
      <c r="EQ234" s="445"/>
      <c r="ER234" s="445"/>
      <c r="ES234" s="445"/>
      <c r="ET234" s="445"/>
      <c r="EU234" s="445"/>
      <c r="EV234" s="445"/>
      <c r="EW234" s="445"/>
      <c r="EX234" s="445"/>
      <c r="EY234" s="445"/>
      <c r="EZ234" s="445"/>
      <c r="FA234" s="445"/>
      <c r="FB234" s="445"/>
      <c r="FC234" s="445"/>
      <c r="FD234" s="445"/>
      <c r="FE234" s="445"/>
      <c r="FF234" s="445"/>
      <c r="FG234" s="445"/>
      <c r="FH234" s="445"/>
      <c r="FI234" s="445"/>
      <c r="FJ234" s="445"/>
      <c r="FK234" s="445"/>
      <c r="FL234" s="445"/>
      <c r="FM234" s="445"/>
      <c r="FN234" s="445"/>
      <c r="FO234" s="445"/>
      <c r="FP234" s="445"/>
      <c r="FQ234" s="445"/>
      <c r="FR234" s="445"/>
      <c r="FS234" s="445"/>
      <c r="FT234" s="445"/>
      <c r="FU234" s="445"/>
      <c r="FV234" s="445"/>
      <c r="FW234" s="445"/>
      <c r="FX234" s="445"/>
      <c r="FY234" s="445"/>
      <c r="FZ234" s="445"/>
      <c r="GA234" s="445"/>
      <c r="GB234" s="445"/>
      <c r="GC234" s="445"/>
      <c r="GD234" s="445"/>
      <c r="GE234" s="445"/>
      <c r="GF234" s="445"/>
      <c r="GG234" s="445"/>
      <c r="GH234" s="445"/>
      <c r="GI234" s="445"/>
      <c r="GJ234" s="445"/>
      <c r="GK234" s="445"/>
      <c r="GL234" s="445"/>
      <c r="GM234" s="445"/>
      <c r="GN234" s="445"/>
      <c r="GO234" s="445"/>
      <c r="GP234" s="445"/>
      <c r="GQ234" s="445"/>
      <c r="GR234" s="445"/>
      <c r="GS234" s="445"/>
      <c r="GT234" s="445"/>
      <c r="GU234" s="445"/>
      <c r="GV234" s="445"/>
      <c r="GW234" s="445"/>
      <c r="GX234" s="445"/>
      <c r="GY234" s="445"/>
      <c r="GZ234" s="445"/>
      <c r="HA234" s="445"/>
      <c r="HB234" s="445"/>
      <c r="HC234" s="445"/>
      <c r="HD234" s="445"/>
      <c r="HE234" s="445"/>
      <c r="HF234" s="445"/>
      <c r="HG234" s="445"/>
      <c r="HH234" s="445"/>
      <c r="HI234" s="445"/>
      <c r="HJ234" s="445"/>
      <c r="HK234" s="445"/>
      <c r="HL234" s="445"/>
      <c r="HM234" s="445"/>
      <c r="HN234" s="445"/>
      <c r="HO234" s="445"/>
      <c r="HP234" s="445"/>
      <c r="HQ234" s="445"/>
      <c r="HR234" s="445"/>
      <c r="HS234" s="445"/>
      <c r="HT234" s="445"/>
      <c r="HU234" s="445"/>
      <c r="HV234" s="445"/>
      <c r="HW234" s="445"/>
      <c r="HX234" s="445"/>
      <c r="HY234" s="445"/>
      <c r="HZ234" s="445"/>
      <c r="IA234" s="445"/>
      <c r="IB234" s="445"/>
      <c r="IC234" s="445"/>
      <c r="ID234" s="445"/>
      <c r="IE234" s="445"/>
      <c r="IF234" s="445"/>
      <c r="IG234" s="445"/>
      <c r="IH234" s="445"/>
      <c r="II234" s="445"/>
      <c r="IJ234" s="445"/>
      <c r="IK234" s="445"/>
      <c r="IL234" s="445"/>
      <c r="IM234" s="445"/>
      <c r="IN234" s="445"/>
      <c r="IO234" s="445"/>
      <c r="IP234" s="445"/>
      <c r="IQ234" s="445"/>
      <c r="IR234" s="445"/>
      <c r="IS234" s="445"/>
      <c r="IT234" s="445"/>
      <c r="IU234" s="445"/>
      <c r="IV234" s="445"/>
      <c r="IW234" s="445"/>
      <c r="IX234" s="445"/>
      <c r="IY234" s="445"/>
      <c r="IZ234" s="445"/>
      <c r="JA234" s="445"/>
      <c r="JB234" s="445"/>
      <c r="JC234" s="445"/>
      <c r="JD234" s="445"/>
      <c r="JE234" s="445"/>
      <c r="JF234" s="445"/>
      <c r="JG234" s="445"/>
      <c r="JH234" s="445"/>
      <c r="JI234" s="445"/>
      <c r="JJ234" s="445"/>
      <c r="JK234" s="445"/>
      <c r="JL234" s="445"/>
      <c r="JM234" s="445"/>
      <c r="JN234" s="445"/>
      <c r="JO234" s="445"/>
      <c r="JP234" s="445"/>
      <c r="JQ234" s="445"/>
      <c r="JR234" s="445"/>
      <c r="JS234" s="445"/>
      <c r="JT234" s="445"/>
      <c r="JU234" s="445"/>
      <c r="JV234" s="445"/>
      <c r="JW234" s="2242"/>
      <c r="JX234" s="445"/>
      <c r="JY234" s="445"/>
      <c r="JZ234" s="445"/>
      <c r="KA234" s="445"/>
      <c r="KB234" s="2242"/>
      <c r="KC234" s="2242"/>
      <c r="KD234" s="2242"/>
      <c r="KE234" s="2242"/>
      <c r="KF234" s="2242"/>
      <c r="KG234" s="2242"/>
      <c r="KH234" s="2242"/>
      <c r="KI234" s="2242"/>
      <c r="KJ234" s="2242"/>
      <c r="KK234" s="2242"/>
      <c r="KL234" s="2242"/>
      <c r="KM234" s="2242"/>
      <c r="KN234" s="2242"/>
      <c r="KO234" s="2242"/>
      <c r="KP234" s="2242"/>
      <c r="KQ234" s="2242"/>
      <c r="KR234" s="2242"/>
      <c r="KS234" s="2242"/>
      <c r="KT234" s="2242"/>
      <c r="KU234" s="2242"/>
      <c r="KV234" s="2242"/>
      <c r="KW234" s="2242"/>
      <c r="KX234" s="2242"/>
      <c r="KY234" s="2242"/>
      <c r="KZ234" s="2242"/>
      <c r="LA234" s="2242"/>
      <c r="LB234" s="2242"/>
      <c r="LC234" s="2242"/>
      <c r="LD234" s="2242"/>
      <c r="LE234" s="2242"/>
      <c r="LF234" s="2242"/>
      <c r="LG234" s="2242"/>
      <c r="LH234" s="2242"/>
      <c r="LI234" s="2242"/>
      <c r="LJ234" s="2242"/>
      <c r="LK234" s="2242"/>
      <c r="LL234" s="2242"/>
      <c r="LM234" s="2242"/>
      <c r="LN234" s="2242"/>
      <c r="LO234" s="2242"/>
      <c r="LP234" s="2242"/>
      <c r="LQ234" s="2242"/>
      <c r="LR234" s="445"/>
      <c r="LS234" s="445"/>
      <c r="LT234" s="445"/>
      <c r="LU234" s="445"/>
      <c r="LV234" s="445"/>
      <c r="LW234" s="445"/>
      <c r="LX234" s="2243"/>
      <c r="LY234" s="445"/>
      <c r="LZ234" s="445"/>
      <c r="MA234" s="445"/>
      <c r="MB234" s="445"/>
      <c r="MC234" s="445"/>
      <c r="MD234" s="445"/>
      <c r="ME234" s="445"/>
      <c r="MF234" s="445"/>
      <c r="MG234" s="445"/>
      <c r="MH234" s="445"/>
      <c r="MI234" s="445"/>
      <c r="MJ234" s="445"/>
      <c r="MK234" s="445"/>
      <c r="ML234" s="445"/>
      <c r="MM234" s="445"/>
      <c r="MN234" s="2243"/>
      <c r="MO234" s="2243"/>
      <c r="MP234" s="445"/>
      <c r="MQ234" s="445"/>
      <c r="MR234" s="445"/>
      <c r="MS234" s="445"/>
      <c r="MT234" s="445"/>
      <c r="MU234" s="445"/>
      <c r="MV234" s="445"/>
      <c r="MW234" s="445"/>
      <c r="MX234" s="445"/>
      <c r="MY234" s="445"/>
      <c r="MZ234" s="445"/>
      <c r="NA234" s="445"/>
      <c r="NB234" s="445"/>
      <c r="NC234" s="445"/>
      <c r="ND234" s="445"/>
      <c r="NE234" s="94"/>
      <c r="NF234" s="94"/>
      <c r="NG234" s="94"/>
      <c r="NH234" s="94"/>
      <c r="NI234" s="94"/>
      <c r="NJ234" s="94"/>
      <c r="NK234" s="94"/>
      <c r="NL234" s="94"/>
      <c r="NM234" s="94"/>
      <c r="NN234" s="94"/>
      <c r="NO234" s="94"/>
      <c r="NP234" s="94"/>
      <c r="NQ234" s="94"/>
      <c r="NR234" s="94"/>
      <c r="NS234" s="94"/>
      <c r="NT234" s="94"/>
      <c r="NU234" s="94"/>
      <c r="NV234" s="94"/>
      <c r="NW234" s="94"/>
      <c r="NX234" s="94"/>
      <c r="NY234" s="94"/>
      <c r="NZ234" s="94"/>
      <c r="OA234" s="94"/>
      <c r="OB234" s="94"/>
      <c r="OC234" s="94"/>
      <c r="OD234" s="94"/>
      <c r="OE234" s="94"/>
      <c r="OF234" s="94"/>
      <c r="OG234" s="94"/>
      <c r="OH234" s="94"/>
      <c r="OI234" s="94"/>
      <c r="OJ234" s="94"/>
      <c r="OK234" s="94"/>
      <c r="OL234" s="94"/>
      <c r="OM234" s="94"/>
      <c r="ON234" s="94"/>
      <c r="OO234" s="94"/>
      <c r="OP234" s="94"/>
      <c r="OQ234" s="94"/>
      <c r="OR234" s="94"/>
      <c r="OS234" s="94"/>
      <c r="OT234" s="94"/>
      <c r="OU234" s="94"/>
      <c r="OV234" s="94"/>
      <c r="OW234" s="94"/>
      <c r="OX234" s="94"/>
      <c r="OY234" s="94"/>
      <c r="OZ234" s="94"/>
      <c r="PA234" s="94"/>
      <c r="PB234" s="94"/>
      <c r="PC234" s="94"/>
      <c r="PD234" s="94"/>
      <c r="PE234" s="94"/>
      <c r="PF234" s="94"/>
      <c r="PG234" s="94"/>
      <c r="PH234" s="94"/>
      <c r="PI234" s="94"/>
      <c r="PJ234" s="94"/>
      <c r="PK234" s="94"/>
      <c r="PL234" s="94"/>
      <c r="PM234" s="94"/>
      <c r="PN234" s="94"/>
      <c r="PO234" s="94"/>
      <c r="PP234" s="94"/>
      <c r="PQ234" s="94"/>
      <c r="PR234" s="94"/>
      <c r="PS234" s="94"/>
      <c r="PT234" s="94"/>
      <c r="PU234" s="94"/>
      <c r="PV234" s="94"/>
      <c r="PW234" s="94"/>
      <c r="PX234" s="94"/>
      <c r="PY234" s="94"/>
      <c r="PZ234" s="94"/>
      <c r="QA234" s="94"/>
      <c r="QB234" s="94"/>
      <c r="QC234" s="94"/>
      <c r="QD234" s="94"/>
      <c r="QE234" s="94"/>
      <c r="QF234" s="94"/>
      <c r="QG234" s="94"/>
      <c r="QH234" s="94"/>
      <c r="QI234" s="94"/>
      <c r="QJ234" s="94"/>
      <c r="QK234" s="94"/>
      <c r="QL234" s="94"/>
      <c r="QM234" s="94"/>
      <c r="QN234" s="94"/>
      <c r="QO234" s="94"/>
      <c r="QP234" s="94"/>
      <c r="QQ234" s="94"/>
      <c r="QR234" s="94"/>
      <c r="QS234" s="94"/>
      <c r="QT234" s="94"/>
      <c r="QU234" s="94"/>
      <c r="QV234" s="94"/>
      <c r="QW234" s="94"/>
      <c r="QX234" s="94"/>
      <c r="QY234" s="94"/>
      <c r="QZ234" s="94"/>
      <c r="RA234" s="94"/>
      <c r="RB234" s="94"/>
      <c r="RC234" s="94"/>
      <c r="RD234" s="94"/>
      <c r="RE234" s="94"/>
      <c r="RF234" s="94"/>
      <c r="RG234" s="94"/>
      <c r="RH234" s="94"/>
      <c r="RI234" s="94"/>
      <c r="RJ234" s="94"/>
      <c r="RK234" s="94"/>
      <c r="RL234" s="94"/>
      <c r="RM234" s="94"/>
      <c r="RN234" s="94"/>
      <c r="RO234" s="94"/>
      <c r="RP234" s="94"/>
      <c r="RQ234" s="94"/>
      <c r="RR234" s="94"/>
      <c r="RS234" s="94"/>
      <c r="RT234" s="94"/>
      <c r="RU234" s="94"/>
      <c r="RV234" s="94"/>
      <c r="RW234" s="94"/>
      <c r="RX234" s="94"/>
      <c r="RY234" s="94"/>
      <c r="RZ234" s="94"/>
      <c r="SA234" s="94"/>
      <c r="SB234" s="94"/>
      <c r="SC234" s="94"/>
      <c r="SD234" s="94"/>
      <c r="SE234" s="94"/>
      <c r="SF234" s="94"/>
      <c r="SG234" s="94"/>
      <c r="SH234" s="94"/>
      <c r="SI234" s="94"/>
    </row>
    <row r="235" spans="1:503" s="90" customFormat="1" ht="15.6" customHeight="1" thickTop="1">
      <c r="A235" s="1"/>
      <c r="B235" s="1"/>
      <c r="D235" s="1"/>
      <c r="E235" s="11" t="s">
        <v>187</v>
      </c>
      <c r="F235" s="2648">
        <f>SUM(F229:G234)</f>
        <v>14996</v>
      </c>
      <c r="G235" s="2649"/>
      <c r="H235" s="1"/>
      <c r="I235" s="1" t="s">
        <v>1342</v>
      </c>
      <c r="K235" s="452">
        <f>L235/12/P67</f>
        <v>0</v>
      </c>
      <c r="L235" s="4077"/>
      <c r="M235" s="4078"/>
      <c r="N235" s="2644"/>
      <c r="O235" s="2645" t="s">
        <v>3553</v>
      </c>
      <c r="P235" s="2646"/>
      <c r="Q235" s="2647"/>
      <c r="S235" s="3996"/>
      <c r="T235" s="3997"/>
      <c r="U235" s="3997"/>
      <c r="V235" s="3997"/>
      <c r="W235" s="3998"/>
      <c r="X235" s="443"/>
      <c r="Y235" s="445"/>
      <c r="Z235" s="445"/>
      <c r="AA235" s="445"/>
      <c r="AB235" s="445"/>
      <c r="AC235" s="443"/>
      <c r="AD235" s="445"/>
      <c r="AE235" s="445"/>
      <c r="AF235" s="445"/>
      <c r="AG235" s="445"/>
      <c r="AH235" s="443"/>
      <c r="AI235" s="445"/>
      <c r="AJ235" s="445"/>
      <c r="AK235" s="445"/>
      <c r="AL235" s="445"/>
      <c r="AM235" s="443"/>
      <c r="AN235" s="445"/>
      <c r="AO235" s="445"/>
      <c r="AP235" s="445"/>
      <c r="AQ235" s="445"/>
      <c r="AR235" s="445"/>
      <c r="AS235" s="445"/>
      <c r="AT235" s="445"/>
      <c r="AU235" s="445"/>
      <c r="AV235" s="445"/>
      <c r="AW235" s="445"/>
      <c r="AX235" s="445"/>
      <c r="AY235" s="445"/>
      <c r="AZ235" s="445"/>
      <c r="BA235" s="445"/>
      <c r="BB235" s="445"/>
      <c r="BC235" s="445"/>
      <c r="BD235" s="445"/>
      <c r="BE235" s="445"/>
      <c r="BF235" s="445"/>
      <c r="BG235" s="445"/>
      <c r="BH235" s="445"/>
      <c r="BI235" s="445"/>
      <c r="BJ235" s="445"/>
      <c r="BK235" s="445"/>
      <c r="BL235" s="445"/>
      <c r="BM235" s="445"/>
      <c r="BN235" s="445"/>
      <c r="BO235" s="445"/>
      <c r="BP235" s="445"/>
      <c r="BQ235" s="445"/>
      <c r="BR235" s="445"/>
      <c r="BS235" s="445"/>
      <c r="BT235" s="445"/>
      <c r="BU235" s="445"/>
      <c r="BV235" s="445"/>
      <c r="BW235" s="445"/>
      <c r="BX235" s="445"/>
      <c r="BY235" s="445"/>
      <c r="BZ235" s="445"/>
      <c r="CA235" s="445"/>
      <c r="CB235" s="445"/>
      <c r="CC235" s="445"/>
      <c r="CD235" s="445"/>
      <c r="CE235" s="445"/>
      <c r="CF235" s="445"/>
      <c r="CG235" s="445"/>
      <c r="CH235" s="445"/>
      <c r="CI235" s="445"/>
      <c r="CJ235" s="445"/>
      <c r="CK235" s="445"/>
      <c r="CL235" s="445"/>
      <c r="CM235" s="445"/>
      <c r="CN235" s="445"/>
      <c r="CO235" s="445"/>
      <c r="CP235" s="445"/>
      <c r="CQ235" s="445"/>
      <c r="CR235" s="445"/>
      <c r="CS235" s="445"/>
      <c r="CT235" s="445"/>
      <c r="CU235" s="445"/>
      <c r="CV235" s="445"/>
      <c r="CW235" s="445"/>
      <c r="CX235" s="445"/>
      <c r="CY235" s="445"/>
      <c r="CZ235" s="445"/>
      <c r="DA235" s="445"/>
      <c r="DB235" s="445"/>
      <c r="DC235" s="445"/>
      <c r="DD235" s="445"/>
      <c r="DE235" s="445"/>
      <c r="DF235" s="445"/>
      <c r="DG235" s="445"/>
      <c r="DH235" s="445"/>
      <c r="DI235" s="445"/>
      <c r="DJ235" s="445"/>
      <c r="DK235" s="445"/>
      <c r="DL235" s="445"/>
      <c r="DM235" s="445"/>
      <c r="DN235" s="445"/>
      <c r="DO235" s="445"/>
      <c r="DP235" s="445"/>
      <c r="DQ235" s="445"/>
      <c r="DR235" s="445"/>
      <c r="DS235" s="445"/>
      <c r="DT235" s="445"/>
      <c r="DU235" s="445"/>
      <c r="DV235" s="445"/>
      <c r="DW235" s="445"/>
      <c r="DX235" s="445"/>
      <c r="DY235" s="445"/>
      <c r="DZ235" s="445"/>
      <c r="EA235" s="445"/>
      <c r="EB235" s="445"/>
      <c r="EC235" s="445"/>
      <c r="ED235" s="445"/>
      <c r="EE235" s="445"/>
      <c r="EF235" s="445"/>
      <c r="EG235" s="445"/>
      <c r="EH235" s="445"/>
      <c r="EI235" s="445"/>
      <c r="EJ235" s="445"/>
      <c r="EK235" s="445"/>
      <c r="EL235" s="445"/>
      <c r="EM235" s="445"/>
      <c r="EN235" s="445"/>
      <c r="EO235" s="445"/>
      <c r="EP235" s="445"/>
      <c r="EQ235" s="445"/>
      <c r="ER235" s="445"/>
      <c r="ES235" s="445"/>
      <c r="ET235" s="445"/>
      <c r="EU235" s="445"/>
      <c r="EV235" s="445"/>
      <c r="EW235" s="445"/>
      <c r="EX235" s="445"/>
      <c r="EY235" s="445"/>
      <c r="EZ235" s="445"/>
      <c r="FA235" s="445"/>
      <c r="FB235" s="445"/>
      <c r="FC235" s="445"/>
      <c r="FD235" s="445"/>
      <c r="FE235" s="445"/>
      <c r="FF235" s="445"/>
      <c r="FG235" s="445"/>
      <c r="FH235" s="445"/>
      <c r="FI235" s="445"/>
      <c r="FJ235" s="445"/>
      <c r="FK235" s="445"/>
      <c r="FL235" s="445"/>
      <c r="FM235" s="445"/>
      <c r="FN235" s="445"/>
      <c r="FO235" s="445"/>
      <c r="FP235" s="445"/>
      <c r="FQ235" s="445"/>
      <c r="FR235" s="445"/>
      <c r="FS235" s="445"/>
      <c r="FT235" s="445"/>
      <c r="FU235" s="445"/>
      <c r="FV235" s="445"/>
      <c r="FW235" s="445"/>
      <c r="FX235" s="445"/>
      <c r="FY235" s="445"/>
      <c r="FZ235" s="445"/>
      <c r="GA235" s="445"/>
      <c r="GB235" s="445"/>
      <c r="GC235" s="445"/>
      <c r="GD235" s="445"/>
      <c r="GE235" s="445"/>
      <c r="GF235" s="445"/>
      <c r="GG235" s="445"/>
      <c r="GH235" s="445"/>
      <c r="GI235" s="445"/>
      <c r="GJ235" s="445"/>
      <c r="GK235" s="445"/>
      <c r="GL235" s="445"/>
      <c r="GM235" s="445"/>
      <c r="GN235" s="445"/>
      <c r="GO235" s="445"/>
      <c r="GP235" s="445"/>
      <c r="GQ235" s="445"/>
      <c r="GR235" s="445"/>
      <c r="GS235" s="445"/>
      <c r="GT235" s="445"/>
      <c r="GU235" s="445"/>
      <c r="GV235" s="445"/>
      <c r="GW235" s="445"/>
      <c r="GX235" s="445"/>
      <c r="GY235" s="445"/>
      <c r="GZ235" s="445"/>
      <c r="HA235" s="445"/>
      <c r="HB235" s="445"/>
      <c r="HC235" s="445"/>
      <c r="HD235" s="445"/>
      <c r="HE235" s="445"/>
      <c r="HF235" s="445"/>
      <c r="HG235" s="445"/>
      <c r="HH235" s="445"/>
      <c r="HI235" s="445"/>
      <c r="HJ235" s="445"/>
      <c r="HK235" s="445"/>
      <c r="HL235" s="445"/>
      <c r="HM235" s="445"/>
      <c r="HN235" s="445"/>
      <c r="HO235" s="445"/>
      <c r="HP235" s="445"/>
      <c r="HQ235" s="445"/>
      <c r="HR235" s="445"/>
      <c r="HS235" s="445"/>
      <c r="HT235" s="445"/>
      <c r="HU235" s="445"/>
      <c r="HV235" s="445"/>
      <c r="HW235" s="445"/>
      <c r="HX235" s="445"/>
      <c r="HY235" s="445"/>
      <c r="HZ235" s="445"/>
      <c r="IA235" s="445"/>
      <c r="IB235" s="445"/>
      <c r="IC235" s="445"/>
      <c r="ID235" s="445"/>
      <c r="IE235" s="445"/>
      <c r="IF235" s="445"/>
      <c r="IG235" s="445"/>
      <c r="IH235" s="445"/>
      <c r="II235" s="445"/>
      <c r="IJ235" s="445"/>
      <c r="IK235" s="445"/>
      <c r="IL235" s="445"/>
      <c r="IM235" s="445"/>
      <c r="IN235" s="445"/>
      <c r="IO235" s="445"/>
      <c r="IP235" s="445"/>
      <c r="IQ235" s="445"/>
      <c r="IR235" s="445"/>
      <c r="IS235" s="445"/>
      <c r="IT235" s="445"/>
      <c r="IU235" s="445"/>
      <c r="IV235" s="445"/>
      <c r="IW235" s="445"/>
      <c r="IX235" s="445"/>
      <c r="IY235" s="445"/>
      <c r="IZ235" s="445"/>
      <c r="JA235" s="445"/>
      <c r="JB235" s="445"/>
      <c r="JC235" s="445"/>
      <c r="JD235" s="445"/>
      <c r="JE235" s="445"/>
      <c r="JF235" s="445"/>
      <c r="JG235" s="445"/>
      <c r="JH235" s="445"/>
      <c r="JI235" s="445"/>
      <c r="JJ235" s="445"/>
      <c r="JK235" s="445"/>
      <c r="JL235" s="445"/>
      <c r="JM235" s="445"/>
      <c r="JN235" s="445"/>
      <c r="JO235" s="445"/>
      <c r="JP235" s="445"/>
      <c r="JQ235" s="445"/>
      <c r="JR235" s="445"/>
      <c r="JS235" s="445"/>
      <c r="JT235" s="445"/>
      <c r="JU235" s="445"/>
      <c r="JV235" s="445"/>
      <c r="JW235" s="2242"/>
      <c r="JX235" s="445"/>
      <c r="JY235" s="445"/>
      <c r="JZ235" s="445"/>
      <c r="KA235" s="445"/>
      <c r="KB235" s="2242"/>
      <c r="KC235" s="2242"/>
      <c r="KD235" s="2242"/>
      <c r="KE235" s="2242"/>
      <c r="KF235" s="2242"/>
      <c r="KG235" s="2242"/>
      <c r="KH235" s="2242"/>
      <c r="KI235" s="2242"/>
      <c r="KJ235" s="2242"/>
      <c r="KK235" s="2242"/>
      <c r="KL235" s="2242"/>
      <c r="KM235" s="2242"/>
      <c r="KN235" s="2242"/>
      <c r="KO235" s="2242"/>
      <c r="KP235" s="2242"/>
      <c r="KQ235" s="2242"/>
      <c r="KR235" s="2242"/>
      <c r="KS235" s="2242"/>
      <c r="KT235" s="2242"/>
      <c r="KU235" s="2242"/>
      <c r="KV235" s="2242"/>
      <c r="KW235" s="2242"/>
      <c r="KX235" s="2242"/>
      <c r="KY235" s="2242"/>
      <c r="KZ235" s="2242"/>
      <c r="LA235" s="2242"/>
      <c r="LB235" s="2242"/>
      <c r="LC235" s="2242"/>
      <c r="LD235" s="2242"/>
      <c r="LE235" s="2242"/>
      <c r="LF235" s="2242"/>
      <c r="LG235" s="2242"/>
      <c r="LH235" s="2242"/>
      <c r="LI235" s="2242"/>
      <c r="LJ235" s="2242"/>
      <c r="LK235" s="2242"/>
      <c r="LL235" s="2242"/>
      <c r="LM235" s="2242"/>
      <c r="LN235" s="2242"/>
      <c r="LO235" s="2242"/>
      <c r="LP235" s="2242"/>
      <c r="LQ235" s="2242"/>
      <c r="LR235" s="445"/>
      <c r="LS235" s="445"/>
      <c r="LT235" s="445"/>
      <c r="LU235" s="445"/>
      <c r="LV235" s="445"/>
      <c r="LW235" s="445"/>
      <c r="LX235" s="2243"/>
      <c r="LY235" s="445"/>
      <c r="LZ235" s="445"/>
      <c r="MA235" s="445"/>
      <c r="MB235" s="445"/>
      <c r="MC235" s="445"/>
      <c r="MD235" s="445"/>
      <c r="ME235" s="445"/>
      <c r="MF235" s="445"/>
      <c r="MG235" s="445"/>
      <c r="MH235" s="445"/>
      <c r="MI235" s="445"/>
      <c r="MJ235" s="445"/>
      <c r="MK235" s="445"/>
      <c r="ML235" s="445"/>
      <c r="MM235" s="445"/>
      <c r="MN235" s="2243"/>
      <c r="MO235" s="2243"/>
      <c r="MP235" s="445"/>
      <c r="MQ235" s="445"/>
      <c r="MR235" s="445"/>
      <c r="MS235" s="445"/>
      <c r="MT235" s="445"/>
      <c r="MU235" s="445"/>
      <c r="MV235" s="445"/>
      <c r="MW235" s="445"/>
      <c r="MX235" s="445"/>
      <c r="MY235" s="445"/>
      <c r="MZ235" s="445"/>
      <c r="NA235" s="445"/>
      <c r="NB235" s="445"/>
      <c r="NC235" s="445"/>
      <c r="ND235" s="445"/>
      <c r="NE235" s="94"/>
      <c r="NF235" s="94"/>
      <c r="NG235" s="94"/>
      <c r="NH235" s="94"/>
      <c r="NI235" s="94"/>
      <c r="NJ235" s="94"/>
      <c r="NK235" s="94"/>
      <c r="NL235" s="94"/>
      <c r="NM235" s="94"/>
      <c r="NN235" s="94"/>
      <c r="NO235" s="94"/>
      <c r="NP235" s="94"/>
      <c r="NQ235" s="94"/>
      <c r="NR235" s="94"/>
      <c r="NS235" s="94"/>
      <c r="NT235" s="94"/>
      <c r="NU235" s="94"/>
      <c r="NV235" s="94"/>
      <c r="NW235" s="94"/>
      <c r="NX235" s="94"/>
      <c r="NY235" s="94"/>
      <c r="NZ235" s="94"/>
      <c r="OA235" s="94"/>
      <c r="OB235" s="94"/>
      <c r="OC235" s="94"/>
      <c r="OD235" s="94"/>
      <c r="OE235" s="94"/>
      <c r="OF235" s="94"/>
      <c r="OG235" s="94"/>
      <c r="OH235" s="94"/>
      <c r="OI235" s="94"/>
      <c r="OJ235" s="94"/>
      <c r="OK235" s="94"/>
      <c r="OL235" s="94"/>
      <c r="OM235" s="94"/>
      <c r="ON235" s="94"/>
      <c r="OO235" s="94"/>
      <c r="OP235" s="94"/>
      <c r="OQ235" s="94"/>
      <c r="OR235" s="94"/>
      <c r="OS235" s="94"/>
      <c r="OT235" s="94"/>
      <c r="OU235" s="94"/>
      <c r="OV235" s="94"/>
      <c r="OW235" s="94"/>
      <c r="OX235" s="94"/>
      <c r="OY235" s="94"/>
      <c r="OZ235" s="94"/>
      <c r="PA235" s="94"/>
      <c r="PB235" s="94"/>
      <c r="PC235" s="94"/>
      <c r="PD235" s="94"/>
      <c r="PE235" s="94"/>
      <c r="PF235" s="94"/>
      <c r="PG235" s="94"/>
      <c r="PH235" s="94"/>
      <c r="PI235" s="94"/>
      <c r="PJ235" s="94"/>
      <c r="PK235" s="94"/>
      <c r="PL235" s="94"/>
      <c r="PM235" s="94"/>
      <c r="PN235" s="94"/>
      <c r="PO235" s="94"/>
      <c r="PP235" s="94"/>
      <c r="PQ235" s="94"/>
      <c r="PR235" s="94"/>
      <c r="PS235" s="94"/>
      <c r="PT235" s="94"/>
      <c r="PU235" s="94"/>
      <c r="PV235" s="94"/>
      <c r="PW235" s="94"/>
      <c r="PX235" s="94"/>
      <c r="PY235" s="94"/>
      <c r="PZ235" s="94"/>
      <c r="QA235" s="94"/>
      <c r="QB235" s="94"/>
      <c r="QC235" s="94"/>
      <c r="QD235" s="94"/>
      <c r="QE235" s="94"/>
      <c r="QF235" s="94"/>
      <c r="QG235" s="94"/>
      <c r="QH235" s="94"/>
      <c r="QI235" s="94"/>
      <c r="QJ235" s="94"/>
      <c r="QK235" s="94"/>
      <c r="QL235" s="94"/>
      <c r="QM235" s="94"/>
      <c r="QN235" s="94"/>
      <c r="QO235" s="94"/>
      <c r="QP235" s="94"/>
      <c r="QQ235" s="94"/>
      <c r="QR235" s="94"/>
      <c r="QS235" s="94"/>
      <c r="QT235" s="94"/>
      <c r="QU235" s="94"/>
      <c r="QV235" s="94"/>
      <c r="QW235" s="94"/>
      <c r="QX235" s="94"/>
      <c r="QY235" s="94"/>
      <c r="QZ235" s="94"/>
      <c r="RA235" s="94"/>
      <c r="RB235" s="94"/>
      <c r="RC235" s="94"/>
      <c r="RD235" s="94"/>
      <c r="RE235" s="94"/>
      <c r="RF235" s="94"/>
      <c r="RG235" s="94"/>
      <c r="RH235" s="94"/>
      <c r="RI235" s="94"/>
      <c r="RJ235" s="94"/>
      <c r="RK235" s="94"/>
      <c r="RL235" s="94"/>
      <c r="RM235" s="94"/>
      <c r="RN235" s="94"/>
      <c r="RO235" s="94"/>
      <c r="RP235" s="94"/>
      <c r="RQ235" s="94"/>
      <c r="RR235" s="94"/>
      <c r="RS235" s="94"/>
      <c r="RT235" s="94"/>
      <c r="RU235" s="94"/>
      <c r="RV235" s="94"/>
      <c r="RW235" s="94"/>
      <c r="RX235" s="94"/>
      <c r="RY235" s="94"/>
      <c r="RZ235" s="94"/>
      <c r="SA235" s="94"/>
      <c r="SB235" s="94"/>
      <c r="SC235" s="94"/>
      <c r="SD235" s="94"/>
      <c r="SE235" s="94"/>
      <c r="SF235" s="94"/>
      <c r="SG235" s="94"/>
      <c r="SH235" s="94"/>
      <c r="SI235" s="94"/>
    </row>
    <row r="236" spans="1:503" s="90" customFormat="1" ht="15" customHeight="1">
      <c r="A236" s="1"/>
      <c r="B236" s="1"/>
      <c r="C236" s="1"/>
      <c r="D236" s="11"/>
      <c r="E236" s="1"/>
      <c r="F236" s="12"/>
      <c r="G236" s="12"/>
      <c r="H236" s="1"/>
      <c r="I236" s="94" t="s">
        <v>4517</v>
      </c>
      <c r="K236" s="452">
        <f>L236/12/P67</f>
        <v>11.574074074074074</v>
      </c>
      <c r="L236" s="4077">
        <v>10000</v>
      </c>
      <c r="M236" s="4078"/>
      <c r="N236" s="2644"/>
      <c r="O236" s="947" t="s">
        <v>2634</v>
      </c>
      <c r="P236" s="834" t="s">
        <v>3633</v>
      </c>
      <c r="Q236" s="949" t="s">
        <v>3324</v>
      </c>
      <c r="R236" s="5"/>
      <c r="S236" s="3996"/>
      <c r="T236" s="3997"/>
      <c r="U236" s="3997"/>
      <c r="V236" s="3997"/>
      <c r="W236" s="3998"/>
      <c r="X236" s="445"/>
      <c r="Y236" s="445"/>
      <c r="Z236" s="445"/>
      <c r="AA236" s="445"/>
      <c r="AB236" s="445"/>
      <c r="AC236" s="445"/>
      <c r="AD236" s="445"/>
      <c r="AE236" s="445"/>
      <c r="AF236" s="445"/>
      <c r="AG236" s="445"/>
      <c r="AH236" s="445"/>
      <c r="AI236" s="445"/>
      <c r="AJ236" s="445"/>
      <c r="AK236" s="445"/>
      <c r="AL236" s="445"/>
      <c r="AM236" s="445"/>
      <c r="AN236" s="445"/>
      <c r="AO236" s="445"/>
      <c r="AP236" s="445"/>
      <c r="AQ236" s="445"/>
      <c r="AR236" s="445"/>
      <c r="AS236" s="445"/>
      <c r="AT236" s="445"/>
      <c r="AU236" s="445"/>
      <c r="AV236" s="445"/>
      <c r="AW236" s="445"/>
      <c r="AX236" s="445"/>
      <c r="AY236" s="445"/>
      <c r="AZ236" s="445"/>
      <c r="BA236" s="445"/>
      <c r="BB236" s="445"/>
      <c r="BC236" s="445"/>
      <c r="BD236" s="445"/>
      <c r="BE236" s="445"/>
      <c r="BF236" s="445"/>
      <c r="BG236" s="445"/>
      <c r="BH236" s="445"/>
      <c r="BI236" s="445"/>
      <c r="BJ236" s="445"/>
      <c r="BK236" s="445"/>
      <c r="BL236" s="445"/>
      <c r="BM236" s="445"/>
      <c r="BN236" s="445"/>
      <c r="BO236" s="445"/>
      <c r="BP236" s="445"/>
      <c r="BQ236" s="445"/>
      <c r="BR236" s="445"/>
      <c r="BS236" s="445"/>
      <c r="BT236" s="445"/>
      <c r="BU236" s="445"/>
      <c r="BV236" s="445"/>
      <c r="BW236" s="445"/>
      <c r="BX236" s="445"/>
      <c r="BY236" s="445"/>
      <c r="BZ236" s="445"/>
      <c r="CA236" s="445"/>
      <c r="CB236" s="445"/>
      <c r="CC236" s="445"/>
      <c r="CD236" s="445"/>
      <c r="CE236" s="445"/>
      <c r="CF236" s="445"/>
      <c r="CG236" s="445"/>
      <c r="CH236" s="445"/>
      <c r="CI236" s="445"/>
      <c r="CJ236" s="445"/>
      <c r="CK236" s="445"/>
      <c r="CL236" s="445"/>
      <c r="CM236" s="445"/>
      <c r="CN236" s="445"/>
      <c r="CO236" s="445"/>
      <c r="CP236" s="445"/>
      <c r="CQ236" s="445"/>
      <c r="CR236" s="445"/>
      <c r="CS236" s="445"/>
      <c r="CT236" s="445"/>
      <c r="CU236" s="445"/>
      <c r="CV236" s="445"/>
      <c r="CW236" s="445"/>
      <c r="CX236" s="445"/>
      <c r="CY236" s="445"/>
      <c r="CZ236" s="445"/>
      <c r="DA236" s="445"/>
      <c r="DB236" s="445"/>
      <c r="DC236" s="445"/>
      <c r="DD236" s="445"/>
      <c r="DE236" s="445"/>
      <c r="DF236" s="445"/>
      <c r="DG236" s="445"/>
      <c r="DH236" s="445"/>
      <c r="DI236" s="445"/>
      <c r="DJ236" s="445"/>
      <c r="DK236" s="445"/>
      <c r="DL236" s="445"/>
      <c r="DM236" s="445"/>
      <c r="DN236" s="445"/>
      <c r="DO236" s="445"/>
      <c r="DP236" s="445"/>
      <c r="DQ236" s="445"/>
      <c r="DR236" s="445"/>
      <c r="DS236" s="445"/>
      <c r="DT236" s="445"/>
      <c r="DU236" s="445"/>
      <c r="DV236" s="445"/>
      <c r="DW236" s="445"/>
      <c r="DX236" s="445"/>
      <c r="DY236" s="445"/>
      <c r="DZ236" s="445"/>
      <c r="EA236" s="445"/>
      <c r="EB236" s="445"/>
      <c r="EC236" s="445"/>
      <c r="ED236" s="445"/>
      <c r="EE236" s="445"/>
      <c r="EF236" s="445"/>
      <c r="EG236" s="445"/>
      <c r="EH236" s="445"/>
      <c r="EI236" s="445"/>
      <c r="EJ236" s="445"/>
      <c r="EK236" s="445"/>
      <c r="EL236" s="445"/>
      <c r="EM236" s="445"/>
      <c r="EN236" s="445"/>
      <c r="EO236" s="445"/>
      <c r="EP236" s="445"/>
      <c r="EQ236" s="445"/>
      <c r="ER236" s="445"/>
      <c r="ES236" s="445"/>
      <c r="ET236" s="445"/>
      <c r="EU236" s="445"/>
      <c r="EV236" s="445"/>
      <c r="EW236" s="445"/>
      <c r="EX236" s="445"/>
      <c r="EY236" s="445"/>
      <c r="EZ236" s="445"/>
      <c r="FA236" s="445"/>
      <c r="FB236" s="445"/>
      <c r="FC236" s="445"/>
      <c r="FD236" s="445"/>
      <c r="FE236" s="445"/>
      <c r="FF236" s="445"/>
      <c r="FG236" s="445"/>
      <c r="FH236" s="445"/>
      <c r="FI236" s="445"/>
      <c r="FJ236" s="445"/>
      <c r="FK236" s="445"/>
      <c r="FL236" s="445"/>
      <c r="FM236" s="445"/>
      <c r="FN236" s="445"/>
      <c r="FO236" s="445"/>
      <c r="FP236" s="445"/>
      <c r="FQ236" s="445"/>
      <c r="FR236" s="445"/>
      <c r="FS236" s="445"/>
      <c r="FT236" s="445"/>
      <c r="FU236" s="445"/>
      <c r="FV236" s="445"/>
      <c r="FW236" s="445"/>
      <c r="FX236" s="445"/>
      <c r="FY236" s="445"/>
      <c r="FZ236" s="445"/>
      <c r="GA236" s="445"/>
      <c r="GB236" s="445"/>
      <c r="GC236" s="445"/>
      <c r="GD236" s="445"/>
      <c r="GE236" s="445"/>
      <c r="GF236" s="445"/>
      <c r="GG236" s="445"/>
      <c r="GH236" s="445"/>
      <c r="GI236" s="445"/>
      <c r="GJ236" s="445"/>
      <c r="GK236" s="445"/>
      <c r="GL236" s="445"/>
      <c r="GM236" s="445"/>
      <c r="GN236" s="445"/>
      <c r="GO236" s="445"/>
      <c r="GP236" s="445"/>
      <c r="GQ236" s="445"/>
      <c r="GR236" s="445"/>
      <c r="GS236" s="445"/>
      <c r="GT236" s="445"/>
      <c r="GU236" s="445"/>
      <c r="GV236" s="445"/>
      <c r="GW236" s="445"/>
      <c r="GX236" s="445"/>
      <c r="GY236" s="445"/>
      <c r="GZ236" s="445"/>
      <c r="HA236" s="445"/>
      <c r="HB236" s="445"/>
      <c r="HC236" s="445"/>
      <c r="HD236" s="445"/>
      <c r="HE236" s="445"/>
      <c r="HF236" s="445"/>
      <c r="HG236" s="445"/>
      <c r="HH236" s="445"/>
      <c r="HI236" s="445"/>
      <c r="HJ236" s="445"/>
      <c r="HK236" s="445"/>
      <c r="HL236" s="445"/>
      <c r="HM236" s="445"/>
      <c r="HN236" s="445"/>
      <c r="HO236" s="445"/>
      <c r="HP236" s="445"/>
      <c r="HQ236" s="445"/>
      <c r="HR236" s="445"/>
      <c r="HS236" s="445"/>
      <c r="HT236" s="445"/>
      <c r="HU236" s="445"/>
      <c r="HV236" s="445"/>
      <c r="HW236" s="445"/>
      <c r="HX236" s="445"/>
      <c r="HY236" s="445"/>
      <c r="HZ236" s="445"/>
      <c r="IA236" s="445"/>
      <c r="IB236" s="445"/>
      <c r="IC236" s="445"/>
      <c r="ID236" s="445"/>
      <c r="IE236" s="445"/>
      <c r="IF236" s="445"/>
      <c r="IG236" s="445"/>
      <c r="IH236" s="445"/>
      <c r="II236" s="445"/>
      <c r="IJ236" s="445"/>
      <c r="IK236" s="445"/>
      <c r="IL236" s="445"/>
      <c r="IM236" s="445"/>
      <c r="IN236" s="445"/>
      <c r="IO236" s="445"/>
      <c r="IP236" s="445"/>
      <c r="IQ236" s="445"/>
      <c r="IR236" s="445"/>
      <c r="IS236" s="445"/>
      <c r="IT236" s="445"/>
      <c r="IU236" s="445"/>
      <c r="IV236" s="445"/>
      <c r="IW236" s="445"/>
      <c r="IX236" s="445"/>
      <c r="IY236" s="445"/>
      <c r="IZ236" s="445"/>
      <c r="JA236" s="445"/>
      <c r="JB236" s="445"/>
      <c r="JC236" s="445"/>
      <c r="JD236" s="445"/>
      <c r="JE236" s="445"/>
      <c r="JF236" s="445"/>
      <c r="JG236" s="445"/>
      <c r="JH236" s="445"/>
      <c r="JI236" s="445"/>
      <c r="JJ236" s="445"/>
      <c r="JK236" s="445"/>
      <c r="JL236" s="445"/>
      <c r="JM236" s="445"/>
      <c r="JN236" s="445"/>
      <c r="JO236" s="445"/>
      <c r="JP236" s="445"/>
      <c r="JQ236" s="445"/>
      <c r="JR236" s="445"/>
      <c r="JS236" s="445"/>
      <c r="JT236" s="445"/>
      <c r="JU236" s="445"/>
      <c r="JV236" s="445"/>
      <c r="JW236" s="2242"/>
      <c r="JX236" s="445"/>
      <c r="JY236" s="445"/>
      <c r="JZ236" s="445"/>
      <c r="KA236" s="445"/>
      <c r="KB236" s="2242"/>
      <c r="KC236" s="2242"/>
      <c r="KD236" s="2242"/>
      <c r="KE236" s="2242"/>
      <c r="KF236" s="2242"/>
      <c r="KG236" s="2242"/>
      <c r="KH236" s="2242"/>
      <c r="KI236" s="2242"/>
      <c r="KJ236" s="2242"/>
      <c r="KK236" s="2242"/>
      <c r="KL236" s="2242"/>
      <c r="KM236" s="2242"/>
      <c r="KN236" s="2242"/>
      <c r="KO236" s="2242"/>
      <c r="KP236" s="2242"/>
      <c r="KQ236" s="2242"/>
      <c r="KR236" s="2242"/>
      <c r="KS236" s="2242"/>
      <c r="KT236" s="2242"/>
      <c r="KU236" s="2242"/>
      <c r="KV236" s="2242"/>
      <c r="KW236" s="2242"/>
      <c r="KX236" s="2242"/>
      <c r="KY236" s="2242"/>
      <c r="KZ236" s="2242"/>
      <c r="LA236" s="2242"/>
      <c r="LB236" s="2242"/>
      <c r="LC236" s="2242"/>
      <c r="LD236" s="2242"/>
      <c r="LE236" s="2242"/>
      <c r="LF236" s="2242"/>
      <c r="LG236" s="2242"/>
      <c r="LH236" s="2242"/>
      <c r="LI236" s="2242"/>
      <c r="LJ236" s="2242"/>
      <c r="LK236" s="2242"/>
      <c r="LL236" s="2242"/>
      <c r="LM236" s="2242"/>
      <c r="LN236" s="2242"/>
      <c r="LO236" s="2242"/>
      <c r="LP236" s="2242"/>
      <c r="LQ236" s="2242"/>
      <c r="LR236" s="445"/>
      <c r="LS236" s="445"/>
      <c r="LT236" s="445"/>
      <c r="LU236" s="445"/>
      <c r="LV236" s="445"/>
      <c r="LW236" s="445"/>
      <c r="LX236" s="2243"/>
      <c r="LY236" s="445"/>
      <c r="LZ236" s="445"/>
      <c r="MA236" s="445"/>
      <c r="MB236" s="445"/>
      <c r="MC236" s="445"/>
      <c r="MD236" s="445"/>
      <c r="ME236" s="445"/>
      <c r="MF236" s="445"/>
      <c r="MG236" s="445"/>
      <c r="MH236" s="445"/>
      <c r="MI236" s="445"/>
      <c r="MJ236" s="445"/>
      <c r="MK236" s="445"/>
      <c r="ML236" s="445"/>
      <c r="MM236" s="445"/>
      <c r="MN236" s="2243"/>
      <c r="MO236" s="2243"/>
      <c r="MP236" s="445"/>
      <c r="MQ236" s="445"/>
      <c r="MR236" s="445"/>
      <c r="MS236" s="445"/>
      <c r="MT236" s="445"/>
      <c r="MU236" s="445"/>
      <c r="MV236" s="445"/>
      <c r="MW236" s="445"/>
      <c r="MX236" s="445"/>
      <c r="MY236" s="445"/>
      <c r="MZ236" s="445"/>
      <c r="NA236" s="445"/>
      <c r="NB236" s="445"/>
      <c r="NC236" s="445"/>
      <c r="ND236" s="445"/>
      <c r="NE236" s="94"/>
      <c r="NF236" s="94"/>
      <c r="NG236" s="94"/>
      <c r="NH236" s="94"/>
      <c r="NI236" s="94"/>
      <c r="NJ236" s="94"/>
      <c r="NK236" s="94"/>
      <c r="NL236" s="94"/>
      <c r="NM236" s="94"/>
      <c r="NN236" s="94"/>
      <c r="NO236" s="94"/>
      <c r="NP236" s="94"/>
      <c r="NQ236" s="94"/>
      <c r="NR236" s="94"/>
      <c r="NS236" s="94"/>
      <c r="NT236" s="94"/>
      <c r="NU236" s="94"/>
      <c r="NV236" s="94"/>
      <c r="NW236" s="94"/>
      <c r="NX236" s="94"/>
      <c r="NY236" s="94"/>
      <c r="NZ236" s="94"/>
      <c r="OA236" s="94"/>
      <c r="OB236" s="94"/>
      <c r="OC236" s="94"/>
      <c r="OD236" s="94"/>
      <c r="OE236" s="94"/>
      <c r="OF236" s="94"/>
      <c r="OG236" s="94"/>
      <c r="OH236" s="94"/>
      <c r="OI236" s="94"/>
      <c r="OJ236" s="94"/>
      <c r="OK236" s="94"/>
      <c r="OL236" s="94"/>
      <c r="OM236" s="94"/>
      <c r="ON236" s="94"/>
      <c r="OO236" s="94"/>
      <c r="OP236" s="94"/>
      <c r="OQ236" s="94"/>
      <c r="OR236" s="94"/>
      <c r="OS236" s="94"/>
      <c r="OT236" s="94"/>
      <c r="OU236" s="94"/>
      <c r="OV236" s="94"/>
      <c r="OW236" s="94"/>
      <c r="OX236" s="94"/>
      <c r="OY236" s="94"/>
      <c r="OZ236" s="94"/>
      <c r="PA236" s="94"/>
      <c r="PB236" s="94"/>
      <c r="PC236" s="94"/>
      <c r="PD236" s="94"/>
      <c r="PE236" s="94"/>
      <c r="PF236" s="94"/>
      <c r="PG236" s="94"/>
      <c r="PH236" s="94"/>
      <c r="PI236" s="94"/>
      <c r="PJ236" s="94"/>
      <c r="PK236" s="94"/>
      <c r="PL236" s="94"/>
      <c r="PM236" s="94"/>
      <c r="PN236" s="94"/>
      <c r="PO236" s="94"/>
      <c r="PP236" s="94"/>
      <c r="PQ236" s="94"/>
      <c r="PR236" s="94"/>
      <c r="PS236" s="94"/>
      <c r="PT236" s="94"/>
      <c r="PU236" s="94"/>
      <c r="PV236" s="94"/>
      <c r="PW236" s="94"/>
      <c r="PX236" s="94"/>
      <c r="PY236" s="94"/>
      <c r="PZ236" s="94"/>
      <c r="QA236" s="94"/>
      <c r="QB236" s="94"/>
      <c r="QC236" s="94"/>
      <c r="QD236" s="94"/>
      <c r="QE236" s="94"/>
      <c r="QF236" s="94"/>
      <c r="QG236" s="94"/>
      <c r="QH236" s="94"/>
      <c r="QI236" s="94"/>
      <c r="QJ236" s="94"/>
      <c r="QK236" s="94"/>
      <c r="QL236" s="94"/>
      <c r="QM236" s="94"/>
      <c r="QN236" s="94"/>
      <c r="QO236" s="94"/>
      <c r="QP236" s="94"/>
      <c r="QQ236" s="94"/>
      <c r="QR236" s="94"/>
      <c r="QS236" s="94"/>
      <c r="QT236" s="94"/>
      <c r="QU236" s="94"/>
      <c r="QV236" s="94"/>
      <c r="QW236" s="94"/>
      <c r="QX236" s="94"/>
      <c r="QY236" s="94"/>
      <c r="QZ236" s="94"/>
      <c r="RA236" s="94"/>
      <c r="RB236" s="94"/>
      <c r="RC236" s="94"/>
      <c r="RD236" s="94"/>
      <c r="RE236" s="94"/>
      <c r="RF236" s="94"/>
      <c r="RG236" s="94"/>
      <c r="RH236" s="94"/>
      <c r="RI236" s="94"/>
      <c r="RJ236" s="94"/>
      <c r="RK236" s="94"/>
      <c r="RL236" s="94"/>
      <c r="RM236" s="94"/>
      <c r="RN236" s="94"/>
      <c r="RO236" s="94"/>
      <c r="RP236" s="94"/>
      <c r="RQ236" s="94"/>
      <c r="RR236" s="94"/>
      <c r="RS236" s="94"/>
      <c r="RT236" s="94"/>
      <c r="RU236" s="94"/>
      <c r="RV236" s="94"/>
      <c r="RW236" s="94"/>
      <c r="RX236" s="94"/>
      <c r="RY236" s="94"/>
      <c r="RZ236" s="94"/>
      <c r="SA236" s="94"/>
      <c r="SB236" s="94"/>
      <c r="SC236" s="94"/>
      <c r="SD236" s="94"/>
      <c r="SE236" s="94"/>
      <c r="SF236" s="94"/>
      <c r="SG236" s="94"/>
      <c r="SH236" s="94"/>
      <c r="SI236" s="94"/>
    </row>
    <row r="237" spans="1:503" s="90" customFormat="1" ht="15.75" customHeight="1">
      <c r="A237" s="1"/>
      <c r="B237" s="10" t="s">
        <v>1267</v>
      </c>
      <c r="C237" s="1"/>
      <c r="D237" s="9"/>
      <c r="E237" s="1"/>
      <c r="F237" s="1"/>
      <c r="G237" s="1"/>
      <c r="H237" s="1"/>
      <c r="I237" s="1" t="s">
        <v>1344</v>
      </c>
      <c r="K237" s="1"/>
      <c r="L237" s="4077">
        <v>12000</v>
      </c>
      <c r="M237" s="4078"/>
      <c r="N237" s="2644"/>
      <c r="O237" s="598" t="s">
        <v>37</v>
      </c>
      <c r="P237" s="599"/>
      <c r="Q237" s="600"/>
      <c r="R237" s="838"/>
      <c r="S237" s="3996"/>
      <c r="T237" s="3997"/>
      <c r="U237" s="3997"/>
      <c r="V237" s="3997"/>
      <c r="W237" s="3998"/>
      <c r="X237" s="443"/>
      <c r="Y237" s="445"/>
      <c r="Z237" s="445"/>
      <c r="AA237" s="445"/>
      <c r="AB237" s="445"/>
      <c r="AC237" s="443"/>
      <c r="AD237" s="445"/>
      <c r="AE237" s="445"/>
      <c r="AF237" s="445"/>
      <c r="AG237" s="445"/>
      <c r="AH237" s="443"/>
      <c r="AI237" s="445"/>
      <c r="AJ237" s="445"/>
      <c r="AK237" s="445"/>
      <c r="AL237" s="445"/>
      <c r="AM237" s="443"/>
      <c r="AN237" s="445"/>
      <c r="AO237" s="445"/>
      <c r="AP237" s="445"/>
      <c r="AQ237" s="445"/>
      <c r="AR237" s="445"/>
      <c r="AS237" s="445"/>
      <c r="AT237" s="445"/>
      <c r="AU237" s="445"/>
      <c r="AV237" s="445"/>
      <c r="AW237" s="445"/>
      <c r="AX237" s="445"/>
      <c r="AY237" s="445"/>
      <c r="AZ237" s="445"/>
      <c r="BA237" s="445"/>
      <c r="BB237" s="445"/>
      <c r="BC237" s="445"/>
      <c r="BD237" s="445"/>
      <c r="BE237" s="445"/>
      <c r="BF237" s="445"/>
      <c r="BG237" s="445"/>
      <c r="BH237" s="445"/>
      <c r="BI237" s="445"/>
      <c r="BJ237" s="445"/>
      <c r="BK237" s="445"/>
      <c r="BL237" s="445"/>
      <c r="BM237" s="445"/>
      <c r="BN237" s="445"/>
      <c r="BO237" s="445"/>
      <c r="BP237" s="445"/>
      <c r="BQ237" s="445"/>
      <c r="BR237" s="445"/>
      <c r="BS237" s="445"/>
      <c r="BT237" s="445"/>
      <c r="BU237" s="445"/>
      <c r="BV237" s="445"/>
      <c r="BW237" s="445"/>
      <c r="BX237" s="445"/>
      <c r="BY237" s="445"/>
      <c r="BZ237" s="445"/>
      <c r="CA237" s="445"/>
      <c r="CB237" s="445"/>
      <c r="CC237" s="445"/>
      <c r="CD237" s="445"/>
      <c r="CE237" s="445"/>
      <c r="CF237" s="445"/>
      <c r="CG237" s="445"/>
      <c r="CH237" s="445"/>
      <c r="CI237" s="445"/>
      <c r="CJ237" s="445"/>
      <c r="CK237" s="445"/>
      <c r="CL237" s="445"/>
      <c r="CM237" s="445"/>
      <c r="CN237" s="445"/>
      <c r="CO237" s="445"/>
      <c r="CP237" s="445"/>
      <c r="CQ237" s="445"/>
      <c r="CR237" s="445"/>
      <c r="CS237" s="445"/>
      <c r="CT237" s="445"/>
      <c r="CU237" s="445"/>
      <c r="CV237" s="445"/>
      <c r="CW237" s="445"/>
      <c r="CX237" s="445"/>
      <c r="CY237" s="445"/>
      <c r="CZ237" s="445"/>
      <c r="DA237" s="445"/>
      <c r="DB237" s="445"/>
      <c r="DC237" s="445"/>
      <c r="DD237" s="445"/>
      <c r="DE237" s="445"/>
      <c r="DF237" s="445"/>
      <c r="DG237" s="445"/>
      <c r="DH237" s="445"/>
      <c r="DI237" s="445"/>
      <c r="DJ237" s="445"/>
      <c r="DK237" s="445"/>
      <c r="DL237" s="445"/>
      <c r="DM237" s="445"/>
      <c r="DN237" s="445"/>
      <c r="DO237" s="445"/>
      <c r="DP237" s="445"/>
      <c r="DQ237" s="445"/>
      <c r="DR237" s="445"/>
      <c r="DS237" s="445"/>
      <c r="DT237" s="445"/>
      <c r="DU237" s="445"/>
      <c r="DV237" s="445"/>
      <c r="DW237" s="445"/>
      <c r="DX237" s="445"/>
      <c r="DY237" s="445"/>
      <c r="DZ237" s="445"/>
      <c r="EA237" s="445"/>
      <c r="EB237" s="445"/>
      <c r="EC237" s="445"/>
      <c r="ED237" s="445"/>
      <c r="EE237" s="445"/>
      <c r="EF237" s="445"/>
      <c r="EG237" s="445"/>
      <c r="EH237" s="445"/>
      <c r="EI237" s="445"/>
      <c r="EJ237" s="445"/>
      <c r="EK237" s="445"/>
      <c r="EL237" s="445"/>
      <c r="EM237" s="445"/>
      <c r="EN237" s="445"/>
      <c r="EO237" s="445"/>
      <c r="EP237" s="445"/>
      <c r="EQ237" s="445"/>
      <c r="ER237" s="445"/>
      <c r="ES237" s="445"/>
      <c r="ET237" s="445"/>
      <c r="EU237" s="445"/>
      <c r="EV237" s="445"/>
      <c r="EW237" s="445"/>
      <c r="EX237" s="445"/>
      <c r="EY237" s="445"/>
      <c r="EZ237" s="445"/>
      <c r="FA237" s="445"/>
      <c r="FB237" s="445"/>
      <c r="FC237" s="445"/>
      <c r="FD237" s="445"/>
      <c r="FE237" s="445"/>
      <c r="FF237" s="445"/>
      <c r="FG237" s="445"/>
      <c r="FH237" s="445"/>
      <c r="FI237" s="445"/>
      <c r="FJ237" s="445"/>
      <c r="FK237" s="445"/>
      <c r="FL237" s="445"/>
      <c r="FM237" s="445"/>
      <c r="FN237" s="445"/>
      <c r="FO237" s="445"/>
      <c r="FP237" s="445"/>
      <c r="FQ237" s="445"/>
      <c r="FR237" s="445"/>
      <c r="FS237" s="445"/>
      <c r="FT237" s="445"/>
      <c r="FU237" s="445"/>
      <c r="FV237" s="445"/>
      <c r="FW237" s="445"/>
      <c r="FX237" s="445"/>
      <c r="FY237" s="445"/>
      <c r="FZ237" s="445"/>
      <c r="GA237" s="445"/>
      <c r="GB237" s="445"/>
      <c r="GC237" s="445"/>
      <c r="GD237" s="445"/>
      <c r="GE237" s="445"/>
      <c r="GF237" s="445"/>
      <c r="GG237" s="445"/>
      <c r="GH237" s="445"/>
      <c r="GI237" s="445"/>
      <c r="GJ237" s="445"/>
      <c r="GK237" s="445"/>
      <c r="GL237" s="445"/>
      <c r="GM237" s="445"/>
      <c r="GN237" s="445"/>
      <c r="GO237" s="445"/>
      <c r="GP237" s="445"/>
      <c r="GQ237" s="445"/>
      <c r="GR237" s="445"/>
      <c r="GS237" s="445"/>
      <c r="GT237" s="445"/>
      <c r="GU237" s="445"/>
      <c r="GV237" s="445"/>
      <c r="GW237" s="445"/>
      <c r="GX237" s="445"/>
      <c r="GY237" s="445"/>
      <c r="GZ237" s="445"/>
      <c r="HA237" s="445"/>
      <c r="HB237" s="445"/>
      <c r="HC237" s="445"/>
      <c r="HD237" s="445"/>
      <c r="HE237" s="445"/>
      <c r="HF237" s="445"/>
      <c r="HG237" s="445"/>
      <c r="HH237" s="445"/>
      <c r="HI237" s="445"/>
      <c r="HJ237" s="445"/>
      <c r="HK237" s="445"/>
      <c r="HL237" s="445"/>
      <c r="HM237" s="445"/>
      <c r="HN237" s="445"/>
      <c r="HO237" s="445"/>
      <c r="HP237" s="445"/>
      <c r="HQ237" s="445"/>
      <c r="HR237" s="445"/>
      <c r="HS237" s="445"/>
      <c r="HT237" s="445"/>
      <c r="HU237" s="445"/>
      <c r="HV237" s="445"/>
      <c r="HW237" s="445"/>
      <c r="HX237" s="445"/>
      <c r="HY237" s="445"/>
      <c r="HZ237" s="445"/>
      <c r="IA237" s="445"/>
      <c r="IB237" s="445"/>
      <c r="IC237" s="445"/>
      <c r="ID237" s="445"/>
      <c r="IE237" s="445"/>
      <c r="IF237" s="445"/>
      <c r="IG237" s="445"/>
      <c r="IH237" s="445"/>
      <c r="II237" s="445"/>
      <c r="IJ237" s="445"/>
      <c r="IK237" s="445"/>
      <c r="IL237" s="445"/>
      <c r="IM237" s="445"/>
      <c r="IN237" s="445"/>
      <c r="IO237" s="445"/>
      <c r="IP237" s="445"/>
      <c r="IQ237" s="445"/>
      <c r="IR237" s="445"/>
      <c r="IS237" s="445"/>
      <c r="IT237" s="445"/>
      <c r="IU237" s="445"/>
      <c r="IV237" s="445"/>
      <c r="IW237" s="445"/>
      <c r="IX237" s="445"/>
      <c r="IY237" s="445"/>
      <c r="IZ237" s="445"/>
      <c r="JA237" s="445"/>
      <c r="JB237" s="445"/>
      <c r="JC237" s="445"/>
      <c r="JD237" s="445"/>
      <c r="JE237" s="445"/>
      <c r="JF237" s="445"/>
      <c r="JG237" s="445"/>
      <c r="JH237" s="445"/>
      <c r="JI237" s="445"/>
      <c r="JJ237" s="445"/>
      <c r="JK237" s="445"/>
      <c r="JL237" s="445"/>
      <c r="JM237" s="445"/>
      <c r="JN237" s="445"/>
      <c r="JO237" s="445"/>
      <c r="JP237" s="445"/>
      <c r="JQ237" s="445"/>
      <c r="JR237" s="445"/>
      <c r="JS237" s="445"/>
      <c r="JT237" s="445"/>
      <c r="JU237" s="445"/>
      <c r="JV237" s="445"/>
      <c r="JW237" s="2242"/>
      <c r="JX237" s="445"/>
      <c r="JY237" s="445"/>
      <c r="JZ237" s="445"/>
      <c r="KA237" s="445"/>
      <c r="KB237" s="2242"/>
      <c r="KC237" s="2242"/>
      <c r="KD237" s="2242"/>
      <c r="KE237" s="2242"/>
      <c r="KF237" s="2242"/>
      <c r="KG237" s="2242"/>
      <c r="KH237" s="2242"/>
      <c r="KI237" s="2242"/>
      <c r="KJ237" s="2242"/>
      <c r="KK237" s="2242"/>
      <c r="KL237" s="2242"/>
      <c r="KM237" s="2242"/>
      <c r="KN237" s="2242"/>
      <c r="KO237" s="2242"/>
      <c r="KP237" s="2242"/>
      <c r="KQ237" s="2242"/>
      <c r="KR237" s="2242"/>
      <c r="KS237" s="2242"/>
      <c r="KT237" s="2242"/>
      <c r="KU237" s="2242"/>
      <c r="KV237" s="2242"/>
      <c r="KW237" s="2242"/>
      <c r="KX237" s="2242"/>
      <c r="KY237" s="2242"/>
      <c r="KZ237" s="2242"/>
      <c r="LA237" s="2242"/>
      <c r="LB237" s="2242"/>
      <c r="LC237" s="2242"/>
      <c r="LD237" s="2242"/>
      <c r="LE237" s="2242"/>
      <c r="LF237" s="2242"/>
      <c r="LG237" s="2242"/>
      <c r="LH237" s="2242"/>
      <c r="LI237" s="2242"/>
      <c r="LJ237" s="2242"/>
      <c r="LK237" s="2242"/>
      <c r="LL237" s="2242"/>
      <c r="LM237" s="2242"/>
      <c r="LN237" s="2242"/>
      <c r="LO237" s="2242"/>
      <c r="LP237" s="2242"/>
      <c r="LQ237" s="2242"/>
      <c r="LR237" s="445"/>
      <c r="LS237" s="445"/>
      <c r="LT237" s="445"/>
      <c r="LU237" s="445"/>
      <c r="LV237" s="445"/>
      <c r="LW237" s="445"/>
      <c r="LX237" s="2243"/>
      <c r="LY237" s="445"/>
      <c r="LZ237" s="445"/>
      <c r="MA237" s="445"/>
      <c r="MB237" s="445"/>
      <c r="MC237" s="445"/>
      <c r="MD237" s="445"/>
      <c r="ME237" s="445"/>
      <c r="MF237" s="445"/>
      <c r="MG237" s="445"/>
      <c r="MH237" s="445"/>
      <c r="MI237" s="445"/>
      <c r="MJ237" s="445"/>
      <c r="MK237" s="445"/>
      <c r="ML237" s="445"/>
      <c r="MM237" s="445"/>
      <c r="MN237" s="2243"/>
      <c r="MO237" s="2243"/>
      <c r="MP237" s="445"/>
      <c r="MQ237" s="445"/>
      <c r="MR237" s="445"/>
      <c r="MS237" s="445"/>
      <c r="MT237" s="445"/>
      <c r="MU237" s="445"/>
      <c r="MV237" s="445"/>
      <c r="MW237" s="445"/>
      <c r="MX237" s="445"/>
      <c r="MY237" s="445"/>
      <c r="MZ237" s="445"/>
      <c r="NA237" s="445"/>
      <c r="NB237" s="445"/>
      <c r="NC237" s="445"/>
      <c r="ND237" s="445"/>
      <c r="NE237" s="94"/>
      <c r="NF237" s="94"/>
      <c r="NG237" s="94"/>
      <c r="NH237" s="94"/>
      <c r="NI237" s="94"/>
      <c r="NJ237" s="94"/>
      <c r="NK237" s="94"/>
      <c r="NL237" s="94"/>
      <c r="NM237" s="94"/>
      <c r="NN237" s="94"/>
      <c r="NO237" s="94"/>
      <c r="NP237" s="94"/>
      <c r="NQ237" s="94"/>
      <c r="NR237" s="94"/>
      <c r="NS237" s="94"/>
      <c r="NT237" s="94"/>
      <c r="NU237" s="94"/>
      <c r="NV237" s="94"/>
      <c r="NW237" s="94"/>
      <c r="NX237" s="94"/>
      <c r="NY237" s="94"/>
      <c r="NZ237" s="94"/>
      <c r="OA237" s="94"/>
      <c r="OB237" s="94"/>
      <c r="OC237" s="94"/>
      <c r="OD237" s="94"/>
      <c r="OE237" s="94"/>
      <c r="OF237" s="94"/>
      <c r="OG237" s="94"/>
      <c r="OH237" s="94"/>
      <c r="OI237" s="94"/>
      <c r="OJ237" s="94"/>
      <c r="OK237" s="94"/>
      <c r="OL237" s="94"/>
      <c r="OM237" s="94"/>
      <c r="ON237" s="94"/>
      <c r="OO237" s="94"/>
      <c r="OP237" s="94"/>
      <c r="OQ237" s="94"/>
      <c r="OR237" s="94"/>
      <c r="OS237" s="94"/>
      <c r="OT237" s="94"/>
      <c r="OU237" s="94"/>
      <c r="OV237" s="94"/>
      <c r="OW237" s="94"/>
      <c r="OX237" s="94"/>
      <c r="OY237" s="94"/>
      <c r="OZ237" s="94"/>
      <c r="PA237" s="94"/>
      <c r="PB237" s="94"/>
      <c r="PC237" s="94"/>
      <c r="PD237" s="94"/>
      <c r="PE237" s="94"/>
      <c r="PF237" s="94"/>
      <c r="PG237" s="94"/>
      <c r="PH237" s="94"/>
      <c r="PI237" s="94"/>
      <c r="PJ237" s="94"/>
      <c r="PK237" s="94"/>
      <c r="PL237" s="94"/>
      <c r="PM237" s="94"/>
      <c r="PN237" s="94"/>
      <c r="PO237" s="94"/>
      <c r="PP237" s="94"/>
      <c r="PQ237" s="94"/>
      <c r="PR237" s="94"/>
      <c r="PS237" s="94"/>
      <c r="PT237" s="94"/>
      <c r="PU237" s="94"/>
      <c r="PV237" s="94"/>
      <c r="PW237" s="94"/>
      <c r="PX237" s="94"/>
      <c r="PY237" s="94"/>
      <c r="PZ237" s="94"/>
      <c r="QA237" s="94"/>
      <c r="QB237" s="94"/>
      <c r="QC237" s="94"/>
      <c r="QD237" s="94"/>
      <c r="QE237" s="94"/>
      <c r="QF237" s="94"/>
      <c r="QG237" s="94"/>
      <c r="QH237" s="94"/>
      <c r="QI237" s="94"/>
      <c r="QJ237" s="94"/>
      <c r="QK237" s="94"/>
      <c r="QL237" s="94"/>
      <c r="QM237" s="94"/>
      <c r="QN237" s="94"/>
      <c r="QO237" s="94"/>
      <c r="QP237" s="94"/>
      <c r="QQ237" s="94"/>
      <c r="QR237" s="94"/>
      <c r="QS237" s="94"/>
      <c r="QT237" s="94"/>
      <c r="QU237" s="94"/>
      <c r="QV237" s="94"/>
      <c r="QW237" s="94"/>
      <c r="QX237" s="94"/>
      <c r="QY237" s="94"/>
      <c r="QZ237" s="94"/>
      <c r="RA237" s="94"/>
      <c r="RB237" s="94"/>
      <c r="RC237" s="94"/>
      <c r="RD237" s="94"/>
      <c r="RE237" s="94"/>
      <c r="RF237" s="94"/>
      <c r="RG237" s="94"/>
      <c r="RH237" s="94"/>
      <c r="RI237" s="94"/>
      <c r="RJ237" s="94"/>
      <c r="RK237" s="94"/>
      <c r="RL237" s="94"/>
      <c r="RM237" s="94"/>
      <c r="RN237" s="94"/>
      <c r="RO237" s="94"/>
      <c r="RP237" s="94"/>
      <c r="RQ237" s="94"/>
      <c r="RR237" s="94"/>
      <c r="RS237" s="94"/>
      <c r="RT237" s="94"/>
      <c r="RU237" s="94"/>
      <c r="RV237" s="94"/>
      <c r="RW237" s="94"/>
      <c r="RX237" s="94"/>
      <c r="RY237" s="94"/>
      <c r="RZ237" s="94"/>
      <c r="SA237" s="94"/>
      <c r="SB237" s="94"/>
      <c r="SC237" s="94"/>
      <c r="SD237" s="94"/>
      <c r="SE237" s="94"/>
      <c r="SF237" s="94"/>
      <c r="SG237" s="94"/>
      <c r="SH237" s="94"/>
      <c r="SI237" s="94"/>
    </row>
    <row r="238" spans="1:503" s="90" customFormat="1" ht="15.6" customHeight="1" thickBot="1">
      <c r="A238" s="1"/>
      <c r="B238" s="1" t="s">
        <v>1571</v>
      </c>
      <c r="C238" s="1"/>
      <c r="D238" s="9"/>
      <c r="E238" s="1"/>
      <c r="F238" s="4085">
        <v>15500</v>
      </c>
      <c r="G238" s="4086"/>
      <c r="H238" s="1"/>
      <c r="I238" s="4079" t="s">
        <v>49</v>
      </c>
      <c r="J238" s="4080"/>
      <c r="K238" s="4081"/>
      <c r="L238" s="4082"/>
      <c r="M238" s="4083"/>
      <c r="N238" s="2644"/>
      <c r="O238" s="482" t="s">
        <v>3316</v>
      </c>
      <c r="P238" s="839" t="str">
        <f>CONCATENATE(SUM(MP48:MT48)," units x $",'DCA Underwriting Assumptions'!$Q$68," =")</f>
        <v>0 units x $350 =</v>
      </c>
      <c r="Q238" s="601">
        <f>SUM(MP48:MT48)*'DCA Underwriting Assumptions'!$Q$68</f>
        <v>0</v>
      </c>
      <c r="R238" s="4087"/>
      <c r="S238" s="3996"/>
      <c r="T238" s="3997"/>
      <c r="U238" s="3997"/>
      <c r="V238" s="3997"/>
      <c r="W238" s="3998"/>
      <c r="X238" s="443"/>
      <c r="Y238" s="445"/>
      <c r="Z238" s="445"/>
      <c r="AA238" s="445"/>
      <c r="AB238" s="445"/>
      <c r="AC238" s="443"/>
      <c r="AD238" s="445"/>
      <c r="AE238" s="445"/>
      <c r="AF238" s="445"/>
      <c r="AG238" s="445"/>
      <c r="AH238" s="443"/>
      <c r="AI238" s="445"/>
      <c r="AJ238" s="445"/>
      <c r="AK238" s="445"/>
      <c r="AL238" s="445"/>
      <c r="AM238" s="443"/>
      <c r="AN238" s="445"/>
      <c r="AO238" s="445"/>
      <c r="AP238" s="445"/>
      <c r="AQ238" s="445"/>
      <c r="AR238" s="445"/>
      <c r="AS238" s="445"/>
      <c r="AT238" s="445"/>
      <c r="AU238" s="445"/>
      <c r="AV238" s="445"/>
      <c r="AW238" s="445"/>
      <c r="AX238" s="445"/>
      <c r="AY238" s="445"/>
      <c r="AZ238" s="445"/>
      <c r="BA238" s="445"/>
      <c r="BB238" s="445"/>
      <c r="BC238" s="445"/>
      <c r="BD238" s="445"/>
      <c r="BE238" s="445"/>
      <c r="BF238" s="445"/>
      <c r="BG238" s="445"/>
      <c r="BH238" s="445"/>
      <c r="BI238" s="445"/>
      <c r="BJ238" s="445"/>
      <c r="BK238" s="445"/>
      <c r="BL238" s="445"/>
      <c r="BM238" s="445"/>
      <c r="BN238" s="445"/>
      <c r="BO238" s="445"/>
      <c r="BP238" s="445"/>
      <c r="BQ238" s="445"/>
      <c r="BR238" s="445"/>
      <c r="BS238" s="445"/>
      <c r="BT238" s="445"/>
      <c r="BU238" s="445"/>
      <c r="BV238" s="445"/>
      <c r="BW238" s="445"/>
      <c r="BX238" s="445"/>
      <c r="BY238" s="445"/>
      <c r="BZ238" s="445"/>
      <c r="CA238" s="445"/>
      <c r="CB238" s="445"/>
      <c r="CC238" s="445"/>
      <c r="CD238" s="445"/>
      <c r="CE238" s="445"/>
      <c r="CF238" s="445"/>
      <c r="CG238" s="445"/>
      <c r="CH238" s="445"/>
      <c r="CI238" s="445"/>
      <c r="CJ238" s="445"/>
      <c r="CK238" s="445"/>
      <c r="CL238" s="445"/>
      <c r="CM238" s="445"/>
      <c r="CN238" s="445"/>
      <c r="CO238" s="445"/>
      <c r="CP238" s="445"/>
      <c r="CQ238" s="445"/>
      <c r="CR238" s="445"/>
      <c r="CS238" s="445"/>
      <c r="CT238" s="445"/>
      <c r="CU238" s="445"/>
      <c r="CV238" s="445"/>
      <c r="CW238" s="445"/>
      <c r="CX238" s="445"/>
      <c r="CY238" s="445"/>
      <c r="CZ238" s="445"/>
      <c r="DA238" s="445"/>
      <c r="DB238" s="445"/>
      <c r="DC238" s="445"/>
      <c r="DD238" s="445"/>
      <c r="DE238" s="445"/>
      <c r="DF238" s="445"/>
      <c r="DG238" s="445"/>
      <c r="DH238" s="445"/>
      <c r="DI238" s="445"/>
      <c r="DJ238" s="445"/>
      <c r="DK238" s="445"/>
      <c r="DL238" s="445"/>
      <c r="DM238" s="445"/>
      <c r="DN238" s="445"/>
      <c r="DO238" s="445"/>
      <c r="DP238" s="445"/>
      <c r="DQ238" s="445"/>
      <c r="DR238" s="445"/>
      <c r="DS238" s="445"/>
      <c r="DT238" s="445"/>
      <c r="DU238" s="445"/>
      <c r="DV238" s="445"/>
      <c r="DW238" s="445"/>
      <c r="DX238" s="445"/>
      <c r="DY238" s="445"/>
      <c r="DZ238" s="445"/>
      <c r="EA238" s="445"/>
      <c r="EB238" s="445"/>
      <c r="EC238" s="445"/>
      <c r="ED238" s="445"/>
      <c r="EE238" s="445"/>
      <c r="EF238" s="445"/>
      <c r="EG238" s="445"/>
      <c r="EH238" s="445"/>
      <c r="EI238" s="445"/>
      <c r="EJ238" s="445"/>
      <c r="EK238" s="445"/>
      <c r="EL238" s="445"/>
      <c r="EM238" s="445"/>
      <c r="EN238" s="445"/>
      <c r="EO238" s="445"/>
      <c r="EP238" s="445"/>
      <c r="EQ238" s="445"/>
      <c r="ER238" s="445"/>
      <c r="ES238" s="445"/>
      <c r="ET238" s="445"/>
      <c r="EU238" s="445"/>
      <c r="EV238" s="445"/>
      <c r="EW238" s="445"/>
      <c r="EX238" s="445"/>
      <c r="EY238" s="445"/>
      <c r="EZ238" s="445"/>
      <c r="FA238" s="445"/>
      <c r="FB238" s="445"/>
      <c r="FC238" s="445"/>
      <c r="FD238" s="445"/>
      <c r="FE238" s="445"/>
      <c r="FF238" s="445"/>
      <c r="FG238" s="445"/>
      <c r="FH238" s="445"/>
      <c r="FI238" s="445"/>
      <c r="FJ238" s="445"/>
      <c r="FK238" s="445"/>
      <c r="FL238" s="445"/>
      <c r="FM238" s="445"/>
      <c r="FN238" s="445"/>
      <c r="FO238" s="445"/>
      <c r="FP238" s="445"/>
      <c r="FQ238" s="445"/>
      <c r="FR238" s="445"/>
      <c r="FS238" s="445"/>
      <c r="FT238" s="445"/>
      <c r="FU238" s="445"/>
      <c r="FV238" s="445"/>
      <c r="FW238" s="445"/>
      <c r="FX238" s="445"/>
      <c r="FY238" s="445"/>
      <c r="FZ238" s="445"/>
      <c r="GA238" s="445"/>
      <c r="GB238" s="445"/>
      <c r="GC238" s="445"/>
      <c r="GD238" s="445"/>
      <c r="GE238" s="445"/>
      <c r="GF238" s="445"/>
      <c r="GG238" s="445"/>
      <c r="GH238" s="445"/>
      <c r="GI238" s="445"/>
      <c r="GJ238" s="445"/>
      <c r="GK238" s="445"/>
      <c r="GL238" s="445"/>
      <c r="GM238" s="445"/>
      <c r="GN238" s="445"/>
      <c r="GO238" s="445"/>
      <c r="GP238" s="445"/>
      <c r="GQ238" s="445"/>
      <c r="GR238" s="445"/>
      <c r="GS238" s="445"/>
      <c r="GT238" s="445"/>
      <c r="GU238" s="445"/>
      <c r="GV238" s="445"/>
      <c r="GW238" s="445"/>
      <c r="GX238" s="445"/>
      <c r="GY238" s="445"/>
      <c r="GZ238" s="445"/>
      <c r="HA238" s="445"/>
      <c r="HB238" s="445"/>
      <c r="HC238" s="445"/>
      <c r="HD238" s="445"/>
      <c r="HE238" s="445"/>
      <c r="HF238" s="445"/>
      <c r="HG238" s="445"/>
      <c r="HH238" s="445"/>
      <c r="HI238" s="445"/>
      <c r="HJ238" s="445"/>
      <c r="HK238" s="445"/>
      <c r="HL238" s="445"/>
      <c r="HM238" s="445"/>
      <c r="HN238" s="445"/>
      <c r="HO238" s="445"/>
      <c r="HP238" s="445"/>
      <c r="HQ238" s="445"/>
      <c r="HR238" s="445"/>
      <c r="HS238" s="445"/>
      <c r="HT238" s="445"/>
      <c r="HU238" s="445"/>
      <c r="HV238" s="445"/>
      <c r="HW238" s="445"/>
      <c r="HX238" s="445"/>
      <c r="HY238" s="445"/>
      <c r="HZ238" s="445"/>
      <c r="IA238" s="445"/>
      <c r="IB238" s="445"/>
      <c r="IC238" s="445"/>
      <c r="ID238" s="445"/>
      <c r="IE238" s="445"/>
      <c r="IF238" s="445"/>
      <c r="IG238" s="445"/>
      <c r="IH238" s="445"/>
      <c r="II238" s="445"/>
      <c r="IJ238" s="445"/>
      <c r="IK238" s="445"/>
      <c r="IL238" s="445"/>
      <c r="IM238" s="445"/>
      <c r="IN238" s="445"/>
      <c r="IO238" s="445"/>
      <c r="IP238" s="445"/>
      <c r="IQ238" s="445"/>
      <c r="IR238" s="445"/>
      <c r="IS238" s="445"/>
      <c r="IT238" s="445"/>
      <c r="IU238" s="445"/>
      <c r="IV238" s="445"/>
      <c r="IW238" s="445"/>
      <c r="IX238" s="445"/>
      <c r="IY238" s="445"/>
      <c r="IZ238" s="445"/>
      <c r="JA238" s="445"/>
      <c r="JB238" s="445"/>
      <c r="JC238" s="445"/>
      <c r="JD238" s="445"/>
      <c r="JE238" s="445"/>
      <c r="JF238" s="445"/>
      <c r="JG238" s="445"/>
      <c r="JH238" s="445"/>
      <c r="JI238" s="445"/>
      <c r="JJ238" s="445"/>
      <c r="JK238" s="445"/>
      <c r="JL238" s="445"/>
      <c r="JM238" s="445"/>
      <c r="JN238" s="445"/>
      <c r="JO238" s="445"/>
      <c r="JP238" s="445"/>
      <c r="JQ238" s="445"/>
      <c r="JR238" s="445"/>
      <c r="JS238" s="445"/>
      <c r="JT238" s="445"/>
      <c r="JU238" s="445"/>
      <c r="JV238" s="445"/>
      <c r="JW238" s="2242"/>
      <c r="JX238" s="445"/>
      <c r="JY238" s="445"/>
      <c r="JZ238" s="445"/>
      <c r="KA238" s="445"/>
      <c r="KB238" s="2242"/>
      <c r="KC238" s="2242"/>
      <c r="KD238" s="2242"/>
      <c r="KE238" s="2242"/>
      <c r="KF238" s="2242"/>
      <c r="KG238" s="2242"/>
      <c r="KH238" s="2242"/>
      <c r="KI238" s="2242"/>
      <c r="KJ238" s="2242"/>
      <c r="KK238" s="2242"/>
      <c r="KL238" s="2242"/>
      <c r="KM238" s="2242"/>
      <c r="KN238" s="2242"/>
      <c r="KO238" s="2242"/>
      <c r="KP238" s="2242"/>
      <c r="KQ238" s="2242"/>
      <c r="KR238" s="2242"/>
      <c r="KS238" s="2242"/>
      <c r="KT238" s="2242"/>
      <c r="KU238" s="2242"/>
      <c r="KV238" s="2242"/>
      <c r="KW238" s="2242"/>
      <c r="KX238" s="2242"/>
      <c r="KY238" s="2242"/>
      <c r="KZ238" s="2242"/>
      <c r="LA238" s="2242"/>
      <c r="LB238" s="2242"/>
      <c r="LC238" s="2242"/>
      <c r="LD238" s="2242"/>
      <c r="LE238" s="2242"/>
      <c r="LF238" s="2242"/>
      <c r="LG238" s="2242"/>
      <c r="LH238" s="2242"/>
      <c r="LI238" s="2242"/>
      <c r="LJ238" s="2242"/>
      <c r="LK238" s="2242"/>
      <c r="LL238" s="2242"/>
      <c r="LM238" s="2242"/>
      <c r="LN238" s="2242"/>
      <c r="LO238" s="2242"/>
      <c r="LP238" s="2242"/>
      <c r="LQ238" s="2242"/>
      <c r="LR238" s="445"/>
      <c r="LS238" s="445"/>
      <c r="LT238" s="445"/>
      <c r="LU238" s="445"/>
      <c r="LV238" s="445"/>
      <c r="LW238" s="445"/>
      <c r="LX238" s="2243"/>
      <c r="LY238" s="445"/>
      <c r="LZ238" s="445"/>
      <c r="MA238" s="445"/>
      <c r="MB238" s="445"/>
      <c r="MC238" s="445"/>
      <c r="MD238" s="445"/>
      <c r="ME238" s="445"/>
      <c r="MF238" s="445"/>
      <c r="MG238" s="445"/>
      <c r="MH238" s="445"/>
      <c r="MI238" s="445"/>
      <c r="MJ238" s="445"/>
      <c r="MK238" s="445"/>
      <c r="ML238" s="445"/>
      <c r="MM238" s="445"/>
      <c r="MN238" s="2243"/>
      <c r="MO238" s="2243"/>
      <c r="MP238" s="445"/>
      <c r="MQ238" s="445"/>
      <c r="MR238" s="445"/>
      <c r="MS238" s="445"/>
      <c r="MT238" s="445"/>
      <c r="MU238" s="445"/>
      <c r="MV238" s="445"/>
      <c r="MW238" s="445"/>
      <c r="MX238" s="445"/>
      <c r="MY238" s="445"/>
      <c r="MZ238" s="445"/>
      <c r="NA238" s="445"/>
      <c r="NB238" s="445"/>
      <c r="NC238" s="445"/>
      <c r="ND238" s="445"/>
      <c r="NE238" s="94"/>
      <c r="NF238" s="94"/>
      <c r="NG238" s="94"/>
      <c r="NH238" s="94"/>
      <c r="NI238" s="94"/>
      <c r="NJ238" s="94"/>
      <c r="NK238" s="94"/>
      <c r="NL238" s="94"/>
      <c r="NM238" s="94"/>
      <c r="NN238" s="94"/>
      <c r="NO238" s="94"/>
      <c r="NP238" s="94"/>
      <c r="NQ238" s="94"/>
      <c r="NR238" s="94"/>
      <c r="NS238" s="94"/>
      <c r="NT238" s="94"/>
      <c r="NU238" s="94"/>
      <c r="NV238" s="94"/>
      <c r="NW238" s="94"/>
      <c r="NX238" s="94"/>
      <c r="NY238" s="94"/>
      <c r="NZ238" s="94"/>
      <c r="OA238" s="94"/>
      <c r="OB238" s="94"/>
      <c r="OC238" s="94"/>
      <c r="OD238" s="94"/>
      <c r="OE238" s="94"/>
      <c r="OF238" s="94"/>
      <c r="OG238" s="94"/>
      <c r="OH238" s="94"/>
      <c r="OI238" s="94"/>
      <c r="OJ238" s="94"/>
      <c r="OK238" s="94"/>
      <c r="OL238" s="94"/>
      <c r="OM238" s="94"/>
      <c r="ON238" s="94"/>
      <c r="OO238" s="94"/>
      <c r="OP238" s="94"/>
      <c r="OQ238" s="94"/>
      <c r="OR238" s="94"/>
      <c r="OS238" s="94"/>
      <c r="OT238" s="94"/>
      <c r="OU238" s="94"/>
      <c r="OV238" s="94"/>
      <c r="OW238" s="94"/>
      <c r="OX238" s="94"/>
      <c r="OY238" s="94"/>
      <c r="OZ238" s="94"/>
      <c r="PA238" s="94"/>
      <c r="PB238" s="94"/>
      <c r="PC238" s="94"/>
      <c r="PD238" s="94"/>
      <c r="PE238" s="94"/>
      <c r="PF238" s="94"/>
      <c r="PG238" s="94"/>
      <c r="PH238" s="94"/>
      <c r="PI238" s="94"/>
      <c r="PJ238" s="94"/>
      <c r="PK238" s="94"/>
      <c r="PL238" s="94"/>
      <c r="PM238" s="94"/>
      <c r="PN238" s="94"/>
      <c r="PO238" s="94"/>
      <c r="PP238" s="94"/>
      <c r="PQ238" s="94"/>
      <c r="PR238" s="94"/>
      <c r="PS238" s="94"/>
      <c r="PT238" s="94"/>
      <c r="PU238" s="94"/>
      <c r="PV238" s="94"/>
      <c r="PW238" s="94"/>
      <c r="PX238" s="94"/>
      <c r="PY238" s="94"/>
      <c r="PZ238" s="94"/>
      <c r="QA238" s="94"/>
      <c r="QB238" s="94"/>
      <c r="QC238" s="94"/>
      <c r="QD238" s="94"/>
      <c r="QE238" s="94"/>
      <c r="QF238" s="94"/>
      <c r="QG238" s="94"/>
      <c r="QH238" s="94"/>
      <c r="QI238" s="94"/>
      <c r="QJ238" s="94"/>
      <c r="QK238" s="94"/>
      <c r="QL238" s="94"/>
      <c r="QM238" s="94"/>
      <c r="QN238" s="94"/>
      <c r="QO238" s="94"/>
      <c r="QP238" s="94"/>
      <c r="QQ238" s="94"/>
      <c r="QR238" s="94"/>
      <c r="QS238" s="94"/>
      <c r="QT238" s="94"/>
      <c r="QU238" s="94"/>
      <c r="QV238" s="94"/>
      <c r="QW238" s="94"/>
      <c r="QX238" s="94"/>
      <c r="QY238" s="94"/>
      <c r="QZ238" s="94"/>
      <c r="RA238" s="94"/>
      <c r="RB238" s="94"/>
      <c r="RC238" s="94"/>
      <c r="RD238" s="94"/>
      <c r="RE238" s="94"/>
      <c r="RF238" s="94"/>
      <c r="RG238" s="94"/>
      <c r="RH238" s="94"/>
      <c r="RI238" s="94"/>
      <c r="RJ238" s="94"/>
      <c r="RK238" s="94"/>
      <c r="RL238" s="94"/>
      <c r="RM238" s="94"/>
      <c r="RN238" s="94"/>
      <c r="RO238" s="94"/>
      <c r="RP238" s="94"/>
      <c r="RQ238" s="94"/>
      <c r="RR238" s="94"/>
      <c r="RS238" s="94"/>
      <c r="RT238" s="94"/>
      <c r="RU238" s="94"/>
      <c r="RV238" s="94"/>
      <c r="RW238" s="94"/>
      <c r="RX238" s="94"/>
      <c r="RY238" s="94"/>
      <c r="RZ238" s="94"/>
      <c r="SA238" s="94"/>
      <c r="SB238" s="94"/>
      <c r="SC238" s="94"/>
      <c r="SD238" s="94"/>
      <c r="SE238" s="94"/>
      <c r="SF238" s="94"/>
      <c r="SG238" s="94"/>
      <c r="SH238" s="94"/>
      <c r="SI238" s="94"/>
    </row>
    <row r="239" spans="1:503" s="90" customFormat="1" ht="15.6" customHeight="1" thickTop="1">
      <c r="A239" s="1"/>
      <c r="B239" s="1" t="s">
        <v>1572</v>
      </c>
      <c r="C239" s="1"/>
      <c r="D239" s="9"/>
      <c r="E239" s="1"/>
      <c r="F239" s="4088">
        <v>15000</v>
      </c>
      <c r="G239" s="4089"/>
      <c r="H239" s="1"/>
      <c r="I239" s="1"/>
      <c r="K239" s="11" t="s">
        <v>187</v>
      </c>
      <c r="L239" s="2650">
        <f>SUM(L234:L238)</f>
        <v>32000</v>
      </c>
      <c r="M239" s="2652"/>
      <c r="N239" s="2644"/>
      <c r="O239" s="482" t="s">
        <v>3315</v>
      </c>
      <c r="P239" s="839" t="str">
        <f>CONCATENATE(SUM(MU48:MY48)," units x $",'DCA Underwriting Assumptions'!$Q$69," =")</f>
        <v>72 units x $250 =</v>
      </c>
      <c r="Q239" s="601">
        <f>SUM(MU48:MY48)*'DCA Underwriting Assumptions'!$Q$69</f>
        <v>18000</v>
      </c>
      <c r="S239" s="3996"/>
      <c r="T239" s="3997"/>
      <c r="U239" s="3997"/>
      <c r="V239" s="3997"/>
      <c r="W239" s="3998"/>
      <c r="X239" s="443"/>
      <c r="Y239" s="445"/>
      <c r="Z239" s="445"/>
      <c r="AA239" s="445"/>
      <c r="AB239" s="445"/>
      <c r="AC239" s="443"/>
      <c r="AD239" s="445"/>
      <c r="AE239" s="445"/>
      <c r="AF239" s="445"/>
      <c r="AG239" s="445"/>
      <c r="AH239" s="443"/>
      <c r="AI239" s="445"/>
      <c r="AJ239" s="445"/>
      <c r="AK239" s="445"/>
      <c r="AL239" s="445"/>
      <c r="AM239" s="443"/>
      <c r="AN239" s="445"/>
      <c r="AO239" s="445"/>
      <c r="AP239" s="445"/>
      <c r="AQ239" s="445"/>
      <c r="AR239" s="445"/>
      <c r="AS239" s="445"/>
      <c r="AT239" s="445"/>
      <c r="AU239" s="445"/>
      <c r="AV239" s="445"/>
      <c r="AW239" s="445"/>
      <c r="AX239" s="445"/>
      <c r="AY239" s="445"/>
      <c r="AZ239" s="445"/>
      <c r="BA239" s="445"/>
      <c r="BB239" s="445"/>
      <c r="BC239" s="445"/>
      <c r="BD239" s="445"/>
      <c r="BE239" s="445"/>
      <c r="BF239" s="445"/>
      <c r="BG239" s="445"/>
      <c r="BH239" s="445"/>
      <c r="BI239" s="445"/>
      <c r="BJ239" s="445"/>
      <c r="BK239" s="445"/>
      <c r="BL239" s="445"/>
      <c r="BM239" s="445"/>
      <c r="BN239" s="445"/>
      <c r="BO239" s="445"/>
      <c r="BP239" s="445"/>
      <c r="BQ239" s="445"/>
      <c r="BR239" s="445"/>
      <c r="BS239" s="445"/>
      <c r="BT239" s="445"/>
      <c r="BU239" s="445"/>
      <c r="BV239" s="445"/>
      <c r="BW239" s="445"/>
      <c r="BX239" s="445"/>
      <c r="BY239" s="445"/>
      <c r="BZ239" s="445"/>
      <c r="CA239" s="445"/>
      <c r="CB239" s="445"/>
      <c r="CC239" s="445"/>
      <c r="CD239" s="445"/>
      <c r="CE239" s="445"/>
      <c r="CF239" s="445"/>
      <c r="CG239" s="445"/>
      <c r="CH239" s="445"/>
      <c r="CI239" s="445"/>
      <c r="CJ239" s="445"/>
      <c r="CK239" s="445"/>
      <c r="CL239" s="445"/>
      <c r="CM239" s="445"/>
      <c r="CN239" s="445"/>
      <c r="CO239" s="445"/>
      <c r="CP239" s="445"/>
      <c r="CQ239" s="445"/>
      <c r="CR239" s="445"/>
      <c r="CS239" s="445"/>
      <c r="CT239" s="445"/>
      <c r="CU239" s="445"/>
      <c r="CV239" s="445"/>
      <c r="CW239" s="445"/>
      <c r="CX239" s="445"/>
      <c r="CY239" s="445"/>
      <c r="CZ239" s="445"/>
      <c r="DA239" s="445"/>
      <c r="DB239" s="445"/>
      <c r="DC239" s="445"/>
      <c r="DD239" s="445"/>
      <c r="DE239" s="445"/>
      <c r="DF239" s="445"/>
      <c r="DG239" s="445"/>
      <c r="DH239" s="445"/>
      <c r="DI239" s="445"/>
      <c r="DJ239" s="445"/>
      <c r="DK239" s="445"/>
      <c r="DL239" s="445"/>
      <c r="DM239" s="445"/>
      <c r="DN239" s="445"/>
      <c r="DO239" s="445"/>
      <c r="DP239" s="445"/>
      <c r="DQ239" s="445"/>
      <c r="DR239" s="445"/>
      <c r="DS239" s="445"/>
      <c r="DT239" s="445"/>
      <c r="DU239" s="445"/>
      <c r="DV239" s="445"/>
      <c r="DW239" s="445"/>
      <c r="DX239" s="445"/>
      <c r="DY239" s="445"/>
      <c r="DZ239" s="445"/>
      <c r="EA239" s="445"/>
      <c r="EB239" s="445"/>
      <c r="EC239" s="445"/>
      <c r="ED239" s="445"/>
      <c r="EE239" s="445"/>
      <c r="EF239" s="445"/>
      <c r="EG239" s="445"/>
      <c r="EH239" s="445"/>
      <c r="EI239" s="445"/>
      <c r="EJ239" s="445"/>
      <c r="EK239" s="445"/>
      <c r="EL239" s="445"/>
      <c r="EM239" s="445"/>
      <c r="EN239" s="445"/>
      <c r="EO239" s="445"/>
      <c r="EP239" s="445"/>
      <c r="EQ239" s="445"/>
      <c r="ER239" s="445"/>
      <c r="ES239" s="445"/>
      <c r="ET239" s="445"/>
      <c r="EU239" s="445"/>
      <c r="EV239" s="445"/>
      <c r="EW239" s="445"/>
      <c r="EX239" s="445"/>
      <c r="EY239" s="445"/>
      <c r="EZ239" s="445"/>
      <c r="FA239" s="445"/>
      <c r="FB239" s="445"/>
      <c r="FC239" s="445"/>
      <c r="FD239" s="445"/>
      <c r="FE239" s="445"/>
      <c r="FF239" s="445"/>
      <c r="FG239" s="445"/>
      <c r="FH239" s="445"/>
      <c r="FI239" s="445"/>
      <c r="FJ239" s="445"/>
      <c r="FK239" s="445"/>
      <c r="FL239" s="445"/>
      <c r="FM239" s="445"/>
      <c r="FN239" s="445"/>
      <c r="FO239" s="445"/>
      <c r="FP239" s="445"/>
      <c r="FQ239" s="445"/>
      <c r="FR239" s="445"/>
      <c r="FS239" s="445"/>
      <c r="FT239" s="445"/>
      <c r="FU239" s="445"/>
      <c r="FV239" s="445"/>
      <c r="FW239" s="445"/>
      <c r="FX239" s="445"/>
      <c r="FY239" s="445"/>
      <c r="FZ239" s="445"/>
      <c r="GA239" s="445"/>
      <c r="GB239" s="445"/>
      <c r="GC239" s="445"/>
      <c r="GD239" s="445"/>
      <c r="GE239" s="445"/>
      <c r="GF239" s="445"/>
      <c r="GG239" s="445"/>
      <c r="GH239" s="445"/>
      <c r="GI239" s="445"/>
      <c r="GJ239" s="445"/>
      <c r="GK239" s="445"/>
      <c r="GL239" s="445"/>
      <c r="GM239" s="445"/>
      <c r="GN239" s="445"/>
      <c r="GO239" s="445"/>
      <c r="GP239" s="445"/>
      <c r="GQ239" s="445"/>
      <c r="GR239" s="445"/>
      <c r="GS239" s="445"/>
      <c r="GT239" s="445"/>
      <c r="GU239" s="445"/>
      <c r="GV239" s="445"/>
      <c r="GW239" s="445"/>
      <c r="GX239" s="445"/>
      <c r="GY239" s="445"/>
      <c r="GZ239" s="445"/>
      <c r="HA239" s="445"/>
      <c r="HB239" s="445"/>
      <c r="HC239" s="445"/>
      <c r="HD239" s="445"/>
      <c r="HE239" s="445"/>
      <c r="HF239" s="445"/>
      <c r="HG239" s="445"/>
      <c r="HH239" s="445"/>
      <c r="HI239" s="445"/>
      <c r="HJ239" s="445"/>
      <c r="HK239" s="445"/>
      <c r="HL239" s="445"/>
      <c r="HM239" s="445"/>
      <c r="HN239" s="445"/>
      <c r="HO239" s="445"/>
      <c r="HP239" s="445"/>
      <c r="HQ239" s="445"/>
      <c r="HR239" s="445"/>
      <c r="HS239" s="445"/>
      <c r="HT239" s="445"/>
      <c r="HU239" s="445"/>
      <c r="HV239" s="445"/>
      <c r="HW239" s="445"/>
      <c r="HX239" s="445"/>
      <c r="HY239" s="445"/>
      <c r="HZ239" s="445"/>
      <c r="IA239" s="445"/>
      <c r="IB239" s="445"/>
      <c r="IC239" s="445"/>
      <c r="ID239" s="445"/>
      <c r="IE239" s="445"/>
      <c r="IF239" s="445"/>
      <c r="IG239" s="445"/>
      <c r="IH239" s="445"/>
      <c r="II239" s="445"/>
      <c r="IJ239" s="445"/>
      <c r="IK239" s="445"/>
      <c r="IL239" s="445"/>
      <c r="IM239" s="445"/>
      <c r="IN239" s="445"/>
      <c r="IO239" s="445"/>
      <c r="IP239" s="445"/>
      <c r="IQ239" s="445"/>
      <c r="IR239" s="445"/>
      <c r="IS239" s="445"/>
      <c r="IT239" s="445"/>
      <c r="IU239" s="445"/>
      <c r="IV239" s="445"/>
      <c r="IW239" s="445"/>
      <c r="IX239" s="445"/>
      <c r="IY239" s="445"/>
      <c r="IZ239" s="445"/>
      <c r="JA239" s="445"/>
      <c r="JB239" s="445"/>
      <c r="JC239" s="445"/>
      <c r="JD239" s="445"/>
      <c r="JE239" s="445"/>
      <c r="JF239" s="445"/>
      <c r="JG239" s="445"/>
      <c r="JH239" s="445"/>
      <c r="JI239" s="445"/>
      <c r="JJ239" s="445"/>
      <c r="JK239" s="445"/>
      <c r="JL239" s="445"/>
      <c r="JM239" s="445"/>
      <c r="JN239" s="445"/>
      <c r="JO239" s="445"/>
      <c r="JP239" s="445"/>
      <c r="JQ239" s="445"/>
      <c r="JR239" s="445"/>
      <c r="JS239" s="445"/>
      <c r="JT239" s="445"/>
      <c r="JU239" s="445"/>
      <c r="JV239" s="445"/>
      <c r="JW239" s="2242"/>
      <c r="JX239" s="445"/>
      <c r="JY239" s="445"/>
      <c r="JZ239" s="445"/>
      <c r="KA239" s="445"/>
      <c r="KB239" s="2242"/>
      <c r="KC239" s="2242"/>
      <c r="KD239" s="2242"/>
      <c r="KE239" s="2242"/>
      <c r="KF239" s="2242"/>
      <c r="KG239" s="2242"/>
      <c r="KH239" s="2242"/>
      <c r="KI239" s="2242"/>
      <c r="KJ239" s="2242"/>
      <c r="KK239" s="2242"/>
      <c r="KL239" s="2242"/>
      <c r="KM239" s="2242"/>
      <c r="KN239" s="2242"/>
      <c r="KO239" s="2242"/>
      <c r="KP239" s="2242"/>
      <c r="KQ239" s="2242"/>
      <c r="KR239" s="2242"/>
      <c r="KS239" s="2242"/>
      <c r="KT239" s="2242"/>
      <c r="KU239" s="2242"/>
      <c r="KV239" s="2242"/>
      <c r="KW239" s="2242"/>
      <c r="KX239" s="2242"/>
      <c r="KY239" s="2242"/>
      <c r="KZ239" s="2242"/>
      <c r="LA239" s="2242"/>
      <c r="LB239" s="2242"/>
      <c r="LC239" s="2242"/>
      <c r="LD239" s="2242"/>
      <c r="LE239" s="2242"/>
      <c r="LF239" s="2242"/>
      <c r="LG239" s="2242"/>
      <c r="LH239" s="2242"/>
      <c r="LI239" s="2242"/>
      <c r="LJ239" s="2242"/>
      <c r="LK239" s="2242"/>
      <c r="LL239" s="2242"/>
      <c r="LM239" s="2242"/>
      <c r="LN239" s="2242"/>
      <c r="LO239" s="2242"/>
      <c r="LP239" s="2242"/>
      <c r="LQ239" s="2242"/>
      <c r="LR239" s="445"/>
      <c r="LS239" s="445"/>
      <c r="LT239" s="445"/>
      <c r="LU239" s="445"/>
      <c r="LV239" s="445"/>
      <c r="LW239" s="445"/>
      <c r="LX239" s="2243"/>
      <c r="LY239" s="445"/>
      <c r="LZ239" s="445"/>
      <c r="MA239" s="445"/>
      <c r="MB239" s="445"/>
      <c r="MC239" s="445"/>
      <c r="MD239" s="445"/>
      <c r="ME239" s="445"/>
      <c r="MF239" s="445"/>
      <c r="MG239" s="445"/>
      <c r="MH239" s="445"/>
      <c r="MI239" s="445"/>
      <c r="MJ239" s="445"/>
      <c r="MK239" s="445"/>
      <c r="ML239" s="445"/>
      <c r="MM239" s="445"/>
      <c r="MN239" s="2243"/>
      <c r="MO239" s="2243"/>
      <c r="MP239" s="445"/>
      <c r="MQ239" s="445"/>
      <c r="MR239" s="445"/>
      <c r="MS239" s="445"/>
      <c r="MT239" s="445"/>
      <c r="MU239" s="445"/>
      <c r="MV239" s="445"/>
      <c r="MW239" s="445"/>
      <c r="MX239" s="445"/>
      <c r="MY239" s="445"/>
      <c r="MZ239" s="445"/>
      <c r="NA239" s="445"/>
      <c r="NB239" s="445"/>
      <c r="NC239" s="445"/>
      <c r="ND239" s="445"/>
      <c r="NE239" s="94"/>
      <c r="NF239" s="94"/>
      <c r="NG239" s="94"/>
      <c r="NH239" s="94"/>
      <c r="NI239" s="94"/>
      <c r="NJ239" s="94"/>
      <c r="NK239" s="94"/>
      <c r="NL239" s="94"/>
      <c r="NM239" s="94"/>
      <c r="NN239" s="94"/>
      <c r="NO239" s="94"/>
      <c r="NP239" s="94"/>
      <c r="NQ239" s="94"/>
      <c r="NR239" s="94"/>
      <c r="NS239" s="94"/>
      <c r="NT239" s="94"/>
      <c r="NU239" s="94"/>
      <c r="NV239" s="94"/>
      <c r="NW239" s="94"/>
      <c r="NX239" s="94"/>
      <c r="NY239" s="94"/>
      <c r="NZ239" s="94"/>
      <c r="OA239" s="94"/>
      <c r="OB239" s="94"/>
      <c r="OC239" s="94"/>
      <c r="OD239" s="94"/>
      <c r="OE239" s="94"/>
      <c r="OF239" s="94"/>
      <c r="OG239" s="94"/>
      <c r="OH239" s="94"/>
      <c r="OI239" s="94"/>
      <c r="OJ239" s="94"/>
      <c r="OK239" s="94"/>
      <c r="OL239" s="94"/>
      <c r="OM239" s="94"/>
      <c r="ON239" s="94"/>
      <c r="OO239" s="94"/>
      <c r="OP239" s="94"/>
      <c r="OQ239" s="94"/>
      <c r="OR239" s="94"/>
      <c r="OS239" s="94"/>
      <c r="OT239" s="94"/>
      <c r="OU239" s="94"/>
      <c r="OV239" s="94"/>
      <c r="OW239" s="94"/>
      <c r="OX239" s="94"/>
      <c r="OY239" s="94"/>
      <c r="OZ239" s="94"/>
      <c r="PA239" s="94"/>
      <c r="PB239" s="94"/>
      <c r="PC239" s="94"/>
      <c r="PD239" s="94"/>
      <c r="PE239" s="94"/>
      <c r="PF239" s="94"/>
      <c r="PG239" s="94"/>
      <c r="PH239" s="94"/>
      <c r="PI239" s="94"/>
      <c r="PJ239" s="94"/>
      <c r="PK239" s="94"/>
      <c r="PL239" s="94"/>
      <c r="PM239" s="94"/>
      <c r="PN239" s="94"/>
      <c r="PO239" s="94"/>
      <c r="PP239" s="94"/>
      <c r="PQ239" s="94"/>
      <c r="PR239" s="94"/>
      <c r="PS239" s="94"/>
      <c r="PT239" s="94"/>
      <c r="PU239" s="94"/>
      <c r="PV239" s="94"/>
      <c r="PW239" s="94"/>
      <c r="PX239" s="94"/>
      <c r="PY239" s="94"/>
      <c r="PZ239" s="94"/>
      <c r="QA239" s="94"/>
      <c r="QB239" s="94"/>
      <c r="QC239" s="94"/>
      <c r="QD239" s="94"/>
      <c r="QE239" s="94"/>
      <c r="QF239" s="94"/>
      <c r="QG239" s="94"/>
      <c r="QH239" s="94"/>
      <c r="QI239" s="94"/>
      <c r="QJ239" s="94"/>
      <c r="QK239" s="94"/>
      <c r="QL239" s="94"/>
      <c r="QM239" s="94"/>
      <c r="QN239" s="94"/>
      <c r="QO239" s="94"/>
      <c r="QP239" s="94"/>
      <c r="QQ239" s="94"/>
      <c r="QR239" s="94"/>
      <c r="QS239" s="94"/>
      <c r="QT239" s="94"/>
      <c r="QU239" s="94"/>
      <c r="QV239" s="94"/>
      <c r="QW239" s="94"/>
      <c r="QX239" s="94"/>
      <c r="QY239" s="94"/>
      <c r="QZ239" s="94"/>
      <c r="RA239" s="94"/>
      <c r="RB239" s="94"/>
      <c r="RC239" s="94"/>
      <c r="RD239" s="94"/>
      <c r="RE239" s="94"/>
      <c r="RF239" s="94"/>
      <c r="RG239" s="94"/>
      <c r="RH239" s="94"/>
      <c r="RI239" s="94"/>
      <c r="RJ239" s="94"/>
      <c r="RK239" s="94"/>
      <c r="RL239" s="94"/>
      <c r="RM239" s="94"/>
      <c r="RN239" s="94"/>
      <c r="RO239" s="94"/>
      <c r="RP239" s="94"/>
      <c r="RQ239" s="94"/>
      <c r="RR239" s="94"/>
      <c r="RS239" s="94"/>
      <c r="RT239" s="94"/>
      <c r="RU239" s="94"/>
      <c r="RV239" s="94"/>
      <c r="RW239" s="94"/>
      <c r="RX239" s="94"/>
      <c r="RY239" s="94"/>
      <c r="RZ239" s="94"/>
      <c r="SA239" s="94"/>
      <c r="SB239" s="94"/>
      <c r="SC239" s="94"/>
      <c r="SD239" s="94"/>
      <c r="SE239" s="94"/>
      <c r="SF239" s="94"/>
      <c r="SG239" s="94"/>
      <c r="SH239" s="94"/>
      <c r="SI239" s="94"/>
    </row>
    <row r="240" spans="1:503" s="90" customFormat="1" ht="15.6" customHeight="1">
      <c r="A240" s="1"/>
      <c r="B240" s="1" t="s">
        <v>1573</v>
      </c>
      <c r="C240" s="1"/>
      <c r="D240" s="9"/>
      <c r="E240" s="1"/>
      <c r="F240" s="4088">
        <v>12000</v>
      </c>
      <c r="G240" s="4089"/>
      <c r="H240" s="1"/>
      <c r="K240" s="1"/>
      <c r="L240" s="1"/>
      <c r="N240" s="2644"/>
      <c r="O240" s="602" t="s">
        <v>3319</v>
      </c>
      <c r="P240" s="839" t="str">
        <f>CONCATENATE(SUM(MZ48:ND48)," units x $",'DCA Underwriting Assumptions'!$Q$70," =")</f>
        <v>0 units x $420 =</v>
      </c>
      <c r="Q240" s="601">
        <f>SUM(MZ48:ND48)*'DCA Underwriting Assumptions'!$Q$70</f>
        <v>0</v>
      </c>
      <c r="R240" s="834"/>
      <c r="S240" s="3996"/>
      <c r="T240" s="3997"/>
      <c r="U240" s="3997"/>
      <c r="V240" s="3997"/>
      <c r="W240" s="3998"/>
      <c r="X240" s="443"/>
      <c r="Y240" s="445"/>
      <c r="Z240" s="445"/>
      <c r="AA240" s="445"/>
      <c r="AB240" s="445"/>
      <c r="AC240" s="443"/>
      <c r="AD240" s="445"/>
      <c r="AE240" s="445"/>
      <c r="AF240" s="445"/>
      <c r="AG240" s="445"/>
      <c r="AH240" s="443"/>
      <c r="AI240" s="445"/>
      <c r="AJ240" s="445"/>
      <c r="AK240" s="445"/>
      <c r="AL240" s="445"/>
      <c r="AM240" s="443"/>
      <c r="AN240" s="445"/>
      <c r="AO240" s="445"/>
      <c r="AP240" s="445"/>
      <c r="AQ240" s="445"/>
      <c r="AR240" s="445"/>
      <c r="AS240" s="445"/>
      <c r="AT240" s="445"/>
      <c r="AU240" s="445"/>
      <c r="AV240" s="445"/>
      <c r="AW240" s="445"/>
      <c r="AX240" s="445"/>
      <c r="AY240" s="445"/>
      <c r="AZ240" s="445"/>
      <c r="BA240" s="445"/>
      <c r="BB240" s="445"/>
      <c r="BC240" s="445"/>
      <c r="BD240" s="445"/>
      <c r="BE240" s="445"/>
      <c r="BF240" s="445"/>
      <c r="BG240" s="445"/>
      <c r="BH240" s="445"/>
      <c r="BI240" s="445"/>
      <c r="BJ240" s="445"/>
      <c r="BK240" s="445"/>
      <c r="BL240" s="445"/>
      <c r="BM240" s="445"/>
      <c r="BN240" s="445"/>
      <c r="BO240" s="445"/>
      <c r="BP240" s="445"/>
      <c r="BQ240" s="445"/>
      <c r="BR240" s="445"/>
      <c r="BS240" s="445"/>
      <c r="BT240" s="445"/>
      <c r="BU240" s="445"/>
      <c r="BV240" s="445"/>
      <c r="BW240" s="445"/>
      <c r="BX240" s="445"/>
      <c r="BY240" s="445"/>
      <c r="BZ240" s="445"/>
      <c r="CA240" s="445"/>
      <c r="CB240" s="445"/>
      <c r="CC240" s="445"/>
      <c r="CD240" s="445"/>
      <c r="CE240" s="445"/>
      <c r="CF240" s="445"/>
      <c r="CG240" s="445"/>
      <c r="CH240" s="445"/>
      <c r="CI240" s="445"/>
      <c r="CJ240" s="445"/>
      <c r="CK240" s="445"/>
      <c r="CL240" s="445"/>
      <c r="CM240" s="445"/>
      <c r="CN240" s="445"/>
      <c r="CO240" s="445"/>
      <c r="CP240" s="445"/>
      <c r="CQ240" s="445"/>
      <c r="CR240" s="445"/>
      <c r="CS240" s="445"/>
      <c r="CT240" s="445"/>
      <c r="CU240" s="445"/>
      <c r="CV240" s="445"/>
      <c r="CW240" s="445"/>
      <c r="CX240" s="445"/>
      <c r="CY240" s="445"/>
      <c r="CZ240" s="445"/>
      <c r="DA240" s="445"/>
      <c r="DB240" s="445"/>
      <c r="DC240" s="445"/>
      <c r="DD240" s="445"/>
      <c r="DE240" s="445"/>
      <c r="DF240" s="445"/>
      <c r="DG240" s="445"/>
      <c r="DH240" s="445"/>
      <c r="DI240" s="445"/>
      <c r="DJ240" s="445"/>
      <c r="DK240" s="445"/>
      <c r="DL240" s="445"/>
      <c r="DM240" s="445"/>
      <c r="DN240" s="445"/>
      <c r="DO240" s="445"/>
      <c r="DP240" s="445"/>
      <c r="DQ240" s="445"/>
      <c r="DR240" s="445"/>
      <c r="DS240" s="445"/>
      <c r="DT240" s="445"/>
      <c r="DU240" s="445"/>
      <c r="DV240" s="445"/>
      <c r="DW240" s="445"/>
      <c r="DX240" s="445"/>
      <c r="DY240" s="445"/>
      <c r="DZ240" s="445"/>
      <c r="EA240" s="445"/>
      <c r="EB240" s="445"/>
      <c r="EC240" s="445"/>
      <c r="ED240" s="445"/>
      <c r="EE240" s="445"/>
      <c r="EF240" s="445"/>
      <c r="EG240" s="445"/>
      <c r="EH240" s="445"/>
      <c r="EI240" s="445"/>
      <c r="EJ240" s="445"/>
      <c r="EK240" s="445"/>
      <c r="EL240" s="445"/>
      <c r="EM240" s="445"/>
      <c r="EN240" s="445"/>
      <c r="EO240" s="445"/>
      <c r="EP240" s="445"/>
      <c r="EQ240" s="445"/>
      <c r="ER240" s="445"/>
      <c r="ES240" s="445"/>
      <c r="ET240" s="445"/>
      <c r="EU240" s="445"/>
      <c r="EV240" s="445"/>
      <c r="EW240" s="445"/>
      <c r="EX240" s="445"/>
      <c r="EY240" s="445"/>
      <c r="EZ240" s="445"/>
      <c r="FA240" s="445"/>
      <c r="FB240" s="445"/>
      <c r="FC240" s="445"/>
      <c r="FD240" s="445"/>
      <c r="FE240" s="445"/>
      <c r="FF240" s="445"/>
      <c r="FG240" s="445"/>
      <c r="FH240" s="445"/>
      <c r="FI240" s="445"/>
      <c r="FJ240" s="445"/>
      <c r="FK240" s="445"/>
      <c r="FL240" s="445"/>
      <c r="FM240" s="445"/>
      <c r="FN240" s="445"/>
      <c r="FO240" s="445"/>
      <c r="FP240" s="445"/>
      <c r="FQ240" s="445"/>
      <c r="FR240" s="445"/>
      <c r="FS240" s="445"/>
      <c r="FT240" s="445"/>
      <c r="FU240" s="445"/>
      <c r="FV240" s="445"/>
      <c r="FW240" s="445"/>
      <c r="FX240" s="445"/>
      <c r="FY240" s="445"/>
      <c r="FZ240" s="445"/>
      <c r="GA240" s="445"/>
      <c r="GB240" s="445"/>
      <c r="GC240" s="445"/>
      <c r="GD240" s="445"/>
      <c r="GE240" s="445"/>
      <c r="GF240" s="445"/>
      <c r="GG240" s="445"/>
      <c r="GH240" s="445"/>
      <c r="GI240" s="445"/>
      <c r="GJ240" s="445"/>
      <c r="GK240" s="445"/>
      <c r="GL240" s="445"/>
      <c r="GM240" s="445"/>
      <c r="GN240" s="445"/>
      <c r="GO240" s="445"/>
      <c r="GP240" s="445"/>
      <c r="GQ240" s="445"/>
      <c r="GR240" s="445"/>
      <c r="GS240" s="445"/>
      <c r="GT240" s="445"/>
      <c r="GU240" s="445"/>
      <c r="GV240" s="445"/>
      <c r="GW240" s="445"/>
      <c r="GX240" s="445"/>
      <c r="GY240" s="445"/>
      <c r="GZ240" s="445"/>
      <c r="HA240" s="445"/>
      <c r="HB240" s="445"/>
      <c r="HC240" s="445"/>
      <c r="HD240" s="445"/>
      <c r="HE240" s="445"/>
      <c r="HF240" s="445"/>
      <c r="HG240" s="445"/>
      <c r="HH240" s="445"/>
      <c r="HI240" s="445"/>
      <c r="HJ240" s="445"/>
      <c r="HK240" s="445"/>
      <c r="HL240" s="445"/>
      <c r="HM240" s="445"/>
      <c r="HN240" s="445"/>
      <c r="HO240" s="445"/>
      <c r="HP240" s="445"/>
      <c r="HQ240" s="445"/>
      <c r="HR240" s="445"/>
      <c r="HS240" s="445"/>
      <c r="HT240" s="445"/>
      <c r="HU240" s="445"/>
      <c r="HV240" s="445"/>
      <c r="HW240" s="445"/>
      <c r="HX240" s="445"/>
      <c r="HY240" s="445"/>
      <c r="HZ240" s="445"/>
      <c r="IA240" s="445"/>
      <c r="IB240" s="445"/>
      <c r="IC240" s="445"/>
      <c r="ID240" s="445"/>
      <c r="IE240" s="445"/>
      <c r="IF240" s="445"/>
      <c r="IG240" s="445"/>
      <c r="IH240" s="445"/>
      <c r="II240" s="445"/>
      <c r="IJ240" s="445"/>
      <c r="IK240" s="445"/>
      <c r="IL240" s="445"/>
      <c r="IM240" s="445"/>
      <c r="IN240" s="445"/>
      <c r="IO240" s="445"/>
      <c r="IP240" s="445"/>
      <c r="IQ240" s="445"/>
      <c r="IR240" s="445"/>
      <c r="IS240" s="445"/>
      <c r="IT240" s="445"/>
      <c r="IU240" s="445"/>
      <c r="IV240" s="445"/>
      <c r="IW240" s="445"/>
      <c r="IX240" s="445"/>
      <c r="IY240" s="445"/>
      <c r="IZ240" s="445"/>
      <c r="JA240" s="445"/>
      <c r="JB240" s="445"/>
      <c r="JC240" s="445"/>
      <c r="JD240" s="445"/>
      <c r="JE240" s="445"/>
      <c r="JF240" s="445"/>
      <c r="JG240" s="445"/>
      <c r="JH240" s="445"/>
      <c r="JI240" s="445"/>
      <c r="JJ240" s="445"/>
      <c r="JK240" s="445"/>
      <c r="JL240" s="445"/>
      <c r="JM240" s="445"/>
      <c r="JN240" s="445"/>
      <c r="JO240" s="445"/>
      <c r="JP240" s="445"/>
      <c r="JQ240" s="445"/>
      <c r="JR240" s="445"/>
      <c r="JS240" s="445"/>
      <c r="JT240" s="445"/>
      <c r="JU240" s="445"/>
      <c r="JV240" s="445"/>
      <c r="JW240" s="2242"/>
      <c r="JX240" s="445"/>
      <c r="JY240" s="445"/>
      <c r="JZ240" s="445"/>
      <c r="KA240" s="445"/>
      <c r="KB240" s="2242"/>
      <c r="KC240" s="2242"/>
      <c r="KD240" s="2242"/>
      <c r="KE240" s="2242"/>
      <c r="KF240" s="2242"/>
      <c r="KG240" s="2242"/>
      <c r="KH240" s="2242"/>
      <c r="KI240" s="2242"/>
      <c r="KJ240" s="2242"/>
      <c r="KK240" s="2242"/>
      <c r="KL240" s="2242"/>
      <c r="KM240" s="2242"/>
      <c r="KN240" s="2242"/>
      <c r="KO240" s="2242"/>
      <c r="KP240" s="2242"/>
      <c r="KQ240" s="2242"/>
      <c r="KR240" s="2242"/>
      <c r="KS240" s="2242"/>
      <c r="KT240" s="2242"/>
      <c r="KU240" s="2242"/>
      <c r="KV240" s="2242"/>
      <c r="KW240" s="2242"/>
      <c r="KX240" s="2242"/>
      <c r="KY240" s="2242"/>
      <c r="KZ240" s="2242"/>
      <c r="LA240" s="2242"/>
      <c r="LB240" s="2242"/>
      <c r="LC240" s="2242"/>
      <c r="LD240" s="2242"/>
      <c r="LE240" s="2242"/>
      <c r="LF240" s="2242"/>
      <c r="LG240" s="2242"/>
      <c r="LH240" s="2242"/>
      <c r="LI240" s="2242"/>
      <c r="LJ240" s="2242"/>
      <c r="LK240" s="2242"/>
      <c r="LL240" s="2242"/>
      <c r="LM240" s="2242"/>
      <c r="LN240" s="2242"/>
      <c r="LO240" s="2242"/>
      <c r="LP240" s="2242"/>
      <c r="LQ240" s="2242"/>
      <c r="LR240" s="445"/>
      <c r="LS240" s="445"/>
      <c r="LT240" s="445"/>
      <c r="LU240" s="445"/>
      <c r="LV240" s="445"/>
      <c r="LW240" s="445"/>
      <c r="LX240" s="2243"/>
      <c r="LY240" s="445"/>
      <c r="LZ240" s="445"/>
      <c r="MA240" s="445"/>
      <c r="MB240" s="445"/>
      <c r="MC240" s="445"/>
      <c r="MD240" s="445"/>
      <c r="ME240" s="445"/>
      <c r="MF240" s="445"/>
      <c r="MG240" s="445"/>
      <c r="MH240" s="445"/>
      <c r="MI240" s="445"/>
      <c r="MJ240" s="445"/>
      <c r="MK240" s="445"/>
      <c r="ML240" s="445"/>
      <c r="MM240" s="445"/>
      <c r="MN240" s="2243"/>
      <c r="MO240" s="2243"/>
      <c r="MP240" s="445"/>
      <c r="MQ240" s="445"/>
      <c r="MR240" s="445"/>
      <c r="MS240" s="445"/>
      <c r="MT240" s="445"/>
      <c r="MU240" s="445"/>
      <c r="MV240" s="445"/>
      <c r="MW240" s="445"/>
      <c r="MX240" s="445"/>
      <c r="MY240" s="445"/>
      <c r="MZ240" s="445"/>
      <c r="NA240" s="445"/>
      <c r="NB240" s="445"/>
      <c r="NC240" s="445"/>
      <c r="ND240" s="445"/>
      <c r="NE240" s="94"/>
      <c r="NF240" s="94"/>
      <c r="NG240" s="94"/>
      <c r="NH240" s="94"/>
      <c r="NI240" s="94"/>
      <c r="NJ240" s="94"/>
      <c r="NK240" s="94"/>
      <c r="NL240" s="94"/>
      <c r="NM240" s="94"/>
      <c r="NN240" s="94"/>
      <c r="NO240" s="94"/>
      <c r="NP240" s="94"/>
      <c r="NQ240" s="94"/>
      <c r="NR240" s="94"/>
      <c r="NS240" s="94"/>
      <c r="NT240" s="94"/>
      <c r="NU240" s="94"/>
      <c r="NV240" s="94"/>
      <c r="NW240" s="94"/>
      <c r="NX240" s="94"/>
      <c r="NY240" s="94"/>
      <c r="NZ240" s="94"/>
      <c r="OA240" s="94"/>
      <c r="OB240" s="94"/>
      <c r="OC240" s="94"/>
      <c r="OD240" s="94"/>
      <c r="OE240" s="94"/>
      <c r="OF240" s="94"/>
      <c r="OG240" s="94"/>
      <c r="OH240" s="94"/>
      <c r="OI240" s="94"/>
      <c r="OJ240" s="94"/>
      <c r="OK240" s="94"/>
      <c r="OL240" s="94"/>
      <c r="OM240" s="94"/>
      <c r="ON240" s="94"/>
      <c r="OO240" s="94"/>
      <c r="OP240" s="94"/>
      <c r="OQ240" s="94"/>
      <c r="OR240" s="94"/>
      <c r="OS240" s="94"/>
      <c r="OT240" s="94"/>
      <c r="OU240" s="94"/>
      <c r="OV240" s="94"/>
      <c r="OW240" s="94"/>
      <c r="OX240" s="94"/>
      <c r="OY240" s="94"/>
      <c r="OZ240" s="94"/>
      <c r="PA240" s="94"/>
      <c r="PB240" s="94"/>
      <c r="PC240" s="94"/>
      <c r="PD240" s="94"/>
      <c r="PE240" s="94"/>
      <c r="PF240" s="94"/>
      <c r="PG240" s="94"/>
      <c r="PH240" s="94"/>
      <c r="PI240" s="94"/>
      <c r="PJ240" s="94"/>
      <c r="PK240" s="94"/>
      <c r="PL240" s="94"/>
      <c r="PM240" s="94"/>
      <c r="PN240" s="94"/>
      <c r="PO240" s="94"/>
      <c r="PP240" s="94"/>
      <c r="PQ240" s="94"/>
      <c r="PR240" s="94"/>
      <c r="PS240" s="94"/>
      <c r="PT240" s="94"/>
      <c r="PU240" s="94"/>
      <c r="PV240" s="94"/>
      <c r="PW240" s="94"/>
      <c r="PX240" s="94"/>
      <c r="PY240" s="94"/>
      <c r="PZ240" s="94"/>
      <c r="QA240" s="94"/>
      <c r="QB240" s="94"/>
      <c r="QC240" s="94"/>
      <c r="QD240" s="94"/>
      <c r="QE240" s="94"/>
      <c r="QF240" s="94"/>
      <c r="QG240" s="94"/>
      <c r="QH240" s="94"/>
      <c r="QI240" s="94"/>
      <c r="QJ240" s="94"/>
      <c r="QK240" s="94"/>
      <c r="QL240" s="94"/>
      <c r="QM240" s="94"/>
      <c r="QN240" s="94"/>
      <c r="QO240" s="94"/>
      <c r="QP240" s="94"/>
      <c r="QQ240" s="94"/>
      <c r="QR240" s="94"/>
      <c r="QS240" s="94"/>
      <c r="QT240" s="94"/>
      <c r="QU240" s="94"/>
      <c r="QV240" s="94"/>
      <c r="QW240" s="94"/>
      <c r="QX240" s="94"/>
      <c r="QY240" s="94"/>
      <c r="QZ240" s="94"/>
      <c r="RA240" s="94"/>
      <c r="RB240" s="94"/>
      <c r="RC240" s="94"/>
      <c r="RD240" s="94"/>
      <c r="RE240" s="94"/>
      <c r="RF240" s="94"/>
      <c r="RG240" s="94"/>
      <c r="RH240" s="94"/>
      <c r="RI240" s="94"/>
      <c r="RJ240" s="94"/>
      <c r="RK240" s="94"/>
      <c r="RL240" s="94"/>
      <c r="RM240" s="94"/>
      <c r="RN240" s="94"/>
      <c r="RO240" s="94"/>
      <c r="RP240" s="94"/>
      <c r="RQ240" s="94"/>
      <c r="RR240" s="94"/>
      <c r="RS240" s="94"/>
      <c r="RT240" s="94"/>
      <c r="RU240" s="94"/>
      <c r="RV240" s="94"/>
      <c r="RW240" s="94"/>
      <c r="RX240" s="94"/>
      <c r="RY240" s="94"/>
      <c r="RZ240" s="94"/>
      <c r="SA240" s="94"/>
      <c r="SB240" s="94"/>
      <c r="SC240" s="94"/>
      <c r="SD240" s="94"/>
      <c r="SE240" s="94"/>
      <c r="SF240" s="94"/>
      <c r="SG240" s="94"/>
      <c r="SH240" s="94"/>
      <c r="SI240" s="94"/>
    </row>
    <row r="241" spans="1:503" s="90" customFormat="1" ht="15.6" customHeight="1">
      <c r="A241" s="1"/>
      <c r="B241" s="1" t="s">
        <v>981</v>
      </c>
      <c r="C241" s="1"/>
      <c r="D241" s="9"/>
      <c r="E241" s="1"/>
      <c r="F241" s="4068">
        <v>10600</v>
      </c>
      <c r="G241" s="4069"/>
      <c r="H241" s="1"/>
      <c r="O241" s="602" t="s">
        <v>3314</v>
      </c>
      <c r="P241" s="839" t="str">
        <f>CONCATENATE(P125," units x $",'DCA Underwriting Assumptions'!$Q$70," =")</f>
        <v>0 units x $420 =</v>
      </c>
      <c r="Q241" s="601">
        <f>P125*'DCA Underwriting Assumptions'!$Q$70</f>
        <v>0</v>
      </c>
      <c r="R241" s="599"/>
      <c r="S241" s="3996"/>
      <c r="T241" s="3997"/>
      <c r="U241" s="3997"/>
      <c r="V241" s="3997"/>
      <c r="W241" s="3998"/>
      <c r="X241" s="443"/>
      <c r="Y241" s="445"/>
      <c r="Z241" s="445"/>
      <c r="AA241" s="445"/>
      <c r="AB241" s="445"/>
      <c r="AC241" s="443"/>
      <c r="AD241" s="445"/>
      <c r="AE241" s="445"/>
      <c r="AF241" s="445"/>
      <c r="AG241" s="445"/>
      <c r="AH241" s="443"/>
      <c r="AI241" s="445"/>
      <c r="AJ241" s="445"/>
      <c r="AK241" s="445"/>
      <c r="AL241" s="445"/>
      <c r="AM241" s="443"/>
      <c r="AN241" s="445"/>
      <c r="AO241" s="445"/>
      <c r="AP241" s="445"/>
      <c r="AQ241" s="445"/>
      <c r="AR241" s="445"/>
      <c r="AS241" s="445"/>
      <c r="AT241" s="445"/>
      <c r="AU241" s="445"/>
      <c r="AV241" s="445"/>
      <c r="AW241" s="445"/>
      <c r="AX241" s="445"/>
      <c r="AY241" s="445"/>
      <c r="AZ241" s="445"/>
      <c r="BA241" s="445"/>
      <c r="BB241" s="445"/>
      <c r="BC241" s="445"/>
      <c r="BD241" s="445"/>
      <c r="BE241" s="445"/>
      <c r="BF241" s="445"/>
      <c r="BG241" s="445"/>
      <c r="BH241" s="445"/>
      <c r="BI241" s="445"/>
      <c r="BJ241" s="445"/>
      <c r="BK241" s="445"/>
      <c r="BL241" s="445"/>
      <c r="BM241" s="445"/>
      <c r="BN241" s="445"/>
      <c r="BO241" s="445"/>
      <c r="BP241" s="445"/>
      <c r="BQ241" s="445"/>
      <c r="BR241" s="445"/>
      <c r="BS241" s="445"/>
      <c r="BT241" s="445"/>
      <c r="BU241" s="445"/>
      <c r="BV241" s="445"/>
      <c r="BW241" s="445"/>
      <c r="BX241" s="445"/>
      <c r="BY241" s="445"/>
      <c r="BZ241" s="445"/>
      <c r="CA241" s="445"/>
      <c r="CB241" s="445"/>
      <c r="CC241" s="445"/>
      <c r="CD241" s="445"/>
      <c r="CE241" s="445"/>
      <c r="CF241" s="445"/>
      <c r="CG241" s="445"/>
      <c r="CH241" s="445"/>
      <c r="CI241" s="445"/>
      <c r="CJ241" s="445"/>
      <c r="CK241" s="445"/>
      <c r="CL241" s="445"/>
      <c r="CM241" s="445"/>
      <c r="CN241" s="445"/>
      <c r="CO241" s="445"/>
      <c r="CP241" s="445"/>
      <c r="CQ241" s="445"/>
      <c r="CR241" s="445"/>
      <c r="CS241" s="445"/>
      <c r="CT241" s="445"/>
      <c r="CU241" s="445"/>
      <c r="CV241" s="445"/>
      <c r="CW241" s="445"/>
      <c r="CX241" s="445"/>
      <c r="CY241" s="445"/>
      <c r="CZ241" s="445"/>
      <c r="DA241" s="445"/>
      <c r="DB241" s="445"/>
      <c r="DC241" s="445"/>
      <c r="DD241" s="445"/>
      <c r="DE241" s="445"/>
      <c r="DF241" s="445"/>
      <c r="DG241" s="445"/>
      <c r="DH241" s="445"/>
      <c r="DI241" s="445"/>
      <c r="DJ241" s="445"/>
      <c r="DK241" s="445"/>
      <c r="DL241" s="445"/>
      <c r="DM241" s="445"/>
      <c r="DN241" s="445"/>
      <c r="DO241" s="445"/>
      <c r="DP241" s="445"/>
      <c r="DQ241" s="445"/>
      <c r="DR241" s="445"/>
      <c r="DS241" s="445"/>
      <c r="DT241" s="445"/>
      <c r="DU241" s="445"/>
      <c r="DV241" s="445"/>
      <c r="DW241" s="445"/>
      <c r="DX241" s="445"/>
      <c r="DY241" s="445"/>
      <c r="DZ241" s="445"/>
      <c r="EA241" s="445"/>
      <c r="EB241" s="445"/>
      <c r="EC241" s="445"/>
      <c r="ED241" s="445"/>
      <c r="EE241" s="445"/>
      <c r="EF241" s="445"/>
      <c r="EG241" s="445"/>
      <c r="EH241" s="445"/>
      <c r="EI241" s="445"/>
      <c r="EJ241" s="445"/>
      <c r="EK241" s="445"/>
      <c r="EL241" s="445"/>
      <c r="EM241" s="445"/>
      <c r="EN241" s="445"/>
      <c r="EO241" s="445"/>
      <c r="EP241" s="445"/>
      <c r="EQ241" s="445"/>
      <c r="ER241" s="445"/>
      <c r="ES241" s="445"/>
      <c r="ET241" s="445"/>
      <c r="EU241" s="445"/>
      <c r="EV241" s="445"/>
      <c r="EW241" s="445"/>
      <c r="EX241" s="445"/>
      <c r="EY241" s="445"/>
      <c r="EZ241" s="445"/>
      <c r="FA241" s="445"/>
      <c r="FB241" s="445"/>
      <c r="FC241" s="445"/>
      <c r="FD241" s="445"/>
      <c r="FE241" s="445"/>
      <c r="FF241" s="445"/>
      <c r="FG241" s="445"/>
      <c r="FH241" s="445"/>
      <c r="FI241" s="445"/>
      <c r="FJ241" s="445"/>
      <c r="FK241" s="445"/>
      <c r="FL241" s="445"/>
      <c r="FM241" s="445"/>
      <c r="FN241" s="445"/>
      <c r="FO241" s="445"/>
      <c r="FP241" s="445"/>
      <c r="FQ241" s="445"/>
      <c r="FR241" s="445"/>
      <c r="FS241" s="445"/>
      <c r="FT241" s="445"/>
      <c r="FU241" s="445"/>
      <c r="FV241" s="445"/>
      <c r="FW241" s="445"/>
      <c r="FX241" s="445"/>
      <c r="FY241" s="445"/>
      <c r="FZ241" s="445"/>
      <c r="GA241" s="445"/>
      <c r="GB241" s="445"/>
      <c r="GC241" s="445"/>
      <c r="GD241" s="445"/>
      <c r="GE241" s="445"/>
      <c r="GF241" s="445"/>
      <c r="GG241" s="445"/>
      <c r="GH241" s="445"/>
      <c r="GI241" s="445"/>
      <c r="GJ241" s="445"/>
      <c r="GK241" s="445"/>
      <c r="GL241" s="445"/>
      <c r="GM241" s="445"/>
      <c r="GN241" s="445"/>
      <c r="GO241" s="445"/>
      <c r="GP241" s="445"/>
      <c r="GQ241" s="445"/>
      <c r="GR241" s="445"/>
      <c r="GS241" s="445"/>
      <c r="GT241" s="445"/>
      <c r="GU241" s="445"/>
      <c r="GV241" s="445"/>
      <c r="GW241" s="445"/>
      <c r="GX241" s="445"/>
      <c r="GY241" s="445"/>
      <c r="GZ241" s="445"/>
      <c r="HA241" s="445"/>
      <c r="HB241" s="445"/>
      <c r="HC241" s="445"/>
      <c r="HD241" s="445"/>
      <c r="HE241" s="445"/>
      <c r="HF241" s="445"/>
      <c r="HG241" s="445"/>
      <c r="HH241" s="445"/>
      <c r="HI241" s="445"/>
      <c r="HJ241" s="445"/>
      <c r="HK241" s="445"/>
      <c r="HL241" s="445"/>
      <c r="HM241" s="445"/>
      <c r="HN241" s="445"/>
      <c r="HO241" s="445"/>
      <c r="HP241" s="445"/>
      <c r="HQ241" s="445"/>
      <c r="HR241" s="445"/>
      <c r="HS241" s="445"/>
      <c r="HT241" s="445"/>
      <c r="HU241" s="445"/>
      <c r="HV241" s="445"/>
      <c r="HW241" s="445"/>
      <c r="HX241" s="445"/>
      <c r="HY241" s="445"/>
      <c r="HZ241" s="445"/>
      <c r="IA241" s="445"/>
      <c r="IB241" s="445"/>
      <c r="IC241" s="445"/>
      <c r="ID241" s="445"/>
      <c r="IE241" s="445"/>
      <c r="IF241" s="445"/>
      <c r="IG241" s="445"/>
      <c r="IH241" s="445"/>
      <c r="II241" s="445"/>
      <c r="IJ241" s="445"/>
      <c r="IK241" s="445"/>
      <c r="IL241" s="445"/>
      <c r="IM241" s="445"/>
      <c r="IN241" s="445"/>
      <c r="IO241" s="445"/>
      <c r="IP241" s="445"/>
      <c r="IQ241" s="445"/>
      <c r="IR241" s="445"/>
      <c r="IS241" s="445"/>
      <c r="IT241" s="445"/>
      <c r="IU241" s="445"/>
      <c r="IV241" s="445"/>
      <c r="IW241" s="445"/>
      <c r="IX241" s="445"/>
      <c r="IY241" s="445"/>
      <c r="IZ241" s="445"/>
      <c r="JA241" s="445"/>
      <c r="JB241" s="445"/>
      <c r="JC241" s="445"/>
      <c r="JD241" s="445"/>
      <c r="JE241" s="445"/>
      <c r="JF241" s="445"/>
      <c r="JG241" s="445"/>
      <c r="JH241" s="445"/>
      <c r="JI241" s="445"/>
      <c r="JJ241" s="445"/>
      <c r="JK241" s="445"/>
      <c r="JL241" s="445"/>
      <c r="JM241" s="445"/>
      <c r="JN241" s="445"/>
      <c r="JO241" s="445"/>
      <c r="JP241" s="445"/>
      <c r="JQ241" s="445"/>
      <c r="JR241" s="445"/>
      <c r="JS241" s="445"/>
      <c r="JT241" s="445"/>
      <c r="JU241" s="445"/>
      <c r="JV241" s="445"/>
      <c r="JW241" s="2242"/>
      <c r="JX241" s="445"/>
      <c r="JY241" s="445"/>
      <c r="JZ241" s="445"/>
      <c r="KA241" s="445"/>
      <c r="KB241" s="2242"/>
      <c r="KC241" s="2242"/>
      <c r="KD241" s="2242"/>
      <c r="KE241" s="2242"/>
      <c r="KF241" s="2242"/>
      <c r="KG241" s="2242"/>
      <c r="KH241" s="2242"/>
      <c r="KI241" s="2242"/>
      <c r="KJ241" s="2242"/>
      <c r="KK241" s="2242"/>
      <c r="KL241" s="2242"/>
      <c r="KM241" s="2242"/>
      <c r="KN241" s="2242"/>
      <c r="KO241" s="2242"/>
      <c r="KP241" s="2242"/>
      <c r="KQ241" s="2242"/>
      <c r="KR241" s="2242"/>
      <c r="KS241" s="2242"/>
      <c r="KT241" s="2242"/>
      <c r="KU241" s="2242"/>
      <c r="KV241" s="2242"/>
      <c r="KW241" s="2242"/>
      <c r="KX241" s="2242"/>
      <c r="KY241" s="2242"/>
      <c r="KZ241" s="2242"/>
      <c r="LA241" s="2242"/>
      <c r="LB241" s="2242"/>
      <c r="LC241" s="2242"/>
      <c r="LD241" s="2242"/>
      <c r="LE241" s="2242"/>
      <c r="LF241" s="2242"/>
      <c r="LG241" s="2242"/>
      <c r="LH241" s="2242"/>
      <c r="LI241" s="2242"/>
      <c r="LJ241" s="2242"/>
      <c r="LK241" s="2242"/>
      <c r="LL241" s="2242"/>
      <c r="LM241" s="2242"/>
      <c r="LN241" s="2242"/>
      <c r="LO241" s="2242"/>
      <c r="LP241" s="2242"/>
      <c r="LQ241" s="2242"/>
      <c r="LR241" s="445"/>
      <c r="LS241" s="445"/>
      <c r="LT241" s="445"/>
      <c r="LU241" s="445"/>
      <c r="LV241" s="445"/>
      <c r="LW241" s="445"/>
      <c r="LX241" s="2243"/>
      <c r="LY241" s="445"/>
      <c r="LZ241" s="445"/>
      <c r="MA241" s="445"/>
      <c r="MB241" s="445"/>
      <c r="MC241" s="445"/>
      <c r="MD241" s="445"/>
      <c r="ME241" s="445"/>
      <c r="MF241" s="445"/>
      <c r="MG241" s="445"/>
      <c r="MH241" s="445"/>
      <c r="MI241" s="445"/>
      <c r="MJ241" s="445"/>
      <c r="MK241" s="445"/>
      <c r="ML241" s="445"/>
      <c r="MM241" s="445"/>
      <c r="MN241" s="2243"/>
      <c r="MO241" s="2243"/>
      <c r="MP241" s="445"/>
      <c r="MQ241" s="445"/>
      <c r="MR241" s="445"/>
      <c r="MS241" s="445"/>
      <c r="MT241" s="445"/>
      <c r="MU241" s="445"/>
      <c r="MV241" s="445"/>
      <c r="MW241" s="445"/>
      <c r="MX241" s="445"/>
      <c r="MY241" s="445"/>
      <c r="MZ241" s="445"/>
      <c r="NA241" s="445"/>
      <c r="NB241" s="445"/>
      <c r="NC241" s="445"/>
      <c r="ND241" s="445"/>
      <c r="NE241" s="94"/>
      <c r="NF241" s="94"/>
      <c r="NG241" s="94"/>
      <c r="NH241" s="94"/>
      <c r="NI241" s="94"/>
      <c r="NJ241" s="94"/>
      <c r="NK241" s="94"/>
      <c r="NL241" s="94"/>
      <c r="NM241" s="94"/>
      <c r="NN241" s="94"/>
      <c r="NO241" s="94"/>
      <c r="NP241" s="94"/>
      <c r="NQ241" s="94"/>
      <c r="NR241" s="94"/>
      <c r="NS241" s="94"/>
      <c r="NT241" s="94"/>
      <c r="NU241" s="94"/>
      <c r="NV241" s="94"/>
      <c r="NW241" s="94"/>
      <c r="NX241" s="94"/>
      <c r="NY241" s="94"/>
      <c r="NZ241" s="94"/>
      <c r="OA241" s="94"/>
      <c r="OB241" s="94"/>
      <c r="OC241" s="94"/>
      <c r="OD241" s="94"/>
      <c r="OE241" s="94"/>
      <c r="OF241" s="94"/>
      <c r="OG241" s="94"/>
      <c r="OH241" s="94"/>
      <c r="OI241" s="94"/>
      <c r="OJ241" s="94"/>
      <c r="OK241" s="94"/>
      <c r="OL241" s="94"/>
      <c r="OM241" s="94"/>
      <c r="ON241" s="94"/>
      <c r="OO241" s="94"/>
      <c r="OP241" s="94"/>
      <c r="OQ241" s="94"/>
      <c r="OR241" s="94"/>
      <c r="OS241" s="94"/>
      <c r="OT241" s="94"/>
      <c r="OU241" s="94"/>
      <c r="OV241" s="94"/>
      <c r="OW241" s="94"/>
      <c r="OX241" s="94"/>
      <c r="OY241" s="94"/>
      <c r="OZ241" s="94"/>
      <c r="PA241" s="94"/>
      <c r="PB241" s="94"/>
      <c r="PC241" s="94"/>
      <c r="PD241" s="94"/>
      <c r="PE241" s="94"/>
      <c r="PF241" s="94"/>
      <c r="PG241" s="94"/>
      <c r="PH241" s="94"/>
      <c r="PI241" s="94"/>
      <c r="PJ241" s="94"/>
      <c r="PK241" s="94"/>
      <c r="PL241" s="94"/>
      <c r="PM241" s="94"/>
      <c r="PN241" s="94"/>
      <c r="PO241" s="94"/>
      <c r="PP241" s="94"/>
      <c r="PQ241" s="94"/>
      <c r="PR241" s="94"/>
      <c r="PS241" s="94"/>
      <c r="PT241" s="94"/>
      <c r="PU241" s="94"/>
      <c r="PV241" s="94"/>
      <c r="PW241" s="94"/>
      <c r="PX241" s="94"/>
      <c r="PY241" s="94"/>
      <c r="PZ241" s="94"/>
      <c r="QA241" s="94"/>
      <c r="QB241" s="94"/>
      <c r="QC241" s="94"/>
      <c r="QD241" s="94"/>
      <c r="QE241" s="94"/>
      <c r="QF241" s="94"/>
      <c r="QG241" s="94"/>
      <c r="QH241" s="94"/>
      <c r="QI241" s="94"/>
      <c r="QJ241" s="94"/>
      <c r="QK241" s="94"/>
      <c r="QL241" s="94"/>
      <c r="QM241" s="94"/>
      <c r="QN241" s="94"/>
      <c r="QO241" s="94"/>
      <c r="QP241" s="94"/>
      <c r="QQ241" s="94"/>
      <c r="QR241" s="94"/>
      <c r="QS241" s="94"/>
      <c r="QT241" s="94"/>
      <c r="QU241" s="94"/>
      <c r="QV241" s="94"/>
      <c r="QW241" s="94"/>
      <c r="QX241" s="94"/>
      <c r="QY241" s="94"/>
      <c r="QZ241" s="94"/>
      <c r="RA241" s="94"/>
      <c r="RB241" s="94"/>
      <c r="RC241" s="94"/>
      <c r="RD241" s="94"/>
      <c r="RE241" s="94"/>
      <c r="RF241" s="94"/>
      <c r="RG241" s="94"/>
      <c r="RH241" s="94"/>
      <c r="RI241" s="94"/>
      <c r="RJ241" s="94"/>
      <c r="RK241" s="94"/>
      <c r="RL241" s="94"/>
      <c r="RM241" s="94"/>
      <c r="RN241" s="94"/>
      <c r="RO241" s="94"/>
      <c r="RP241" s="94"/>
      <c r="RQ241" s="94"/>
      <c r="RR241" s="94"/>
      <c r="RS241" s="94"/>
      <c r="RT241" s="94"/>
      <c r="RU241" s="94"/>
      <c r="RV241" s="94"/>
      <c r="RW241" s="94"/>
      <c r="RX241" s="94"/>
      <c r="RY241" s="94"/>
      <c r="RZ241" s="94"/>
      <c r="SA241" s="94"/>
      <c r="SB241" s="94"/>
      <c r="SC241" s="94"/>
      <c r="SD241" s="94"/>
      <c r="SE241" s="94"/>
      <c r="SF241" s="94"/>
      <c r="SG241" s="94"/>
      <c r="SH241" s="94"/>
      <c r="SI241" s="94"/>
    </row>
    <row r="242" spans="1:503" s="90" customFormat="1" ht="15.6" customHeight="1">
      <c r="A242" s="1"/>
      <c r="B242" s="1" t="s">
        <v>982</v>
      </c>
      <c r="C242" s="1"/>
      <c r="D242" s="9"/>
      <c r="E242" s="1"/>
      <c r="F242" s="4068">
        <v>14569</v>
      </c>
      <c r="G242" s="4069"/>
      <c r="H242" s="1"/>
      <c r="I242" s="10" t="s">
        <v>1349</v>
      </c>
      <c r="O242" s="950" t="s">
        <v>2637</v>
      </c>
      <c r="P242" s="951">
        <f>SUM(MP48:MT48)+SUM(MU48:MY48)+SUM(MZ48:ND48)+P125</f>
        <v>72</v>
      </c>
      <c r="Q242" s="952">
        <f>SUM(Q238:Q241)</f>
        <v>18000</v>
      </c>
      <c r="R242" s="839"/>
      <c r="S242" s="3996"/>
      <c r="T242" s="3997"/>
      <c r="U242" s="3997"/>
      <c r="V242" s="3997"/>
      <c r="W242" s="3998"/>
      <c r="X242" s="443"/>
      <c r="Y242" s="445"/>
      <c r="Z242" s="445"/>
      <c r="AA242" s="445"/>
      <c r="AB242" s="445"/>
      <c r="AC242" s="443"/>
      <c r="AD242" s="445"/>
      <c r="AE242" s="445"/>
      <c r="AF242" s="445"/>
      <c r="AG242" s="445"/>
      <c r="AH242" s="443"/>
      <c r="AI242" s="445"/>
      <c r="AJ242" s="445"/>
      <c r="AK242" s="445"/>
      <c r="AL242" s="445"/>
      <c r="AM242" s="443"/>
      <c r="AN242" s="445"/>
      <c r="AO242" s="445"/>
      <c r="AP242" s="445"/>
      <c r="AQ242" s="445"/>
      <c r="AR242" s="445"/>
      <c r="AS242" s="445"/>
      <c r="AT242" s="445"/>
      <c r="AU242" s="445"/>
      <c r="AV242" s="445"/>
      <c r="AW242" s="445"/>
      <c r="AX242" s="445"/>
      <c r="AY242" s="445"/>
      <c r="AZ242" s="445"/>
      <c r="BA242" s="445"/>
      <c r="BB242" s="445"/>
      <c r="BC242" s="445"/>
      <c r="BD242" s="445"/>
      <c r="BE242" s="445"/>
      <c r="BF242" s="445"/>
      <c r="BG242" s="445"/>
      <c r="BH242" s="445"/>
      <c r="BI242" s="445"/>
      <c r="BJ242" s="445"/>
      <c r="BK242" s="445"/>
      <c r="BL242" s="445"/>
      <c r="BM242" s="445"/>
      <c r="BN242" s="445"/>
      <c r="BO242" s="445"/>
      <c r="BP242" s="445"/>
      <c r="BQ242" s="445"/>
      <c r="BR242" s="445"/>
      <c r="BS242" s="445"/>
      <c r="BT242" s="445"/>
      <c r="BU242" s="445"/>
      <c r="BV242" s="445"/>
      <c r="BW242" s="445"/>
      <c r="BX242" s="445"/>
      <c r="BY242" s="445"/>
      <c r="BZ242" s="445"/>
      <c r="CA242" s="445"/>
      <c r="CB242" s="445"/>
      <c r="CC242" s="445"/>
      <c r="CD242" s="445"/>
      <c r="CE242" s="445"/>
      <c r="CF242" s="445"/>
      <c r="CG242" s="445"/>
      <c r="CH242" s="445"/>
      <c r="CI242" s="445"/>
      <c r="CJ242" s="445"/>
      <c r="CK242" s="445"/>
      <c r="CL242" s="445"/>
      <c r="CM242" s="445"/>
      <c r="CN242" s="445"/>
      <c r="CO242" s="445"/>
      <c r="CP242" s="445"/>
      <c r="CQ242" s="445"/>
      <c r="CR242" s="445"/>
      <c r="CS242" s="445"/>
      <c r="CT242" s="445"/>
      <c r="CU242" s="445"/>
      <c r="CV242" s="445"/>
      <c r="CW242" s="445"/>
      <c r="CX242" s="445"/>
      <c r="CY242" s="445"/>
      <c r="CZ242" s="445"/>
      <c r="DA242" s="445"/>
      <c r="DB242" s="445"/>
      <c r="DC242" s="445"/>
      <c r="DD242" s="445"/>
      <c r="DE242" s="445"/>
      <c r="DF242" s="445"/>
      <c r="DG242" s="445"/>
      <c r="DH242" s="445"/>
      <c r="DI242" s="445"/>
      <c r="DJ242" s="445"/>
      <c r="DK242" s="445"/>
      <c r="DL242" s="445"/>
      <c r="DM242" s="445"/>
      <c r="DN242" s="445"/>
      <c r="DO242" s="445"/>
      <c r="DP242" s="445"/>
      <c r="DQ242" s="445"/>
      <c r="DR242" s="445"/>
      <c r="DS242" s="445"/>
      <c r="DT242" s="445"/>
      <c r="DU242" s="445"/>
      <c r="DV242" s="445"/>
      <c r="DW242" s="445"/>
      <c r="DX242" s="445"/>
      <c r="DY242" s="445"/>
      <c r="DZ242" s="445"/>
      <c r="EA242" s="445"/>
      <c r="EB242" s="445"/>
      <c r="EC242" s="445"/>
      <c r="ED242" s="445"/>
      <c r="EE242" s="445"/>
      <c r="EF242" s="445"/>
      <c r="EG242" s="445"/>
      <c r="EH242" s="445"/>
      <c r="EI242" s="445"/>
      <c r="EJ242" s="445"/>
      <c r="EK242" s="445"/>
      <c r="EL242" s="445"/>
      <c r="EM242" s="445"/>
      <c r="EN242" s="445"/>
      <c r="EO242" s="445"/>
      <c r="EP242" s="445"/>
      <c r="EQ242" s="445"/>
      <c r="ER242" s="445"/>
      <c r="ES242" s="445"/>
      <c r="ET242" s="445"/>
      <c r="EU242" s="445"/>
      <c r="EV242" s="445"/>
      <c r="EW242" s="445"/>
      <c r="EX242" s="445"/>
      <c r="EY242" s="445"/>
      <c r="EZ242" s="445"/>
      <c r="FA242" s="445"/>
      <c r="FB242" s="445"/>
      <c r="FC242" s="445"/>
      <c r="FD242" s="445"/>
      <c r="FE242" s="445"/>
      <c r="FF242" s="445"/>
      <c r="FG242" s="445"/>
      <c r="FH242" s="445"/>
      <c r="FI242" s="445"/>
      <c r="FJ242" s="445"/>
      <c r="FK242" s="445"/>
      <c r="FL242" s="445"/>
      <c r="FM242" s="445"/>
      <c r="FN242" s="445"/>
      <c r="FO242" s="445"/>
      <c r="FP242" s="445"/>
      <c r="FQ242" s="445"/>
      <c r="FR242" s="445"/>
      <c r="FS242" s="445"/>
      <c r="FT242" s="445"/>
      <c r="FU242" s="445"/>
      <c r="FV242" s="445"/>
      <c r="FW242" s="445"/>
      <c r="FX242" s="445"/>
      <c r="FY242" s="445"/>
      <c r="FZ242" s="445"/>
      <c r="GA242" s="445"/>
      <c r="GB242" s="445"/>
      <c r="GC242" s="445"/>
      <c r="GD242" s="445"/>
      <c r="GE242" s="445"/>
      <c r="GF242" s="445"/>
      <c r="GG242" s="445"/>
      <c r="GH242" s="445"/>
      <c r="GI242" s="445"/>
      <c r="GJ242" s="445"/>
      <c r="GK242" s="445"/>
      <c r="GL242" s="445"/>
      <c r="GM242" s="445"/>
      <c r="GN242" s="445"/>
      <c r="GO242" s="445"/>
      <c r="GP242" s="445"/>
      <c r="GQ242" s="445"/>
      <c r="GR242" s="445"/>
      <c r="GS242" s="445"/>
      <c r="GT242" s="445"/>
      <c r="GU242" s="445"/>
      <c r="GV242" s="445"/>
      <c r="GW242" s="445"/>
      <c r="GX242" s="445"/>
      <c r="GY242" s="445"/>
      <c r="GZ242" s="445"/>
      <c r="HA242" s="445"/>
      <c r="HB242" s="445"/>
      <c r="HC242" s="445"/>
      <c r="HD242" s="445"/>
      <c r="HE242" s="445"/>
      <c r="HF242" s="445"/>
      <c r="HG242" s="445"/>
      <c r="HH242" s="445"/>
      <c r="HI242" s="445"/>
      <c r="HJ242" s="445"/>
      <c r="HK242" s="445"/>
      <c r="HL242" s="445"/>
      <c r="HM242" s="445"/>
      <c r="HN242" s="445"/>
      <c r="HO242" s="445"/>
      <c r="HP242" s="445"/>
      <c r="HQ242" s="445"/>
      <c r="HR242" s="445"/>
      <c r="HS242" s="445"/>
      <c r="HT242" s="445"/>
      <c r="HU242" s="445"/>
      <c r="HV242" s="445"/>
      <c r="HW242" s="445"/>
      <c r="HX242" s="445"/>
      <c r="HY242" s="445"/>
      <c r="HZ242" s="445"/>
      <c r="IA242" s="445"/>
      <c r="IB242" s="445"/>
      <c r="IC242" s="445"/>
      <c r="ID242" s="445"/>
      <c r="IE242" s="445"/>
      <c r="IF242" s="445"/>
      <c r="IG242" s="445"/>
      <c r="IH242" s="445"/>
      <c r="II242" s="445"/>
      <c r="IJ242" s="445"/>
      <c r="IK242" s="445"/>
      <c r="IL242" s="445"/>
      <c r="IM242" s="445"/>
      <c r="IN242" s="445"/>
      <c r="IO242" s="445"/>
      <c r="IP242" s="445"/>
      <c r="IQ242" s="445"/>
      <c r="IR242" s="445"/>
      <c r="IS242" s="445"/>
      <c r="IT242" s="445"/>
      <c r="IU242" s="445"/>
      <c r="IV242" s="445"/>
      <c r="IW242" s="445"/>
      <c r="IX242" s="445"/>
      <c r="IY242" s="445"/>
      <c r="IZ242" s="445"/>
      <c r="JA242" s="445"/>
      <c r="JB242" s="445"/>
      <c r="JC242" s="445"/>
      <c r="JD242" s="445"/>
      <c r="JE242" s="445"/>
      <c r="JF242" s="445"/>
      <c r="JG242" s="445"/>
      <c r="JH242" s="445"/>
      <c r="JI242" s="445"/>
      <c r="JJ242" s="445"/>
      <c r="JK242" s="445"/>
      <c r="JL242" s="445"/>
      <c r="JM242" s="445"/>
      <c r="JN242" s="445"/>
      <c r="JO242" s="445"/>
      <c r="JP242" s="445"/>
      <c r="JQ242" s="445"/>
      <c r="JR242" s="445"/>
      <c r="JS242" s="445"/>
      <c r="JT242" s="445"/>
      <c r="JU242" s="445"/>
      <c r="JV242" s="445"/>
      <c r="JW242" s="2242"/>
      <c r="JX242" s="445"/>
      <c r="JY242" s="445"/>
      <c r="JZ242" s="445"/>
      <c r="KA242" s="445"/>
      <c r="KB242" s="2242"/>
      <c r="KC242" s="2242"/>
      <c r="KD242" s="2242"/>
      <c r="KE242" s="2242"/>
      <c r="KF242" s="2242"/>
      <c r="KG242" s="2242"/>
      <c r="KH242" s="2242"/>
      <c r="KI242" s="2242"/>
      <c r="KJ242" s="2242"/>
      <c r="KK242" s="2242"/>
      <c r="KL242" s="2242"/>
      <c r="KM242" s="2242"/>
      <c r="KN242" s="2242"/>
      <c r="KO242" s="2242"/>
      <c r="KP242" s="2242"/>
      <c r="KQ242" s="2242"/>
      <c r="KR242" s="2242"/>
      <c r="KS242" s="2242"/>
      <c r="KT242" s="2242"/>
      <c r="KU242" s="2242"/>
      <c r="KV242" s="2242"/>
      <c r="KW242" s="2242"/>
      <c r="KX242" s="2242"/>
      <c r="KY242" s="2242"/>
      <c r="KZ242" s="2242"/>
      <c r="LA242" s="2242"/>
      <c r="LB242" s="2242"/>
      <c r="LC242" s="2242"/>
      <c r="LD242" s="2242"/>
      <c r="LE242" s="2242"/>
      <c r="LF242" s="2242"/>
      <c r="LG242" s="2242"/>
      <c r="LH242" s="2242"/>
      <c r="LI242" s="2242"/>
      <c r="LJ242" s="2242"/>
      <c r="LK242" s="2242"/>
      <c r="LL242" s="2242"/>
      <c r="LM242" s="2242"/>
      <c r="LN242" s="2242"/>
      <c r="LO242" s="2242"/>
      <c r="LP242" s="2242"/>
      <c r="LQ242" s="2242"/>
      <c r="LR242" s="445"/>
      <c r="LS242" s="445"/>
      <c r="LT242" s="445"/>
      <c r="LU242" s="445"/>
      <c r="LV242" s="445"/>
      <c r="LW242" s="445"/>
      <c r="LX242" s="2243"/>
      <c r="LY242" s="445"/>
      <c r="LZ242" s="445"/>
      <c r="MA242" s="445"/>
      <c r="MB242" s="445"/>
      <c r="MC242" s="445"/>
      <c r="MD242" s="445"/>
      <c r="ME242" s="445"/>
      <c r="MF242" s="445"/>
      <c r="MG242" s="445"/>
      <c r="MH242" s="445"/>
      <c r="MI242" s="445"/>
      <c r="MJ242" s="445"/>
      <c r="MK242" s="445"/>
      <c r="ML242" s="445"/>
      <c r="MM242" s="445"/>
      <c r="MN242" s="2243"/>
      <c r="MO242" s="2243"/>
      <c r="MP242" s="445"/>
      <c r="MQ242" s="445"/>
      <c r="MR242" s="445"/>
      <c r="MS242" s="445"/>
      <c r="MT242" s="445"/>
      <c r="MU242" s="445"/>
      <c r="MV242" s="445"/>
      <c r="MW242" s="445"/>
      <c r="MX242" s="445"/>
      <c r="MY242" s="445"/>
      <c r="MZ242" s="445"/>
      <c r="NA242" s="445"/>
      <c r="NB242" s="445"/>
      <c r="NC242" s="445"/>
      <c r="ND242" s="445"/>
      <c r="NE242" s="94"/>
      <c r="NF242" s="94"/>
      <c r="NG242" s="94"/>
      <c r="NH242" s="94"/>
      <c r="NI242" s="94"/>
      <c r="NJ242" s="94"/>
      <c r="NK242" s="94"/>
      <c r="NL242" s="94"/>
      <c r="NM242" s="94"/>
      <c r="NN242" s="94"/>
      <c r="NO242" s="94"/>
      <c r="NP242" s="94"/>
      <c r="NQ242" s="94"/>
      <c r="NR242" s="94"/>
      <c r="NS242" s="94"/>
      <c r="NT242" s="94"/>
      <c r="NU242" s="94"/>
      <c r="NV242" s="94"/>
      <c r="NW242" s="94"/>
      <c r="NX242" s="94"/>
      <c r="NY242" s="94"/>
      <c r="NZ242" s="94"/>
      <c r="OA242" s="94"/>
      <c r="OB242" s="94"/>
      <c r="OC242" s="94"/>
      <c r="OD242" s="94"/>
      <c r="OE242" s="94"/>
      <c r="OF242" s="94"/>
      <c r="OG242" s="94"/>
      <c r="OH242" s="94"/>
      <c r="OI242" s="94"/>
      <c r="OJ242" s="94"/>
      <c r="OK242" s="94"/>
      <c r="OL242" s="94"/>
      <c r="OM242" s="94"/>
      <c r="ON242" s="94"/>
      <c r="OO242" s="94"/>
      <c r="OP242" s="94"/>
      <c r="OQ242" s="94"/>
      <c r="OR242" s="94"/>
      <c r="OS242" s="94"/>
      <c r="OT242" s="94"/>
      <c r="OU242" s="94"/>
      <c r="OV242" s="94"/>
      <c r="OW242" s="94"/>
      <c r="OX242" s="94"/>
      <c r="OY242" s="94"/>
      <c r="OZ242" s="94"/>
      <c r="PA242" s="94"/>
      <c r="PB242" s="94"/>
      <c r="PC242" s="94"/>
      <c r="PD242" s="94"/>
      <c r="PE242" s="94"/>
      <c r="PF242" s="94"/>
      <c r="PG242" s="94"/>
      <c r="PH242" s="94"/>
      <c r="PI242" s="94"/>
      <c r="PJ242" s="94"/>
      <c r="PK242" s="94"/>
      <c r="PL242" s="94"/>
      <c r="PM242" s="94"/>
      <c r="PN242" s="94"/>
      <c r="PO242" s="94"/>
      <c r="PP242" s="94"/>
      <c r="PQ242" s="94"/>
      <c r="PR242" s="94"/>
      <c r="PS242" s="94"/>
      <c r="PT242" s="94"/>
      <c r="PU242" s="94"/>
      <c r="PV242" s="94"/>
      <c r="PW242" s="94"/>
      <c r="PX242" s="94"/>
      <c r="PY242" s="94"/>
      <c r="PZ242" s="94"/>
      <c r="QA242" s="94"/>
      <c r="QB242" s="94"/>
      <c r="QC242" s="94"/>
      <c r="QD242" s="94"/>
      <c r="QE242" s="94"/>
      <c r="QF242" s="94"/>
      <c r="QG242" s="94"/>
      <c r="QH242" s="94"/>
      <c r="QI242" s="94"/>
      <c r="QJ242" s="94"/>
      <c r="QK242" s="94"/>
      <c r="QL242" s="94"/>
      <c r="QM242" s="94"/>
      <c r="QN242" s="94"/>
      <c r="QO242" s="94"/>
      <c r="QP242" s="94"/>
      <c r="QQ242" s="94"/>
      <c r="QR242" s="94"/>
      <c r="QS242" s="94"/>
      <c r="QT242" s="94"/>
      <c r="QU242" s="94"/>
      <c r="QV242" s="94"/>
      <c r="QW242" s="94"/>
      <c r="QX242" s="94"/>
      <c r="QY242" s="94"/>
      <c r="QZ242" s="94"/>
      <c r="RA242" s="94"/>
      <c r="RB242" s="94"/>
      <c r="RC242" s="94"/>
      <c r="RD242" s="94"/>
      <c r="RE242" s="94"/>
      <c r="RF242" s="94"/>
      <c r="RG242" s="94"/>
      <c r="RH242" s="94"/>
      <c r="RI242" s="94"/>
      <c r="RJ242" s="94"/>
      <c r="RK242" s="94"/>
      <c r="RL242" s="94"/>
      <c r="RM242" s="94"/>
      <c r="RN242" s="94"/>
      <c r="RO242" s="94"/>
      <c r="RP242" s="94"/>
      <c r="RQ242" s="94"/>
      <c r="RR242" s="94"/>
      <c r="RS242" s="94"/>
      <c r="RT242" s="94"/>
      <c r="RU242" s="94"/>
      <c r="RV242" s="94"/>
      <c r="RW242" s="94"/>
      <c r="RX242" s="94"/>
      <c r="RY242" s="94"/>
      <c r="RZ242" s="94"/>
      <c r="SA242" s="94"/>
      <c r="SB242" s="94"/>
      <c r="SC242" s="94"/>
      <c r="SD242" s="94"/>
      <c r="SE242" s="94"/>
      <c r="SF242" s="94"/>
      <c r="SG242" s="94"/>
      <c r="SH242" s="94"/>
      <c r="SI242" s="94"/>
    </row>
    <row r="243" spans="1:503" s="90" customFormat="1" ht="15.6" customHeight="1">
      <c r="A243" s="1"/>
      <c r="B243" s="1" t="s">
        <v>983</v>
      </c>
      <c r="C243" s="1"/>
      <c r="D243" s="9"/>
      <c r="E243" s="1"/>
      <c r="F243" s="4068">
        <v>5000</v>
      </c>
      <c r="G243" s="4069"/>
      <c r="H243" s="1"/>
      <c r="I243" s="94" t="s">
        <v>4518</v>
      </c>
      <c r="K243" s="1"/>
      <c r="L243" s="4075">
        <v>42345</v>
      </c>
      <c r="M243" s="4076"/>
      <c r="R243" s="839"/>
      <c r="S243" s="3996"/>
      <c r="T243" s="3997"/>
      <c r="U243" s="3997"/>
      <c r="V243" s="3997"/>
      <c r="W243" s="3998"/>
      <c r="X243" s="443"/>
      <c r="Y243" s="445"/>
      <c r="Z243" s="445"/>
      <c r="AA243" s="445"/>
      <c r="AB243" s="445"/>
      <c r="AC243" s="443"/>
      <c r="AD243" s="445"/>
      <c r="AE243" s="445"/>
      <c r="AF243" s="445"/>
      <c r="AG243" s="445"/>
      <c r="AH243" s="443"/>
      <c r="AI243" s="445"/>
      <c r="AJ243" s="445"/>
      <c r="AK243" s="445"/>
      <c r="AL243" s="445"/>
      <c r="AM243" s="443"/>
      <c r="AN243" s="445"/>
      <c r="AO243" s="445"/>
      <c r="AP243" s="445"/>
      <c r="AQ243" s="445"/>
      <c r="AR243" s="445"/>
      <c r="AS243" s="445"/>
      <c r="AT243" s="445"/>
      <c r="AU243" s="445"/>
      <c r="AV243" s="445"/>
      <c r="AW243" s="445"/>
      <c r="AX243" s="445"/>
      <c r="AY243" s="445"/>
      <c r="AZ243" s="445"/>
      <c r="BA243" s="445"/>
      <c r="BB243" s="445"/>
      <c r="BC243" s="445"/>
      <c r="BD243" s="445"/>
      <c r="BE243" s="445"/>
      <c r="BF243" s="445"/>
      <c r="BG243" s="445"/>
      <c r="BH243" s="445"/>
      <c r="BI243" s="445"/>
      <c r="BJ243" s="445"/>
      <c r="BK243" s="445"/>
      <c r="BL243" s="445"/>
      <c r="BM243" s="445"/>
      <c r="BN243" s="445"/>
      <c r="BO243" s="445"/>
      <c r="BP243" s="445"/>
      <c r="BQ243" s="445"/>
      <c r="BR243" s="445"/>
      <c r="BS243" s="445"/>
      <c r="BT243" s="445"/>
      <c r="BU243" s="445"/>
      <c r="BV243" s="445"/>
      <c r="BW243" s="445"/>
      <c r="BX243" s="445"/>
      <c r="BY243" s="445"/>
      <c r="BZ243" s="445"/>
      <c r="CA243" s="445"/>
      <c r="CB243" s="445"/>
      <c r="CC243" s="445"/>
      <c r="CD243" s="445"/>
      <c r="CE243" s="445"/>
      <c r="CF243" s="445"/>
      <c r="CG243" s="445"/>
      <c r="CH243" s="445"/>
      <c r="CI243" s="445"/>
      <c r="CJ243" s="445"/>
      <c r="CK243" s="445"/>
      <c r="CL243" s="445"/>
      <c r="CM243" s="445"/>
      <c r="CN243" s="445"/>
      <c r="CO243" s="445"/>
      <c r="CP243" s="445"/>
      <c r="CQ243" s="445"/>
      <c r="CR243" s="445"/>
      <c r="CS243" s="445"/>
      <c r="CT243" s="445"/>
      <c r="CU243" s="445"/>
      <c r="CV243" s="445"/>
      <c r="CW243" s="445"/>
      <c r="CX243" s="445"/>
      <c r="CY243" s="445"/>
      <c r="CZ243" s="445"/>
      <c r="DA243" s="445"/>
      <c r="DB243" s="445"/>
      <c r="DC243" s="445"/>
      <c r="DD243" s="445"/>
      <c r="DE243" s="445"/>
      <c r="DF243" s="445"/>
      <c r="DG243" s="445"/>
      <c r="DH243" s="445"/>
      <c r="DI243" s="445"/>
      <c r="DJ243" s="445"/>
      <c r="DK243" s="445"/>
      <c r="DL243" s="445"/>
      <c r="DM243" s="445"/>
      <c r="DN243" s="445"/>
      <c r="DO243" s="445"/>
      <c r="DP243" s="445"/>
      <c r="DQ243" s="445"/>
      <c r="DR243" s="445"/>
      <c r="DS243" s="445"/>
      <c r="DT243" s="445"/>
      <c r="DU243" s="445"/>
      <c r="DV243" s="445"/>
      <c r="DW243" s="445"/>
      <c r="DX243" s="445"/>
      <c r="DY243" s="445"/>
      <c r="DZ243" s="445"/>
      <c r="EA243" s="445"/>
      <c r="EB243" s="445"/>
      <c r="EC243" s="445"/>
      <c r="ED243" s="445"/>
      <c r="EE243" s="445"/>
      <c r="EF243" s="445"/>
      <c r="EG243" s="445"/>
      <c r="EH243" s="445"/>
      <c r="EI243" s="445"/>
      <c r="EJ243" s="445"/>
      <c r="EK243" s="445"/>
      <c r="EL243" s="445"/>
      <c r="EM243" s="445"/>
      <c r="EN243" s="445"/>
      <c r="EO243" s="445"/>
      <c r="EP243" s="445"/>
      <c r="EQ243" s="445"/>
      <c r="ER243" s="445"/>
      <c r="ES243" s="445"/>
      <c r="ET243" s="445"/>
      <c r="EU243" s="445"/>
      <c r="EV243" s="445"/>
      <c r="EW243" s="445"/>
      <c r="EX243" s="445"/>
      <c r="EY243" s="445"/>
      <c r="EZ243" s="445"/>
      <c r="FA243" s="445"/>
      <c r="FB243" s="445"/>
      <c r="FC243" s="445"/>
      <c r="FD243" s="445"/>
      <c r="FE243" s="445"/>
      <c r="FF243" s="445"/>
      <c r="FG243" s="445"/>
      <c r="FH243" s="445"/>
      <c r="FI243" s="445"/>
      <c r="FJ243" s="445"/>
      <c r="FK243" s="445"/>
      <c r="FL243" s="445"/>
      <c r="FM243" s="445"/>
      <c r="FN243" s="445"/>
      <c r="FO243" s="445"/>
      <c r="FP243" s="445"/>
      <c r="FQ243" s="445"/>
      <c r="FR243" s="445"/>
      <c r="FS243" s="445"/>
      <c r="FT243" s="445"/>
      <c r="FU243" s="445"/>
      <c r="FV243" s="445"/>
      <c r="FW243" s="445"/>
      <c r="FX243" s="445"/>
      <c r="FY243" s="445"/>
      <c r="FZ243" s="445"/>
      <c r="GA243" s="445"/>
      <c r="GB243" s="445"/>
      <c r="GC243" s="445"/>
      <c r="GD243" s="445"/>
      <c r="GE243" s="445"/>
      <c r="GF243" s="445"/>
      <c r="GG243" s="445"/>
      <c r="GH243" s="445"/>
      <c r="GI243" s="445"/>
      <c r="GJ243" s="445"/>
      <c r="GK243" s="445"/>
      <c r="GL243" s="445"/>
      <c r="GM243" s="445"/>
      <c r="GN243" s="445"/>
      <c r="GO243" s="445"/>
      <c r="GP243" s="445"/>
      <c r="GQ243" s="445"/>
      <c r="GR243" s="445"/>
      <c r="GS243" s="445"/>
      <c r="GT243" s="445"/>
      <c r="GU243" s="445"/>
      <c r="GV243" s="445"/>
      <c r="GW243" s="445"/>
      <c r="GX243" s="445"/>
      <c r="GY243" s="445"/>
      <c r="GZ243" s="445"/>
      <c r="HA243" s="445"/>
      <c r="HB243" s="445"/>
      <c r="HC243" s="445"/>
      <c r="HD243" s="445"/>
      <c r="HE243" s="445"/>
      <c r="HF243" s="445"/>
      <c r="HG243" s="445"/>
      <c r="HH243" s="445"/>
      <c r="HI243" s="445"/>
      <c r="HJ243" s="445"/>
      <c r="HK243" s="445"/>
      <c r="HL243" s="445"/>
      <c r="HM243" s="445"/>
      <c r="HN243" s="445"/>
      <c r="HO243" s="445"/>
      <c r="HP243" s="445"/>
      <c r="HQ243" s="445"/>
      <c r="HR243" s="445"/>
      <c r="HS243" s="445"/>
      <c r="HT243" s="445"/>
      <c r="HU243" s="445"/>
      <c r="HV243" s="445"/>
      <c r="HW243" s="445"/>
      <c r="HX243" s="445"/>
      <c r="HY243" s="445"/>
      <c r="HZ243" s="445"/>
      <c r="IA243" s="445"/>
      <c r="IB243" s="445"/>
      <c r="IC243" s="445"/>
      <c r="ID243" s="445"/>
      <c r="IE243" s="445"/>
      <c r="IF243" s="445"/>
      <c r="IG243" s="445"/>
      <c r="IH243" s="445"/>
      <c r="II243" s="445"/>
      <c r="IJ243" s="445"/>
      <c r="IK243" s="445"/>
      <c r="IL243" s="445"/>
      <c r="IM243" s="445"/>
      <c r="IN243" s="445"/>
      <c r="IO243" s="445"/>
      <c r="IP243" s="445"/>
      <c r="IQ243" s="445"/>
      <c r="IR243" s="445"/>
      <c r="IS243" s="445"/>
      <c r="IT243" s="445"/>
      <c r="IU243" s="445"/>
      <c r="IV243" s="445"/>
      <c r="IW243" s="445"/>
      <c r="IX243" s="445"/>
      <c r="IY243" s="445"/>
      <c r="IZ243" s="445"/>
      <c r="JA243" s="445"/>
      <c r="JB243" s="445"/>
      <c r="JC243" s="445"/>
      <c r="JD243" s="445"/>
      <c r="JE243" s="445"/>
      <c r="JF243" s="445"/>
      <c r="JG243" s="445"/>
      <c r="JH243" s="445"/>
      <c r="JI243" s="445"/>
      <c r="JJ243" s="445"/>
      <c r="JK243" s="445"/>
      <c r="JL243" s="445"/>
      <c r="JM243" s="445"/>
      <c r="JN243" s="445"/>
      <c r="JO243" s="445"/>
      <c r="JP243" s="445"/>
      <c r="JQ243" s="445"/>
      <c r="JR243" s="445"/>
      <c r="JS243" s="445"/>
      <c r="JT243" s="445"/>
      <c r="JU243" s="445"/>
      <c r="JV243" s="445"/>
      <c r="JW243" s="2242"/>
      <c r="JX243" s="445"/>
      <c r="JY243" s="445"/>
      <c r="JZ243" s="445"/>
      <c r="KA243" s="445"/>
      <c r="KB243" s="2242"/>
      <c r="KC243" s="2242"/>
      <c r="KD243" s="2242"/>
      <c r="KE243" s="2242"/>
      <c r="KF243" s="2242"/>
      <c r="KG243" s="2242"/>
      <c r="KH243" s="2242"/>
      <c r="KI243" s="2242"/>
      <c r="KJ243" s="2242"/>
      <c r="KK243" s="2242"/>
      <c r="KL243" s="2242"/>
      <c r="KM243" s="2242"/>
      <c r="KN243" s="2242"/>
      <c r="KO243" s="2242"/>
      <c r="KP243" s="2242"/>
      <c r="KQ243" s="2242"/>
      <c r="KR243" s="2242"/>
      <c r="KS243" s="2242"/>
      <c r="KT243" s="2242"/>
      <c r="KU243" s="2242"/>
      <c r="KV243" s="2242"/>
      <c r="KW243" s="2242"/>
      <c r="KX243" s="2242"/>
      <c r="KY243" s="2242"/>
      <c r="KZ243" s="2242"/>
      <c r="LA243" s="2242"/>
      <c r="LB243" s="2242"/>
      <c r="LC243" s="2242"/>
      <c r="LD243" s="2242"/>
      <c r="LE243" s="2242"/>
      <c r="LF243" s="2242"/>
      <c r="LG243" s="2242"/>
      <c r="LH243" s="2242"/>
      <c r="LI243" s="2242"/>
      <c r="LJ243" s="2242"/>
      <c r="LK243" s="2242"/>
      <c r="LL243" s="2242"/>
      <c r="LM243" s="2242"/>
      <c r="LN243" s="2242"/>
      <c r="LO243" s="2242"/>
      <c r="LP243" s="2242"/>
      <c r="LQ243" s="2242"/>
      <c r="LR243" s="445"/>
      <c r="LS243" s="445"/>
      <c r="LT243" s="445"/>
      <c r="LU243" s="445"/>
      <c r="LV243" s="445"/>
      <c r="LW243" s="445"/>
      <c r="LX243" s="2243"/>
      <c r="LY243" s="445"/>
      <c r="LZ243" s="445"/>
      <c r="MA243" s="445"/>
      <c r="MB243" s="445"/>
      <c r="MC243" s="445"/>
      <c r="MD243" s="445"/>
      <c r="ME243" s="445"/>
      <c r="MF243" s="445"/>
      <c r="MG243" s="445"/>
      <c r="MH243" s="445"/>
      <c r="MI243" s="445"/>
      <c r="MJ243" s="445"/>
      <c r="MK243" s="445"/>
      <c r="ML243" s="445"/>
      <c r="MM243" s="445"/>
      <c r="MN243" s="2243"/>
      <c r="MO243" s="2243"/>
      <c r="MP243" s="445"/>
      <c r="MQ243" s="445"/>
      <c r="MR243" s="445"/>
      <c r="MS243" s="445"/>
      <c r="MT243" s="445"/>
      <c r="MU243" s="445"/>
      <c r="MV243" s="445"/>
      <c r="MW243" s="445"/>
      <c r="MX243" s="445"/>
      <c r="MY243" s="445"/>
      <c r="MZ243" s="445"/>
      <c r="NA243" s="445"/>
      <c r="NB243" s="445"/>
      <c r="NC243" s="445"/>
      <c r="ND243" s="445"/>
      <c r="NE243" s="94"/>
      <c r="NF243" s="94"/>
      <c r="NG243" s="94"/>
      <c r="NH243" s="94"/>
      <c r="NI243" s="94"/>
      <c r="NJ243" s="94"/>
      <c r="NK243" s="94"/>
      <c r="NL243" s="94"/>
      <c r="NM243" s="94"/>
      <c r="NN243" s="94"/>
      <c r="NO243" s="94"/>
      <c r="NP243" s="94"/>
      <c r="NQ243" s="94"/>
      <c r="NR243" s="94"/>
      <c r="NS243" s="94"/>
      <c r="NT243" s="94"/>
      <c r="NU243" s="94"/>
      <c r="NV243" s="94"/>
      <c r="NW243" s="94"/>
      <c r="NX243" s="94"/>
      <c r="NY243" s="94"/>
      <c r="NZ243" s="94"/>
      <c r="OA243" s="94"/>
      <c r="OB243" s="94"/>
      <c r="OC243" s="94"/>
      <c r="OD243" s="94"/>
      <c r="OE243" s="94"/>
      <c r="OF243" s="94"/>
      <c r="OG243" s="94"/>
      <c r="OH243" s="94"/>
      <c r="OI243" s="94"/>
      <c r="OJ243" s="94"/>
      <c r="OK243" s="94"/>
      <c r="OL243" s="94"/>
      <c r="OM243" s="94"/>
      <c r="ON243" s="94"/>
      <c r="OO243" s="94"/>
      <c r="OP243" s="94"/>
      <c r="OQ243" s="94"/>
      <c r="OR243" s="94"/>
      <c r="OS243" s="94"/>
      <c r="OT243" s="94"/>
      <c r="OU243" s="94"/>
      <c r="OV243" s="94"/>
      <c r="OW243" s="94"/>
      <c r="OX243" s="94"/>
      <c r="OY243" s="94"/>
      <c r="OZ243" s="94"/>
      <c r="PA243" s="94"/>
      <c r="PB243" s="94"/>
      <c r="PC243" s="94"/>
      <c r="PD243" s="94"/>
      <c r="PE243" s="94"/>
      <c r="PF243" s="94"/>
      <c r="PG243" s="94"/>
      <c r="PH243" s="94"/>
      <c r="PI243" s="94"/>
      <c r="PJ243" s="94"/>
      <c r="PK243" s="94"/>
      <c r="PL243" s="94"/>
      <c r="PM243" s="94"/>
      <c r="PN243" s="94"/>
      <c r="PO243" s="94"/>
      <c r="PP243" s="94"/>
      <c r="PQ243" s="94"/>
      <c r="PR243" s="94"/>
      <c r="PS243" s="94"/>
      <c r="PT243" s="94"/>
      <c r="PU243" s="94"/>
      <c r="PV243" s="94"/>
      <c r="PW243" s="94"/>
      <c r="PX243" s="94"/>
      <c r="PY243" s="94"/>
      <c r="PZ243" s="94"/>
      <c r="QA243" s="94"/>
      <c r="QB243" s="94"/>
      <c r="QC243" s="94"/>
      <c r="QD243" s="94"/>
      <c r="QE243" s="94"/>
      <c r="QF243" s="94"/>
      <c r="QG243" s="94"/>
      <c r="QH243" s="94"/>
      <c r="QI243" s="94"/>
      <c r="QJ243" s="94"/>
      <c r="QK243" s="94"/>
      <c r="QL243" s="94"/>
      <c r="QM243" s="94"/>
      <c r="QN243" s="94"/>
      <c r="QO243" s="94"/>
      <c r="QP243" s="94"/>
      <c r="QQ243" s="94"/>
      <c r="QR243" s="94"/>
      <c r="QS243" s="94"/>
      <c r="QT243" s="94"/>
      <c r="QU243" s="94"/>
      <c r="QV243" s="94"/>
      <c r="QW243" s="94"/>
      <c r="QX243" s="94"/>
      <c r="QY243" s="94"/>
      <c r="QZ243" s="94"/>
      <c r="RA243" s="94"/>
      <c r="RB243" s="94"/>
      <c r="RC243" s="94"/>
      <c r="RD243" s="94"/>
      <c r="RE243" s="94"/>
      <c r="RF243" s="94"/>
      <c r="RG243" s="94"/>
      <c r="RH243" s="94"/>
      <c r="RI243" s="94"/>
      <c r="RJ243" s="94"/>
      <c r="RK243" s="94"/>
      <c r="RL243" s="94"/>
      <c r="RM243" s="94"/>
      <c r="RN243" s="94"/>
      <c r="RO243" s="94"/>
      <c r="RP243" s="94"/>
      <c r="RQ243" s="94"/>
      <c r="RR243" s="94"/>
      <c r="RS243" s="94"/>
      <c r="RT243" s="94"/>
      <c r="RU243" s="94"/>
      <c r="RV243" s="94"/>
      <c r="RW243" s="94"/>
      <c r="RX243" s="94"/>
      <c r="RY243" s="94"/>
      <c r="RZ243" s="94"/>
      <c r="SA243" s="94"/>
      <c r="SB243" s="94"/>
      <c r="SC243" s="94"/>
      <c r="SD243" s="94"/>
      <c r="SE243" s="94"/>
      <c r="SF243" s="94"/>
      <c r="SG243" s="94"/>
      <c r="SH243" s="94"/>
      <c r="SI243" s="94"/>
    </row>
    <row r="244" spans="1:503" s="90" customFormat="1" ht="15.6" customHeight="1">
      <c r="A244" s="1"/>
      <c r="B244" s="1" t="s">
        <v>848</v>
      </c>
      <c r="C244" s="1"/>
      <c r="D244" s="9"/>
      <c r="E244" s="1"/>
      <c r="F244" s="4068">
        <v>9575</v>
      </c>
      <c r="G244" s="4069"/>
      <c r="H244" s="1"/>
      <c r="I244" s="1" t="s">
        <v>143</v>
      </c>
      <c r="K244" s="1"/>
      <c r="L244" s="4077">
        <v>21240</v>
      </c>
      <c r="M244" s="4078"/>
      <c r="R244" s="839"/>
      <c r="S244" s="3996"/>
      <c r="T244" s="3997"/>
      <c r="U244" s="3997"/>
      <c r="V244" s="3997"/>
      <c r="W244" s="3998"/>
      <c r="X244" s="443"/>
      <c r="Y244" s="445"/>
      <c r="Z244" s="445"/>
      <c r="AA244" s="445"/>
      <c r="AB244" s="445"/>
      <c r="AC244" s="443"/>
      <c r="AD244" s="445"/>
      <c r="AE244" s="445"/>
      <c r="AF244" s="445"/>
      <c r="AG244" s="445"/>
      <c r="AH244" s="443"/>
      <c r="AI244" s="445"/>
      <c r="AJ244" s="445"/>
      <c r="AK244" s="445"/>
      <c r="AL244" s="445"/>
      <c r="AM244" s="443"/>
      <c r="AN244" s="445"/>
      <c r="AO244" s="445"/>
      <c r="AP244" s="445"/>
      <c r="AQ244" s="445"/>
      <c r="AR244" s="445"/>
      <c r="AS244" s="445"/>
      <c r="AT244" s="445"/>
      <c r="AU244" s="445"/>
      <c r="AV244" s="445"/>
      <c r="AW244" s="445"/>
      <c r="AX244" s="445"/>
      <c r="AY244" s="445"/>
      <c r="AZ244" s="445"/>
      <c r="BA244" s="445"/>
      <c r="BB244" s="445"/>
      <c r="BC244" s="445"/>
      <c r="BD244" s="445"/>
      <c r="BE244" s="445"/>
      <c r="BF244" s="445"/>
      <c r="BG244" s="445"/>
      <c r="BH244" s="445"/>
      <c r="BI244" s="445"/>
      <c r="BJ244" s="445"/>
      <c r="BK244" s="445"/>
      <c r="BL244" s="445"/>
      <c r="BM244" s="445"/>
      <c r="BN244" s="445"/>
      <c r="BO244" s="445"/>
      <c r="BP244" s="445"/>
      <c r="BQ244" s="445"/>
      <c r="BR244" s="445"/>
      <c r="BS244" s="445"/>
      <c r="BT244" s="445"/>
      <c r="BU244" s="445"/>
      <c r="BV244" s="445"/>
      <c r="BW244" s="445"/>
      <c r="BX244" s="445"/>
      <c r="BY244" s="445"/>
      <c r="BZ244" s="445"/>
      <c r="CA244" s="445"/>
      <c r="CB244" s="445"/>
      <c r="CC244" s="445"/>
      <c r="CD244" s="445"/>
      <c r="CE244" s="445"/>
      <c r="CF244" s="445"/>
      <c r="CG244" s="445"/>
      <c r="CH244" s="445"/>
      <c r="CI244" s="445"/>
      <c r="CJ244" s="445"/>
      <c r="CK244" s="445"/>
      <c r="CL244" s="445"/>
      <c r="CM244" s="445"/>
      <c r="CN244" s="445"/>
      <c r="CO244" s="445"/>
      <c r="CP244" s="445"/>
      <c r="CQ244" s="445"/>
      <c r="CR244" s="445"/>
      <c r="CS244" s="445"/>
      <c r="CT244" s="445"/>
      <c r="CU244" s="445"/>
      <c r="CV244" s="445"/>
      <c r="CW244" s="445"/>
      <c r="CX244" s="445"/>
      <c r="CY244" s="445"/>
      <c r="CZ244" s="445"/>
      <c r="DA244" s="445"/>
      <c r="DB244" s="445"/>
      <c r="DC244" s="445"/>
      <c r="DD244" s="445"/>
      <c r="DE244" s="445"/>
      <c r="DF244" s="445"/>
      <c r="DG244" s="445"/>
      <c r="DH244" s="445"/>
      <c r="DI244" s="445"/>
      <c r="DJ244" s="445"/>
      <c r="DK244" s="445"/>
      <c r="DL244" s="445"/>
      <c r="DM244" s="445"/>
      <c r="DN244" s="445"/>
      <c r="DO244" s="445"/>
      <c r="DP244" s="445"/>
      <c r="DQ244" s="445"/>
      <c r="DR244" s="445"/>
      <c r="DS244" s="445"/>
      <c r="DT244" s="445"/>
      <c r="DU244" s="445"/>
      <c r="DV244" s="445"/>
      <c r="DW244" s="445"/>
      <c r="DX244" s="445"/>
      <c r="DY244" s="445"/>
      <c r="DZ244" s="445"/>
      <c r="EA244" s="445"/>
      <c r="EB244" s="445"/>
      <c r="EC244" s="445"/>
      <c r="ED244" s="445"/>
      <c r="EE244" s="445"/>
      <c r="EF244" s="445"/>
      <c r="EG244" s="445"/>
      <c r="EH244" s="445"/>
      <c r="EI244" s="445"/>
      <c r="EJ244" s="445"/>
      <c r="EK244" s="445"/>
      <c r="EL244" s="445"/>
      <c r="EM244" s="445"/>
      <c r="EN244" s="445"/>
      <c r="EO244" s="445"/>
      <c r="EP244" s="445"/>
      <c r="EQ244" s="445"/>
      <c r="ER244" s="445"/>
      <c r="ES244" s="445"/>
      <c r="ET244" s="445"/>
      <c r="EU244" s="445"/>
      <c r="EV244" s="445"/>
      <c r="EW244" s="445"/>
      <c r="EX244" s="445"/>
      <c r="EY244" s="445"/>
      <c r="EZ244" s="445"/>
      <c r="FA244" s="445"/>
      <c r="FB244" s="445"/>
      <c r="FC244" s="445"/>
      <c r="FD244" s="445"/>
      <c r="FE244" s="445"/>
      <c r="FF244" s="445"/>
      <c r="FG244" s="445"/>
      <c r="FH244" s="445"/>
      <c r="FI244" s="445"/>
      <c r="FJ244" s="445"/>
      <c r="FK244" s="445"/>
      <c r="FL244" s="445"/>
      <c r="FM244" s="445"/>
      <c r="FN244" s="445"/>
      <c r="FO244" s="445"/>
      <c r="FP244" s="445"/>
      <c r="FQ244" s="445"/>
      <c r="FR244" s="445"/>
      <c r="FS244" s="445"/>
      <c r="FT244" s="445"/>
      <c r="FU244" s="445"/>
      <c r="FV244" s="445"/>
      <c r="FW244" s="445"/>
      <c r="FX244" s="445"/>
      <c r="FY244" s="445"/>
      <c r="FZ244" s="445"/>
      <c r="GA244" s="445"/>
      <c r="GB244" s="445"/>
      <c r="GC244" s="445"/>
      <c r="GD244" s="445"/>
      <c r="GE244" s="445"/>
      <c r="GF244" s="445"/>
      <c r="GG244" s="445"/>
      <c r="GH244" s="445"/>
      <c r="GI244" s="445"/>
      <c r="GJ244" s="445"/>
      <c r="GK244" s="445"/>
      <c r="GL244" s="445"/>
      <c r="GM244" s="445"/>
      <c r="GN244" s="445"/>
      <c r="GO244" s="445"/>
      <c r="GP244" s="445"/>
      <c r="GQ244" s="445"/>
      <c r="GR244" s="445"/>
      <c r="GS244" s="445"/>
      <c r="GT244" s="445"/>
      <c r="GU244" s="445"/>
      <c r="GV244" s="445"/>
      <c r="GW244" s="445"/>
      <c r="GX244" s="445"/>
      <c r="GY244" s="445"/>
      <c r="GZ244" s="445"/>
      <c r="HA244" s="445"/>
      <c r="HB244" s="445"/>
      <c r="HC244" s="445"/>
      <c r="HD244" s="445"/>
      <c r="HE244" s="445"/>
      <c r="HF244" s="445"/>
      <c r="HG244" s="445"/>
      <c r="HH244" s="445"/>
      <c r="HI244" s="445"/>
      <c r="HJ244" s="445"/>
      <c r="HK244" s="445"/>
      <c r="HL244" s="445"/>
      <c r="HM244" s="445"/>
      <c r="HN244" s="445"/>
      <c r="HO244" s="445"/>
      <c r="HP244" s="445"/>
      <c r="HQ244" s="445"/>
      <c r="HR244" s="445"/>
      <c r="HS244" s="445"/>
      <c r="HT244" s="445"/>
      <c r="HU244" s="445"/>
      <c r="HV244" s="445"/>
      <c r="HW244" s="445"/>
      <c r="HX244" s="445"/>
      <c r="HY244" s="445"/>
      <c r="HZ244" s="445"/>
      <c r="IA244" s="445"/>
      <c r="IB244" s="445"/>
      <c r="IC244" s="445"/>
      <c r="ID244" s="445"/>
      <c r="IE244" s="445"/>
      <c r="IF244" s="445"/>
      <c r="IG244" s="445"/>
      <c r="IH244" s="445"/>
      <c r="II244" s="445"/>
      <c r="IJ244" s="445"/>
      <c r="IK244" s="445"/>
      <c r="IL244" s="445"/>
      <c r="IM244" s="445"/>
      <c r="IN244" s="445"/>
      <c r="IO244" s="445"/>
      <c r="IP244" s="445"/>
      <c r="IQ244" s="445"/>
      <c r="IR244" s="445"/>
      <c r="IS244" s="445"/>
      <c r="IT244" s="445"/>
      <c r="IU244" s="445"/>
      <c r="IV244" s="445"/>
      <c r="IW244" s="445"/>
      <c r="IX244" s="445"/>
      <c r="IY244" s="445"/>
      <c r="IZ244" s="445"/>
      <c r="JA244" s="445"/>
      <c r="JB244" s="445"/>
      <c r="JC244" s="445"/>
      <c r="JD244" s="445"/>
      <c r="JE244" s="445"/>
      <c r="JF244" s="445"/>
      <c r="JG244" s="445"/>
      <c r="JH244" s="445"/>
      <c r="JI244" s="445"/>
      <c r="JJ244" s="445"/>
      <c r="JK244" s="445"/>
      <c r="JL244" s="445"/>
      <c r="JM244" s="445"/>
      <c r="JN244" s="445"/>
      <c r="JO244" s="445"/>
      <c r="JP244" s="445"/>
      <c r="JQ244" s="445"/>
      <c r="JR244" s="445"/>
      <c r="JS244" s="445"/>
      <c r="JT244" s="445"/>
      <c r="JU244" s="445"/>
      <c r="JV244" s="445"/>
      <c r="JW244" s="2242"/>
      <c r="JX244" s="445"/>
      <c r="JY244" s="445"/>
      <c r="JZ244" s="445"/>
      <c r="KA244" s="445"/>
      <c r="KB244" s="2242"/>
      <c r="KC244" s="2242"/>
      <c r="KD244" s="2242"/>
      <c r="KE244" s="2242"/>
      <c r="KF244" s="2242"/>
      <c r="KG244" s="2242"/>
      <c r="KH244" s="2242"/>
      <c r="KI244" s="2242"/>
      <c r="KJ244" s="2242"/>
      <c r="KK244" s="2242"/>
      <c r="KL244" s="2242"/>
      <c r="KM244" s="2242"/>
      <c r="KN244" s="2242"/>
      <c r="KO244" s="2242"/>
      <c r="KP244" s="2242"/>
      <c r="KQ244" s="2242"/>
      <c r="KR244" s="2242"/>
      <c r="KS244" s="2242"/>
      <c r="KT244" s="2242"/>
      <c r="KU244" s="2242"/>
      <c r="KV244" s="2242"/>
      <c r="KW244" s="2242"/>
      <c r="KX244" s="2242"/>
      <c r="KY244" s="2242"/>
      <c r="KZ244" s="2242"/>
      <c r="LA244" s="2242"/>
      <c r="LB244" s="2242"/>
      <c r="LC244" s="2242"/>
      <c r="LD244" s="2242"/>
      <c r="LE244" s="2242"/>
      <c r="LF244" s="2242"/>
      <c r="LG244" s="2242"/>
      <c r="LH244" s="2242"/>
      <c r="LI244" s="2242"/>
      <c r="LJ244" s="2242"/>
      <c r="LK244" s="2242"/>
      <c r="LL244" s="2242"/>
      <c r="LM244" s="2242"/>
      <c r="LN244" s="2242"/>
      <c r="LO244" s="2242"/>
      <c r="LP244" s="2242"/>
      <c r="LQ244" s="2242"/>
      <c r="LR244" s="445"/>
      <c r="LS244" s="445"/>
      <c r="LT244" s="445"/>
      <c r="LU244" s="445"/>
      <c r="LV244" s="445"/>
      <c r="LW244" s="445"/>
      <c r="LX244" s="2243"/>
      <c r="LY244" s="445"/>
      <c r="LZ244" s="445"/>
      <c r="MA244" s="445"/>
      <c r="MB244" s="445"/>
      <c r="MC244" s="445"/>
      <c r="MD244" s="445"/>
      <c r="ME244" s="445"/>
      <c r="MF244" s="445"/>
      <c r="MG244" s="445"/>
      <c r="MH244" s="445"/>
      <c r="MI244" s="445"/>
      <c r="MJ244" s="445"/>
      <c r="MK244" s="445"/>
      <c r="ML244" s="445"/>
      <c r="MM244" s="445"/>
      <c r="MN244" s="2243"/>
      <c r="MO244" s="2243"/>
      <c r="MP244" s="445"/>
      <c r="MQ244" s="445"/>
      <c r="MR244" s="445"/>
      <c r="MS244" s="445"/>
      <c r="MT244" s="445"/>
      <c r="MU244" s="445"/>
      <c r="MV244" s="445"/>
      <c r="MW244" s="445"/>
      <c r="MX244" s="445"/>
      <c r="MY244" s="445"/>
      <c r="MZ244" s="445"/>
      <c r="NA244" s="445"/>
      <c r="NB244" s="445"/>
      <c r="NC244" s="445"/>
      <c r="ND244" s="445"/>
      <c r="NE244" s="94"/>
      <c r="NF244" s="94"/>
      <c r="NG244" s="94"/>
      <c r="NH244" s="94"/>
      <c r="NI244" s="94"/>
      <c r="NJ244" s="94"/>
      <c r="NK244" s="94"/>
      <c r="NL244" s="94"/>
      <c r="NM244" s="94"/>
      <c r="NN244" s="94"/>
      <c r="NO244" s="94"/>
      <c r="NP244" s="94"/>
      <c r="NQ244" s="94"/>
      <c r="NR244" s="94"/>
      <c r="NS244" s="94"/>
      <c r="NT244" s="94"/>
      <c r="NU244" s="94"/>
      <c r="NV244" s="94"/>
      <c r="NW244" s="94"/>
      <c r="NX244" s="94"/>
      <c r="NY244" s="94"/>
      <c r="NZ244" s="94"/>
      <c r="OA244" s="94"/>
      <c r="OB244" s="94"/>
      <c r="OC244" s="94"/>
      <c r="OD244" s="94"/>
      <c r="OE244" s="94"/>
      <c r="OF244" s="94"/>
      <c r="OG244" s="94"/>
      <c r="OH244" s="94"/>
      <c r="OI244" s="94"/>
      <c r="OJ244" s="94"/>
      <c r="OK244" s="94"/>
      <c r="OL244" s="94"/>
      <c r="OM244" s="94"/>
      <c r="ON244" s="94"/>
      <c r="OO244" s="94"/>
      <c r="OP244" s="94"/>
      <c r="OQ244" s="94"/>
      <c r="OR244" s="94"/>
      <c r="OS244" s="94"/>
      <c r="OT244" s="94"/>
      <c r="OU244" s="94"/>
      <c r="OV244" s="94"/>
      <c r="OW244" s="94"/>
      <c r="OX244" s="94"/>
      <c r="OY244" s="94"/>
      <c r="OZ244" s="94"/>
      <c r="PA244" s="94"/>
      <c r="PB244" s="94"/>
      <c r="PC244" s="94"/>
      <c r="PD244" s="94"/>
      <c r="PE244" s="94"/>
      <c r="PF244" s="94"/>
      <c r="PG244" s="94"/>
      <c r="PH244" s="94"/>
      <c r="PI244" s="94"/>
      <c r="PJ244" s="94"/>
      <c r="PK244" s="94"/>
      <c r="PL244" s="94"/>
      <c r="PM244" s="94"/>
      <c r="PN244" s="94"/>
      <c r="PO244" s="94"/>
      <c r="PP244" s="94"/>
      <c r="PQ244" s="94"/>
      <c r="PR244" s="94"/>
      <c r="PS244" s="94"/>
      <c r="PT244" s="94"/>
      <c r="PU244" s="94"/>
      <c r="PV244" s="94"/>
      <c r="PW244" s="94"/>
      <c r="PX244" s="94"/>
      <c r="PY244" s="94"/>
      <c r="PZ244" s="94"/>
      <c r="QA244" s="94"/>
      <c r="QB244" s="94"/>
      <c r="QC244" s="94"/>
      <c r="QD244" s="94"/>
      <c r="QE244" s="94"/>
      <c r="QF244" s="94"/>
      <c r="QG244" s="94"/>
      <c r="QH244" s="94"/>
      <c r="QI244" s="94"/>
      <c r="QJ244" s="94"/>
      <c r="QK244" s="94"/>
      <c r="QL244" s="94"/>
      <c r="QM244" s="94"/>
      <c r="QN244" s="94"/>
      <c r="QO244" s="94"/>
      <c r="QP244" s="94"/>
      <c r="QQ244" s="94"/>
      <c r="QR244" s="94"/>
      <c r="QS244" s="94"/>
      <c r="QT244" s="94"/>
      <c r="QU244" s="94"/>
      <c r="QV244" s="94"/>
      <c r="QW244" s="94"/>
      <c r="QX244" s="94"/>
      <c r="QY244" s="94"/>
      <c r="QZ244" s="94"/>
      <c r="RA244" s="94"/>
      <c r="RB244" s="94"/>
      <c r="RC244" s="94"/>
      <c r="RD244" s="94"/>
      <c r="RE244" s="94"/>
      <c r="RF244" s="94"/>
      <c r="RG244" s="94"/>
      <c r="RH244" s="94"/>
      <c r="RI244" s="94"/>
      <c r="RJ244" s="94"/>
      <c r="RK244" s="94"/>
      <c r="RL244" s="94"/>
      <c r="RM244" s="94"/>
      <c r="RN244" s="94"/>
      <c r="RO244" s="94"/>
      <c r="RP244" s="94"/>
      <c r="RQ244" s="94"/>
      <c r="RR244" s="94"/>
      <c r="RS244" s="94"/>
      <c r="RT244" s="94"/>
      <c r="RU244" s="94"/>
      <c r="RV244" s="94"/>
      <c r="RW244" s="94"/>
      <c r="RX244" s="94"/>
      <c r="RY244" s="94"/>
      <c r="RZ244" s="94"/>
      <c r="SA244" s="94"/>
      <c r="SB244" s="94"/>
      <c r="SC244" s="94"/>
      <c r="SD244" s="94"/>
      <c r="SE244" s="94"/>
      <c r="SF244" s="94"/>
      <c r="SG244" s="94"/>
      <c r="SH244" s="94"/>
      <c r="SI244" s="94"/>
    </row>
    <row r="245" spans="1:503" s="90" customFormat="1" ht="15.6" customHeight="1" thickBot="1">
      <c r="A245" s="1"/>
      <c r="B245" s="4072" t="s">
        <v>49</v>
      </c>
      <c r="C245" s="4073"/>
      <c r="D245" s="4073"/>
      <c r="E245" s="4074"/>
      <c r="F245" s="4070"/>
      <c r="G245" s="4071"/>
      <c r="H245" s="1"/>
      <c r="I245" s="4079" t="s">
        <v>49</v>
      </c>
      <c r="J245" s="4080"/>
      <c r="K245" s="4081"/>
      <c r="L245" s="4090"/>
      <c r="M245" s="4091"/>
      <c r="N245" s="1"/>
      <c r="R245" s="839"/>
      <c r="S245" s="3996"/>
      <c r="T245" s="3997"/>
      <c r="U245" s="3997"/>
      <c r="V245" s="3997"/>
      <c r="W245" s="3998"/>
      <c r="X245" s="443"/>
      <c r="Y245" s="445"/>
      <c r="Z245" s="445"/>
      <c r="AA245" s="445"/>
      <c r="AB245" s="445"/>
      <c r="AC245" s="443"/>
      <c r="AD245" s="445"/>
      <c r="AE245" s="445"/>
      <c r="AF245" s="445"/>
      <c r="AG245" s="445"/>
      <c r="AH245" s="443"/>
      <c r="AI245" s="445"/>
      <c r="AJ245" s="445"/>
      <c r="AK245" s="445"/>
      <c r="AL245" s="445"/>
      <c r="AM245" s="443"/>
      <c r="AN245" s="445"/>
      <c r="AO245" s="445"/>
      <c r="AP245" s="445"/>
      <c r="AQ245" s="445"/>
      <c r="AR245" s="445"/>
      <c r="AS245" s="445"/>
      <c r="AT245" s="445"/>
      <c r="AU245" s="445"/>
      <c r="AV245" s="445"/>
      <c r="AW245" s="445"/>
      <c r="AX245" s="445"/>
      <c r="AY245" s="445"/>
      <c r="AZ245" s="445"/>
      <c r="BA245" s="445"/>
      <c r="BB245" s="445"/>
      <c r="BC245" s="445"/>
      <c r="BD245" s="445"/>
      <c r="BE245" s="445"/>
      <c r="BF245" s="445"/>
      <c r="BG245" s="445"/>
      <c r="BH245" s="445"/>
      <c r="BI245" s="445"/>
      <c r="BJ245" s="445"/>
      <c r="BK245" s="445"/>
      <c r="BL245" s="445"/>
      <c r="BM245" s="445"/>
      <c r="BN245" s="445"/>
      <c r="BO245" s="445"/>
      <c r="BP245" s="445"/>
      <c r="BQ245" s="445"/>
      <c r="BR245" s="445"/>
      <c r="BS245" s="445"/>
      <c r="BT245" s="445"/>
      <c r="BU245" s="445"/>
      <c r="BV245" s="445"/>
      <c r="BW245" s="445"/>
      <c r="BX245" s="445"/>
      <c r="BY245" s="445"/>
      <c r="BZ245" s="445"/>
      <c r="CA245" s="445"/>
      <c r="CB245" s="445"/>
      <c r="CC245" s="445"/>
      <c r="CD245" s="445"/>
      <c r="CE245" s="445"/>
      <c r="CF245" s="445"/>
      <c r="CG245" s="445"/>
      <c r="CH245" s="445"/>
      <c r="CI245" s="445"/>
      <c r="CJ245" s="445"/>
      <c r="CK245" s="445"/>
      <c r="CL245" s="445"/>
      <c r="CM245" s="445"/>
      <c r="CN245" s="445"/>
      <c r="CO245" s="445"/>
      <c r="CP245" s="445"/>
      <c r="CQ245" s="445"/>
      <c r="CR245" s="445"/>
      <c r="CS245" s="445"/>
      <c r="CT245" s="445"/>
      <c r="CU245" s="445"/>
      <c r="CV245" s="445"/>
      <c r="CW245" s="445"/>
      <c r="CX245" s="445"/>
      <c r="CY245" s="445"/>
      <c r="CZ245" s="445"/>
      <c r="DA245" s="445"/>
      <c r="DB245" s="445"/>
      <c r="DC245" s="445"/>
      <c r="DD245" s="445"/>
      <c r="DE245" s="445"/>
      <c r="DF245" s="445"/>
      <c r="DG245" s="445"/>
      <c r="DH245" s="445"/>
      <c r="DI245" s="445"/>
      <c r="DJ245" s="445"/>
      <c r="DK245" s="445"/>
      <c r="DL245" s="445"/>
      <c r="DM245" s="445"/>
      <c r="DN245" s="445"/>
      <c r="DO245" s="445"/>
      <c r="DP245" s="445"/>
      <c r="DQ245" s="445"/>
      <c r="DR245" s="445"/>
      <c r="DS245" s="445"/>
      <c r="DT245" s="445"/>
      <c r="DU245" s="445"/>
      <c r="DV245" s="445"/>
      <c r="DW245" s="445"/>
      <c r="DX245" s="445"/>
      <c r="DY245" s="445"/>
      <c r="DZ245" s="445"/>
      <c r="EA245" s="445"/>
      <c r="EB245" s="445"/>
      <c r="EC245" s="445"/>
      <c r="ED245" s="445"/>
      <c r="EE245" s="445"/>
      <c r="EF245" s="445"/>
      <c r="EG245" s="445"/>
      <c r="EH245" s="445"/>
      <c r="EI245" s="445"/>
      <c r="EJ245" s="445"/>
      <c r="EK245" s="445"/>
      <c r="EL245" s="445"/>
      <c r="EM245" s="445"/>
      <c r="EN245" s="445"/>
      <c r="EO245" s="445"/>
      <c r="EP245" s="445"/>
      <c r="EQ245" s="445"/>
      <c r="ER245" s="445"/>
      <c r="ES245" s="445"/>
      <c r="ET245" s="445"/>
      <c r="EU245" s="445"/>
      <c r="EV245" s="445"/>
      <c r="EW245" s="445"/>
      <c r="EX245" s="445"/>
      <c r="EY245" s="445"/>
      <c r="EZ245" s="445"/>
      <c r="FA245" s="445"/>
      <c r="FB245" s="445"/>
      <c r="FC245" s="445"/>
      <c r="FD245" s="445"/>
      <c r="FE245" s="445"/>
      <c r="FF245" s="445"/>
      <c r="FG245" s="445"/>
      <c r="FH245" s="445"/>
      <c r="FI245" s="445"/>
      <c r="FJ245" s="445"/>
      <c r="FK245" s="445"/>
      <c r="FL245" s="445"/>
      <c r="FM245" s="445"/>
      <c r="FN245" s="445"/>
      <c r="FO245" s="445"/>
      <c r="FP245" s="445"/>
      <c r="FQ245" s="445"/>
      <c r="FR245" s="445"/>
      <c r="FS245" s="445"/>
      <c r="FT245" s="445"/>
      <c r="FU245" s="445"/>
      <c r="FV245" s="445"/>
      <c r="FW245" s="445"/>
      <c r="FX245" s="445"/>
      <c r="FY245" s="445"/>
      <c r="FZ245" s="445"/>
      <c r="GA245" s="445"/>
      <c r="GB245" s="445"/>
      <c r="GC245" s="445"/>
      <c r="GD245" s="445"/>
      <c r="GE245" s="445"/>
      <c r="GF245" s="445"/>
      <c r="GG245" s="445"/>
      <c r="GH245" s="445"/>
      <c r="GI245" s="445"/>
      <c r="GJ245" s="445"/>
      <c r="GK245" s="445"/>
      <c r="GL245" s="445"/>
      <c r="GM245" s="445"/>
      <c r="GN245" s="445"/>
      <c r="GO245" s="445"/>
      <c r="GP245" s="445"/>
      <c r="GQ245" s="445"/>
      <c r="GR245" s="445"/>
      <c r="GS245" s="445"/>
      <c r="GT245" s="445"/>
      <c r="GU245" s="445"/>
      <c r="GV245" s="445"/>
      <c r="GW245" s="445"/>
      <c r="GX245" s="445"/>
      <c r="GY245" s="445"/>
      <c r="GZ245" s="445"/>
      <c r="HA245" s="445"/>
      <c r="HB245" s="445"/>
      <c r="HC245" s="445"/>
      <c r="HD245" s="445"/>
      <c r="HE245" s="445"/>
      <c r="HF245" s="445"/>
      <c r="HG245" s="445"/>
      <c r="HH245" s="445"/>
      <c r="HI245" s="445"/>
      <c r="HJ245" s="445"/>
      <c r="HK245" s="445"/>
      <c r="HL245" s="445"/>
      <c r="HM245" s="445"/>
      <c r="HN245" s="445"/>
      <c r="HO245" s="445"/>
      <c r="HP245" s="445"/>
      <c r="HQ245" s="445"/>
      <c r="HR245" s="445"/>
      <c r="HS245" s="445"/>
      <c r="HT245" s="445"/>
      <c r="HU245" s="445"/>
      <c r="HV245" s="445"/>
      <c r="HW245" s="445"/>
      <c r="HX245" s="445"/>
      <c r="HY245" s="445"/>
      <c r="HZ245" s="445"/>
      <c r="IA245" s="445"/>
      <c r="IB245" s="445"/>
      <c r="IC245" s="445"/>
      <c r="ID245" s="445"/>
      <c r="IE245" s="445"/>
      <c r="IF245" s="445"/>
      <c r="IG245" s="445"/>
      <c r="IH245" s="445"/>
      <c r="II245" s="445"/>
      <c r="IJ245" s="445"/>
      <c r="IK245" s="445"/>
      <c r="IL245" s="445"/>
      <c r="IM245" s="445"/>
      <c r="IN245" s="445"/>
      <c r="IO245" s="445"/>
      <c r="IP245" s="445"/>
      <c r="IQ245" s="445"/>
      <c r="IR245" s="445"/>
      <c r="IS245" s="445"/>
      <c r="IT245" s="445"/>
      <c r="IU245" s="445"/>
      <c r="IV245" s="445"/>
      <c r="IW245" s="445"/>
      <c r="IX245" s="445"/>
      <c r="IY245" s="445"/>
      <c r="IZ245" s="445"/>
      <c r="JA245" s="445"/>
      <c r="JB245" s="445"/>
      <c r="JC245" s="445"/>
      <c r="JD245" s="445"/>
      <c r="JE245" s="445"/>
      <c r="JF245" s="445"/>
      <c r="JG245" s="445"/>
      <c r="JH245" s="445"/>
      <c r="JI245" s="445"/>
      <c r="JJ245" s="445"/>
      <c r="JK245" s="445"/>
      <c r="JL245" s="445"/>
      <c r="JM245" s="445"/>
      <c r="JN245" s="445"/>
      <c r="JO245" s="445"/>
      <c r="JP245" s="445"/>
      <c r="JQ245" s="445"/>
      <c r="JR245" s="445"/>
      <c r="JS245" s="445"/>
      <c r="JT245" s="445"/>
      <c r="JU245" s="445"/>
      <c r="JV245" s="445"/>
      <c r="JW245" s="2242"/>
      <c r="JX245" s="445"/>
      <c r="JY245" s="445"/>
      <c r="JZ245" s="445"/>
      <c r="KA245" s="445"/>
      <c r="KB245" s="2242"/>
      <c r="KC245" s="2242"/>
      <c r="KD245" s="2242"/>
      <c r="KE245" s="2242"/>
      <c r="KF245" s="2242"/>
      <c r="KG245" s="2242"/>
      <c r="KH245" s="2242"/>
      <c r="KI245" s="2242"/>
      <c r="KJ245" s="2242"/>
      <c r="KK245" s="2242"/>
      <c r="KL245" s="2242"/>
      <c r="KM245" s="2242"/>
      <c r="KN245" s="2242"/>
      <c r="KO245" s="2242"/>
      <c r="KP245" s="2242"/>
      <c r="KQ245" s="2242"/>
      <c r="KR245" s="2242"/>
      <c r="KS245" s="2242"/>
      <c r="KT245" s="2242"/>
      <c r="KU245" s="2242"/>
      <c r="KV245" s="2242"/>
      <c r="KW245" s="2242"/>
      <c r="KX245" s="2242"/>
      <c r="KY245" s="2242"/>
      <c r="KZ245" s="2242"/>
      <c r="LA245" s="2242"/>
      <c r="LB245" s="2242"/>
      <c r="LC245" s="2242"/>
      <c r="LD245" s="2242"/>
      <c r="LE245" s="2242"/>
      <c r="LF245" s="2242"/>
      <c r="LG245" s="2242"/>
      <c r="LH245" s="2242"/>
      <c r="LI245" s="2242"/>
      <c r="LJ245" s="2242"/>
      <c r="LK245" s="2242"/>
      <c r="LL245" s="2242"/>
      <c r="LM245" s="2242"/>
      <c r="LN245" s="2242"/>
      <c r="LO245" s="2242"/>
      <c r="LP245" s="2242"/>
      <c r="LQ245" s="2242"/>
      <c r="LR245" s="445"/>
      <c r="LS245" s="445"/>
      <c r="LT245" s="445"/>
      <c r="LU245" s="445"/>
      <c r="LV245" s="445"/>
      <c r="LW245" s="445"/>
      <c r="LX245" s="2243"/>
      <c r="LY245" s="445"/>
      <c r="LZ245" s="445"/>
      <c r="MA245" s="445"/>
      <c r="MB245" s="445"/>
      <c r="MC245" s="445"/>
      <c r="MD245" s="445"/>
      <c r="ME245" s="445"/>
      <c r="MF245" s="445"/>
      <c r="MG245" s="445"/>
      <c r="MH245" s="445"/>
      <c r="MI245" s="445"/>
      <c r="MJ245" s="445"/>
      <c r="MK245" s="445"/>
      <c r="ML245" s="445"/>
      <c r="MM245" s="445"/>
      <c r="MN245" s="2243"/>
      <c r="MO245" s="2243"/>
      <c r="MP245" s="445"/>
      <c r="MQ245" s="445"/>
      <c r="MR245" s="445"/>
      <c r="MS245" s="445"/>
      <c r="MT245" s="445"/>
      <c r="MU245" s="445"/>
      <c r="MV245" s="445"/>
      <c r="MW245" s="445"/>
      <c r="MX245" s="445"/>
      <c r="MY245" s="445"/>
      <c r="MZ245" s="445"/>
      <c r="NA245" s="445"/>
      <c r="NB245" s="445"/>
      <c r="NC245" s="445"/>
      <c r="ND245" s="445"/>
      <c r="NE245" s="94"/>
      <c r="NF245" s="94"/>
      <c r="NG245" s="94"/>
      <c r="NH245" s="94"/>
      <c r="NI245" s="94"/>
      <c r="NJ245" s="94"/>
      <c r="NK245" s="94"/>
      <c r="NL245" s="94"/>
      <c r="NM245" s="94"/>
      <c r="NN245" s="94"/>
      <c r="NO245" s="94"/>
      <c r="NP245" s="94"/>
      <c r="NQ245" s="94"/>
      <c r="NR245" s="94"/>
      <c r="NS245" s="94"/>
      <c r="NT245" s="94"/>
      <c r="NU245" s="94"/>
      <c r="NV245" s="94"/>
      <c r="NW245" s="94"/>
      <c r="NX245" s="94"/>
      <c r="NY245" s="94"/>
      <c r="NZ245" s="94"/>
      <c r="OA245" s="94"/>
      <c r="OB245" s="94"/>
      <c r="OC245" s="94"/>
      <c r="OD245" s="94"/>
      <c r="OE245" s="94"/>
      <c r="OF245" s="94"/>
      <c r="OG245" s="94"/>
      <c r="OH245" s="94"/>
      <c r="OI245" s="94"/>
      <c r="OJ245" s="94"/>
      <c r="OK245" s="94"/>
      <c r="OL245" s="94"/>
      <c r="OM245" s="94"/>
      <c r="ON245" s="94"/>
      <c r="OO245" s="94"/>
      <c r="OP245" s="94"/>
      <c r="OQ245" s="94"/>
      <c r="OR245" s="94"/>
      <c r="OS245" s="94"/>
      <c r="OT245" s="94"/>
      <c r="OU245" s="94"/>
      <c r="OV245" s="94"/>
      <c r="OW245" s="94"/>
      <c r="OX245" s="94"/>
      <c r="OY245" s="94"/>
      <c r="OZ245" s="94"/>
      <c r="PA245" s="94"/>
      <c r="PB245" s="94"/>
      <c r="PC245" s="94"/>
      <c r="PD245" s="94"/>
      <c r="PE245" s="94"/>
      <c r="PF245" s="94"/>
      <c r="PG245" s="94"/>
      <c r="PH245" s="94"/>
      <c r="PI245" s="94"/>
      <c r="PJ245" s="94"/>
      <c r="PK245" s="94"/>
      <c r="PL245" s="94"/>
      <c r="PM245" s="94"/>
      <c r="PN245" s="94"/>
      <c r="PO245" s="94"/>
      <c r="PP245" s="94"/>
      <c r="PQ245" s="94"/>
      <c r="PR245" s="94"/>
      <c r="PS245" s="94"/>
      <c r="PT245" s="94"/>
      <c r="PU245" s="94"/>
      <c r="PV245" s="94"/>
      <c r="PW245" s="94"/>
      <c r="PX245" s="94"/>
      <c r="PY245" s="94"/>
      <c r="PZ245" s="94"/>
      <c r="QA245" s="94"/>
      <c r="QB245" s="94"/>
      <c r="QC245" s="94"/>
      <c r="QD245" s="94"/>
      <c r="QE245" s="94"/>
      <c r="QF245" s="94"/>
      <c r="QG245" s="94"/>
      <c r="QH245" s="94"/>
      <c r="QI245" s="94"/>
      <c r="QJ245" s="94"/>
      <c r="QK245" s="94"/>
      <c r="QL245" s="94"/>
      <c r="QM245" s="94"/>
      <c r="QN245" s="94"/>
      <c r="QO245" s="94"/>
      <c r="QP245" s="94"/>
      <c r="QQ245" s="94"/>
      <c r="QR245" s="94"/>
      <c r="QS245" s="94"/>
      <c r="QT245" s="94"/>
      <c r="QU245" s="94"/>
      <c r="QV245" s="94"/>
      <c r="QW245" s="94"/>
      <c r="QX245" s="94"/>
      <c r="QY245" s="94"/>
      <c r="QZ245" s="94"/>
      <c r="RA245" s="94"/>
      <c r="RB245" s="94"/>
      <c r="RC245" s="94"/>
      <c r="RD245" s="94"/>
      <c r="RE245" s="94"/>
      <c r="RF245" s="94"/>
      <c r="RG245" s="94"/>
      <c r="RH245" s="94"/>
      <c r="RI245" s="94"/>
      <c r="RJ245" s="94"/>
      <c r="RK245" s="94"/>
      <c r="RL245" s="94"/>
      <c r="RM245" s="94"/>
      <c r="RN245" s="94"/>
      <c r="RO245" s="94"/>
      <c r="RP245" s="94"/>
      <c r="RQ245" s="94"/>
      <c r="RR245" s="94"/>
      <c r="RS245" s="94"/>
      <c r="RT245" s="94"/>
      <c r="RU245" s="94"/>
      <c r="RV245" s="94"/>
      <c r="RW245" s="94"/>
      <c r="RX245" s="94"/>
      <c r="RY245" s="94"/>
      <c r="RZ245" s="94"/>
      <c r="SA245" s="94"/>
      <c r="SB245" s="94"/>
      <c r="SC245" s="94"/>
      <c r="SD245" s="94"/>
      <c r="SE245" s="94"/>
      <c r="SF245" s="94"/>
      <c r="SG245" s="94"/>
      <c r="SH245" s="94"/>
      <c r="SI245" s="94"/>
    </row>
    <row r="246" spans="1:503" s="90" customFormat="1" ht="15.6" customHeight="1" thickTop="1" thickBot="1">
      <c r="A246" s="1"/>
      <c r="B246" s="10"/>
      <c r="D246" s="1"/>
      <c r="E246" s="11" t="s">
        <v>187</v>
      </c>
      <c r="F246" s="2653">
        <f>SUM(F238:G245)</f>
        <v>82244</v>
      </c>
      <c r="G246" s="2654"/>
      <c r="H246" s="1"/>
      <c r="K246" s="11" t="s">
        <v>187</v>
      </c>
      <c r="L246" s="2650">
        <f>SUM(L242:L245)</f>
        <v>63585</v>
      </c>
      <c r="M246" s="2651"/>
      <c r="N246" s="1"/>
      <c r="O246" s="10" t="s">
        <v>2137</v>
      </c>
      <c r="P246" s="1"/>
      <c r="Q246" s="401">
        <f>Q227+Q233</f>
        <v>342000</v>
      </c>
      <c r="R246" s="839"/>
      <c r="S246" s="4027"/>
      <c r="T246" s="4028"/>
      <c r="U246" s="4028"/>
      <c r="V246" s="4028"/>
      <c r="W246" s="4029"/>
      <c r="X246" s="443"/>
      <c r="Y246" s="445"/>
      <c r="Z246" s="445"/>
      <c r="AA246" s="445"/>
      <c r="AB246" s="445"/>
      <c r="AC246" s="443"/>
      <c r="AD246" s="445"/>
      <c r="AE246" s="445"/>
      <c r="AF246" s="445"/>
      <c r="AG246" s="445"/>
      <c r="AH246" s="443"/>
      <c r="AI246" s="445"/>
      <c r="AJ246" s="445"/>
      <c r="AK246" s="445"/>
      <c r="AL246" s="445"/>
      <c r="AM246" s="443"/>
      <c r="AN246" s="445"/>
      <c r="AO246" s="445"/>
      <c r="AP246" s="445"/>
      <c r="AQ246" s="445"/>
      <c r="AR246" s="445"/>
      <c r="AS246" s="445"/>
      <c r="AT246" s="445"/>
      <c r="AU246" s="445"/>
      <c r="AV246" s="445"/>
      <c r="AW246" s="445"/>
      <c r="AX246" s="445"/>
      <c r="AY246" s="445"/>
      <c r="AZ246" s="445"/>
      <c r="BA246" s="445"/>
      <c r="BB246" s="445"/>
      <c r="BC246" s="445"/>
      <c r="BD246" s="445"/>
      <c r="BE246" s="445"/>
      <c r="BF246" s="445"/>
      <c r="BG246" s="445"/>
      <c r="BH246" s="445"/>
      <c r="BI246" s="445"/>
      <c r="BJ246" s="445"/>
      <c r="BK246" s="445"/>
      <c r="BL246" s="445"/>
      <c r="BM246" s="445"/>
      <c r="BN246" s="445"/>
      <c r="BO246" s="445"/>
      <c r="BP246" s="445"/>
      <c r="BQ246" s="445"/>
      <c r="BR246" s="445"/>
      <c r="BS246" s="445"/>
      <c r="BT246" s="445"/>
      <c r="BU246" s="445"/>
      <c r="BV246" s="445"/>
      <c r="BW246" s="445"/>
      <c r="BX246" s="445"/>
      <c r="BY246" s="445"/>
      <c r="BZ246" s="445"/>
      <c r="CA246" s="445"/>
      <c r="CB246" s="445"/>
      <c r="CC246" s="445"/>
      <c r="CD246" s="445"/>
      <c r="CE246" s="445"/>
      <c r="CF246" s="445"/>
      <c r="CG246" s="445"/>
      <c r="CH246" s="445"/>
      <c r="CI246" s="445"/>
      <c r="CJ246" s="445"/>
      <c r="CK246" s="445"/>
      <c r="CL246" s="445"/>
      <c r="CM246" s="445"/>
      <c r="CN246" s="445"/>
      <c r="CO246" s="445"/>
      <c r="CP246" s="445"/>
      <c r="CQ246" s="445"/>
      <c r="CR246" s="445"/>
      <c r="CS246" s="445"/>
      <c r="CT246" s="445"/>
      <c r="CU246" s="445"/>
      <c r="CV246" s="445"/>
      <c r="CW246" s="445"/>
      <c r="CX246" s="445"/>
      <c r="CY246" s="445"/>
      <c r="CZ246" s="445"/>
      <c r="DA246" s="445"/>
      <c r="DB246" s="445"/>
      <c r="DC246" s="445"/>
      <c r="DD246" s="445"/>
      <c r="DE246" s="445"/>
      <c r="DF246" s="445"/>
      <c r="DG246" s="445"/>
      <c r="DH246" s="445"/>
      <c r="DI246" s="445"/>
      <c r="DJ246" s="445"/>
      <c r="DK246" s="445"/>
      <c r="DL246" s="445"/>
      <c r="DM246" s="445"/>
      <c r="DN246" s="445"/>
      <c r="DO246" s="445"/>
      <c r="DP246" s="445"/>
      <c r="DQ246" s="445"/>
      <c r="DR246" s="445"/>
      <c r="DS246" s="445"/>
      <c r="DT246" s="445"/>
      <c r="DU246" s="445"/>
      <c r="DV246" s="445"/>
      <c r="DW246" s="445"/>
      <c r="DX246" s="445"/>
      <c r="DY246" s="445"/>
      <c r="DZ246" s="445"/>
      <c r="EA246" s="445"/>
      <c r="EB246" s="445"/>
      <c r="EC246" s="445"/>
      <c r="ED246" s="445"/>
      <c r="EE246" s="445"/>
      <c r="EF246" s="445"/>
      <c r="EG246" s="445"/>
      <c r="EH246" s="445"/>
      <c r="EI246" s="445"/>
      <c r="EJ246" s="445"/>
      <c r="EK246" s="445"/>
      <c r="EL246" s="445"/>
      <c r="EM246" s="445"/>
      <c r="EN246" s="445"/>
      <c r="EO246" s="445"/>
      <c r="EP246" s="445"/>
      <c r="EQ246" s="445"/>
      <c r="ER246" s="445"/>
      <c r="ES246" s="445"/>
      <c r="ET246" s="445"/>
      <c r="EU246" s="445"/>
      <c r="EV246" s="445"/>
      <c r="EW246" s="445"/>
      <c r="EX246" s="445"/>
      <c r="EY246" s="445"/>
      <c r="EZ246" s="445"/>
      <c r="FA246" s="445"/>
      <c r="FB246" s="445"/>
      <c r="FC246" s="445"/>
      <c r="FD246" s="445"/>
      <c r="FE246" s="445"/>
      <c r="FF246" s="445"/>
      <c r="FG246" s="445"/>
      <c r="FH246" s="445"/>
      <c r="FI246" s="445"/>
      <c r="FJ246" s="445"/>
      <c r="FK246" s="445"/>
      <c r="FL246" s="445"/>
      <c r="FM246" s="445"/>
      <c r="FN246" s="445"/>
      <c r="FO246" s="445"/>
      <c r="FP246" s="445"/>
      <c r="FQ246" s="445"/>
      <c r="FR246" s="445"/>
      <c r="FS246" s="445"/>
      <c r="FT246" s="445"/>
      <c r="FU246" s="445"/>
      <c r="FV246" s="445"/>
      <c r="FW246" s="445"/>
      <c r="FX246" s="445"/>
      <c r="FY246" s="445"/>
      <c r="FZ246" s="445"/>
      <c r="GA246" s="445"/>
      <c r="GB246" s="445"/>
      <c r="GC246" s="445"/>
      <c r="GD246" s="445"/>
      <c r="GE246" s="445"/>
      <c r="GF246" s="445"/>
      <c r="GG246" s="445"/>
      <c r="GH246" s="445"/>
      <c r="GI246" s="445"/>
      <c r="GJ246" s="445"/>
      <c r="GK246" s="445"/>
      <c r="GL246" s="445"/>
      <c r="GM246" s="445"/>
      <c r="GN246" s="445"/>
      <c r="GO246" s="445"/>
      <c r="GP246" s="445"/>
      <c r="GQ246" s="445"/>
      <c r="GR246" s="445"/>
      <c r="GS246" s="445"/>
      <c r="GT246" s="445"/>
      <c r="GU246" s="445"/>
      <c r="GV246" s="445"/>
      <c r="GW246" s="445"/>
      <c r="GX246" s="445"/>
      <c r="GY246" s="445"/>
      <c r="GZ246" s="445"/>
      <c r="HA246" s="445"/>
      <c r="HB246" s="445"/>
      <c r="HC246" s="445"/>
      <c r="HD246" s="445"/>
      <c r="HE246" s="445"/>
      <c r="HF246" s="445"/>
      <c r="HG246" s="445"/>
      <c r="HH246" s="445"/>
      <c r="HI246" s="445"/>
      <c r="HJ246" s="445"/>
      <c r="HK246" s="445"/>
      <c r="HL246" s="445"/>
      <c r="HM246" s="445"/>
      <c r="HN246" s="445"/>
      <c r="HO246" s="445"/>
      <c r="HP246" s="445"/>
      <c r="HQ246" s="445"/>
      <c r="HR246" s="445"/>
      <c r="HS246" s="445"/>
      <c r="HT246" s="445"/>
      <c r="HU246" s="445"/>
      <c r="HV246" s="445"/>
      <c r="HW246" s="445"/>
      <c r="HX246" s="445"/>
      <c r="HY246" s="445"/>
      <c r="HZ246" s="445"/>
      <c r="IA246" s="445"/>
      <c r="IB246" s="445"/>
      <c r="IC246" s="445"/>
      <c r="ID246" s="445"/>
      <c r="IE246" s="445"/>
      <c r="IF246" s="445"/>
      <c r="IG246" s="445"/>
      <c r="IH246" s="445"/>
      <c r="II246" s="445"/>
      <c r="IJ246" s="445"/>
      <c r="IK246" s="445"/>
      <c r="IL246" s="445"/>
      <c r="IM246" s="445"/>
      <c r="IN246" s="445"/>
      <c r="IO246" s="445"/>
      <c r="IP246" s="445"/>
      <c r="IQ246" s="445"/>
      <c r="IR246" s="445"/>
      <c r="IS246" s="445"/>
      <c r="IT246" s="445"/>
      <c r="IU246" s="445"/>
      <c r="IV246" s="445"/>
      <c r="IW246" s="445"/>
      <c r="IX246" s="445"/>
      <c r="IY246" s="445"/>
      <c r="IZ246" s="445"/>
      <c r="JA246" s="445"/>
      <c r="JB246" s="445"/>
      <c r="JC246" s="445"/>
      <c r="JD246" s="445"/>
      <c r="JE246" s="445"/>
      <c r="JF246" s="445"/>
      <c r="JG246" s="445"/>
      <c r="JH246" s="445"/>
      <c r="JI246" s="445"/>
      <c r="JJ246" s="445"/>
      <c r="JK246" s="445"/>
      <c r="JL246" s="445"/>
      <c r="JM246" s="445"/>
      <c r="JN246" s="445"/>
      <c r="JO246" s="445"/>
      <c r="JP246" s="445"/>
      <c r="JQ246" s="445"/>
      <c r="JR246" s="445"/>
      <c r="JS246" s="445"/>
      <c r="JT246" s="445"/>
      <c r="JU246" s="445"/>
      <c r="JV246" s="445"/>
      <c r="JW246" s="2242"/>
      <c r="JX246" s="445"/>
      <c r="JY246" s="445"/>
      <c r="JZ246" s="445"/>
      <c r="KA246" s="445"/>
      <c r="KB246" s="2242"/>
      <c r="KC246" s="2242"/>
      <c r="KD246" s="2242"/>
      <c r="KE246" s="2242"/>
      <c r="KF246" s="2242"/>
      <c r="KG246" s="2242"/>
      <c r="KH246" s="2242"/>
      <c r="KI246" s="2242"/>
      <c r="KJ246" s="2242"/>
      <c r="KK246" s="2242"/>
      <c r="KL246" s="2242"/>
      <c r="KM246" s="2242"/>
      <c r="KN246" s="2242"/>
      <c r="KO246" s="2242"/>
      <c r="KP246" s="2242"/>
      <c r="KQ246" s="2242"/>
      <c r="KR246" s="2242"/>
      <c r="KS246" s="2242"/>
      <c r="KT246" s="2242"/>
      <c r="KU246" s="2242"/>
      <c r="KV246" s="2242"/>
      <c r="KW246" s="2242"/>
      <c r="KX246" s="2242"/>
      <c r="KY246" s="2242"/>
      <c r="KZ246" s="2242"/>
      <c r="LA246" s="2242"/>
      <c r="LB246" s="2242"/>
      <c r="LC246" s="2242"/>
      <c r="LD246" s="2242"/>
      <c r="LE246" s="2242"/>
      <c r="LF246" s="2242"/>
      <c r="LG246" s="2242"/>
      <c r="LH246" s="2242"/>
      <c r="LI246" s="2242"/>
      <c r="LJ246" s="2242"/>
      <c r="LK246" s="2242"/>
      <c r="LL246" s="2242"/>
      <c r="LM246" s="2242"/>
      <c r="LN246" s="2242"/>
      <c r="LO246" s="2242"/>
      <c r="LP246" s="2242"/>
      <c r="LQ246" s="2242"/>
      <c r="LR246" s="445"/>
      <c r="LS246" s="445"/>
      <c r="LT246" s="445"/>
      <c r="LU246" s="445"/>
      <c r="LV246" s="445"/>
      <c r="LW246" s="445"/>
      <c r="LX246" s="2243"/>
      <c r="LY246" s="445"/>
      <c r="LZ246" s="445"/>
      <c r="MA246" s="445"/>
      <c r="MB246" s="445"/>
      <c r="MC246" s="445"/>
      <c r="MD246" s="445"/>
      <c r="ME246" s="445"/>
      <c r="MF246" s="445"/>
      <c r="MG246" s="445"/>
      <c r="MH246" s="445"/>
      <c r="MI246" s="445"/>
      <c r="MJ246" s="445"/>
      <c r="MK246" s="445"/>
      <c r="ML246" s="445"/>
      <c r="MM246" s="445"/>
      <c r="MN246" s="2243"/>
      <c r="MO246" s="2243"/>
      <c r="MP246" s="445"/>
      <c r="MQ246" s="445"/>
      <c r="MR246" s="445"/>
      <c r="MS246" s="445"/>
      <c r="MT246" s="445"/>
      <c r="MU246" s="445"/>
      <c r="MV246" s="445"/>
      <c r="MW246" s="445"/>
      <c r="MX246" s="445"/>
      <c r="MY246" s="445"/>
      <c r="MZ246" s="445"/>
      <c r="NA246" s="445"/>
      <c r="NB246" s="445"/>
      <c r="NC246" s="445"/>
      <c r="ND246" s="445"/>
      <c r="NE246" s="94"/>
      <c r="NF246" s="94"/>
      <c r="NG246" s="94"/>
      <c r="NH246" s="94"/>
      <c r="NI246" s="94"/>
      <c r="NJ246" s="94"/>
      <c r="NK246" s="94"/>
      <c r="NL246" s="94"/>
      <c r="NM246" s="94"/>
      <c r="NN246" s="94"/>
      <c r="NO246" s="94"/>
      <c r="NP246" s="94"/>
      <c r="NQ246" s="94"/>
      <c r="NR246" s="94"/>
      <c r="NS246" s="94"/>
      <c r="NT246" s="94"/>
      <c r="NU246" s="94"/>
      <c r="NV246" s="94"/>
      <c r="NW246" s="94"/>
      <c r="NX246" s="94"/>
      <c r="NY246" s="94"/>
      <c r="NZ246" s="94"/>
      <c r="OA246" s="94"/>
      <c r="OB246" s="94"/>
      <c r="OC246" s="94"/>
      <c r="OD246" s="94"/>
      <c r="OE246" s="94"/>
      <c r="OF246" s="94"/>
      <c r="OG246" s="94"/>
      <c r="OH246" s="94"/>
      <c r="OI246" s="94"/>
      <c r="OJ246" s="94"/>
      <c r="OK246" s="94"/>
      <c r="OL246" s="94"/>
      <c r="OM246" s="94"/>
      <c r="ON246" s="94"/>
      <c r="OO246" s="94"/>
      <c r="OP246" s="94"/>
      <c r="OQ246" s="94"/>
      <c r="OR246" s="94"/>
      <c r="OS246" s="94"/>
      <c r="OT246" s="94"/>
      <c r="OU246" s="94"/>
      <c r="OV246" s="94"/>
      <c r="OW246" s="94"/>
      <c r="OX246" s="94"/>
      <c r="OY246" s="94"/>
      <c r="OZ246" s="94"/>
      <c r="PA246" s="94"/>
      <c r="PB246" s="94"/>
      <c r="PC246" s="94"/>
      <c r="PD246" s="94"/>
      <c r="PE246" s="94"/>
      <c r="PF246" s="94"/>
      <c r="PG246" s="94"/>
      <c r="PH246" s="94"/>
      <c r="PI246" s="94"/>
      <c r="PJ246" s="94"/>
      <c r="PK246" s="94"/>
      <c r="PL246" s="94"/>
      <c r="PM246" s="94"/>
      <c r="PN246" s="94"/>
      <c r="PO246" s="94"/>
      <c r="PP246" s="94"/>
      <c r="PQ246" s="94"/>
      <c r="PR246" s="94"/>
      <c r="PS246" s="94"/>
      <c r="PT246" s="94"/>
      <c r="PU246" s="94"/>
      <c r="PV246" s="94"/>
      <c r="PW246" s="94"/>
      <c r="PX246" s="94"/>
      <c r="PY246" s="94"/>
      <c r="PZ246" s="94"/>
      <c r="QA246" s="94"/>
      <c r="QB246" s="94"/>
      <c r="QC246" s="94"/>
      <c r="QD246" s="94"/>
      <c r="QE246" s="94"/>
      <c r="QF246" s="94"/>
      <c r="QG246" s="94"/>
      <c r="QH246" s="94"/>
      <c r="QI246" s="94"/>
      <c r="QJ246" s="94"/>
      <c r="QK246" s="94"/>
      <c r="QL246" s="94"/>
      <c r="QM246" s="94"/>
      <c r="QN246" s="94"/>
      <c r="QO246" s="94"/>
      <c r="QP246" s="94"/>
      <c r="QQ246" s="94"/>
      <c r="QR246" s="94"/>
      <c r="QS246" s="94"/>
      <c r="QT246" s="94"/>
      <c r="QU246" s="94"/>
      <c r="QV246" s="94"/>
      <c r="QW246" s="94"/>
      <c r="QX246" s="94"/>
      <c r="QY246" s="94"/>
      <c r="QZ246" s="94"/>
      <c r="RA246" s="94"/>
      <c r="RB246" s="94"/>
      <c r="RC246" s="94"/>
      <c r="RD246" s="94"/>
      <c r="RE246" s="94"/>
      <c r="RF246" s="94"/>
      <c r="RG246" s="94"/>
      <c r="RH246" s="94"/>
      <c r="RI246" s="94"/>
      <c r="RJ246" s="94"/>
      <c r="RK246" s="94"/>
      <c r="RL246" s="94"/>
      <c r="RM246" s="94"/>
      <c r="RN246" s="94"/>
      <c r="RO246" s="94"/>
      <c r="RP246" s="94"/>
      <c r="RQ246" s="94"/>
      <c r="RR246" s="94"/>
      <c r="RS246" s="94"/>
      <c r="RT246" s="94"/>
      <c r="RU246" s="94"/>
      <c r="RV246" s="94"/>
      <c r="RW246" s="94"/>
      <c r="RX246" s="94"/>
      <c r="RY246" s="94"/>
      <c r="RZ246" s="94"/>
      <c r="SA246" s="94"/>
      <c r="SB246" s="94"/>
      <c r="SC246" s="94"/>
      <c r="SD246" s="94"/>
      <c r="SE246" s="94"/>
      <c r="SF246" s="94"/>
      <c r="SG246" s="94"/>
      <c r="SH246" s="94"/>
      <c r="SI246" s="94"/>
    </row>
    <row r="247" spans="1:503" s="90" customFormat="1" ht="6" customHeight="1">
      <c r="A247" s="1"/>
      <c r="B247" s="10"/>
      <c r="C247" s="11"/>
      <c r="D247" s="1"/>
      <c r="E247" s="1"/>
      <c r="F247" s="12"/>
      <c r="G247" s="12"/>
      <c r="H247" s="1"/>
      <c r="I247" s="1"/>
      <c r="J247" s="1"/>
      <c r="K247" s="12"/>
      <c r="L247" s="1"/>
      <c r="M247" s="1"/>
      <c r="N247" s="1"/>
      <c r="X247" s="443"/>
      <c r="Y247" s="445"/>
      <c r="Z247" s="445"/>
      <c r="AA247" s="445"/>
      <c r="AB247" s="445"/>
      <c r="AC247" s="443"/>
      <c r="AD247" s="445"/>
      <c r="AE247" s="445"/>
      <c r="AF247" s="445"/>
      <c r="AG247" s="445"/>
      <c r="AH247" s="443"/>
      <c r="AI247" s="445"/>
      <c r="AJ247" s="445"/>
      <c r="AK247" s="445"/>
      <c r="AL247" s="445"/>
      <c r="AM247" s="443"/>
      <c r="AN247" s="445"/>
      <c r="AO247" s="445"/>
      <c r="AP247" s="445"/>
      <c r="AQ247" s="445"/>
      <c r="AR247" s="445"/>
      <c r="AS247" s="445"/>
      <c r="AT247" s="445"/>
      <c r="AU247" s="445"/>
      <c r="AV247" s="445"/>
      <c r="AW247" s="445"/>
      <c r="AX247" s="445"/>
      <c r="AY247" s="445"/>
      <c r="AZ247" s="445"/>
      <c r="BA247" s="445"/>
      <c r="BB247" s="445"/>
      <c r="BC247" s="445"/>
      <c r="BD247" s="445"/>
      <c r="BE247" s="445"/>
      <c r="BF247" s="445"/>
      <c r="BG247" s="445"/>
      <c r="BH247" s="445"/>
      <c r="BI247" s="445"/>
      <c r="BJ247" s="445"/>
      <c r="BK247" s="445"/>
      <c r="BL247" s="445"/>
      <c r="BM247" s="445"/>
      <c r="BN247" s="445"/>
      <c r="BO247" s="445"/>
      <c r="BP247" s="445"/>
      <c r="BQ247" s="445"/>
      <c r="BR247" s="445"/>
      <c r="BS247" s="445"/>
      <c r="BT247" s="445"/>
      <c r="BU247" s="445"/>
      <c r="BV247" s="445"/>
      <c r="BW247" s="445"/>
      <c r="BX247" s="445"/>
      <c r="BY247" s="445"/>
      <c r="BZ247" s="445"/>
      <c r="CA247" s="445"/>
      <c r="CB247" s="445"/>
      <c r="CC247" s="445"/>
      <c r="CD247" s="445"/>
      <c r="CE247" s="445"/>
      <c r="CF247" s="445"/>
      <c r="CG247" s="445"/>
      <c r="CH247" s="445"/>
      <c r="CI247" s="445"/>
      <c r="CJ247" s="445"/>
      <c r="CK247" s="445"/>
      <c r="CL247" s="445"/>
      <c r="CM247" s="445"/>
      <c r="CN247" s="445"/>
      <c r="CO247" s="445"/>
      <c r="CP247" s="445"/>
      <c r="CQ247" s="445"/>
      <c r="CR247" s="445"/>
      <c r="CS247" s="445"/>
      <c r="CT247" s="445"/>
      <c r="CU247" s="445"/>
      <c r="CV247" s="445"/>
      <c r="CW247" s="445"/>
      <c r="CX247" s="445"/>
      <c r="CY247" s="445"/>
      <c r="CZ247" s="445"/>
      <c r="DA247" s="445"/>
      <c r="DB247" s="445"/>
      <c r="DC247" s="445"/>
      <c r="DD247" s="445"/>
      <c r="DE247" s="445"/>
      <c r="DF247" s="445"/>
      <c r="DG247" s="445"/>
      <c r="DH247" s="445"/>
      <c r="DI247" s="445"/>
      <c r="DJ247" s="445"/>
      <c r="DK247" s="445"/>
      <c r="DL247" s="445"/>
      <c r="DM247" s="445"/>
      <c r="DN247" s="445"/>
      <c r="DO247" s="445"/>
      <c r="DP247" s="445"/>
      <c r="DQ247" s="445"/>
      <c r="DR247" s="445"/>
      <c r="DS247" s="445"/>
      <c r="DT247" s="445"/>
      <c r="DU247" s="445"/>
      <c r="DV247" s="445"/>
      <c r="DW247" s="445"/>
      <c r="DX247" s="445"/>
      <c r="DY247" s="445"/>
      <c r="DZ247" s="445"/>
      <c r="EA247" s="445"/>
      <c r="EB247" s="445"/>
      <c r="EC247" s="445"/>
      <c r="ED247" s="445"/>
      <c r="EE247" s="445"/>
      <c r="EF247" s="445"/>
      <c r="EG247" s="445"/>
      <c r="EH247" s="445"/>
      <c r="EI247" s="445"/>
      <c r="EJ247" s="445"/>
      <c r="EK247" s="445"/>
      <c r="EL247" s="445"/>
      <c r="EM247" s="445"/>
      <c r="EN247" s="445"/>
      <c r="EO247" s="445"/>
      <c r="EP247" s="445"/>
      <c r="EQ247" s="445"/>
      <c r="ER247" s="445"/>
      <c r="ES247" s="445"/>
      <c r="ET247" s="445"/>
      <c r="EU247" s="445"/>
      <c r="EV247" s="445"/>
      <c r="EW247" s="445"/>
      <c r="EX247" s="445"/>
      <c r="EY247" s="445"/>
      <c r="EZ247" s="445"/>
      <c r="FA247" s="445"/>
      <c r="FB247" s="445"/>
      <c r="FC247" s="445"/>
      <c r="FD247" s="445"/>
      <c r="FE247" s="445"/>
      <c r="FF247" s="445"/>
      <c r="FG247" s="445"/>
      <c r="FH247" s="445"/>
      <c r="FI247" s="445"/>
      <c r="FJ247" s="445"/>
      <c r="FK247" s="445"/>
      <c r="FL247" s="445"/>
      <c r="FM247" s="445"/>
      <c r="FN247" s="445"/>
      <c r="FO247" s="445"/>
      <c r="FP247" s="445"/>
      <c r="FQ247" s="445"/>
      <c r="FR247" s="445"/>
      <c r="FS247" s="445"/>
      <c r="FT247" s="445"/>
      <c r="FU247" s="445"/>
      <c r="FV247" s="445"/>
      <c r="FW247" s="445"/>
      <c r="FX247" s="445"/>
      <c r="FY247" s="445"/>
      <c r="FZ247" s="445"/>
      <c r="GA247" s="445"/>
      <c r="GB247" s="445"/>
      <c r="GC247" s="445"/>
      <c r="GD247" s="445"/>
      <c r="GE247" s="445"/>
      <c r="GF247" s="445"/>
      <c r="GG247" s="445"/>
      <c r="GH247" s="445"/>
      <c r="GI247" s="445"/>
      <c r="GJ247" s="445"/>
      <c r="GK247" s="445"/>
      <c r="GL247" s="445"/>
      <c r="GM247" s="445"/>
      <c r="GN247" s="445"/>
      <c r="GO247" s="445"/>
      <c r="GP247" s="445"/>
      <c r="GQ247" s="445"/>
      <c r="GR247" s="445"/>
      <c r="GS247" s="445"/>
      <c r="GT247" s="445"/>
      <c r="GU247" s="445"/>
      <c r="GV247" s="445"/>
      <c r="GW247" s="445"/>
      <c r="GX247" s="445"/>
      <c r="GY247" s="445"/>
      <c r="GZ247" s="445"/>
      <c r="HA247" s="445"/>
      <c r="HB247" s="445"/>
      <c r="HC247" s="445"/>
      <c r="HD247" s="445"/>
      <c r="HE247" s="445"/>
      <c r="HF247" s="445"/>
      <c r="HG247" s="445"/>
      <c r="HH247" s="445"/>
      <c r="HI247" s="445"/>
      <c r="HJ247" s="445"/>
      <c r="HK247" s="445"/>
      <c r="HL247" s="445"/>
      <c r="HM247" s="445"/>
      <c r="HN247" s="445"/>
      <c r="HO247" s="445"/>
      <c r="HP247" s="445"/>
      <c r="HQ247" s="445"/>
      <c r="HR247" s="445"/>
      <c r="HS247" s="445"/>
      <c r="HT247" s="445"/>
      <c r="HU247" s="445"/>
      <c r="HV247" s="445"/>
      <c r="HW247" s="445"/>
      <c r="HX247" s="445"/>
      <c r="HY247" s="445"/>
      <c r="HZ247" s="445"/>
      <c r="IA247" s="445"/>
      <c r="IB247" s="445"/>
      <c r="IC247" s="445"/>
      <c r="ID247" s="445"/>
      <c r="IE247" s="445"/>
      <c r="IF247" s="445"/>
      <c r="IG247" s="445"/>
      <c r="IH247" s="445"/>
      <c r="II247" s="445"/>
      <c r="IJ247" s="445"/>
      <c r="IK247" s="445"/>
      <c r="IL247" s="445"/>
      <c r="IM247" s="445"/>
      <c r="IN247" s="445"/>
      <c r="IO247" s="445"/>
      <c r="IP247" s="445"/>
      <c r="IQ247" s="445"/>
      <c r="IR247" s="445"/>
      <c r="IS247" s="445"/>
      <c r="IT247" s="445"/>
      <c r="IU247" s="445"/>
      <c r="IV247" s="445"/>
      <c r="IW247" s="445"/>
      <c r="IX247" s="445"/>
      <c r="IY247" s="445"/>
      <c r="IZ247" s="445"/>
      <c r="JA247" s="445"/>
      <c r="JB247" s="445"/>
      <c r="JC247" s="445"/>
      <c r="JD247" s="445"/>
      <c r="JE247" s="445"/>
      <c r="JF247" s="445"/>
      <c r="JG247" s="445"/>
      <c r="JH247" s="445"/>
      <c r="JI247" s="445"/>
      <c r="JJ247" s="445"/>
      <c r="JK247" s="445"/>
      <c r="JL247" s="445"/>
      <c r="JM247" s="445"/>
      <c r="JN247" s="445"/>
      <c r="JO247" s="445"/>
      <c r="JP247" s="445"/>
      <c r="JQ247" s="445"/>
      <c r="JR247" s="445"/>
      <c r="JS247" s="445"/>
      <c r="JT247" s="445"/>
      <c r="JU247" s="445"/>
      <c r="JV247" s="445"/>
      <c r="JW247" s="2242"/>
      <c r="JX247" s="445"/>
      <c r="JY247" s="445"/>
      <c r="JZ247" s="445"/>
      <c r="KA247" s="445"/>
      <c r="KB247" s="2242"/>
      <c r="KC247" s="2242"/>
      <c r="KD247" s="2242"/>
      <c r="KE247" s="2242"/>
      <c r="KF247" s="2242"/>
      <c r="KG247" s="2242"/>
      <c r="KH247" s="2242"/>
      <c r="KI247" s="2242"/>
      <c r="KJ247" s="2242"/>
      <c r="KK247" s="2242"/>
      <c r="KL247" s="2242"/>
      <c r="KM247" s="2242"/>
      <c r="KN247" s="2242"/>
      <c r="KO247" s="2242"/>
      <c r="KP247" s="2242"/>
      <c r="KQ247" s="2242"/>
      <c r="KR247" s="2242"/>
      <c r="KS247" s="2242"/>
      <c r="KT247" s="2242"/>
      <c r="KU247" s="2242"/>
      <c r="KV247" s="2242"/>
      <c r="KW247" s="2242"/>
      <c r="KX247" s="2242"/>
      <c r="KY247" s="2242"/>
      <c r="KZ247" s="2242"/>
      <c r="LA247" s="2242"/>
      <c r="LB247" s="2242"/>
      <c r="LC247" s="2242"/>
      <c r="LD247" s="2242"/>
      <c r="LE247" s="2242"/>
      <c r="LF247" s="2242"/>
      <c r="LG247" s="2242"/>
      <c r="LH247" s="2242"/>
      <c r="LI247" s="2242"/>
      <c r="LJ247" s="2242"/>
      <c r="LK247" s="2242"/>
      <c r="LL247" s="2242"/>
      <c r="LM247" s="2242"/>
      <c r="LN247" s="2242"/>
      <c r="LO247" s="2242"/>
      <c r="LP247" s="2242"/>
      <c r="LQ247" s="2242"/>
      <c r="LR247" s="445"/>
      <c r="LS247" s="445"/>
      <c r="LT247" s="445"/>
      <c r="LU247" s="445"/>
      <c r="LV247" s="445"/>
      <c r="LW247" s="445"/>
      <c r="LX247" s="2243"/>
      <c r="LY247" s="445"/>
      <c r="LZ247" s="445"/>
      <c r="MA247" s="445"/>
      <c r="MB247" s="445"/>
      <c r="MC247" s="445"/>
      <c r="MD247" s="445"/>
      <c r="ME247" s="445"/>
      <c r="MF247" s="445"/>
      <c r="MG247" s="445"/>
      <c r="MH247" s="445"/>
      <c r="MI247" s="445"/>
      <c r="MJ247" s="445"/>
      <c r="MK247" s="445"/>
      <c r="ML247" s="445"/>
      <c r="MM247" s="445"/>
      <c r="MN247" s="2243"/>
      <c r="MO247" s="2243"/>
      <c r="MP247" s="445"/>
      <c r="MQ247" s="445"/>
      <c r="MR247" s="445"/>
      <c r="MS247" s="445"/>
      <c r="MT247" s="445"/>
      <c r="MU247" s="445"/>
      <c r="MV247" s="445"/>
      <c r="MW247" s="445"/>
      <c r="MX247" s="445"/>
      <c r="MY247" s="445"/>
      <c r="MZ247" s="445"/>
      <c r="NA247" s="445"/>
      <c r="NB247" s="445"/>
      <c r="NC247" s="445"/>
      <c r="ND247" s="445"/>
      <c r="NE247" s="94"/>
      <c r="NF247" s="94"/>
      <c r="NG247" s="94"/>
      <c r="NH247" s="94"/>
      <c r="NI247" s="94"/>
      <c r="NJ247" s="94"/>
      <c r="NK247" s="94"/>
      <c r="NL247" s="94"/>
      <c r="NM247" s="94"/>
      <c r="NN247" s="94"/>
      <c r="NO247" s="94"/>
      <c r="NP247" s="94"/>
      <c r="NQ247" s="94"/>
      <c r="NR247" s="94"/>
      <c r="NS247" s="94"/>
      <c r="NT247" s="94"/>
      <c r="NU247" s="94"/>
      <c r="NV247" s="94"/>
      <c r="NW247" s="94"/>
      <c r="NX247" s="94"/>
      <c r="NY247" s="94"/>
      <c r="NZ247" s="94"/>
      <c r="OA247" s="94"/>
      <c r="OB247" s="94"/>
      <c r="OC247" s="94"/>
      <c r="OD247" s="94"/>
      <c r="OE247" s="94"/>
      <c r="OF247" s="94"/>
      <c r="OG247" s="94"/>
      <c r="OH247" s="94"/>
      <c r="OI247" s="94"/>
      <c r="OJ247" s="94"/>
      <c r="OK247" s="94"/>
      <c r="OL247" s="94"/>
      <c r="OM247" s="94"/>
      <c r="ON247" s="94"/>
      <c r="OO247" s="94"/>
      <c r="OP247" s="94"/>
      <c r="OQ247" s="94"/>
      <c r="OR247" s="94"/>
      <c r="OS247" s="94"/>
      <c r="OT247" s="94"/>
      <c r="OU247" s="94"/>
      <c r="OV247" s="94"/>
      <c r="OW247" s="94"/>
      <c r="OX247" s="94"/>
      <c r="OY247" s="94"/>
      <c r="OZ247" s="94"/>
      <c r="PA247" s="94"/>
      <c r="PB247" s="94"/>
      <c r="PC247" s="94"/>
      <c r="PD247" s="94"/>
      <c r="PE247" s="94"/>
      <c r="PF247" s="94"/>
      <c r="PG247" s="94"/>
      <c r="PH247" s="94"/>
      <c r="PI247" s="94"/>
      <c r="PJ247" s="94"/>
      <c r="PK247" s="94"/>
      <c r="PL247" s="94"/>
      <c r="PM247" s="94"/>
      <c r="PN247" s="94"/>
      <c r="PO247" s="94"/>
      <c r="PP247" s="94"/>
      <c r="PQ247" s="94"/>
      <c r="PR247" s="94"/>
      <c r="PS247" s="94"/>
      <c r="PT247" s="94"/>
      <c r="PU247" s="94"/>
      <c r="PV247" s="94"/>
      <c r="PW247" s="94"/>
      <c r="PX247" s="94"/>
      <c r="PY247" s="94"/>
      <c r="PZ247" s="94"/>
      <c r="QA247" s="94"/>
      <c r="QB247" s="94"/>
      <c r="QC247" s="94"/>
      <c r="QD247" s="94"/>
      <c r="QE247" s="94"/>
      <c r="QF247" s="94"/>
      <c r="QG247" s="94"/>
      <c r="QH247" s="94"/>
      <c r="QI247" s="94"/>
      <c r="QJ247" s="94"/>
      <c r="QK247" s="94"/>
      <c r="QL247" s="94"/>
      <c r="QM247" s="94"/>
      <c r="QN247" s="94"/>
      <c r="QO247" s="94"/>
      <c r="QP247" s="94"/>
      <c r="QQ247" s="94"/>
      <c r="QR247" s="94"/>
      <c r="QS247" s="94"/>
      <c r="QT247" s="94"/>
      <c r="QU247" s="94"/>
      <c r="QV247" s="94"/>
      <c r="QW247" s="94"/>
      <c r="QX247" s="94"/>
      <c r="QY247" s="94"/>
      <c r="QZ247" s="94"/>
      <c r="RA247" s="94"/>
      <c r="RB247" s="94"/>
      <c r="RC247" s="94"/>
      <c r="RD247" s="94"/>
      <c r="RE247" s="94"/>
      <c r="RF247" s="94"/>
      <c r="RG247" s="94"/>
      <c r="RH247" s="94"/>
      <c r="RI247" s="94"/>
      <c r="RJ247" s="94"/>
      <c r="RK247" s="94"/>
      <c r="RL247" s="94"/>
      <c r="RM247" s="94"/>
      <c r="RN247" s="94"/>
      <c r="RO247" s="94"/>
      <c r="RP247" s="94"/>
      <c r="RQ247" s="94"/>
      <c r="RR247" s="94"/>
      <c r="RS247" s="94"/>
      <c r="RT247" s="94"/>
      <c r="RU247" s="94"/>
      <c r="RV247" s="94"/>
      <c r="RW247" s="94"/>
      <c r="RX247" s="94"/>
      <c r="RY247" s="94"/>
      <c r="RZ247" s="94"/>
      <c r="SA247" s="94"/>
      <c r="SB247" s="94"/>
      <c r="SC247" s="94"/>
      <c r="SD247" s="94"/>
      <c r="SE247" s="94"/>
      <c r="SF247" s="94"/>
      <c r="SG247" s="94"/>
      <c r="SH247" s="94"/>
      <c r="SI247" s="94"/>
    </row>
    <row r="248" spans="1:503" s="90" customFormat="1" ht="15.6" customHeight="1">
      <c r="A248" s="1"/>
      <c r="B248" s="10"/>
      <c r="C248" s="11"/>
      <c r="D248" s="1"/>
      <c r="E248" s="1"/>
      <c r="F248" s="12"/>
      <c r="G248" s="12"/>
      <c r="H248" s="1"/>
      <c r="I248" s="1"/>
      <c r="J248" s="1"/>
      <c r="K248" s="12"/>
      <c r="L248" s="1"/>
      <c r="M248" s="1"/>
      <c r="N248" s="1"/>
      <c r="R248" s="837"/>
      <c r="X248" s="443"/>
      <c r="Y248" s="445"/>
      <c r="Z248" s="445"/>
      <c r="AA248" s="445"/>
      <c r="AB248" s="445"/>
      <c r="AC248" s="443"/>
      <c r="AD248" s="445"/>
      <c r="AE248" s="445"/>
      <c r="AF248" s="445"/>
      <c r="AG248" s="445"/>
      <c r="AH248" s="443"/>
      <c r="AI248" s="445"/>
      <c r="AJ248" s="445"/>
      <c r="AK248" s="445"/>
      <c r="AL248" s="445"/>
      <c r="AM248" s="443"/>
      <c r="AN248" s="445"/>
      <c r="AO248" s="445"/>
      <c r="AP248" s="445"/>
      <c r="AQ248" s="445"/>
      <c r="AR248" s="445"/>
      <c r="AS248" s="445"/>
      <c r="AT248" s="445"/>
      <c r="AU248" s="445"/>
      <c r="AV248" s="445"/>
      <c r="AW248" s="445"/>
      <c r="AX248" s="445"/>
      <c r="AY248" s="445"/>
      <c r="AZ248" s="445"/>
      <c r="BA248" s="445"/>
      <c r="BB248" s="445"/>
      <c r="BC248" s="445"/>
      <c r="BD248" s="445"/>
      <c r="BE248" s="445"/>
      <c r="BF248" s="445"/>
      <c r="BG248" s="445"/>
      <c r="BH248" s="445"/>
      <c r="BI248" s="445"/>
      <c r="BJ248" s="445"/>
      <c r="BK248" s="445"/>
      <c r="BL248" s="445"/>
      <c r="BM248" s="445"/>
      <c r="BN248" s="445"/>
      <c r="BO248" s="445"/>
      <c r="BP248" s="445"/>
      <c r="BQ248" s="445"/>
      <c r="BR248" s="445"/>
      <c r="BS248" s="445"/>
      <c r="BT248" s="445"/>
      <c r="BU248" s="445"/>
      <c r="BV248" s="445"/>
      <c r="BW248" s="445"/>
      <c r="BX248" s="445"/>
      <c r="BY248" s="445"/>
      <c r="BZ248" s="445"/>
      <c r="CA248" s="445"/>
      <c r="CB248" s="445"/>
      <c r="CC248" s="445"/>
      <c r="CD248" s="445"/>
      <c r="CE248" s="445"/>
      <c r="CF248" s="445"/>
      <c r="CG248" s="445"/>
      <c r="CH248" s="445"/>
      <c r="CI248" s="445"/>
      <c r="CJ248" s="445"/>
      <c r="CK248" s="445"/>
      <c r="CL248" s="445"/>
      <c r="CM248" s="445"/>
      <c r="CN248" s="445"/>
      <c r="CO248" s="445"/>
      <c r="CP248" s="445"/>
      <c r="CQ248" s="445"/>
      <c r="CR248" s="445"/>
      <c r="CS248" s="445"/>
      <c r="CT248" s="445"/>
      <c r="CU248" s="445"/>
      <c r="CV248" s="445"/>
      <c r="CW248" s="445"/>
      <c r="CX248" s="445"/>
      <c r="CY248" s="445"/>
      <c r="CZ248" s="445"/>
      <c r="DA248" s="445"/>
      <c r="DB248" s="445"/>
      <c r="DC248" s="445"/>
      <c r="DD248" s="445"/>
      <c r="DE248" s="445"/>
      <c r="DF248" s="445"/>
      <c r="DG248" s="445"/>
      <c r="DH248" s="445"/>
      <c r="DI248" s="445"/>
      <c r="DJ248" s="445"/>
      <c r="DK248" s="445"/>
      <c r="DL248" s="445"/>
      <c r="DM248" s="445"/>
      <c r="DN248" s="445"/>
      <c r="DO248" s="445"/>
      <c r="DP248" s="445"/>
      <c r="DQ248" s="445"/>
      <c r="DR248" s="445"/>
      <c r="DS248" s="445"/>
      <c r="DT248" s="445"/>
      <c r="DU248" s="445"/>
      <c r="DV248" s="445"/>
      <c r="DW248" s="445"/>
      <c r="DX248" s="445"/>
      <c r="DY248" s="445"/>
      <c r="DZ248" s="445"/>
      <c r="EA248" s="445"/>
      <c r="EB248" s="445"/>
      <c r="EC248" s="445"/>
      <c r="ED248" s="445"/>
      <c r="EE248" s="445"/>
      <c r="EF248" s="445"/>
      <c r="EG248" s="445"/>
      <c r="EH248" s="445"/>
      <c r="EI248" s="445"/>
      <c r="EJ248" s="445"/>
      <c r="EK248" s="445"/>
      <c r="EL248" s="445"/>
      <c r="EM248" s="445"/>
      <c r="EN248" s="445"/>
      <c r="EO248" s="445"/>
      <c r="EP248" s="445"/>
      <c r="EQ248" s="445"/>
      <c r="ER248" s="445"/>
      <c r="ES248" s="445"/>
      <c r="ET248" s="445"/>
      <c r="EU248" s="445"/>
      <c r="EV248" s="445"/>
      <c r="EW248" s="445"/>
      <c r="EX248" s="445"/>
      <c r="EY248" s="445"/>
      <c r="EZ248" s="445"/>
      <c r="FA248" s="445"/>
      <c r="FB248" s="445"/>
      <c r="FC248" s="445"/>
      <c r="FD248" s="445"/>
      <c r="FE248" s="445"/>
      <c r="FF248" s="445"/>
      <c r="FG248" s="445"/>
      <c r="FH248" s="445"/>
      <c r="FI248" s="445"/>
      <c r="FJ248" s="445"/>
      <c r="FK248" s="445"/>
      <c r="FL248" s="445"/>
      <c r="FM248" s="445"/>
      <c r="FN248" s="445"/>
      <c r="FO248" s="445"/>
      <c r="FP248" s="445"/>
      <c r="FQ248" s="445"/>
      <c r="FR248" s="445"/>
      <c r="FS248" s="445"/>
      <c r="FT248" s="445"/>
      <c r="FU248" s="445"/>
      <c r="FV248" s="445"/>
      <c r="FW248" s="445"/>
      <c r="FX248" s="445"/>
      <c r="FY248" s="445"/>
      <c r="FZ248" s="445"/>
      <c r="GA248" s="445"/>
      <c r="GB248" s="445"/>
      <c r="GC248" s="445"/>
      <c r="GD248" s="445"/>
      <c r="GE248" s="445"/>
      <c r="GF248" s="445"/>
      <c r="GG248" s="445"/>
      <c r="GH248" s="445"/>
      <c r="GI248" s="445"/>
      <c r="GJ248" s="445"/>
      <c r="GK248" s="445"/>
      <c r="GL248" s="445"/>
      <c r="GM248" s="445"/>
      <c r="GN248" s="445"/>
      <c r="GO248" s="445"/>
      <c r="GP248" s="445"/>
      <c r="GQ248" s="445"/>
      <c r="GR248" s="445"/>
      <c r="GS248" s="445"/>
      <c r="GT248" s="445"/>
      <c r="GU248" s="445"/>
      <c r="GV248" s="445"/>
      <c r="GW248" s="445"/>
      <c r="GX248" s="445"/>
      <c r="GY248" s="445"/>
      <c r="GZ248" s="445"/>
      <c r="HA248" s="445"/>
      <c r="HB248" s="445"/>
      <c r="HC248" s="445"/>
      <c r="HD248" s="445"/>
      <c r="HE248" s="445"/>
      <c r="HF248" s="445"/>
      <c r="HG248" s="445"/>
      <c r="HH248" s="445"/>
      <c r="HI248" s="445"/>
      <c r="HJ248" s="445"/>
      <c r="HK248" s="445"/>
      <c r="HL248" s="445"/>
      <c r="HM248" s="445"/>
      <c r="HN248" s="445"/>
      <c r="HO248" s="445"/>
      <c r="HP248" s="445"/>
      <c r="HQ248" s="445"/>
      <c r="HR248" s="445"/>
      <c r="HS248" s="445"/>
      <c r="HT248" s="445"/>
      <c r="HU248" s="445"/>
      <c r="HV248" s="445"/>
      <c r="HW248" s="445"/>
      <c r="HX248" s="445"/>
      <c r="HY248" s="445"/>
      <c r="HZ248" s="445"/>
      <c r="IA248" s="445"/>
      <c r="IB248" s="445"/>
      <c r="IC248" s="445"/>
      <c r="ID248" s="445"/>
      <c r="IE248" s="445"/>
      <c r="IF248" s="445"/>
      <c r="IG248" s="445"/>
      <c r="IH248" s="445"/>
      <c r="II248" s="445"/>
      <c r="IJ248" s="445"/>
      <c r="IK248" s="445"/>
      <c r="IL248" s="445"/>
      <c r="IM248" s="445"/>
      <c r="IN248" s="445"/>
      <c r="IO248" s="445"/>
      <c r="IP248" s="445"/>
      <c r="IQ248" s="445"/>
      <c r="IR248" s="445"/>
      <c r="IS248" s="445"/>
      <c r="IT248" s="445"/>
      <c r="IU248" s="445"/>
      <c r="IV248" s="445"/>
      <c r="IW248" s="445"/>
      <c r="IX248" s="445"/>
      <c r="IY248" s="445"/>
      <c r="IZ248" s="445"/>
      <c r="JA248" s="445"/>
      <c r="JB248" s="445"/>
      <c r="JC248" s="445"/>
      <c r="JD248" s="445"/>
      <c r="JE248" s="445"/>
      <c r="JF248" s="445"/>
      <c r="JG248" s="445"/>
      <c r="JH248" s="445"/>
      <c r="JI248" s="445"/>
      <c r="JJ248" s="445"/>
      <c r="JK248" s="445"/>
      <c r="JL248" s="445"/>
      <c r="JM248" s="445"/>
      <c r="JN248" s="445"/>
      <c r="JO248" s="445"/>
      <c r="JP248" s="445"/>
      <c r="JQ248" s="445"/>
      <c r="JR248" s="445"/>
      <c r="JS248" s="445"/>
      <c r="JT248" s="445"/>
      <c r="JU248" s="445"/>
      <c r="JV248" s="445"/>
      <c r="JW248" s="2242"/>
      <c r="JX248" s="445"/>
      <c r="JY248" s="445"/>
      <c r="JZ248" s="445"/>
      <c r="KA248" s="445"/>
      <c r="KB248" s="2242"/>
      <c r="KC248" s="2242"/>
      <c r="KD248" s="2242"/>
      <c r="KE248" s="2242"/>
      <c r="KF248" s="2242"/>
      <c r="KG248" s="2242"/>
      <c r="KH248" s="2242"/>
      <c r="KI248" s="2242"/>
      <c r="KJ248" s="2242"/>
      <c r="KK248" s="2242"/>
      <c r="KL248" s="2242"/>
      <c r="KM248" s="2242"/>
      <c r="KN248" s="2242"/>
      <c r="KO248" s="2242"/>
      <c r="KP248" s="2242"/>
      <c r="KQ248" s="2242"/>
      <c r="KR248" s="2242"/>
      <c r="KS248" s="2242"/>
      <c r="KT248" s="2242"/>
      <c r="KU248" s="2242"/>
      <c r="KV248" s="2242"/>
      <c r="KW248" s="2242"/>
      <c r="KX248" s="2242"/>
      <c r="KY248" s="2242"/>
      <c r="KZ248" s="2242"/>
      <c r="LA248" s="2242"/>
      <c r="LB248" s="2242"/>
      <c r="LC248" s="2242"/>
      <c r="LD248" s="2242"/>
      <c r="LE248" s="2242"/>
      <c r="LF248" s="2242"/>
      <c r="LG248" s="2242"/>
      <c r="LH248" s="2242"/>
      <c r="LI248" s="2242"/>
      <c r="LJ248" s="2242"/>
      <c r="LK248" s="2242"/>
      <c r="LL248" s="2242"/>
      <c r="LM248" s="2242"/>
      <c r="LN248" s="2242"/>
      <c r="LO248" s="2242"/>
      <c r="LP248" s="2242"/>
      <c r="LQ248" s="2242"/>
      <c r="LR248" s="445"/>
      <c r="LS248" s="445"/>
      <c r="LT248" s="445"/>
      <c r="LU248" s="445"/>
      <c r="LV248" s="445"/>
      <c r="LW248" s="445"/>
      <c r="LX248" s="2243"/>
      <c r="LY248" s="445"/>
      <c r="LZ248" s="445"/>
      <c r="MA248" s="445"/>
      <c r="MB248" s="445"/>
      <c r="MC248" s="445"/>
      <c r="MD248" s="445"/>
      <c r="ME248" s="445"/>
      <c r="MF248" s="445"/>
      <c r="MG248" s="445"/>
      <c r="MH248" s="445"/>
      <c r="MI248" s="445"/>
      <c r="MJ248" s="445"/>
      <c r="MK248" s="445"/>
      <c r="ML248" s="445"/>
      <c r="MM248" s="445"/>
      <c r="MN248" s="2243"/>
      <c r="MO248" s="2243"/>
      <c r="MP248" s="445"/>
      <c r="MQ248" s="445"/>
      <c r="MR248" s="445"/>
      <c r="MS248" s="445"/>
      <c r="MT248" s="445"/>
      <c r="MU248" s="445"/>
      <c r="MV248" s="445"/>
      <c r="MW248" s="445"/>
      <c r="MX248" s="445"/>
      <c r="MY248" s="445"/>
      <c r="MZ248" s="445"/>
      <c r="NA248" s="445"/>
      <c r="NB248" s="445"/>
      <c r="NC248" s="445"/>
      <c r="ND248" s="445"/>
      <c r="NE248" s="94"/>
      <c r="NF248" s="94"/>
      <c r="NG248" s="94"/>
      <c r="NH248" s="94"/>
      <c r="NI248" s="94"/>
      <c r="NJ248" s="94"/>
      <c r="NK248" s="94"/>
      <c r="NL248" s="94"/>
      <c r="NM248" s="94"/>
      <c r="NN248" s="94"/>
      <c r="NO248" s="94"/>
      <c r="NP248" s="94"/>
      <c r="NQ248" s="94"/>
      <c r="NR248" s="94"/>
      <c r="NS248" s="94"/>
      <c r="NT248" s="94"/>
      <c r="NU248" s="94"/>
      <c r="NV248" s="94"/>
      <c r="NW248" s="94"/>
      <c r="NX248" s="94"/>
      <c r="NY248" s="94"/>
      <c r="NZ248" s="94"/>
      <c r="OA248" s="94"/>
      <c r="OB248" s="94"/>
      <c r="OC248" s="94"/>
      <c r="OD248" s="94"/>
      <c r="OE248" s="94"/>
      <c r="OF248" s="94"/>
      <c r="OG248" s="94"/>
      <c r="OH248" s="94"/>
      <c r="OI248" s="94"/>
      <c r="OJ248" s="94"/>
      <c r="OK248" s="94"/>
      <c r="OL248" s="94"/>
      <c r="OM248" s="94"/>
      <c r="ON248" s="94"/>
      <c r="OO248" s="94"/>
      <c r="OP248" s="94"/>
      <c r="OQ248" s="94"/>
      <c r="OR248" s="94"/>
      <c r="OS248" s="94"/>
      <c r="OT248" s="94"/>
      <c r="OU248" s="94"/>
      <c r="OV248" s="94"/>
      <c r="OW248" s="94"/>
      <c r="OX248" s="94"/>
      <c r="OY248" s="94"/>
      <c r="OZ248" s="94"/>
      <c r="PA248" s="94"/>
      <c r="PB248" s="94"/>
      <c r="PC248" s="94"/>
      <c r="PD248" s="94"/>
      <c r="PE248" s="94"/>
      <c r="PF248" s="94"/>
      <c r="PG248" s="94"/>
      <c r="PH248" s="94"/>
      <c r="PI248" s="94"/>
      <c r="PJ248" s="94"/>
      <c r="PK248" s="94"/>
      <c r="PL248" s="94"/>
      <c r="PM248" s="94"/>
      <c r="PN248" s="94"/>
      <c r="PO248" s="94"/>
      <c r="PP248" s="94"/>
      <c r="PQ248" s="94"/>
      <c r="PR248" s="94"/>
      <c r="PS248" s="94"/>
      <c r="PT248" s="94"/>
      <c r="PU248" s="94"/>
      <c r="PV248" s="94"/>
      <c r="PW248" s="94"/>
      <c r="PX248" s="94"/>
      <c r="PY248" s="94"/>
      <c r="PZ248" s="94"/>
      <c r="QA248" s="94"/>
      <c r="QB248" s="94"/>
      <c r="QC248" s="94"/>
      <c r="QD248" s="94"/>
      <c r="QE248" s="94"/>
      <c r="QF248" s="94"/>
      <c r="QG248" s="94"/>
      <c r="QH248" s="94"/>
      <c r="QI248" s="94"/>
      <c r="QJ248" s="94"/>
      <c r="QK248" s="94"/>
      <c r="QL248" s="94"/>
      <c r="QM248" s="94"/>
      <c r="QN248" s="94"/>
      <c r="QO248" s="94"/>
      <c r="QP248" s="94"/>
      <c r="QQ248" s="94"/>
      <c r="QR248" s="94"/>
      <c r="QS248" s="94"/>
      <c r="QT248" s="94"/>
      <c r="QU248" s="94"/>
      <c r="QV248" s="94"/>
      <c r="QW248" s="94"/>
      <c r="QX248" s="94"/>
      <c r="QY248" s="94"/>
      <c r="QZ248" s="94"/>
      <c r="RA248" s="94"/>
      <c r="RB248" s="94"/>
      <c r="RC248" s="94"/>
      <c r="RD248" s="94"/>
      <c r="RE248" s="94"/>
      <c r="RF248" s="94"/>
      <c r="RG248" s="94"/>
      <c r="RH248" s="94"/>
      <c r="RI248" s="94"/>
      <c r="RJ248" s="94"/>
      <c r="RK248" s="94"/>
      <c r="RL248" s="94"/>
      <c r="RM248" s="94"/>
      <c r="RN248" s="94"/>
      <c r="RO248" s="94"/>
      <c r="RP248" s="94"/>
      <c r="RQ248" s="94"/>
      <c r="RR248" s="94"/>
      <c r="RS248" s="94"/>
      <c r="RT248" s="94"/>
      <c r="RU248" s="94"/>
      <c r="RV248" s="94"/>
      <c r="RW248" s="94"/>
      <c r="RX248" s="94"/>
      <c r="RY248" s="94"/>
      <c r="RZ248" s="94"/>
      <c r="SA248" s="94"/>
      <c r="SB248" s="94"/>
      <c r="SC248" s="94"/>
      <c r="SD248" s="94"/>
      <c r="SE248" s="94"/>
      <c r="SF248" s="94"/>
      <c r="SG248" s="94"/>
      <c r="SH248" s="94"/>
      <c r="SI248" s="94"/>
    </row>
    <row r="249" spans="1:503" s="90" customFormat="1" ht="15" customHeight="1" thickBot="1">
      <c r="A249" s="1"/>
      <c r="B249" s="10"/>
      <c r="C249" s="11"/>
      <c r="D249" s="1"/>
      <c r="E249" s="1"/>
      <c r="F249" s="12"/>
      <c r="G249" s="12"/>
      <c r="H249" s="1"/>
      <c r="I249" s="1"/>
      <c r="J249" s="1"/>
      <c r="K249" s="12"/>
      <c r="L249" s="1"/>
      <c r="M249" s="1"/>
      <c r="N249" s="1"/>
      <c r="O249" s="10"/>
      <c r="P249" s="1"/>
      <c r="Q249" s="837"/>
      <c r="R249" s="837"/>
      <c r="X249" s="443"/>
      <c r="Y249" s="445"/>
      <c r="Z249" s="445"/>
      <c r="AA249" s="445"/>
      <c r="AB249" s="445"/>
      <c r="AC249" s="443"/>
      <c r="AD249" s="445"/>
      <c r="AE249" s="445"/>
      <c r="AF249" s="445"/>
      <c r="AG249" s="445"/>
      <c r="AH249" s="443"/>
      <c r="AI249" s="445"/>
      <c r="AJ249" s="445"/>
      <c r="AK249" s="445"/>
      <c r="AL249" s="445"/>
      <c r="AM249" s="443"/>
      <c r="AN249" s="445"/>
      <c r="AO249" s="445"/>
      <c r="AP249" s="445"/>
      <c r="AQ249" s="445"/>
      <c r="AR249" s="445"/>
      <c r="AS249" s="445"/>
      <c r="AT249" s="445"/>
      <c r="AU249" s="445"/>
      <c r="AV249" s="445"/>
      <c r="AW249" s="445"/>
      <c r="AX249" s="445"/>
      <c r="AY249" s="445"/>
      <c r="AZ249" s="445"/>
      <c r="BA249" s="445"/>
      <c r="BB249" s="445"/>
      <c r="BC249" s="445"/>
      <c r="BD249" s="445"/>
      <c r="BE249" s="445"/>
      <c r="BF249" s="445"/>
      <c r="BG249" s="445"/>
      <c r="BH249" s="445"/>
      <c r="BI249" s="445"/>
      <c r="BJ249" s="445"/>
      <c r="BK249" s="445"/>
      <c r="BL249" s="445"/>
      <c r="BM249" s="445"/>
      <c r="BN249" s="445"/>
      <c r="BO249" s="445"/>
      <c r="BP249" s="445"/>
      <c r="BQ249" s="445"/>
      <c r="BR249" s="445"/>
      <c r="BS249" s="445"/>
      <c r="BT249" s="445"/>
      <c r="BU249" s="445"/>
      <c r="BV249" s="445"/>
      <c r="BW249" s="445"/>
      <c r="BX249" s="445"/>
      <c r="BY249" s="445"/>
      <c r="BZ249" s="445"/>
      <c r="CA249" s="445"/>
      <c r="CB249" s="445"/>
      <c r="CC249" s="445"/>
      <c r="CD249" s="445"/>
      <c r="CE249" s="445"/>
      <c r="CF249" s="445"/>
      <c r="CG249" s="445"/>
      <c r="CH249" s="445"/>
      <c r="CI249" s="445"/>
      <c r="CJ249" s="445"/>
      <c r="CK249" s="445"/>
      <c r="CL249" s="445"/>
      <c r="CM249" s="445"/>
      <c r="CN249" s="445"/>
      <c r="CO249" s="445"/>
      <c r="CP249" s="445"/>
      <c r="CQ249" s="445"/>
      <c r="CR249" s="445"/>
      <c r="CS249" s="445"/>
      <c r="CT249" s="445"/>
      <c r="CU249" s="445"/>
      <c r="CV249" s="445"/>
      <c r="CW249" s="445"/>
      <c r="CX249" s="445"/>
      <c r="CY249" s="445"/>
      <c r="CZ249" s="445"/>
      <c r="DA249" s="445"/>
      <c r="DB249" s="445"/>
      <c r="DC249" s="445"/>
      <c r="DD249" s="445"/>
      <c r="DE249" s="445"/>
      <c r="DF249" s="445"/>
      <c r="DG249" s="445"/>
      <c r="DH249" s="445"/>
      <c r="DI249" s="445"/>
      <c r="DJ249" s="445"/>
      <c r="DK249" s="445"/>
      <c r="DL249" s="445"/>
      <c r="DM249" s="445"/>
      <c r="DN249" s="445"/>
      <c r="DO249" s="445"/>
      <c r="DP249" s="445"/>
      <c r="DQ249" s="445"/>
      <c r="DR249" s="445"/>
      <c r="DS249" s="445"/>
      <c r="DT249" s="445"/>
      <c r="DU249" s="445"/>
      <c r="DV249" s="445"/>
      <c r="DW249" s="445"/>
      <c r="DX249" s="445"/>
      <c r="DY249" s="445"/>
      <c r="DZ249" s="445"/>
      <c r="EA249" s="445"/>
      <c r="EB249" s="445"/>
      <c r="EC249" s="445"/>
      <c r="ED249" s="445"/>
      <c r="EE249" s="445"/>
      <c r="EF249" s="445"/>
      <c r="EG249" s="445"/>
      <c r="EH249" s="445"/>
      <c r="EI249" s="445"/>
      <c r="EJ249" s="445"/>
      <c r="EK249" s="445"/>
      <c r="EL249" s="445"/>
      <c r="EM249" s="445"/>
      <c r="EN249" s="445"/>
      <c r="EO249" s="445"/>
      <c r="EP249" s="445"/>
      <c r="EQ249" s="445"/>
      <c r="ER249" s="445"/>
      <c r="ES249" s="445"/>
      <c r="ET249" s="445"/>
      <c r="EU249" s="445"/>
      <c r="EV249" s="445"/>
      <c r="EW249" s="445"/>
      <c r="EX249" s="445"/>
      <c r="EY249" s="445"/>
      <c r="EZ249" s="445"/>
      <c r="FA249" s="445"/>
      <c r="FB249" s="445"/>
      <c r="FC249" s="445"/>
      <c r="FD249" s="445"/>
      <c r="FE249" s="445"/>
      <c r="FF249" s="445"/>
      <c r="FG249" s="445"/>
      <c r="FH249" s="445"/>
      <c r="FI249" s="445"/>
      <c r="FJ249" s="445"/>
      <c r="FK249" s="445"/>
      <c r="FL249" s="445"/>
      <c r="FM249" s="445"/>
      <c r="FN249" s="445"/>
      <c r="FO249" s="445"/>
      <c r="FP249" s="445"/>
      <c r="FQ249" s="445"/>
      <c r="FR249" s="445"/>
      <c r="FS249" s="445"/>
      <c r="FT249" s="445"/>
      <c r="FU249" s="445"/>
      <c r="FV249" s="445"/>
      <c r="FW249" s="445"/>
      <c r="FX249" s="445"/>
      <c r="FY249" s="445"/>
      <c r="FZ249" s="445"/>
      <c r="GA249" s="445"/>
      <c r="GB249" s="445"/>
      <c r="GC249" s="445"/>
      <c r="GD249" s="445"/>
      <c r="GE249" s="445"/>
      <c r="GF249" s="445"/>
      <c r="GG249" s="445"/>
      <c r="GH249" s="445"/>
      <c r="GI249" s="445"/>
      <c r="GJ249" s="445"/>
      <c r="GK249" s="445"/>
      <c r="GL249" s="445"/>
      <c r="GM249" s="445"/>
      <c r="GN249" s="445"/>
      <c r="GO249" s="445"/>
      <c r="GP249" s="445"/>
      <c r="GQ249" s="445"/>
      <c r="GR249" s="445"/>
      <c r="GS249" s="445"/>
      <c r="GT249" s="445"/>
      <c r="GU249" s="445"/>
      <c r="GV249" s="445"/>
      <c r="GW249" s="445"/>
      <c r="GX249" s="445"/>
      <c r="GY249" s="445"/>
      <c r="GZ249" s="445"/>
      <c r="HA249" s="445"/>
      <c r="HB249" s="445"/>
      <c r="HC249" s="445"/>
      <c r="HD249" s="445"/>
      <c r="HE249" s="445"/>
      <c r="HF249" s="445"/>
      <c r="HG249" s="445"/>
      <c r="HH249" s="445"/>
      <c r="HI249" s="445"/>
      <c r="HJ249" s="445"/>
      <c r="HK249" s="445"/>
      <c r="HL249" s="445"/>
      <c r="HM249" s="445"/>
      <c r="HN249" s="445"/>
      <c r="HO249" s="445"/>
      <c r="HP249" s="445"/>
      <c r="HQ249" s="445"/>
      <c r="HR249" s="445"/>
      <c r="HS249" s="445"/>
      <c r="HT249" s="445"/>
      <c r="HU249" s="445"/>
      <c r="HV249" s="445"/>
      <c r="HW249" s="445"/>
      <c r="HX249" s="445"/>
      <c r="HY249" s="445"/>
      <c r="HZ249" s="445"/>
      <c r="IA249" s="445"/>
      <c r="IB249" s="445"/>
      <c r="IC249" s="445"/>
      <c r="ID249" s="445"/>
      <c r="IE249" s="445"/>
      <c r="IF249" s="445"/>
      <c r="IG249" s="445"/>
      <c r="IH249" s="445"/>
      <c r="II249" s="445"/>
      <c r="IJ249" s="445"/>
      <c r="IK249" s="445"/>
      <c r="IL249" s="445"/>
      <c r="IM249" s="445"/>
      <c r="IN249" s="445"/>
      <c r="IO249" s="445"/>
      <c r="IP249" s="445"/>
      <c r="IQ249" s="445"/>
      <c r="IR249" s="445"/>
      <c r="IS249" s="445"/>
      <c r="IT249" s="445"/>
      <c r="IU249" s="445"/>
      <c r="IV249" s="445"/>
      <c r="IW249" s="445"/>
      <c r="IX249" s="445"/>
      <c r="IY249" s="445"/>
      <c r="IZ249" s="445"/>
      <c r="JA249" s="445"/>
      <c r="JB249" s="445"/>
      <c r="JC249" s="445"/>
      <c r="JD249" s="445"/>
      <c r="JE249" s="445"/>
      <c r="JF249" s="445"/>
      <c r="JG249" s="445"/>
      <c r="JH249" s="445"/>
      <c r="JI249" s="445"/>
      <c r="JJ249" s="445"/>
      <c r="JK249" s="445"/>
      <c r="JL249" s="445"/>
      <c r="JM249" s="445"/>
      <c r="JN249" s="445"/>
      <c r="JO249" s="445"/>
      <c r="JP249" s="445"/>
      <c r="JQ249" s="445"/>
      <c r="JR249" s="445"/>
      <c r="JS249" s="445"/>
      <c r="JT249" s="445"/>
      <c r="JU249" s="445"/>
      <c r="JV249" s="445"/>
      <c r="JW249" s="2242"/>
      <c r="JX249" s="445"/>
      <c r="JY249" s="445"/>
      <c r="JZ249" s="445"/>
      <c r="KA249" s="445"/>
      <c r="KB249" s="2242"/>
      <c r="KC249" s="2242"/>
      <c r="KD249" s="2242"/>
      <c r="KE249" s="2242"/>
      <c r="KF249" s="2242"/>
      <c r="KG249" s="2242"/>
      <c r="KH249" s="2242"/>
      <c r="KI249" s="2242"/>
      <c r="KJ249" s="2242"/>
      <c r="KK249" s="2242"/>
      <c r="KL249" s="2242"/>
      <c r="KM249" s="2242"/>
      <c r="KN249" s="2242"/>
      <c r="KO249" s="2242"/>
      <c r="KP249" s="2242"/>
      <c r="KQ249" s="2242"/>
      <c r="KR249" s="2242"/>
      <c r="KS249" s="2242"/>
      <c r="KT249" s="2242"/>
      <c r="KU249" s="2242"/>
      <c r="KV249" s="2242"/>
      <c r="KW249" s="2242"/>
      <c r="KX249" s="2242"/>
      <c r="KY249" s="2242"/>
      <c r="KZ249" s="2242"/>
      <c r="LA249" s="2242"/>
      <c r="LB249" s="2242"/>
      <c r="LC249" s="2242"/>
      <c r="LD249" s="2242"/>
      <c r="LE249" s="2242"/>
      <c r="LF249" s="2242"/>
      <c r="LG249" s="2242"/>
      <c r="LH249" s="2242"/>
      <c r="LI249" s="2242"/>
      <c r="LJ249" s="2242"/>
      <c r="LK249" s="2242"/>
      <c r="LL249" s="2242"/>
      <c r="LM249" s="2242"/>
      <c r="LN249" s="2242"/>
      <c r="LO249" s="2242"/>
      <c r="LP249" s="2242"/>
      <c r="LQ249" s="2242"/>
      <c r="LR249" s="445"/>
      <c r="LS249" s="445"/>
      <c r="LT249" s="445"/>
      <c r="LU249" s="445"/>
      <c r="LV249" s="445"/>
      <c r="LW249" s="445"/>
      <c r="LX249" s="2243"/>
      <c r="LY249" s="445"/>
      <c r="LZ249" s="445"/>
      <c r="MA249" s="445"/>
      <c r="MB249" s="445"/>
      <c r="MC249" s="445"/>
      <c r="MD249" s="445"/>
      <c r="ME249" s="445"/>
      <c r="MF249" s="445"/>
      <c r="MG249" s="445"/>
      <c r="MH249" s="445"/>
      <c r="MI249" s="445"/>
      <c r="MJ249" s="445"/>
      <c r="MK249" s="445"/>
      <c r="ML249" s="445"/>
      <c r="MM249" s="445"/>
      <c r="MN249" s="2243"/>
      <c r="MO249" s="2243"/>
      <c r="MP249" s="445"/>
      <c r="MQ249" s="445"/>
      <c r="MR249" s="445"/>
      <c r="MS249" s="445"/>
      <c r="MT249" s="445"/>
      <c r="MU249" s="445"/>
      <c r="MV249" s="445"/>
      <c r="MW249" s="445"/>
      <c r="MX249" s="445"/>
      <c r="MY249" s="445"/>
      <c r="MZ249" s="445"/>
      <c r="NA249" s="445"/>
      <c r="NB249" s="445"/>
      <c r="NC249" s="445"/>
      <c r="ND249" s="445"/>
      <c r="NE249" s="94"/>
      <c r="NF249" s="94"/>
      <c r="NG249" s="94"/>
      <c r="NH249" s="94"/>
      <c r="NI249" s="94"/>
      <c r="NJ249" s="94"/>
      <c r="NK249" s="94"/>
      <c r="NL249" s="94"/>
      <c r="NM249" s="94"/>
      <c r="NN249" s="94"/>
      <c r="NO249" s="94"/>
      <c r="NP249" s="94"/>
      <c r="NQ249" s="94"/>
      <c r="NR249" s="94"/>
      <c r="NS249" s="94"/>
      <c r="NT249" s="94"/>
      <c r="NU249" s="94"/>
      <c r="NV249" s="94"/>
      <c r="NW249" s="94"/>
      <c r="NX249" s="94"/>
      <c r="NY249" s="94"/>
      <c r="NZ249" s="94"/>
      <c r="OA249" s="94"/>
      <c r="OB249" s="94"/>
      <c r="OC249" s="94"/>
      <c r="OD249" s="94"/>
      <c r="OE249" s="94"/>
      <c r="OF249" s="94"/>
      <c r="OG249" s="94"/>
      <c r="OH249" s="94"/>
      <c r="OI249" s="94"/>
      <c r="OJ249" s="94"/>
      <c r="OK249" s="94"/>
      <c r="OL249" s="94"/>
      <c r="OM249" s="94"/>
      <c r="ON249" s="94"/>
      <c r="OO249" s="94"/>
      <c r="OP249" s="94"/>
      <c r="OQ249" s="94"/>
      <c r="OR249" s="94"/>
      <c r="OS249" s="94"/>
      <c r="OT249" s="94"/>
      <c r="OU249" s="94"/>
      <c r="OV249" s="94"/>
      <c r="OW249" s="94"/>
      <c r="OX249" s="94"/>
      <c r="OY249" s="94"/>
      <c r="OZ249" s="94"/>
      <c r="PA249" s="94"/>
      <c r="PB249" s="94"/>
      <c r="PC249" s="94"/>
      <c r="PD249" s="94"/>
      <c r="PE249" s="94"/>
      <c r="PF249" s="94"/>
      <c r="PG249" s="94"/>
      <c r="PH249" s="94"/>
      <c r="PI249" s="94"/>
      <c r="PJ249" s="94"/>
      <c r="PK249" s="94"/>
      <c r="PL249" s="94"/>
      <c r="PM249" s="94"/>
      <c r="PN249" s="94"/>
      <c r="PO249" s="94"/>
      <c r="PP249" s="94"/>
      <c r="PQ249" s="94"/>
      <c r="PR249" s="94"/>
      <c r="PS249" s="94"/>
      <c r="PT249" s="94"/>
      <c r="PU249" s="94"/>
      <c r="PV249" s="94"/>
      <c r="PW249" s="94"/>
      <c r="PX249" s="94"/>
      <c r="PY249" s="94"/>
      <c r="PZ249" s="94"/>
      <c r="QA249" s="94"/>
      <c r="QB249" s="94"/>
      <c r="QC249" s="94"/>
      <c r="QD249" s="94"/>
      <c r="QE249" s="94"/>
      <c r="QF249" s="94"/>
      <c r="QG249" s="94"/>
      <c r="QH249" s="94"/>
      <c r="QI249" s="94"/>
      <c r="QJ249" s="94"/>
      <c r="QK249" s="94"/>
      <c r="QL249" s="94"/>
      <c r="QM249" s="94"/>
      <c r="QN249" s="94"/>
      <c r="QO249" s="94"/>
      <c r="QP249" s="94"/>
      <c r="QQ249" s="94"/>
      <c r="QR249" s="94"/>
      <c r="QS249" s="94"/>
      <c r="QT249" s="94"/>
      <c r="QU249" s="94"/>
      <c r="QV249" s="94"/>
      <c r="QW249" s="94"/>
      <c r="QX249" s="94"/>
      <c r="QY249" s="94"/>
      <c r="QZ249" s="94"/>
      <c r="RA249" s="94"/>
      <c r="RB249" s="94"/>
      <c r="RC249" s="94"/>
      <c r="RD249" s="94"/>
      <c r="RE249" s="94"/>
      <c r="RF249" s="94"/>
      <c r="RG249" s="94"/>
      <c r="RH249" s="94"/>
      <c r="RI249" s="94"/>
      <c r="RJ249" s="94"/>
      <c r="RK249" s="94"/>
      <c r="RL249" s="94"/>
      <c r="RM249" s="94"/>
      <c r="RN249" s="94"/>
      <c r="RO249" s="94"/>
      <c r="RP249" s="94"/>
      <c r="RQ249" s="94"/>
      <c r="RR249" s="94"/>
      <c r="RS249" s="94"/>
      <c r="RT249" s="94"/>
      <c r="RU249" s="94"/>
      <c r="RV249" s="94"/>
      <c r="RW249" s="94"/>
      <c r="RX249" s="94"/>
      <c r="RY249" s="94"/>
      <c r="RZ249" s="94"/>
      <c r="SA249" s="94"/>
      <c r="SB249" s="94"/>
      <c r="SC249" s="94"/>
      <c r="SD249" s="94"/>
      <c r="SE249" s="94"/>
      <c r="SF249" s="94"/>
      <c r="SG249" s="94"/>
      <c r="SH249" s="94"/>
      <c r="SI249" s="94"/>
    </row>
    <row r="250" spans="1:503" s="90" customFormat="1" ht="15" customHeight="1" thickBot="1">
      <c r="A250" s="13" t="s">
        <v>1750</v>
      </c>
      <c r="B250" s="10" t="s">
        <v>4421</v>
      </c>
      <c r="C250" s="11"/>
      <c r="D250" s="1"/>
      <c r="E250" s="1"/>
      <c r="H250" s="12"/>
      <c r="I250" s="1489" t="s">
        <v>4422</v>
      </c>
      <c r="K250" s="4092"/>
      <c r="L250" s="4093"/>
      <c r="M250" s="1552" t="s">
        <v>4478</v>
      </c>
      <c r="N250" s="4094"/>
      <c r="O250" s="10" t="s">
        <v>4424</v>
      </c>
      <c r="P250" s="1"/>
      <c r="Q250" s="4095">
        <f>K250*N250</f>
        <v>0</v>
      </c>
      <c r="R250" s="837"/>
      <c r="S250" s="4096"/>
      <c r="T250" s="4097"/>
      <c r="U250" s="4097"/>
      <c r="V250" s="4097"/>
      <c r="W250" s="4098"/>
      <c r="X250" s="443"/>
      <c r="Y250" s="445"/>
      <c r="Z250" s="445"/>
      <c r="AA250" s="445"/>
      <c r="AB250" s="445"/>
      <c r="AC250" s="443"/>
      <c r="AD250" s="445"/>
      <c r="AE250" s="445"/>
      <c r="AF250" s="445"/>
      <c r="AG250" s="445"/>
      <c r="AH250" s="443"/>
      <c r="AI250" s="445"/>
      <c r="AJ250" s="445"/>
      <c r="AK250" s="445"/>
      <c r="AL250" s="445"/>
      <c r="AM250" s="443"/>
      <c r="AN250" s="445"/>
      <c r="AO250" s="445"/>
      <c r="AP250" s="445"/>
      <c r="AQ250" s="445"/>
      <c r="AR250" s="445"/>
      <c r="AS250" s="445"/>
      <c r="AT250" s="445"/>
      <c r="AU250" s="445"/>
      <c r="AV250" s="445"/>
      <c r="AW250" s="445"/>
      <c r="AX250" s="445"/>
      <c r="AY250" s="445"/>
      <c r="AZ250" s="445"/>
      <c r="BA250" s="445"/>
      <c r="BB250" s="445"/>
      <c r="BC250" s="445"/>
      <c r="BD250" s="445"/>
      <c r="BE250" s="445"/>
      <c r="BF250" s="445"/>
      <c r="BG250" s="445"/>
      <c r="BH250" s="445"/>
      <c r="BI250" s="445"/>
      <c r="BJ250" s="445"/>
      <c r="BK250" s="445"/>
      <c r="BL250" s="445"/>
      <c r="BM250" s="445"/>
      <c r="BN250" s="445"/>
      <c r="BO250" s="445"/>
      <c r="BP250" s="445"/>
      <c r="BQ250" s="445"/>
      <c r="BR250" s="445"/>
      <c r="BS250" s="445"/>
      <c r="BT250" s="445"/>
      <c r="BU250" s="445"/>
      <c r="BV250" s="445"/>
      <c r="BW250" s="445"/>
      <c r="BX250" s="445"/>
      <c r="BY250" s="445"/>
      <c r="BZ250" s="445"/>
      <c r="CA250" s="445"/>
      <c r="CB250" s="445"/>
      <c r="CC250" s="445"/>
      <c r="CD250" s="445"/>
      <c r="CE250" s="445"/>
      <c r="CF250" s="445"/>
      <c r="CG250" s="445"/>
      <c r="CH250" s="445"/>
      <c r="CI250" s="445"/>
      <c r="CJ250" s="445"/>
      <c r="CK250" s="445"/>
      <c r="CL250" s="445"/>
      <c r="CM250" s="445"/>
      <c r="CN250" s="445"/>
      <c r="CO250" s="445"/>
      <c r="CP250" s="445"/>
      <c r="CQ250" s="445"/>
      <c r="CR250" s="445"/>
      <c r="CS250" s="445"/>
      <c r="CT250" s="445"/>
      <c r="CU250" s="445"/>
      <c r="CV250" s="445"/>
      <c r="CW250" s="445"/>
      <c r="CX250" s="445"/>
      <c r="CY250" s="445"/>
      <c r="CZ250" s="445"/>
      <c r="DA250" s="445"/>
      <c r="DB250" s="445"/>
      <c r="DC250" s="445"/>
      <c r="DD250" s="445"/>
      <c r="DE250" s="445"/>
      <c r="DF250" s="445"/>
      <c r="DG250" s="445"/>
      <c r="DH250" s="445"/>
      <c r="DI250" s="445"/>
      <c r="DJ250" s="445"/>
      <c r="DK250" s="445"/>
      <c r="DL250" s="445"/>
      <c r="DM250" s="445"/>
      <c r="DN250" s="445"/>
      <c r="DO250" s="445"/>
      <c r="DP250" s="445"/>
      <c r="DQ250" s="445"/>
      <c r="DR250" s="445"/>
      <c r="DS250" s="445"/>
      <c r="DT250" s="445"/>
      <c r="DU250" s="445"/>
      <c r="DV250" s="445"/>
      <c r="DW250" s="445"/>
      <c r="DX250" s="445"/>
      <c r="DY250" s="445"/>
      <c r="DZ250" s="445"/>
      <c r="EA250" s="445"/>
      <c r="EB250" s="445"/>
      <c r="EC250" s="445"/>
      <c r="ED250" s="445"/>
      <c r="EE250" s="445"/>
      <c r="EF250" s="445"/>
      <c r="EG250" s="445"/>
      <c r="EH250" s="445"/>
      <c r="EI250" s="445"/>
      <c r="EJ250" s="445"/>
      <c r="EK250" s="445"/>
      <c r="EL250" s="445"/>
      <c r="EM250" s="445"/>
      <c r="EN250" s="445"/>
      <c r="EO250" s="445"/>
      <c r="EP250" s="445"/>
      <c r="EQ250" s="445"/>
      <c r="ER250" s="445"/>
      <c r="ES250" s="445"/>
      <c r="ET250" s="445"/>
      <c r="EU250" s="445"/>
      <c r="EV250" s="445"/>
      <c r="EW250" s="445"/>
      <c r="EX250" s="445"/>
      <c r="EY250" s="445"/>
      <c r="EZ250" s="445"/>
      <c r="FA250" s="445"/>
      <c r="FB250" s="445"/>
      <c r="FC250" s="445"/>
      <c r="FD250" s="445"/>
      <c r="FE250" s="445"/>
      <c r="FF250" s="445"/>
      <c r="FG250" s="445"/>
      <c r="FH250" s="445"/>
      <c r="FI250" s="445"/>
      <c r="FJ250" s="445"/>
      <c r="FK250" s="445"/>
      <c r="FL250" s="445"/>
      <c r="FM250" s="445"/>
      <c r="FN250" s="445"/>
      <c r="FO250" s="445"/>
      <c r="FP250" s="445"/>
      <c r="FQ250" s="445"/>
      <c r="FR250" s="445"/>
      <c r="FS250" s="445"/>
      <c r="FT250" s="445"/>
      <c r="FU250" s="445"/>
      <c r="FV250" s="445"/>
      <c r="FW250" s="445"/>
      <c r="FX250" s="445"/>
      <c r="FY250" s="445"/>
      <c r="FZ250" s="445"/>
      <c r="GA250" s="445"/>
      <c r="GB250" s="445"/>
      <c r="GC250" s="445"/>
      <c r="GD250" s="445"/>
      <c r="GE250" s="445"/>
      <c r="GF250" s="445"/>
      <c r="GG250" s="445"/>
      <c r="GH250" s="445"/>
      <c r="GI250" s="445"/>
      <c r="GJ250" s="445"/>
      <c r="GK250" s="445"/>
      <c r="GL250" s="445"/>
      <c r="GM250" s="445"/>
      <c r="GN250" s="445"/>
      <c r="GO250" s="445"/>
      <c r="GP250" s="445"/>
      <c r="GQ250" s="445"/>
      <c r="GR250" s="445"/>
      <c r="GS250" s="445"/>
      <c r="GT250" s="445"/>
      <c r="GU250" s="445"/>
      <c r="GV250" s="445"/>
      <c r="GW250" s="445"/>
      <c r="GX250" s="445"/>
      <c r="GY250" s="445"/>
      <c r="GZ250" s="445"/>
      <c r="HA250" s="445"/>
      <c r="HB250" s="445"/>
      <c r="HC250" s="445"/>
      <c r="HD250" s="445"/>
      <c r="HE250" s="445"/>
      <c r="HF250" s="445"/>
      <c r="HG250" s="445"/>
      <c r="HH250" s="445"/>
      <c r="HI250" s="445"/>
      <c r="HJ250" s="445"/>
      <c r="HK250" s="445"/>
      <c r="HL250" s="445"/>
      <c r="HM250" s="445"/>
      <c r="HN250" s="445"/>
      <c r="HO250" s="445"/>
      <c r="HP250" s="445"/>
      <c r="HQ250" s="445"/>
      <c r="HR250" s="445"/>
      <c r="HS250" s="445"/>
      <c r="HT250" s="445"/>
      <c r="HU250" s="445"/>
      <c r="HV250" s="445"/>
      <c r="HW250" s="445"/>
      <c r="HX250" s="445"/>
      <c r="HY250" s="445"/>
      <c r="HZ250" s="445"/>
      <c r="IA250" s="445"/>
      <c r="IB250" s="445"/>
      <c r="IC250" s="445"/>
      <c r="ID250" s="445"/>
      <c r="IE250" s="445"/>
      <c r="IF250" s="445"/>
      <c r="IG250" s="445"/>
      <c r="IH250" s="445"/>
      <c r="II250" s="445"/>
      <c r="IJ250" s="445"/>
      <c r="IK250" s="445"/>
      <c r="IL250" s="445"/>
      <c r="IM250" s="445"/>
      <c r="IN250" s="445"/>
      <c r="IO250" s="445"/>
      <c r="IP250" s="445"/>
      <c r="IQ250" s="445"/>
      <c r="IR250" s="445"/>
      <c r="IS250" s="445"/>
      <c r="IT250" s="445"/>
      <c r="IU250" s="445"/>
      <c r="IV250" s="445"/>
      <c r="IW250" s="445"/>
      <c r="IX250" s="445"/>
      <c r="IY250" s="445"/>
      <c r="IZ250" s="445"/>
      <c r="JA250" s="445"/>
      <c r="JB250" s="445"/>
      <c r="JC250" s="445"/>
      <c r="JD250" s="445"/>
      <c r="JE250" s="445"/>
      <c r="JF250" s="445"/>
      <c r="JG250" s="445"/>
      <c r="JH250" s="445"/>
      <c r="JI250" s="445"/>
      <c r="JJ250" s="445"/>
      <c r="JK250" s="445"/>
      <c r="JL250" s="445"/>
      <c r="JM250" s="445"/>
      <c r="JN250" s="445"/>
      <c r="JO250" s="445"/>
      <c r="JP250" s="445"/>
      <c r="JQ250" s="445"/>
      <c r="JR250" s="445"/>
      <c r="JS250" s="445"/>
      <c r="JT250" s="445"/>
      <c r="JU250" s="445"/>
      <c r="JV250" s="445"/>
      <c r="JW250" s="2242"/>
      <c r="JX250" s="445"/>
      <c r="JY250" s="445"/>
      <c r="JZ250" s="445"/>
      <c r="KA250" s="445"/>
      <c r="KB250" s="2242"/>
      <c r="KC250" s="2242"/>
      <c r="KD250" s="2242"/>
      <c r="KE250" s="2242"/>
      <c r="KF250" s="2242"/>
      <c r="KG250" s="2242"/>
      <c r="KH250" s="2242"/>
      <c r="KI250" s="2242"/>
      <c r="KJ250" s="2242"/>
      <c r="KK250" s="2242"/>
      <c r="KL250" s="2242"/>
      <c r="KM250" s="2242"/>
      <c r="KN250" s="2242"/>
      <c r="KO250" s="2242"/>
      <c r="KP250" s="2242"/>
      <c r="KQ250" s="2242"/>
      <c r="KR250" s="2242"/>
      <c r="KS250" s="2242"/>
      <c r="KT250" s="2242"/>
      <c r="KU250" s="2242"/>
      <c r="KV250" s="2242"/>
      <c r="KW250" s="2242"/>
      <c r="KX250" s="2242"/>
      <c r="KY250" s="2242"/>
      <c r="KZ250" s="2242"/>
      <c r="LA250" s="2242"/>
      <c r="LB250" s="2242"/>
      <c r="LC250" s="2242"/>
      <c r="LD250" s="2242"/>
      <c r="LE250" s="2242"/>
      <c r="LF250" s="2242"/>
      <c r="LG250" s="2242"/>
      <c r="LH250" s="2242"/>
      <c r="LI250" s="2242"/>
      <c r="LJ250" s="2242"/>
      <c r="LK250" s="2242"/>
      <c r="LL250" s="2242"/>
      <c r="LM250" s="2242"/>
      <c r="LN250" s="2242"/>
      <c r="LO250" s="2242"/>
      <c r="LP250" s="2242"/>
      <c r="LQ250" s="2242"/>
      <c r="LR250" s="445"/>
      <c r="LS250" s="445"/>
      <c r="LT250" s="445"/>
      <c r="LU250" s="445"/>
      <c r="LV250" s="445"/>
      <c r="LW250" s="445"/>
      <c r="LX250" s="2243"/>
      <c r="LY250" s="445"/>
      <c r="LZ250" s="445"/>
      <c r="MA250" s="445"/>
      <c r="MB250" s="445"/>
      <c r="MC250" s="445"/>
      <c r="MD250" s="445"/>
      <c r="ME250" s="445"/>
      <c r="MF250" s="445"/>
      <c r="MG250" s="445"/>
      <c r="MH250" s="445"/>
      <c r="MI250" s="445"/>
      <c r="MJ250" s="445"/>
      <c r="MK250" s="445"/>
      <c r="ML250" s="445"/>
      <c r="MM250" s="445"/>
      <c r="MN250" s="2243"/>
      <c r="MO250" s="2243"/>
      <c r="MP250" s="445"/>
      <c r="MQ250" s="445"/>
      <c r="MR250" s="445"/>
      <c r="MS250" s="445"/>
      <c r="MT250" s="445"/>
      <c r="MU250" s="445"/>
      <c r="MV250" s="445"/>
      <c r="MW250" s="445"/>
      <c r="MX250" s="445"/>
      <c r="MY250" s="445"/>
      <c r="MZ250" s="445"/>
      <c r="NA250" s="445"/>
      <c r="NB250" s="445"/>
      <c r="NC250" s="445"/>
      <c r="ND250" s="445"/>
      <c r="NE250" s="94"/>
      <c r="NF250" s="94"/>
      <c r="NG250" s="94"/>
      <c r="NH250" s="94"/>
      <c r="NI250" s="94"/>
      <c r="NJ250" s="94"/>
      <c r="NK250" s="94"/>
      <c r="NL250" s="94"/>
      <c r="NM250" s="94"/>
      <c r="NN250" s="94"/>
      <c r="NO250" s="94"/>
      <c r="NP250" s="94"/>
      <c r="NQ250" s="94"/>
      <c r="NR250" s="94"/>
      <c r="NS250" s="94"/>
      <c r="NT250" s="94"/>
      <c r="NU250" s="94"/>
      <c r="NV250" s="94"/>
      <c r="NW250" s="94"/>
      <c r="NX250" s="94"/>
      <c r="NY250" s="94"/>
      <c r="NZ250" s="94"/>
      <c r="OA250" s="94"/>
      <c r="OB250" s="94"/>
      <c r="OC250" s="94"/>
      <c r="OD250" s="94"/>
      <c r="OE250" s="94"/>
      <c r="OF250" s="94"/>
      <c r="OG250" s="94"/>
      <c r="OH250" s="94"/>
      <c r="OI250" s="94"/>
      <c r="OJ250" s="94"/>
      <c r="OK250" s="94"/>
      <c r="OL250" s="94"/>
      <c r="OM250" s="94"/>
      <c r="ON250" s="94"/>
      <c r="OO250" s="94"/>
      <c r="OP250" s="94"/>
      <c r="OQ250" s="94"/>
      <c r="OR250" s="94"/>
      <c r="OS250" s="94"/>
      <c r="OT250" s="94"/>
      <c r="OU250" s="94"/>
      <c r="OV250" s="94"/>
      <c r="OW250" s="94"/>
      <c r="OX250" s="94"/>
      <c r="OY250" s="94"/>
      <c r="OZ250" s="94"/>
      <c r="PA250" s="94"/>
      <c r="PB250" s="94"/>
      <c r="PC250" s="94"/>
      <c r="PD250" s="94"/>
      <c r="PE250" s="94"/>
      <c r="PF250" s="94"/>
      <c r="PG250" s="94"/>
      <c r="PH250" s="94"/>
      <c r="PI250" s="94"/>
      <c r="PJ250" s="94"/>
      <c r="PK250" s="94"/>
      <c r="PL250" s="94"/>
      <c r="PM250" s="94"/>
      <c r="PN250" s="94"/>
      <c r="PO250" s="94"/>
      <c r="PP250" s="94"/>
      <c r="PQ250" s="94"/>
      <c r="PR250" s="94"/>
      <c r="PS250" s="94"/>
      <c r="PT250" s="94"/>
      <c r="PU250" s="94"/>
      <c r="PV250" s="94"/>
      <c r="PW250" s="94"/>
      <c r="PX250" s="94"/>
      <c r="PY250" s="94"/>
      <c r="PZ250" s="94"/>
      <c r="QA250" s="94"/>
      <c r="QB250" s="94"/>
      <c r="QC250" s="94"/>
      <c r="QD250" s="94"/>
      <c r="QE250" s="94"/>
      <c r="QF250" s="94"/>
      <c r="QG250" s="94"/>
      <c r="QH250" s="94"/>
      <c r="QI250" s="94"/>
      <c r="QJ250" s="94"/>
      <c r="QK250" s="94"/>
      <c r="QL250" s="94"/>
      <c r="QM250" s="94"/>
      <c r="QN250" s="94"/>
      <c r="QO250" s="94"/>
      <c r="QP250" s="94"/>
      <c r="QQ250" s="94"/>
      <c r="QR250" s="94"/>
      <c r="QS250" s="94"/>
      <c r="QT250" s="94"/>
      <c r="QU250" s="94"/>
      <c r="QV250" s="94"/>
      <c r="QW250" s="94"/>
      <c r="QX250" s="94"/>
      <c r="QY250" s="94"/>
      <c r="QZ250" s="94"/>
      <c r="RA250" s="94"/>
      <c r="RB250" s="94"/>
      <c r="RC250" s="94"/>
      <c r="RD250" s="94"/>
      <c r="RE250" s="94"/>
      <c r="RF250" s="94"/>
      <c r="RG250" s="94"/>
      <c r="RH250" s="94"/>
      <c r="RI250" s="94"/>
      <c r="RJ250" s="94"/>
      <c r="RK250" s="94"/>
      <c r="RL250" s="94"/>
      <c r="RM250" s="94"/>
      <c r="RN250" s="94"/>
      <c r="RO250" s="94"/>
      <c r="RP250" s="94"/>
      <c r="RQ250" s="94"/>
      <c r="RR250" s="94"/>
      <c r="RS250" s="94"/>
      <c r="RT250" s="94"/>
      <c r="RU250" s="94"/>
      <c r="RV250" s="94"/>
      <c r="RW250" s="94"/>
      <c r="RX250" s="94"/>
      <c r="RY250" s="94"/>
      <c r="RZ250" s="94"/>
      <c r="SA250" s="94"/>
      <c r="SB250" s="94"/>
      <c r="SC250" s="94"/>
      <c r="SD250" s="94"/>
      <c r="SE250" s="94"/>
      <c r="SF250" s="94"/>
      <c r="SG250" s="94"/>
      <c r="SH250" s="94"/>
      <c r="SI250" s="94"/>
    </row>
    <row r="251" spans="1:503" s="90" customFormat="1" ht="6" customHeight="1" thickBot="1">
      <c r="A251" s="1"/>
      <c r="B251" s="10"/>
      <c r="C251" s="11"/>
      <c r="D251" s="1"/>
      <c r="E251" s="1"/>
      <c r="F251" s="12"/>
      <c r="G251" s="12"/>
      <c r="H251" s="1"/>
      <c r="I251" s="1"/>
      <c r="J251" s="1"/>
      <c r="K251" s="12"/>
      <c r="L251" s="1"/>
      <c r="M251" s="1"/>
      <c r="N251" s="1"/>
      <c r="O251" s="10"/>
      <c r="P251" s="1"/>
      <c r="Q251" s="837"/>
      <c r="R251" s="837"/>
      <c r="X251" s="443"/>
      <c r="Y251" s="445"/>
      <c r="Z251" s="445"/>
      <c r="AA251" s="445"/>
      <c r="AB251" s="445"/>
      <c r="AC251" s="443"/>
      <c r="AD251" s="445"/>
      <c r="AE251" s="445"/>
      <c r="AF251" s="445"/>
      <c r="AG251" s="445"/>
      <c r="AH251" s="443"/>
      <c r="AI251" s="445"/>
      <c r="AJ251" s="445"/>
      <c r="AK251" s="445"/>
      <c r="AL251" s="445"/>
      <c r="AM251" s="443"/>
      <c r="AN251" s="445"/>
      <c r="AO251" s="445"/>
      <c r="AP251" s="445"/>
      <c r="AQ251" s="445"/>
      <c r="AR251" s="445"/>
      <c r="AS251" s="445"/>
      <c r="AT251" s="445"/>
      <c r="AU251" s="445"/>
      <c r="AV251" s="445"/>
      <c r="AW251" s="445"/>
      <c r="AX251" s="445"/>
      <c r="AY251" s="445"/>
      <c r="AZ251" s="445"/>
      <c r="BA251" s="445"/>
      <c r="BB251" s="445"/>
      <c r="BC251" s="445"/>
      <c r="BD251" s="445"/>
      <c r="BE251" s="445"/>
      <c r="BF251" s="445"/>
      <c r="BG251" s="445"/>
      <c r="BH251" s="445"/>
      <c r="BI251" s="445"/>
      <c r="BJ251" s="445"/>
      <c r="BK251" s="445"/>
      <c r="BL251" s="445"/>
      <c r="BM251" s="445"/>
      <c r="BN251" s="445"/>
      <c r="BO251" s="445"/>
      <c r="BP251" s="445"/>
      <c r="BQ251" s="445"/>
      <c r="BR251" s="445"/>
      <c r="BS251" s="445"/>
      <c r="BT251" s="445"/>
      <c r="BU251" s="445"/>
      <c r="BV251" s="445"/>
      <c r="BW251" s="445"/>
      <c r="BX251" s="445"/>
      <c r="BY251" s="445"/>
      <c r="BZ251" s="445"/>
      <c r="CA251" s="445"/>
      <c r="CB251" s="445"/>
      <c r="CC251" s="445"/>
      <c r="CD251" s="445"/>
      <c r="CE251" s="445"/>
      <c r="CF251" s="445"/>
      <c r="CG251" s="445"/>
      <c r="CH251" s="445"/>
      <c r="CI251" s="445"/>
      <c r="CJ251" s="445"/>
      <c r="CK251" s="445"/>
      <c r="CL251" s="445"/>
      <c r="CM251" s="445"/>
      <c r="CN251" s="445"/>
      <c r="CO251" s="445"/>
      <c r="CP251" s="445"/>
      <c r="CQ251" s="445"/>
      <c r="CR251" s="445"/>
      <c r="CS251" s="445"/>
      <c r="CT251" s="445"/>
      <c r="CU251" s="445"/>
      <c r="CV251" s="445"/>
      <c r="CW251" s="445"/>
      <c r="CX251" s="445"/>
      <c r="CY251" s="445"/>
      <c r="CZ251" s="445"/>
      <c r="DA251" s="445"/>
      <c r="DB251" s="445"/>
      <c r="DC251" s="445"/>
      <c r="DD251" s="445"/>
      <c r="DE251" s="445"/>
      <c r="DF251" s="445"/>
      <c r="DG251" s="445"/>
      <c r="DH251" s="445"/>
      <c r="DI251" s="445"/>
      <c r="DJ251" s="445"/>
      <c r="DK251" s="445"/>
      <c r="DL251" s="445"/>
      <c r="DM251" s="445"/>
      <c r="DN251" s="445"/>
      <c r="DO251" s="445"/>
      <c r="DP251" s="445"/>
      <c r="DQ251" s="445"/>
      <c r="DR251" s="445"/>
      <c r="DS251" s="445"/>
      <c r="DT251" s="445"/>
      <c r="DU251" s="445"/>
      <c r="DV251" s="445"/>
      <c r="DW251" s="445"/>
      <c r="DX251" s="445"/>
      <c r="DY251" s="445"/>
      <c r="DZ251" s="445"/>
      <c r="EA251" s="445"/>
      <c r="EB251" s="445"/>
      <c r="EC251" s="445"/>
      <c r="ED251" s="445"/>
      <c r="EE251" s="445"/>
      <c r="EF251" s="445"/>
      <c r="EG251" s="445"/>
      <c r="EH251" s="445"/>
      <c r="EI251" s="445"/>
      <c r="EJ251" s="445"/>
      <c r="EK251" s="445"/>
      <c r="EL251" s="445"/>
      <c r="EM251" s="445"/>
      <c r="EN251" s="445"/>
      <c r="EO251" s="445"/>
      <c r="EP251" s="445"/>
      <c r="EQ251" s="445"/>
      <c r="ER251" s="445"/>
      <c r="ES251" s="445"/>
      <c r="ET251" s="445"/>
      <c r="EU251" s="445"/>
      <c r="EV251" s="445"/>
      <c r="EW251" s="445"/>
      <c r="EX251" s="445"/>
      <c r="EY251" s="445"/>
      <c r="EZ251" s="445"/>
      <c r="FA251" s="445"/>
      <c r="FB251" s="445"/>
      <c r="FC251" s="445"/>
      <c r="FD251" s="445"/>
      <c r="FE251" s="445"/>
      <c r="FF251" s="445"/>
      <c r="FG251" s="445"/>
      <c r="FH251" s="445"/>
      <c r="FI251" s="445"/>
      <c r="FJ251" s="445"/>
      <c r="FK251" s="445"/>
      <c r="FL251" s="445"/>
      <c r="FM251" s="445"/>
      <c r="FN251" s="445"/>
      <c r="FO251" s="445"/>
      <c r="FP251" s="445"/>
      <c r="FQ251" s="445"/>
      <c r="FR251" s="445"/>
      <c r="FS251" s="445"/>
      <c r="FT251" s="445"/>
      <c r="FU251" s="445"/>
      <c r="FV251" s="445"/>
      <c r="FW251" s="445"/>
      <c r="FX251" s="445"/>
      <c r="FY251" s="445"/>
      <c r="FZ251" s="445"/>
      <c r="GA251" s="445"/>
      <c r="GB251" s="445"/>
      <c r="GC251" s="445"/>
      <c r="GD251" s="445"/>
      <c r="GE251" s="445"/>
      <c r="GF251" s="445"/>
      <c r="GG251" s="445"/>
      <c r="GH251" s="445"/>
      <c r="GI251" s="445"/>
      <c r="GJ251" s="445"/>
      <c r="GK251" s="445"/>
      <c r="GL251" s="445"/>
      <c r="GM251" s="445"/>
      <c r="GN251" s="445"/>
      <c r="GO251" s="445"/>
      <c r="GP251" s="445"/>
      <c r="GQ251" s="445"/>
      <c r="GR251" s="445"/>
      <c r="GS251" s="445"/>
      <c r="GT251" s="445"/>
      <c r="GU251" s="445"/>
      <c r="GV251" s="445"/>
      <c r="GW251" s="445"/>
      <c r="GX251" s="445"/>
      <c r="GY251" s="445"/>
      <c r="GZ251" s="445"/>
      <c r="HA251" s="445"/>
      <c r="HB251" s="445"/>
      <c r="HC251" s="445"/>
      <c r="HD251" s="445"/>
      <c r="HE251" s="445"/>
      <c r="HF251" s="445"/>
      <c r="HG251" s="445"/>
      <c r="HH251" s="445"/>
      <c r="HI251" s="445"/>
      <c r="HJ251" s="445"/>
      <c r="HK251" s="445"/>
      <c r="HL251" s="445"/>
      <c r="HM251" s="445"/>
      <c r="HN251" s="445"/>
      <c r="HO251" s="445"/>
      <c r="HP251" s="445"/>
      <c r="HQ251" s="445"/>
      <c r="HR251" s="445"/>
      <c r="HS251" s="445"/>
      <c r="HT251" s="445"/>
      <c r="HU251" s="445"/>
      <c r="HV251" s="445"/>
      <c r="HW251" s="445"/>
      <c r="HX251" s="445"/>
      <c r="HY251" s="445"/>
      <c r="HZ251" s="445"/>
      <c r="IA251" s="445"/>
      <c r="IB251" s="445"/>
      <c r="IC251" s="445"/>
      <c r="ID251" s="445"/>
      <c r="IE251" s="445"/>
      <c r="IF251" s="445"/>
      <c r="IG251" s="445"/>
      <c r="IH251" s="445"/>
      <c r="II251" s="445"/>
      <c r="IJ251" s="445"/>
      <c r="IK251" s="445"/>
      <c r="IL251" s="445"/>
      <c r="IM251" s="445"/>
      <c r="IN251" s="445"/>
      <c r="IO251" s="445"/>
      <c r="IP251" s="445"/>
      <c r="IQ251" s="445"/>
      <c r="IR251" s="445"/>
      <c r="IS251" s="445"/>
      <c r="IT251" s="445"/>
      <c r="IU251" s="445"/>
      <c r="IV251" s="445"/>
      <c r="IW251" s="445"/>
      <c r="IX251" s="445"/>
      <c r="IY251" s="445"/>
      <c r="IZ251" s="445"/>
      <c r="JA251" s="445"/>
      <c r="JB251" s="445"/>
      <c r="JC251" s="445"/>
      <c r="JD251" s="445"/>
      <c r="JE251" s="445"/>
      <c r="JF251" s="445"/>
      <c r="JG251" s="445"/>
      <c r="JH251" s="445"/>
      <c r="JI251" s="445"/>
      <c r="JJ251" s="445"/>
      <c r="JK251" s="445"/>
      <c r="JL251" s="445"/>
      <c r="JM251" s="445"/>
      <c r="JN251" s="445"/>
      <c r="JO251" s="445"/>
      <c r="JP251" s="445"/>
      <c r="JQ251" s="445"/>
      <c r="JR251" s="445"/>
      <c r="JS251" s="445"/>
      <c r="JT251" s="445"/>
      <c r="JU251" s="445"/>
      <c r="JV251" s="445"/>
      <c r="JW251" s="2242"/>
      <c r="JX251" s="445"/>
      <c r="JY251" s="445"/>
      <c r="JZ251" s="445"/>
      <c r="KA251" s="445"/>
      <c r="KB251" s="2242"/>
      <c r="KC251" s="2242"/>
      <c r="KD251" s="2242"/>
      <c r="KE251" s="2242"/>
      <c r="KF251" s="2242"/>
      <c r="KG251" s="2242"/>
      <c r="KH251" s="2242"/>
      <c r="KI251" s="2242"/>
      <c r="KJ251" s="2242"/>
      <c r="KK251" s="2242"/>
      <c r="KL251" s="2242"/>
      <c r="KM251" s="2242"/>
      <c r="KN251" s="2242"/>
      <c r="KO251" s="2242"/>
      <c r="KP251" s="2242"/>
      <c r="KQ251" s="2242"/>
      <c r="KR251" s="2242"/>
      <c r="KS251" s="2242"/>
      <c r="KT251" s="2242"/>
      <c r="KU251" s="2242"/>
      <c r="KV251" s="2242"/>
      <c r="KW251" s="2242"/>
      <c r="KX251" s="2242"/>
      <c r="KY251" s="2242"/>
      <c r="KZ251" s="2242"/>
      <c r="LA251" s="2242"/>
      <c r="LB251" s="2242"/>
      <c r="LC251" s="2242"/>
      <c r="LD251" s="2242"/>
      <c r="LE251" s="2242"/>
      <c r="LF251" s="2242"/>
      <c r="LG251" s="2242"/>
      <c r="LH251" s="2242"/>
      <c r="LI251" s="2242"/>
      <c r="LJ251" s="2242"/>
      <c r="LK251" s="2242"/>
      <c r="LL251" s="2242"/>
      <c r="LM251" s="2242"/>
      <c r="LN251" s="2242"/>
      <c r="LO251" s="2242"/>
      <c r="LP251" s="2242"/>
      <c r="LQ251" s="2242"/>
      <c r="LR251" s="445"/>
      <c r="LS251" s="445"/>
      <c r="LT251" s="445"/>
      <c r="LU251" s="445"/>
      <c r="LV251" s="445"/>
      <c r="LW251" s="445"/>
      <c r="LX251" s="2243"/>
      <c r="LY251" s="445"/>
      <c r="LZ251" s="445"/>
      <c r="MA251" s="445"/>
      <c r="MB251" s="445"/>
      <c r="MC251" s="445"/>
      <c r="MD251" s="445"/>
      <c r="ME251" s="445"/>
      <c r="MF251" s="445"/>
      <c r="MG251" s="445"/>
      <c r="MH251" s="445"/>
      <c r="MI251" s="445"/>
      <c r="MJ251" s="445"/>
      <c r="MK251" s="445"/>
      <c r="ML251" s="445"/>
      <c r="MM251" s="445"/>
      <c r="MN251" s="2243"/>
      <c r="MO251" s="2243"/>
      <c r="MP251" s="445"/>
      <c r="MQ251" s="445"/>
      <c r="MR251" s="445"/>
      <c r="MS251" s="445"/>
      <c r="MT251" s="445"/>
      <c r="MU251" s="445"/>
      <c r="MV251" s="445"/>
      <c r="MW251" s="445"/>
      <c r="MX251" s="445"/>
      <c r="MY251" s="445"/>
      <c r="MZ251" s="445"/>
      <c r="NA251" s="445"/>
      <c r="NB251" s="445"/>
      <c r="NC251" s="445"/>
      <c r="ND251" s="445"/>
      <c r="NE251" s="94"/>
      <c r="NF251" s="94"/>
      <c r="NG251" s="94"/>
      <c r="NH251" s="94"/>
      <c r="NI251" s="94"/>
      <c r="NJ251" s="94"/>
      <c r="NK251" s="94"/>
      <c r="NL251" s="94"/>
      <c r="NM251" s="94"/>
      <c r="NN251" s="94"/>
      <c r="NO251" s="94"/>
      <c r="NP251" s="94"/>
      <c r="NQ251" s="94"/>
      <c r="NR251" s="94"/>
      <c r="NS251" s="94"/>
      <c r="NT251" s="94"/>
      <c r="NU251" s="94"/>
      <c r="NV251" s="94"/>
      <c r="NW251" s="94"/>
      <c r="NX251" s="94"/>
      <c r="NY251" s="94"/>
      <c r="NZ251" s="94"/>
      <c r="OA251" s="94"/>
      <c r="OB251" s="94"/>
      <c r="OC251" s="94"/>
      <c r="OD251" s="94"/>
      <c r="OE251" s="94"/>
      <c r="OF251" s="94"/>
      <c r="OG251" s="94"/>
      <c r="OH251" s="94"/>
      <c r="OI251" s="94"/>
      <c r="OJ251" s="94"/>
      <c r="OK251" s="94"/>
      <c r="OL251" s="94"/>
      <c r="OM251" s="94"/>
      <c r="ON251" s="94"/>
      <c r="OO251" s="94"/>
      <c r="OP251" s="94"/>
      <c r="OQ251" s="94"/>
      <c r="OR251" s="94"/>
      <c r="OS251" s="94"/>
      <c r="OT251" s="94"/>
      <c r="OU251" s="94"/>
      <c r="OV251" s="94"/>
      <c r="OW251" s="94"/>
      <c r="OX251" s="94"/>
      <c r="OY251" s="94"/>
      <c r="OZ251" s="94"/>
      <c r="PA251" s="94"/>
      <c r="PB251" s="94"/>
      <c r="PC251" s="94"/>
      <c r="PD251" s="94"/>
      <c r="PE251" s="94"/>
      <c r="PF251" s="94"/>
      <c r="PG251" s="94"/>
      <c r="PH251" s="94"/>
      <c r="PI251" s="94"/>
      <c r="PJ251" s="94"/>
      <c r="PK251" s="94"/>
      <c r="PL251" s="94"/>
      <c r="PM251" s="94"/>
      <c r="PN251" s="94"/>
      <c r="PO251" s="94"/>
      <c r="PP251" s="94"/>
      <c r="PQ251" s="94"/>
      <c r="PR251" s="94"/>
      <c r="PS251" s="94"/>
      <c r="PT251" s="94"/>
      <c r="PU251" s="94"/>
      <c r="PV251" s="94"/>
      <c r="PW251" s="94"/>
      <c r="PX251" s="94"/>
      <c r="PY251" s="94"/>
      <c r="PZ251" s="94"/>
      <c r="QA251" s="94"/>
      <c r="QB251" s="94"/>
      <c r="QC251" s="94"/>
      <c r="QD251" s="94"/>
      <c r="QE251" s="94"/>
      <c r="QF251" s="94"/>
      <c r="QG251" s="94"/>
      <c r="QH251" s="94"/>
      <c r="QI251" s="94"/>
      <c r="QJ251" s="94"/>
      <c r="QK251" s="94"/>
      <c r="QL251" s="94"/>
      <c r="QM251" s="94"/>
      <c r="QN251" s="94"/>
      <c r="QO251" s="94"/>
      <c r="QP251" s="94"/>
      <c r="QQ251" s="94"/>
      <c r="QR251" s="94"/>
      <c r="QS251" s="94"/>
      <c r="QT251" s="94"/>
      <c r="QU251" s="94"/>
      <c r="QV251" s="94"/>
      <c r="QW251" s="94"/>
      <c r="QX251" s="94"/>
      <c r="QY251" s="94"/>
      <c r="QZ251" s="94"/>
      <c r="RA251" s="94"/>
      <c r="RB251" s="94"/>
      <c r="RC251" s="94"/>
      <c r="RD251" s="94"/>
      <c r="RE251" s="94"/>
      <c r="RF251" s="94"/>
      <c r="RG251" s="94"/>
      <c r="RH251" s="94"/>
      <c r="RI251" s="94"/>
      <c r="RJ251" s="94"/>
      <c r="RK251" s="94"/>
      <c r="RL251" s="94"/>
      <c r="RM251" s="94"/>
      <c r="RN251" s="94"/>
      <c r="RO251" s="94"/>
      <c r="RP251" s="94"/>
      <c r="RQ251" s="94"/>
      <c r="RR251" s="94"/>
      <c r="RS251" s="94"/>
      <c r="RT251" s="94"/>
      <c r="RU251" s="94"/>
      <c r="RV251" s="94"/>
      <c r="RW251" s="94"/>
      <c r="RX251" s="94"/>
      <c r="RY251" s="94"/>
      <c r="RZ251" s="94"/>
      <c r="SA251" s="94"/>
      <c r="SB251" s="94"/>
      <c r="SC251" s="94"/>
      <c r="SD251" s="94"/>
      <c r="SE251" s="94"/>
      <c r="SF251" s="94"/>
      <c r="SG251" s="94"/>
      <c r="SH251" s="94"/>
      <c r="SI251" s="94"/>
    </row>
    <row r="252" spans="1:503" s="90" customFormat="1" ht="15" customHeight="1" thickBot="1">
      <c r="A252" s="1"/>
      <c r="B252" s="461" t="s">
        <v>4479</v>
      </c>
      <c r="C252" s="11"/>
      <c r="D252" s="1"/>
      <c r="E252" s="1"/>
      <c r="F252" s="12"/>
      <c r="G252" s="12"/>
      <c r="H252" s="1"/>
      <c r="I252" s="1"/>
      <c r="J252" s="3958" t="s">
        <v>1727</v>
      </c>
      <c r="K252" s="1489" t="s">
        <v>4481</v>
      </c>
      <c r="L252" s="3958" t="s">
        <v>1727</v>
      </c>
      <c r="M252" s="72" t="s">
        <v>4482</v>
      </c>
      <c r="N252" s="4094"/>
      <c r="O252" s="461" t="s">
        <v>4480</v>
      </c>
      <c r="P252" s="1"/>
      <c r="Q252" s="4099"/>
      <c r="R252" s="837"/>
      <c r="S252" s="4096"/>
      <c r="T252" s="4097"/>
      <c r="U252" s="4097"/>
      <c r="V252" s="4097"/>
      <c r="W252" s="4098"/>
      <c r="X252" s="443"/>
      <c r="Y252" s="445"/>
      <c r="Z252" s="445"/>
      <c r="AA252" s="445"/>
      <c r="AB252" s="445"/>
      <c r="AC252" s="443"/>
      <c r="AD252" s="445"/>
      <c r="AE252" s="445"/>
      <c r="AF252" s="445"/>
      <c r="AG252" s="445"/>
      <c r="AH252" s="443"/>
      <c r="AI252" s="445"/>
      <c r="AJ252" s="445"/>
      <c r="AK252" s="445"/>
      <c r="AL252" s="445"/>
      <c r="AM252" s="443"/>
      <c r="AN252" s="445"/>
      <c r="AO252" s="445"/>
      <c r="AP252" s="445"/>
      <c r="AQ252" s="445"/>
      <c r="AR252" s="445"/>
      <c r="AS252" s="445"/>
      <c r="AT252" s="445"/>
      <c r="AU252" s="445"/>
      <c r="AV252" s="445"/>
      <c r="AW252" s="445"/>
      <c r="AX252" s="445"/>
      <c r="AY252" s="445"/>
      <c r="AZ252" s="445"/>
      <c r="BA252" s="445"/>
      <c r="BB252" s="445"/>
      <c r="BC252" s="445"/>
      <c r="BD252" s="445"/>
      <c r="BE252" s="445"/>
      <c r="BF252" s="445"/>
      <c r="BG252" s="445"/>
      <c r="BH252" s="445"/>
      <c r="BI252" s="445"/>
      <c r="BJ252" s="445"/>
      <c r="BK252" s="445"/>
      <c r="BL252" s="445"/>
      <c r="BM252" s="445"/>
      <c r="BN252" s="445"/>
      <c r="BO252" s="445"/>
      <c r="BP252" s="445"/>
      <c r="BQ252" s="445"/>
      <c r="BR252" s="445"/>
      <c r="BS252" s="445"/>
      <c r="BT252" s="445"/>
      <c r="BU252" s="445"/>
      <c r="BV252" s="445"/>
      <c r="BW252" s="445"/>
      <c r="BX252" s="445"/>
      <c r="BY252" s="445"/>
      <c r="BZ252" s="445"/>
      <c r="CA252" s="445"/>
      <c r="CB252" s="445"/>
      <c r="CC252" s="445"/>
      <c r="CD252" s="445"/>
      <c r="CE252" s="445"/>
      <c r="CF252" s="445"/>
      <c r="CG252" s="445"/>
      <c r="CH252" s="445"/>
      <c r="CI252" s="445"/>
      <c r="CJ252" s="445"/>
      <c r="CK252" s="445"/>
      <c r="CL252" s="445"/>
      <c r="CM252" s="445"/>
      <c r="CN252" s="445"/>
      <c r="CO252" s="445"/>
      <c r="CP252" s="445"/>
      <c r="CQ252" s="445"/>
      <c r="CR252" s="445"/>
      <c r="CS252" s="445"/>
      <c r="CT252" s="445"/>
      <c r="CU252" s="445"/>
      <c r="CV252" s="445"/>
      <c r="CW252" s="445"/>
      <c r="CX252" s="445"/>
      <c r="CY252" s="445"/>
      <c r="CZ252" s="445"/>
      <c r="DA252" s="445"/>
      <c r="DB252" s="445"/>
      <c r="DC252" s="445"/>
      <c r="DD252" s="445"/>
      <c r="DE252" s="445"/>
      <c r="DF252" s="445"/>
      <c r="DG252" s="445"/>
      <c r="DH252" s="445"/>
      <c r="DI252" s="445"/>
      <c r="DJ252" s="445"/>
      <c r="DK252" s="445"/>
      <c r="DL252" s="445"/>
      <c r="DM252" s="445"/>
      <c r="DN252" s="445"/>
      <c r="DO252" s="445"/>
      <c r="DP252" s="445"/>
      <c r="DQ252" s="445"/>
      <c r="DR252" s="445"/>
      <c r="DS252" s="445"/>
      <c r="DT252" s="445"/>
      <c r="DU252" s="445"/>
      <c r="DV252" s="445"/>
      <c r="DW252" s="445"/>
      <c r="DX252" s="445"/>
      <c r="DY252" s="445"/>
      <c r="DZ252" s="445"/>
      <c r="EA252" s="445"/>
      <c r="EB252" s="445"/>
      <c r="EC252" s="445"/>
      <c r="ED252" s="445"/>
      <c r="EE252" s="445"/>
      <c r="EF252" s="445"/>
      <c r="EG252" s="445"/>
      <c r="EH252" s="445"/>
      <c r="EI252" s="445"/>
      <c r="EJ252" s="445"/>
      <c r="EK252" s="445"/>
      <c r="EL252" s="445"/>
      <c r="EM252" s="445"/>
      <c r="EN252" s="445"/>
      <c r="EO252" s="445"/>
      <c r="EP252" s="445"/>
      <c r="EQ252" s="445"/>
      <c r="ER252" s="445"/>
      <c r="ES252" s="445"/>
      <c r="ET252" s="445"/>
      <c r="EU252" s="445"/>
      <c r="EV252" s="445"/>
      <c r="EW252" s="445"/>
      <c r="EX252" s="445"/>
      <c r="EY252" s="445"/>
      <c r="EZ252" s="445"/>
      <c r="FA252" s="445"/>
      <c r="FB252" s="445"/>
      <c r="FC252" s="445"/>
      <c r="FD252" s="445"/>
      <c r="FE252" s="445"/>
      <c r="FF252" s="445"/>
      <c r="FG252" s="445"/>
      <c r="FH252" s="445"/>
      <c r="FI252" s="445"/>
      <c r="FJ252" s="445"/>
      <c r="FK252" s="445"/>
      <c r="FL252" s="445"/>
      <c r="FM252" s="445"/>
      <c r="FN252" s="445"/>
      <c r="FO252" s="445"/>
      <c r="FP252" s="445"/>
      <c r="FQ252" s="445"/>
      <c r="FR252" s="445"/>
      <c r="FS252" s="445"/>
      <c r="FT252" s="445"/>
      <c r="FU252" s="445"/>
      <c r="FV252" s="445"/>
      <c r="FW252" s="445"/>
      <c r="FX252" s="445"/>
      <c r="FY252" s="445"/>
      <c r="FZ252" s="445"/>
      <c r="GA252" s="445"/>
      <c r="GB252" s="445"/>
      <c r="GC252" s="445"/>
      <c r="GD252" s="445"/>
      <c r="GE252" s="445"/>
      <c r="GF252" s="445"/>
      <c r="GG252" s="445"/>
      <c r="GH252" s="445"/>
      <c r="GI252" s="445"/>
      <c r="GJ252" s="445"/>
      <c r="GK252" s="445"/>
      <c r="GL252" s="445"/>
      <c r="GM252" s="445"/>
      <c r="GN252" s="445"/>
      <c r="GO252" s="445"/>
      <c r="GP252" s="445"/>
      <c r="GQ252" s="445"/>
      <c r="GR252" s="445"/>
      <c r="GS252" s="445"/>
      <c r="GT252" s="445"/>
      <c r="GU252" s="445"/>
      <c r="GV252" s="445"/>
      <c r="GW252" s="445"/>
      <c r="GX252" s="445"/>
      <c r="GY252" s="445"/>
      <c r="GZ252" s="445"/>
      <c r="HA252" s="445"/>
      <c r="HB252" s="445"/>
      <c r="HC252" s="445"/>
      <c r="HD252" s="445"/>
      <c r="HE252" s="445"/>
      <c r="HF252" s="445"/>
      <c r="HG252" s="445"/>
      <c r="HH252" s="445"/>
      <c r="HI252" s="445"/>
      <c r="HJ252" s="445"/>
      <c r="HK252" s="445"/>
      <c r="HL252" s="445"/>
      <c r="HM252" s="445"/>
      <c r="HN252" s="445"/>
      <c r="HO252" s="445"/>
      <c r="HP252" s="445"/>
      <c r="HQ252" s="445"/>
      <c r="HR252" s="445"/>
      <c r="HS252" s="445"/>
      <c r="HT252" s="445"/>
      <c r="HU252" s="445"/>
      <c r="HV252" s="445"/>
      <c r="HW252" s="445"/>
      <c r="HX252" s="445"/>
      <c r="HY252" s="445"/>
      <c r="HZ252" s="445"/>
      <c r="IA252" s="445"/>
      <c r="IB252" s="445"/>
      <c r="IC252" s="445"/>
      <c r="ID252" s="445"/>
      <c r="IE252" s="445"/>
      <c r="IF252" s="445"/>
      <c r="IG252" s="445"/>
      <c r="IH252" s="445"/>
      <c r="II252" s="445"/>
      <c r="IJ252" s="445"/>
      <c r="IK252" s="445"/>
      <c r="IL252" s="445"/>
      <c r="IM252" s="445"/>
      <c r="IN252" s="445"/>
      <c r="IO252" s="445"/>
      <c r="IP252" s="445"/>
      <c r="IQ252" s="445"/>
      <c r="IR252" s="445"/>
      <c r="IS252" s="445"/>
      <c r="IT252" s="445"/>
      <c r="IU252" s="445"/>
      <c r="IV252" s="445"/>
      <c r="IW252" s="445"/>
      <c r="IX252" s="445"/>
      <c r="IY252" s="445"/>
      <c r="IZ252" s="445"/>
      <c r="JA252" s="445"/>
      <c r="JB252" s="445"/>
      <c r="JC252" s="445"/>
      <c r="JD252" s="445"/>
      <c r="JE252" s="445"/>
      <c r="JF252" s="445"/>
      <c r="JG252" s="445"/>
      <c r="JH252" s="445"/>
      <c r="JI252" s="445"/>
      <c r="JJ252" s="445"/>
      <c r="JK252" s="445"/>
      <c r="JL252" s="445"/>
      <c r="JM252" s="445"/>
      <c r="JN252" s="445"/>
      <c r="JO252" s="445"/>
      <c r="JP252" s="445"/>
      <c r="JQ252" s="445"/>
      <c r="JR252" s="445"/>
      <c r="JS252" s="445"/>
      <c r="JT252" s="445"/>
      <c r="JU252" s="445"/>
      <c r="JV252" s="445"/>
      <c r="JW252" s="2242"/>
      <c r="JX252" s="445"/>
      <c r="JY252" s="445"/>
      <c r="JZ252" s="445"/>
      <c r="KA252" s="445"/>
      <c r="KB252" s="2242"/>
      <c r="KC252" s="2242"/>
      <c r="KD252" s="2242"/>
      <c r="KE252" s="2242"/>
      <c r="KF252" s="2242"/>
      <c r="KG252" s="2242"/>
      <c r="KH252" s="2242"/>
      <c r="KI252" s="2242"/>
      <c r="KJ252" s="2242"/>
      <c r="KK252" s="2242"/>
      <c r="KL252" s="2242"/>
      <c r="KM252" s="2242"/>
      <c r="KN252" s="2242"/>
      <c r="KO252" s="2242"/>
      <c r="KP252" s="2242"/>
      <c r="KQ252" s="2242"/>
      <c r="KR252" s="2242"/>
      <c r="KS252" s="2242"/>
      <c r="KT252" s="2242"/>
      <c r="KU252" s="2242"/>
      <c r="KV252" s="2242"/>
      <c r="KW252" s="2242"/>
      <c r="KX252" s="2242"/>
      <c r="KY252" s="2242"/>
      <c r="KZ252" s="2242"/>
      <c r="LA252" s="2242"/>
      <c r="LB252" s="2242"/>
      <c r="LC252" s="2242"/>
      <c r="LD252" s="2242"/>
      <c r="LE252" s="2242"/>
      <c r="LF252" s="2242"/>
      <c r="LG252" s="2242"/>
      <c r="LH252" s="2242"/>
      <c r="LI252" s="2242"/>
      <c r="LJ252" s="2242"/>
      <c r="LK252" s="2242"/>
      <c r="LL252" s="2242"/>
      <c r="LM252" s="2242"/>
      <c r="LN252" s="2242"/>
      <c r="LO252" s="2242"/>
      <c r="LP252" s="2242"/>
      <c r="LQ252" s="2242"/>
      <c r="LR252" s="445"/>
      <c r="LS252" s="445"/>
      <c r="LT252" s="445"/>
      <c r="LU252" s="445"/>
      <c r="LV252" s="445"/>
      <c r="LW252" s="445"/>
      <c r="LX252" s="2243"/>
      <c r="LY252" s="445"/>
      <c r="LZ252" s="445"/>
      <c r="MA252" s="445"/>
      <c r="MB252" s="445"/>
      <c r="MC252" s="445"/>
      <c r="MD252" s="445"/>
      <c r="ME252" s="445"/>
      <c r="MF252" s="445"/>
      <c r="MG252" s="445"/>
      <c r="MH252" s="445"/>
      <c r="MI252" s="445"/>
      <c r="MJ252" s="445"/>
      <c r="MK252" s="445"/>
      <c r="ML252" s="445"/>
      <c r="MM252" s="445"/>
      <c r="MN252" s="2243"/>
      <c r="MO252" s="2243"/>
      <c r="MP252" s="445"/>
      <c r="MQ252" s="445"/>
      <c r="MR252" s="445"/>
      <c r="MS252" s="445"/>
      <c r="MT252" s="445"/>
      <c r="MU252" s="445"/>
      <c r="MV252" s="445"/>
      <c r="MW252" s="445"/>
      <c r="MX252" s="445"/>
      <c r="MY252" s="445"/>
      <c r="MZ252" s="445"/>
      <c r="NA252" s="445"/>
      <c r="NB252" s="445"/>
      <c r="NC252" s="445"/>
      <c r="ND252" s="445"/>
      <c r="NE252" s="94"/>
      <c r="NF252" s="94"/>
      <c r="NG252" s="94"/>
      <c r="NH252" s="94"/>
      <c r="NI252" s="94"/>
      <c r="NJ252" s="94"/>
      <c r="NK252" s="94"/>
      <c r="NL252" s="94"/>
      <c r="NM252" s="94"/>
      <c r="NN252" s="94"/>
      <c r="NO252" s="94"/>
      <c r="NP252" s="94"/>
      <c r="NQ252" s="94"/>
      <c r="NR252" s="94"/>
      <c r="NS252" s="94"/>
      <c r="NT252" s="94"/>
      <c r="NU252" s="94"/>
      <c r="NV252" s="94"/>
      <c r="NW252" s="94"/>
      <c r="NX252" s="94"/>
      <c r="NY252" s="94"/>
      <c r="NZ252" s="94"/>
      <c r="OA252" s="94"/>
      <c r="OB252" s="94"/>
      <c r="OC252" s="94"/>
      <c r="OD252" s="94"/>
      <c r="OE252" s="94"/>
      <c r="OF252" s="94"/>
      <c r="OG252" s="94"/>
      <c r="OH252" s="94"/>
      <c r="OI252" s="94"/>
      <c r="OJ252" s="94"/>
      <c r="OK252" s="94"/>
      <c r="OL252" s="94"/>
      <c r="OM252" s="94"/>
      <c r="ON252" s="94"/>
      <c r="OO252" s="94"/>
      <c r="OP252" s="94"/>
      <c r="OQ252" s="94"/>
      <c r="OR252" s="94"/>
      <c r="OS252" s="94"/>
      <c r="OT252" s="94"/>
      <c r="OU252" s="94"/>
      <c r="OV252" s="94"/>
      <c r="OW252" s="94"/>
      <c r="OX252" s="94"/>
      <c r="OY252" s="94"/>
      <c r="OZ252" s="94"/>
      <c r="PA252" s="94"/>
      <c r="PB252" s="94"/>
      <c r="PC252" s="94"/>
      <c r="PD252" s="94"/>
      <c r="PE252" s="94"/>
      <c r="PF252" s="94"/>
      <c r="PG252" s="94"/>
      <c r="PH252" s="94"/>
      <c r="PI252" s="94"/>
      <c r="PJ252" s="94"/>
      <c r="PK252" s="94"/>
      <c r="PL252" s="94"/>
      <c r="PM252" s="94"/>
      <c r="PN252" s="94"/>
      <c r="PO252" s="94"/>
      <c r="PP252" s="94"/>
      <c r="PQ252" s="94"/>
      <c r="PR252" s="94"/>
      <c r="PS252" s="94"/>
      <c r="PT252" s="94"/>
      <c r="PU252" s="94"/>
      <c r="PV252" s="94"/>
      <c r="PW252" s="94"/>
      <c r="PX252" s="94"/>
      <c r="PY252" s="94"/>
      <c r="PZ252" s="94"/>
      <c r="QA252" s="94"/>
      <c r="QB252" s="94"/>
      <c r="QC252" s="94"/>
      <c r="QD252" s="94"/>
      <c r="QE252" s="94"/>
      <c r="QF252" s="94"/>
      <c r="QG252" s="94"/>
      <c r="QH252" s="94"/>
      <c r="QI252" s="94"/>
      <c r="QJ252" s="94"/>
      <c r="QK252" s="94"/>
      <c r="QL252" s="94"/>
      <c r="QM252" s="94"/>
      <c r="QN252" s="94"/>
      <c r="QO252" s="94"/>
      <c r="QP252" s="94"/>
      <c r="QQ252" s="94"/>
      <c r="QR252" s="94"/>
      <c r="QS252" s="94"/>
      <c r="QT252" s="94"/>
      <c r="QU252" s="94"/>
      <c r="QV252" s="94"/>
      <c r="QW252" s="94"/>
      <c r="QX252" s="94"/>
      <c r="QY252" s="94"/>
      <c r="QZ252" s="94"/>
      <c r="RA252" s="94"/>
      <c r="RB252" s="94"/>
      <c r="RC252" s="94"/>
      <c r="RD252" s="94"/>
      <c r="RE252" s="94"/>
      <c r="RF252" s="94"/>
      <c r="RG252" s="94"/>
      <c r="RH252" s="94"/>
      <c r="RI252" s="94"/>
      <c r="RJ252" s="94"/>
      <c r="RK252" s="94"/>
      <c r="RL252" s="94"/>
      <c r="RM252" s="94"/>
      <c r="RN252" s="94"/>
      <c r="RO252" s="94"/>
      <c r="RP252" s="94"/>
      <c r="RQ252" s="94"/>
      <c r="RR252" s="94"/>
      <c r="RS252" s="94"/>
      <c r="RT252" s="94"/>
      <c r="RU252" s="94"/>
      <c r="RV252" s="94"/>
      <c r="RW252" s="94"/>
      <c r="RX252" s="94"/>
      <c r="RY252" s="94"/>
      <c r="RZ252" s="94"/>
      <c r="SA252" s="94"/>
      <c r="SB252" s="94"/>
      <c r="SC252" s="94"/>
      <c r="SD252" s="94"/>
      <c r="SE252" s="94"/>
      <c r="SF252" s="94"/>
      <c r="SG252" s="94"/>
      <c r="SH252" s="94"/>
      <c r="SI252" s="94"/>
    </row>
    <row r="253" spans="1:503" s="90" customFormat="1" ht="39" customHeight="1">
      <c r="A253" s="1"/>
      <c r="B253" s="10"/>
      <c r="C253" s="11"/>
      <c r="D253" s="1"/>
      <c r="E253" s="1"/>
      <c r="F253" s="12"/>
      <c r="G253" s="12"/>
      <c r="H253" s="1"/>
      <c r="I253" s="1"/>
      <c r="J253" s="1"/>
      <c r="K253" s="12"/>
      <c r="L253" s="1"/>
      <c r="M253" s="1"/>
      <c r="N253" s="1"/>
      <c r="O253" s="10"/>
      <c r="P253" s="1"/>
      <c r="Q253" s="837"/>
      <c r="R253" s="837"/>
      <c r="X253" s="443"/>
      <c r="Y253" s="445"/>
      <c r="Z253" s="445"/>
      <c r="AA253" s="445"/>
      <c r="AB253" s="445"/>
      <c r="AC253" s="443"/>
      <c r="AD253" s="445"/>
      <c r="AE253" s="445"/>
      <c r="AF253" s="445"/>
      <c r="AG253" s="445"/>
      <c r="AH253" s="443"/>
      <c r="AI253" s="445"/>
      <c r="AJ253" s="445"/>
      <c r="AK253" s="445"/>
      <c r="AL253" s="445"/>
      <c r="AM253" s="443"/>
      <c r="AN253" s="445"/>
      <c r="AO253" s="445"/>
      <c r="AP253" s="445"/>
      <c r="AQ253" s="445"/>
      <c r="AR253" s="445"/>
      <c r="AS253" s="445"/>
      <c r="AT253" s="445"/>
      <c r="AU253" s="445"/>
      <c r="AV253" s="445"/>
      <c r="AW253" s="445"/>
      <c r="AX253" s="445"/>
      <c r="AY253" s="445"/>
      <c r="AZ253" s="445"/>
      <c r="BA253" s="445"/>
      <c r="BB253" s="445"/>
      <c r="BC253" s="445"/>
      <c r="BD253" s="445"/>
      <c r="BE253" s="445"/>
      <c r="BF253" s="445"/>
      <c r="BG253" s="445"/>
      <c r="BH253" s="445"/>
      <c r="BI253" s="445"/>
      <c r="BJ253" s="445"/>
      <c r="BK253" s="445"/>
      <c r="BL253" s="445"/>
      <c r="BM253" s="445"/>
      <c r="BN253" s="445"/>
      <c r="BO253" s="445"/>
      <c r="BP253" s="445"/>
      <c r="BQ253" s="445"/>
      <c r="BR253" s="445"/>
      <c r="BS253" s="445"/>
      <c r="BT253" s="445"/>
      <c r="BU253" s="445"/>
      <c r="BV253" s="445"/>
      <c r="BW253" s="445"/>
      <c r="BX253" s="445"/>
      <c r="BY253" s="445"/>
      <c r="BZ253" s="445"/>
      <c r="CA253" s="445"/>
      <c r="CB253" s="445"/>
      <c r="CC253" s="445"/>
      <c r="CD253" s="445"/>
      <c r="CE253" s="445"/>
      <c r="CF253" s="445"/>
      <c r="CG253" s="445"/>
      <c r="CH253" s="445"/>
      <c r="CI253" s="445"/>
      <c r="CJ253" s="445"/>
      <c r="CK253" s="445"/>
      <c r="CL253" s="445"/>
      <c r="CM253" s="445"/>
      <c r="CN253" s="445"/>
      <c r="CO253" s="445"/>
      <c r="CP253" s="445"/>
      <c r="CQ253" s="445"/>
      <c r="CR253" s="445"/>
      <c r="CS253" s="445"/>
      <c r="CT253" s="445"/>
      <c r="CU253" s="445"/>
      <c r="CV253" s="445"/>
      <c r="CW253" s="445"/>
      <c r="CX253" s="445"/>
      <c r="CY253" s="445"/>
      <c r="CZ253" s="445"/>
      <c r="DA253" s="445"/>
      <c r="DB253" s="445"/>
      <c r="DC253" s="445"/>
      <c r="DD253" s="445"/>
      <c r="DE253" s="445"/>
      <c r="DF253" s="445"/>
      <c r="DG253" s="445"/>
      <c r="DH253" s="445"/>
      <c r="DI253" s="445"/>
      <c r="DJ253" s="445"/>
      <c r="DK253" s="445"/>
      <c r="DL253" s="445"/>
      <c r="DM253" s="445"/>
      <c r="DN253" s="445"/>
      <c r="DO253" s="445"/>
      <c r="DP253" s="445"/>
      <c r="DQ253" s="445"/>
      <c r="DR253" s="445"/>
      <c r="DS253" s="445"/>
      <c r="DT253" s="445"/>
      <c r="DU253" s="445"/>
      <c r="DV253" s="445"/>
      <c r="DW253" s="445"/>
      <c r="DX253" s="445"/>
      <c r="DY253" s="445"/>
      <c r="DZ253" s="445"/>
      <c r="EA253" s="445"/>
      <c r="EB253" s="445"/>
      <c r="EC253" s="445"/>
      <c r="ED253" s="445"/>
      <c r="EE253" s="445"/>
      <c r="EF253" s="445"/>
      <c r="EG253" s="445"/>
      <c r="EH253" s="445"/>
      <c r="EI253" s="445"/>
      <c r="EJ253" s="445"/>
      <c r="EK253" s="445"/>
      <c r="EL253" s="445"/>
      <c r="EM253" s="445"/>
      <c r="EN253" s="445"/>
      <c r="EO253" s="445"/>
      <c r="EP253" s="445"/>
      <c r="EQ253" s="445"/>
      <c r="ER253" s="445"/>
      <c r="ES253" s="445"/>
      <c r="ET253" s="445"/>
      <c r="EU253" s="445"/>
      <c r="EV253" s="445"/>
      <c r="EW253" s="445"/>
      <c r="EX253" s="445"/>
      <c r="EY253" s="445"/>
      <c r="EZ253" s="445"/>
      <c r="FA253" s="445"/>
      <c r="FB253" s="445"/>
      <c r="FC253" s="445"/>
      <c r="FD253" s="445"/>
      <c r="FE253" s="445"/>
      <c r="FF253" s="445"/>
      <c r="FG253" s="445"/>
      <c r="FH253" s="445"/>
      <c r="FI253" s="445"/>
      <c r="FJ253" s="445"/>
      <c r="FK253" s="445"/>
      <c r="FL253" s="445"/>
      <c r="FM253" s="445"/>
      <c r="FN253" s="445"/>
      <c r="FO253" s="445"/>
      <c r="FP253" s="445"/>
      <c r="FQ253" s="445"/>
      <c r="FR253" s="445"/>
      <c r="FS253" s="445"/>
      <c r="FT253" s="445"/>
      <c r="FU253" s="445"/>
      <c r="FV253" s="445"/>
      <c r="FW253" s="445"/>
      <c r="FX253" s="445"/>
      <c r="FY253" s="445"/>
      <c r="FZ253" s="445"/>
      <c r="GA253" s="445"/>
      <c r="GB253" s="445"/>
      <c r="GC253" s="445"/>
      <c r="GD253" s="445"/>
      <c r="GE253" s="445"/>
      <c r="GF253" s="445"/>
      <c r="GG253" s="445"/>
      <c r="GH253" s="445"/>
      <c r="GI253" s="445"/>
      <c r="GJ253" s="445"/>
      <c r="GK253" s="445"/>
      <c r="GL253" s="445"/>
      <c r="GM253" s="445"/>
      <c r="GN253" s="445"/>
      <c r="GO253" s="445"/>
      <c r="GP253" s="445"/>
      <c r="GQ253" s="445"/>
      <c r="GR253" s="445"/>
      <c r="GS253" s="445"/>
      <c r="GT253" s="445"/>
      <c r="GU253" s="445"/>
      <c r="GV253" s="445"/>
      <c r="GW253" s="445"/>
      <c r="GX253" s="445"/>
      <c r="GY253" s="445"/>
      <c r="GZ253" s="445"/>
      <c r="HA253" s="445"/>
      <c r="HB253" s="445"/>
      <c r="HC253" s="445"/>
      <c r="HD253" s="445"/>
      <c r="HE253" s="445"/>
      <c r="HF253" s="445"/>
      <c r="HG253" s="445"/>
      <c r="HH253" s="445"/>
      <c r="HI253" s="445"/>
      <c r="HJ253" s="445"/>
      <c r="HK253" s="445"/>
      <c r="HL253" s="445"/>
      <c r="HM253" s="445"/>
      <c r="HN253" s="445"/>
      <c r="HO253" s="445"/>
      <c r="HP253" s="445"/>
      <c r="HQ253" s="445"/>
      <c r="HR253" s="445"/>
      <c r="HS253" s="445"/>
      <c r="HT253" s="445"/>
      <c r="HU253" s="445"/>
      <c r="HV253" s="445"/>
      <c r="HW253" s="445"/>
      <c r="HX253" s="445"/>
      <c r="HY253" s="445"/>
      <c r="HZ253" s="445"/>
      <c r="IA253" s="445"/>
      <c r="IB253" s="445"/>
      <c r="IC253" s="445"/>
      <c r="ID253" s="445"/>
      <c r="IE253" s="445"/>
      <c r="IF253" s="445"/>
      <c r="IG253" s="445"/>
      <c r="IH253" s="445"/>
      <c r="II253" s="445"/>
      <c r="IJ253" s="445"/>
      <c r="IK253" s="445"/>
      <c r="IL253" s="445"/>
      <c r="IM253" s="445"/>
      <c r="IN253" s="445"/>
      <c r="IO253" s="445"/>
      <c r="IP253" s="445"/>
      <c r="IQ253" s="445"/>
      <c r="IR253" s="445"/>
      <c r="IS253" s="445"/>
      <c r="IT253" s="445"/>
      <c r="IU253" s="445"/>
      <c r="IV253" s="445"/>
      <c r="IW253" s="445"/>
      <c r="IX253" s="445"/>
      <c r="IY253" s="445"/>
      <c r="IZ253" s="445"/>
      <c r="JA253" s="445"/>
      <c r="JB253" s="445"/>
      <c r="JC253" s="445"/>
      <c r="JD253" s="445"/>
      <c r="JE253" s="445"/>
      <c r="JF253" s="445"/>
      <c r="JG253" s="445"/>
      <c r="JH253" s="445"/>
      <c r="JI253" s="445"/>
      <c r="JJ253" s="445"/>
      <c r="JK253" s="445"/>
      <c r="JL253" s="445"/>
      <c r="JM253" s="445"/>
      <c r="JN253" s="445"/>
      <c r="JO253" s="445"/>
      <c r="JP253" s="445"/>
      <c r="JQ253" s="445"/>
      <c r="JR253" s="445"/>
      <c r="JS253" s="445"/>
      <c r="JT253" s="445"/>
      <c r="JU253" s="445"/>
      <c r="JV253" s="445"/>
      <c r="JW253" s="2242"/>
      <c r="JX253" s="445"/>
      <c r="JY253" s="445"/>
      <c r="JZ253" s="445"/>
      <c r="KA253" s="445"/>
      <c r="KB253" s="2242"/>
      <c r="KC253" s="2242"/>
      <c r="KD253" s="2242"/>
      <c r="KE253" s="2242"/>
      <c r="KF253" s="2242"/>
      <c r="KG253" s="2242"/>
      <c r="KH253" s="2242"/>
      <c r="KI253" s="2242"/>
      <c r="KJ253" s="2242"/>
      <c r="KK253" s="2242"/>
      <c r="KL253" s="2242"/>
      <c r="KM253" s="2242"/>
      <c r="KN253" s="2242"/>
      <c r="KO253" s="2242"/>
      <c r="KP253" s="2242"/>
      <c r="KQ253" s="2242"/>
      <c r="KR253" s="2242"/>
      <c r="KS253" s="2242"/>
      <c r="KT253" s="2242"/>
      <c r="KU253" s="2242"/>
      <c r="KV253" s="2242"/>
      <c r="KW253" s="2242"/>
      <c r="KX253" s="2242"/>
      <c r="KY253" s="2242"/>
      <c r="KZ253" s="2242"/>
      <c r="LA253" s="2242"/>
      <c r="LB253" s="2242"/>
      <c r="LC253" s="2242"/>
      <c r="LD253" s="2242"/>
      <c r="LE253" s="2242"/>
      <c r="LF253" s="2242"/>
      <c r="LG253" s="2242"/>
      <c r="LH253" s="2242"/>
      <c r="LI253" s="2242"/>
      <c r="LJ253" s="2242"/>
      <c r="LK253" s="2242"/>
      <c r="LL253" s="2242"/>
      <c r="LM253" s="2242"/>
      <c r="LN253" s="2242"/>
      <c r="LO253" s="2242"/>
      <c r="LP253" s="2242"/>
      <c r="LQ253" s="2242"/>
      <c r="LR253" s="445"/>
      <c r="LS253" s="445"/>
      <c r="LT253" s="445"/>
      <c r="LU253" s="445"/>
      <c r="LV253" s="445"/>
      <c r="LW253" s="445"/>
      <c r="LX253" s="2243"/>
      <c r="LY253" s="445"/>
      <c r="LZ253" s="445"/>
      <c r="MA253" s="445"/>
      <c r="MB253" s="445"/>
      <c r="MC253" s="445"/>
      <c r="MD253" s="445"/>
      <c r="ME253" s="445"/>
      <c r="MF253" s="445"/>
      <c r="MG253" s="445"/>
      <c r="MH253" s="445"/>
      <c r="MI253" s="445"/>
      <c r="MJ253" s="445"/>
      <c r="MK253" s="445"/>
      <c r="ML253" s="445"/>
      <c r="MM253" s="445"/>
      <c r="MN253" s="2243"/>
      <c r="MO253" s="2243"/>
      <c r="MP253" s="445"/>
      <c r="MQ253" s="445"/>
      <c r="MR253" s="445"/>
      <c r="MS253" s="445"/>
      <c r="MT253" s="445"/>
      <c r="MU253" s="445"/>
      <c r="MV253" s="445"/>
      <c r="MW253" s="445"/>
      <c r="MX253" s="445"/>
      <c r="MY253" s="445"/>
      <c r="MZ253" s="445"/>
      <c r="NA253" s="445"/>
      <c r="NB253" s="445"/>
      <c r="NC253" s="445"/>
      <c r="ND253" s="445"/>
      <c r="NE253" s="94"/>
      <c r="NF253" s="94"/>
      <c r="NG253" s="94"/>
      <c r="NH253" s="94"/>
      <c r="NI253" s="94"/>
      <c r="NJ253" s="94"/>
      <c r="NK253" s="94"/>
      <c r="NL253" s="94"/>
      <c r="NM253" s="94"/>
      <c r="NN253" s="94"/>
      <c r="NO253" s="94"/>
      <c r="NP253" s="94"/>
      <c r="NQ253" s="94"/>
      <c r="NR253" s="94"/>
      <c r="NS253" s="94"/>
      <c r="NT253" s="94"/>
      <c r="NU253" s="94"/>
      <c r="NV253" s="94"/>
      <c r="NW253" s="94"/>
      <c r="NX253" s="94"/>
      <c r="NY253" s="94"/>
      <c r="NZ253" s="94"/>
      <c r="OA253" s="94"/>
      <c r="OB253" s="94"/>
      <c r="OC253" s="94"/>
      <c r="OD253" s="94"/>
      <c r="OE253" s="94"/>
      <c r="OF253" s="94"/>
      <c r="OG253" s="94"/>
      <c r="OH253" s="94"/>
      <c r="OI253" s="94"/>
      <c r="OJ253" s="94"/>
      <c r="OK253" s="94"/>
      <c r="OL253" s="94"/>
      <c r="OM253" s="94"/>
      <c r="ON253" s="94"/>
      <c r="OO253" s="94"/>
      <c r="OP253" s="94"/>
      <c r="OQ253" s="94"/>
      <c r="OR253" s="94"/>
      <c r="OS253" s="94"/>
      <c r="OT253" s="94"/>
      <c r="OU253" s="94"/>
      <c r="OV253" s="94"/>
      <c r="OW253" s="94"/>
      <c r="OX253" s="94"/>
      <c r="OY253" s="94"/>
      <c r="OZ253" s="94"/>
      <c r="PA253" s="94"/>
      <c r="PB253" s="94"/>
      <c r="PC253" s="94"/>
      <c r="PD253" s="94"/>
      <c r="PE253" s="94"/>
      <c r="PF253" s="94"/>
      <c r="PG253" s="94"/>
      <c r="PH253" s="94"/>
      <c r="PI253" s="94"/>
      <c r="PJ253" s="94"/>
      <c r="PK253" s="94"/>
      <c r="PL253" s="94"/>
      <c r="PM253" s="94"/>
      <c r="PN253" s="94"/>
      <c r="PO253" s="94"/>
      <c r="PP253" s="94"/>
      <c r="PQ253" s="94"/>
      <c r="PR253" s="94"/>
      <c r="PS253" s="94"/>
      <c r="PT253" s="94"/>
      <c r="PU253" s="94"/>
      <c r="PV253" s="94"/>
      <c r="PW253" s="94"/>
      <c r="PX253" s="94"/>
      <c r="PY253" s="94"/>
      <c r="PZ253" s="94"/>
      <c r="QA253" s="94"/>
      <c r="QB253" s="94"/>
      <c r="QC253" s="94"/>
      <c r="QD253" s="94"/>
      <c r="QE253" s="94"/>
      <c r="QF253" s="94"/>
      <c r="QG253" s="94"/>
      <c r="QH253" s="94"/>
      <c r="QI253" s="94"/>
      <c r="QJ253" s="94"/>
      <c r="QK253" s="94"/>
      <c r="QL253" s="94"/>
      <c r="QM253" s="94"/>
      <c r="QN253" s="94"/>
      <c r="QO253" s="94"/>
      <c r="QP253" s="94"/>
      <c r="QQ253" s="94"/>
      <c r="QR253" s="94"/>
      <c r="QS253" s="94"/>
      <c r="QT253" s="94"/>
      <c r="QU253" s="94"/>
      <c r="QV253" s="94"/>
      <c r="QW253" s="94"/>
      <c r="QX253" s="94"/>
      <c r="QY253" s="94"/>
      <c r="QZ253" s="94"/>
      <c r="RA253" s="94"/>
      <c r="RB253" s="94"/>
      <c r="RC253" s="94"/>
      <c r="RD253" s="94"/>
      <c r="RE253" s="94"/>
      <c r="RF253" s="94"/>
      <c r="RG253" s="94"/>
      <c r="RH253" s="94"/>
      <c r="RI253" s="94"/>
      <c r="RJ253" s="94"/>
      <c r="RK253" s="94"/>
      <c r="RL253" s="94"/>
      <c r="RM253" s="94"/>
      <c r="RN253" s="94"/>
      <c r="RO253" s="94"/>
      <c r="RP253" s="94"/>
      <c r="RQ253" s="94"/>
      <c r="RR253" s="94"/>
      <c r="RS253" s="94"/>
      <c r="RT253" s="94"/>
      <c r="RU253" s="94"/>
      <c r="RV253" s="94"/>
      <c r="RW253" s="94"/>
      <c r="RX253" s="94"/>
      <c r="RY253" s="94"/>
      <c r="RZ253" s="94"/>
      <c r="SA253" s="94"/>
      <c r="SB253" s="94"/>
      <c r="SC253" s="94"/>
      <c r="SD253" s="94"/>
      <c r="SE253" s="94"/>
      <c r="SF253" s="94"/>
      <c r="SG253" s="94"/>
      <c r="SH253" s="94"/>
      <c r="SI253" s="94"/>
    </row>
    <row r="254" spans="1:503" ht="12" customHeight="1">
      <c r="A254" s="13" t="s">
        <v>3789</v>
      </c>
      <c r="B254" s="13" t="s">
        <v>555</v>
      </c>
      <c r="N254" s="13" t="s">
        <v>4420</v>
      </c>
      <c r="O254" s="13"/>
    </row>
    <row r="255" spans="1:503" ht="408.75" customHeight="1">
      <c r="A255" s="3823" t="s">
        <v>7162</v>
      </c>
      <c r="B255" s="3823"/>
      <c r="C255" s="3823"/>
      <c r="D255" s="3823"/>
      <c r="E255" s="3823"/>
      <c r="F255" s="3823"/>
      <c r="G255" s="3823"/>
      <c r="H255" s="3823"/>
      <c r="I255" s="3823"/>
      <c r="J255" s="3823"/>
      <c r="K255" s="3823"/>
      <c r="L255" s="3823"/>
      <c r="M255" s="3823"/>
      <c r="N255" s="3824"/>
      <c r="O255" s="3824"/>
      <c r="P255" s="3824"/>
      <c r="Q255" s="3824"/>
      <c r="R255" s="2642" t="s">
        <v>3788</v>
      </c>
      <c r="S255" s="2401"/>
      <c r="T255" s="2401"/>
      <c r="U255" s="2401"/>
    </row>
    <row r="256" spans="1:503" ht="11.25" customHeight="1"/>
    <row r="257" spans="1:503" ht="12" customHeight="1"/>
    <row r="258" spans="1:503" ht="12" customHeight="1"/>
    <row r="259" spans="1:503" ht="14.1" customHeight="1"/>
    <row r="260" spans="1:503" s="90" customFormat="1" ht="14.1" customHeight="1">
      <c r="A260" s="1"/>
      <c r="B260" s="1"/>
      <c r="C260" s="1"/>
      <c r="D260" s="1"/>
      <c r="E260" s="1"/>
      <c r="F260" s="1"/>
      <c r="G260" s="1"/>
      <c r="H260" s="1"/>
      <c r="I260" s="1"/>
      <c r="J260" s="1"/>
      <c r="K260" s="1"/>
      <c r="L260" s="1"/>
      <c r="M260" s="1"/>
      <c r="N260" s="1"/>
      <c r="O260" s="1"/>
      <c r="P260" s="1"/>
      <c r="X260" s="445"/>
      <c r="Y260" s="445"/>
      <c r="Z260" s="445"/>
      <c r="AA260" s="445"/>
      <c r="AB260" s="445"/>
      <c r="AC260" s="445"/>
      <c r="AD260" s="445"/>
      <c r="AE260" s="445"/>
      <c r="AF260" s="445"/>
      <c r="AG260" s="445"/>
      <c r="AH260" s="445"/>
      <c r="AI260" s="445"/>
      <c r="AJ260" s="445"/>
      <c r="AK260" s="445"/>
      <c r="AL260" s="445"/>
      <c r="AM260" s="445"/>
      <c r="AN260" s="445"/>
      <c r="AO260" s="445"/>
      <c r="AP260" s="445"/>
      <c r="AQ260" s="445"/>
      <c r="AR260" s="445"/>
      <c r="AS260" s="445"/>
      <c r="AT260" s="445"/>
      <c r="AU260" s="445"/>
      <c r="AV260" s="445"/>
      <c r="AW260" s="445"/>
      <c r="AX260" s="445"/>
      <c r="AY260" s="445"/>
      <c r="AZ260" s="445"/>
      <c r="BA260" s="445"/>
      <c r="BB260" s="445"/>
      <c r="BC260" s="445"/>
      <c r="BD260" s="445"/>
      <c r="BE260" s="445"/>
      <c r="BF260" s="445"/>
      <c r="BG260" s="445"/>
      <c r="BH260" s="445"/>
      <c r="BI260" s="445"/>
      <c r="BJ260" s="445"/>
      <c r="BK260" s="445"/>
      <c r="BL260" s="445"/>
      <c r="BM260" s="445"/>
      <c r="BN260" s="445"/>
      <c r="BO260" s="445"/>
      <c r="BP260" s="445"/>
      <c r="BQ260" s="445"/>
      <c r="BR260" s="445"/>
      <c r="BS260" s="445"/>
      <c r="BT260" s="445"/>
      <c r="BU260" s="445"/>
      <c r="BV260" s="445"/>
      <c r="BW260" s="445"/>
      <c r="BX260" s="445"/>
      <c r="BY260" s="445"/>
      <c r="BZ260" s="445"/>
      <c r="CA260" s="445"/>
      <c r="CB260" s="445"/>
      <c r="CC260" s="445"/>
      <c r="CD260" s="445"/>
      <c r="CE260" s="445"/>
      <c r="CF260" s="445"/>
      <c r="CG260" s="445"/>
      <c r="CH260" s="445"/>
      <c r="CI260" s="445"/>
      <c r="CJ260" s="445"/>
      <c r="CK260" s="445"/>
      <c r="CL260" s="445"/>
      <c r="CM260" s="445"/>
      <c r="CN260" s="445"/>
      <c r="CO260" s="445"/>
      <c r="CP260" s="445"/>
      <c r="CQ260" s="445"/>
      <c r="CR260" s="445"/>
      <c r="CS260" s="445"/>
      <c r="CT260" s="445"/>
      <c r="CU260" s="445"/>
      <c r="CV260" s="445"/>
      <c r="CW260" s="445"/>
      <c r="CX260" s="445"/>
      <c r="CY260" s="445"/>
      <c r="CZ260" s="445"/>
      <c r="DA260" s="445"/>
      <c r="DB260" s="445"/>
      <c r="DC260" s="445"/>
      <c r="DD260" s="445"/>
      <c r="DE260" s="445"/>
      <c r="DF260" s="445"/>
      <c r="DG260" s="445"/>
      <c r="DH260" s="445"/>
      <c r="DI260" s="445"/>
      <c r="DJ260" s="445"/>
      <c r="DK260" s="445"/>
      <c r="DL260" s="445"/>
      <c r="DM260" s="445"/>
      <c r="DN260" s="445"/>
      <c r="DO260" s="445"/>
      <c r="DP260" s="445"/>
      <c r="DQ260" s="445"/>
      <c r="DR260" s="445"/>
      <c r="DS260" s="445"/>
      <c r="DT260" s="445"/>
      <c r="DU260" s="445"/>
      <c r="DV260" s="445"/>
      <c r="DW260" s="445"/>
      <c r="DX260" s="445"/>
      <c r="DY260" s="445"/>
      <c r="DZ260" s="445"/>
      <c r="EA260" s="445"/>
      <c r="EB260" s="445"/>
      <c r="EC260" s="445"/>
      <c r="ED260" s="445"/>
      <c r="EE260" s="445"/>
      <c r="EF260" s="445"/>
      <c r="EG260" s="445"/>
      <c r="EH260" s="445"/>
      <c r="EI260" s="445"/>
      <c r="EJ260" s="445"/>
      <c r="EK260" s="445"/>
      <c r="EL260" s="445"/>
      <c r="EM260" s="445"/>
      <c r="EN260" s="445"/>
      <c r="EO260" s="445"/>
      <c r="EP260" s="445"/>
      <c r="EQ260" s="445"/>
      <c r="ER260" s="445"/>
      <c r="ES260" s="445"/>
      <c r="ET260" s="445"/>
      <c r="EU260" s="445"/>
      <c r="EV260" s="445"/>
      <c r="EW260" s="445"/>
      <c r="EX260" s="445"/>
      <c r="EY260" s="445"/>
      <c r="EZ260" s="445"/>
      <c r="FA260" s="445"/>
      <c r="FB260" s="445"/>
      <c r="FC260" s="445"/>
      <c r="FD260" s="445"/>
      <c r="FE260" s="445"/>
      <c r="FF260" s="445"/>
      <c r="FG260" s="445"/>
      <c r="FH260" s="445"/>
      <c r="FI260" s="445"/>
      <c r="FJ260" s="445"/>
      <c r="FK260" s="445"/>
      <c r="FL260" s="445"/>
      <c r="FM260" s="445"/>
      <c r="FN260" s="445"/>
      <c r="FO260" s="445"/>
      <c r="FP260" s="445"/>
      <c r="FQ260" s="445"/>
      <c r="FR260" s="445"/>
      <c r="FS260" s="445"/>
      <c r="FT260" s="445"/>
      <c r="FU260" s="445"/>
      <c r="FV260" s="445"/>
      <c r="FW260" s="445"/>
      <c r="FX260" s="445"/>
      <c r="FY260" s="445"/>
      <c r="FZ260" s="445"/>
      <c r="GA260" s="445"/>
      <c r="GB260" s="445"/>
      <c r="GC260" s="445"/>
      <c r="GD260" s="445"/>
      <c r="GE260" s="445"/>
      <c r="GF260" s="445"/>
      <c r="GG260" s="445"/>
      <c r="GH260" s="445"/>
      <c r="GI260" s="445"/>
      <c r="GJ260" s="445"/>
      <c r="GK260" s="445"/>
      <c r="GL260" s="445"/>
      <c r="GM260" s="445"/>
      <c r="GN260" s="445"/>
      <c r="GO260" s="445"/>
      <c r="GP260" s="445"/>
      <c r="GQ260" s="445"/>
      <c r="GR260" s="445"/>
      <c r="GS260" s="445"/>
      <c r="GT260" s="445"/>
      <c r="GU260" s="445"/>
      <c r="GV260" s="445"/>
      <c r="GW260" s="445"/>
      <c r="GX260" s="445"/>
      <c r="GY260" s="445"/>
      <c r="GZ260" s="445"/>
      <c r="HA260" s="445"/>
      <c r="HB260" s="445"/>
      <c r="HC260" s="445"/>
      <c r="HD260" s="445"/>
      <c r="HE260" s="445"/>
      <c r="HF260" s="445"/>
      <c r="HG260" s="445"/>
      <c r="HH260" s="445"/>
      <c r="HI260" s="445"/>
      <c r="HJ260" s="445"/>
      <c r="HK260" s="445"/>
      <c r="HL260" s="445"/>
      <c r="HM260" s="445"/>
      <c r="HN260" s="445"/>
      <c r="HO260" s="445"/>
      <c r="HP260" s="445"/>
      <c r="HQ260" s="445"/>
      <c r="HR260" s="445"/>
      <c r="HS260" s="445"/>
      <c r="HT260" s="445"/>
      <c r="HU260" s="445"/>
      <c r="HV260" s="445"/>
      <c r="HW260" s="445"/>
      <c r="HX260" s="445"/>
      <c r="HY260" s="445"/>
      <c r="HZ260" s="445"/>
      <c r="IA260" s="445"/>
      <c r="IB260" s="445"/>
      <c r="IC260" s="445"/>
      <c r="ID260" s="445"/>
      <c r="IE260" s="445"/>
      <c r="IF260" s="445"/>
      <c r="IG260" s="445"/>
      <c r="IH260" s="445"/>
      <c r="II260" s="445"/>
      <c r="IJ260" s="445"/>
      <c r="IK260" s="445"/>
      <c r="IL260" s="445"/>
      <c r="IM260" s="445"/>
      <c r="IN260" s="445"/>
      <c r="IO260" s="445"/>
      <c r="IP260" s="445"/>
      <c r="IQ260" s="445"/>
      <c r="IR260" s="445"/>
      <c r="IS260" s="445"/>
      <c r="IT260" s="445"/>
      <c r="IU260" s="445"/>
      <c r="IV260" s="445"/>
      <c r="IW260" s="445"/>
      <c r="IX260" s="445"/>
      <c r="IY260" s="445"/>
      <c r="IZ260" s="445"/>
      <c r="JA260" s="445"/>
      <c r="JB260" s="445"/>
      <c r="JC260" s="445"/>
      <c r="JD260" s="445"/>
      <c r="JE260" s="445"/>
      <c r="JF260" s="445"/>
      <c r="JG260" s="445"/>
      <c r="JH260" s="445"/>
      <c r="JI260" s="445"/>
      <c r="JJ260" s="445"/>
      <c r="JK260" s="445"/>
      <c r="JL260" s="445"/>
      <c r="JM260" s="445"/>
      <c r="JN260" s="445"/>
      <c r="JO260" s="445"/>
      <c r="JP260" s="445"/>
      <c r="JQ260" s="445"/>
      <c r="JR260" s="445"/>
      <c r="JS260" s="445"/>
      <c r="JT260" s="445"/>
      <c r="JU260" s="445"/>
      <c r="JV260" s="445"/>
      <c r="JW260" s="2242"/>
      <c r="JX260" s="445"/>
      <c r="JY260" s="445"/>
      <c r="JZ260" s="445"/>
      <c r="KA260" s="445"/>
      <c r="KB260" s="2242"/>
      <c r="KC260" s="2242"/>
      <c r="KD260" s="2242"/>
      <c r="KE260" s="2242"/>
      <c r="KF260" s="2242"/>
      <c r="KG260" s="2242"/>
      <c r="KH260" s="2242"/>
      <c r="KI260" s="2242"/>
      <c r="KJ260" s="2242"/>
      <c r="KK260" s="2242"/>
      <c r="KL260" s="2242"/>
      <c r="KM260" s="2242"/>
      <c r="KN260" s="2242"/>
      <c r="KO260" s="2242"/>
      <c r="KP260" s="2242"/>
      <c r="KQ260" s="2242"/>
      <c r="KR260" s="2242"/>
      <c r="KS260" s="2242"/>
      <c r="KT260" s="2242"/>
      <c r="KU260" s="2242"/>
      <c r="KV260" s="2242"/>
      <c r="KW260" s="2242"/>
      <c r="KX260" s="2242"/>
      <c r="KY260" s="2242"/>
      <c r="KZ260" s="2242"/>
      <c r="LA260" s="2242"/>
      <c r="LB260" s="2242"/>
      <c r="LC260" s="2242"/>
      <c r="LD260" s="2242"/>
      <c r="LE260" s="2242"/>
      <c r="LF260" s="2242"/>
      <c r="LG260" s="2242"/>
      <c r="LH260" s="2242"/>
      <c r="LI260" s="2242"/>
      <c r="LJ260" s="2242"/>
      <c r="LK260" s="2242"/>
      <c r="LL260" s="2242"/>
      <c r="LM260" s="2242"/>
      <c r="LN260" s="2242"/>
      <c r="LO260" s="2242"/>
      <c r="LP260" s="2242"/>
      <c r="LQ260" s="2242"/>
      <c r="LR260" s="445"/>
      <c r="LS260" s="445"/>
      <c r="LT260" s="445"/>
      <c r="LU260" s="445"/>
      <c r="LV260" s="445"/>
      <c r="LW260" s="445"/>
      <c r="LX260" s="2243"/>
      <c r="LY260" s="445"/>
      <c r="LZ260" s="445"/>
      <c r="MA260" s="445"/>
      <c r="MB260" s="445"/>
      <c r="MC260" s="445"/>
      <c r="MD260" s="445"/>
      <c r="ME260" s="445"/>
      <c r="MF260" s="445"/>
      <c r="MG260" s="445"/>
      <c r="MH260" s="445"/>
      <c r="MI260" s="445"/>
      <c r="MJ260" s="445"/>
      <c r="MK260" s="445"/>
      <c r="ML260" s="445"/>
      <c r="MM260" s="445"/>
      <c r="MN260" s="2243"/>
      <c r="MO260" s="2243"/>
      <c r="MP260" s="445"/>
      <c r="MQ260" s="445"/>
      <c r="MR260" s="445"/>
      <c r="MS260" s="445"/>
      <c r="MT260" s="445"/>
      <c r="MU260" s="445"/>
      <c r="MV260" s="445"/>
      <c r="MW260" s="445"/>
      <c r="MX260" s="445"/>
      <c r="MY260" s="445"/>
      <c r="MZ260" s="445"/>
      <c r="NA260" s="445"/>
      <c r="NB260" s="445"/>
      <c r="NC260" s="445"/>
      <c r="ND260" s="445"/>
      <c r="NE260" s="94"/>
      <c r="NF260" s="94"/>
      <c r="NG260" s="94"/>
      <c r="NH260" s="94"/>
      <c r="NI260" s="94"/>
      <c r="NJ260" s="94"/>
      <c r="NK260" s="94"/>
      <c r="NL260" s="94"/>
      <c r="NM260" s="94"/>
      <c r="NN260" s="94"/>
      <c r="NO260" s="94"/>
      <c r="NP260" s="94"/>
      <c r="NQ260" s="94"/>
      <c r="NR260" s="94"/>
      <c r="NS260" s="94"/>
      <c r="NT260" s="94"/>
      <c r="NU260" s="94"/>
      <c r="NV260" s="94"/>
      <c r="NW260" s="94"/>
      <c r="NX260" s="94"/>
      <c r="NY260" s="94"/>
      <c r="NZ260" s="94"/>
      <c r="OA260" s="94"/>
      <c r="OB260" s="94"/>
      <c r="OC260" s="94"/>
      <c r="OD260" s="94"/>
      <c r="OE260" s="94"/>
      <c r="OF260" s="94"/>
      <c r="OG260" s="94"/>
      <c r="OH260" s="94"/>
      <c r="OI260" s="94"/>
      <c r="OJ260" s="94"/>
      <c r="OK260" s="94"/>
      <c r="OL260" s="94"/>
      <c r="OM260" s="94"/>
      <c r="ON260" s="94"/>
      <c r="OO260" s="94"/>
      <c r="OP260" s="94"/>
      <c r="OQ260" s="94"/>
      <c r="OR260" s="94"/>
      <c r="OS260" s="94"/>
      <c r="OT260" s="94"/>
      <c r="OU260" s="94"/>
      <c r="OV260" s="94"/>
      <c r="OW260" s="94"/>
      <c r="OX260" s="94"/>
      <c r="OY260" s="94"/>
      <c r="OZ260" s="94"/>
      <c r="PA260" s="94"/>
      <c r="PB260" s="94"/>
      <c r="PC260" s="94"/>
      <c r="PD260" s="94"/>
      <c r="PE260" s="94"/>
      <c r="PF260" s="94"/>
      <c r="PG260" s="94"/>
      <c r="PH260" s="94"/>
      <c r="PI260" s="94"/>
      <c r="PJ260" s="94"/>
      <c r="PK260" s="94"/>
      <c r="PL260" s="94"/>
      <c r="PM260" s="94"/>
      <c r="PN260" s="94"/>
      <c r="PO260" s="94"/>
      <c r="PP260" s="94"/>
      <c r="PQ260" s="94"/>
      <c r="PR260" s="94"/>
      <c r="PS260" s="94"/>
      <c r="PT260" s="94"/>
      <c r="PU260" s="94"/>
      <c r="PV260" s="94"/>
      <c r="PW260" s="94"/>
      <c r="PX260" s="94"/>
      <c r="PY260" s="94"/>
      <c r="PZ260" s="94"/>
      <c r="QA260" s="94"/>
      <c r="QB260" s="94"/>
      <c r="QC260" s="94"/>
      <c r="QD260" s="94"/>
      <c r="QE260" s="94"/>
      <c r="QF260" s="94"/>
      <c r="QG260" s="94"/>
      <c r="QH260" s="94"/>
      <c r="QI260" s="94"/>
      <c r="QJ260" s="94"/>
      <c r="QK260" s="94"/>
      <c r="QL260" s="94"/>
      <c r="QM260" s="94"/>
      <c r="QN260" s="94"/>
      <c r="QO260" s="94"/>
      <c r="QP260" s="94"/>
      <c r="QQ260" s="94"/>
      <c r="QR260" s="94"/>
      <c r="QS260" s="94"/>
      <c r="QT260" s="94"/>
      <c r="QU260" s="94"/>
      <c r="QV260" s="94"/>
      <c r="QW260" s="94"/>
      <c r="QX260" s="94"/>
      <c r="QY260" s="94"/>
      <c r="QZ260" s="94"/>
      <c r="RA260" s="94"/>
      <c r="RB260" s="94"/>
      <c r="RC260" s="94"/>
      <c r="RD260" s="94"/>
      <c r="RE260" s="94"/>
      <c r="RF260" s="94"/>
      <c r="RG260" s="94"/>
      <c r="RH260" s="94"/>
      <c r="RI260" s="94"/>
      <c r="RJ260" s="94"/>
      <c r="RK260" s="94"/>
      <c r="RL260" s="94"/>
      <c r="RM260" s="94"/>
      <c r="RN260" s="94"/>
      <c r="RO260" s="94"/>
      <c r="RP260" s="94"/>
      <c r="RQ260" s="94"/>
      <c r="RR260" s="94"/>
      <c r="RS260" s="94"/>
      <c r="RT260" s="94"/>
      <c r="RU260" s="94"/>
      <c r="RV260" s="94"/>
      <c r="RW260" s="94"/>
      <c r="RX260" s="94"/>
      <c r="RY260" s="94"/>
      <c r="RZ260" s="94"/>
      <c r="SA260" s="94"/>
      <c r="SB260" s="94"/>
      <c r="SC260" s="94"/>
      <c r="SD260" s="94"/>
      <c r="SE260" s="94"/>
      <c r="SF260" s="94"/>
      <c r="SG260" s="94"/>
      <c r="SH260" s="94"/>
      <c r="SI260" s="94"/>
    </row>
    <row r="261" spans="1:503" s="90" customFormat="1" ht="14.1" customHeight="1">
      <c r="A261" s="1"/>
      <c r="B261" s="1"/>
      <c r="C261" s="1"/>
      <c r="D261" s="1"/>
      <c r="E261" s="1"/>
      <c r="F261" s="1"/>
      <c r="G261" s="1"/>
      <c r="H261" s="1"/>
      <c r="I261" s="1"/>
      <c r="J261" s="1"/>
      <c r="K261" s="1"/>
      <c r="L261" s="1"/>
      <c r="M261" s="1"/>
      <c r="N261" s="1"/>
      <c r="O261" s="1"/>
      <c r="P261" s="1"/>
      <c r="X261" s="445"/>
      <c r="Y261" s="445"/>
      <c r="Z261" s="445"/>
      <c r="AA261" s="445"/>
      <c r="AB261" s="445"/>
      <c r="AC261" s="445"/>
      <c r="AD261" s="445"/>
      <c r="AE261" s="445"/>
      <c r="AF261" s="445"/>
      <c r="AG261" s="445"/>
      <c r="AH261" s="445"/>
      <c r="AI261" s="445"/>
      <c r="AJ261" s="445"/>
      <c r="AK261" s="445"/>
      <c r="AL261" s="445"/>
      <c r="AM261" s="445"/>
      <c r="AN261" s="445"/>
      <c r="AO261" s="445"/>
      <c r="AP261" s="445"/>
      <c r="AQ261" s="445"/>
      <c r="AR261" s="445"/>
      <c r="AS261" s="445"/>
      <c r="AT261" s="445"/>
      <c r="AU261" s="445"/>
      <c r="AV261" s="445"/>
      <c r="AW261" s="445"/>
      <c r="AX261" s="445"/>
      <c r="AY261" s="445"/>
      <c r="AZ261" s="445"/>
      <c r="BA261" s="445"/>
      <c r="BB261" s="445"/>
      <c r="BC261" s="445"/>
      <c r="BD261" s="445"/>
      <c r="BE261" s="445"/>
      <c r="BF261" s="445"/>
      <c r="BG261" s="445"/>
      <c r="BH261" s="445"/>
      <c r="BI261" s="445"/>
      <c r="BJ261" s="445"/>
      <c r="BK261" s="445"/>
      <c r="BL261" s="445"/>
      <c r="BM261" s="445"/>
      <c r="BN261" s="445"/>
      <c r="BO261" s="445"/>
      <c r="BP261" s="445"/>
      <c r="BQ261" s="445"/>
      <c r="BR261" s="445"/>
      <c r="BS261" s="445"/>
      <c r="BT261" s="445"/>
      <c r="BU261" s="445"/>
      <c r="BV261" s="445"/>
      <c r="BW261" s="445"/>
      <c r="BX261" s="445"/>
      <c r="BY261" s="445"/>
      <c r="BZ261" s="445"/>
      <c r="CA261" s="445"/>
      <c r="CB261" s="445"/>
      <c r="CC261" s="445"/>
      <c r="CD261" s="445"/>
      <c r="CE261" s="445"/>
      <c r="CF261" s="445"/>
      <c r="CG261" s="445"/>
      <c r="CH261" s="445"/>
      <c r="CI261" s="445"/>
      <c r="CJ261" s="445"/>
      <c r="CK261" s="445"/>
      <c r="CL261" s="445"/>
      <c r="CM261" s="445"/>
      <c r="CN261" s="445"/>
      <c r="CO261" s="445"/>
      <c r="CP261" s="445"/>
      <c r="CQ261" s="445"/>
      <c r="CR261" s="445"/>
      <c r="CS261" s="445"/>
      <c r="CT261" s="445"/>
      <c r="CU261" s="445"/>
      <c r="CV261" s="445"/>
      <c r="CW261" s="445"/>
      <c r="CX261" s="445"/>
      <c r="CY261" s="445"/>
      <c r="CZ261" s="445"/>
      <c r="DA261" s="445"/>
      <c r="DB261" s="445"/>
      <c r="DC261" s="445"/>
      <c r="DD261" s="445"/>
      <c r="DE261" s="445"/>
      <c r="DF261" s="445"/>
      <c r="DG261" s="445"/>
      <c r="DH261" s="445"/>
      <c r="DI261" s="445"/>
      <c r="DJ261" s="445"/>
      <c r="DK261" s="445"/>
      <c r="DL261" s="445"/>
      <c r="DM261" s="445"/>
      <c r="DN261" s="445"/>
      <c r="DO261" s="445"/>
      <c r="DP261" s="445"/>
      <c r="DQ261" s="445"/>
      <c r="DR261" s="445"/>
      <c r="DS261" s="445"/>
      <c r="DT261" s="445"/>
      <c r="DU261" s="445"/>
      <c r="DV261" s="445"/>
      <c r="DW261" s="445"/>
      <c r="DX261" s="445"/>
      <c r="DY261" s="445"/>
      <c r="DZ261" s="445"/>
      <c r="EA261" s="445"/>
      <c r="EB261" s="445"/>
      <c r="EC261" s="445"/>
      <c r="ED261" s="445"/>
      <c r="EE261" s="445"/>
      <c r="EF261" s="445"/>
      <c r="EG261" s="445"/>
      <c r="EH261" s="445"/>
      <c r="EI261" s="445"/>
      <c r="EJ261" s="445"/>
      <c r="EK261" s="445"/>
      <c r="EL261" s="445"/>
      <c r="EM261" s="445"/>
      <c r="EN261" s="445"/>
      <c r="EO261" s="445"/>
      <c r="EP261" s="445"/>
      <c r="EQ261" s="445"/>
      <c r="ER261" s="445"/>
      <c r="ES261" s="445"/>
      <c r="ET261" s="445"/>
      <c r="EU261" s="445"/>
      <c r="EV261" s="445"/>
      <c r="EW261" s="445"/>
      <c r="EX261" s="445"/>
      <c r="EY261" s="445"/>
      <c r="EZ261" s="445"/>
      <c r="FA261" s="445"/>
      <c r="FB261" s="445"/>
      <c r="FC261" s="445"/>
      <c r="FD261" s="445"/>
      <c r="FE261" s="445"/>
      <c r="FF261" s="445"/>
      <c r="FG261" s="445"/>
      <c r="FH261" s="445"/>
      <c r="FI261" s="445"/>
      <c r="FJ261" s="445"/>
      <c r="FK261" s="445"/>
      <c r="FL261" s="445"/>
      <c r="FM261" s="445"/>
      <c r="FN261" s="445"/>
      <c r="FO261" s="445"/>
      <c r="FP261" s="445"/>
      <c r="FQ261" s="445"/>
      <c r="FR261" s="445"/>
      <c r="FS261" s="445"/>
      <c r="FT261" s="445"/>
      <c r="FU261" s="445"/>
      <c r="FV261" s="445"/>
      <c r="FW261" s="445"/>
      <c r="FX261" s="445"/>
      <c r="FY261" s="445"/>
      <c r="FZ261" s="445"/>
      <c r="GA261" s="445"/>
      <c r="GB261" s="445"/>
      <c r="GC261" s="445"/>
      <c r="GD261" s="445"/>
      <c r="GE261" s="445"/>
      <c r="GF261" s="445"/>
      <c r="GG261" s="445"/>
      <c r="GH261" s="445"/>
      <c r="GI261" s="445"/>
      <c r="GJ261" s="445"/>
      <c r="GK261" s="445"/>
      <c r="GL261" s="445"/>
      <c r="GM261" s="445"/>
      <c r="GN261" s="445"/>
      <c r="GO261" s="445"/>
      <c r="GP261" s="445"/>
      <c r="GQ261" s="445"/>
      <c r="GR261" s="445"/>
      <c r="GS261" s="445"/>
      <c r="GT261" s="445"/>
      <c r="GU261" s="445"/>
      <c r="GV261" s="445"/>
      <c r="GW261" s="445"/>
      <c r="GX261" s="445"/>
      <c r="GY261" s="445"/>
      <c r="GZ261" s="445"/>
      <c r="HA261" s="445"/>
      <c r="HB261" s="445"/>
      <c r="HC261" s="445"/>
      <c r="HD261" s="445"/>
      <c r="HE261" s="445"/>
      <c r="HF261" s="445"/>
      <c r="HG261" s="445"/>
      <c r="HH261" s="445"/>
      <c r="HI261" s="445"/>
      <c r="HJ261" s="445"/>
      <c r="HK261" s="445"/>
      <c r="HL261" s="445"/>
      <c r="HM261" s="445"/>
      <c r="HN261" s="445"/>
      <c r="HO261" s="445"/>
      <c r="HP261" s="445"/>
      <c r="HQ261" s="445"/>
      <c r="HR261" s="445"/>
      <c r="HS261" s="445"/>
      <c r="HT261" s="445"/>
      <c r="HU261" s="445"/>
      <c r="HV261" s="445"/>
      <c r="HW261" s="445"/>
      <c r="HX261" s="445"/>
      <c r="HY261" s="445"/>
      <c r="HZ261" s="445"/>
      <c r="IA261" s="445"/>
      <c r="IB261" s="445"/>
      <c r="IC261" s="445"/>
      <c r="ID261" s="445"/>
      <c r="IE261" s="445"/>
      <c r="IF261" s="445"/>
      <c r="IG261" s="445"/>
      <c r="IH261" s="445"/>
      <c r="II261" s="445"/>
      <c r="IJ261" s="445"/>
      <c r="IK261" s="445"/>
      <c r="IL261" s="445"/>
      <c r="IM261" s="445"/>
      <c r="IN261" s="445"/>
      <c r="IO261" s="445"/>
      <c r="IP261" s="445"/>
      <c r="IQ261" s="445"/>
      <c r="IR261" s="445"/>
      <c r="IS261" s="445"/>
      <c r="IT261" s="445"/>
      <c r="IU261" s="445"/>
      <c r="IV261" s="445"/>
      <c r="IW261" s="445"/>
      <c r="IX261" s="445"/>
      <c r="IY261" s="445"/>
      <c r="IZ261" s="445"/>
      <c r="JA261" s="445"/>
      <c r="JB261" s="445"/>
      <c r="JC261" s="445"/>
      <c r="JD261" s="445"/>
      <c r="JE261" s="445"/>
      <c r="JF261" s="445"/>
      <c r="JG261" s="445"/>
      <c r="JH261" s="445"/>
      <c r="JI261" s="445"/>
      <c r="JJ261" s="445"/>
      <c r="JK261" s="445"/>
      <c r="JL261" s="445"/>
      <c r="JM261" s="445"/>
      <c r="JN261" s="445"/>
      <c r="JO261" s="445"/>
      <c r="JP261" s="445"/>
      <c r="JQ261" s="445"/>
      <c r="JR261" s="445"/>
      <c r="JS261" s="445"/>
      <c r="JT261" s="445"/>
      <c r="JU261" s="445"/>
      <c r="JV261" s="445"/>
      <c r="JW261" s="2242"/>
      <c r="JX261" s="445"/>
      <c r="JY261" s="445"/>
      <c r="JZ261" s="445"/>
      <c r="KA261" s="445"/>
      <c r="KB261" s="2242"/>
      <c r="KC261" s="2242"/>
      <c r="KD261" s="2242"/>
      <c r="KE261" s="2242"/>
      <c r="KF261" s="2242"/>
      <c r="KG261" s="2242"/>
      <c r="KH261" s="2242"/>
      <c r="KI261" s="2242"/>
      <c r="KJ261" s="2242"/>
      <c r="KK261" s="2242"/>
      <c r="KL261" s="2242"/>
      <c r="KM261" s="2242"/>
      <c r="KN261" s="2242"/>
      <c r="KO261" s="2242"/>
      <c r="KP261" s="2242"/>
      <c r="KQ261" s="2242"/>
      <c r="KR261" s="2242"/>
      <c r="KS261" s="2242"/>
      <c r="KT261" s="2242"/>
      <c r="KU261" s="2242"/>
      <c r="KV261" s="2242"/>
      <c r="KW261" s="2242"/>
      <c r="KX261" s="2242"/>
      <c r="KY261" s="2242"/>
      <c r="KZ261" s="2242"/>
      <c r="LA261" s="2242"/>
      <c r="LB261" s="2242"/>
      <c r="LC261" s="2242"/>
      <c r="LD261" s="2242"/>
      <c r="LE261" s="2242"/>
      <c r="LF261" s="2242"/>
      <c r="LG261" s="2242"/>
      <c r="LH261" s="2242"/>
      <c r="LI261" s="2242"/>
      <c r="LJ261" s="2242"/>
      <c r="LK261" s="2242"/>
      <c r="LL261" s="2242"/>
      <c r="LM261" s="2242"/>
      <c r="LN261" s="2242"/>
      <c r="LO261" s="2242"/>
      <c r="LP261" s="2242"/>
      <c r="LQ261" s="2242"/>
      <c r="LR261" s="445"/>
      <c r="LS261" s="445"/>
      <c r="LT261" s="445"/>
      <c r="LU261" s="445"/>
      <c r="LV261" s="445"/>
      <c r="LW261" s="445"/>
      <c r="LX261" s="2243"/>
      <c r="LY261" s="445"/>
      <c r="LZ261" s="445"/>
      <c r="MA261" s="445"/>
      <c r="MB261" s="445"/>
      <c r="MC261" s="445"/>
      <c r="MD261" s="445"/>
      <c r="ME261" s="445"/>
      <c r="MF261" s="445"/>
      <c r="MG261" s="445"/>
      <c r="MH261" s="445"/>
      <c r="MI261" s="445"/>
      <c r="MJ261" s="445"/>
      <c r="MK261" s="445"/>
      <c r="ML261" s="445"/>
      <c r="MM261" s="445"/>
      <c r="MN261" s="2243"/>
      <c r="MO261" s="2243"/>
      <c r="MP261" s="445"/>
      <c r="MQ261" s="445"/>
      <c r="MR261" s="445"/>
      <c r="MS261" s="445"/>
      <c r="MT261" s="445"/>
      <c r="MU261" s="445"/>
      <c r="MV261" s="445"/>
      <c r="MW261" s="445"/>
      <c r="MX261" s="445"/>
      <c r="MY261" s="445"/>
      <c r="MZ261" s="445"/>
      <c r="NA261" s="445"/>
      <c r="NB261" s="445"/>
      <c r="NC261" s="445"/>
      <c r="ND261" s="445"/>
      <c r="NE261" s="94"/>
      <c r="NF261" s="94"/>
      <c r="NG261" s="94"/>
      <c r="NH261" s="94"/>
      <c r="NI261" s="94"/>
      <c r="NJ261" s="94"/>
      <c r="NK261" s="94"/>
      <c r="NL261" s="94"/>
      <c r="NM261" s="94"/>
      <c r="NN261" s="94"/>
      <c r="NO261" s="94"/>
      <c r="NP261" s="94"/>
      <c r="NQ261" s="94"/>
      <c r="NR261" s="94"/>
      <c r="NS261" s="94"/>
      <c r="NT261" s="94"/>
      <c r="NU261" s="94"/>
      <c r="NV261" s="94"/>
      <c r="NW261" s="94"/>
      <c r="NX261" s="94"/>
      <c r="NY261" s="94"/>
      <c r="NZ261" s="94"/>
      <c r="OA261" s="94"/>
      <c r="OB261" s="94"/>
      <c r="OC261" s="94"/>
      <c r="OD261" s="94"/>
      <c r="OE261" s="94"/>
      <c r="OF261" s="94"/>
      <c r="OG261" s="94"/>
      <c r="OH261" s="94"/>
      <c r="OI261" s="94"/>
      <c r="OJ261" s="94"/>
      <c r="OK261" s="94"/>
      <c r="OL261" s="94"/>
      <c r="OM261" s="94"/>
      <c r="ON261" s="94"/>
      <c r="OO261" s="94"/>
      <c r="OP261" s="94"/>
      <c r="OQ261" s="94"/>
      <c r="OR261" s="94"/>
      <c r="OS261" s="94"/>
      <c r="OT261" s="94"/>
      <c r="OU261" s="94"/>
      <c r="OV261" s="94"/>
      <c r="OW261" s="94"/>
      <c r="OX261" s="94"/>
      <c r="OY261" s="94"/>
      <c r="OZ261" s="94"/>
      <c r="PA261" s="94"/>
      <c r="PB261" s="94"/>
      <c r="PC261" s="94"/>
      <c r="PD261" s="94"/>
      <c r="PE261" s="94"/>
      <c r="PF261" s="94"/>
      <c r="PG261" s="94"/>
      <c r="PH261" s="94"/>
      <c r="PI261" s="94"/>
      <c r="PJ261" s="94"/>
      <c r="PK261" s="94"/>
      <c r="PL261" s="94"/>
      <c r="PM261" s="94"/>
      <c r="PN261" s="94"/>
      <c r="PO261" s="94"/>
      <c r="PP261" s="94"/>
      <c r="PQ261" s="94"/>
      <c r="PR261" s="94"/>
      <c r="PS261" s="94"/>
      <c r="PT261" s="94"/>
      <c r="PU261" s="94"/>
      <c r="PV261" s="94"/>
      <c r="PW261" s="94"/>
      <c r="PX261" s="94"/>
      <c r="PY261" s="94"/>
      <c r="PZ261" s="94"/>
      <c r="QA261" s="94"/>
      <c r="QB261" s="94"/>
      <c r="QC261" s="94"/>
      <c r="QD261" s="94"/>
      <c r="QE261" s="94"/>
      <c r="QF261" s="94"/>
      <c r="QG261" s="94"/>
      <c r="QH261" s="94"/>
      <c r="QI261" s="94"/>
      <c r="QJ261" s="94"/>
      <c r="QK261" s="94"/>
      <c r="QL261" s="94"/>
      <c r="QM261" s="94"/>
      <c r="QN261" s="94"/>
      <c r="QO261" s="94"/>
      <c r="QP261" s="94"/>
      <c r="QQ261" s="94"/>
      <c r="QR261" s="94"/>
      <c r="QS261" s="94"/>
      <c r="QT261" s="94"/>
      <c r="QU261" s="94"/>
      <c r="QV261" s="94"/>
      <c r="QW261" s="94"/>
      <c r="QX261" s="94"/>
      <c r="QY261" s="94"/>
      <c r="QZ261" s="94"/>
      <c r="RA261" s="94"/>
      <c r="RB261" s="94"/>
      <c r="RC261" s="94"/>
      <c r="RD261" s="94"/>
      <c r="RE261" s="94"/>
      <c r="RF261" s="94"/>
      <c r="RG261" s="94"/>
      <c r="RH261" s="94"/>
      <c r="RI261" s="94"/>
      <c r="RJ261" s="94"/>
      <c r="RK261" s="94"/>
      <c r="RL261" s="94"/>
      <c r="RM261" s="94"/>
      <c r="RN261" s="94"/>
      <c r="RO261" s="94"/>
      <c r="RP261" s="94"/>
      <c r="RQ261" s="94"/>
      <c r="RR261" s="94"/>
      <c r="RS261" s="94"/>
      <c r="RT261" s="94"/>
      <c r="RU261" s="94"/>
      <c r="RV261" s="94"/>
      <c r="RW261" s="94"/>
      <c r="RX261" s="94"/>
      <c r="RY261" s="94"/>
      <c r="RZ261" s="94"/>
      <c r="SA261" s="94"/>
      <c r="SB261" s="94"/>
      <c r="SC261" s="94"/>
      <c r="SD261" s="94"/>
      <c r="SE261" s="94"/>
      <c r="SF261" s="94"/>
      <c r="SG261" s="94"/>
      <c r="SH261" s="94"/>
      <c r="SI261" s="94"/>
    </row>
    <row r="262" spans="1:503" s="90" customFormat="1" ht="14.1" customHeight="1">
      <c r="A262" s="1"/>
      <c r="B262" s="1"/>
      <c r="C262" s="1"/>
      <c r="D262" s="1"/>
      <c r="E262" s="1"/>
      <c r="F262" s="1"/>
      <c r="G262" s="1"/>
      <c r="H262" s="1"/>
      <c r="I262" s="1"/>
      <c r="J262" s="1"/>
      <c r="K262" s="1"/>
      <c r="L262" s="1"/>
      <c r="M262" s="1"/>
      <c r="N262" s="1"/>
      <c r="O262" s="1"/>
      <c r="P262" s="1"/>
      <c r="X262" s="445"/>
      <c r="Y262" s="445"/>
      <c r="Z262" s="445"/>
      <c r="AA262" s="445"/>
      <c r="AB262" s="445"/>
      <c r="AC262" s="445"/>
      <c r="AD262" s="445"/>
      <c r="AE262" s="445"/>
      <c r="AF262" s="445"/>
      <c r="AG262" s="445"/>
      <c r="AH262" s="445"/>
      <c r="AI262" s="445"/>
      <c r="AJ262" s="445"/>
      <c r="AK262" s="445"/>
      <c r="AL262" s="445"/>
      <c r="AM262" s="445"/>
      <c r="AN262" s="445"/>
      <c r="AO262" s="445"/>
      <c r="AP262" s="445"/>
      <c r="AQ262" s="445"/>
      <c r="AR262" s="445"/>
      <c r="AS262" s="445"/>
      <c r="AT262" s="445"/>
      <c r="AU262" s="445"/>
      <c r="AV262" s="445"/>
      <c r="AW262" s="445"/>
      <c r="AX262" s="445"/>
      <c r="AY262" s="445"/>
      <c r="AZ262" s="445"/>
      <c r="BA262" s="445"/>
      <c r="BB262" s="445"/>
      <c r="BC262" s="445"/>
      <c r="BD262" s="445"/>
      <c r="BE262" s="445"/>
      <c r="BF262" s="445"/>
      <c r="BG262" s="445"/>
      <c r="BH262" s="445"/>
      <c r="BI262" s="445"/>
      <c r="BJ262" s="445"/>
      <c r="BK262" s="445"/>
      <c r="BL262" s="445"/>
      <c r="BM262" s="445"/>
      <c r="BN262" s="445"/>
      <c r="BO262" s="445"/>
      <c r="BP262" s="445"/>
      <c r="BQ262" s="445"/>
      <c r="BR262" s="445"/>
      <c r="BS262" s="445"/>
      <c r="BT262" s="445"/>
      <c r="BU262" s="445"/>
      <c r="BV262" s="445"/>
      <c r="BW262" s="445"/>
      <c r="BX262" s="445"/>
      <c r="BY262" s="445"/>
      <c r="BZ262" s="445"/>
      <c r="CA262" s="445"/>
      <c r="CB262" s="445"/>
      <c r="CC262" s="445"/>
      <c r="CD262" s="445"/>
      <c r="CE262" s="445"/>
      <c r="CF262" s="445"/>
      <c r="CG262" s="445"/>
      <c r="CH262" s="445"/>
      <c r="CI262" s="445"/>
      <c r="CJ262" s="445"/>
      <c r="CK262" s="445"/>
      <c r="CL262" s="445"/>
      <c r="CM262" s="445"/>
      <c r="CN262" s="445"/>
      <c r="CO262" s="445"/>
      <c r="CP262" s="445"/>
      <c r="CQ262" s="445"/>
      <c r="CR262" s="445"/>
      <c r="CS262" s="445"/>
      <c r="CT262" s="445"/>
      <c r="CU262" s="445"/>
      <c r="CV262" s="445"/>
      <c r="CW262" s="445"/>
      <c r="CX262" s="445"/>
      <c r="CY262" s="445"/>
      <c r="CZ262" s="445"/>
      <c r="DA262" s="445"/>
      <c r="DB262" s="445"/>
      <c r="DC262" s="445"/>
      <c r="DD262" s="445"/>
      <c r="DE262" s="445"/>
      <c r="DF262" s="445"/>
      <c r="DG262" s="445"/>
      <c r="DH262" s="445"/>
      <c r="DI262" s="445"/>
      <c r="DJ262" s="445"/>
      <c r="DK262" s="445"/>
      <c r="DL262" s="445"/>
      <c r="DM262" s="445"/>
      <c r="DN262" s="445"/>
      <c r="DO262" s="445"/>
      <c r="DP262" s="445"/>
      <c r="DQ262" s="445"/>
      <c r="DR262" s="445"/>
      <c r="DS262" s="445"/>
      <c r="DT262" s="445"/>
      <c r="DU262" s="445"/>
      <c r="DV262" s="445"/>
      <c r="DW262" s="445"/>
      <c r="DX262" s="445"/>
      <c r="DY262" s="445"/>
      <c r="DZ262" s="445"/>
      <c r="EA262" s="445"/>
      <c r="EB262" s="445"/>
      <c r="EC262" s="445"/>
      <c r="ED262" s="445"/>
      <c r="EE262" s="445"/>
      <c r="EF262" s="445"/>
      <c r="EG262" s="445"/>
      <c r="EH262" s="445"/>
      <c r="EI262" s="445"/>
      <c r="EJ262" s="445"/>
      <c r="EK262" s="445"/>
      <c r="EL262" s="445"/>
      <c r="EM262" s="445"/>
      <c r="EN262" s="445"/>
      <c r="EO262" s="445"/>
      <c r="EP262" s="445"/>
      <c r="EQ262" s="445"/>
      <c r="ER262" s="445"/>
      <c r="ES262" s="445"/>
      <c r="ET262" s="445"/>
      <c r="EU262" s="445"/>
      <c r="EV262" s="445"/>
      <c r="EW262" s="445"/>
      <c r="EX262" s="445"/>
      <c r="EY262" s="445"/>
      <c r="EZ262" s="445"/>
      <c r="FA262" s="445"/>
      <c r="FB262" s="445"/>
      <c r="FC262" s="445"/>
      <c r="FD262" s="445"/>
      <c r="FE262" s="445"/>
      <c r="FF262" s="445"/>
      <c r="FG262" s="445"/>
      <c r="FH262" s="445"/>
      <c r="FI262" s="445"/>
      <c r="FJ262" s="445"/>
      <c r="FK262" s="445"/>
      <c r="FL262" s="445"/>
      <c r="FM262" s="445"/>
      <c r="FN262" s="445"/>
      <c r="FO262" s="445"/>
      <c r="FP262" s="445"/>
      <c r="FQ262" s="445"/>
      <c r="FR262" s="445"/>
      <c r="FS262" s="445"/>
      <c r="FT262" s="445"/>
      <c r="FU262" s="445"/>
      <c r="FV262" s="445"/>
      <c r="FW262" s="445"/>
      <c r="FX262" s="445"/>
      <c r="FY262" s="445"/>
      <c r="FZ262" s="445"/>
      <c r="GA262" s="445"/>
      <c r="GB262" s="445"/>
      <c r="GC262" s="445"/>
      <c r="GD262" s="445"/>
      <c r="GE262" s="445"/>
      <c r="GF262" s="445"/>
      <c r="GG262" s="445"/>
      <c r="GH262" s="445"/>
      <c r="GI262" s="445"/>
      <c r="GJ262" s="445"/>
      <c r="GK262" s="445"/>
      <c r="GL262" s="445"/>
      <c r="GM262" s="445"/>
      <c r="GN262" s="445"/>
      <c r="GO262" s="445"/>
      <c r="GP262" s="445"/>
      <c r="GQ262" s="445"/>
      <c r="GR262" s="445"/>
      <c r="GS262" s="445"/>
      <c r="GT262" s="445"/>
      <c r="GU262" s="445"/>
      <c r="GV262" s="445"/>
      <c r="GW262" s="445"/>
      <c r="GX262" s="445"/>
      <c r="GY262" s="445"/>
      <c r="GZ262" s="445"/>
      <c r="HA262" s="445"/>
      <c r="HB262" s="445"/>
      <c r="HC262" s="445"/>
      <c r="HD262" s="445"/>
      <c r="HE262" s="445"/>
      <c r="HF262" s="445"/>
      <c r="HG262" s="445"/>
      <c r="HH262" s="445"/>
      <c r="HI262" s="445"/>
      <c r="HJ262" s="445"/>
      <c r="HK262" s="445"/>
      <c r="HL262" s="445"/>
      <c r="HM262" s="445"/>
      <c r="HN262" s="445"/>
      <c r="HO262" s="445"/>
      <c r="HP262" s="445"/>
      <c r="HQ262" s="445"/>
      <c r="HR262" s="445"/>
      <c r="HS262" s="445"/>
      <c r="HT262" s="445"/>
      <c r="HU262" s="445"/>
      <c r="HV262" s="445"/>
      <c r="HW262" s="445"/>
      <c r="HX262" s="445"/>
      <c r="HY262" s="445"/>
      <c r="HZ262" s="445"/>
      <c r="IA262" s="445"/>
      <c r="IB262" s="445"/>
      <c r="IC262" s="445"/>
      <c r="ID262" s="445"/>
      <c r="IE262" s="445"/>
      <c r="IF262" s="445"/>
      <c r="IG262" s="445"/>
      <c r="IH262" s="445"/>
      <c r="II262" s="445"/>
      <c r="IJ262" s="445"/>
      <c r="IK262" s="445"/>
      <c r="IL262" s="445"/>
      <c r="IM262" s="445"/>
      <c r="IN262" s="445"/>
      <c r="IO262" s="445"/>
      <c r="IP262" s="445"/>
      <c r="IQ262" s="445"/>
      <c r="IR262" s="445"/>
      <c r="IS262" s="445"/>
      <c r="IT262" s="445"/>
      <c r="IU262" s="445"/>
      <c r="IV262" s="445"/>
      <c r="IW262" s="445"/>
      <c r="IX262" s="445"/>
      <c r="IY262" s="445"/>
      <c r="IZ262" s="445"/>
      <c r="JA262" s="445"/>
      <c r="JB262" s="445"/>
      <c r="JC262" s="445"/>
      <c r="JD262" s="445"/>
      <c r="JE262" s="445"/>
      <c r="JF262" s="445"/>
      <c r="JG262" s="445"/>
      <c r="JH262" s="445"/>
      <c r="JI262" s="445"/>
      <c r="JJ262" s="445"/>
      <c r="JK262" s="445"/>
      <c r="JL262" s="445"/>
      <c r="JM262" s="445"/>
      <c r="JN262" s="445"/>
      <c r="JO262" s="445"/>
      <c r="JP262" s="445"/>
      <c r="JQ262" s="445"/>
      <c r="JR262" s="445"/>
      <c r="JS262" s="445"/>
      <c r="JT262" s="445"/>
      <c r="JU262" s="445"/>
      <c r="JV262" s="445"/>
      <c r="JW262" s="2242"/>
      <c r="JX262" s="445"/>
      <c r="JY262" s="445"/>
      <c r="JZ262" s="445"/>
      <c r="KA262" s="445"/>
      <c r="KB262" s="2242"/>
      <c r="KC262" s="2242"/>
      <c r="KD262" s="2242"/>
      <c r="KE262" s="2242"/>
      <c r="KF262" s="2242"/>
      <c r="KG262" s="2242"/>
      <c r="KH262" s="2242"/>
      <c r="KI262" s="2242"/>
      <c r="KJ262" s="2242"/>
      <c r="KK262" s="2242"/>
      <c r="KL262" s="2242"/>
      <c r="KM262" s="2242"/>
      <c r="KN262" s="2242"/>
      <c r="KO262" s="2242"/>
      <c r="KP262" s="2242"/>
      <c r="KQ262" s="2242"/>
      <c r="KR262" s="2242"/>
      <c r="KS262" s="2242"/>
      <c r="KT262" s="2242"/>
      <c r="KU262" s="2242"/>
      <c r="KV262" s="2242"/>
      <c r="KW262" s="2242"/>
      <c r="KX262" s="2242"/>
      <c r="KY262" s="2242"/>
      <c r="KZ262" s="2242"/>
      <c r="LA262" s="2242"/>
      <c r="LB262" s="2242"/>
      <c r="LC262" s="2242"/>
      <c r="LD262" s="2242"/>
      <c r="LE262" s="2242"/>
      <c r="LF262" s="2242"/>
      <c r="LG262" s="2242"/>
      <c r="LH262" s="2242"/>
      <c r="LI262" s="2242"/>
      <c r="LJ262" s="2242"/>
      <c r="LK262" s="2242"/>
      <c r="LL262" s="2242"/>
      <c r="LM262" s="2242"/>
      <c r="LN262" s="2242"/>
      <c r="LO262" s="2242"/>
      <c r="LP262" s="2242"/>
      <c r="LQ262" s="2242"/>
      <c r="LR262" s="445"/>
      <c r="LS262" s="445"/>
      <c r="LT262" s="445"/>
      <c r="LU262" s="445"/>
      <c r="LV262" s="445"/>
      <c r="LW262" s="445"/>
      <c r="LX262" s="2243"/>
      <c r="LY262" s="445"/>
      <c r="LZ262" s="445"/>
      <c r="MA262" s="445"/>
      <c r="MB262" s="445"/>
      <c r="MC262" s="445"/>
      <c r="MD262" s="445"/>
      <c r="ME262" s="445"/>
      <c r="MF262" s="445"/>
      <c r="MG262" s="445"/>
      <c r="MH262" s="445"/>
      <c r="MI262" s="445"/>
      <c r="MJ262" s="445"/>
      <c r="MK262" s="445"/>
      <c r="ML262" s="445"/>
      <c r="MM262" s="445"/>
      <c r="MN262" s="2243"/>
      <c r="MO262" s="2243"/>
      <c r="MP262" s="445"/>
      <c r="MQ262" s="445"/>
      <c r="MR262" s="445"/>
      <c r="MS262" s="445"/>
      <c r="MT262" s="445"/>
      <c r="MU262" s="445"/>
      <c r="MV262" s="445"/>
      <c r="MW262" s="445"/>
      <c r="MX262" s="445"/>
      <c r="MY262" s="445"/>
      <c r="MZ262" s="445"/>
      <c r="NA262" s="445"/>
      <c r="NB262" s="445"/>
      <c r="NC262" s="445"/>
      <c r="ND262" s="445"/>
      <c r="NE262" s="94"/>
      <c r="NF262" s="94"/>
      <c r="NG262" s="94"/>
      <c r="NH262" s="94"/>
      <c r="NI262" s="94"/>
      <c r="NJ262" s="94"/>
      <c r="NK262" s="94"/>
      <c r="NL262" s="94"/>
      <c r="NM262" s="94"/>
      <c r="NN262" s="94"/>
      <c r="NO262" s="94"/>
      <c r="NP262" s="94"/>
      <c r="NQ262" s="94"/>
      <c r="NR262" s="94"/>
      <c r="NS262" s="94"/>
      <c r="NT262" s="94"/>
      <c r="NU262" s="94"/>
      <c r="NV262" s="94"/>
      <c r="NW262" s="94"/>
      <c r="NX262" s="94"/>
      <c r="NY262" s="94"/>
      <c r="NZ262" s="94"/>
      <c r="OA262" s="94"/>
      <c r="OB262" s="94"/>
      <c r="OC262" s="94"/>
      <c r="OD262" s="94"/>
      <c r="OE262" s="94"/>
      <c r="OF262" s="94"/>
      <c r="OG262" s="94"/>
      <c r="OH262" s="94"/>
      <c r="OI262" s="94"/>
      <c r="OJ262" s="94"/>
      <c r="OK262" s="94"/>
      <c r="OL262" s="94"/>
      <c r="OM262" s="94"/>
      <c r="ON262" s="94"/>
      <c r="OO262" s="94"/>
      <c r="OP262" s="94"/>
      <c r="OQ262" s="94"/>
      <c r="OR262" s="94"/>
      <c r="OS262" s="94"/>
      <c r="OT262" s="94"/>
      <c r="OU262" s="94"/>
      <c r="OV262" s="94"/>
      <c r="OW262" s="94"/>
      <c r="OX262" s="94"/>
      <c r="OY262" s="94"/>
      <c r="OZ262" s="94"/>
      <c r="PA262" s="94"/>
      <c r="PB262" s="94"/>
      <c r="PC262" s="94"/>
      <c r="PD262" s="94"/>
      <c r="PE262" s="94"/>
      <c r="PF262" s="94"/>
      <c r="PG262" s="94"/>
      <c r="PH262" s="94"/>
      <c r="PI262" s="94"/>
      <c r="PJ262" s="94"/>
      <c r="PK262" s="94"/>
      <c r="PL262" s="94"/>
      <c r="PM262" s="94"/>
      <c r="PN262" s="94"/>
      <c r="PO262" s="94"/>
      <c r="PP262" s="94"/>
      <c r="PQ262" s="94"/>
      <c r="PR262" s="94"/>
      <c r="PS262" s="94"/>
      <c r="PT262" s="94"/>
      <c r="PU262" s="94"/>
      <c r="PV262" s="94"/>
      <c r="PW262" s="94"/>
      <c r="PX262" s="94"/>
      <c r="PY262" s="94"/>
      <c r="PZ262" s="94"/>
      <c r="QA262" s="94"/>
      <c r="QB262" s="94"/>
      <c r="QC262" s="94"/>
      <c r="QD262" s="94"/>
      <c r="QE262" s="94"/>
      <c r="QF262" s="94"/>
      <c r="QG262" s="94"/>
      <c r="QH262" s="94"/>
      <c r="QI262" s="94"/>
      <c r="QJ262" s="94"/>
      <c r="QK262" s="94"/>
      <c r="QL262" s="94"/>
      <c r="QM262" s="94"/>
      <c r="QN262" s="94"/>
      <c r="QO262" s="94"/>
      <c r="QP262" s="94"/>
      <c r="QQ262" s="94"/>
      <c r="QR262" s="94"/>
      <c r="QS262" s="94"/>
      <c r="QT262" s="94"/>
      <c r="QU262" s="94"/>
      <c r="QV262" s="94"/>
      <c r="QW262" s="94"/>
      <c r="QX262" s="94"/>
      <c r="QY262" s="94"/>
      <c r="QZ262" s="94"/>
      <c r="RA262" s="94"/>
      <c r="RB262" s="94"/>
      <c r="RC262" s="94"/>
      <c r="RD262" s="94"/>
      <c r="RE262" s="94"/>
      <c r="RF262" s="94"/>
      <c r="RG262" s="94"/>
      <c r="RH262" s="94"/>
      <c r="RI262" s="94"/>
      <c r="RJ262" s="94"/>
      <c r="RK262" s="94"/>
      <c r="RL262" s="94"/>
      <c r="RM262" s="94"/>
      <c r="RN262" s="94"/>
      <c r="RO262" s="94"/>
      <c r="RP262" s="94"/>
      <c r="RQ262" s="94"/>
      <c r="RR262" s="94"/>
      <c r="RS262" s="94"/>
      <c r="RT262" s="94"/>
      <c r="RU262" s="94"/>
      <c r="RV262" s="94"/>
      <c r="RW262" s="94"/>
      <c r="RX262" s="94"/>
      <c r="RY262" s="94"/>
      <c r="RZ262" s="94"/>
      <c r="SA262" s="94"/>
      <c r="SB262" s="94"/>
      <c r="SC262" s="94"/>
      <c r="SD262" s="94"/>
      <c r="SE262" s="94"/>
      <c r="SF262" s="94"/>
      <c r="SG262" s="94"/>
      <c r="SH262" s="94"/>
      <c r="SI262" s="94"/>
    </row>
    <row r="263" spans="1:503" s="90" customFormat="1" ht="14.1" customHeight="1">
      <c r="A263" s="32"/>
      <c r="B263" s="1"/>
      <c r="C263" s="1"/>
      <c r="D263" s="1"/>
      <c r="E263" s="1"/>
      <c r="F263" s="1"/>
      <c r="G263" s="1"/>
      <c r="H263" s="1"/>
      <c r="I263" s="1"/>
      <c r="J263" s="1"/>
      <c r="K263" s="1"/>
      <c r="L263" s="1"/>
      <c r="M263" s="1"/>
      <c r="N263" s="1"/>
      <c r="O263" s="1"/>
      <c r="P263" s="1"/>
      <c r="X263" s="445"/>
      <c r="Y263" s="445"/>
      <c r="Z263" s="445"/>
      <c r="AA263" s="445"/>
      <c r="AB263" s="445"/>
      <c r="AC263" s="445"/>
      <c r="AD263" s="445"/>
      <c r="AE263" s="445"/>
      <c r="AF263" s="445"/>
      <c r="AG263" s="445"/>
      <c r="AH263" s="445"/>
      <c r="AI263" s="445"/>
      <c r="AJ263" s="445"/>
      <c r="AK263" s="445"/>
      <c r="AL263" s="445"/>
      <c r="AM263" s="445"/>
      <c r="AN263" s="445"/>
      <c r="AO263" s="445"/>
      <c r="AP263" s="445"/>
      <c r="AQ263" s="445"/>
      <c r="AR263" s="445"/>
      <c r="AS263" s="445"/>
      <c r="AT263" s="445"/>
      <c r="AU263" s="445"/>
      <c r="AV263" s="445"/>
      <c r="AW263" s="445"/>
      <c r="AX263" s="445"/>
      <c r="AY263" s="445"/>
      <c r="AZ263" s="445"/>
      <c r="BA263" s="445"/>
      <c r="BB263" s="445"/>
      <c r="BC263" s="445"/>
      <c r="BD263" s="445"/>
      <c r="BE263" s="445"/>
      <c r="BF263" s="445"/>
      <c r="BG263" s="445"/>
      <c r="BH263" s="445"/>
      <c r="BI263" s="445"/>
      <c r="BJ263" s="445"/>
      <c r="BK263" s="445"/>
      <c r="BL263" s="445"/>
      <c r="BM263" s="445"/>
      <c r="BN263" s="445"/>
      <c r="BO263" s="445"/>
      <c r="BP263" s="445"/>
      <c r="BQ263" s="445"/>
      <c r="BR263" s="445"/>
      <c r="BS263" s="445"/>
      <c r="BT263" s="445"/>
      <c r="BU263" s="445"/>
      <c r="BV263" s="445"/>
      <c r="BW263" s="445"/>
      <c r="BX263" s="445"/>
      <c r="BY263" s="445"/>
      <c r="BZ263" s="445"/>
      <c r="CA263" s="445"/>
      <c r="CB263" s="445"/>
      <c r="CC263" s="445"/>
      <c r="CD263" s="445"/>
      <c r="CE263" s="445"/>
      <c r="CF263" s="445"/>
      <c r="CG263" s="445"/>
      <c r="CH263" s="445"/>
      <c r="CI263" s="445"/>
      <c r="CJ263" s="445"/>
      <c r="CK263" s="445"/>
      <c r="CL263" s="445"/>
      <c r="CM263" s="445"/>
      <c r="CN263" s="445"/>
      <c r="CO263" s="445"/>
      <c r="CP263" s="445"/>
      <c r="CQ263" s="445"/>
      <c r="CR263" s="445"/>
      <c r="CS263" s="445"/>
      <c r="CT263" s="445"/>
      <c r="CU263" s="445"/>
      <c r="CV263" s="445"/>
      <c r="CW263" s="445"/>
      <c r="CX263" s="445"/>
      <c r="CY263" s="445"/>
      <c r="CZ263" s="445"/>
      <c r="DA263" s="445"/>
      <c r="DB263" s="445"/>
      <c r="DC263" s="445"/>
      <c r="DD263" s="445"/>
      <c r="DE263" s="445"/>
      <c r="DF263" s="445"/>
      <c r="DG263" s="445"/>
      <c r="DH263" s="445"/>
      <c r="DI263" s="445"/>
      <c r="DJ263" s="445"/>
      <c r="DK263" s="445"/>
      <c r="DL263" s="445"/>
      <c r="DM263" s="445"/>
      <c r="DN263" s="445"/>
      <c r="DO263" s="445"/>
      <c r="DP263" s="445"/>
      <c r="DQ263" s="445"/>
      <c r="DR263" s="445"/>
      <c r="DS263" s="445"/>
      <c r="DT263" s="445"/>
      <c r="DU263" s="445"/>
      <c r="DV263" s="445"/>
      <c r="DW263" s="445"/>
      <c r="DX263" s="445"/>
      <c r="DY263" s="445"/>
      <c r="DZ263" s="445"/>
      <c r="EA263" s="445"/>
      <c r="EB263" s="445"/>
      <c r="EC263" s="445"/>
      <c r="ED263" s="445"/>
      <c r="EE263" s="445"/>
      <c r="EF263" s="445"/>
      <c r="EG263" s="445"/>
      <c r="EH263" s="445"/>
      <c r="EI263" s="445"/>
      <c r="EJ263" s="445"/>
      <c r="EK263" s="445"/>
      <c r="EL263" s="445"/>
      <c r="EM263" s="445"/>
      <c r="EN263" s="445"/>
      <c r="EO263" s="445"/>
      <c r="EP263" s="445"/>
      <c r="EQ263" s="445"/>
      <c r="ER263" s="445"/>
      <c r="ES263" s="445"/>
      <c r="ET263" s="445"/>
      <c r="EU263" s="445"/>
      <c r="EV263" s="445"/>
      <c r="EW263" s="445"/>
      <c r="EX263" s="445"/>
      <c r="EY263" s="445"/>
      <c r="EZ263" s="445"/>
      <c r="FA263" s="445"/>
      <c r="FB263" s="445"/>
      <c r="FC263" s="445"/>
      <c r="FD263" s="445"/>
      <c r="FE263" s="445"/>
      <c r="FF263" s="445"/>
      <c r="FG263" s="445"/>
      <c r="FH263" s="445"/>
      <c r="FI263" s="445"/>
      <c r="FJ263" s="445"/>
      <c r="FK263" s="445"/>
      <c r="FL263" s="445"/>
      <c r="FM263" s="445"/>
      <c r="FN263" s="445"/>
      <c r="FO263" s="445"/>
      <c r="FP263" s="445"/>
      <c r="FQ263" s="445"/>
      <c r="FR263" s="445"/>
      <c r="FS263" s="445"/>
      <c r="FT263" s="445"/>
      <c r="FU263" s="445"/>
      <c r="FV263" s="445"/>
      <c r="FW263" s="445"/>
      <c r="FX263" s="445"/>
      <c r="FY263" s="445"/>
      <c r="FZ263" s="445"/>
      <c r="GA263" s="445"/>
      <c r="GB263" s="445"/>
      <c r="GC263" s="445"/>
      <c r="GD263" s="445"/>
      <c r="GE263" s="445"/>
      <c r="GF263" s="445"/>
      <c r="GG263" s="445"/>
      <c r="GH263" s="445"/>
      <c r="GI263" s="445"/>
      <c r="GJ263" s="445"/>
      <c r="GK263" s="445"/>
      <c r="GL263" s="445"/>
      <c r="GM263" s="445"/>
      <c r="GN263" s="445"/>
      <c r="GO263" s="445"/>
      <c r="GP263" s="445"/>
      <c r="GQ263" s="445"/>
      <c r="GR263" s="445"/>
      <c r="GS263" s="445"/>
      <c r="GT263" s="445"/>
      <c r="GU263" s="445"/>
      <c r="GV263" s="445"/>
      <c r="GW263" s="445"/>
      <c r="GX263" s="445"/>
      <c r="GY263" s="445"/>
      <c r="GZ263" s="445"/>
      <c r="HA263" s="445"/>
      <c r="HB263" s="445"/>
      <c r="HC263" s="445"/>
      <c r="HD263" s="445"/>
      <c r="HE263" s="445"/>
      <c r="HF263" s="445"/>
      <c r="HG263" s="445"/>
      <c r="HH263" s="445"/>
      <c r="HI263" s="445"/>
      <c r="HJ263" s="445"/>
      <c r="HK263" s="445"/>
      <c r="HL263" s="445"/>
      <c r="HM263" s="445"/>
      <c r="HN263" s="445"/>
      <c r="HO263" s="445"/>
      <c r="HP263" s="445"/>
      <c r="HQ263" s="445"/>
      <c r="HR263" s="445"/>
      <c r="HS263" s="445"/>
      <c r="HT263" s="445"/>
      <c r="HU263" s="445"/>
      <c r="HV263" s="445"/>
      <c r="HW263" s="445"/>
      <c r="HX263" s="445"/>
      <c r="HY263" s="445"/>
      <c r="HZ263" s="445"/>
      <c r="IA263" s="445"/>
      <c r="IB263" s="445"/>
      <c r="IC263" s="445"/>
      <c r="ID263" s="445"/>
      <c r="IE263" s="445"/>
      <c r="IF263" s="445"/>
      <c r="IG263" s="445"/>
      <c r="IH263" s="445"/>
      <c r="II263" s="445"/>
      <c r="IJ263" s="445"/>
      <c r="IK263" s="445"/>
      <c r="IL263" s="445"/>
      <c r="IM263" s="445"/>
      <c r="IN263" s="445"/>
      <c r="IO263" s="445"/>
      <c r="IP263" s="445"/>
      <c r="IQ263" s="445"/>
      <c r="IR263" s="445"/>
      <c r="IS263" s="445"/>
      <c r="IT263" s="445"/>
      <c r="IU263" s="445"/>
      <c r="IV263" s="445"/>
      <c r="IW263" s="445"/>
      <c r="IX263" s="445"/>
      <c r="IY263" s="445"/>
      <c r="IZ263" s="445"/>
      <c r="JA263" s="445"/>
      <c r="JB263" s="445"/>
      <c r="JC263" s="445"/>
      <c r="JD263" s="445"/>
      <c r="JE263" s="445"/>
      <c r="JF263" s="445"/>
      <c r="JG263" s="445"/>
      <c r="JH263" s="445"/>
      <c r="JI263" s="445"/>
      <c r="JJ263" s="445"/>
      <c r="JK263" s="445"/>
      <c r="JL263" s="445"/>
      <c r="JM263" s="445"/>
      <c r="JN263" s="445"/>
      <c r="JO263" s="445"/>
      <c r="JP263" s="445"/>
      <c r="JQ263" s="445"/>
      <c r="JR263" s="445"/>
      <c r="JS263" s="445"/>
      <c r="JT263" s="445"/>
      <c r="JU263" s="445"/>
      <c r="JV263" s="445"/>
      <c r="JW263" s="2242"/>
      <c r="JX263" s="445"/>
      <c r="JY263" s="445"/>
      <c r="JZ263" s="445"/>
      <c r="KA263" s="445"/>
      <c r="KB263" s="2242"/>
      <c r="KC263" s="2242"/>
      <c r="KD263" s="2242"/>
      <c r="KE263" s="2242"/>
      <c r="KF263" s="2242"/>
      <c r="KG263" s="2242"/>
      <c r="KH263" s="2242"/>
      <c r="KI263" s="2242"/>
      <c r="KJ263" s="2242"/>
      <c r="KK263" s="2242"/>
      <c r="KL263" s="2242"/>
      <c r="KM263" s="2242"/>
      <c r="KN263" s="2242"/>
      <c r="KO263" s="2242"/>
      <c r="KP263" s="2242"/>
      <c r="KQ263" s="2242"/>
      <c r="KR263" s="2242"/>
      <c r="KS263" s="2242"/>
      <c r="KT263" s="2242"/>
      <c r="KU263" s="2242"/>
      <c r="KV263" s="2242"/>
      <c r="KW263" s="2242"/>
      <c r="KX263" s="2242"/>
      <c r="KY263" s="2242"/>
      <c r="KZ263" s="2242"/>
      <c r="LA263" s="2242"/>
      <c r="LB263" s="2242"/>
      <c r="LC263" s="2242"/>
      <c r="LD263" s="2242"/>
      <c r="LE263" s="2242"/>
      <c r="LF263" s="2242"/>
      <c r="LG263" s="2242"/>
      <c r="LH263" s="2242"/>
      <c r="LI263" s="2242"/>
      <c r="LJ263" s="2242"/>
      <c r="LK263" s="2242"/>
      <c r="LL263" s="2242"/>
      <c r="LM263" s="2242"/>
      <c r="LN263" s="2242"/>
      <c r="LO263" s="2242"/>
      <c r="LP263" s="2242"/>
      <c r="LQ263" s="2242"/>
      <c r="LR263" s="445"/>
      <c r="LS263" s="445"/>
      <c r="LT263" s="445"/>
      <c r="LU263" s="445"/>
      <c r="LV263" s="445"/>
      <c r="LW263" s="445"/>
      <c r="LX263" s="2243"/>
      <c r="LY263" s="445"/>
      <c r="LZ263" s="445"/>
      <c r="MA263" s="445"/>
      <c r="MB263" s="445"/>
      <c r="MC263" s="445"/>
      <c r="MD263" s="445"/>
      <c r="ME263" s="445"/>
      <c r="MF263" s="445"/>
      <c r="MG263" s="445"/>
      <c r="MH263" s="445"/>
      <c r="MI263" s="445"/>
      <c r="MJ263" s="445"/>
      <c r="MK263" s="445"/>
      <c r="ML263" s="445"/>
      <c r="MM263" s="445"/>
      <c r="MN263" s="2243"/>
      <c r="MO263" s="2243"/>
      <c r="MP263" s="445"/>
      <c r="MQ263" s="445"/>
      <c r="MR263" s="445"/>
      <c r="MS263" s="445"/>
      <c r="MT263" s="445"/>
      <c r="MU263" s="445"/>
      <c r="MV263" s="445"/>
      <c r="MW263" s="445"/>
      <c r="MX263" s="445"/>
      <c r="MY263" s="445"/>
      <c r="MZ263" s="445"/>
      <c r="NA263" s="445"/>
      <c r="NB263" s="445"/>
      <c r="NC263" s="445"/>
      <c r="ND263" s="445"/>
      <c r="NE263" s="94"/>
      <c r="NF263" s="94"/>
      <c r="NG263" s="94"/>
      <c r="NH263" s="94"/>
      <c r="NI263" s="94"/>
      <c r="NJ263" s="94"/>
      <c r="NK263" s="94"/>
      <c r="NL263" s="94"/>
      <c r="NM263" s="94"/>
      <c r="NN263" s="94"/>
      <c r="NO263" s="94"/>
      <c r="NP263" s="94"/>
      <c r="NQ263" s="94"/>
      <c r="NR263" s="94"/>
      <c r="NS263" s="94"/>
      <c r="NT263" s="94"/>
      <c r="NU263" s="94"/>
      <c r="NV263" s="94"/>
      <c r="NW263" s="94"/>
      <c r="NX263" s="94"/>
      <c r="NY263" s="94"/>
      <c r="NZ263" s="94"/>
      <c r="OA263" s="94"/>
      <c r="OB263" s="94"/>
      <c r="OC263" s="94"/>
      <c r="OD263" s="94"/>
      <c r="OE263" s="94"/>
      <c r="OF263" s="94"/>
      <c r="OG263" s="94"/>
      <c r="OH263" s="94"/>
      <c r="OI263" s="94"/>
      <c r="OJ263" s="94"/>
      <c r="OK263" s="94"/>
      <c r="OL263" s="94"/>
      <c r="OM263" s="94"/>
      <c r="ON263" s="94"/>
      <c r="OO263" s="94"/>
      <c r="OP263" s="94"/>
      <c r="OQ263" s="94"/>
      <c r="OR263" s="94"/>
      <c r="OS263" s="94"/>
      <c r="OT263" s="94"/>
      <c r="OU263" s="94"/>
      <c r="OV263" s="94"/>
      <c r="OW263" s="94"/>
      <c r="OX263" s="94"/>
      <c r="OY263" s="94"/>
      <c r="OZ263" s="94"/>
      <c r="PA263" s="94"/>
      <c r="PB263" s="94"/>
      <c r="PC263" s="94"/>
      <c r="PD263" s="94"/>
      <c r="PE263" s="94"/>
      <c r="PF263" s="94"/>
      <c r="PG263" s="94"/>
      <c r="PH263" s="94"/>
      <c r="PI263" s="94"/>
      <c r="PJ263" s="94"/>
      <c r="PK263" s="94"/>
      <c r="PL263" s="94"/>
      <c r="PM263" s="94"/>
      <c r="PN263" s="94"/>
      <c r="PO263" s="94"/>
      <c r="PP263" s="94"/>
      <c r="PQ263" s="94"/>
      <c r="PR263" s="94"/>
      <c r="PS263" s="94"/>
      <c r="PT263" s="94"/>
      <c r="PU263" s="94"/>
      <c r="PV263" s="94"/>
      <c r="PW263" s="94"/>
      <c r="PX263" s="94"/>
      <c r="PY263" s="94"/>
      <c r="PZ263" s="94"/>
      <c r="QA263" s="94"/>
      <c r="QB263" s="94"/>
      <c r="QC263" s="94"/>
      <c r="QD263" s="94"/>
      <c r="QE263" s="94"/>
      <c r="QF263" s="94"/>
      <c r="QG263" s="94"/>
      <c r="QH263" s="94"/>
      <c r="QI263" s="94"/>
      <c r="QJ263" s="94"/>
      <c r="QK263" s="94"/>
      <c r="QL263" s="94"/>
      <c r="QM263" s="94"/>
      <c r="QN263" s="94"/>
      <c r="QO263" s="94"/>
      <c r="QP263" s="94"/>
      <c r="QQ263" s="94"/>
      <c r="QR263" s="94"/>
      <c r="QS263" s="94"/>
      <c r="QT263" s="94"/>
      <c r="QU263" s="94"/>
      <c r="QV263" s="94"/>
      <c r="QW263" s="94"/>
      <c r="QX263" s="94"/>
      <c r="QY263" s="94"/>
      <c r="QZ263" s="94"/>
      <c r="RA263" s="94"/>
      <c r="RB263" s="94"/>
      <c r="RC263" s="94"/>
      <c r="RD263" s="94"/>
      <c r="RE263" s="94"/>
      <c r="RF263" s="94"/>
      <c r="RG263" s="94"/>
      <c r="RH263" s="94"/>
      <c r="RI263" s="94"/>
      <c r="RJ263" s="94"/>
      <c r="RK263" s="94"/>
      <c r="RL263" s="94"/>
      <c r="RM263" s="94"/>
      <c r="RN263" s="94"/>
      <c r="RO263" s="94"/>
      <c r="RP263" s="94"/>
      <c r="RQ263" s="94"/>
      <c r="RR263" s="94"/>
      <c r="RS263" s="94"/>
      <c r="RT263" s="94"/>
      <c r="RU263" s="94"/>
      <c r="RV263" s="94"/>
      <c r="RW263" s="94"/>
      <c r="RX263" s="94"/>
      <c r="RY263" s="94"/>
      <c r="RZ263" s="94"/>
      <c r="SA263" s="94"/>
      <c r="SB263" s="94"/>
      <c r="SC263" s="94"/>
      <c r="SD263" s="94"/>
      <c r="SE263" s="94"/>
      <c r="SF263" s="94"/>
      <c r="SG263" s="94"/>
      <c r="SH263" s="94"/>
      <c r="SI263" s="94"/>
    </row>
    <row r="264" spans="1:503" s="90" customFormat="1" ht="14.1" customHeight="1">
      <c r="A264" s="32"/>
      <c r="B264" s="1"/>
      <c r="C264" s="1"/>
      <c r="D264" s="1"/>
      <c r="E264" s="1"/>
      <c r="F264" s="1"/>
      <c r="G264" s="1"/>
      <c r="H264" s="1"/>
      <c r="I264" s="1"/>
      <c r="J264" s="1"/>
      <c r="K264" s="1"/>
      <c r="L264" s="1"/>
      <c r="M264" s="1"/>
      <c r="N264" s="1"/>
      <c r="O264" s="1"/>
      <c r="P264" s="1"/>
      <c r="X264" s="445"/>
      <c r="Y264" s="445"/>
      <c r="Z264" s="445"/>
      <c r="AA264" s="445"/>
      <c r="AB264" s="445"/>
      <c r="AC264" s="445"/>
      <c r="AD264" s="445"/>
      <c r="AE264" s="445"/>
      <c r="AF264" s="445"/>
      <c r="AG264" s="445"/>
      <c r="AH264" s="445"/>
      <c r="AI264" s="445"/>
      <c r="AJ264" s="445"/>
      <c r="AK264" s="445"/>
      <c r="AL264" s="445"/>
      <c r="AM264" s="445"/>
      <c r="AN264" s="445"/>
      <c r="AO264" s="445"/>
      <c r="AP264" s="445"/>
      <c r="AQ264" s="445"/>
      <c r="AR264" s="445"/>
      <c r="AS264" s="445"/>
      <c r="AT264" s="445"/>
      <c r="AU264" s="445"/>
      <c r="AV264" s="445"/>
      <c r="AW264" s="445"/>
      <c r="AX264" s="445"/>
      <c r="AY264" s="445"/>
      <c r="AZ264" s="445"/>
      <c r="BA264" s="445"/>
      <c r="BB264" s="445"/>
      <c r="BC264" s="445"/>
      <c r="BD264" s="445"/>
      <c r="BE264" s="445"/>
      <c r="BF264" s="445"/>
      <c r="BG264" s="445"/>
      <c r="BH264" s="445"/>
      <c r="BI264" s="445"/>
      <c r="BJ264" s="445"/>
      <c r="BK264" s="445"/>
      <c r="BL264" s="445"/>
      <c r="BM264" s="445"/>
      <c r="BN264" s="445"/>
      <c r="BO264" s="445"/>
      <c r="BP264" s="445"/>
      <c r="BQ264" s="445"/>
      <c r="BR264" s="445"/>
      <c r="BS264" s="445"/>
      <c r="BT264" s="445"/>
      <c r="BU264" s="445"/>
      <c r="BV264" s="445"/>
      <c r="BW264" s="445"/>
      <c r="BX264" s="445"/>
      <c r="BY264" s="445"/>
      <c r="BZ264" s="445"/>
      <c r="CA264" s="445"/>
      <c r="CB264" s="445"/>
      <c r="CC264" s="445"/>
      <c r="CD264" s="445"/>
      <c r="CE264" s="445"/>
      <c r="CF264" s="445"/>
      <c r="CG264" s="445"/>
      <c r="CH264" s="445"/>
      <c r="CI264" s="445"/>
      <c r="CJ264" s="445"/>
      <c r="CK264" s="445"/>
      <c r="CL264" s="445"/>
      <c r="CM264" s="445"/>
      <c r="CN264" s="445"/>
      <c r="CO264" s="445"/>
      <c r="CP264" s="445"/>
      <c r="CQ264" s="445"/>
      <c r="CR264" s="445"/>
      <c r="CS264" s="445"/>
      <c r="CT264" s="445"/>
      <c r="CU264" s="445"/>
      <c r="CV264" s="445"/>
      <c r="CW264" s="445"/>
      <c r="CX264" s="445"/>
      <c r="CY264" s="445"/>
      <c r="CZ264" s="445"/>
      <c r="DA264" s="445"/>
      <c r="DB264" s="445"/>
      <c r="DC264" s="445"/>
      <c r="DD264" s="445"/>
      <c r="DE264" s="445"/>
      <c r="DF264" s="445"/>
      <c r="DG264" s="445"/>
      <c r="DH264" s="445"/>
      <c r="DI264" s="445"/>
      <c r="DJ264" s="445"/>
      <c r="DK264" s="445"/>
      <c r="DL264" s="445"/>
      <c r="DM264" s="445"/>
      <c r="DN264" s="445"/>
      <c r="DO264" s="445"/>
      <c r="DP264" s="445"/>
      <c r="DQ264" s="445"/>
      <c r="DR264" s="445"/>
      <c r="DS264" s="445"/>
      <c r="DT264" s="445"/>
      <c r="DU264" s="445"/>
      <c r="DV264" s="445"/>
      <c r="DW264" s="445"/>
      <c r="DX264" s="445"/>
      <c r="DY264" s="445"/>
      <c r="DZ264" s="445"/>
      <c r="EA264" s="445"/>
      <c r="EB264" s="445"/>
      <c r="EC264" s="445"/>
      <c r="ED264" s="445"/>
      <c r="EE264" s="445"/>
      <c r="EF264" s="445"/>
      <c r="EG264" s="445"/>
      <c r="EH264" s="445"/>
      <c r="EI264" s="445"/>
      <c r="EJ264" s="445"/>
      <c r="EK264" s="445"/>
      <c r="EL264" s="445"/>
      <c r="EM264" s="445"/>
      <c r="EN264" s="445"/>
      <c r="EO264" s="445"/>
      <c r="EP264" s="445"/>
      <c r="EQ264" s="445"/>
      <c r="ER264" s="445"/>
      <c r="ES264" s="445"/>
      <c r="ET264" s="445"/>
      <c r="EU264" s="445"/>
      <c r="EV264" s="445"/>
      <c r="EW264" s="445"/>
      <c r="EX264" s="445"/>
      <c r="EY264" s="445"/>
      <c r="EZ264" s="445"/>
      <c r="FA264" s="445"/>
      <c r="FB264" s="445"/>
      <c r="FC264" s="445"/>
      <c r="FD264" s="445"/>
      <c r="FE264" s="445"/>
      <c r="FF264" s="445"/>
      <c r="FG264" s="445"/>
      <c r="FH264" s="445"/>
      <c r="FI264" s="445"/>
      <c r="FJ264" s="445"/>
      <c r="FK264" s="445"/>
      <c r="FL264" s="445"/>
      <c r="FM264" s="445"/>
      <c r="FN264" s="445"/>
      <c r="FO264" s="445"/>
      <c r="FP264" s="445"/>
      <c r="FQ264" s="445"/>
      <c r="FR264" s="445"/>
      <c r="FS264" s="445"/>
      <c r="FT264" s="445"/>
      <c r="FU264" s="445"/>
      <c r="FV264" s="445"/>
      <c r="FW264" s="445"/>
      <c r="FX264" s="445"/>
      <c r="FY264" s="445"/>
      <c r="FZ264" s="445"/>
      <c r="GA264" s="445"/>
      <c r="GB264" s="445"/>
      <c r="GC264" s="445"/>
      <c r="GD264" s="445"/>
      <c r="GE264" s="445"/>
      <c r="GF264" s="445"/>
      <c r="GG264" s="445"/>
      <c r="GH264" s="445"/>
      <c r="GI264" s="445"/>
      <c r="GJ264" s="445"/>
      <c r="GK264" s="445"/>
      <c r="GL264" s="445"/>
      <c r="GM264" s="445"/>
      <c r="GN264" s="445"/>
      <c r="GO264" s="445"/>
      <c r="GP264" s="445"/>
      <c r="GQ264" s="445"/>
      <c r="GR264" s="445"/>
      <c r="GS264" s="445"/>
      <c r="GT264" s="445"/>
      <c r="GU264" s="445"/>
      <c r="GV264" s="445"/>
      <c r="GW264" s="445"/>
      <c r="GX264" s="445"/>
      <c r="GY264" s="445"/>
      <c r="GZ264" s="445"/>
      <c r="HA264" s="445"/>
      <c r="HB264" s="445"/>
      <c r="HC264" s="445"/>
      <c r="HD264" s="445"/>
      <c r="HE264" s="445"/>
      <c r="HF264" s="445"/>
      <c r="HG264" s="445"/>
      <c r="HH264" s="445"/>
      <c r="HI264" s="445"/>
      <c r="HJ264" s="445"/>
      <c r="HK264" s="445"/>
      <c r="HL264" s="445"/>
      <c r="HM264" s="445"/>
      <c r="HN264" s="445"/>
      <c r="HO264" s="445"/>
      <c r="HP264" s="445"/>
      <c r="HQ264" s="445"/>
      <c r="HR264" s="445"/>
      <c r="HS264" s="445"/>
      <c r="HT264" s="445"/>
      <c r="HU264" s="445"/>
      <c r="HV264" s="445"/>
      <c r="HW264" s="445"/>
      <c r="HX264" s="445"/>
      <c r="HY264" s="445"/>
      <c r="HZ264" s="445"/>
      <c r="IA264" s="445"/>
      <c r="IB264" s="445"/>
      <c r="IC264" s="445"/>
      <c r="ID264" s="445"/>
      <c r="IE264" s="445"/>
      <c r="IF264" s="445"/>
      <c r="IG264" s="445"/>
      <c r="IH264" s="445"/>
      <c r="II264" s="445"/>
      <c r="IJ264" s="445"/>
      <c r="IK264" s="445"/>
      <c r="IL264" s="445"/>
      <c r="IM264" s="445"/>
      <c r="IN264" s="445"/>
      <c r="IO264" s="445"/>
      <c r="IP264" s="445"/>
      <c r="IQ264" s="445"/>
      <c r="IR264" s="445"/>
      <c r="IS264" s="445"/>
      <c r="IT264" s="445"/>
      <c r="IU264" s="445"/>
      <c r="IV264" s="445"/>
      <c r="IW264" s="445"/>
      <c r="IX264" s="445"/>
      <c r="IY264" s="445"/>
      <c r="IZ264" s="445"/>
      <c r="JA264" s="445"/>
      <c r="JB264" s="445"/>
      <c r="JC264" s="445"/>
      <c r="JD264" s="445"/>
      <c r="JE264" s="445"/>
      <c r="JF264" s="445"/>
      <c r="JG264" s="445"/>
      <c r="JH264" s="445"/>
      <c r="JI264" s="445"/>
      <c r="JJ264" s="445"/>
      <c r="JK264" s="445"/>
      <c r="JL264" s="445"/>
      <c r="JM264" s="445"/>
      <c r="JN264" s="445"/>
      <c r="JO264" s="445"/>
      <c r="JP264" s="445"/>
      <c r="JQ264" s="445"/>
      <c r="JR264" s="445"/>
      <c r="JS264" s="445"/>
      <c r="JT264" s="445"/>
      <c r="JU264" s="445"/>
      <c r="JV264" s="445"/>
      <c r="JW264" s="2242"/>
      <c r="JX264" s="445"/>
      <c r="JY264" s="445"/>
      <c r="JZ264" s="445"/>
      <c r="KA264" s="445"/>
      <c r="KB264" s="2242"/>
      <c r="KC264" s="2242"/>
      <c r="KD264" s="2242"/>
      <c r="KE264" s="2242"/>
      <c r="KF264" s="2242"/>
      <c r="KG264" s="2242"/>
      <c r="KH264" s="2242"/>
      <c r="KI264" s="2242"/>
      <c r="KJ264" s="2242"/>
      <c r="KK264" s="2242"/>
      <c r="KL264" s="2242"/>
      <c r="KM264" s="2242"/>
      <c r="KN264" s="2242"/>
      <c r="KO264" s="2242"/>
      <c r="KP264" s="2242"/>
      <c r="KQ264" s="2242"/>
      <c r="KR264" s="2242"/>
      <c r="KS264" s="2242"/>
      <c r="KT264" s="2242"/>
      <c r="KU264" s="2242"/>
      <c r="KV264" s="2242"/>
      <c r="KW264" s="2242"/>
      <c r="KX264" s="2242"/>
      <c r="KY264" s="2242"/>
      <c r="KZ264" s="2242"/>
      <c r="LA264" s="2242"/>
      <c r="LB264" s="2242"/>
      <c r="LC264" s="2242"/>
      <c r="LD264" s="2242"/>
      <c r="LE264" s="2242"/>
      <c r="LF264" s="2242"/>
      <c r="LG264" s="2242"/>
      <c r="LH264" s="2242"/>
      <c r="LI264" s="2242"/>
      <c r="LJ264" s="2242"/>
      <c r="LK264" s="2242"/>
      <c r="LL264" s="2242"/>
      <c r="LM264" s="2242"/>
      <c r="LN264" s="2242"/>
      <c r="LO264" s="2242"/>
      <c r="LP264" s="2242"/>
      <c r="LQ264" s="2242"/>
      <c r="LR264" s="445"/>
      <c r="LS264" s="445"/>
      <c r="LT264" s="445"/>
      <c r="LU264" s="445"/>
      <c r="LV264" s="445"/>
      <c r="LW264" s="445"/>
      <c r="LX264" s="2243"/>
      <c r="LY264" s="445"/>
      <c r="LZ264" s="445"/>
      <c r="MA264" s="445"/>
      <c r="MB264" s="445"/>
      <c r="MC264" s="445"/>
      <c r="MD264" s="445"/>
      <c r="ME264" s="445"/>
      <c r="MF264" s="445"/>
      <c r="MG264" s="445"/>
      <c r="MH264" s="445"/>
      <c r="MI264" s="445"/>
      <c r="MJ264" s="445"/>
      <c r="MK264" s="445"/>
      <c r="ML264" s="445"/>
      <c r="MM264" s="445"/>
      <c r="MN264" s="2243"/>
      <c r="MO264" s="2243"/>
      <c r="MP264" s="445"/>
      <c r="MQ264" s="445"/>
      <c r="MR264" s="445"/>
      <c r="MS264" s="445"/>
      <c r="MT264" s="445"/>
      <c r="MU264" s="445"/>
      <c r="MV264" s="445"/>
      <c r="MW264" s="445"/>
      <c r="MX264" s="445"/>
      <c r="MY264" s="445"/>
      <c r="MZ264" s="445"/>
      <c r="NA264" s="445"/>
      <c r="NB264" s="445"/>
      <c r="NC264" s="445"/>
      <c r="ND264" s="445"/>
      <c r="NE264" s="94"/>
      <c r="NF264" s="94"/>
      <c r="NG264" s="94"/>
      <c r="NH264" s="94"/>
      <c r="NI264" s="94"/>
      <c r="NJ264" s="94"/>
      <c r="NK264" s="94"/>
      <c r="NL264" s="94"/>
      <c r="NM264" s="94"/>
      <c r="NN264" s="94"/>
      <c r="NO264" s="94"/>
      <c r="NP264" s="94"/>
      <c r="NQ264" s="94"/>
      <c r="NR264" s="94"/>
      <c r="NS264" s="94"/>
      <c r="NT264" s="94"/>
      <c r="NU264" s="94"/>
      <c r="NV264" s="94"/>
      <c r="NW264" s="94"/>
      <c r="NX264" s="94"/>
      <c r="NY264" s="94"/>
      <c r="NZ264" s="94"/>
      <c r="OA264" s="94"/>
      <c r="OB264" s="94"/>
      <c r="OC264" s="94"/>
      <c r="OD264" s="94"/>
      <c r="OE264" s="94"/>
      <c r="OF264" s="94"/>
      <c r="OG264" s="94"/>
      <c r="OH264" s="94"/>
      <c r="OI264" s="94"/>
      <c r="OJ264" s="94"/>
      <c r="OK264" s="94"/>
      <c r="OL264" s="94"/>
      <c r="OM264" s="94"/>
      <c r="ON264" s="94"/>
      <c r="OO264" s="94"/>
      <c r="OP264" s="94"/>
      <c r="OQ264" s="94"/>
      <c r="OR264" s="94"/>
      <c r="OS264" s="94"/>
      <c r="OT264" s="94"/>
      <c r="OU264" s="94"/>
      <c r="OV264" s="94"/>
      <c r="OW264" s="94"/>
      <c r="OX264" s="94"/>
      <c r="OY264" s="94"/>
      <c r="OZ264" s="94"/>
      <c r="PA264" s="94"/>
      <c r="PB264" s="94"/>
      <c r="PC264" s="94"/>
      <c r="PD264" s="94"/>
      <c r="PE264" s="94"/>
      <c r="PF264" s="94"/>
      <c r="PG264" s="94"/>
      <c r="PH264" s="94"/>
      <c r="PI264" s="94"/>
      <c r="PJ264" s="94"/>
      <c r="PK264" s="94"/>
      <c r="PL264" s="94"/>
      <c r="PM264" s="94"/>
      <c r="PN264" s="94"/>
      <c r="PO264" s="94"/>
      <c r="PP264" s="94"/>
      <c r="PQ264" s="94"/>
      <c r="PR264" s="94"/>
      <c r="PS264" s="94"/>
      <c r="PT264" s="94"/>
      <c r="PU264" s="94"/>
      <c r="PV264" s="94"/>
      <c r="PW264" s="94"/>
      <c r="PX264" s="94"/>
      <c r="PY264" s="94"/>
      <c r="PZ264" s="94"/>
      <c r="QA264" s="94"/>
      <c r="QB264" s="94"/>
      <c r="QC264" s="94"/>
      <c r="QD264" s="94"/>
      <c r="QE264" s="94"/>
      <c r="QF264" s="94"/>
      <c r="QG264" s="94"/>
      <c r="QH264" s="94"/>
      <c r="QI264" s="94"/>
      <c r="QJ264" s="94"/>
      <c r="QK264" s="94"/>
      <c r="QL264" s="94"/>
      <c r="QM264" s="94"/>
      <c r="QN264" s="94"/>
      <c r="QO264" s="94"/>
      <c r="QP264" s="94"/>
      <c r="QQ264" s="94"/>
      <c r="QR264" s="94"/>
      <c r="QS264" s="94"/>
      <c r="QT264" s="94"/>
      <c r="QU264" s="94"/>
      <c r="QV264" s="94"/>
      <c r="QW264" s="94"/>
      <c r="QX264" s="94"/>
      <c r="QY264" s="94"/>
      <c r="QZ264" s="94"/>
      <c r="RA264" s="94"/>
      <c r="RB264" s="94"/>
      <c r="RC264" s="94"/>
      <c r="RD264" s="94"/>
      <c r="RE264" s="94"/>
      <c r="RF264" s="94"/>
      <c r="RG264" s="94"/>
      <c r="RH264" s="94"/>
      <c r="RI264" s="94"/>
      <c r="RJ264" s="94"/>
      <c r="RK264" s="94"/>
      <c r="RL264" s="94"/>
      <c r="RM264" s="94"/>
      <c r="RN264" s="94"/>
      <c r="RO264" s="94"/>
      <c r="RP264" s="94"/>
      <c r="RQ264" s="94"/>
      <c r="RR264" s="94"/>
      <c r="RS264" s="94"/>
      <c r="RT264" s="94"/>
      <c r="RU264" s="94"/>
      <c r="RV264" s="94"/>
      <c r="RW264" s="94"/>
      <c r="RX264" s="94"/>
      <c r="RY264" s="94"/>
      <c r="RZ264" s="94"/>
      <c r="SA264" s="94"/>
      <c r="SB264" s="94"/>
      <c r="SC264" s="94"/>
      <c r="SD264" s="94"/>
      <c r="SE264" s="94"/>
      <c r="SF264" s="94"/>
      <c r="SG264" s="94"/>
      <c r="SH264" s="94"/>
      <c r="SI264" s="94"/>
    </row>
    <row r="265" spans="1:503" s="90" customFormat="1" ht="14.1" customHeight="1">
      <c r="A265" s="2373"/>
      <c r="B265" s="1"/>
      <c r="C265" s="1"/>
      <c r="D265" s="1"/>
      <c r="E265" s="1"/>
      <c r="F265" s="1"/>
      <c r="G265" s="1"/>
      <c r="H265" s="1"/>
      <c r="I265" s="1"/>
      <c r="J265" s="1"/>
      <c r="K265" s="1"/>
      <c r="L265" s="1"/>
      <c r="M265" s="1"/>
      <c r="N265" s="1"/>
      <c r="O265" s="1"/>
      <c r="P265" s="1"/>
      <c r="X265" s="445"/>
      <c r="Y265" s="445"/>
      <c r="Z265" s="445"/>
      <c r="AA265" s="445"/>
      <c r="AB265" s="445"/>
      <c r="AC265" s="445"/>
      <c r="AD265" s="445"/>
      <c r="AE265" s="445"/>
      <c r="AF265" s="445"/>
      <c r="AG265" s="445"/>
      <c r="AH265" s="445"/>
      <c r="AI265" s="445"/>
      <c r="AJ265" s="445"/>
      <c r="AK265" s="445"/>
      <c r="AL265" s="445"/>
      <c r="AM265" s="445"/>
      <c r="AN265" s="445"/>
      <c r="AO265" s="445"/>
      <c r="AP265" s="445"/>
      <c r="AQ265" s="445"/>
      <c r="AR265" s="445"/>
      <c r="AS265" s="445"/>
      <c r="AT265" s="445"/>
      <c r="AU265" s="445"/>
      <c r="AV265" s="445"/>
      <c r="AW265" s="445"/>
      <c r="AX265" s="445"/>
      <c r="AY265" s="445"/>
      <c r="AZ265" s="445"/>
      <c r="BA265" s="445"/>
      <c r="BB265" s="445"/>
      <c r="BC265" s="445"/>
      <c r="BD265" s="445"/>
      <c r="BE265" s="445"/>
      <c r="BF265" s="445"/>
      <c r="BG265" s="445"/>
      <c r="BH265" s="445"/>
      <c r="BI265" s="445"/>
      <c r="BJ265" s="445"/>
      <c r="BK265" s="445"/>
      <c r="BL265" s="445"/>
      <c r="BM265" s="445"/>
      <c r="BN265" s="445"/>
      <c r="BO265" s="445"/>
      <c r="BP265" s="445"/>
      <c r="BQ265" s="445"/>
      <c r="BR265" s="445"/>
      <c r="BS265" s="445"/>
      <c r="BT265" s="445"/>
      <c r="BU265" s="445"/>
      <c r="BV265" s="445"/>
      <c r="BW265" s="445"/>
      <c r="BX265" s="445"/>
      <c r="BY265" s="445"/>
      <c r="BZ265" s="445"/>
      <c r="CA265" s="445"/>
      <c r="CB265" s="445"/>
      <c r="CC265" s="445"/>
      <c r="CD265" s="445"/>
      <c r="CE265" s="445"/>
      <c r="CF265" s="445"/>
      <c r="CG265" s="445"/>
      <c r="CH265" s="445"/>
      <c r="CI265" s="445"/>
      <c r="CJ265" s="445"/>
      <c r="CK265" s="445"/>
      <c r="CL265" s="445"/>
      <c r="CM265" s="445"/>
      <c r="CN265" s="445"/>
      <c r="CO265" s="445"/>
      <c r="CP265" s="445"/>
      <c r="CQ265" s="445"/>
      <c r="CR265" s="445"/>
      <c r="CS265" s="445"/>
      <c r="CT265" s="445"/>
      <c r="CU265" s="445"/>
      <c r="CV265" s="445"/>
      <c r="CW265" s="445"/>
      <c r="CX265" s="445"/>
      <c r="CY265" s="445"/>
      <c r="CZ265" s="445"/>
      <c r="DA265" s="445"/>
      <c r="DB265" s="445"/>
      <c r="DC265" s="445"/>
      <c r="DD265" s="445"/>
      <c r="DE265" s="445"/>
      <c r="DF265" s="445"/>
      <c r="DG265" s="445"/>
      <c r="DH265" s="445"/>
      <c r="DI265" s="445"/>
      <c r="DJ265" s="445"/>
      <c r="DK265" s="445"/>
      <c r="DL265" s="445"/>
      <c r="DM265" s="445"/>
      <c r="DN265" s="445"/>
      <c r="DO265" s="445"/>
      <c r="DP265" s="445"/>
      <c r="DQ265" s="445"/>
      <c r="DR265" s="445"/>
      <c r="DS265" s="445"/>
      <c r="DT265" s="445"/>
      <c r="DU265" s="445"/>
      <c r="DV265" s="445"/>
      <c r="DW265" s="445"/>
      <c r="DX265" s="445"/>
      <c r="DY265" s="445"/>
      <c r="DZ265" s="445"/>
      <c r="EA265" s="445"/>
      <c r="EB265" s="445"/>
      <c r="EC265" s="445"/>
      <c r="ED265" s="445"/>
      <c r="EE265" s="445"/>
      <c r="EF265" s="445"/>
      <c r="EG265" s="445"/>
      <c r="EH265" s="445"/>
      <c r="EI265" s="445"/>
      <c r="EJ265" s="445"/>
      <c r="EK265" s="445"/>
      <c r="EL265" s="445"/>
      <c r="EM265" s="445"/>
      <c r="EN265" s="445"/>
      <c r="EO265" s="445"/>
      <c r="EP265" s="445"/>
      <c r="EQ265" s="445"/>
      <c r="ER265" s="445"/>
      <c r="ES265" s="445"/>
      <c r="ET265" s="445"/>
      <c r="EU265" s="445"/>
      <c r="EV265" s="445"/>
      <c r="EW265" s="445"/>
      <c r="EX265" s="445"/>
      <c r="EY265" s="445"/>
      <c r="EZ265" s="445"/>
      <c r="FA265" s="445"/>
      <c r="FB265" s="445"/>
      <c r="FC265" s="445"/>
      <c r="FD265" s="445"/>
      <c r="FE265" s="445"/>
      <c r="FF265" s="445"/>
      <c r="FG265" s="445"/>
      <c r="FH265" s="445"/>
      <c r="FI265" s="445"/>
      <c r="FJ265" s="445"/>
      <c r="FK265" s="445"/>
      <c r="FL265" s="445"/>
      <c r="FM265" s="445"/>
      <c r="FN265" s="445"/>
      <c r="FO265" s="445"/>
      <c r="FP265" s="445"/>
      <c r="FQ265" s="445"/>
      <c r="FR265" s="445"/>
      <c r="FS265" s="445"/>
      <c r="FT265" s="445"/>
      <c r="FU265" s="445"/>
      <c r="FV265" s="445"/>
      <c r="FW265" s="445"/>
      <c r="FX265" s="445"/>
      <c r="FY265" s="445"/>
      <c r="FZ265" s="445"/>
      <c r="GA265" s="445"/>
      <c r="GB265" s="445"/>
      <c r="GC265" s="445"/>
      <c r="GD265" s="445"/>
      <c r="GE265" s="445"/>
      <c r="GF265" s="445"/>
      <c r="GG265" s="445"/>
      <c r="GH265" s="445"/>
      <c r="GI265" s="445"/>
      <c r="GJ265" s="445"/>
      <c r="GK265" s="445"/>
      <c r="GL265" s="445"/>
      <c r="GM265" s="445"/>
      <c r="GN265" s="445"/>
      <c r="GO265" s="445"/>
      <c r="GP265" s="445"/>
      <c r="GQ265" s="445"/>
      <c r="GR265" s="445"/>
      <c r="GS265" s="445"/>
      <c r="GT265" s="445"/>
      <c r="GU265" s="445"/>
      <c r="GV265" s="445"/>
      <c r="GW265" s="445"/>
      <c r="GX265" s="445"/>
      <c r="GY265" s="445"/>
      <c r="GZ265" s="445"/>
      <c r="HA265" s="445"/>
      <c r="HB265" s="445"/>
      <c r="HC265" s="445"/>
      <c r="HD265" s="445"/>
      <c r="HE265" s="445"/>
      <c r="HF265" s="445"/>
      <c r="HG265" s="445"/>
      <c r="HH265" s="445"/>
      <c r="HI265" s="445"/>
      <c r="HJ265" s="445"/>
      <c r="HK265" s="445"/>
      <c r="HL265" s="445"/>
      <c r="HM265" s="445"/>
      <c r="HN265" s="445"/>
      <c r="HO265" s="445"/>
      <c r="HP265" s="445"/>
      <c r="HQ265" s="445"/>
      <c r="HR265" s="445"/>
      <c r="HS265" s="445"/>
      <c r="HT265" s="445"/>
      <c r="HU265" s="445"/>
      <c r="HV265" s="445"/>
      <c r="HW265" s="445"/>
      <c r="HX265" s="445"/>
      <c r="HY265" s="445"/>
      <c r="HZ265" s="445"/>
      <c r="IA265" s="445"/>
      <c r="IB265" s="445"/>
      <c r="IC265" s="445"/>
      <c r="ID265" s="445"/>
      <c r="IE265" s="445"/>
      <c r="IF265" s="445"/>
      <c r="IG265" s="445"/>
      <c r="IH265" s="445"/>
      <c r="II265" s="445"/>
      <c r="IJ265" s="445"/>
      <c r="IK265" s="445"/>
      <c r="IL265" s="445"/>
      <c r="IM265" s="445"/>
      <c r="IN265" s="445"/>
      <c r="IO265" s="445"/>
      <c r="IP265" s="445"/>
      <c r="IQ265" s="445"/>
      <c r="IR265" s="445"/>
      <c r="IS265" s="445"/>
      <c r="IT265" s="445"/>
      <c r="IU265" s="445"/>
      <c r="IV265" s="445"/>
      <c r="IW265" s="445"/>
      <c r="IX265" s="445"/>
      <c r="IY265" s="445"/>
      <c r="IZ265" s="445"/>
      <c r="JA265" s="445"/>
      <c r="JB265" s="445"/>
      <c r="JC265" s="445"/>
      <c r="JD265" s="445"/>
      <c r="JE265" s="445"/>
      <c r="JF265" s="445"/>
      <c r="JG265" s="445"/>
      <c r="JH265" s="445"/>
      <c r="JI265" s="445"/>
      <c r="JJ265" s="445"/>
      <c r="JK265" s="445"/>
      <c r="JL265" s="445"/>
      <c r="JM265" s="445"/>
      <c r="JN265" s="445"/>
      <c r="JO265" s="445"/>
      <c r="JP265" s="445"/>
      <c r="JQ265" s="445"/>
      <c r="JR265" s="445"/>
      <c r="JS265" s="445"/>
      <c r="JT265" s="445"/>
      <c r="JU265" s="445"/>
      <c r="JV265" s="445"/>
      <c r="JW265" s="2242"/>
      <c r="JX265" s="445"/>
      <c r="JY265" s="445"/>
      <c r="JZ265" s="445"/>
      <c r="KA265" s="445"/>
      <c r="KB265" s="2242"/>
      <c r="KC265" s="2242"/>
      <c r="KD265" s="2242"/>
      <c r="KE265" s="2242"/>
      <c r="KF265" s="2242"/>
      <c r="KG265" s="2242"/>
      <c r="KH265" s="2242"/>
      <c r="KI265" s="2242"/>
      <c r="KJ265" s="2242"/>
      <c r="KK265" s="2242"/>
      <c r="KL265" s="2242"/>
      <c r="KM265" s="2242"/>
      <c r="KN265" s="2242"/>
      <c r="KO265" s="2242"/>
      <c r="KP265" s="2242"/>
      <c r="KQ265" s="2242"/>
      <c r="KR265" s="2242"/>
      <c r="KS265" s="2242"/>
      <c r="KT265" s="2242"/>
      <c r="KU265" s="2242"/>
      <c r="KV265" s="2242"/>
      <c r="KW265" s="2242"/>
      <c r="KX265" s="2242"/>
      <c r="KY265" s="2242"/>
      <c r="KZ265" s="2242"/>
      <c r="LA265" s="2242"/>
      <c r="LB265" s="2242"/>
      <c r="LC265" s="2242"/>
      <c r="LD265" s="2242"/>
      <c r="LE265" s="2242"/>
      <c r="LF265" s="2242"/>
      <c r="LG265" s="2242"/>
      <c r="LH265" s="2242"/>
      <c r="LI265" s="2242"/>
      <c r="LJ265" s="2242"/>
      <c r="LK265" s="2242"/>
      <c r="LL265" s="2242"/>
      <c r="LM265" s="2242"/>
      <c r="LN265" s="2242"/>
      <c r="LO265" s="2242"/>
      <c r="LP265" s="2242"/>
      <c r="LQ265" s="2242"/>
      <c r="LR265" s="445"/>
      <c r="LS265" s="445"/>
      <c r="LT265" s="445"/>
      <c r="LU265" s="445"/>
      <c r="LV265" s="445"/>
      <c r="LW265" s="445"/>
      <c r="LX265" s="2243"/>
      <c r="LY265" s="445"/>
      <c r="LZ265" s="445"/>
      <c r="MA265" s="445"/>
      <c r="MB265" s="445"/>
      <c r="MC265" s="445"/>
      <c r="MD265" s="445"/>
      <c r="ME265" s="445"/>
      <c r="MF265" s="445"/>
      <c r="MG265" s="445"/>
      <c r="MH265" s="445"/>
      <c r="MI265" s="445"/>
      <c r="MJ265" s="445"/>
      <c r="MK265" s="445"/>
      <c r="ML265" s="445"/>
      <c r="MM265" s="445"/>
      <c r="MN265" s="2243"/>
      <c r="MO265" s="2243"/>
      <c r="MP265" s="445"/>
      <c r="MQ265" s="445"/>
      <c r="MR265" s="445"/>
      <c r="MS265" s="445"/>
      <c r="MT265" s="445"/>
      <c r="MU265" s="445"/>
      <c r="MV265" s="445"/>
      <c r="MW265" s="445"/>
      <c r="MX265" s="445"/>
      <c r="MY265" s="445"/>
      <c r="MZ265" s="445"/>
      <c r="NA265" s="445"/>
      <c r="NB265" s="445"/>
      <c r="NC265" s="445"/>
      <c r="ND265" s="445"/>
      <c r="NE265" s="94"/>
      <c r="NF265" s="94"/>
      <c r="NG265" s="94"/>
      <c r="NH265" s="94"/>
      <c r="NI265" s="94"/>
      <c r="NJ265" s="94"/>
      <c r="NK265" s="94"/>
      <c r="NL265" s="94"/>
      <c r="NM265" s="94"/>
      <c r="NN265" s="94"/>
      <c r="NO265" s="94"/>
      <c r="NP265" s="94"/>
      <c r="NQ265" s="94"/>
      <c r="NR265" s="94"/>
      <c r="NS265" s="94"/>
      <c r="NT265" s="94"/>
      <c r="NU265" s="94"/>
      <c r="NV265" s="94"/>
      <c r="NW265" s="94"/>
      <c r="NX265" s="94"/>
      <c r="NY265" s="94"/>
      <c r="NZ265" s="94"/>
      <c r="OA265" s="94"/>
      <c r="OB265" s="94"/>
      <c r="OC265" s="94"/>
      <c r="OD265" s="94"/>
      <c r="OE265" s="94"/>
      <c r="OF265" s="94"/>
      <c r="OG265" s="94"/>
      <c r="OH265" s="94"/>
      <c r="OI265" s="94"/>
      <c r="OJ265" s="94"/>
      <c r="OK265" s="94"/>
      <c r="OL265" s="94"/>
      <c r="OM265" s="94"/>
      <c r="ON265" s="94"/>
      <c r="OO265" s="94"/>
      <c r="OP265" s="94"/>
      <c r="OQ265" s="94"/>
      <c r="OR265" s="94"/>
      <c r="OS265" s="94"/>
      <c r="OT265" s="94"/>
      <c r="OU265" s="94"/>
      <c r="OV265" s="94"/>
      <c r="OW265" s="94"/>
      <c r="OX265" s="94"/>
      <c r="OY265" s="94"/>
      <c r="OZ265" s="94"/>
      <c r="PA265" s="94"/>
      <c r="PB265" s="94"/>
      <c r="PC265" s="94"/>
      <c r="PD265" s="94"/>
      <c r="PE265" s="94"/>
      <c r="PF265" s="94"/>
      <c r="PG265" s="94"/>
      <c r="PH265" s="94"/>
      <c r="PI265" s="94"/>
      <c r="PJ265" s="94"/>
      <c r="PK265" s="94"/>
      <c r="PL265" s="94"/>
      <c r="PM265" s="94"/>
      <c r="PN265" s="94"/>
      <c r="PO265" s="94"/>
      <c r="PP265" s="94"/>
      <c r="PQ265" s="94"/>
      <c r="PR265" s="94"/>
      <c r="PS265" s="94"/>
      <c r="PT265" s="94"/>
      <c r="PU265" s="94"/>
      <c r="PV265" s="94"/>
      <c r="PW265" s="94"/>
      <c r="PX265" s="94"/>
      <c r="PY265" s="94"/>
      <c r="PZ265" s="94"/>
      <c r="QA265" s="94"/>
      <c r="QB265" s="94"/>
      <c r="QC265" s="94"/>
      <c r="QD265" s="94"/>
      <c r="QE265" s="94"/>
      <c r="QF265" s="94"/>
      <c r="QG265" s="94"/>
      <c r="QH265" s="94"/>
      <c r="QI265" s="94"/>
      <c r="QJ265" s="94"/>
      <c r="QK265" s="94"/>
      <c r="QL265" s="94"/>
      <c r="QM265" s="94"/>
      <c r="QN265" s="94"/>
      <c r="QO265" s="94"/>
      <c r="QP265" s="94"/>
      <c r="QQ265" s="94"/>
      <c r="QR265" s="94"/>
      <c r="QS265" s="94"/>
      <c r="QT265" s="94"/>
      <c r="QU265" s="94"/>
      <c r="QV265" s="94"/>
      <c r="QW265" s="94"/>
      <c r="QX265" s="94"/>
      <c r="QY265" s="94"/>
      <c r="QZ265" s="94"/>
      <c r="RA265" s="94"/>
      <c r="RB265" s="94"/>
      <c r="RC265" s="94"/>
      <c r="RD265" s="94"/>
      <c r="RE265" s="94"/>
      <c r="RF265" s="94"/>
      <c r="RG265" s="94"/>
      <c r="RH265" s="94"/>
      <c r="RI265" s="94"/>
      <c r="RJ265" s="94"/>
      <c r="RK265" s="94"/>
      <c r="RL265" s="94"/>
      <c r="RM265" s="94"/>
      <c r="RN265" s="94"/>
      <c r="RO265" s="94"/>
      <c r="RP265" s="94"/>
      <c r="RQ265" s="94"/>
      <c r="RR265" s="94"/>
      <c r="RS265" s="94"/>
      <c r="RT265" s="94"/>
      <c r="RU265" s="94"/>
      <c r="RV265" s="94"/>
      <c r="RW265" s="94"/>
      <c r="RX265" s="94"/>
      <c r="RY265" s="94"/>
      <c r="RZ265" s="94"/>
      <c r="SA265" s="94"/>
      <c r="SB265" s="94"/>
      <c r="SC265" s="94"/>
      <c r="SD265" s="94"/>
      <c r="SE265" s="94"/>
      <c r="SF265" s="94"/>
      <c r="SG265" s="94"/>
      <c r="SH265" s="94"/>
      <c r="SI265" s="94"/>
    </row>
    <row r="266" spans="1:503" s="90" customFormat="1" ht="14.1" customHeight="1">
      <c r="A266" s="1"/>
      <c r="B266" s="1"/>
      <c r="C266" s="1"/>
      <c r="D266" s="1"/>
      <c r="E266" s="1"/>
      <c r="F266" s="1"/>
      <c r="G266" s="1"/>
      <c r="H266" s="1"/>
      <c r="I266" s="1"/>
      <c r="J266" s="1"/>
      <c r="K266" s="1"/>
      <c r="L266" s="1"/>
      <c r="M266" s="1"/>
      <c r="N266" s="1"/>
      <c r="O266" s="1"/>
      <c r="P266" s="1"/>
      <c r="X266" s="445"/>
      <c r="Y266" s="445"/>
      <c r="Z266" s="445"/>
      <c r="AA266" s="445"/>
      <c r="AB266" s="445"/>
      <c r="AC266" s="445"/>
      <c r="AD266" s="445"/>
      <c r="AE266" s="445"/>
      <c r="AF266" s="445"/>
      <c r="AG266" s="445"/>
      <c r="AH266" s="445"/>
      <c r="AI266" s="445"/>
      <c r="AJ266" s="445"/>
      <c r="AK266" s="445"/>
      <c r="AL266" s="445"/>
      <c r="AM266" s="445"/>
      <c r="AN266" s="445"/>
      <c r="AO266" s="445"/>
      <c r="AP266" s="445"/>
      <c r="AQ266" s="445"/>
      <c r="AR266" s="445"/>
      <c r="AS266" s="445"/>
      <c r="AT266" s="445"/>
      <c r="AU266" s="445"/>
      <c r="AV266" s="445"/>
      <c r="AW266" s="445"/>
      <c r="AX266" s="445"/>
      <c r="AY266" s="445"/>
      <c r="AZ266" s="445"/>
      <c r="BA266" s="445"/>
      <c r="BB266" s="445"/>
      <c r="BC266" s="445"/>
      <c r="BD266" s="445"/>
      <c r="BE266" s="445"/>
      <c r="BF266" s="445"/>
      <c r="BG266" s="445"/>
      <c r="BH266" s="445"/>
      <c r="BI266" s="445"/>
      <c r="BJ266" s="445"/>
      <c r="BK266" s="445"/>
      <c r="BL266" s="445"/>
      <c r="BM266" s="445"/>
      <c r="BN266" s="445"/>
      <c r="BO266" s="445"/>
      <c r="BP266" s="445"/>
      <c r="BQ266" s="445"/>
      <c r="BR266" s="445"/>
      <c r="BS266" s="445"/>
      <c r="BT266" s="445"/>
      <c r="BU266" s="445"/>
      <c r="BV266" s="445"/>
      <c r="BW266" s="445"/>
      <c r="BX266" s="445"/>
      <c r="BY266" s="445"/>
      <c r="BZ266" s="445"/>
      <c r="CA266" s="445"/>
      <c r="CB266" s="445"/>
      <c r="CC266" s="445"/>
      <c r="CD266" s="445"/>
      <c r="CE266" s="445"/>
      <c r="CF266" s="445"/>
      <c r="CG266" s="445"/>
      <c r="CH266" s="445"/>
      <c r="CI266" s="445"/>
      <c r="CJ266" s="445"/>
      <c r="CK266" s="445"/>
      <c r="CL266" s="445"/>
      <c r="CM266" s="445"/>
      <c r="CN266" s="445"/>
      <c r="CO266" s="445"/>
      <c r="CP266" s="445"/>
      <c r="CQ266" s="445"/>
      <c r="CR266" s="445"/>
      <c r="CS266" s="445"/>
      <c r="CT266" s="445"/>
      <c r="CU266" s="445"/>
      <c r="CV266" s="445"/>
      <c r="CW266" s="445"/>
      <c r="CX266" s="445"/>
      <c r="CY266" s="445"/>
      <c r="CZ266" s="445"/>
      <c r="DA266" s="445"/>
      <c r="DB266" s="445"/>
      <c r="DC266" s="445"/>
      <c r="DD266" s="445"/>
      <c r="DE266" s="445"/>
      <c r="DF266" s="445"/>
      <c r="DG266" s="445"/>
      <c r="DH266" s="445"/>
      <c r="DI266" s="445"/>
      <c r="DJ266" s="445"/>
      <c r="DK266" s="445"/>
      <c r="DL266" s="445"/>
      <c r="DM266" s="445"/>
      <c r="DN266" s="445"/>
      <c r="DO266" s="445"/>
      <c r="DP266" s="445"/>
      <c r="DQ266" s="445"/>
      <c r="DR266" s="445"/>
      <c r="DS266" s="445"/>
      <c r="DT266" s="445"/>
      <c r="DU266" s="445"/>
      <c r="DV266" s="445"/>
      <c r="DW266" s="445"/>
      <c r="DX266" s="445"/>
      <c r="DY266" s="445"/>
      <c r="DZ266" s="445"/>
      <c r="EA266" s="445"/>
      <c r="EB266" s="445"/>
      <c r="EC266" s="445"/>
      <c r="ED266" s="445"/>
      <c r="EE266" s="445"/>
      <c r="EF266" s="445"/>
      <c r="EG266" s="445"/>
      <c r="EH266" s="445"/>
      <c r="EI266" s="445"/>
      <c r="EJ266" s="445"/>
      <c r="EK266" s="445"/>
      <c r="EL266" s="445"/>
      <c r="EM266" s="445"/>
      <c r="EN266" s="445"/>
      <c r="EO266" s="445"/>
      <c r="EP266" s="445"/>
      <c r="EQ266" s="445"/>
      <c r="ER266" s="445"/>
      <c r="ES266" s="445"/>
      <c r="ET266" s="445"/>
      <c r="EU266" s="445"/>
      <c r="EV266" s="445"/>
      <c r="EW266" s="445"/>
      <c r="EX266" s="445"/>
      <c r="EY266" s="445"/>
      <c r="EZ266" s="445"/>
      <c r="FA266" s="445"/>
      <c r="FB266" s="445"/>
      <c r="FC266" s="445"/>
      <c r="FD266" s="445"/>
      <c r="FE266" s="445"/>
      <c r="FF266" s="445"/>
      <c r="FG266" s="445"/>
      <c r="FH266" s="445"/>
      <c r="FI266" s="445"/>
      <c r="FJ266" s="445"/>
      <c r="FK266" s="445"/>
      <c r="FL266" s="445"/>
      <c r="FM266" s="445"/>
      <c r="FN266" s="445"/>
      <c r="FO266" s="445"/>
      <c r="FP266" s="445"/>
      <c r="FQ266" s="445"/>
      <c r="FR266" s="445"/>
      <c r="FS266" s="445"/>
      <c r="FT266" s="445"/>
      <c r="FU266" s="445"/>
      <c r="FV266" s="445"/>
      <c r="FW266" s="445"/>
      <c r="FX266" s="445"/>
      <c r="FY266" s="445"/>
      <c r="FZ266" s="445"/>
      <c r="GA266" s="445"/>
      <c r="GB266" s="445"/>
      <c r="GC266" s="445"/>
      <c r="GD266" s="445"/>
      <c r="GE266" s="445"/>
      <c r="GF266" s="445"/>
      <c r="GG266" s="445"/>
      <c r="GH266" s="445"/>
      <c r="GI266" s="445"/>
      <c r="GJ266" s="445"/>
      <c r="GK266" s="445"/>
      <c r="GL266" s="445"/>
      <c r="GM266" s="445"/>
      <c r="GN266" s="445"/>
      <c r="GO266" s="445"/>
      <c r="GP266" s="445"/>
      <c r="GQ266" s="445"/>
      <c r="GR266" s="445"/>
      <c r="GS266" s="445"/>
      <c r="GT266" s="445"/>
      <c r="GU266" s="445"/>
      <c r="GV266" s="445"/>
      <c r="GW266" s="445"/>
      <c r="GX266" s="445"/>
      <c r="GY266" s="445"/>
      <c r="GZ266" s="445"/>
      <c r="HA266" s="445"/>
      <c r="HB266" s="445"/>
      <c r="HC266" s="445"/>
      <c r="HD266" s="445"/>
      <c r="HE266" s="445"/>
      <c r="HF266" s="445"/>
      <c r="HG266" s="445"/>
      <c r="HH266" s="445"/>
      <c r="HI266" s="445"/>
      <c r="HJ266" s="445"/>
      <c r="HK266" s="445"/>
      <c r="HL266" s="445"/>
      <c r="HM266" s="445"/>
      <c r="HN266" s="445"/>
      <c r="HO266" s="445"/>
      <c r="HP266" s="445"/>
      <c r="HQ266" s="445"/>
      <c r="HR266" s="445"/>
      <c r="HS266" s="445"/>
      <c r="HT266" s="445"/>
      <c r="HU266" s="445"/>
      <c r="HV266" s="445"/>
      <c r="HW266" s="445"/>
      <c r="HX266" s="445"/>
      <c r="HY266" s="445"/>
      <c r="HZ266" s="445"/>
      <c r="IA266" s="445"/>
      <c r="IB266" s="445"/>
      <c r="IC266" s="445"/>
      <c r="ID266" s="445"/>
      <c r="IE266" s="445"/>
      <c r="IF266" s="445"/>
      <c r="IG266" s="445"/>
      <c r="IH266" s="445"/>
      <c r="II266" s="445"/>
      <c r="IJ266" s="445"/>
      <c r="IK266" s="445"/>
      <c r="IL266" s="445"/>
      <c r="IM266" s="445"/>
      <c r="IN266" s="445"/>
      <c r="IO266" s="445"/>
      <c r="IP266" s="445"/>
      <c r="IQ266" s="445"/>
      <c r="IR266" s="445"/>
      <c r="IS266" s="445"/>
      <c r="IT266" s="445"/>
      <c r="IU266" s="445"/>
      <c r="IV266" s="445"/>
      <c r="IW266" s="445"/>
      <c r="IX266" s="445"/>
      <c r="IY266" s="445"/>
      <c r="IZ266" s="445"/>
      <c r="JA266" s="445"/>
      <c r="JB266" s="445"/>
      <c r="JC266" s="445"/>
      <c r="JD266" s="445"/>
      <c r="JE266" s="445"/>
      <c r="JF266" s="445"/>
      <c r="JG266" s="445"/>
      <c r="JH266" s="445"/>
      <c r="JI266" s="445"/>
      <c r="JJ266" s="445"/>
      <c r="JK266" s="445"/>
      <c r="JL266" s="445"/>
      <c r="JM266" s="445"/>
      <c r="JN266" s="445"/>
      <c r="JO266" s="445"/>
      <c r="JP266" s="445"/>
      <c r="JQ266" s="445"/>
      <c r="JR266" s="445"/>
      <c r="JS266" s="445"/>
      <c r="JT266" s="445"/>
      <c r="JU266" s="445"/>
      <c r="JV266" s="445"/>
      <c r="JW266" s="2242"/>
      <c r="JX266" s="445"/>
      <c r="JY266" s="445"/>
      <c r="JZ266" s="445"/>
      <c r="KA266" s="445"/>
      <c r="KB266" s="2242"/>
      <c r="KC266" s="2242"/>
      <c r="KD266" s="2242"/>
      <c r="KE266" s="2242"/>
      <c r="KF266" s="2242"/>
      <c r="KG266" s="2242"/>
      <c r="KH266" s="2242"/>
      <c r="KI266" s="2242"/>
      <c r="KJ266" s="2242"/>
      <c r="KK266" s="2242"/>
      <c r="KL266" s="2242"/>
      <c r="KM266" s="2242"/>
      <c r="KN266" s="2242"/>
      <c r="KO266" s="2242"/>
      <c r="KP266" s="2242"/>
      <c r="KQ266" s="2242"/>
      <c r="KR266" s="2242"/>
      <c r="KS266" s="2242"/>
      <c r="KT266" s="2242"/>
      <c r="KU266" s="2242"/>
      <c r="KV266" s="2242"/>
      <c r="KW266" s="2242"/>
      <c r="KX266" s="2242"/>
      <c r="KY266" s="2242"/>
      <c r="KZ266" s="2242"/>
      <c r="LA266" s="2242"/>
      <c r="LB266" s="2242"/>
      <c r="LC266" s="2242"/>
      <c r="LD266" s="2242"/>
      <c r="LE266" s="2242"/>
      <c r="LF266" s="2242"/>
      <c r="LG266" s="2242"/>
      <c r="LH266" s="2242"/>
      <c r="LI266" s="2242"/>
      <c r="LJ266" s="2242"/>
      <c r="LK266" s="2242"/>
      <c r="LL266" s="2242"/>
      <c r="LM266" s="2242"/>
      <c r="LN266" s="2242"/>
      <c r="LO266" s="2242"/>
      <c r="LP266" s="2242"/>
      <c r="LQ266" s="2242"/>
      <c r="LR266" s="445"/>
      <c r="LS266" s="445"/>
      <c r="LT266" s="445"/>
      <c r="LU266" s="445"/>
      <c r="LV266" s="445"/>
      <c r="LW266" s="445"/>
      <c r="LX266" s="2243"/>
      <c r="LY266" s="445"/>
      <c r="LZ266" s="445"/>
      <c r="MA266" s="445"/>
      <c r="MB266" s="445"/>
      <c r="MC266" s="445"/>
      <c r="MD266" s="445"/>
      <c r="ME266" s="445"/>
      <c r="MF266" s="445"/>
      <c r="MG266" s="445"/>
      <c r="MH266" s="445"/>
      <c r="MI266" s="445"/>
      <c r="MJ266" s="445"/>
      <c r="MK266" s="445"/>
      <c r="ML266" s="445"/>
      <c r="MM266" s="445"/>
      <c r="MN266" s="2243"/>
      <c r="MO266" s="2243"/>
      <c r="MP266" s="445"/>
      <c r="MQ266" s="445"/>
      <c r="MR266" s="445"/>
      <c r="MS266" s="445"/>
      <c r="MT266" s="445"/>
      <c r="MU266" s="445"/>
      <c r="MV266" s="445"/>
      <c r="MW266" s="445"/>
      <c r="MX266" s="445"/>
      <c r="MY266" s="445"/>
      <c r="MZ266" s="445"/>
      <c r="NA266" s="445"/>
      <c r="NB266" s="445"/>
      <c r="NC266" s="445"/>
      <c r="ND266" s="445"/>
      <c r="NE266" s="94"/>
      <c r="NF266" s="94"/>
      <c r="NG266" s="94"/>
      <c r="NH266" s="94"/>
      <c r="NI266" s="94"/>
      <c r="NJ266" s="94"/>
      <c r="NK266" s="94"/>
      <c r="NL266" s="94"/>
      <c r="NM266" s="94"/>
      <c r="NN266" s="94"/>
      <c r="NO266" s="94"/>
      <c r="NP266" s="94"/>
      <c r="NQ266" s="94"/>
      <c r="NR266" s="94"/>
      <c r="NS266" s="94"/>
      <c r="NT266" s="94"/>
      <c r="NU266" s="94"/>
      <c r="NV266" s="94"/>
      <c r="NW266" s="94"/>
      <c r="NX266" s="94"/>
      <c r="NY266" s="94"/>
      <c r="NZ266" s="94"/>
      <c r="OA266" s="94"/>
      <c r="OB266" s="94"/>
      <c r="OC266" s="94"/>
      <c r="OD266" s="94"/>
      <c r="OE266" s="94"/>
      <c r="OF266" s="94"/>
      <c r="OG266" s="94"/>
      <c r="OH266" s="94"/>
      <c r="OI266" s="94"/>
      <c r="OJ266" s="94"/>
      <c r="OK266" s="94"/>
      <c r="OL266" s="94"/>
      <c r="OM266" s="94"/>
      <c r="ON266" s="94"/>
      <c r="OO266" s="94"/>
      <c r="OP266" s="94"/>
      <c r="OQ266" s="94"/>
      <c r="OR266" s="94"/>
      <c r="OS266" s="94"/>
      <c r="OT266" s="94"/>
      <c r="OU266" s="94"/>
      <c r="OV266" s="94"/>
      <c r="OW266" s="94"/>
      <c r="OX266" s="94"/>
      <c r="OY266" s="94"/>
      <c r="OZ266" s="94"/>
      <c r="PA266" s="94"/>
      <c r="PB266" s="94"/>
      <c r="PC266" s="94"/>
      <c r="PD266" s="94"/>
      <c r="PE266" s="94"/>
      <c r="PF266" s="94"/>
      <c r="PG266" s="94"/>
      <c r="PH266" s="94"/>
      <c r="PI266" s="94"/>
      <c r="PJ266" s="94"/>
      <c r="PK266" s="94"/>
      <c r="PL266" s="94"/>
      <c r="PM266" s="94"/>
      <c r="PN266" s="94"/>
      <c r="PO266" s="94"/>
      <c r="PP266" s="94"/>
      <c r="PQ266" s="94"/>
      <c r="PR266" s="94"/>
      <c r="PS266" s="94"/>
      <c r="PT266" s="94"/>
      <c r="PU266" s="94"/>
      <c r="PV266" s="94"/>
      <c r="PW266" s="94"/>
      <c r="PX266" s="94"/>
      <c r="PY266" s="94"/>
      <c r="PZ266" s="94"/>
      <c r="QA266" s="94"/>
      <c r="QB266" s="94"/>
      <c r="QC266" s="94"/>
      <c r="QD266" s="94"/>
      <c r="QE266" s="94"/>
      <c r="QF266" s="94"/>
      <c r="QG266" s="94"/>
      <c r="QH266" s="94"/>
      <c r="QI266" s="94"/>
      <c r="QJ266" s="94"/>
      <c r="QK266" s="94"/>
      <c r="QL266" s="94"/>
      <c r="QM266" s="94"/>
      <c r="QN266" s="94"/>
      <c r="QO266" s="94"/>
      <c r="QP266" s="94"/>
      <c r="QQ266" s="94"/>
      <c r="QR266" s="94"/>
      <c r="QS266" s="94"/>
      <c r="QT266" s="94"/>
      <c r="QU266" s="94"/>
      <c r="QV266" s="94"/>
      <c r="QW266" s="94"/>
      <c r="QX266" s="94"/>
      <c r="QY266" s="94"/>
      <c r="QZ266" s="94"/>
      <c r="RA266" s="94"/>
      <c r="RB266" s="94"/>
      <c r="RC266" s="94"/>
      <c r="RD266" s="94"/>
      <c r="RE266" s="94"/>
      <c r="RF266" s="94"/>
      <c r="RG266" s="94"/>
      <c r="RH266" s="94"/>
      <c r="RI266" s="94"/>
      <c r="RJ266" s="94"/>
      <c r="RK266" s="94"/>
      <c r="RL266" s="94"/>
      <c r="RM266" s="94"/>
      <c r="RN266" s="94"/>
      <c r="RO266" s="94"/>
      <c r="RP266" s="94"/>
      <c r="RQ266" s="94"/>
      <c r="RR266" s="94"/>
      <c r="RS266" s="94"/>
      <c r="RT266" s="94"/>
      <c r="RU266" s="94"/>
      <c r="RV266" s="94"/>
      <c r="RW266" s="94"/>
      <c r="RX266" s="94"/>
      <c r="RY266" s="94"/>
      <c r="RZ266" s="94"/>
      <c r="SA266" s="94"/>
      <c r="SB266" s="94"/>
      <c r="SC266" s="94"/>
      <c r="SD266" s="94"/>
      <c r="SE266" s="94"/>
      <c r="SF266" s="94"/>
      <c r="SG266" s="94"/>
      <c r="SH266" s="94"/>
      <c r="SI266" s="94"/>
    </row>
    <row r="267" spans="1:503" ht="14.1" customHeight="1"/>
    <row r="268" spans="1:503" ht="14.1" customHeight="1"/>
    <row r="269" spans="1:503" ht="14.1" customHeight="1"/>
    <row r="270" spans="1:503" ht="14.1" customHeight="1"/>
    <row r="271" spans="1:503" s="90" customFormat="1" ht="14.1" customHeight="1">
      <c r="A271" s="32"/>
      <c r="B271" s="1"/>
      <c r="C271" s="1"/>
      <c r="D271" s="1"/>
      <c r="E271" s="1"/>
      <c r="F271" s="1"/>
      <c r="G271" s="1"/>
      <c r="H271" s="1"/>
      <c r="I271" s="1"/>
      <c r="J271" s="1"/>
      <c r="K271" s="1"/>
      <c r="L271" s="1"/>
      <c r="M271" s="1"/>
      <c r="N271" s="1"/>
      <c r="O271" s="1"/>
      <c r="P271" s="1"/>
      <c r="X271" s="445"/>
      <c r="Y271" s="445"/>
      <c r="Z271" s="445"/>
      <c r="AA271" s="445"/>
      <c r="AB271" s="445"/>
      <c r="AC271" s="445"/>
      <c r="AD271" s="445"/>
      <c r="AE271" s="445"/>
      <c r="AF271" s="445"/>
      <c r="AG271" s="445"/>
      <c r="AH271" s="445"/>
      <c r="AI271" s="445"/>
      <c r="AJ271" s="445"/>
      <c r="AK271" s="445"/>
      <c r="AL271" s="445"/>
      <c r="AM271" s="445"/>
      <c r="AN271" s="445"/>
      <c r="AO271" s="445"/>
      <c r="AP271" s="445"/>
      <c r="AQ271" s="445"/>
      <c r="AR271" s="445"/>
      <c r="AS271" s="445"/>
      <c r="AT271" s="445"/>
      <c r="AU271" s="445"/>
      <c r="AV271" s="445"/>
      <c r="AW271" s="445"/>
      <c r="AX271" s="445"/>
      <c r="AY271" s="445"/>
      <c r="AZ271" s="445"/>
      <c r="BA271" s="445"/>
      <c r="BB271" s="445"/>
      <c r="BC271" s="445"/>
      <c r="BD271" s="445"/>
      <c r="BE271" s="445"/>
      <c r="BF271" s="445"/>
      <c r="BG271" s="445"/>
      <c r="BH271" s="445"/>
      <c r="BI271" s="445"/>
      <c r="BJ271" s="445"/>
      <c r="BK271" s="445"/>
      <c r="BL271" s="445"/>
      <c r="BM271" s="445"/>
      <c r="BN271" s="445"/>
      <c r="BO271" s="445"/>
      <c r="BP271" s="445"/>
      <c r="BQ271" s="445"/>
      <c r="BR271" s="445"/>
      <c r="BS271" s="445"/>
      <c r="BT271" s="445"/>
      <c r="BU271" s="445"/>
      <c r="BV271" s="445"/>
      <c r="BW271" s="445"/>
      <c r="BX271" s="445"/>
      <c r="BY271" s="445"/>
      <c r="BZ271" s="445"/>
      <c r="CA271" s="445"/>
      <c r="CB271" s="445"/>
      <c r="CC271" s="445"/>
      <c r="CD271" s="445"/>
      <c r="CE271" s="445"/>
      <c r="CF271" s="445"/>
      <c r="CG271" s="445"/>
      <c r="CH271" s="445"/>
      <c r="CI271" s="445"/>
      <c r="CJ271" s="445"/>
      <c r="CK271" s="445"/>
      <c r="CL271" s="445"/>
      <c r="CM271" s="445"/>
      <c r="CN271" s="445"/>
      <c r="CO271" s="445"/>
      <c r="CP271" s="445"/>
      <c r="CQ271" s="445"/>
      <c r="CR271" s="445"/>
      <c r="CS271" s="445"/>
      <c r="CT271" s="445"/>
      <c r="CU271" s="445"/>
      <c r="CV271" s="445"/>
      <c r="CW271" s="445"/>
      <c r="CX271" s="445"/>
      <c r="CY271" s="445"/>
      <c r="CZ271" s="445"/>
      <c r="DA271" s="445"/>
      <c r="DB271" s="445"/>
      <c r="DC271" s="445"/>
      <c r="DD271" s="445"/>
      <c r="DE271" s="445"/>
      <c r="DF271" s="445"/>
      <c r="DG271" s="445"/>
      <c r="DH271" s="445"/>
      <c r="DI271" s="445"/>
      <c r="DJ271" s="445"/>
      <c r="DK271" s="445"/>
      <c r="DL271" s="445"/>
      <c r="DM271" s="445"/>
      <c r="DN271" s="445"/>
      <c r="DO271" s="445"/>
      <c r="DP271" s="445"/>
      <c r="DQ271" s="445"/>
      <c r="DR271" s="445"/>
      <c r="DS271" s="445"/>
      <c r="DT271" s="445"/>
      <c r="DU271" s="445"/>
      <c r="DV271" s="445"/>
      <c r="DW271" s="445"/>
      <c r="DX271" s="445"/>
      <c r="DY271" s="445"/>
      <c r="DZ271" s="445"/>
      <c r="EA271" s="445"/>
      <c r="EB271" s="445"/>
      <c r="EC271" s="445"/>
      <c r="ED271" s="445"/>
      <c r="EE271" s="445"/>
      <c r="EF271" s="445"/>
      <c r="EG271" s="445"/>
      <c r="EH271" s="445"/>
      <c r="EI271" s="445"/>
      <c r="EJ271" s="445"/>
      <c r="EK271" s="445"/>
      <c r="EL271" s="445"/>
      <c r="EM271" s="445"/>
      <c r="EN271" s="445"/>
      <c r="EO271" s="445"/>
      <c r="EP271" s="445"/>
      <c r="EQ271" s="445"/>
      <c r="ER271" s="445"/>
      <c r="ES271" s="445"/>
      <c r="ET271" s="445"/>
      <c r="EU271" s="445"/>
      <c r="EV271" s="445"/>
      <c r="EW271" s="445"/>
      <c r="EX271" s="445"/>
      <c r="EY271" s="445"/>
      <c r="EZ271" s="445"/>
      <c r="FA271" s="445"/>
      <c r="FB271" s="445"/>
      <c r="FC271" s="445"/>
      <c r="FD271" s="445"/>
      <c r="FE271" s="445"/>
      <c r="FF271" s="445"/>
      <c r="FG271" s="445"/>
      <c r="FH271" s="445"/>
      <c r="FI271" s="445"/>
      <c r="FJ271" s="445"/>
      <c r="FK271" s="445"/>
      <c r="FL271" s="445"/>
      <c r="FM271" s="445"/>
      <c r="FN271" s="445"/>
      <c r="FO271" s="445"/>
      <c r="FP271" s="445"/>
      <c r="FQ271" s="445"/>
      <c r="FR271" s="445"/>
      <c r="FS271" s="445"/>
      <c r="FT271" s="445"/>
      <c r="FU271" s="445"/>
      <c r="FV271" s="445"/>
      <c r="FW271" s="445"/>
      <c r="FX271" s="445"/>
      <c r="FY271" s="445"/>
      <c r="FZ271" s="445"/>
      <c r="GA271" s="445"/>
      <c r="GB271" s="445"/>
      <c r="GC271" s="445"/>
      <c r="GD271" s="445"/>
      <c r="GE271" s="445"/>
      <c r="GF271" s="445"/>
      <c r="GG271" s="445"/>
      <c r="GH271" s="445"/>
      <c r="GI271" s="445"/>
      <c r="GJ271" s="445"/>
      <c r="GK271" s="445"/>
      <c r="GL271" s="445"/>
      <c r="GM271" s="445"/>
      <c r="GN271" s="445"/>
      <c r="GO271" s="445"/>
      <c r="GP271" s="445"/>
      <c r="GQ271" s="445"/>
      <c r="GR271" s="445"/>
      <c r="GS271" s="445"/>
      <c r="GT271" s="445"/>
      <c r="GU271" s="445"/>
      <c r="GV271" s="445"/>
      <c r="GW271" s="445"/>
      <c r="GX271" s="445"/>
      <c r="GY271" s="445"/>
      <c r="GZ271" s="445"/>
      <c r="HA271" s="445"/>
      <c r="HB271" s="445"/>
      <c r="HC271" s="445"/>
      <c r="HD271" s="445"/>
      <c r="HE271" s="445"/>
      <c r="HF271" s="445"/>
      <c r="HG271" s="445"/>
      <c r="HH271" s="445"/>
      <c r="HI271" s="445"/>
      <c r="HJ271" s="445"/>
      <c r="HK271" s="445"/>
      <c r="HL271" s="445"/>
      <c r="HM271" s="445"/>
      <c r="HN271" s="445"/>
      <c r="HO271" s="445"/>
      <c r="HP271" s="445"/>
      <c r="HQ271" s="445"/>
      <c r="HR271" s="445"/>
      <c r="HS271" s="445"/>
      <c r="HT271" s="445"/>
      <c r="HU271" s="445"/>
      <c r="HV271" s="445"/>
      <c r="HW271" s="445"/>
      <c r="HX271" s="445"/>
      <c r="HY271" s="445"/>
      <c r="HZ271" s="445"/>
      <c r="IA271" s="445"/>
      <c r="IB271" s="445"/>
      <c r="IC271" s="445"/>
      <c r="ID271" s="445"/>
      <c r="IE271" s="445"/>
      <c r="IF271" s="445"/>
      <c r="IG271" s="445"/>
      <c r="IH271" s="445"/>
      <c r="II271" s="445"/>
      <c r="IJ271" s="445"/>
      <c r="IK271" s="445"/>
      <c r="IL271" s="445"/>
      <c r="IM271" s="445"/>
      <c r="IN271" s="445"/>
      <c r="IO271" s="445"/>
      <c r="IP271" s="445"/>
      <c r="IQ271" s="445"/>
      <c r="IR271" s="445"/>
      <c r="IS271" s="445"/>
      <c r="IT271" s="445"/>
      <c r="IU271" s="445"/>
      <c r="IV271" s="445"/>
      <c r="IW271" s="445"/>
      <c r="IX271" s="445"/>
      <c r="IY271" s="445"/>
      <c r="IZ271" s="445"/>
      <c r="JA271" s="445"/>
      <c r="JB271" s="445"/>
      <c r="JC271" s="445"/>
      <c r="JD271" s="445"/>
      <c r="JE271" s="445"/>
      <c r="JF271" s="445"/>
      <c r="JG271" s="445"/>
      <c r="JH271" s="445"/>
      <c r="JI271" s="445"/>
      <c r="JJ271" s="445"/>
      <c r="JK271" s="445"/>
      <c r="JL271" s="445"/>
      <c r="JM271" s="445"/>
      <c r="JN271" s="445"/>
      <c r="JO271" s="445"/>
      <c r="JP271" s="445"/>
      <c r="JQ271" s="445"/>
      <c r="JR271" s="445"/>
      <c r="JS271" s="445"/>
      <c r="JT271" s="445"/>
      <c r="JU271" s="445"/>
      <c r="JV271" s="445"/>
      <c r="JW271" s="2242"/>
      <c r="JX271" s="445"/>
      <c r="JY271" s="445"/>
      <c r="JZ271" s="445"/>
      <c r="KA271" s="445"/>
      <c r="KB271" s="2242"/>
      <c r="KC271" s="2242"/>
      <c r="KD271" s="2242"/>
      <c r="KE271" s="2242"/>
      <c r="KF271" s="2242"/>
      <c r="KG271" s="2242"/>
      <c r="KH271" s="2242"/>
      <c r="KI271" s="2242"/>
      <c r="KJ271" s="2242"/>
      <c r="KK271" s="2242"/>
      <c r="KL271" s="2242"/>
      <c r="KM271" s="2242"/>
      <c r="KN271" s="2242"/>
      <c r="KO271" s="2242"/>
      <c r="KP271" s="2242"/>
      <c r="KQ271" s="2242"/>
      <c r="KR271" s="2242"/>
      <c r="KS271" s="2242"/>
      <c r="KT271" s="2242"/>
      <c r="KU271" s="2242"/>
      <c r="KV271" s="2242"/>
      <c r="KW271" s="2242"/>
      <c r="KX271" s="2242"/>
      <c r="KY271" s="2242"/>
      <c r="KZ271" s="2242"/>
      <c r="LA271" s="2242"/>
      <c r="LB271" s="2242"/>
      <c r="LC271" s="2242"/>
      <c r="LD271" s="2242"/>
      <c r="LE271" s="2242"/>
      <c r="LF271" s="2242"/>
      <c r="LG271" s="2242"/>
      <c r="LH271" s="2242"/>
      <c r="LI271" s="2242"/>
      <c r="LJ271" s="2242"/>
      <c r="LK271" s="2242"/>
      <c r="LL271" s="2242"/>
      <c r="LM271" s="2242"/>
      <c r="LN271" s="2242"/>
      <c r="LO271" s="2242"/>
      <c r="LP271" s="2242"/>
      <c r="LQ271" s="2242"/>
      <c r="LR271" s="445"/>
      <c r="LS271" s="445"/>
      <c r="LT271" s="445"/>
      <c r="LU271" s="445"/>
      <c r="LV271" s="445"/>
      <c r="LW271" s="445"/>
      <c r="LX271" s="2243"/>
      <c r="LY271" s="445"/>
      <c r="LZ271" s="445"/>
      <c r="MA271" s="445"/>
      <c r="MB271" s="445"/>
      <c r="MC271" s="445"/>
      <c r="MD271" s="445"/>
      <c r="ME271" s="445"/>
      <c r="MF271" s="445"/>
      <c r="MG271" s="445"/>
      <c r="MH271" s="445"/>
      <c r="MI271" s="445"/>
      <c r="MJ271" s="445"/>
      <c r="MK271" s="445"/>
      <c r="ML271" s="445"/>
      <c r="MM271" s="445"/>
      <c r="MN271" s="2243"/>
      <c r="MO271" s="2243"/>
      <c r="MP271" s="445"/>
      <c r="MQ271" s="445"/>
      <c r="MR271" s="445"/>
      <c r="MS271" s="445"/>
      <c r="MT271" s="445"/>
      <c r="MU271" s="445"/>
      <c r="MV271" s="445"/>
      <c r="MW271" s="445"/>
      <c r="MX271" s="445"/>
      <c r="MY271" s="445"/>
      <c r="MZ271" s="445"/>
      <c r="NA271" s="445"/>
      <c r="NB271" s="445"/>
      <c r="NC271" s="445"/>
      <c r="ND271" s="445"/>
      <c r="NE271" s="94"/>
      <c r="NF271" s="94"/>
      <c r="NG271" s="94"/>
      <c r="NH271" s="94"/>
      <c r="NI271" s="94"/>
      <c r="NJ271" s="94"/>
      <c r="NK271" s="94"/>
      <c r="NL271" s="94"/>
      <c r="NM271" s="94"/>
      <c r="NN271" s="94"/>
      <c r="NO271" s="94"/>
      <c r="NP271" s="94"/>
      <c r="NQ271" s="94"/>
      <c r="NR271" s="94"/>
      <c r="NS271" s="94"/>
      <c r="NT271" s="94"/>
      <c r="NU271" s="94"/>
      <c r="NV271" s="94"/>
      <c r="NW271" s="94"/>
      <c r="NX271" s="94"/>
      <c r="NY271" s="94"/>
      <c r="NZ271" s="94"/>
      <c r="OA271" s="94"/>
      <c r="OB271" s="94"/>
      <c r="OC271" s="94"/>
      <c r="OD271" s="94"/>
      <c r="OE271" s="94"/>
      <c r="OF271" s="94"/>
      <c r="OG271" s="94"/>
      <c r="OH271" s="94"/>
      <c r="OI271" s="94"/>
      <c r="OJ271" s="94"/>
      <c r="OK271" s="94"/>
      <c r="OL271" s="94"/>
      <c r="OM271" s="94"/>
      <c r="ON271" s="94"/>
      <c r="OO271" s="94"/>
      <c r="OP271" s="94"/>
      <c r="OQ271" s="94"/>
      <c r="OR271" s="94"/>
      <c r="OS271" s="94"/>
      <c r="OT271" s="94"/>
      <c r="OU271" s="94"/>
      <c r="OV271" s="94"/>
      <c r="OW271" s="94"/>
      <c r="OX271" s="94"/>
      <c r="OY271" s="94"/>
      <c r="OZ271" s="94"/>
      <c r="PA271" s="94"/>
      <c r="PB271" s="94"/>
      <c r="PC271" s="94"/>
      <c r="PD271" s="94"/>
      <c r="PE271" s="94"/>
      <c r="PF271" s="94"/>
      <c r="PG271" s="94"/>
      <c r="PH271" s="94"/>
      <c r="PI271" s="94"/>
      <c r="PJ271" s="94"/>
      <c r="PK271" s="94"/>
      <c r="PL271" s="94"/>
      <c r="PM271" s="94"/>
      <c r="PN271" s="94"/>
      <c r="PO271" s="94"/>
      <c r="PP271" s="94"/>
      <c r="PQ271" s="94"/>
      <c r="PR271" s="94"/>
      <c r="PS271" s="94"/>
      <c r="PT271" s="94"/>
      <c r="PU271" s="94"/>
      <c r="PV271" s="94"/>
      <c r="PW271" s="94"/>
      <c r="PX271" s="94"/>
      <c r="PY271" s="94"/>
      <c r="PZ271" s="94"/>
      <c r="QA271" s="94"/>
      <c r="QB271" s="94"/>
      <c r="QC271" s="94"/>
      <c r="QD271" s="94"/>
      <c r="QE271" s="94"/>
      <c r="QF271" s="94"/>
      <c r="QG271" s="94"/>
      <c r="QH271" s="94"/>
      <c r="QI271" s="94"/>
      <c r="QJ271" s="94"/>
      <c r="QK271" s="94"/>
      <c r="QL271" s="94"/>
      <c r="QM271" s="94"/>
      <c r="QN271" s="94"/>
      <c r="QO271" s="94"/>
      <c r="QP271" s="94"/>
      <c r="QQ271" s="94"/>
      <c r="QR271" s="94"/>
      <c r="QS271" s="94"/>
      <c r="QT271" s="94"/>
      <c r="QU271" s="94"/>
      <c r="QV271" s="94"/>
      <c r="QW271" s="94"/>
      <c r="QX271" s="94"/>
      <c r="QY271" s="94"/>
      <c r="QZ271" s="94"/>
      <c r="RA271" s="94"/>
      <c r="RB271" s="94"/>
      <c r="RC271" s="94"/>
      <c r="RD271" s="94"/>
      <c r="RE271" s="94"/>
      <c r="RF271" s="94"/>
      <c r="RG271" s="94"/>
      <c r="RH271" s="94"/>
      <c r="RI271" s="94"/>
      <c r="RJ271" s="94"/>
      <c r="RK271" s="94"/>
      <c r="RL271" s="94"/>
      <c r="RM271" s="94"/>
      <c r="RN271" s="94"/>
      <c r="RO271" s="94"/>
      <c r="RP271" s="94"/>
      <c r="RQ271" s="94"/>
      <c r="RR271" s="94"/>
      <c r="RS271" s="94"/>
      <c r="RT271" s="94"/>
      <c r="RU271" s="94"/>
      <c r="RV271" s="94"/>
      <c r="RW271" s="94"/>
      <c r="RX271" s="94"/>
      <c r="RY271" s="94"/>
      <c r="RZ271" s="94"/>
      <c r="SA271" s="94"/>
      <c r="SB271" s="94"/>
      <c r="SC271" s="94"/>
      <c r="SD271" s="94"/>
      <c r="SE271" s="94"/>
      <c r="SF271" s="94"/>
      <c r="SG271" s="94"/>
      <c r="SH271" s="94"/>
      <c r="SI271" s="94"/>
    </row>
    <row r="272" spans="1:503" s="90" customFormat="1" ht="14.1" customHeight="1">
      <c r="A272" s="32"/>
      <c r="B272" s="1"/>
      <c r="C272" s="1"/>
      <c r="D272" s="1"/>
      <c r="E272" s="1"/>
      <c r="F272" s="1"/>
      <c r="G272" s="1"/>
      <c r="H272" s="1"/>
      <c r="I272" s="1"/>
      <c r="J272" s="1"/>
      <c r="K272" s="1"/>
      <c r="L272" s="1"/>
      <c r="M272" s="1"/>
      <c r="N272" s="1"/>
      <c r="O272" s="1"/>
      <c r="P272" s="1"/>
      <c r="X272" s="445"/>
      <c r="Y272" s="445"/>
      <c r="Z272" s="445"/>
      <c r="AA272" s="445"/>
      <c r="AB272" s="445"/>
      <c r="AC272" s="445"/>
      <c r="AD272" s="445"/>
      <c r="AE272" s="445"/>
      <c r="AF272" s="445"/>
      <c r="AG272" s="445"/>
      <c r="AH272" s="445"/>
      <c r="AI272" s="445"/>
      <c r="AJ272" s="445"/>
      <c r="AK272" s="445"/>
      <c r="AL272" s="445"/>
      <c r="AM272" s="445"/>
      <c r="AN272" s="445"/>
      <c r="AO272" s="445"/>
      <c r="AP272" s="445"/>
      <c r="AQ272" s="445"/>
      <c r="AR272" s="445"/>
      <c r="AS272" s="445"/>
      <c r="AT272" s="445"/>
      <c r="AU272" s="445"/>
      <c r="AV272" s="445"/>
      <c r="AW272" s="445"/>
      <c r="AX272" s="445"/>
      <c r="AY272" s="445"/>
      <c r="AZ272" s="445"/>
      <c r="BA272" s="445"/>
      <c r="BB272" s="445"/>
      <c r="BC272" s="445"/>
      <c r="BD272" s="445"/>
      <c r="BE272" s="445"/>
      <c r="BF272" s="445"/>
      <c r="BG272" s="445"/>
      <c r="BH272" s="445"/>
      <c r="BI272" s="445"/>
      <c r="BJ272" s="445"/>
      <c r="BK272" s="445"/>
      <c r="BL272" s="445"/>
      <c r="BM272" s="445"/>
      <c r="BN272" s="445"/>
      <c r="BO272" s="445"/>
      <c r="BP272" s="445"/>
      <c r="BQ272" s="445"/>
      <c r="BR272" s="445"/>
      <c r="BS272" s="445"/>
      <c r="BT272" s="445"/>
      <c r="BU272" s="445"/>
      <c r="BV272" s="445"/>
      <c r="BW272" s="445"/>
      <c r="BX272" s="445"/>
      <c r="BY272" s="445"/>
      <c r="BZ272" s="445"/>
      <c r="CA272" s="445"/>
      <c r="CB272" s="445"/>
      <c r="CC272" s="445"/>
      <c r="CD272" s="445"/>
      <c r="CE272" s="445"/>
      <c r="CF272" s="445"/>
      <c r="CG272" s="445"/>
      <c r="CH272" s="445"/>
      <c r="CI272" s="445"/>
      <c r="CJ272" s="445"/>
      <c r="CK272" s="445"/>
      <c r="CL272" s="445"/>
      <c r="CM272" s="445"/>
      <c r="CN272" s="445"/>
      <c r="CO272" s="445"/>
      <c r="CP272" s="445"/>
      <c r="CQ272" s="445"/>
      <c r="CR272" s="445"/>
      <c r="CS272" s="445"/>
      <c r="CT272" s="445"/>
      <c r="CU272" s="445"/>
      <c r="CV272" s="445"/>
      <c r="CW272" s="445"/>
      <c r="CX272" s="445"/>
      <c r="CY272" s="445"/>
      <c r="CZ272" s="445"/>
      <c r="DA272" s="445"/>
      <c r="DB272" s="445"/>
      <c r="DC272" s="445"/>
      <c r="DD272" s="445"/>
      <c r="DE272" s="445"/>
      <c r="DF272" s="445"/>
      <c r="DG272" s="445"/>
      <c r="DH272" s="445"/>
      <c r="DI272" s="445"/>
      <c r="DJ272" s="445"/>
      <c r="DK272" s="445"/>
      <c r="DL272" s="445"/>
      <c r="DM272" s="445"/>
      <c r="DN272" s="445"/>
      <c r="DO272" s="445"/>
      <c r="DP272" s="445"/>
      <c r="DQ272" s="445"/>
      <c r="DR272" s="445"/>
      <c r="DS272" s="445"/>
      <c r="DT272" s="445"/>
      <c r="DU272" s="445"/>
      <c r="DV272" s="445"/>
      <c r="DW272" s="445"/>
      <c r="DX272" s="445"/>
      <c r="DY272" s="445"/>
      <c r="DZ272" s="445"/>
      <c r="EA272" s="445"/>
      <c r="EB272" s="445"/>
      <c r="EC272" s="445"/>
      <c r="ED272" s="445"/>
      <c r="EE272" s="445"/>
      <c r="EF272" s="445"/>
      <c r="EG272" s="445"/>
      <c r="EH272" s="445"/>
      <c r="EI272" s="445"/>
      <c r="EJ272" s="445"/>
      <c r="EK272" s="445"/>
      <c r="EL272" s="445"/>
      <c r="EM272" s="445"/>
      <c r="EN272" s="445"/>
      <c r="EO272" s="445"/>
      <c r="EP272" s="445"/>
      <c r="EQ272" s="445"/>
      <c r="ER272" s="445"/>
      <c r="ES272" s="445"/>
      <c r="ET272" s="445"/>
      <c r="EU272" s="445"/>
      <c r="EV272" s="445"/>
      <c r="EW272" s="445"/>
      <c r="EX272" s="445"/>
      <c r="EY272" s="445"/>
      <c r="EZ272" s="445"/>
      <c r="FA272" s="445"/>
      <c r="FB272" s="445"/>
      <c r="FC272" s="445"/>
      <c r="FD272" s="445"/>
      <c r="FE272" s="445"/>
      <c r="FF272" s="445"/>
      <c r="FG272" s="445"/>
      <c r="FH272" s="445"/>
      <c r="FI272" s="445"/>
      <c r="FJ272" s="445"/>
      <c r="FK272" s="445"/>
      <c r="FL272" s="445"/>
      <c r="FM272" s="445"/>
      <c r="FN272" s="445"/>
      <c r="FO272" s="445"/>
      <c r="FP272" s="445"/>
      <c r="FQ272" s="445"/>
      <c r="FR272" s="445"/>
      <c r="FS272" s="445"/>
      <c r="FT272" s="445"/>
      <c r="FU272" s="445"/>
      <c r="FV272" s="445"/>
      <c r="FW272" s="445"/>
      <c r="FX272" s="445"/>
      <c r="FY272" s="445"/>
      <c r="FZ272" s="445"/>
      <c r="GA272" s="445"/>
      <c r="GB272" s="445"/>
      <c r="GC272" s="445"/>
      <c r="GD272" s="445"/>
      <c r="GE272" s="445"/>
      <c r="GF272" s="445"/>
      <c r="GG272" s="445"/>
      <c r="GH272" s="445"/>
      <c r="GI272" s="445"/>
      <c r="GJ272" s="445"/>
      <c r="GK272" s="445"/>
      <c r="GL272" s="445"/>
      <c r="GM272" s="445"/>
      <c r="GN272" s="445"/>
      <c r="GO272" s="445"/>
      <c r="GP272" s="445"/>
      <c r="GQ272" s="445"/>
      <c r="GR272" s="445"/>
      <c r="GS272" s="445"/>
      <c r="GT272" s="445"/>
      <c r="GU272" s="445"/>
      <c r="GV272" s="445"/>
      <c r="GW272" s="445"/>
      <c r="GX272" s="445"/>
      <c r="GY272" s="445"/>
      <c r="GZ272" s="445"/>
      <c r="HA272" s="445"/>
      <c r="HB272" s="445"/>
      <c r="HC272" s="445"/>
      <c r="HD272" s="445"/>
      <c r="HE272" s="445"/>
      <c r="HF272" s="445"/>
      <c r="HG272" s="445"/>
      <c r="HH272" s="445"/>
      <c r="HI272" s="445"/>
      <c r="HJ272" s="445"/>
      <c r="HK272" s="445"/>
      <c r="HL272" s="445"/>
      <c r="HM272" s="445"/>
      <c r="HN272" s="445"/>
      <c r="HO272" s="445"/>
      <c r="HP272" s="445"/>
      <c r="HQ272" s="445"/>
      <c r="HR272" s="445"/>
      <c r="HS272" s="445"/>
      <c r="HT272" s="445"/>
      <c r="HU272" s="445"/>
      <c r="HV272" s="445"/>
      <c r="HW272" s="445"/>
      <c r="HX272" s="445"/>
      <c r="HY272" s="445"/>
      <c r="HZ272" s="445"/>
      <c r="IA272" s="445"/>
      <c r="IB272" s="445"/>
      <c r="IC272" s="445"/>
      <c r="ID272" s="445"/>
      <c r="IE272" s="445"/>
      <c r="IF272" s="445"/>
      <c r="IG272" s="445"/>
      <c r="IH272" s="445"/>
      <c r="II272" s="445"/>
      <c r="IJ272" s="445"/>
      <c r="IK272" s="445"/>
      <c r="IL272" s="445"/>
      <c r="IM272" s="445"/>
      <c r="IN272" s="445"/>
      <c r="IO272" s="445"/>
      <c r="IP272" s="445"/>
      <c r="IQ272" s="445"/>
      <c r="IR272" s="445"/>
      <c r="IS272" s="445"/>
      <c r="IT272" s="445"/>
      <c r="IU272" s="445"/>
      <c r="IV272" s="445"/>
      <c r="IW272" s="445"/>
      <c r="IX272" s="445"/>
      <c r="IY272" s="445"/>
      <c r="IZ272" s="445"/>
      <c r="JA272" s="445"/>
      <c r="JB272" s="445"/>
      <c r="JC272" s="445"/>
      <c r="JD272" s="445"/>
      <c r="JE272" s="445"/>
      <c r="JF272" s="445"/>
      <c r="JG272" s="445"/>
      <c r="JH272" s="445"/>
      <c r="JI272" s="445"/>
      <c r="JJ272" s="445"/>
      <c r="JK272" s="445"/>
      <c r="JL272" s="445"/>
      <c r="JM272" s="445"/>
      <c r="JN272" s="445"/>
      <c r="JO272" s="445"/>
      <c r="JP272" s="445"/>
      <c r="JQ272" s="445"/>
      <c r="JR272" s="445"/>
      <c r="JS272" s="445"/>
      <c r="JT272" s="445"/>
      <c r="JU272" s="445"/>
      <c r="JV272" s="445"/>
      <c r="JW272" s="2242"/>
      <c r="JX272" s="445"/>
      <c r="JY272" s="445"/>
      <c r="JZ272" s="445"/>
      <c r="KA272" s="445"/>
      <c r="KB272" s="2242"/>
      <c r="KC272" s="2242"/>
      <c r="KD272" s="2242"/>
      <c r="KE272" s="2242"/>
      <c r="KF272" s="2242"/>
      <c r="KG272" s="2242"/>
      <c r="KH272" s="2242"/>
      <c r="KI272" s="2242"/>
      <c r="KJ272" s="2242"/>
      <c r="KK272" s="2242"/>
      <c r="KL272" s="2242"/>
      <c r="KM272" s="2242"/>
      <c r="KN272" s="2242"/>
      <c r="KO272" s="2242"/>
      <c r="KP272" s="2242"/>
      <c r="KQ272" s="2242"/>
      <c r="KR272" s="2242"/>
      <c r="KS272" s="2242"/>
      <c r="KT272" s="2242"/>
      <c r="KU272" s="2242"/>
      <c r="KV272" s="2242"/>
      <c r="KW272" s="2242"/>
      <c r="KX272" s="2242"/>
      <c r="KY272" s="2242"/>
      <c r="KZ272" s="2242"/>
      <c r="LA272" s="2242"/>
      <c r="LB272" s="2242"/>
      <c r="LC272" s="2242"/>
      <c r="LD272" s="2242"/>
      <c r="LE272" s="2242"/>
      <c r="LF272" s="2242"/>
      <c r="LG272" s="2242"/>
      <c r="LH272" s="2242"/>
      <c r="LI272" s="2242"/>
      <c r="LJ272" s="2242"/>
      <c r="LK272" s="2242"/>
      <c r="LL272" s="2242"/>
      <c r="LM272" s="2242"/>
      <c r="LN272" s="2242"/>
      <c r="LO272" s="2242"/>
      <c r="LP272" s="2242"/>
      <c r="LQ272" s="2242"/>
      <c r="LR272" s="445"/>
      <c r="LS272" s="445"/>
      <c r="LT272" s="445"/>
      <c r="LU272" s="445"/>
      <c r="LV272" s="445"/>
      <c r="LW272" s="445"/>
      <c r="LX272" s="2243"/>
      <c r="LY272" s="445"/>
      <c r="LZ272" s="445"/>
      <c r="MA272" s="445"/>
      <c r="MB272" s="445"/>
      <c r="MC272" s="445"/>
      <c r="MD272" s="445"/>
      <c r="ME272" s="445"/>
      <c r="MF272" s="445"/>
      <c r="MG272" s="445"/>
      <c r="MH272" s="445"/>
      <c r="MI272" s="445"/>
      <c r="MJ272" s="445"/>
      <c r="MK272" s="445"/>
      <c r="ML272" s="445"/>
      <c r="MM272" s="445"/>
      <c r="MN272" s="2243"/>
      <c r="MO272" s="2243"/>
      <c r="MP272" s="445"/>
      <c r="MQ272" s="445"/>
      <c r="MR272" s="445"/>
      <c r="MS272" s="445"/>
      <c r="MT272" s="445"/>
      <c r="MU272" s="445"/>
      <c r="MV272" s="445"/>
      <c r="MW272" s="445"/>
      <c r="MX272" s="445"/>
      <c r="MY272" s="445"/>
      <c r="MZ272" s="445"/>
      <c r="NA272" s="445"/>
      <c r="NB272" s="445"/>
      <c r="NC272" s="445"/>
      <c r="ND272" s="445"/>
      <c r="NE272" s="94"/>
      <c r="NF272" s="94"/>
      <c r="NG272" s="94"/>
      <c r="NH272" s="94"/>
      <c r="NI272" s="94"/>
      <c r="NJ272" s="94"/>
      <c r="NK272" s="94"/>
      <c r="NL272" s="94"/>
      <c r="NM272" s="94"/>
      <c r="NN272" s="94"/>
      <c r="NO272" s="94"/>
      <c r="NP272" s="94"/>
      <c r="NQ272" s="94"/>
      <c r="NR272" s="94"/>
      <c r="NS272" s="94"/>
      <c r="NT272" s="94"/>
      <c r="NU272" s="94"/>
      <c r="NV272" s="94"/>
      <c r="NW272" s="94"/>
      <c r="NX272" s="94"/>
      <c r="NY272" s="94"/>
      <c r="NZ272" s="94"/>
      <c r="OA272" s="94"/>
      <c r="OB272" s="94"/>
      <c r="OC272" s="94"/>
      <c r="OD272" s="94"/>
      <c r="OE272" s="94"/>
      <c r="OF272" s="94"/>
      <c r="OG272" s="94"/>
      <c r="OH272" s="94"/>
      <c r="OI272" s="94"/>
      <c r="OJ272" s="94"/>
      <c r="OK272" s="94"/>
      <c r="OL272" s="94"/>
      <c r="OM272" s="94"/>
      <c r="ON272" s="94"/>
      <c r="OO272" s="94"/>
      <c r="OP272" s="94"/>
      <c r="OQ272" s="94"/>
      <c r="OR272" s="94"/>
      <c r="OS272" s="94"/>
      <c r="OT272" s="94"/>
      <c r="OU272" s="94"/>
      <c r="OV272" s="94"/>
      <c r="OW272" s="94"/>
      <c r="OX272" s="94"/>
      <c r="OY272" s="94"/>
      <c r="OZ272" s="94"/>
      <c r="PA272" s="94"/>
      <c r="PB272" s="94"/>
      <c r="PC272" s="94"/>
      <c r="PD272" s="94"/>
      <c r="PE272" s="94"/>
      <c r="PF272" s="94"/>
      <c r="PG272" s="94"/>
      <c r="PH272" s="94"/>
      <c r="PI272" s="94"/>
      <c r="PJ272" s="94"/>
      <c r="PK272" s="94"/>
      <c r="PL272" s="94"/>
      <c r="PM272" s="94"/>
      <c r="PN272" s="94"/>
      <c r="PO272" s="94"/>
      <c r="PP272" s="94"/>
      <c r="PQ272" s="94"/>
      <c r="PR272" s="94"/>
      <c r="PS272" s="94"/>
      <c r="PT272" s="94"/>
      <c r="PU272" s="94"/>
      <c r="PV272" s="94"/>
      <c r="PW272" s="94"/>
      <c r="PX272" s="94"/>
      <c r="PY272" s="94"/>
      <c r="PZ272" s="94"/>
      <c r="QA272" s="94"/>
      <c r="QB272" s="94"/>
      <c r="QC272" s="94"/>
      <c r="QD272" s="94"/>
      <c r="QE272" s="94"/>
      <c r="QF272" s="94"/>
      <c r="QG272" s="94"/>
      <c r="QH272" s="94"/>
      <c r="QI272" s="94"/>
      <c r="QJ272" s="94"/>
      <c r="QK272" s="94"/>
      <c r="QL272" s="94"/>
      <c r="QM272" s="94"/>
      <c r="QN272" s="94"/>
      <c r="QO272" s="94"/>
      <c r="QP272" s="94"/>
      <c r="QQ272" s="94"/>
      <c r="QR272" s="94"/>
      <c r="QS272" s="94"/>
      <c r="QT272" s="94"/>
      <c r="QU272" s="94"/>
      <c r="QV272" s="94"/>
      <c r="QW272" s="94"/>
      <c r="QX272" s="94"/>
      <c r="QY272" s="94"/>
      <c r="QZ272" s="94"/>
      <c r="RA272" s="94"/>
      <c r="RB272" s="94"/>
      <c r="RC272" s="94"/>
      <c r="RD272" s="94"/>
      <c r="RE272" s="94"/>
      <c r="RF272" s="94"/>
      <c r="RG272" s="94"/>
      <c r="RH272" s="94"/>
      <c r="RI272" s="94"/>
      <c r="RJ272" s="94"/>
      <c r="RK272" s="94"/>
      <c r="RL272" s="94"/>
      <c r="RM272" s="94"/>
      <c r="RN272" s="94"/>
      <c r="RO272" s="94"/>
      <c r="RP272" s="94"/>
      <c r="RQ272" s="94"/>
      <c r="RR272" s="94"/>
      <c r="RS272" s="94"/>
      <c r="RT272" s="94"/>
      <c r="RU272" s="94"/>
      <c r="RV272" s="94"/>
      <c r="RW272" s="94"/>
      <c r="RX272" s="94"/>
      <c r="RY272" s="94"/>
      <c r="RZ272" s="94"/>
      <c r="SA272" s="94"/>
      <c r="SB272" s="94"/>
      <c r="SC272" s="94"/>
      <c r="SD272" s="94"/>
      <c r="SE272" s="94"/>
      <c r="SF272" s="94"/>
      <c r="SG272" s="94"/>
      <c r="SH272" s="94"/>
      <c r="SI272" s="94"/>
    </row>
    <row r="273" spans="1:503" s="90" customFormat="1" ht="14.1" customHeight="1">
      <c r="A273" s="2373"/>
      <c r="B273" s="1"/>
      <c r="C273" s="1"/>
      <c r="D273" s="1"/>
      <c r="E273" s="1"/>
      <c r="F273" s="1"/>
      <c r="G273" s="1"/>
      <c r="H273" s="1"/>
      <c r="I273" s="1"/>
      <c r="J273" s="1"/>
      <c r="K273" s="1"/>
      <c r="L273" s="1"/>
      <c r="M273" s="1"/>
      <c r="N273" s="1"/>
      <c r="O273" s="1"/>
      <c r="P273" s="1"/>
      <c r="X273" s="445"/>
      <c r="Y273" s="445"/>
      <c r="Z273" s="445"/>
      <c r="AA273" s="445"/>
      <c r="AB273" s="445"/>
      <c r="AC273" s="445"/>
      <c r="AD273" s="445"/>
      <c r="AE273" s="445"/>
      <c r="AF273" s="445"/>
      <c r="AG273" s="445"/>
      <c r="AH273" s="445"/>
      <c r="AI273" s="445"/>
      <c r="AJ273" s="445"/>
      <c r="AK273" s="445"/>
      <c r="AL273" s="445"/>
      <c r="AM273" s="445"/>
      <c r="AN273" s="445"/>
      <c r="AO273" s="445"/>
      <c r="AP273" s="445"/>
      <c r="AQ273" s="445"/>
      <c r="AR273" s="445"/>
      <c r="AS273" s="445"/>
      <c r="AT273" s="445"/>
      <c r="AU273" s="445"/>
      <c r="AV273" s="445"/>
      <c r="AW273" s="445"/>
      <c r="AX273" s="445"/>
      <c r="AY273" s="445"/>
      <c r="AZ273" s="445"/>
      <c r="BA273" s="445"/>
      <c r="BB273" s="445"/>
      <c r="BC273" s="445"/>
      <c r="BD273" s="445"/>
      <c r="BE273" s="445"/>
      <c r="BF273" s="445"/>
      <c r="BG273" s="445"/>
      <c r="BH273" s="445"/>
      <c r="BI273" s="445"/>
      <c r="BJ273" s="445"/>
      <c r="BK273" s="445"/>
      <c r="BL273" s="445"/>
      <c r="BM273" s="445"/>
      <c r="BN273" s="445"/>
      <c r="BO273" s="445"/>
      <c r="BP273" s="445"/>
      <c r="BQ273" s="445"/>
      <c r="BR273" s="445"/>
      <c r="BS273" s="445"/>
      <c r="BT273" s="445"/>
      <c r="BU273" s="445"/>
      <c r="BV273" s="445"/>
      <c r="BW273" s="445"/>
      <c r="BX273" s="445"/>
      <c r="BY273" s="445"/>
      <c r="BZ273" s="445"/>
      <c r="CA273" s="445"/>
      <c r="CB273" s="445"/>
      <c r="CC273" s="445"/>
      <c r="CD273" s="445"/>
      <c r="CE273" s="445"/>
      <c r="CF273" s="445"/>
      <c r="CG273" s="445"/>
      <c r="CH273" s="445"/>
      <c r="CI273" s="445"/>
      <c r="CJ273" s="445"/>
      <c r="CK273" s="445"/>
      <c r="CL273" s="445"/>
      <c r="CM273" s="445"/>
      <c r="CN273" s="445"/>
      <c r="CO273" s="445"/>
      <c r="CP273" s="445"/>
      <c r="CQ273" s="445"/>
      <c r="CR273" s="445"/>
      <c r="CS273" s="445"/>
      <c r="CT273" s="445"/>
      <c r="CU273" s="445"/>
      <c r="CV273" s="445"/>
      <c r="CW273" s="445"/>
      <c r="CX273" s="445"/>
      <c r="CY273" s="445"/>
      <c r="CZ273" s="445"/>
      <c r="DA273" s="445"/>
      <c r="DB273" s="445"/>
      <c r="DC273" s="445"/>
      <c r="DD273" s="445"/>
      <c r="DE273" s="445"/>
      <c r="DF273" s="445"/>
      <c r="DG273" s="445"/>
      <c r="DH273" s="445"/>
      <c r="DI273" s="445"/>
      <c r="DJ273" s="445"/>
      <c r="DK273" s="445"/>
      <c r="DL273" s="445"/>
      <c r="DM273" s="445"/>
      <c r="DN273" s="445"/>
      <c r="DO273" s="445"/>
      <c r="DP273" s="445"/>
      <c r="DQ273" s="445"/>
      <c r="DR273" s="445"/>
      <c r="DS273" s="445"/>
      <c r="DT273" s="445"/>
      <c r="DU273" s="445"/>
      <c r="DV273" s="445"/>
      <c r="DW273" s="445"/>
      <c r="DX273" s="445"/>
      <c r="DY273" s="445"/>
      <c r="DZ273" s="445"/>
      <c r="EA273" s="445"/>
      <c r="EB273" s="445"/>
      <c r="EC273" s="445"/>
      <c r="ED273" s="445"/>
      <c r="EE273" s="445"/>
      <c r="EF273" s="445"/>
      <c r="EG273" s="445"/>
      <c r="EH273" s="445"/>
      <c r="EI273" s="445"/>
      <c r="EJ273" s="445"/>
      <c r="EK273" s="445"/>
      <c r="EL273" s="445"/>
      <c r="EM273" s="445"/>
      <c r="EN273" s="445"/>
      <c r="EO273" s="445"/>
      <c r="EP273" s="445"/>
      <c r="EQ273" s="445"/>
      <c r="ER273" s="445"/>
      <c r="ES273" s="445"/>
      <c r="ET273" s="445"/>
      <c r="EU273" s="445"/>
      <c r="EV273" s="445"/>
      <c r="EW273" s="445"/>
      <c r="EX273" s="445"/>
      <c r="EY273" s="445"/>
      <c r="EZ273" s="445"/>
      <c r="FA273" s="445"/>
      <c r="FB273" s="445"/>
      <c r="FC273" s="445"/>
      <c r="FD273" s="445"/>
      <c r="FE273" s="445"/>
      <c r="FF273" s="445"/>
      <c r="FG273" s="445"/>
      <c r="FH273" s="445"/>
      <c r="FI273" s="445"/>
      <c r="FJ273" s="445"/>
      <c r="FK273" s="445"/>
      <c r="FL273" s="445"/>
      <c r="FM273" s="445"/>
      <c r="FN273" s="445"/>
      <c r="FO273" s="445"/>
      <c r="FP273" s="445"/>
      <c r="FQ273" s="445"/>
      <c r="FR273" s="445"/>
      <c r="FS273" s="445"/>
      <c r="FT273" s="445"/>
      <c r="FU273" s="445"/>
      <c r="FV273" s="445"/>
      <c r="FW273" s="445"/>
      <c r="FX273" s="445"/>
      <c r="FY273" s="445"/>
      <c r="FZ273" s="445"/>
      <c r="GA273" s="445"/>
      <c r="GB273" s="445"/>
      <c r="GC273" s="445"/>
      <c r="GD273" s="445"/>
      <c r="GE273" s="445"/>
      <c r="GF273" s="445"/>
      <c r="GG273" s="445"/>
      <c r="GH273" s="445"/>
      <c r="GI273" s="445"/>
      <c r="GJ273" s="445"/>
      <c r="GK273" s="445"/>
      <c r="GL273" s="445"/>
      <c r="GM273" s="445"/>
      <c r="GN273" s="445"/>
      <c r="GO273" s="445"/>
      <c r="GP273" s="445"/>
      <c r="GQ273" s="445"/>
      <c r="GR273" s="445"/>
      <c r="GS273" s="445"/>
      <c r="GT273" s="445"/>
      <c r="GU273" s="445"/>
      <c r="GV273" s="445"/>
      <c r="GW273" s="445"/>
      <c r="GX273" s="445"/>
      <c r="GY273" s="445"/>
      <c r="GZ273" s="445"/>
      <c r="HA273" s="445"/>
      <c r="HB273" s="445"/>
      <c r="HC273" s="445"/>
      <c r="HD273" s="445"/>
      <c r="HE273" s="445"/>
      <c r="HF273" s="445"/>
      <c r="HG273" s="445"/>
      <c r="HH273" s="445"/>
      <c r="HI273" s="445"/>
      <c r="HJ273" s="445"/>
      <c r="HK273" s="445"/>
      <c r="HL273" s="445"/>
      <c r="HM273" s="445"/>
      <c r="HN273" s="445"/>
      <c r="HO273" s="445"/>
      <c r="HP273" s="445"/>
      <c r="HQ273" s="445"/>
      <c r="HR273" s="445"/>
      <c r="HS273" s="445"/>
      <c r="HT273" s="445"/>
      <c r="HU273" s="445"/>
      <c r="HV273" s="445"/>
      <c r="HW273" s="445"/>
      <c r="HX273" s="445"/>
      <c r="HY273" s="445"/>
      <c r="HZ273" s="445"/>
      <c r="IA273" s="445"/>
      <c r="IB273" s="445"/>
      <c r="IC273" s="445"/>
      <c r="ID273" s="445"/>
      <c r="IE273" s="445"/>
      <c r="IF273" s="445"/>
      <c r="IG273" s="445"/>
      <c r="IH273" s="445"/>
      <c r="II273" s="445"/>
      <c r="IJ273" s="445"/>
      <c r="IK273" s="445"/>
      <c r="IL273" s="445"/>
      <c r="IM273" s="445"/>
      <c r="IN273" s="445"/>
      <c r="IO273" s="445"/>
      <c r="IP273" s="445"/>
      <c r="IQ273" s="445"/>
      <c r="IR273" s="445"/>
      <c r="IS273" s="445"/>
      <c r="IT273" s="445"/>
      <c r="IU273" s="445"/>
      <c r="IV273" s="445"/>
      <c r="IW273" s="445"/>
      <c r="IX273" s="445"/>
      <c r="IY273" s="445"/>
      <c r="IZ273" s="445"/>
      <c r="JA273" s="445"/>
      <c r="JB273" s="445"/>
      <c r="JC273" s="445"/>
      <c r="JD273" s="445"/>
      <c r="JE273" s="445"/>
      <c r="JF273" s="445"/>
      <c r="JG273" s="445"/>
      <c r="JH273" s="445"/>
      <c r="JI273" s="445"/>
      <c r="JJ273" s="445"/>
      <c r="JK273" s="445"/>
      <c r="JL273" s="445"/>
      <c r="JM273" s="445"/>
      <c r="JN273" s="445"/>
      <c r="JO273" s="445"/>
      <c r="JP273" s="445"/>
      <c r="JQ273" s="445"/>
      <c r="JR273" s="445"/>
      <c r="JS273" s="445"/>
      <c r="JT273" s="445"/>
      <c r="JU273" s="445"/>
      <c r="JV273" s="445"/>
      <c r="JW273" s="2242"/>
      <c r="JX273" s="445"/>
      <c r="JY273" s="445"/>
      <c r="JZ273" s="445"/>
      <c r="KA273" s="445"/>
      <c r="KB273" s="2242"/>
      <c r="KC273" s="2242"/>
      <c r="KD273" s="2242"/>
      <c r="KE273" s="2242"/>
      <c r="KF273" s="2242"/>
      <c r="KG273" s="2242"/>
      <c r="KH273" s="2242"/>
      <c r="KI273" s="2242"/>
      <c r="KJ273" s="2242"/>
      <c r="KK273" s="2242"/>
      <c r="KL273" s="2242"/>
      <c r="KM273" s="2242"/>
      <c r="KN273" s="2242"/>
      <c r="KO273" s="2242"/>
      <c r="KP273" s="2242"/>
      <c r="KQ273" s="2242"/>
      <c r="KR273" s="2242"/>
      <c r="KS273" s="2242"/>
      <c r="KT273" s="2242"/>
      <c r="KU273" s="2242"/>
      <c r="KV273" s="2242"/>
      <c r="KW273" s="2242"/>
      <c r="KX273" s="2242"/>
      <c r="KY273" s="2242"/>
      <c r="KZ273" s="2242"/>
      <c r="LA273" s="2242"/>
      <c r="LB273" s="2242"/>
      <c r="LC273" s="2242"/>
      <c r="LD273" s="2242"/>
      <c r="LE273" s="2242"/>
      <c r="LF273" s="2242"/>
      <c r="LG273" s="2242"/>
      <c r="LH273" s="2242"/>
      <c r="LI273" s="2242"/>
      <c r="LJ273" s="2242"/>
      <c r="LK273" s="2242"/>
      <c r="LL273" s="2242"/>
      <c r="LM273" s="2242"/>
      <c r="LN273" s="2242"/>
      <c r="LO273" s="2242"/>
      <c r="LP273" s="2242"/>
      <c r="LQ273" s="2242"/>
      <c r="LR273" s="445"/>
      <c r="LS273" s="445"/>
      <c r="LT273" s="445"/>
      <c r="LU273" s="445"/>
      <c r="LV273" s="445"/>
      <c r="LW273" s="445"/>
      <c r="LX273" s="2243"/>
      <c r="LY273" s="445"/>
      <c r="LZ273" s="445"/>
      <c r="MA273" s="445"/>
      <c r="MB273" s="445"/>
      <c r="MC273" s="445"/>
      <c r="MD273" s="445"/>
      <c r="ME273" s="445"/>
      <c r="MF273" s="445"/>
      <c r="MG273" s="445"/>
      <c r="MH273" s="445"/>
      <c r="MI273" s="445"/>
      <c r="MJ273" s="445"/>
      <c r="MK273" s="445"/>
      <c r="ML273" s="445"/>
      <c r="MM273" s="445"/>
      <c r="MN273" s="2243"/>
      <c r="MO273" s="2243"/>
      <c r="MP273" s="445"/>
      <c r="MQ273" s="445"/>
      <c r="MR273" s="445"/>
      <c r="MS273" s="445"/>
      <c r="MT273" s="445"/>
      <c r="MU273" s="445"/>
      <c r="MV273" s="445"/>
      <c r="MW273" s="445"/>
      <c r="MX273" s="445"/>
      <c r="MY273" s="445"/>
      <c r="MZ273" s="445"/>
      <c r="NA273" s="445"/>
      <c r="NB273" s="445"/>
      <c r="NC273" s="445"/>
      <c r="ND273" s="445"/>
      <c r="NE273" s="94"/>
      <c r="NF273" s="94"/>
      <c r="NG273" s="94"/>
      <c r="NH273" s="94"/>
      <c r="NI273" s="94"/>
      <c r="NJ273" s="94"/>
      <c r="NK273" s="94"/>
      <c r="NL273" s="94"/>
      <c r="NM273" s="94"/>
      <c r="NN273" s="94"/>
      <c r="NO273" s="94"/>
      <c r="NP273" s="94"/>
      <c r="NQ273" s="94"/>
      <c r="NR273" s="94"/>
      <c r="NS273" s="94"/>
      <c r="NT273" s="94"/>
      <c r="NU273" s="94"/>
      <c r="NV273" s="94"/>
      <c r="NW273" s="94"/>
      <c r="NX273" s="94"/>
      <c r="NY273" s="94"/>
      <c r="NZ273" s="94"/>
      <c r="OA273" s="94"/>
      <c r="OB273" s="94"/>
      <c r="OC273" s="94"/>
      <c r="OD273" s="94"/>
      <c r="OE273" s="94"/>
      <c r="OF273" s="94"/>
      <c r="OG273" s="94"/>
      <c r="OH273" s="94"/>
      <c r="OI273" s="94"/>
      <c r="OJ273" s="94"/>
      <c r="OK273" s="94"/>
      <c r="OL273" s="94"/>
      <c r="OM273" s="94"/>
      <c r="ON273" s="94"/>
      <c r="OO273" s="94"/>
      <c r="OP273" s="94"/>
      <c r="OQ273" s="94"/>
      <c r="OR273" s="94"/>
      <c r="OS273" s="94"/>
      <c r="OT273" s="94"/>
      <c r="OU273" s="94"/>
      <c r="OV273" s="94"/>
      <c r="OW273" s="94"/>
      <c r="OX273" s="94"/>
      <c r="OY273" s="94"/>
      <c r="OZ273" s="94"/>
      <c r="PA273" s="94"/>
      <c r="PB273" s="94"/>
      <c r="PC273" s="94"/>
      <c r="PD273" s="94"/>
      <c r="PE273" s="94"/>
      <c r="PF273" s="94"/>
      <c r="PG273" s="94"/>
      <c r="PH273" s="94"/>
      <c r="PI273" s="94"/>
      <c r="PJ273" s="94"/>
      <c r="PK273" s="94"/>
      <c r="PL273" s="94"/>
      <c r="PM273" s="94"/>
      <c r="PN273" s="94"/>
      <c r="PO273" s="94"/>
      <c r="PP273" s="94"/>
      <c r="PQ273" s="94"/>
      <c r="PR273" s="94"/>
      <c r="PS273" s="94"/>
      <c r="PT273" s="94"/>
      <c r="PU273" s="94"/>
      <c r="PV273" s="94"/>
      <c r="PW273" s="94"/>
      <c r="PX273" s="94"/>
      <c r="PY273" s="94"/>
      <c r="PZ273" s="94"/>
      <c r="QA273" s="94"/>
      <c r="QB273" s="94"/>
      <c r="QC273" s="94"/>
      <c r="QD273" s="94"/>
      <c r="QE273" s="94"/>
      <c r="QF273" s="94"/>
      <c r="QG273" s="94"/>
      <c r="QH273" s="94"/>
      <c r="QI273" s="94"/>
      <c r="QJ273" s="94"/>
      <c r="QK273" s="94"/>
      <c r="QL273" s="94"/>
      <c r="QM273" s="94"/>
      <c r="QN273" s="94"/>
      <c r="QO273" s="94"/>
      <c r="QP273" s="94"/>
      <c r="QQ273" s="94"/>
      <c r="QR273" s="94"/>
      <c r="QS273" s="94"/>
      <c r="QT273" s="94"/>
      <c r="QU273" s="94"/>
      <c r="QV273" s="94"/>
      <c r="QW273" s="94"/>
      <c r="QX273" s="94"/>
      <c r="QY273" s="94"/>
      <c r="QZ273" s="94"/>
      <c r="RA273" s="94"/>
      <c r="RB273" s="94"/>
      <c r="RC273" s="94"/>
      <c r="RD273" s="94"/>
      <c r="RE273" s="94"/>
      <c r="RF273" s="94"/>
      <c r="RG273" s="94"/>
      <c r="RH273" s="94"/>
      <c r="RI273" s="94"/>
      <c r="RJ273" s="94"/>
      <c r="RK273" s="94"/>
      <c r="RL273" s="94"/>
      <c r="RM273" s="94"/>
      <c r="RN273" s="94"/>
      <c r="RO273" s="94"/>
      <c r="RP273" s="94"/>
      <c r="RQ273" s="94"/>
      <c r="RR273" s="94"/>
      <c r="RS273" s="94"/>
      <c r="RT273" s="94"/>
      <c r="RU273" s="94"/>
      <c r="RV273" s="94"/>
      <c r="RW273" s="94"/>
      <c r="RX273" s="94"/>
      <c r="RY273" s="94"/>
      <c r="RZ273" s="94"/>
      <c r="SA273" s="94"/>
      <c r="SB273" s="94"/>
      <c r="SC273" s="94"/>
      <c r="SD273" s="94"/>
      <c r="SE273" s="94"/>
      <c r="SF273" s="94"/>
      <c r="SG273" s="94"/>
      <c r="SH273" s="94"/>
      <c r="SI273" s="94"/>
    </row>
    <row r="274" spans="1:503" s="90" customFormat="1" ht="14.1" customHeight="1">
      <c r="A274" s="1"/>
      <c r="B274" s="1"/>
      <c r="C274" s="1"/>
      <c r="D274" s="1"/>
      <c r="E274" s="1"/>
      <c r="F274" s="1"/>
      <c r="G274" s="1"/>
      <c r="H274" s="1"/>
      <c r="I274" s="1"/>
      <c r="J274" s="1"/>
      <c r="K274" s="1"/>
      <c r="L274" s="1"/>
      <c r="M274" s="1"/>
      <c r="N274" s="1"/>
      <c r="O274" s="1"/>
      <c r="P274" s="1"/>
      <c r="X274" s="445"/>
      <c r="Y274" s="445"/>
      <c r="Z274" s="445"/>
      <c r="AA274" s="445"/>
      <c r="AB274" s="445"/>
      <c r="AC274" s="445"/>
      <c r="AD274" s="445"/>
      <c r="AE274" s="445"/>
      <c r="AF274" s="445"/>
      <c r="AG274" s="445"/>
      <c r="AH274" s="445"/>
      <c r="AI274" s="445"/>
      <c r="AJ274" s="445"/>
      <c r="AK274" s="445"/>
      <c r="AL274" s="445"/>
      <c r="AM274" s="445"/>
      <c r="AN274" s="445"/>
      <c r="AO274" s="445"/>
      <c r="AP274" s="445"/>
      <c r="AQ274" s="445"/>
      <c r="AR274" s="445"/>
      <c r="AS274" s="445"/>
      <c r="AT274" s="445"/>
      <c r="AU274" s="445"/>
      <c r="AV274" s="445"/>
      <c r="AW274" s="445"/>
      <c r="AX274" s="445"/>
      <c r="AY274" s="445"/>
      <c r="AZ274" s="445"/>
      <c r="BA274" s="445"/>
      <c r="BB274" s="445"/>
      <c r="BC274" s="445"/>
      <c r="BD274" s="445"/>
      <c r="BE274" s="445"/>
      <c r="BF274" s="445"/>
      <c r="BG274" s="445"/>
      <c r="BH274" s="445"/>
      <c r="BI274" s="445"/>
      <c r="BJ274" s="445"/>
      <c r="BK274" s="445"/>
      <c r="BL274" s="445"/>
      <c r="BM274" s="445"/>
      <c r="BN274" s="445"/>
      <c r="BO274" s="445"/>
      <c r="BP274" s="445"/>
      <c r="BQ274" s="445"/>
      <c r="BR274" s="445"/>
      <c r="BS274" s="445"/>
      <c r="BT274" s="445"/>
      <c r="BU274" s="445"/>
      <c r="BV274" s="445"/>
      <c r="BW274" s="445"/>
      <c r="BX274" s="445"/>
      <c r="BY274" s="445"/>
      <c r="BZ274" s="445"/>
      <c r="CA274" s="445"/>
      <c r="CB274" s="445"/>
      <c r="CC274" s="445"/>
      <c r="CD274" s="445"/>
      <c r="CE274" s="445"/>
      <c r="CF274" s="445"/>
      <c r="CG274" s="445"/>
      <c r="CH274" s="445"/>
      <c r="CI274" s="445"/>
      <c r="CJ274" s="445"/>
      <c r="CK274" s="445"/>
      <c r="CL274" s="445"/>
      <c r="CM274" s="445"/>
      <c r="CN274" s="445"/>
      <c r="CO274" s="445"/>
      <c r="CP274" s="445"/>
      <c r="CQ274" s="445"/>
      <c r="CR274" s="445"/>
      <c r="CS274" s="445"/>
      <c r="CT274" s="445"/>
      <c r="CU274" s="445"/>
      <c r="CV274" s="445"/>
      <c r="CW274" s="445"/>
      <c r="CX274" s="445"/>
      <c r="CY274" s="445"/>
      <c r="CZ274" s="445"/>
      <c r="DA274" s="445"/>
      <c r="DB274" s="445"/>
      <c r="DC274" s="445"/>
      <c r="DD274" s="445"/>
      <c r="DE274" s="445"/>
      <c r="DF274" s="445"/>
      <c r="DG274" s="445"/>
      <c r="DH274" s="445"/>
      <c r="DI274" s="445"/>
      <c r="DJ274" s="445"/>
      <c r="DK274" s="445"/>
      <c r="DL274" s="445"/>
      <c r="DM274" s="445"/>
      <c r="DN274" s="445"/>
      <c r="DO274" s="445"/>
      <c r="DP274" s="445"/>
      <c r="DQ274" s="445"/>
      <c r="DR274" s="445"/>
      <c r="DS274" s="445"/>
      <c r="DT274" s="445"/>
      <c r="DU274" s="445"/>
      <c r="DV274" s="445"/>
      <c r="DW274" s="445"/>
      <c r="DX274" s="445"/>
      <c r="DY274" s="445"/>
      <c r="DZ274" s="445"/>
      <c r="EA274" s="445"/>
      <c r="EB274" s="445"/>
      <c r="EC274" s="445"/>
      <c r="ED274" s="445"/>
      <c r="EE274" s="445"/>
      <c r="EF274" s="445"/>
      <c r="EG274" s="445"/>
      <c r="EH274" s="445"/>
      <c r="EI274" s="445"/>
      <c r="EJ274" s="445"/>
      <c r="EK274" s="445"/>
      <c r="EL274" s="445"/>
      <c r="EM274" s="445"/>
      <c r="EN274" s="445"/>
      <c r="EO274" s="445"/>
      <c r="EP274" s="445"/>
      <c r="EQ274" s="445"/>
      <c r="ER274" s="445"/>
      <c r="ES274" s="445"/>
      <c r="ET274" s="445"/>
      <c r="EU274" s="445"/>
      <c r="EV274" s="445"/>
      <c r="EW274" s="445"/>
      <c r="EX274" s="445"/>
      <c r="EY274" s="445"/>
      <c r="EZ274" s="445"/>
      <c r="FA274" s="445"/>
      <c r="FB274" s="445"/>
      <c r="FC274" s="445"/>
      <c r="FD274" s="445"/>
      <c r="FE274" s="445"/>
      <c r="FF274" s="445"/>
      <c r="FG274" s="445"/>
      <c r="FH274" s="445"/>
      <c r="FI274" s="445"/>
      <c r="FJ274" s="445"/>
      <c r="FK274" s="445"/>
      <c r="FL274" s="445"/>
      <c r="FM274" s="445"/>
      <c r="FN274" s="445"/>
      <c r="FO274" s="445"/>
      <c r="FP274" s="445"/>
      <c r="FQ274" s="445"/>
      <c r="FR274" s="445"/>
      <c r="FS274" s="445"/>
      <c r="FT274" s="445"/>
      <c r="FU274" s="445"/>
      <c r="FV274" s="445"/>
      <c r="FW274" s="445"/>
      <c r="FX274" s="445"/>
      <c r="FY274" s="445"/>
      <c r="FZ274" s="445"/>
      <c r="GA274" s="445"/>
      <c r="GB274" s="445"/>
      <c r="GC274" s="445"/>
      <c r="GD274" s="445"/>
      <c r="GE274" s="445"/>
      <c r="GF274" s="445"/>
      <c r="GG274" s="445"/>
      <c r="GH274" s="445"/>
      <c r="GI274" s="445"/>
      <c r="GJ274" s="445"/>
      <c r="GK274" s="445"/>
      <c r="GL274" s="445"/>
      <c r="GM274" s="445"/>
      <c r="GN274" s="445"/>
      <c r="GO274" s="445"/>
      <c r="GP274" s="445"/>
      <c r="GQ274" s="445"/>
      <c r="GR274" s="445"/>
      <c r="GS274" s="445"/>
      <c r="GT274" s="445"/>
      <c r="GU274" s="445"/>
      <c r="GV274" s="445"/>
      <c r="GW274" s="445"/>
      <c r="GX274" s="445"/>
      <c r="GY274" s="445"/>
      <c r="GZ274" s="445"/>
      <c r="HA274" s="445"/>
      <c r="HB274" s="445"/>
      <c r="HC274" s="445"/>
      <c r="HD274" s="445"/>
      <c r="HE274" s="445"/>
      <c r="HF274" s="445"/>
      <c r="HG274" s="445"/>
      <c r="HH274" s="445"/>
      <c r="HI274" s="445"/>
      <c r="HJ274" s="445"/>
      <c r="HK274" s="445"/>
      <c r="HL274" s="445"/>
      <c r="HM274" s="445"/>
      <c r="HN274" s="445"/>
      <c r="HO274" s="445"/>
      <c r="HP274" s="445"/>
      <c r="HQ274" s="445"/>
      <c r="HR274" s="445"/>
      <c r="HS274" s="445"/>
      <c r="HT274" s="445"/>
      <c r="HU274" s="445"/>
      <c r="HV274" s="445"/>
      <c r="HW274" s="445"/>
      <c r="HX274" s="445"/>
      <c r="HY274" s="445"/>
      <c r="HZ274" s="445"/>
      <c r="IA274" s="445"/>
      <c r="IB274" s="445"/>
      <c r="IC274" s="445"/>
      <c r="ID274" s="445"/>
      <c r="IE274" s="445"/>
      <c r="IF274" s="445"/>
      <c r="IG274" s="445"/>
      <c r="IH274" s="445"/>
      <c r="II274" s="445"/>
      <c r="IJ274" s="445"/>
      <c r="IK274" s="445"/>
      <c r="IL274" s="445"/>
      <c r="IM274" s="445"/>
      <c r="IN274" s="445"/>
      <c r="IO274" s="445"/>
      <c r="IP274" s="445"/>
      <c r="IQ274" s="445"/>
      <c r="IR274" s="445"/>
      <c r="IS274" s="445"/>
      <c r="IT274" s="445"/>
      <c r="IU274" s="445"/>
      <c r="IV274" s="445"/>
      <c r="IW274" s="445"/>
      <c r="IX274" s="445"/>
      <c r="IY274" s="445"/>
      <c r="IZ274" s="445"/>
      <c r="JA274" s="445"/>
      <c r="JB274" s="445"/>
      <c r="JC274" s="445"/>
      <c r="JD274" s="445"/>
      <c r="JE274" s="445"/>
      <c r="JF274" s="445"/>
      <c r="JG274" s="445"/>
      <c r="JH274" s="445"/>
      <c r="JI274" s="445"/>
      <c r="JJ274" s="445"/>
      <c r="JK274" s="445"/>
      <c r="JL274" s="445"/>
      <c r="JM274" s="445"/>
      <c r="JN274" s="445"/>
      <c r="JO274" s="445"/>
      <c r="JP274" s="445"/>
      <c r="JQ274" s="445"/>
      <c r="JR274" s="445"/>
      <c r="JS274" s="445"/>
      <c r="JT274" s="445"/>
      <c r="JU274" s="445"/>
      <c r="JV274" s="445"/>
      <c r="JW274" s="2242"/>
      <c r="JX274" s="445"/>
      <c r="JY274" s="445"/>
      <c r="JZ274" s="445"/>
      <c r="KA274" s="445"/>
      <c r="KB274" s="2242"/>
      <c r="KC274" s="2242"/>
      <c r="KD274" s="2242"/>
      <c r="KE274" s="2242"/>
      <c r="KF274" s="2242"/>
      <c r="KG274" s="2242"/>
      <c r="KH274" s="2242"/>
      <c r="KI274" s="2242"/>
      <c r="KJ274" s="2242"/>
      <c r="KK274" s="2242"/>
      <c r="KL274" s="2242"/>
      <c r="KM274" s="2242"/>
      <c r="KN274" s="2242"/>
      <c r="KO274" s="2242"/>
      <c r="KP274" s="2242"/>
      <c r="KQ274" s="2242"/>
      <c r="KR274" s="2242"/>
      <c r="KS274" s="2242"/>
      <c r="KT274" s="2242"/>
      <c r="KU274" s="2242"/>
      <c r="KV274" s="2242"/>
      <c r="KW274" s="2242"/>
      <c r="KX274" s="2242"/>
      <c r="KY274" s="2242"/>
      <c r="KZ274" s="2242"/>
      <c r="LA274" s="2242"/>
      <c r="LB274" s="2242"/>
      <c r="LC274" s="2242"/>
      <c r="LD274" s="2242"/>
      <c r="LE274" s="2242"/>
      <c r="LF274" s="2242"/>
      <c r="LG274" s="2242"/>
      <c r="LH274" s="2242"/>
      <c r="LI274" s="2242"/>
      <c r="LJ274" s="2242"/>
      <c r="LK274" s="2242"/>
      <c r="LL274" s="2242"/>
      <c r="LM274" s="2242"/>
      <c r="LN274" s="2242"/>
      <c r="LO274" s="2242"/>
      <c r="LP274" s="2242"/>
      <c r="LQ274" s="2242"/>
      <c r="LR274" s="445"/>
      <c r="LS274" s="445"/>
      <c r="LT274" s="445"/>
      <c r="LU274" s="445"/>
      <c r="LV274" s="445"/>
      <c r="LW274" s="445"/>
      <c r="LX274" s="2243"/>
      <c r="LY274" s="445"/>
      <c r="LZ274" s="445"/>
      <c r="MA274" s="445"/>
      <c r="MB274" s="445"/>
      <c r="MC274" s="445"/>
      <c r="MD274" s="445"/>
      <c r="ME274" s="445"/>
      <c r="MF274" s="445"/>
      <c r="MG274" s="445"/>
      <c r="MH274" s="445"/>
      <c r="MI274" s="445"/>
      <c r="MJ274" s="445"/>
      <c r="MK274" s="445"/>
      <c r="ML274" s="445"/>
      <c r="MM274" s="445"/>
      <c r="MN274" s="2243"/>
      <c r="MO274" s="2243"/>
      <c r="MP274" s="445"/>
      <c r="MQ274" s="445"/>
      <c r="MR274" s="445"/>
      <c r="MS274" s="445"/>
      <c r="MT274" s="445"/>
      <c r="MU274" s="445"/>
      <c r="MV274" s="445"/>
      <c r="MW274" s="445"/>
      <c r="MX274" s="445"/>
      <c r="MY274" s="445"/>
      <c r="MZ274" s="445"/>
      <c r="NA274" s="445"/>
      <c r="NB274" s="445"/>
      <c r="NC274" s="445"/>
      <c r="ND274" s="445"/>
      <c r="NE274" s="94"/>
      <c r="NF274" s="94"/>
      <c r="NG274" s="94"/>
      <c r="NH274" s="94"/>
      <c r="NI274" s="94"/>
      <c r="NJ274" s="94"/>
      <c r="NK274" s="94"/>
      <c r="NL274" s="94"/>
      <c r="NM274" s="94"/>
      <c r="NN274" s="94"/>
      <c r="NO274" s="94"/>
      <c r="NP274" s="94"/>
      <c r="NQ274" s="94"/>
      <c r="NR274" s="94"/>
      <c r="NS274" s="94"/>
      <c r="NT274" s="94"/>
      <c r="NU274" s="94"/>
      <c r="NV274" s="94"/>
      <c r="NW274" s="94"/>
      <c r="NX274" s="94"/>
      <c r="NY274" s="94"/>
      <c r="NZ274" s="94"/>
      <c r="OA274" s="94"/>
      <c r="OB274" s="94"/>
      <c r="OC274" s="94"/>
      <c r="OD274" s="94"/>
      <c r="OE274" s="94"/>
      <c r="OF274" s="94"/>
      <c r="OG274" s="94"/>
      <c r="OH274" s="94"/>
      <c r="OI274" s="94"/>
      <c r="OJ274" s="94"/>
      <c r="OK274" s="94"/>
      <c r="OL274" s="94"/>
      <c r="OM274" s="94"/>
      <c r="ON274" s="94"/>
      <c r="OO274" s="94"/>
      <c r="OP274" s="94"/>
      <c r="OQ274" s="94"/>
      <c r="OR274" s="94"/>
      <c r="OS274" s="94"/>
      <c r="OT274" s="94"/>
      <c r="OU274" s="94"/>
      <c r="OV274" s="94"/>
      <c r="OW274" s="94"/>
      <c r="OX274" s="94"/>
      <c r="OY274" s="94"/>
      <c r="OZ274" s="94"/>
      <c r="PA274" s="94"/>
      <c r="PB274" s="94"/>
      <c r="PC274" s="94"/>
      <c r="PD274" s="94"/>
      <c r="PE274" s="94"/>
      <c r="PF274" s="94"/>
      <c r="PG274" s="94"/>
      <c r="PH274" s="94"/>
      <c r="PI274" s="94"/>
      <c r="PJ274" s="94"/>
      <c r="PK274" s="94"/>
      <c r="PL274" s="94"/>
      <c r="PM274" s="94"/>
      <c r="PN274" s="94"/>
      <c r="PO274" s="94"/>
      <c r="PP274" s="94"/>
      <c r="PQ274" s="94"/>
      <c r="PR274" s="94"/>
      <c r="PS274" s="94"/>
      <c r="PT274" s="94"/>
      <c r="PU274" s="94"/>
      <c r="PV274" s="94"/>
      <c r="PW274" s="94"/>
      <c r="PX274" s="94"/>
      <c r="PY274" s="94"/>
      <c r="PZ274" s="94"/>
      <c r="QA274" s="94"/>
      <c r="QB274" s="94"/>
      <c r="QC274" s="94"/>
      <c r="QD274" s="94"/>
      <c r="QE274" s="94"/>
      <c r="QF274" s="94"/>
      <c r="QG274" s="94"/>
      <c r="QH274" s="94"/>
      <c r="QI274" s="94"/>
      <c r="QJ274" s="94"/>
      <c r="QK274" s="94"/>
      <c r="QL274" s="94"/>
      <c r="QM274" s="94"/>
      <c r="QN274" s="94"/>
      <c r="QO274" s="94"/>
      <c r="QP274" s="94"/>
      <c r="QQ274" s="94"/>
      <c r="QR274" s="94"/>
      <c r="QS274" s="94"/>
      <c r="QT274" s="94"/>
      <c r="QU274" s="94"/>
      <c r="QV274" s="94"/>
      <c r="QW274" s="94"/>
      <c r="QX274" s="94"/>
      <c r="QY274" s="94"/>
      <c r="QZ274" s="94"/>
      <c r="RA274" s="94"/>
      <c r="RB274" s="94"/>
      <c r="RC274" s="94"/>
      <c r="RD274" s="94"/>
      <c r="RE274" s="94"/>
      <c r="RF274" s="94"/>
      <c r="RG274" s="94"/>
      <c r="RH274" s="94"/>
      <c r="RI274" s="94"/>
      <c r="RJ274" s="94"/>
      <c r="RK274" s="94"/>
      <c r="RL274" s="94"/>
      <c r="RM274" s="94"/>
      <c r="RN274" s="94"/>
      <c r="RO274" s="94"/>
      <c r="RP274" s="94"/>
      <c r="RQ274" s="94"/>
      <c r="RR274" s="94"/>
      <c r="RS274" s="94"/>
      <c r="RT274" s="94"/>
      <c r="RU274" s="94"/>
      <c r="RV274" s="94"/>
      <c r="RW274" s="94"/>
      <c r="RX274" s="94"/>
      <c r="RY274" s="94"/>
      <c r="RZ274" s="94"/>
      <c r="SA274" s="94"/>
      <c r="SB274" s="94"/>
      <c r="SC274" s="94"/>
      <c r="SD274" s="94"/>
      <c r="SE274" s="94"/>
      <c r="SF274" s="94"/>
      <c r="SG274" s="94"/>
      <c r="SH274" s="94"/>
      <c r="SI274" s="94"/>
    </row>
    <row r="275" spans="1:503" s="90" customFormat="1" ht="14.1" customHeight="1">
      <c r="A275" s="1"/>
      <c r="B275" s="1"/>
      <c r="C275" s="1"/>
      <c r="D275" s="1"/>
      <c r="E275" s="1"/>
      <c r="F275" s="1"/>
      <c r="G275" s="1"/>
      <c r="H275" s="1"/>
      <c r="I275" s="1"/>
      <c r="J275" s="1"/>
      <c r="K275" s="1"/>
      <c r="L275" s="1"/>
      <c r="M275" s="1"/>
      <c r="N275" s="1"/>
      <c r="O275" s="1"/>
      <c r="P275" s="1"/>
      <c r="X275" s="445"/>
      <c r="Y275" s="445"/>
      <c r="Z275" s="445"/>
      <c r="AA275" s="445"/>
      <c r="AB275" s="445"/>
      <c r="AC275" s="445"/>
      <c r="AD275" s="445"/>
      <c r="AE275" s="445"/>
      <c r="AF275" s="445"/>
      <c r="AG275" s="445"/>
      <c r="AH275" s="445"/>
      <c r="AI275" s="445"/>
      <c r="AJ275" s="445"/>
      <c r="AK275" s="445"/>
      <c r="AL275" s="445"/>
      <c r="AM275" s="445"/>
      <c r="AN275" s="445"/>
      <c r="AO275" s="445"/>
      <c r="AP275" s="445"/>
      <c r="AQ275" s="445"/>
      <c r="AR275" s="445"/>
      <c r="AS275" s="445"/>
      <c r="AT275" s="445"/>
      <c r="AU275" s="445"/>
      <c r="AV275" s="445"/>
      <c r="AW275" s="445"/>
      <c r="AX275" s="445"/>
      <c r="AY275" s="445"/>
      <c r="AZ275" s="445"/>
      <c r="BA275" s="445"/>
      <c r="BB275" s="445"/>
      <c r="BC275" s="445"/>
      <c r="BD275" s="445"/>
      <c r="BE275" s="445"/>
      <c r="BF275" s="445"/>
      <c r="BG275" s="445"/>
      <c r="BH275" s="445"/>
      <c r="BI275" s="445"/>
      <c r="BJ275" s="445"/>
      <c r="BK275" s="445"/>
      <c r="BL275" s="445"/>
      <c r="BM275" s="445"/>
      <c r="BN275" s="445"/>
      <c r="BO275" s="445"/>
      <c r="BP275" s="445"/>
      <c r="BQ275" s="445"/>
      <c r="BR275" s="445"/>
      <c r="BS275" s="445"/>
      <c r="BT275" s="445"/>
      <c r="BU275" s="445"/>
      <c r="BV275" s="445"/>
      <c r="BW275" s="445"/>
      <c r="BX275" s="445"/>
      <c r="BY275" s="445"/>
      <c r="BZ275" s="445"/>
      <c r="CA275" s="445"/>
      <c r="CB275" s="445"/>
      <c r="CC275" s="445"/>
      <c r="CD275" s="445"/>
      <c r="CE275" s="445"/>
      <c r="CF275" s="445"/>
      <c r="CG275" s="445"/>
      <c r="CH275" s="445"/>
      <c r="CI275" s="445"/>
      <c r="CJ275" s="445"/>
      <c r="CK275" s="445"/>
      <c r="CL275" s="445"/>
      <c r="CM275" s="445"/>
      <c r="CN275" s="445"/>
      <c r="CO275" s="445"/>
      <c r="CP275" s="445"/>
      <c r="CQ275" s="445"/>
      <c r="CR275" s="445"/>
      <c r="CS275" s="445"/>
      <c r="CT275" s="445"/>
      <c r="CU275" s="445"/>
      <c r="CV275" s="445"/>
      <c r="CW275" s="445"/>
      <c r="CX275" s="445"/>
      <c r="CY275" s="445"/>
      <c r="CZ275" s="445"/>
      <c r="DA275" s="445"/>
      <c r="DB275" s="445"/>
      <c r="DC275" s="445"/>
      <c r="DD275" s="445"/>
      <c r="DE275" s="445"/>
      <c r="DF275" s="445"/>
      <c r="DG275" s="445"/>
      <c r="DH275" s="445"/>
      <c r="DI275" s="445"/>
      <c r="DJ275" s="445"/>
      <c r="DK275" s="445"/>
      <c r="DL275" s="445"/>
      <c r="DM275" s="445"/>
      <c r="DN275" s="445"/>
      <c r="DO275" s="445"/>
      <c r="DP275" s="445"/>
      <c r="DQ275" s="445"/>
      <c r="DR275" s="445"/>
      <c r="DS275" s="445"/>
      <c r="DT275" s="445"/>
      <c r="DU275" s="445"/>
      <c r="DV275" s="445"/>
      <c r="DW275" s="445"/>
      <c r="DX275" s="445"/>
      <c r="DY275" s="445"/>
      <c r="DZ275" s="445"/>
      <c r="EA275" s="445"/>
      <c r="EB275" s="445"/>
      <c r="EC275" s="445"/>
      <c r="ED275" s="445"/>
      <c r="EE275" s="445"/>
      <c r="EF275" s="445"/>
      <c r="EG275" s="445"/>
      <c r="EH275" s="445"/>
      <c r="EI275" s="445"/>
      <c r="EJ275" s="445"/>
      <c r="EK275" s="445"/>
      <c r="EL275" s="445"/>
      <c r="EM275" s="445"/>
      <c r="EN275" s="445"/>
      <c r="EO275" s="445"/>
      <c r="EP275" s="445"/>
      <c r="EQ275" s="445"/>
      <c r="ER275" s="445"/>
      <c r="ES275" s="445"/>
      <c r="ET275" s="445"/>
      <c r="EU275" s="445"/>
      <c r="EV275" s="445"/>
      <c r="EW275" s="445"/>
      <c r="EX275" s="445"/>
      <c r="EY275" s="445"/>
      <c r="EZ275" s="445"/>
      <c r="FA275" s="445"/>
      <c r="FB275" s="445"/>
      <c r="FC275" s="445"/>
      <c r="FD275" s="445"/>
      <c r="FE275" s="445"/>
      <c r="FF275" s="445"/>
      <c r="FG275" s="445"/>
      <c r="FH275" s="445"/>
      <c r="FI275" s="445"/>
      <c r="FJ275" s="445"/>
      <c r="FK275" s="445"/>
      <c r="FL275" s="445"/>
      <c r="FM275" s="445"/>
      <c r="FN275" s="445"/>
      <c r="FO275" s="445"/>
      <c r="FP275" s="445"/>
      <c r="FQ275" s="445"/>
      <c r="FR275" s="445"/>
      <c r="FS275" s="445"/>
      <c r="FT275" s="445"/>
      <c r="FU275" s="445"/>
      <c r="FV275" s="445"/>
      <c r="FW275" s="445"/>
      <c r="FX275" s="445"/>
      <c r="FY275" s="445"/>
      <c r="FZ275" s="445"/>
      <c r="GA275" s="445"/>
      <c r="GB275" s="445"/>
      <c r="GC275" s="445"/>
      <c r="GD275" s="445"/>
      <c r="GE275" s="445"/>
      <c r="GF275" s="445"/>
      <c r="GG275" s="445"/>
      <c r="GH275" s="445"/>
      <c r="GI275" s="445"/>
      <c r="GJ275" s="445"/>
      <c r="GK275" s="445"/>
      <c r="GL275" s="445"/>
      <c r="GM275" s="445"/>
      <c r="GN275" s="445"/>
      <c r="GO275" s="445"/>
      <c r="GP275" s="445"/>
      <c r="GQ275" s="445"/>
      <c r="GR275" s="445"/>
      <c r="GS275" s="445"/>
      <c r="GT275" s="445"/>
      <c r="GU275" s="445"/>
      <c r="GV275" s="445"/>
      <c r="GW275" s="445"/>
      <c r="GX275" s="445"/>
      <c r="GY275" s="445"/>
      <c r="GZ275" s="445"/>
      <c r="HA275" s="445"/>
      <c r="HB275" s="445"/>
      <c r="HC275" s="445"/>
      <c r="HD275" s="445"/>
      <c r="HE275" s="445"/>
      <c r="HF275" s="445"/>
      <c r="HG275" s="445"/>
      <c r="HH275" s="445"/>
      <c r="HI275" s="445"/>
      <c r="HJ275" s="445"/>
      <c r="HK275" s="445"/>
      <c r="HL275" s="445"/>
      <c r="HM275" s="445"/>
      <c r="HN275" s="445"/>
      <c r="HO275" s="445"/>
      <c r="HP275" s="445"/>
      <c r="HQ275" s="445"/>
      <c r="HR275" s="445"/>
      <c r="HS275" s="445"/>
      <c r="HT275" s="445"/>
      <c r="HU275" s="445"/>
      <c r="HV275" s="445"/>
      <c r="HW275" s="445"/>
      <c r="HX275" s="445"/>
      <c r="HY275" s="445"/>
      <c r="HZ275" s="445"/>
      <c r="IA275" s="445"/>
      <c r="IB275" s="445"/>
      <c r="IC275" s="445"/>
      <c r="ID275" s="445"/>
      <c r="IE275" s="445"/>
      <c r="IF275" s="445"/>
      <c r="IG275" s="445"/>
      <c r="IH275" s="445"/>
      <c r="II275" s="445"/>
      <c r="IJ275" s="445"/>
      <c r="IK275" s="445"/>
      <c r="IL275" s="445"/>
      <c r="IM275" s="445"/>
      <c r="IN275" s="445"/>
      <c r="IO275" s="445"/>
      <c r="IP275" s="445"/>
      <c r="IQ275" s="445"/>
      <c r="IR275" s="445"/>
      <c r="IS275" s="445"/>
      <c r="IT275" s="445"/>
      <c r="IU275" s="445"/>
      <c r="IV275" s="445"/>
      <c r="IW275" s="445"/>
      <c r="IX275" s="445"/>
      <c r="IY275" s="445"/>
      <c r="IZ275" s="445"/>
      <c r="JA275" s="445"/>
      <c r="JB275" s="445"/>
      <c r="JC275" s="445"/>
      <c r="JD275" s="445"/>
      <c r="JE275" s="445"/>
      <c r="JF275" s="445"/>
      <c r="JG275" s="445"/>
      <c r="JH275" s="445"/>
      <c r="JI275" s="445"/>
      <c r="JJ275" s="445"/>
      <c r="JK275" s="445"/>
      <c r="JL275" s="445"/>
      <c r="JM275" s="445"/>
      <c r="JN275" s="445"/>
      <c r="JO275" s="445"/>
      <c r="JP275" s="445"/>
      <c r="JQ275" s="445"/>
      <c r="JR275" s="445"/>
      <c r="JS275" s="445"/>
      <c r="JT275" s="445"/>
      <c r="JU275" s="445"/>
      <c r="JV275" s="445"/>
      <c r="JW275" s="2242"/>
      <c r="JX275" s="445"/>
      <c r="JY275" s="445"/>
      <c r="JZ275" s="445"/>
      <c r="KA275" s="445"/>
      <c r="KB275" s="2242"/>
      <c r="KC275" s="2242"/>
      <c r="KD275" s="2242"/>
      <c r="KE275" s="2242"/>
      <c r="KF275" s="2242"/>
      <c r="KG275" s="2242"/>
      <c r="KH275" s="2242"/>
      <c r="KI275" s="2242"/>
      <c r="KJ275" s="2242"/>
      <c r="KK275" s="2242"/>
      <c r="KL275" s="2242"/>
      <c r="KM275" s="2242"/>
      <c r="KN275" s="2242"/>
      <c r="KO275" s="2242"/>
      <c r="KP275" s="2242"/>
      <c r="KQ275" s="2242"/>
      <c r="KR275" s="2242"/>
      <c r="KS275" s="2242"/>
      <c r="KT275" s="2242"/>
      <c r="KU275" s="2242"/>
      <c r="KV275" s="2242"/>
      <c r="KW275" s="2242"/>
      <c r="KX275" s="2242"/>
      <c r="KY275" s="2242"/>
      <c r="KZ275" s="2242"/>
      <c r="LA275" s="2242"/>
      <c r="LB275" s="2242"/>
      <c r="LC275" s="2242"/>
      <c r="LD275" s="2242"/>
      <c r="LE275" s="2242"/>
      <c r="LF275" s="2242"/>
      <c r="LG275" s="2242"/>
      <c r="LH275" s="2242"/>
      <c r="LI275" s="2242"/>
      <c r="LJ275" s="2242"/>
      <c r="LK275" s="2242"/>
      <c r="LL275" s="2242"/>
      <c r="LM275" s="2242"/>
      <c r="LN275" s="2242"/>
      <c r="LO275" s="2242"/>
      <c r="LP275" s="2242"/>
      <c r="LQ275" s="2242"/>
      <c r="LR275" s="445"/>
      <c r="LS275" s="445"/>
      <c r="LT275" s="445"/>
      <c r="LU275" s="445"/>
      <c r="LV275" s="445"/>
      <c r="LW275" s="445"/>
      <c r="LX275" s="2243"/>
      <c r="LY275" s="445"/>
      <c r="LZ275" s="445"/>
      <c r="MA275" s="445"/>
      <c r="MB275" s="445"/>
      <c r="MC275" s="445"/>
      <c r="MD275" s="445"/>
      <c r="ME275" s="445"/>
      <c r="MF275" s="445"/>
      <c r="MG275" s="445"/>
      <c r="MH275" s="445"/>
      <c r="MI275" s="445"/>
      <c r="MJ275" s="445"/>
      <c r="MK275" s="445"/>
      <c r="ML275" s="445"/>
      <c r="MM275" s="445"/>
      <c r="MN275" s="2243"/>
      <c r="MO275" s="2243"/>
      <c r="MP275" s="445"/>
      <c r="MQ275" s="445"/>
      <c r="MR275" s="445"/>
      <c r="MS275" s="445"/>
      <c r="MT275" s="445"/>
      <c r="MU275" s="445"/>
      <c r="MV275" s="445"/>
      <c r="MW275" s="445"/>
      <c r="MX275" s="445"/>
      <c r="MY275" s="445"/>
      <c r="MZ275" s="445"/>
      <c r="NA275" s="445"/>
      <c r="NB275" s="445"/>
      <c r="NC275" s="445"/>
      <c r="ND275" s="445"/>
      <c r="NE275" s="94"/>
      <c r="NF275" s="94"/>
      <c r="NG275" s="94"/>
      <c r="NH275" s="94"/>
      <c r="NI275" s="94"/>
      <c r="NJ275" s="94"/>
      <c r="NK275" s="94"/>
      <c r="NL275" s="94"/>
      <c r="NM275" s="94"/>
      <c r="NN275" s="94"/>
      <c r="NO275" s="94"/>
      <c r="NP275" s="94"/>
      <c r="NQ275" s="94"/>
      <c r="NR275" s="94"/>
      <c r="NS275" s="94"/>
      <c r="NT275" s="94"/>
      <c r="NU275" s="94"/>
      <c r="NV275" s="94"/>
      <c r="NW275" s="94"/>
      <c r="NX275" s="94"/>
      <c r="NY275" s="94"/>
      <c r="NZ275" s="94"/>
      <c r="OA275" s="94"/>
      <c r="OB275" s="94"/>
      <c r="OC275" s="94"/>
      <c r="OD275" s="94"/>
      <c r="OE275" s="94"/>
      <c r="OF275" s="94"/>
      <c r="OG275" s="94"/>
      <c r="OH275" s="94"/>
      <c r="OI275" s="94"/>
      <c r="OJ275" s="94"/>
      <c r="OK275" s="94"/>
      <c r="OL275" s="94"/>
      <c r="OM275" s="94"/>
      <c r="ON275" s="94"/>
      <c r="OO275" s="94"/>
      <c r="OP275" s="94"/>
      <c r="OQ275" s="94"/>
      <c r="OR275" s="94"/>
      <c r="OS275" s="94"/>
      <c r="OT275" s="94"/>
      <c r="OU275" s="94"/>
      <c r="OV275" s="94"/>
      <c r="OW275" s="94"/>
      <c r="OX275" s="94"/>
      <c r="OY275" s="94"/>
      <c r="OZ275" s="94"/>
      <c r="PA275" s="94"/>
      <c r="PB275" s="94"/>
      <c r="PC275" s="94"/>
      <c r="PD275" s="94"/>
      <c r="PE275" s="94"/>
      <c r="PF275" s="94"/>
      <c r="PG275" s="94"/>
      <c r="PH275" s="94"/>
      <c r="PI275" s="94"/>
      <c r="PJ275" s="94"/>
      <c r="PK275" s="94"/>
      <c r="PL275" s="94"/>
      <c r="PM275" s="94"/>
      <c r="PN275" s="94"/>
      <c r="PO275" s="94"/>
      <c r="PP275" s="94"/>
      <c r="PQ275" s="94"/>
      <c r="PR275" s="94"/>
      <c r="PS275" s="94"/>
      <c r="PT275" s="94"/>
      <c r="PU275" s="94"/>
      <c r="PV275" s="94"/>
      <c r="PW275" s="94"/>
      <c r="PX275" s="94"/>
      <c r="PY275" s="94"/>
      <c r="PZ275" s="94"/>
      <c r="QA275" s="94"/>
      <c r="QB275" s="94"/>
      <c r="QC275" s="94"/>
      <c r="QD275" s="94"/>
      <c r="QE275" s="94"/>
      <c r="QF275" s="94"/>
      <c r="QG275" s="94"/>
      <c r="QH275" s="94"/>
      <c r="QI275" s="94"/>
      <c r="QJ275" s="94"/>
      <c r="QK275" s="94"/>
      <c r="QL275" s="94"/>
      <c r="QM275" s="94"/>
      <c r="QN275" s="94"/>
      <c r="QO275" s="94"/>
      <c r="QP275" s="94"/>
      <c r="QQ275" s="94"/>
      <c r="QR275" s="94"/>
      <c r="QS275" s="94"/>
      <c r="QT275" s="94"/>
      <c r="QU275" s="94"/>
      <c r="QV275" s="94"/>
      <c r="QW275" s="94"/>
      <c r="QX275" s="94"/>
      <c r="QY275" s="94"/>
      <c r="QZ275" s="94"/>
      <c r="RA275" s="94"/>
      <c r="RB275" s="94"/>
      <c r="RC275" s="94"/>
      <c r="RD275" s="94"/>
      <c r="RE275" s="94"/>
      <c r="RF275" s="94"/>
      <c r="RG275" s="94"/>
      <c r="RH275" s="94"/>
      <c r="RI275" s="94"/>
      <c r="RJ275" s="94"/>
      <c r="RK275" s="94"/>
      <c r="RL275" s="94"/>
      <c r="RM275" s="94"/>
      <c r="RN275" s="94"/>
      <c r="RO275" s="94"/>
      <c r="RP275" s="94"/>
      <c r="RQ275" s="94"/>
      <c r="RR275" s="94"/>
      <c r="RS275" s="94"/>
      <c r="RT275" s="94"/>
      <c r="RU275" s="94"/>
      <c r="RV275" s="94"/>
      <c r="RW275" s="94"/>
      <c r="RX275" s="94"/>
      <c r="RY275" s="94"/>
      <c r="RZ275" s="94"/>
      <c r="SA275" s="94"/>
      <c r="SB275" s="94"/>
      <c r="SC275" s="94"/>
      <c r="SD275" s="94"/>
      <c r="SE275" s="94"/>
      <c r="SF275" s="94"/>
      <c r="SG275" s="94"/>
      <c r="SH275" s="94"/>
      <c r="SI275" s="94"/>
    </row>
    <row r="276" spans="1:503" ht="14.1" customHeight="1"/>
    <row r="277" spans="1:503" ht="14.1" customHeight="1">
      <c r="A277" s="13"/>
    </row>
    <row r="278" spans="1:503" ht="14.1" customHeight="1"/>
    <row r="279" spans="1:503" ht="14.1" customHeight="1"/>
    <row r="280" spans="1:503" ht="14.1" customHeight="1"/>
    <row r="281" spans="1:503" ht="14.1" customHeight="1"/>
    <row r="282" spans="1:503" ht="14.1" customHeight="1"/>
    <row r="283" spans="1:503" s="90" customFormat="1" ht="14.1" customHeight="1">
      <c r="A283" s="32"/>
      <c r="B283" s="1"/>
      <c r="C283" s="1"/>
      <c r="D283" s="1"/>
      <c r="E283" s="1"/>
      <c r="F283" s="1"/>
      <c r="G283" s="1"/>
      <c r="H283" s="1"/>
      <c r="I283" s="1"/>
      <c r="J283" s="1"/>
      <c r="K283" s="1"/>
      <c r="L283" s="1"/>
      <c r="M283" s="1"/>
      <c r="N283" s="1"/>
      <c r="O283" s="1"/>
      <c r="P283" s="1"/>
      <c r="X283" s="445"/>
      <c r="Y283" s="445"/>
      <c r="Z283" s="445"/>
      <c r="AA283" s="445"/>
      <c r="AB283" s="445"/>
      <c r="AC283" s="445"/>
      <c r="AD283" s="445"/>
      <c r="AE283" s="445"/>
      <c r="AF283" s="445"/>
      <c r="AG283" s="445"/>
      <c r="AH283" s="445"/>
      <c r="AI283" s="445"/>
      <c r="AJ283" s="445"/>
      <c r="AK283" s="445"/>
      <c r="AL283" s="445"/>
      <c r="AM283" s="445"/>
      <c r="AN283" s="445"/>
      <c r="AO283" s="445"/>
      <c r="AP283" s="445"/>
      <c r="AQ283" s="445"/>
      <c r="AR283" s="445"/>
      <c r="AS283" s="445"/>
      <c r="AT283" s="445"/>
      <c r="AU283" s="445"/>
      <c r="AV283" s="445"/>
      <c r="AW283" s="445"/>
      <c r="AX283" s="445"/>
      <c r="AY283" s="445"/>
      <c r="AZ283" s="445"/>
      <c r="BA283" s="445"/>
      <c r="BB283" s="445"/>
      <c r="BC283" s="445"/>
      <c r="BD283" s="445"/>
      <c r="BE283" s="445"/>
      <c r="BF283" s="445"/>
      <c r="BG283" s="445"/>
      <c r="BH283" s="445"/>
      <c r="BI283" s="445"/>
      <c r="BJ283" s="445"/>
      <c r="BK283" s="445"/>
      <c r="BL283" s="445"/>
      <c r="BM283" s="445"/>
      <c r="BN283" s="445"/>
      <c r="BO283" s="445"/>
      <c r="BP283" s="445"/>
      <c r="BQ283" s="445"/>
      <c r="BR283" s="445"/>
      <c r="BS283" s="445"/>
      <c r="BT283" s="445"/>
      <c r="BU283" s="445"/>
      <c r="BV283" s="445"/>
      <c r="BW283" s="445"/>
      <c r="BX283" s="445"/>
      <c r="BY283" s="445"/>
      <c r="BZ283" s="445"/>
      <c r="CA283" s="445"/>
      <c r="CB283" s="445"/>
      <c r="CC283" s="445"/>
      <c r="CD283" s="445"/>
      <c r="CE283" s="445"/>
      <c r="CF283" s="445"/>
      <c r="CG283" s="445"/>
      <c r="CH283" s="445"/>
      <c r="CI283" s="445"/>
      <c r="CJ283" s="445"/>
      <c r="CK283" s="445"/>
      <c r="CL283" s="445"/>
      <c r="CM283" s="445"/>
      <c r="CN283" s="445"/>
      <c r="CO283" s="445"/>
      <c r="CP283" s="445"/>
      <c r="CQ283" s="445"/>
      <c r="CR283" s="445"/>
      <c r="CS283" s="445"/>
      <c r="CT283" s="445"/>
      <c r="CU283" s="445"/>
      <c r="CV283" s="445"/>
      <c r="CW283" s="445"/>
      <c r="CX283" s="445"/>
      <c r="CY283" s="445"/>
      <c r="CZ283" s="445"/>
      <c r="DA283" s="445"/>
      <c r="DB283" s="445"/>
      <c r="DC283" s="445"/>
      <c r="DD283" s="445"/>
      <c r="DE283" s="445"/>
      <c r="DF283" s="445"/>
      <c r="DG283" s="445"/>
      <c r="DH283" s="445"/>
      <c r="DI283" s="445"/>
      <c r="DJ283" s="445"/>
      <c r="DK283" s="445"/>
      <c r="DL283" s="445"/>
      <c r="DM283" s="445"/>
      <c r="DN283" s="445"/>
      <c r="DO283" s="445"/>
      <c r="DP283" s="445"/>
      <c r="DQ283" s="445"/>
      <c r="DR283" s="445"/>
      <c r="DS283" s="445"/>
      <c r="DT283" s="445"/>
      <c r="DU283" s="445"/>
      <c r="DV283" s="445"/>
      <c r="DW283" s="445"/>
      <c r="DX283" s="445"/>
      <c r="DY283" s="445"/>
      <c r="DZ283" s="445"/>
      <c r="EA283" s="445"/>
      <c r="EB283" s="445"/>
      <c r="EC283" s="445"/>
      <c r="ED283" s="445"/>
      <c r="EE283" s="445"/>
      <c r="EF283" s="445"/>
      <c r="EG283" s="445"/>
      <c r="EH283" s="445"/>
      <c r="EI283" s="445"/>
      <c r="EJ283" s="445"/>
      <c r="EK283" s="445"/>
      <c r="EL283" s="445"/>
      <c r="EM283" s="445"/>
      <c r="EN283" s="445"/>
      <c r="EO283" s="445"/>
      <c r="EP283" s="445"/>
      <c r="EQ283" s="445"/>
      <c r="ER283" s="445"/>
      <c r="ES283" s="445"/>
      <c r="ET283" s="445"/>
      <c r="EU283" s="445"/>
      <c r="EV283" s="445"/>
      <c r="EW283" s="445"/>
      <c r="EX283" s="445"/>
      <c r="EY283" s="445"/>
      <c r="EZ283" s="445"/>
      <c r="FA283" s="445"/>
      <c r="FB283" s="445"/>
      <c r="FC283" s="445"/>
      <c r="FD283" s="445"/>
      <c r="FE283" s="445"/>
      <c r="FF283" s="445"/>
      <c r="FG283" s="445"/>
      <c r="FH283" s="445"/>
      <c r="FI283" s="445"/>
      <c r="FJ283" s="445"/>
      <c r="FK283" s="445"/>
      <c r="FL283" s="445"/>
      <c r="FM283" s="445"/>
      <c r="FN283" s="445"/>
      <c r="FO283" s="445"/>
      <c r="FP283" s="445"/>
      <c r="FQ283" s="445"/>
      <c r="FR283" s="445"/>
      <c r="FS283" s="445"/>
      <c r="FT283" s="445"/>
      <c r="FU283" s="445"/>
      <c r="FV283" s="445"/>
      <c r="FW283" s="445"/>
      <c r="FX283" s="445"/>
      <c r="FY283" s="445"/>
      <c r="FZ283" s="445"/>
      <c r="GA283" s="445"/>
      <c r="GB283" s="445"/>
      <c r="GC283" s="445"/>
      <c r="GD283" s="445"/>
      <c r="GE283" s="445"/>
      <c r="GF283" s="445"/>
      <c r="GG283" s="445"/>
      <c r="GH283" s="445"/>
      <c r="GI283" s="445"/>
      <c r="GJ283" s="445"/>
      <c r="GK283" s="445"/>
      <c r="GL283" s="445"/>
      <c r="GM283" s="445"/>
      <c r="GN283" s="445"/>
      <c r="GO283" s="445"/>
      <c r="GP283" s="445"/>
      <c r="GQ283" s="445"/>
      <c r="GR283" s="445"/>
      <c r="GS283" s="445"/>
      <c r="GT283" s="445"/>
      <c r="GU283" s="445"/>
      <c r="GV283" s="445"/>
      <c r="GW283" s="445"/>
      <c r="GX283" s="445"/>
      <c r="GY283" s="445"/>
      <c r="GZ283" s="445"/>
      <c r="HA283" s="445"/>
      <c r="HB283" s="445"/>
      <c r="HC283" s="445"/>
      <c r="HD283" s="445"/>
      <c r="HE283" s="445"/>
      <c r="HF283" s="445"/>
      <c r="HG283" s="445"/>
      <c r="HH283" s="445"/>
      <c r="HI283" s="445"/>
      <c r="HJ283" s="445"/>
      <c r="HK283" s="445"/>
      <c r="HL283" s="445"/>
      <c r="HM283" s="445"/>
      <c r="HN283" s="445"/>
      <c r="HO283" s="445"/>
      <c r="HP283" s="445"/>
      <c r="HQ283" s="445"/>
      <c r="HR283" s="445"/>
      <c r="HS283" s="445"/>
      <c r="HT283" s="445"/>
      <c r="HU283" s="445"/>
      <c r="HV283" s="445"/>
      <c r="HW283" s="445"/>
      <c r="HX283" s="445"/>
      <c r="HY283" s="445"/>
      <c r="HZ283" s="445"/>
      <c r="IA283" s="445"/>
      <c r="IB283" s="445"/>
      <c r="IC283" s="445"/>
      <c r="ID283" s="445"/>
      <c r="IE283" s="445"/>
      <c r="IF283" s="445"/>
      <c r="IG283" s="445"/>
      <c r="IH283" s="445"/>
      <c r="II283" s="445"/>
      <c r="IJ283" s="445"/>
      <c r="IK283" s="445"/>
      <c r="IL283" s="445"/>
      <c r="IM283" s="445"/>
      <c r="IN283" s="445"/>
      <c r="IO283" s="445"/>
      <c r="IP283" s="445"/>
      <c r="IQ283" s="445"/>
      <c r="IR283" s="445"/>
      <c r="IS283" s="445"/>
      <c r="IT283" s="445"/>
      <c r="IU283" s="445"/>
      <c r="IV283" s="445"/>
      <c r="IW283" s="445"/>
      <c r="IX283" s="445"/>
      <c r="IY283" s="445"/>
      <c r="IZ283" s="445"/>
      <c r="JA283" s="445"/>
      <c r="JB283" s="445"/>
      <c r="JC283" s="445"/>
      <c r="JD283" s="445"/>
      <c r="JE283" s="445"/>
      <c r="JF283" s="445"/>
      <c r="JG283" s="445"/>
      <c r="JH283" s="445"/>
      <c r="JI283" s="445"/>
      <c r="JJ283" s="445"/>
      <c r="JK283" s="445"/>
      <c r="JL283" s="445"/>
      <c r="JM283" s="445"/>
      <c r="JN283" s="445"/>
      <c r="JO283" s="445"/>
      <c r="JP283" s="445"/>
      <c r="JQ283" s="445"/>
      <c r="JR283" s="445"/>
      <c r="JS283" s="445"/>
      <c r="JT283" s="445"/>
      <c r="JU283" s="445"/>
      <c r="JV283" s="445"/>
      <c r="JW283" s="2242"/>
      <c r="JX283" s="445"/>
      <c r="JY283" s="445"/>
      <c r="JZ283" s="445"/>
      <c r="KA283" s="445"/>
      <c r="KB283" s="2242"/>
      <c r="KC283" s="2242"/>
      <c r="KD283" s="2242"/>
      <c r="KE283" s="2242"/>
      <c r="KF283" s="2242"/>
      <c r="KG283" s="2242"/>
      <c r="KH283" s="2242"/>
      <c r="KI283" s="2242"/>
      <c r="KJ283" s="2242"/>
      <c r="KK283" s="2242"/>
      <c r="KL283" s="2242"/>
      <c r="KM283" s="2242"/>
      <c r="KN283" s="2242"/>
      <c r="KO283" s="2242"/>
      <c r="KP283" s="2242"/>
      <c r="KQ283" s="2242"/>
      <c r="KR283" s="2242"/>
      <c r="KS283" s="2242"/>
      <c r="KT283" s="2242"/>
      <c r="KU283" s="2242"/>
      <c r="KV283" s="2242"/>
      <c r="KW283" s="2242"/>
      <c r="KX283" s="2242"/>
      <c r="KY283" s="2242"/>
      <c r="KZ283" s="2242"/>
      <c r="LA283" s="2242"/>
      <c r="LB283" s="2242"/>
      <c r="LC283" s="2242"/>
      <c r="LD283" s="2242"/>
      <c r="LE283" s="2242"/>
      <c r="LF283" s="2242"/>
      <c r="LG283" s="2242"/>
      <c r="LH283" s="2242"/>
      <c r="LI283" s="2242"/>
      <c r="LJ283" s="2242"/>
      <c r="LK283" s="2242"/>
      <c r="LL283" s="2242"/>
      <c r="LM283" s="2242"/>
      <c r="LN283" s="2242"/>
      <c r="LO283" s="2242"/>
      <c r="LP283" s="2242"/>
      <c r="LQ283" s="2242"/>
      <c r="LR283" s="445"/>
      <c r="LS283" s="445"/>
      <c r="LT283" s="445"/>
      <c r="LU283" s="445"/>
      <c r="LV283" s="445"/>
      <c r="LW283" s="445"/>
      <c r="LX283" s="2243"/>
      <c r="LY283" s="445"/>
      <c r="LZ283" s="445"/>
      <c r="MA283" s="445"/>
      <c r="MB283" s="445"/>
      <c r="MC283" s="445"/>
      <c r="MD283" s="445"/>
      <c r="ME283" s="445"/>
      <c r="MF283" s="445"/>
      <c r="MG283" s="445"/>
      <c r="MH283" s="445"/>
      <c r="MI283" s="445"/>
      <c r="MJ283" s="445"/>
      <c r="MK283" s="445"/>
      <c r="ML283" s="445"/>
      <c r="MM283" s="445"/>
      <c r="MN283" s="2243"/>
      <c r="MO283" s="2243"/>
      <c r="MP283" s="445"/>
      <c r="MQ283" s="445"/>
      <c r="MR283" s="445"/>
      <c r="MS283" s="445"/>
      <c r="MT283" s="445"/>
      <c r="MU283" s="445"/>
      <c r="MV283" s="445"/>
      <c r="MW283" s="445"/>
      <c r="MX283" s="445"/>
      <c r="MY283" s="445"/>
      <c r="MZ283" s="445"/>
      <c r="NA283" s="445"/>
      <c r="NB283" s="445"/>
      <c r="NC283" s="445"/>
      <c r="ND283" s="445"/>
      <c r="NE283" s="94"/>
      <c r="NF283" s="94"/>
      <c r="NG283" s="94"/>
      <c r="NH283" s="94"/>
      <c r="NI283" s="94"/>
      <c r="NJ283" s="94"/>
      <c r="NK283" s="94"/>
      <c r="NL283" s="94"/>
      <c r="NM283" s="94"/>
      <c r="NN283" s="94"/>
      <c r="NO283" s="94"/>
      <c r="NP283" s="94"/>
      <c r="NQ283" s="94"/>
      <c r="NR283" s="94"/>
      <c r="NS283" s="94"/>
      <c r="NT283" s="94"/>
      <c r="NU283" s="94"/>
      <c r="NV283" s="94"/>
      <c r="NW283" s="94"/>
      <c r="NX283" s="94"/>
      <c r="NY283" s="94"/>
      <c r="NZ283" s="94"/>
      <c r="OA283" s="94"/>
      <c r="OB283" s="94"/>
      <c r="OC283" s="94"/>
      <c r="OD283" s="94"/>
      <c r="OE283" s="94"/>
      <c r="OF283" s="94"/>
      <c r="OG283" s="94"/>
      <c r="OH283" s="94"/>
      <c r="OI283" s="94"/>
      <c r="OJ283" s="94"/>
      <c r="OK283" s="94"/>
      <c r="OL283" s="94"/>
      <c r="OM283" s="94"/>
      <c r="ON283" s="94"/>
      <c r="OO283" s="94"/>
      <c r="OP283" s="94"/>
      <c r="OQ283" s="94"/>
      <c r="OR283" s="94"/>
      <c r="OS283" s="94"/>
      <c r="OT283" s="94"/>
      <c r="OU283" s="94"/>
      <c r="OV283" s="94"/>
      <c r="OW283" s="94"/>
      <c r="OX283" s="94"/>
      <c r="OY283" s="94"/>
      <c r="OZ283" s="94"/>
      <c r="PA283" s="94"/>
      <c r="PB283" s="94"/>
      <c r="PC283" s="94"/>
      <c r="PD283" s="94"/>
      <c r="PE283" s="94"/>
      <c r="PF283" s="94"/>
      <c r="PG283" s="94"/>
      <c r="PH283" s="94"/>
      <c r="PI283" s="94"/>
      <c r="PJ283" s="94"/>
      <c r="PK283" s="94"/>
      <c r="PL283" s="94"/>
      <c r="PM283" s="94"/>
      <c r="PN283" s="94"/>
      <c r="PO283" s="94"/>
      <c r="PP283" s="94"/>
      <c r="PQ283" s="94"/>
      <c r="PR283" s="94"/>
      <c r="PS283" s="94"/>
      <c r="PT283" s="94"/>
      <c r="PU283" s="94"/>
      <c r="PV283" s="94"/>
      <c r="PW283" s="94"/>
      <c r="PX283" s="94"/>
      <c r="PY283" s="94"/>
      <c r="PZ283" s="94"/>
      <c r="QA283" s="94"/>
      <c r="QB283" s="94"/>
      <c r="QC283" s="94"/>
      <c r="QD283" s="94"/>
      <c r="QE283" s="94"/>
      <c r="QF283" s="94"/>
      <c r="QG283" s="94"/>
      <c r="QH283" s="94"/>
      <c r="QI283" s="94"/>
      <c r="QJ283" s="94"/>
      <c r="QK283" s="94"/>
      <c r="QL283" s="94"/>
      <c r="QM283" s="94"/>
      <c r="QN283" s="94"/>
      <c r="QO283" s="94"/>
      <c r="QP283" s="94"/>
      <c r="QQ283" s="94"/>
      <c r="QR283" s="94"/>
      <c r="QS283" s="94"/>
      <c r="QT283" s="94"/>
      <c r="QU283" s="94"/>
      <c r="QV283" s="94"/>
      <c r="QW283" s="94"/>
      <c r="QX283" s="94"/>
      <c r="QY283" s="94"/>
      <c r="QZ283" s="94"/>
      <c r="RA283" s="94"/>
      <c r="RB283" s="94"/>
      <c r="RC283" s="94"/>
      <c r="RD283" s="94"/>
      <c r="RE283" s="94"/>
      <c r="RF283" s="94"/>
      <c r="RG283" s="94"/>
      <c r="RH283" s="94"/>
      <c r="RI283" s="94"/>
      <c r="RJ283" s="94"/>
      <c r="RK283" s="94"/>
      <c r="RL283" s="94"/>
      <c r="RM283" s="94"/>
      <c r="RN283" s="94"/>
      <c r="RO283" s="94"/>
      <c r="RP283" s="94"/>
      <c r="RQ283" s="94"/>
      <c r="RR283" s="94"/>
      <c r="RS283" s="94"/>
      <c r="RT283" s="94"/>
      <c r="RU283" s="94"/>
      <c r="RV283" s="94"/>
      <c r="RW283" s="94"/>
      <c r="RX283" s="94"/>
      <c r="RY283" s="94"/>
      <c r="RZ283" s="94"/>
      <c r="SA283" s="94"/>
      <c r="SB283" s="94"/>
      <c r="SC283" s="94"/>
      <c r="SD283" s="94"/>
      <c r="SE283" s="94"/>
      <c r="SF283" s="94"/>
      <c r="SG283" s="94"/>
      <c r="SH283" s="94"/>
      <c r="SI283" s="94"/>
    </row>
    <row r="284" spans="1:503" s="90" customFormat="1" ht="14.1" customHeight="1">
      <c r="A284" s="32"/>
      <c r="B284" s="1"/>
      <c r="C284" s="1"/>
      <c r="D284" s="1"/>
      <c r="E284" s="1"/>
      <c r="F284" s="1"/>
      <c r="G284" s="1"/>
      <c r="H284" s="1"/>
      <c r="I284" s="1"/>
      <c r="J284" s="1"/>
      <c r="K284" s="1"/>
      <c r="L284" s="1"/>
      <c r="M284" s="1"/>
      <c r="N284" s="1"/>
      <c r="O284" s="1"/>
      <c r="P284" s="1"/>
      <c r="X284" s="445"/>
      <c r="Y284" s="445"/>
      <c r="Z284" s="445"/>
      <c r="AA284" s="445"/>
      <c r="AB284" s="445"/>
      <c r="AC284" s="445"/>
      <c r="AD284" s="445"/>
      <c r="AE284" s="445"/>
      <c r="AF284" s="445"/>
      <c r="AG284" s="445"/>
      <c r="AH284" s="445"/>
      <c r="AI284" s="445"/>
      <c r="AJ284" s="445"/>
      <c r="AK284" s="445"/>
      <c r="AL284" s="445"/>
      <c r="AM284" s="445"/>
      <c r="AN284" s="445"/>
      <c r="AO284" s="445"/>
      <c r="AP284" s="445"/>
      <c r="AQ284" s="445"/>
      <c r="AR284" s="445"/>
      <c r="AS284" s="445"/>
      <c r="AT284" s="445"/>
      <c r="AU284" s="445"/>
      <c r="AV284" s="445"/>
      <c r="AW284" s="445"/>
      <c r="AX284" s="445"/>
      <c r="AY284" s="445"/>
      <c r="AZ284" s="445"/>
      <c r="BA284" s="445"/>
      <c r="BB284" s="445"/>
      <c r="BC284" s="445"/>
      <c r="BD284" s="445"/>
      <c r="BE284" s="445"/>
      <c r="BF284" s="445"/>
      <c r="BG284" s="445"/>
      <c r="BH284" s="445"/>
      <c r="BI284" s="445"/>
      <c r="BJ284" s="445"/>
      <c r="BK284" s="445"/>
      <c r="BL284" s="445"/>
      <c r="BM284" s="445"/>
      <c r="BN284" s="445"/>
      <c r="BO284" s="445"/>
      <c r="BP284" s="445"/>
      <c r="BQ284" s="445"/>
      <c r="BR284" s="445"/>
      <c r="BS284" s="445"/>
      <c r="BT284" s="445"/>
      <c r="BU284" s="445"/>
      <c r="BV284" s="445"/>
      <c r="BW284" s="445"/>
      <c r="BX284" s="445"/>
      <c r="BY284" s="445"/>
      <c r="BZ284" s="445"/>
      <c r="CA284" s="445"/>
      <c r="CB284" s="445"/>
      <c r="CC284" s="445"/>
      <c r="CD284" s="445"/>
      <c r="CE284" s="445"/>
      <c r="CF284" s="445"/>
      <c r="CG284" s="445"/>
      <c r="CH284" s="445"/>
      <c r="CI284" s="445"/>
      <c r="CJ284" s="445"/>
      <c r="CK284" s="445"/>
      <c r="CL284" s="445"/>
      <c r="CM284" s="445"/>
      <c r="CN284" s="445"/>
      <c r="CO284" s="445"/>
      <c r="CP284" s="445"/>
      <c r="CQ284" s="445"/>
      <c r="CR284" s="445"/>
      <c r="CS284" s="445"/>
      <c r="CT284" s="445"/>
      <c r="CU284" s="445"/>
      <c r="CV284" s="445"/>
      <c r="CW284" s="445"/>
      <c r="CX284" s="445"/>
      <c r="CY284" s="445"/>
      <c r="CZ284" s="445"/>
      <c r="DA284" s="445"/>
      <c r="DB284" s="445"/>
      <c r="DC284" s="445"/>
      <c r="DD284" s="445"/>
      <c r="DE284" s="445"/>
      <c r="DF284" s="445"/>
      <c r="DG284" s="445"/>
      <c r="DH284" s="445"/>
      <c r="DI284" s="445"/>
      <c r="DJ284" s="445"/>
      <c r="DK284" s="445"/>
      <c r="DL284" s="445"/>
      <c r="DM284" s="445"/>
      <c r="DN284" s="445"/>
      <c r="DO284" s="445"/>
      <c r="DP284" s="445"/>
      <c r="DQ284" s="445"/>
      <c r="DR284" s="445"/>
      <c r="DS284" s="445"/>
      <c r="DT284" s="445"/>
      <c r="DU284" s="445"/>
      <c r="DV284" s="445"/>
      <c r="DW284" s="445"/>
      <c r="DX284" s="445"/>
      <c r="DY284" s="445"/>
      <c r="DZ284" s="445"/>
      <c r="EA284" s="445"/>
      <c r="EB284" s="445"/>
      <c r="EC284" s="445"/>
      <c r="ED284" s="445"/>
      <c r="EE284" s="445"/>
      <c r="EF284" s="445"/>
      <c r="EG284" s="445"/>
      <c r="EH284" s="445"/>
      <c r="EI284" s="445"/>
      <c r="EJ284" s="445"/>
      <c r="EK284" s="445"/>
      <c r="EL284" s="445"/>
      <c r="EM284" s="445"/>
      <c r="EN284" s="445"/>
      <c r="EO284" s="445"/>
      <c r="EP284" s="445"/>
      <c r="EQ284" s="445"/>
      <c r="ER284" s="445"/>
      <c r="ES284" s="445"/>
      <c r="ET284" s="445"/>
      <c r="EU284" s="445"/>
      <c r="EV284" s="445"/>
      <c r="EW284" s="445"/>
      <c r="EX284" s="445"/>
      <c r="EY284" s="445"/>
      <c r="EZ284" s="445"/>
      <c r="FA284" s="445"/>
      <c r="FB284" s="445"/>
      <c r="FC284" s="445"/>
      <c r="FD284" s="445"/>
      <c r="FE284" s="445"/>
      <c r="FF284" s="445"/>
      <c r="FG284" s="445"/>
      <c r="FH284" s="445"/>
      <c r="FI284" s="445"/>
      <c r="FJ284" s="445"/>
      <c r="FK284" s="445"/>
      <c r="FL284" s="445"/>
      <c r="FM284" s="445"/>
      <c r="FN284" s="445"/>
      <c r="FO284" s="445"/>
      <c r="FP284" s="445"/>
      <c r="FQ284" s="445"/>
      <c r="FR284" s="445"/>
      <c r="FS284" s="445"/>
      <c r="FT284" s="445"/>
      <c r="FU284" s="445"/>
      <c r="FV284" s="445"/>
      <c r="FW284" s="445"/>
      <c r="FX284" s="445"/>
      <c r="FY284" s="445"/>
      <c r="FZ284" s="445"/>
      <c r="GA284" s="445"/>
      <c r="GB284" s="445"/>
      <c r="GC284" s="445"/>
      <c r="GD284" s="445"/>
      <c r="GE284" s="445"/>
      <c r="GF284" s="445"/>
      <c r="GG284" s="445"/>
      <c r="GH284" s="445"/>
      <c r="GI284" s="445"/>
      <c r="GJ284" s="445"/>
      <c r="GK284" s="445"/>
      <c r="GL284" s="445"/>
      <c r="GM284" s="445"/>
      <c r="GN284" s="445"/>
      <c r="GO284" s="445"/>
      <c r="GP284" s="445"/>
      <c r="GQ284" s="445"/>
      <c r="GR284" s="445"/>
      <c r="GS284" s="445"/>
      <c r="GT284" s="445"/>
      <c r="GU284" s="445"/>
      <c r="GV284" s="445"/>
      <c r="GW284" s="445"/>
      <c r="GX284" s="445"/>
      <c r="GY284" s="445"/>
      <c r="GZ284" s="445"/>
      <c r="HA284" s="445"/>
      <c r="HB284" s="445"/>
      <c r="HC284" s="445"/>
      <c r="HD284" s="445"/>
      <c r="HE284" s="445"/>
      <c r="HF284" s="445"/>
      <c r="HG284" s="445"/>
      <c r="HH284" s="445"/>
      <c r="HI284" s="445"/>
      <c r="HJ284" s="445"/>
      <c r="HK284" s="445"/>
      <c r="HL284" s="445"/>
      <c r="HM284" s="445"/>
      <c r="HN284" s="445"/>
      <c r="HO284" s="445"/>
      <c r="HP284" s="445"/>
      <c r="HQ284" s="445"/>
      <c r="HR284" s="445"/>
      <c r="HS284" s="445"/>
      <c r="HT284" s="445"/>
      <c r="HU284" s="445"/>
      <c r="HV284" s="445"/>
      <c r="HW284" s="445"/>
      <c r="HX284" s="445"/>
      <c r="HY284" s="445"/>
      <c r="HZ284" s="445"/>
      <c r="IA284" s="445"/>
      <c r="IB284" s="445"/>
      <c r="IC284" s="445"/>
      <c r="ID284" s="445"/>
      <c r="IE284" s="445"/>
      <c r="IF284" s="445"/>
      <c r="IG284" s="445"/>
      <c r="IH284" s="445"/>
      <c r="II284" s="445"/>
      <c r="IJ284" s="445"/>
      <c r="IK284" s="445"/>
      <c r="IL284" s="445"/>
      <c r="IM284" s="445"/>
      <c r="IN284" s="445"/>
      <c r="IO284" s="445"/>
      <c r="IP284" s="445"/>
      <c r="IQ284" s="445"/>
      <c r="IR284" s="445"/>
      <c r="IS284" s="445"/>
      <c r="IT284" s="445"/>
      <c r="IU284" s="445"/>
      <c r="IV284" s="445"/>
      <c r="IW284" s="445"/>
      <c r="IX284" s="445"/>
      <c r="IY284" s="445"/>
      <c r="IZ284" s="445"/>
      <c r="JA284" s="445"/>
      <c r="JB284" s="445"/>
      <c r="JC284" s="445"/>
      <c r="JD284" s="445"/>
      <c r="JE284" s="445"/>
      <c r="JF284" s="445"/>
      <c r="JG284" s="445"/>
      <c r="JH284" s="445"/>
      <c r="JI284" s="445"/>
      <c r="JJ284" s="445"/>
      <c r="JK284" s="445"/>
      <c r="JL284" s="445"/>
      <c r="JM284" s="445"/>
      <c r="JN284" s="445"/>
      <c r="JO284" s="445"/>
      <c r="JP284" s="445"/>
      <c r="JQ284" s="445"/>
      <c r="JR284" s="445"/>
      <c r="JS284" s="445"/>
      <c r="JT284" s="445"/>
      <c r="JU284" s="445"/>
      <c r="JV284" s="445"/>
      <c r="JW284" s="2242"/>
      <c r="JX284" s="445"/>
      <c r="JY284" s="445"/>
      <c r="JZ284" s="445"/>
      <c r="KA284" s="445"/>
      <c r="KB284" s="2242"/>
      <c r="KC284" s="2242"/>
      <c r="KD284" s="2242"/>
      <c r="KE284" s="2242"/>
      <c r="KF284" s="2242"/>
      <c r="KG284" s="2242"/>
      <c r="KH284" s="2242"/>
      <c r="KI284" s="2242"/>
      <c r="KJ284" s="2242"/>
      <c r="KK284" s="2242"/>
      <c r="KL284" s="2242"/>
      <c r="KM284" s="2242"/>
      <c r="KN284" s="2242"/>
      <c r="KO284" s="2242"/>
      <c r="KP284" s="2242"/>
      <c r="KQ284" s="2242"/>
      <c r="KR284" s="2242"/>
      <c r="KS284" s="2242"/>
      <c r="KT284" s="2242"/>
      <c r="KU284" s="2242"/>
      <c r="KV284" s="2242"/>
      <c r="KW284" s="2242"/>
      <c r="KX284" s="2242"/>
      <c r="KY284" s="2242"/>
      <c r="KZ284" s="2242"/>
      <c r="LA284" s="2242"/>
      <c r="LB284" s="2242"/>
      <c r="LC284" s="2242"/>
      <c r="LD284" s="2242"/>
      <c r="LE284" s="2242"/>
      <c r="LF284" s="2242"/>
      <c r="LG284" s="2242"/>
      <c r="LH284" s="2242"/>
      <c r="LI284" s="2242"/>
      <c r="LJ284" s="2242"/>
      <c r="LK284" s="2242"/>
      <c r="LL284" s="2242"/>
      <c r="LM284" s="2242"/>
      <c r="LN284" s="2242"/>
      <c r="LO284" s="2242"/>
      <c r="LP284" s="2242"/>
      <c r="LQ284" s="2242"/>
      <c r="LR284" s="445"/>
      <c r="LS284" s="445"/>
      <c r="LT284" s="445"/>
      <c r="LU284" s="445"/>
      <c r="LV284" s="445"/>
      <c r="LW284" s="445"/>
      <c r="LX284" s="2243"/>
      <c r="LY284" s="445"/>
      <c r="LZ284" s="445"/>
      <c r="MA284" s="445"/>
      <c r="MB284" s="445"/>
      <c r="MC284" s="445"/>
      <c r="MD284" s="445"/>
      <c r="ME284" s="445"/>
      <c r="MF284" s="445"/>
      <c r="MG284" s="445"/>
      <c r="MH284" s="445"/>
      <c r="MI284" s="445"/>
      <c r="MJ284" s="445"/>
      <c r="MK284" s="445"/>
      <c r="ML284" s="445"/>
      <c r="MM284" s="445"/>
      <c r="MN284" s="2243"/>
      <c r="MO284" s="2243"/>
      <c r="MP284" s="445"/>
      <c r="MQ284" s="445"/>
      <c r="MR284" s="445"/>
      <c r="MS284" s="445"/>
      <c r="MT284" s="445"/>
      <c r="MU284" s="445"/>
      <c r="MV284" s="445"/>
      <c r="MW284" s="445"/>
      <c r="MX284" s="445"/>
      <c r="MY284" s="445"/>
      <c r="MZ284" s="445"/>
      <c r="NA284" s="445"/>
      <c r="NB284" s="445"/>
      <c r="NC284" s="445"/>
      <c r="ND284" s="445"/>
      <c r="NE284" s="94"/>
      <c r="NF284" s="94"/>
      <c r="NG284" s="94"/>
      <c r="NH284" s="94"/>
      <c r="NI284" s="94"/>
      <c r="NJ284" s="94"/>
      <c r="NK284" s="94"/>
      <c r="NL284" s="94"/>
      <c r="NM284" s="94"/>
      <c r="NN284" s="94"/>
      <c r="NO284" s="94"/>
      <c r="NP284" s="94"/>
      <c r="NQ284" s="94"/>
      <c r="NR284" s="94"/>
      <c r="NS284" s="94"/>
      <c r="NT284" s="94"/>
      <c r="NU284" s="94"/>
      <c r="NV284" s="94"/>
      <c r="NW284" s="94"/>
      <c r="NX284" s="94"/>
      <c r="NY284" s="94"/>
      <c r="NZ284" s="94"/>
      <c r="OA284" s="94"/>
      <c r="OB284" s="94"/>
      <c r="OC284" s="94"/>
      <c r="OD284" s="94"/>
      <c r="OE284" s="94"/>
      <c r="OF284" s="94"/>
      <c r="OG284" s="94"/>
      <c r="OH284" s="94"/>
      <c r="OI284" s="94"/>
      <c r="OJ284" s="94"/>
      <c r="OK284" s="94"/>
      <c r="OL284" s="94"/>
      <c r="OM284" s="94"/>
      <c r="ON284" s="94"/>
      <c r="OO284" s="94"/>
      <c r="OP284" s="94"/>
      <c r="OQ284" s="94"/>
      <c r="OR284" s="94"/>
      <c r="OS284" s="94"/>
      <c r="OT284" s="94"/>
      <c r="OU284" s="94"/>
      <c r="OV284" s="94"/>
      <c r="OW284" s="94"/>
      <c r="OX284" s="94"/>
      <c r="OY284" s="94"/>
      <c r="OZ284" s="94"/>
      <c r="PA284" s="94"/>
      <c r="PB284" s="94"/>
      <c r="PC284" s="94"/>
      <c r="PD284" s="94"/>
      <c r="PE284" s="94"/>
      <c r="PF284" s="94"/>
      <c r="PG284" s="94"/>
      <c r="PH284" s="94"/>
      <c r="PI284" s="94"/>
      <c r="PJ284" s="94"/>
      <c r="PK284" s="94"/>
      <c r="PL284" s="94"/>
      <c r="PM284" s="94"/>
      <c r="PN284" s="94"/>
      <c r="PO284" s="94"/>
      <c r="PP284" s="94"/>
      <c r="PQ284" s="94"/>
      <c r="PR284" s="94"/>
      <c r="PS284" s="94"/>
      <c r="PT284" s="94"/>
      <c r="PU284" s="94"/>
      <c r="PV284" s="94"/>
      <c r="PW284" s="94"/>
      <c r="PX284" s="94"/>
      <c r="PY284" s="94"/>
      <c r="PZ284" s="94"/>
      <c r="QA284" s="94"/>
      <c r="QB284" s="94"/>
      <c r="QC284" s="94"/>
      <c r="QD284" s="94"/>
      <c r="QE284" s="94"/>
      <c r="QF284" s="94"/>
      <c r="QG284" s="94"/>
      <c r="QH284" s="94"/>
      <c r="QI284" s="94"/>
      <c r="QJ284" s="94"/>
      <c r="QK284" s="94"/>
      <c r="QL284" s="94"/>
      <c r="QM284" s="94"/>
      <c r="QN284" s="94"/>
      <c r="QO284" s="94"/>
      <c r="QP284" s="94"/>
      <c r="QQ284" s="94"/>
      <c r="QR284" s="94"/>
      <c r="QS284" s="94"/>
      <c r="QT284" s="94"/>
      <c r="QU284" s="94"/>
      <c r="QV284" s="94"/>
      <c r="QW284" s="94"/>
      <c r="QX284" s="94"/>
      <c r="QY284" s="94"/>
      <c r="QZ284" s="94"/>
      <c r="RA284" s="94"/>
      <c r="RB284" s="94"/>
      <c r="RC284" s="94"/>
      <c r="RD284" s="94"/>
      <c r="RE284" s="94"/>
      <c r="RF284" s="94"/>
      <c r="RG284" s="94"/>
      <c r="RH284" s="94"/>
      <c r="RI284" s="94"/>
      <c r="RJ284" s="94"/>
      <c r="RK284" s="94"/>
      <c r="RL284" s="94"/>
      <c r="RM284" s="94"/>
      <c r="RN284" s="94"/>
      <c r="RO284" s="94"/>
      <c r="RP284" s="94"/>
      <c r="RQ284" s="94"/>
      <c r="RR284" s="94"/>
      <c r="RS284" s="94"/>
      <c r="RT284" s="94"/>
      <c r="RU284" s="94"/>
      <c r="RV284" s="94"/>
      <c r="RW284" s="94"/>
      <c r="RX284" s="94"/>
      <c r="RY284" s="94"/>
      <c r="RZ284" s="94"/>
      <c r="SA284" s="94"/>
      <c r="SB284" s="94"/>
      <c r="SC284" s="94"/>
      <c r="SD284" s="94"/>
      <c r="SE284" s="94"/>
      <c r="SF284" s="94"/>
      <c r="SG284" s="94"/>
      <c r="SH284" s="94"/>
      <c r="SI284" s="94"/>
    </row>
    <row r="285" spans="1:503" s="90" customFormat="1" ht="14.1" customHeight="1">
      <c r="A285" s="2373"/>
      <c r="B285" s="1"/>
      <c r="C285" s="1"/>
      <c r="D285" s="1"/>
      <c r="E285" s="1"/>
      <c r="F285" s="1"/>
      <c r="G285" s="1"/>
      <c r="H285" s="1"/>
      <c r="I285" s="1"/>
      <c r="J285" s="1"/>
      <c r="K285" s="1"/>
      <c r="L285" s="1"/>
      <c r="M285" s="1"/>
      <c r="N285" s="1"/>
      <c r="O285" s="1"/>
      <c r="P285" s="1"/>
      <c r="X285" s="445"/>
      <c r="Y285" s="445"/>
      <c r="Z285" s="445"/>
      <c r="AA285" s="445"/>
      <c r="AB285" s="445"/>
      <c r="AC285" s="445"/>
      <c r="AD285" s="445"/>
      <c r="AE285" s="445"/>
      <c r="AF285" s="445"/>
      <c r="AG285" s="445"/>
      <c r="AH285" s="445"/>
      <c r="AI285" s="445"/>
      <c r="AJ285" s="445"/>
      <c r="AK285" s="445"/>
      <c r="AL285" s="445"/>
      <c r="AM285" s="445"/>
      <c r="AN285" s="445"/>
      <c r="AO285" s="445"/>
      <c r="AP285" s="445"/>
      <c r="AQ285" s="445"/>
      <c r="AR285" s="445"/>
      <c r="AS285" s="445"/>
      <c r="AT285" s="445"/>
      <c r="AU285" s="445"/>
      <c r="AV285" s="445"/>
      <c r="AW285" s="445"/>
      <c r="AX285" s="445"/>
      <c r="AY285" s="445"/>
      <c r="AZ285" s="445"/>
      <c r="BA285" s="445"/>
      <c r="BB285" s="445"/>
      <c r="BC285" s="445"/>
      <c r="BD285" s="445"/>
      <c r="BE285" s="445"/>
      <c r="BF285" s="445"/>
      <c r="BG285" s="445"/>
      <c r="BH285" s="445"/>
      <c r="BI285" s="445"/>
      <c r="BJ285" s="445"/>
      <c r="BK285" s="445"/>
      <c r="BL285" s="445"/>
      <c r="BM285" s="445"/>
      <c r="BN285" s="445"/>
      <c r="BO285" s="445"/>
      <c r="BP285" s="445"/>
      <c r="BQ285" s="445"/>
      <c r="BR285" s="445"/>
      <c r="BS285" s="445"/>
      <c r="BT285" s="445"/>
      <c r="BU285" s="445"/>
      <c r="BV285" s="445"/>
      <c r="BW285" s="445"/>
      <c r="BX285" s="445"/>
      <c r="BY285" s="445"/>
      <c r="BZ285" s="445"/>
      <c r="CA285" s="445"/>
      <c r="CB285" s="445"/>
      <c r="CC285" s="445"/>
      <c r="CD285" s="445"/>
      <c r="CE285" s="445"/>
      <c r="CF285" s="445"/>
      <c r="CG285" s="445"/>
      <c r="CH285" s="445"/>
      <c r="CI285" s="445"/>
      <c r="CJ285" s="445"/>
      <c r="CK285" s="445"/>
      <c r="CL285" s="445"/>
      <c r="CM285" s="445"/>
      <c r="CN285" s="445"/>
      <c r="CO285" s="445"/>
      <c r="CP285" s="445"/>
      <c r="CQ285" s="445"/>
      <c r="CR285" s="445"/>
      <c r="CS285" s="445"/>
      <c r="CT285" s="445"/>
      <c r="CU285" s="445"/>
      <c r="CV285" s="445"/>
      <c r="CW285" s="445"/>
      <c r="CX285" s="445"/>
      <c r="CY285" s="445"/>
      <c r="CZ285" s="445"/>
      <c r="DA285" s="445"/>
      <c r="DB285" s="445"/>
      <c r="DC285" s="445"/>
      <c r="DD285" s="445"/>
      <c r="DE285" s="445"/>
      <c r="DF285" s="445"/>
      <c r="DG285" s="445"/>
      <c r="DH285" s="445"/>
      <c r="DI285" s="445"/>
      <c r="DJ285" s="445"/>
      <c r="DK285" s="445"/>
      <c r="DL285" s="445"/>
      <c r="DM285" s="445"/>
      <c r="DN285" s="445"/>
      <c r="DO285" s="445"/>
      <c r="DP285" s="445"/>
      <c r="DQ285" s="445"/>
      <c r="DR285" s="445"/>
      <c r="DS285" s="445"/>
      <c r="DT285" s="445"/>
      <c r="DU285" s="445"/>
      <c r="DV285" s="445"/>
      <c r="DW285" s="445"/>
      <c r="DX285" s="445"/>
      <c r="DY285" s="445"/>
      <c r="DZ285" s="445"/>
      <c r="EA285" s="445"/>
      <c r="EB285" s="445"/>
      <c r="EC285" s="445"/>
      <c r="ED285" s="445"/>
      <c r="EE285" s="445"/>
      <c r="EF285" s="445"/>
      <c r="EG285" s="445"/>
      <c r="EH285" s="445"/>
      <c r="EI285" s="445"/>
      <c r="EJ285" s="445"/>
      <c r="EK285" s="445"/>
      <c r="EL285" s="445"/>
      <c r="EM285" s="445"/>
      <c r="EN285" s="445"/>
      <c r="EO285" s="445"/>
      <c r="EP285" s="445"/>
      <c r="EQ285" s="445"/>
      <c r="ER285" s="445"/>
      <c r="ES285" s="445"/>
      <c r="ET285" s="445"/>
      <c r="EU285" s="445"/>
      <c r="EV285" s="445"/>
      <c r="EW285" s="445"/>
      <c r="EX285" s="445"/>
      <c r="EY285" s="445"/>
      <c r="EZ285" s="445"/>
      <c r="FA285" s="445"/>
      <c r="FB285" s="445"/>
      <c r="FC285" s="445"/>
      <c r="FD285" s="445"/>
      <c r="FE285" s="445"/>
      <c r="FF285" s="445"/>
      <c r="FG285" s="445"/>
      <c r="FH285" s="445"/>
      <c r="FI285" s="445"/>
      <c r="FJ285" s="445"/>
      <c r="FK285" s="445"/>
      <c r="FL285" s="445"/>
      <c r="FM285" s="445"/>
      <c r="FN285" s="445"/>
      <c r="FO285" s="445"/>
      <c r="FP285" s="445"/>
      <c r="FQ285" s="445"/>
      <c r="FR285" s="445"/>
      <c r="FS285" s="445"/>
      <c r="FT285" s="445"/>
      <c r="FU285" s="445"/>
      <c r="FV285" s="445"/>
      <c r="FW285" s="445"/>
      <c r="FX285" s="445"/>
      <c r="FY285" s="445"/>
      <c r="FZ285" s="445"/>
      <c r="GA285" s="445"/>
      <c r="GB285" s="445"/>
      <c r="GC285" s="445"/>
      <c r="GD285" s="445"/>
      <c r="GE285" s="445"/>
      <c r="GF285" s="445"/>
      <c r="GG285" s="445"/>
      <c r="GH285" s="445"/>
      <c r="GI285" s="445"/>
      <c r="GJ285" s="445"/>
      <c r="GK285" s="445"/>
      <c r="GL285" s="445"/>
      <c r="GM285" s="445"/>
      <c r="GN285" s="445"/>
      <c r="GO285" s="445"/>
      <c r="GP285" s="445"/>
      <c r="GQ285" s="445"/>
      <c r="GR285" s="445"/>
      <c r="GS285" s="445"/>
      <c r="GT285" s="445"/>
      <c r="GU285" s="445"/>
      <c r="GV285" s="445"/>
      <c r="GW285" s="445"/>
      <c r="GX285" s="445"/>
      <c r="GY285" s="445"/>
      <c r="GZ285" s="445"/>
      <c r="HA285" s="445"/>
      <c r="HB285" s="445"/>
      <c r="HC285" s="445"/>
      <c r="HD285" s="445"/>
      <c r="HE285" s="445"/>
      <c r="HF285" s="445"/>
      <c r="HG285" s="445"/>
      <c r="HH285" s="445"/>
      <c r="HI285" s="445"/>
      <c r="HJ285" s="445"/>
      <c r="HK285" s="445"/>
      <c r="HL285" s="445"/>
      <c r="HM285" s="445"/>
      <c r="HN285" s="445"/>
      <c r="HO285" s="445"/>
      <c r="HP285" s="445"/>
      <c r="HQ285" s="445"/>
      <c r="HR285" s="445"/>
      <c r="HS285" s="445"/>
      <c r="HT285" s="445"/>
      <c r="HU285" s="445"/>
      <c r="HV285" s="445"/>
      <c r="HW285" s="445"/>
      <c r="HX285" s="445"/>
      <c r="HY285" s="445"/>
      <c r="HZ285" s="445"/>
      <c r="IA285" s="445"/>
      <c r="IB285" s="445"/>
      <c r="IC285" s="445"/>
      <c r="ID285" s="445"/>
      <c r="IE285" s="445"/>
      <c r="IF285" s="445"/>
      <c r="IG285" s="445"/>
      <c r="IH285" s="445"/>
      <c r="II285" s="445"/>
      <c r="IJ285" s="445"/>
      <c r="IK285" s="445"/>
      <c r="IL285" s="445"/>
      <c r="IM285" s="445"/>
      <c r="IN285" s="445"/>
      <c r="IO285" s="445"/>
      <c r="IP285" s="445"/>
      <c r="IQ285" s="445"/>
      <c r="IR285" s="445"/>
      <c r="IS285" s="445"/>
      <c r="IT285" s="445"/>
      <c r="IU285" s="445"/>
      <c r="IV285" s="445"/>
      <c r="IW285" s="445"/>
      <c r="IX285" s="445"/>
      <c r="IY285" s="445"/>
      <c r="IZ285" s="445"/>
      <c r="JA285" s="445"/>
      <c r="JB285" s="445"/>
      <c r="JC285" s="445"/>
      <c r="JD285" s="445"/>
      <c r="JE285" s="445"/>
      <c r="JF285" s="445"/>
      <c r="JG285" s="445"/>
      <c r="JH285" s="445"/>
      <c r="JI285" s="445"/>
      <c r="JJ285" s="445"/>
      <c r="JK285" s="445"/>
      <c r="JL285" s="445"/>
      <c r="JM285" s="445"/>
      <c r="JN285" s="445"/>
      <c r="JO285" s="445"/>
      <c r="JP285" s="445"/>
      <c r="JQ285" s="445"/>
      <c r="JR285" s="445"/>
      <c r="JS285" s="445"/>
      <c r="JT285" s="445"/>
      <c r="JU285" s="445"/>
      <c r="JV285" s="445"/>
      <c r="JW285" s="2242"/>
      <c r="JX285" s="445"/>
      <c r="JY285" s="445"/>
      <c r="JZ285" s="445"/>
      <c r="KA285" s="445"/>
      <c r="KB285" s="2242"/>
      <c r="KC285" s="2242"/>
      <c r="KD285" s="2242"/>
      <c r="KE285" s="2242"/>
      <c r="KF285" s="2242"/>
      <c r="KG285" s="2242"/>
      <c r="KH285" s="2242"/>
      <c r="KI285" s="2242"/>
      <c r="KJ285" s="2242"/>
      <c r="KK285" s="2242"/>
      <c r="KL285" s="2242"/>
      <c r="KM285" s="2242"/>
      <c r="KN285" s="2242"/>
      <c r="KO285" s="2242"/>
      <c r="KP285" s="2242"/>
      <c r="KQ285" s="2242"/>
      <c r="KR285" s="2242"/>
      <c r="KS285" s="2242"/>
      <c r="KT285" s="2242"/>
      <c r="KU285" s="2242"/>
      <c r="KV285" s="2242"/>
      <c r="KW285" s="2242"/>
      <c r="KX285" s="2242"/>
      <c r="KY285" s="2242"/>
      <c r="KZ285" s="2242"/>
      <c r="LA285" s="2242"/>
      <c r="LB285" s="2242"/>
      <c r="LC285" s="2242"/>
      <c r="LD285" s="2242"/>
      <c r="LE285" s="2242"/>
      <c r="LF285" s="2242"/>
      <c r="LG285" s="2242"/>
      <c r="LH285" s="2242"/>
      <c r="LI285" s="2242"/>
      <c r="LJ285" s="2242"/>
      <c r="LK285" s="2242"/>
      <c r="LL285" s="2242"/>
      <c r="LM285" s="2242"/>
      <c r="LN285" s="2242"/>
      <c r="LO285" s="2242"/>
      <c r="LP285" s="2242"/>
      <c r="LQ285" s="2242"/>
      <c r="LR285" s="445"/>
      <c r="LS285" s="445"/>
      <c r="LT285" s="445"/>
      <c r="LU285" s="445"/>
      <c r="LV285" s="445"/>
      <c r="LW285" s="445"/>
      <c r="LX285" s="2243"/>
      <c r="LY285" s="445"/>
      <c r="LZ285" s="445"/>
      <c r="MA285" s="445"/>
      <c r="MB285" s="445"/>
      <c r="MC285" s="445"/>
      <c r="MD285" s="445"/>
      <c r="ME285" s="445"/>
      <c r="MF285" s="445"/>
      <c r="MG285" s="445"/>
      <c r="MH285" s="445"/>
      <c r="MI285" s="445"/>
      <c r="MJ285" s="445"/>
      <c r="MK285" s="445"/>
      <c r="ML285" s="445"/>
      <c r="MM285" s="445"/>
      <c r="MN285" s="2243"/>
      <c r="MO285" s="2243"/>
      <c r="MP285" s="445"/>
      <c r="MQ285" s="445"/>
      <c r="MR285" s="445"/>
      <c r="MS285" s="445"/>
      <c r="MT285" s="445"/>
      <c r="MU285" s="445"/>
      <c r="MV285" s="445"/>
      <c r="MW285" s="445"/>
      <c r="MX285" s="445"/>
      <c r="MY285" s="445"/>
      <c r="MZ285" s="445"/>
      <c r="NA285" s="445"/>
      <c r="NB285" s="445"/>
      <c r="NC285" s="445"/>
      <c r="ND285" s="445"/>
      <c r="NE285" s="94"/>
      <c r="NF285" s="94"/>
      <c r="NG285" s="94"/>
      <c r="NH285" s="94"/>
      <c r="NI285" s="94"/>
      <c r="NJ285" s="94"/>
      <c r="NK285" s="94"/>
      <c r="NL285" s="94"/>
      <c r="NM285" s="94"/>
      <c r="NN285" s="94"/>
      <c r="NO285" s="94"/>
      <c r="NP285" s="94"/>
      <c r="NQ285" s="94"/>
      <c r="NR285" s="94"/>
      <c r="NS285" s="94"/>
      <c r="NT285" s="94"/>
      <c r="NU285" s="94"/>
      <c r="NV285" s="94"/>
      <c r="NW285" s="94"/>
      <c r="NX285" s="94"/>
      <c r="NY285" s="94"/>
      <c r="NZ285" s="94"/>
      <c r="OA285" s="94"/>
      <c r="OB285" s="94"/>
      <c r="OC285" s="94"/>
      <c r="OD285" s="94"/>
      <c r="OE285" s="94"/>
      <c r="OF285" s="94"/>
      <c r="OG285" s="94"/>
      <c r="OH285" s="94"/>
      <c r="OI285" s="94"/>
      <c r="OJ285" s="94"/>
      <c r="OK285" s="94"/>
      <c r="OL285" s="94"/>
      <c r="OM285" s="94"/>
      <c r="ON285" s="94"/>
      <c r="OO285" s="94"/>
      <c r="OP285" s="94"/>
      <c r="OQ285" s="94"/>
      <c r="OR285" s="94"/>
      <c r="OS285" s="94"/>
      <c r="OT285" s="94"/>
      <c r="OU285" s="94"/>
      <c r="OV285" s="94"/>
      <c r="OW285" s="94"/>
      <c r="OX285" s="94"/>
      <c r="OY285" s="94"/>
      <c r="OZ285" s="94"/>
      <c r="PA285" s="94"/>
      <c r="PB285" s="94"/>
      <c r="PC285" s="94"/>
      <c r="PD285" s="94"/>
      <c r="PE285" s="94"/>
      <c r="PF285" s="94"/>
      <c r="PG285" s="94"/>
      <c r="PH285" s="94"/>
      <c r="PI285" s="94"/>
      <c r="PJ285" s="94"/>
      <c r="PK285" s="94"/>
      <c r="PL285" s="94"/>
      <c r="PM285" s="94"/>
      <c r="PN285" s="94"/>
      <c r="PO285" s="94"/>
      <c r="PP285" s="94"/>
      <c r="PQ285" s="94"/>
      <c r="PR285" s="94"/>
      <c r="PS285" s="94"/>
      <c r="PT285" s="94"/>
      <c r="PU285" s="94"/>
      <c r="PV285" s="94"/>
      <c r="PW285" s="94"/>
      <c r="PX285" s="94"/>
      <c r="PY285" s="94"/>
      <c r="PZ285" s="94"/>
      <c r="QA285" s="94"/>
      <c r="QB285" s="94"/>
      <c r="QC285" s="94"/>
      <c r="QD285" s="94"/>
      <c r="QE285" s="94"/>
      <c r="QF285" s="94"/>
      <c r="QG285" s="94"/>
      <c r="QH285" s="94"/>
      <c r="QI285" s="94"/>
      <c r="QJ285" s="94"/>
      <c r="QK285" s="94"/>
      <c r="QL285" s="94"/>
      <c r="QM285" s="94"/>
      <c r="QN285" s="94"/>
      <c r="QO285" s="94"/>
      <c r="QP285" s="94"/>
      <c r="QQ285" s="94"/>
      <c r="QR285" s="94"/>
      <c r="QS285" s="94"/>
      <c r="QT285" s="94"/>
      <c r="QU285" s="94"/>
      <c r="QV285" s="94"/>
      <c r="QW285" s="94"/>
      <c r="QX285" s="94"/>
      <c r="QY285" s="94"/>
      <c r="QZ285" s="94"/>
      <c r="RA285" s="94"/>
      <c r="RB285" s="94"/>
      <c r="RC285" s="94"/>
      <c r="RD285" s="94"/>
      <c r="RE285" s="94"/>
      <c r="RF285" s="94"/>
      <c r="RG285" s="94"/>
      <c r="RH285" s="94"/>
      <c r="RI285" s="94"/>
      <c r="RJ285" s="94"/>
      <c r="RK285" s="94"/>
      <c r="RL285" s="94"/>
      <c r="RM285" s="94"/>
      <c r="RN285" s="94"/>
      <c r="RO285" s="94"/>
      <c r="RP285" s="94"/>
      <c r="RQ285" s="94"/>
      <c r="RR285" s="94"/>
      <c r="RS285" s="94"/>
      <c r="RT285" s="94"/>
      <c r="RU285" s="94"/>
      <c r="RV285" s="94"/>
      <c r="RW285" s="94"/>
      <c r="RX285" s="94"/>
      <c r="RY285" s="94"/>
      <c r="RZ285" s="94"/>
      <c r="SA285" s="94"/>
      <c r="SB285" s="94"/>
      <c r="SC285" s="94"/>
      <c r="SD285" s="94"/>
      <c r="SE285" s="94"/>
      <c r="SF285" s="94"/>
      <c r="SG285" s="94"/>
      <c r="SH285" s="94"/>
      <c r="SI285" s="94"/>
    </row>
    <row r="286" spans="1:503" s="90" customFormat="1" ht="14.1" customHeight="1">
      <c r="A286" s="1"/>
      <c r="B286" s="1"/>
      <c r="C286" s="1"/>
      <c r="D286" s="1"/>
      <c r="E286" s="1"/>
      <c r="F286" s="1"/>
      <c r="G286" s="1"/>
      <c r="H286" s="1"/>
      <c r="I286" s="1"/>
      <c r="J286" s="1"/>
      <c r="K286" s="1"/>
      <c r="L286" s="1"/>
      <c r="M286" s="1"/>
      <c r="N286" s="1"/>
      <c r="O286" s="1"/>
      <c r="P286" s="1"/>
      <c r="X286" s="445"/>
      <c r="Y286" s="445"/>
      <c r="Z286" s="445"/>
      <c r="AA286" s="445"/>
      <c r="AB286" s="445"/>
      <c r="AC286" s="445"/>
      <c r="AD286" s="445"/>
      <c r="AE286" s="445"/>
      <c r="AF286" s="445"/>
      <c r="AG286" s="445"/>
      <c r="AH286" s="445"/>
      <c r="AI286" s="445"/>
      <c r="AJ286" s="445"/>
      <c r="AK286" s="445"/>
      <c r="AL286" s="445"/>
      <c r="AM286" s="445"/>
      <c r="AN286" s="445"/>
      <c r="AO286" s="445"/>
      <c r="AP286" s="445"/>
      <c r="AQ286" s="445"/>
      <c r="AR286" s="445"/>
      <c r="AS286" s="445"/>
      <c r="AT286" s="445"/>
      <c r="AU286" s="445"/>
      <c r="AV286" s="445"/>
      <c r="AW286" s="445"/>
      <c r="AX286" s="445"/>
      <c r="AY286" s="445"/>
      <c r="AZ286" s="445"/>
      <c r="BA286" s="445"/>
      <c r="BB286" s="445"/>
      <c r="BC286" s="445"/>
      <c r="BD286" s="445"/>
      <c r="BE286" s="445"/>
      <c r="BF286" s="445"/>
      <c r="BG286" s="445"/>
      <c r="BH286" s="445"/>
      <c r="BI286" s="445"/>
      <c r="BJ286" s="445"/>
      <c r="BK286" s="445"/>
      <c r="BL286" s="445"/>
      <c r="BM286" s="445"/>
      <c r="BN286" s="445"/>
      <c r="BO286" s="445"/>
      <c r="BP286" s="445"/>
      <c r="BQ286" s="445"/>
      <c r="BR286" s="445"/>
      <c r="BS286" s="445"/>
      <c r="BT286" s="445"/>
      <c r="BU286" s="445"/>
      <c r="BV286" s="445"/>
      <c r="BW286" s="445"/>
      <c r="BX286" s="445"/>
      <c r="BY286" s="445"/>
      <c r="BZ286" s="445"/>
      <c r="CA286" s="445"/>
      <c r="CB286" s="445"/>
      <c r="CC286" s="445"/>
      <c r="CD286" s="445"/>
      <c r="CE286" s="445"/>
      <c r="CF286" s="445"/>
      <c r="CG286" s="445"/>
      <c r="CH286" s="445"/>
      <c r="CI286" s="445"/>
      <c r="CJ286" s="445"/>
      <c r="CK286" s="445"/>
      <c r="CL286" s="445"/>
      <c r="CM286" s="445"/>
      <c r="CN286" s="445"/>
      <c r="CO286" s="445"/>
      <c r="CP286" s="445"/>
      <c r="CQ286" s="445"/>
      <c r="CR286" s="445"/>
      <c r="CS286" s="445"/>
      <c r="CT286" s="445"/>
      <c r="CU286" s="445"/>
      <c r="CV286" s="445"/>
      <c r="CW286" s="445"/>
      <c r="CX286" s="445"/>
      <c r="CY286" s="445"/>
      <c r="CZ286" s="445"/>
      <c r="DA286" s="445"/>
      <c r="DB286" s="445"/>
      <c r="DC286" s="445"/>
      <c r="DD286" s="445"/>
      <c r="DE286" s="445"/>
      <c r="DF286" s="445"/>
      <c r="DG286" s="445"/>
      <c r="DH286" s="445"/>
      <c r="DI286" s="445"/>
      <c r="DJ286" s="445"/>
      <c r="DK286" s="445"/>
      <c r="DL286" s="445"/>
      <c r="DM286" s="445"/>
      <c r="DN286" s="445"/>
      <c r="DO286" s="445"/>
      <c r="DP286" s="445"/>
      <c r="DQ286" s="445"/>
      <c r="DR286" s="445"/>
      <c r="DS286" s="445"/>
      <c r="DT286" s="445"/>
      <c r="DU286" s="445"/>
      <c r="DV286" s="445"/>
      <c r="DW286" s="445"/>
      <c r="DX286" s="445"/>
      <c r="DY286" s="445"/>
      <c r="DZ286" s="445"/>
      <c r="EA286" s="445"/>
      <c r="EB286" s="445"/>
      <c r="EC286" s="445"/>
      <c r="ED286" s="445"/>
      <c r="EE286" s="445"/>
      <c r="EF286" s="445"/>
      <c r="EG286" s="445"/>
      <c r="EH286" s="445"/>
      <c r="EI286" s="445"/>
      <c r="EJ286" s="445"/>
      <c r="EK286" s="445"/>
      <c r="EL286" s="445"/>
      <c r="EM286" s="445"/>
      <c r="EN286" s="445"/>
      <c r="EO286" s="445"/>
      <c r="EP286" s="445"/>
      <c r="EQ286" s="445"/>
      <c r="ER286" s="445"/>
      <c r="ES286" s="445"/>
      <c r="ET286" s="445"/>
      <c r="EU286" s="445"/>
      <c r="EV286" s="445"/>
      <c r="EW286" s="445"/>
      <c r="EX286" s="445"/>
      <c r="EY286" s="445"/>
      <c r="EZ286" s="445"/>
      <c r="FA286" s="445"/>
      <c r="FB286" s="445"/>
      <c r="FC286" s="445"/>
      <c r="FD286" s="445"/>
      <c r="FE286" s="445"/>
      <c r="FF286" s="445"/>
      <c r="FG286" s="445"/>
      <c r="FH286" s="445"/>
      <c r="FI286" s="445"/>
      <c r="FJ286" s="445"/>
      <c r="FK286" s="445"/>
      <c r="FL286" s="445"/>
      <c r="FM286" s="445"/>
      <c r="FN286" s="445"/>
      <c r="FO286" s="445"/>
      <c r="FP286" s="445"/>
      <c r="FQ286" s="445"/>
      <c r="FR286" s="445"/>
      <c r="FS286" s="445"/>
      <c r="FT286" s="445"/>
      <c r="FU286" s="445"/>
      <c r="FV286" s="445"/>
      <c r="FW286" s="445"/>
      <c r="FX286" s="445"/>
      <c r="FY286" s="445"/>
      <c r="FZ286" s="445"/>
      <c r="GA286" s="445"/>
      <c r="GB286" s="445"/>
      <c r="GC286" s="445"/>
      <c r="GD286" s="445"/>
      <c r="GE286" s="445"/>
      <c r="GF286" s="445"/>
      <c r="GG286" s="445"/>
      <c r="GH286" s="445"/>
      <c r="GI286" s="445"/>
      <c r="GJ286" s="445"/>
      <c r="GK286" s="445"/>
      <c r="GL286" s="445"/>
      <c r="GM286" s="445"/>
      <c r="GN286" s="445"/>
      <c r="GO286" s="445"/>
      <c r="GP286" s="445"/>
      <c r="GQ286" s="445"/>
      <c r="GR286" s="445"/>
      <c r="GS286" s="445"/>
      <c r="GT286" s="445"/>
      <c r="GU286" s="445"/>
      <c r="GV286" s="445"/>
      <c r="GW286" s="445"/>
      <c r="GX286" s="445"/>
      <c r="GY286" s="445"/>
      <c r="GZ286" s="445"/>
      <c r="HA286" s="445"/>
      <c r="HB286" s="445"/>
      <c r="HC286" s="445"/>
      <c r="HD286" s="445"/>
      <c r="HE286" s="445"/>
      <c r="HF286" s="445"/>
      <c r="HG286" s="445"/>
      <c r="HH286" s="445"/>
      <c r="HI286" s="445"/>
      <c r="HJ286" s="445"/>
      <c r="HK286" s="445"/>
      <c r="HL286" s="445"/>
      <c r="HM286" s="445"/>
      <c r="HN286" s="445"/>
      <c r="HO286" s="445"/>
      <c r="HP286" s="445"/>
      <c r="HQ286" s="445"/>
      <c r="HR286" s="445"/>
      <c r="HS286" s="445"/>
      <c r="HT286" s="445"/>
      <c r="HU286" s="445"/>
      <c r="HV286" s="445"/>
      <c r="HW286" s="445"/>
      <c r="HX286" s="445"/>
      <c r="HY286" s="445"/>
      <c r="HZ286" s="445"/>
      <c r="IA286" s="445"/>
      <c r="IB286" s="445"/>
      <c r="IC286" s="445"/>
      <c r="ID286" s="445"/>
      <c r="IE286" s="445"/>
      <c r="IF286" s="445"/>
      <c r="IG286" s="445"/>
      <c r="IH286" s="445"/>
      <c r="II286" s="445"/>
      <c r="IJ286" s="445"/>
      <c r="IK286" s="445"/>
      <c r="IL286" s="445"/>
      <c r="IM286" s="445"/>
      <c r="IN286" s="445"/>
      <c r="IO286" s="445"/>
      <c r="IP286" s="445"/>
      <c r="IQ286" s="445"/>
      <c r="IR286" s="445"/>
      <c r="IS286" s="445"/>
      <c r="IT286" s="445"/>
      <c r="IU286" s="445"/>
      <c r="IV286" s="445"/>
      <c r="IW286" s="445"/>
      <c r="IX286" s="445"/>
      <c r="IY286" s="445"/>
      <c r="IZ286" s="445"/>
      <c r="JA286" s="445"/>
      <c r="JB286" s="445"/>
      <c r="JC286" s="445"/>
      <c r="JD286" s="445"/>
      <c r="JE286" s="445"/>
      <c r="JF286" s="445"/>
      <c r="JG286" s="445"/>
      <c r="JH286" s="445"/>
      <c r="JI286" s="445"/>
      <c r="JJ286" s="445"/>
      <c r="JK286" s="445"/>
      <c r="JL286" s="445"/>
      <c r="JM286" s="445"/>
      <c r="JN286" s="445"/>
      <c r="JO286" s="445"/>
      <c r="JP286" s="445"/>
      <c r="JQ286" s="445"/>
      <c r="JR286" s="445"/>
      <c r="JS286" s="445"/>
      <c r="JT286" s="445"/>
      <c r="JU286" s="445"/>
      <c r="JV286" s="445"/>
      <c r="JW286" s="2242"/>
      <c r="JX286" s="445"/>
      <c r="JY286" s="445"/>
      <c r="JZ286" s="445"/>
      <c r="KA286" s="445"/>
      <c r="KB286" s="2242"/>
      <c r="KC286" s="2242"/>
      <c r="KD286" s="2242"/>
      <c r="KE286" s="2242"/>
      <c r="KF286" s="2242"/>
      <c r="KG286" s="2242"/>
      <c r="KH286" s="2242"/>
      <c r="KI286" s="2242"/>
      <c r="KJ286" s="2242"/>
      <c r="KK286" s="2242"/>
      <c r="KL286" s="2242"/>
      <c r="KM286" s="2242"/>
      <c r="KN286" s="2242"/>
      <c r="KO286" s="2242"/>
      <c r="KP286" s="2242"/>
      <c r="KQ286" s="2242"/>
      <c r="KR286" s="2242"/>
      <c r="KS286" s="2242"/>
      <c r="KT286" s="2242"/>
      <c r="KU286" s="2242"/>
      <c r="KV286" s="2242"/>
      <c r="KW286" s="2242"/>
      <c r="KX286" s="2242"/>
      <c r="KY286" s="2242"/>
      <c r="KZ286" s="2242"/>
      <c r="LA286" s="2242"/>
      <c r="LB286" s="2242"/>
      <c r="LC286" s="2242"/>
      <c r="LD286" s="2242"/>
      <c r="LE286" s="2242"/>
      <c r="LF286" s="2242"/>
      <c r="LG286" s="2242"/>
      <c r="LH286" s="2242"/>
      <c r="LI286" s="2242"/>
      <c r="LJ286" s="2242"/>
      <c r="LK286" s="2242"/>
      <c r="LL286" s="2242"/>
      <c r="LM286" s="2242"/>
      <c r="LN286" s="2242"/>
      <c r="LO286" s="2242"/>
      <c r="LP286" s="2242"/>
      <c r="LQ286" s="2242"/>
      <c r="LR286" s="445"/>
      <c r="LS286" s="445"/>
      <c r="LT286" s="445"/>
      <c r="LU286" s="445"/>
      <c r="LV286" s="445"/>
      <c r="LW286" s="445"/>
      <c r="LX286" s="2243"/>
      <c r="LY286" s="445"/>
      <c r="LZ286" s="445"/>
      <c r="MA286" s="445"/>
      <c r="MB286" s="445"/>
      <c r="MC286" s="445"/>
      <c r="MD286" s="445"/>
      <c r="ME286" s="445"/>
      <c r="MF286" s="445"/>
      <c r="MG286" s="445"/>
      <c r="MH286" s="445"/>
      <c r="MI286" s="445"/>
      <c r="MJ286" s="445"/>
      <c r="MK286" s="445"/>
      <c r="ML286" s="445"/>
      <c r="MM286" s="445"/>
      <c r="MN286" s="2243"/>
      <c r="MO286" s="2243"/>
      <c r="MP286" s="445"/>
      <c r="MQ286" s="445"/>
      <c r="MR286" s="445"/>
      <c r="MS286" s="445"/>
      <c r="MT286" s="445"/>
      <c r="MU286" s="445"/>
      <c r="MV286" s="445"/>
      <c r="MW286" s="445"/>
      <c r="MX286" s="445"/>
      <c r="MY286" s="445"/>
      <c r="MZ286" s="445"/>
      <c r="NA286" s="445"/>
      <c r="NB286" s="445"/>
      <c r="NC286" s="445"/>
      <c r="ND286" s="445"/>
      <c r="NE286" s="94"/>
      <c r="NF286" s="94"/>
      <c r="NG286" s="94"/>
      <c r="NH286" s="94"/>
      <c r="NI286" s="94"/>
      <c r="NJ286" s="94"/>
      <c r="NK286" s="94"/>
      <c r="NL286" s="94"/>
      <c r="NM286" s="94"/>
      <c r="NN286" s="94"/>
      <c r="NO286" s="94"/>
      <c r="NP286" s="94"/>
      <c r="NQ286" s="94"/>
      <c r="NR286" s="94"/>
      <c r="NS286" s="94"/>
      <c r="NT286" s="94"/>
      <c r="NU286" s="94"/>
      <c r="NV286" s="94"/>
      <c r="NW286" s="94"/>
      <c r="NX286" s="94"/>
      <c r="NY286" s="94"/>
      <c r="NZ286" s="94"/>
      <c r="OA286" s="94"/>
      <c r="OB286" s="94"/>
      <c r="OC286" s="94"/>
      <c r="OD286" s="94"/>
      <c r="OE286" s="94"/>
      <c r="OF286" s="94"/>
      <c r="OG286" s="94"/>
      <c r="OH286" s="94"/>
      <c r="OI286" s="94"/>
      <c r="OJ286" s="94"/>
      <c r="OK286" s="94"/>
      <c r="OL286" s="94"/>
      <c r="OM286" s="94"/>
      <c r="ON286" s="94"/>
      <c r="OO286" s="94"/>
      <c r="OP286" s="94"/>
      <c r="OQ286" s="94"/>
      <c r="OR286" s="94"/>
      <c r="OS286" s="94"/>
      <c r="OT286" s="94"/>
      <c r="OU286" s="94"/>
      <c r="OV286" s="94"/>
      <c r="OW286" s="94"/>
      <c r="OX286" s="94"/>
      <c r="OY286" s="94"/>
      <c r="OZ286" s="94"/>
      <c r="PA286" s="94"/>
      <c r="PB286" s="94"/>
      <c r="PC286" s="94"/>
      <c r="PD286" s="94"/>
      <c r="PE286" s="94"/>
      <c r="PF286" s="94"/>
      <c r="PG286" s="94"/>
      <c r="PH286" s="94"/>
      <c r="PI286" s="94"/>
      <c r="PJ286" s="94"/>
      <c r="PK286" s="94"/>
      <c r="PL286" s="94"/>
      <c r="PM286" s="94"/>
      <c r="PN286" s="94"/>
      <c r="PO286" s="94"/>
      <c r="PP286" s="94"/>
      <c r="PQ286" s="94"/>
      <c r="PR286" s="94"/>
      <c r="PS286" s="94"/>
      <c r="PT286" s="94"/>
      <c r="PU286" s="94"/>
      <c r="PV286" s="94"/>
      <c r="PW286" s="94"/>
      <c r="PX286" s="94"/>
      <c r="PY286" s="94"/>
      <c r="PZ286" s="94"/>
      <c r="QA286" s="94"/>
      <c r="QB286" s="94"/>
      <c r="QC286" s="94"/>
      <c r="QD286" s="94"/>
      <c r="QE286" s="94"/>
      <c r="QF286" s="94"/>
      <c r="QG286" s="94"/>
      <c r="QH286" s="94"/>
      <c r="QI286" s="94"/>
      <c r="QJ286" s="94"/>
      <c r="QK286" s="94"/>
      <c r="QL286" s="94"/>
      <c r="QM286" s="94"/>
      <c r="QN286" s="94"/>
      <c r="QO286" s="94"/>
      <c r="QP286" s="94"/>
      <c r="QQ286" s="94"/>
      <c r="QR286" s="94"/>
      <c r="QS286" s="94"/>
      <c r="QT286" s="94"/>
      <c r="QU286" s="94"/>
      <c r="QV286" s="94"/>
      <c r="QW286" s="94"/>
      <c r="QX286" s="94"/>
      <c r="QY286" s="94"/>
      <c r="QZ286" s="94"/>
      <c r="RA286" s="94"/>
      <c r="RB286" s="94"/>
      <c r="RC286" s="94"/>
      <c r="RD286" s="94"/>
      <c r="RE286" s="94"/>
      <c r="RF286" s="94"/>
      <c r="RG286" s="94"/>
      <c r="RH286" s="94"/>
      <c r="RI286" s="94"/>
      <c r="RJ286" s="94"/>
      <c r="RK286" s="94"/>
      <c r="RL286" s="94"/>
      <c r="RM286" s="94"/>
      <c r="RN286" s="94"/>
      <c r="RO286" s="94"/>
      <c r="RP286" s="94"/>
      <c r="RQ286" s="94"/>
      <c r="RR286" s="94"/>
      <c r="RS286" s="94"/>
      <c r="RT286" s="94"/>
      <c r="RU286" s="94"/>
      <c r="RV286" s="94"/>
      <c r="RW286" s="94"/>
      <c r="RX286" s="94"/>
      <c r="RY286" s="94"/>
      <c r="RZ286" s="94"/>
      <c r="SA286" s="94"/>
      <c r="SB286" s="94"/>
      <c r="SC286" s="94"/>
      <c r="SD286" s="94"/>
      <c r="SE286" s="94"/>
      <c r="SF286" s="94"/>
      <c r="SG286" s="94"/>
      <c r="SH286" s="94"/>
      <c r="SI286" s="94"/>
    </row>
    <row r="287" spans="1:503" s="90" customFormat="1" ht="14.1" customHeight="1">
      <c r="A287" s="1"/>
      <c r="B287" s="1"/>
      <c r="C287" s="1"/>
      <c r="D287" s="1"/>
      <c r="E287" s="1"/>
      <c r="F287" s="1"/>
      <c r="G287" s="1"/>
      <c r="H287" s="1"/>
      <c r="I287" s="1"/>
      <c r="J287" s="1"/>
      <c r="K287" s="1"/>
      <c r="L287" s="1"/>
      <c r="M287" s="1"/>
      <c r="N287" s="1"/>
      <c r="O287" s="1"/>
      <c r="P287" s="1"/>
      <c r="X287" s="445"/>
      <c r="Y287" s="445"/>
      <c r="Z287" s="445"/>
      <c r="AA287" s="445"/>
      <c r="AB287" s="445"/>
      <c r="AC287" s="445"/>
      <c r="AD287" s="445"/>
      <c r="AE287" s="445"/>
      <c r="AF287" s="445"/>
      <c r="AG287" s="445"/>
      <c r="AH287" s="445"/>
      <c r="AI287" s="445"/>
      <c r="AJ287" s="445"/>
      <c r="AK287" s="445"/>
      <c r="AL287" s="445"/>
      <c r="AM287" s="445"/>
      <c r="AN287" s="445"/>
      <c r="AO287" s="445"/>
      <c r="AP287" s="445"/>
      <c r="AQ287" s="445"/>
      <c r="AR287" s="445"/>
      <c r="AS287" s="445"/>
      <c r="AT287" s="445"/>
      <c r="AU287" s="445"/>
      <c r="AV287" s="445"/>
      <c r="AW287" s="445"/>
      <c r="AX287" s="445"/>
      <c r="AY287" s="445"/>
      <c r="AZ287" s="445"/>
      <c r="BA287" s="445"/>
      <c r="BB287" s="445"/>
      <c r="BC287" s="445"/>
      <c r="BD287" s="445"/>
      <c r="BE287" s="445"/>
      <c r="BF287" s="445"/>
      <c r="BG287" s="445"/>
      <c r="BH287" s="445"/>
      <c r="BI287" s="445"/>
      <c r="BJ287" s="445"/>
      <c r="BK287" s="445"/>
      <c r="BL287" s="445"/>
      <c r="BM287" s="445"/>
      <c r="BN287" s="445"/>
      <c r="BO287" s="445"/>
      <c r="BP287" s="445"/>
      <c r="BQ287" s="445"/>
      <c r="BR287" s="445"/>
      <c r="BS287" s="445"/>
      <c r="BT287" s="445"/>
      <c r="BU287" s="445"/>
      <c r="BV287" s="445"/>
      <c r="BW287" s="445"/>
      <c r="BX287" s="445"/>
      <c r="BY287" s="445"/>
      <c r="BZ287" s="445"/>
      <c r="CA287" s="445"/>
      <c r="CB287" s="445"/>
      <c r="CC287" s="445"/>
      <c r="CD287" s="445"/>
      <c r="CE287" s="445"/>
      <c r="CF287" s="445"/>
      <c r="CG287" s="445"/>
      <c r="CH287" s="445"/>
      <c r="CI287" s="445"/>
      <c r="CJ287" s="445"/>
      <c r="CK287" s="445"/>
      <c r="CL287" s="445"/>
      <c r="CM287" s="445"/>
      <c r="CN287" s="445"/>
      <c r="CO287" s="445"/>
      <c r="CP287" s="445"/>
      <c r="CQ287" s="445"/>
      <c r="CR287" s="445"/>
      <c r="CS287" s="445"/>
      <c r="CT287" s="445"/>
      <c r="CU287" s="445"/>
      <c r="CV287" s="445"/>
      <c r="CW287" s="445"/>
      <c r="CX287" s="445"/>
      <c r="CY287" s="445"/>
      <c r="CZ287" s="445"/>
      <c r="DA287" s="445"/>
      <c r="DB287" s="445"/>
      <c r="DC287" s="445"/>
      <c r="DD287" s="445"/>
      <c r="DE287" s="445"/>
      <c r="DF287" s="445"/>
      <c r="DG287" s="445"/>
      <c r="DH287" s="445"/>
      <c r="DI287" s="445"/>
      <c r="DJ287" s="445"/>
      <c r="DK287" s="445"/>
      <c r="DL287" s="445"/>
      <c r="DM287" s="445"/>
      <c r="DN287" s="445"/>
      <c r="DO287" s="445"/>
      <c r="DP287" s="445"/>
      <c r="DQ287" s="445"/>
      <c r="DR287" s="445"/>
      <c r="DS287" s="445"/>
      <c r="DT287" s="445"/>
      <c r="DU287" s="445"/>
      <c r="DV287" s="445"/>
      <c r="DW287" s="445"/>
      <c r="DX287" s="445"/>
      <c r="DY287" s="445"/>
      <c r="DZ287" s="445"/>
      <c r="EA287" s="445"/>
      <c r="EB287" s="445"/>
      <c r="EC287" s="445"/>
      <c r="ED287" s="445"/>
      <c r="EE287" s="445"/>
      <c r="EF287" s="445"/>
      <c r="EG287" s="445"/>
      <c r="EH287" s="445"/>
      <c r="EI287" s="445"/>
      <c r="EJ287" s="445"/>
      <c r="EK287" s="445"/>
      <c r="EL287" s="445"/>
      <c r="EM287" s="445"/>
      <c r="EN287" s="445"/>
      <c r="EO287" s="445"/>
      <c r="EP287" s="445"/>
      <c r="EQ287" s="445"/>
      <c r="ER287" s="445"/>
      <c r="ES287" s="445"/>
      <c r="ET287" s="445"/>
      <c r="EU287" s="445"/>
      <c r="EV287" s="445"/>
      <c r="EW287" s="445"/>
      <c r="EX287" s="445"/>
      <c r="EY287" s="445"/>
      <c r="EZ287" s="445"/>
      <c r="FA287" s="445"/>
      <c r="FB287" s="445"/>
      <c r="FC287" s="445"/>
      <c r="FD287" s="445"/>
      <c r="FE287" s="445"/>
      <c r="FF287" s="445"/>
      <c r="FG287" s="445"/>
      <c r="FH287" s="445"/>
      <c r="FI287" s="445"/>
      <c r="FJ287" s="445"/>
      <c r="FK287" s="445"/>
      <c r="FL287" s="445"/>
      <c r="FM287" s="445"/>
      <c r="FN287" s="445"/>
      <c r="FO287" s="445"/>
      <c r="FP287" s="445"/>
      <c r="FQ287" s="445"/>
      <c r="FR287" s="445"/>
      <c r="FS287" s="445"/>
      <c r="FT287" s="445"/>
      <c r="FU287" s="445"/>
      <c r="FV287" s="445"/>
      <c r="FW287" s="445"/>
      <c r="FX287" s="445"/>
      <c r="FY287" s="445"/>
      <c r="FZ287" s="445"/>
      <c r="GA287" s="445"/>
      <c r="GB287" s="445"/>
      <c r="GC287" s="445"/>
      <c r="GD287" s="445"/>
      <c r="GE287" s="445"/>
      <c r="GF287" s="445"/>
      <c r="GG287" s="445"/>
      <c r="GH287" s="445"/>
      <c r="GI287" s="445"/>
      <c r="GJ287" s="445"/>
      <c r="GK287" s="445"/>
      <c r="GL287" s="445"/>
      <c r="GM287" s="445"/>
      <c r="GN287" s="445"/>
      <c r="GO287" s="445"/>
      <c r="GP287" s="445"/>
      <c r="GQ287" s="445"/>
      <c r="GR287" s="445"/>
      <c r="GS287" s="445"/>
      <c r="GT287" s="445"/>
      <c r="GU287" s="445"/>
      <c r="GV287" s="445"/>
      <c r="GW287" s="445"/>
      <c r="GX287" s="445"/>
      <c r="GY287" s="445"/>
      <c r="GZ287" s="445"/>
      <c r="HA287" s="445"/>
      <c r="HB287" s="445"/>
      <c r="HC287" s="445"/>
      <c r="HD287" s="445"/>
      <c r="HE287" s="445"/>
      <c r="HF287" s="445"/>
      <c r="HG287" s="445"/>
      <c r="HH287" s="445"/>
      <c r="HI287" s="445"/>
      <c r="HJ287" s="445"/>
      <c r="HK287" s="445"/>
      <c r="HL287" s="445"/>
      <c r="HM287" s="445"/>
      <c r="HN287" s="445"/>
      <c r="HO287" s="445"/>
      <c r="HP287" s="445"/>
      <c r="HQ287" s="445"/>
      <c r="HR287" s="445"/>
      <c r="HS287" s="445"/>
      <c r="HT287" s="445"/>
      <c r="HU287" s="445"/>
      <c r="HV287" s="445"/>
      <c r="HW287" s="445"/>
      <c r="HX287" s="445"/>
      <c r="HY287" s="445"/>
      <c r="HZ287" s="445"/>
      <c r="IA287" s="445"/>
      <c r="IB287" s="445"/>
      <c r="IC287" s="445"/>
      <c r="ID287" s="445"/>
      <c r="IE287" s="445"/>
      <c r="IF287" s="445"/>
      <c r="IG287" s="445"/>
      <c r="IH287" s="445"/>
      <c r="II287" s="445"/>
      <c r="IJ287" s="445"/>
      <c r="IK287" s="445"/>
      <c r="IL287" s="445"/>
      <c r="IM287" s="445"/>
      <c r="IN287" s="445"/>
      <c r="IO287" s="445"/>
      <c r="IP287" s="445"/>
      <c r="IQ287" s="445"/>
      <c r="IR287" s="445"/>
      <c r="IS287" s="445"/>
      <c r="IT287" s="445"/>
      <c r="IU287" s="445"/>
      <c r="IV287" s="445"/>
      <c r="IW287" s="445"/>
      <c r="IX287" s="445"/>
      <c r="IY287" s="445"/>
      <c r="IZ287" s="445"/>
      <c r="JA287" s="445"/>
      <c r="JB287" s="445"/>
      <c r="JC287" s="445"/>
      <c r="JD287" s="445"/>
      <c r="JE287" s="445"/>
      <c r="JF287" s="445"/>
      <c r="JG287" s="445"/>
      <c r="JH287" s="445"/>
      <c r="JI287" s="445"/>
      <c r="JJ287" s="445"/>
      <c r="JK287" s="445"/>
      <c r="JL287" s="445"/>
      <c r="JM287" s="445"/>
      <c r="JN287" s="445"/>
      <c r="JO287" s="445"/>
      <c r="JP287" s="445"/>
      <c r="JQ287" s="445"/>
      <c r="JR287" s="445"/>
      <c r="JS287" s="445"/>
      <c r="JT287" s="445"/>
      <c r="JU287" s="445"/>
      <c r="JV287" s="445"/>
      <c r="JW287" s="2242"/>
      <c r="JX287" s="445"/>
      <c r="JY287" s="445"/>
      <c r="JZ287" s="445"/>
      <c r="KA287" s="445"/>
      <c r="KB287" s="2242"/>
      <c r="KC287" s="2242"/>
      <c r="KD287" s="2242"/>
      <c r="KE287" s="2242"/>
      <c r="KF287" s="2242"/>
      <c r="KG287" s="2242"/>
      <c r="KH287" s="2242"/>
      <c r="KI287" s="2242"/>
      <c r="KJ287" s="2242"/>
      <c r="KK287" s="2242"/>
      <c r="KL287" s="2242"/>
      <c r="KM287" s="2242"/>
      <c r="KN287" s="2242"/>
      <c r="KO287" s="2242"/>
      <c r="KP287" s="2242"/>
      <c r="KQ287" s="2242"/>
      <c r="KR287" s="2242"/>
      <c r="KS287" s="2242"/>
      <c r="KT287" s="2242"/>
      <c r="KU287" s="2242"/>
      <c r="KV287" s="2242"/>
      <c r="KW287" s="2242"/>
      <c r="KX287" s="2242"/>
      <c r="KY287" s="2242"/>
      <c r="KZ287" s="2242"/>
      <c r="LA287" s="2242"/>
      <c r="LB287" s="2242"/>
      <c r="LC287" s="2242"/>
      <c r="LD287" s="2242"/>
      <c r="LE287" s="2242"/>
      <c r="LF287" s="2242"/>
      <c r="LG287" s="2242"/>
      <c r="LH287" s="2242"/>
      <c r="LI287" s="2242"/>
      <c r="LJ287" s="2242"/>
      <c r="LK287" s="2242"/>
      <c r="LL287" s="2242"/>
      <c r="LM287" s="2242"/>
      <c r="LN287" s="2242"/>
      <c r="LO287" s="2242"/>
      <c r="LP287" s="2242"/>
      <c r="LQ287" s="2242"/>
      <c r="LR287" s="445"/>
      <c r="LS287" s="445"/>
      <c r="LT287" s="445"/>
      <c r="LU287" s="445"/>
      <c r="LV287" s="445"/>
      <c r="LW287" s="445"/>
      <c r="LX287" s="2243"/>
      <c r="LY287" s="445"/>
      <c r="LZ287" s="445"/>
      <c r="MA287" s="445"/>
      <c r="MB287" s="445"/>
      <c r="MC287" s="445"/>
      <c r="MD287" s="445"/>
      <c r="ME287" s="445"/>
      <c r="MF287" s="445"/>
      <c r="MG287" s="445"/>
      <c r="MH287" s="445"/>
      <c r="MI287" s="445"/>
      <c r="MJ287" s="445"/>
      <c r="MK287" s="445"/>
      <c r="ML287" s="445"/>
      <c r="MM287" s="445"/>
      <c r="MN287" s="2243"/>
      <c r="MO287" s="2243"/>
      <c r="MP287" s="445"/>
      <c r="MQ287" s="445"/>
      <c r="MR287" s="445"/>
      <c r="MS287" s="445"/>
      <c r="MT287" s="445"/>
      <c r="MU287" s="445"/>
      <c r="MV287" s="445"/>
      <c r="MW287" s="445"/>
      <c r="MX287" s="445"/>
      <c r="MY287" s="445"/>
      <c r="MZ287" s="445"/>
      <c r="NA287" s="445"/>
      <c r="NB287" s="445"/>
      <c r="NC287" s="445"/>
      <c r="ND287" s="445"/>
      <c r="NE287" s="94"/>
      <c r="NF287" s="94"/>
      <c r="NG287" s="94"/>
      <c r="NH287" s="94"/>
      <c r="NI287" s="94"/>
      <c r="NJ287" s="94"/>
      <c r="NK287" s="94"/>
      <c r="NL287" s="94"/>
      <c r="NM287" s="94"/>
      <c r="NN287" s="94"/>
      <c r="NO287" s="94"/>
      <c r="NP287" s="94"/>
      <c r="NQ287" s="94"/>
      <c r="NR287" s="94"/>
      <c r="NS287" s="94"/>
      <c r="NT287" s="94"/>
      <c r="NU287" s="94"/>
      <c r="NV287" s="94"/>
      <c r="NW287" s="94"/>
      <c r="NX287" s="94"/>
      <c r="NY287" s="94"/>
      <c r="NZ287" s="94"/>
      <c r="OA287" s="94"/>
      <c r="OB287" s="94"/>
      <c r="OC287" s="94"/>
      <c r="OD287" s="94"/>
      <c r="OE287" s="94"/>
      <c r="OF287" s="94"/>
      <c r="OG287" s="94"/>
      <c r="OH287" s="94"/>
      <c r="OI287" s="94"/>
      <c r="OJ287" s="94"/>
      <c r="OK287" s="94"/>
      <c r="OL287" s="94"/>
      <c r="OM287" s="94"/>
      <c r="ON287" s="94"/>
      <c r="OO287" s="94"/>
      <c r="OP287" s="94"/>
      <c r="OQ287" s="94"/>
      <c r="OR287" s="94"/>
      <c r="OS287" s="94"/>
      <c r="OT287" s="94"/>
      <c r="OU287" s="94"/>
      <c r="OV287" s="94"/>
      <c r="OW287" s="94"/>
      <c r="OX287" s="94"/>
      <c r="OY287" s="94"/>
      <c r="OZ287" s="94"/>
      <c r="PA287" s="94"/>
      <c r="PB287" s="94"/>
      <c r="PC287" s="94"/>
      <c r="PD287" s="94"/>
      <c r="PE287" s="94"/>
      <c r="PF287" s="94"/>
      <c r="PG287" s="94"/>
      <c r="PH287" s="94"/>
      <c r="PI287" s="94"/>
      <c r="PJ287" s="94"/>
      <c r="PK287" s="94"/>
      <c r="PL287" s="94"/>
      <c r="PM287" s="94"/>
      <c r="PN287" s="94"/>
      <c r="PO287" s="94"/>
      <c r="PP287" s="94"/>
      <c r="PQ287" s="94"/>
      <c r="PR287" s="94"/>
      <c r="PS287" s="94"/>
      <c r="PT287" s="94"/>
      <c r="PU287" s="94"/>
      <c r="PV287" s="94"/>
      <c r="PW287" s="94"/>
      <c r="PX287" s="94"/>
      <c r="PY287" s="94"/>
      <c r="PZ287" s="94"/>
      <c r="QA287" s="94"/>
      <c r="QB287" s="94"/>
      <c r="QC287" s="94"/>
      <c r="QD287" s="94"/>
      <c r="QE287" s="94"/>
      <c r="QF287" s="94"/>
      <c r="QG287" s="94"/>
      <c r="QH287" s="94"/>
      <c r="QI287" s="94"/>
      <c r="QJ287" s="94"/>
      <c r="QK287" s="94"/>
      <c r="QL287" s="94"/>
      <c r="QM287" s="94"/>
      <c r="QN287" s="94"/>
      <c r="QO287" s="94"/>
      <c r="QP287" s="94"/>
      <c r="QQ287" s="94"/>
      <c r="QR287" s="94"/>
      <c r="QS287" s="94"/>
      <c r="QT287" s="94"/>
      <c r="QU287" s="94"/>
      <c r="QV287" s="94"/>
      <c r="QW287" s="94"/>
      <c r="QX287" s="94"/>
      <c r="QY287" s="94"/>
      <c r="QZ287" s="94"/>
      <c r="RA287" s="94"/>
      <c r="RB287" s="94"/>
      <c r="RC287" s="94"/>
      <c r="RD287" s="94"/>
      <c r="RE287" s="94"/>
      <c r="RF287" s="94"/>
      <c r="RG287" s="94"/>
      <c r="RH287" s="94"/>
      <c r="RI287" s="94"/>
      <c r="RJ287" s="94"/>
      <c r="RK287" s="94"/>
      <c r="RL287" s="94"/>
      <c r="RM287" s="94"/>
      <c r="RN287" s="94"/>
      <c r="RO287" s="94"/>
      <c r="RP287" s="94"/>
      <c r="RQ287" s="94"/>
      <c r="RR287" s="94"/>
      <c r="RS287" s="94"/>
      <c r="RT287" s="94"/>
      <c r="RU287" s="94"/>
      <c r="RV287" s="94"/>
      <c r="RW287" s="94"/>
      <c r="RX287" s="94"/>
      <c r="RY287" s="94"/>
      <c r="RZ287" s="94"/>
      <c r="SA287" s="94"/>
      <c r="SB287" s="94"/>
      <c r="SC287" s="94"/>
      <c r="SD287" s="94"/>
      <c r="SE287" s="94"/>
      <c r="SF287" s="94"/>
      <c r="SG287" s="94"/>
      <c r="SH287" s="94"/>
      <c r="SI287" s="94"/>
    </row>
    <row r="288" spans="1:503" ht="14.1" customHeight="1"/>
    <row r="289" spans="1:1" ht="14.1" customHeight="1">
      <c r="A289" s="13"/>
    </row>
    <row r="290" spans="1:1" ht="14.1" customHeight="1"/>
    <row r="291" spans="1:1" ht="14.1" customHeight="1"/>
    <row r="292" spans="1:1" ht="14.1" customHeight="1"/>
    <row r="293" spans="1:1" ht="14.1" customHeight="1"/>
    <row r="294" spans="1:1" ht="14.1" customHeight="1"/>
    <row r="295" spans="1:1" ht="14.1" customHeight="1"/>
    <row r="296" spans="1:1" ht="14.1" customHeight="1"/>
    <row r="297" spans="1:1" ht="14.1" customHeight="1"/>
    <row r="298" spans="1:1" ht="14.1" customHeight="1"/>
  </sheetData>
  <sheetProtection algorithmName="SHA-512" hashValue="vrT5BMFusxDUXDLoFJY1cA2SDvJY7soaNjwZ8OigqI2BfyLDOr4LlZzVjm1e6YfedJXpe4b92OnllIG8xSXNVQ==" saltValue="HTGjYyC7lK8pGwzUIjqvYA==" spinCount="100000" sheet="1" objects="1" scenarios="1" selectLockedCells="1" selectUnlockedCells="1"/>
  <mergeCells count="603">
    <mergeCell ref="A56:B71"/>
    <mergeCell ref="I229:K229"/>
    <mergeCell ref="K250:L250"/>
    <mergeCell ref="I5:I9"/>
    <mergeCell ref="LG8:LG9"/>
    <mergeCell ref="LH8:LH9"/>
    <mergeCell ref="LI8:LI9"/>
    <mergeCell ref="LJ8:LJ9"/>
    <mergeCell ref="LK8:LK9"/>
    <mergeCell ref="L102:O102"/>
    <mergeCell ref="Q56:Q63"/>
    <mergeCell ref="S57:W57"/>
    <mergeCell ref="S58:W58"/>
    <mergeCell ref="S59:W59"/>
    <mergeCell ref="S60:W60"/>
    <mergeCell ref="S61:W61"/>
    <mergeCell ref="Q156:Q158"/>
    <mergeCell ref="L53:O53"/>
    <mergeCell ref="A51:Q52"/>
    <mergeCell ref="B48:C48"/>
    <mergeCell ref="B49:C49"/>
    <mergeCell ref="H48:H49"/>
    <mergeCell ref="T47:W47"/>
    <mergeCell ref="S196:W196"/>
    <mergeCell ref="T42:W42"/>
    <mergeCell ref="T43:W43"/>
    <mergeCell ref="T44:W44"/>
    <mergeCell ref="T45:W45"/>
    <mergeCell ref="T46:W46"/>
    <mergeCell ref="T11:W11"/>
    <mergeCell ref="T10:W10"/>
    <mergeCell ref="T12:W12"/>
    <mergeCell ref="T13:W13"/>
    <mergeCell ref="T16:W16"/>
    <mergeCell ref="T17:W17"/>
    <mergeCell ref="T24:W24"/>
    <mergeCell ref="T25:W25"/>
    <mergeCell ref="T26:W26"/>
    <mergeCell ref="T27:W27"/>
    <mergeCell ref="T28:W28"/>
    <mergeCell ref="T29:W29"/>
    <mergeCell ref="T30:W30"/>
    <mergeCell ref="T31:W31"/>
    <mergeCell ref="T32:W32"/>
    <mergeCell ref="T18:W18"/>
    <mergeCell ref="T19:W19"/>
    <mergeCell ref="T20:W20"/>
    <mergeCell ref="T21:W21"/>
    <mergeCell ref="BR4:BR9"/>
    <mergeCell ref="BS4:BS9"/>
    <mergeCell ref="BT4:BT9"/>
    <mergeCell ref="AY4:AY9"/>
    <mergeCell ref="AZ4:AZ9"/>
    <mergeCell ref="DA4:DA9"/>
    <mergeCell ref="DB4:DB9"/>
    <mergeCell ref="DC4:DC9"/>
    <mergeCell ref="LL8:LL9"/>
    <mergeCell ref="DD4:DD9"/>
    <mergeCell ref="DJ4:DJ9"/>
    <mergeCell ref="DK4:DK9"/>
    <mergeCell ref="DG4:DG9"/>
    <mergeCell ref="DH4:DH9"/>
    <mergeCell ref="EO4:EO9"/>
    <mergeCell ref="DR4:DR9"/>
    <mergeCell ref="DS4:DS9"/>
    <mergeCell ref="DI4:DI9"/>
    <mergeCell ref="DF4:DF9"/>
    <mergeCell ref="EL4:EL9"/>
    <mergeCell ref="EM4:EM9"/>
    <mergeCell ref="DN4:DN9"/>
    <mergeCell ref="EJ4:EJ9"/>
    <mergeCell ref="EK4:EK9"/>
    <mergeCell ref="S70:W70"/>
    <mergeCell ref="S71:W71"/>
    <mergeCell ref="S72:W72"/>
    <mergeCell ref="S73:W73"/>
    <mergeCell ref="S74:W74"/>
    <mergeCell ref="S75:W75"/>
    <mergeCell ref="S76:W76"/>
    <mergeCell ref="S77:W77"/>
    <mergeCell ref="LM8:LM9"/>
    <mergeCell ref="T34:W34"/>
    <mergeCell ref="T35:W35"/>
    <mergeCell ref="T36:W36"/>
    <mergeCell ref="T37:W37"/>
    <mergeCell ref="T38:W38"/>
    <mergeCell ref="T39:W39"/>
    <mergeCell ref="T40:W40"/>
    <mergeCell ref="T41:W41"/>
    <mergeCell ref="T14:W14"/>
    <mergeCell ref="T15:W15"/>
    <mergeCell ref="EV4:EV9"/>
    <mergeCell ref="AX4:AX9"/>
    <mergeCell ref="BJ4:BJ9"/>
    <mergeCell ref="BK4:BK9"/>
    <mergeCell ref="BQ4:BQ9"/>
    <mergeCell ref="N227:N230"/>
    <mergeCell ref="S163:W163"/>
    <mergeCell ref="S164:W164"/>
    <mergeCell ref="S162:W162"/>
    <mergeCell ref="S156:W156"/>
    <mergeCell ref="ES4:ES9"/>
    <mergeCell ref="AO4:AO9"/>
    <mergeCell ref="AP4:AP9"/>
    <mergeCell ref="AQ4:AQ9"/>
    <mergeCell ref="CY4:CY9"/>
    <mergeCell ref="DE4:DE9"/>
    <mergeCell ref="CG4:CG9"/>
    <mergeCell ref="CH4:CH9"/>
    <mergeCell ref="CI4:CI9"/>
    <mergeCell ref="ED4:ED9"/>
    <mergeCell ref="EE4:EE9"/>
    <mergeCell ref="EF4:EF9"/>
    <mergeCell ref="EG4:EG9"/>
    <mergeCell ref="DT4:DT9"/>
    <mergeCell ref="DU4:DU9"/>
    <mergeCell ref="DV4:DV9"/>
    <mergeCell ref="L147:O147"/>
    <mergeCell ref="S147:V147"/>
    <mergeCell ref="S195:W195"/>
    <mergeCell ref="N6:O7"/>
    <mergeCell ref="Q4:Q9"/>
    <mergeCell ref="A5:A9"/>
    <mergeCell ref="BC4:BC9"/>
    <mergeCell ref="BD4:BD9"/>
    <mergeCell ref="BE4:BE9"/>
    <mergeCell ref="AR4:AR9"/>
    <mergeCell ref="AS4:AS9"/>
    <mergeCell ref="AT4:AT9"/>
    <mergeCell ref="BB4:BB9"/>
    <mergeCell ref="L5:M6"/>
    <mergeCell ref="X4:X9"/>
    <mergeCell ref="Y4:Y9"/>
    <mergeCell ref="Z4:Z9"/>
    <mergeCell ref="AA4:AA9"/>
    <mergeCell ref="AB4:AB9"/>
    <mergeCell ref="AM4:AM9"/>
    <mergeCell ref="AN4:AN9"/>
    <mergeCell ref="AJ4:AJ9"/>
    <mergeCell ref="AK4:AK9"/>
    <mergeCell ref="J8:J9"/>
    <mergeCell ref="AU4:AU9"/>
    <mergeCell ref="AV4:AV9"/>
    <mergeCell ref="AW4:AW9"/>
    <mergeCell ref="MP3:MP9"/>
    <mergeCell ref="BA4:BA9"/>
    <mergeCell ref="BG4:BG9"/>
    <mergeCell ref="BH4:BH9"/>
    <mergeCell ref="BI4:BI9"/>
    <mergeCell ref="CF4:CF9"/>
    <mergeCell ref="BF4:BF9"/>
    <mergeCell ref="BL4:BL9"/>
    <mergeCell ref="BM4:BM9"/>
    <mergeCell ref="BN4:BN9"/>
    <mergeCell ref="BO4:BO9"/>
    <mergeCell ref="BP4:BP9"/>
    <mergeCell ref="BY4:BY9"/>
    <mergeCell ref="BZ4:BZ9"/>
    <mergeCell ref="DL4:DL9"/>
    <mergeCell ref="DM4:DM9"/>
    <mergeCell ref="EP4:EP9"/>
    <mergeCell ref="EQ4:EQ9"/>
    <mergeCell ref="ER4:ER9"/>
    <mergeCell ref="EI4:EI9"/>
    <mergeCell ref="EN4:EN9"/>
    <mergeCell ref="EW4:EW9"/>
    <mergeCell ref="ET4:ET9"/>
    <mergeCell ref="EU4:EU9"/>
    <mergeCell ref="MQ3:MQ9"/>
    <mergeCell ref="MR3:MR9"/>
    <mergeCell ref="MS3:MS9"/>
    <mergeCell ref="FR4:FR9"/>
    <mergeCell ref="FS4:FS9"/>
    <mergeCell ref="EX4:EX9"/>
    <mergeCell ref="EY4:EY9"/>
    <mergeCell ref="EZ4:EZ9"/>
    <mergeCell ref="FA4:FA9"/>
    <mergeCell ref="FB4:FB9"/>
    <mergeCell ref="FH4:FH9"/>
    <mergeCell ref="FN4:FN9"/>
    <mergeCell ref="FO4:FO9"/>
    <mergeCell ref="FP4:FP9"/>
    <mergeCell ref="FQ4:FQ9"/>
    <mergeCell ref="FC4:FC9"/>
    <mergeCell ref="FD4:FD9"/>
    <mergeCell ref="FE4:FE9"/>
    <mergeCell ref="GF4:GF9"/>
    <mergeCell ref="GG4:GG9"/>
    <mergeCell ref="GH4:GH9"/>
    <mergeCell ref="LN8:LN9"/>
    <mergeCell ref="LO8:LO9"/>
    <mergeCell ref="LP8:LP9"/>
    <mergeCell ref="DW4:DW9"/>
    <mergeCell ref="DX4:DX9"/>
    <mergeCell ref="DY4:DY9"/>
    <mergeCell ref="DZ4:DZ9"/>
    <mergeCell ref="EA4:EA9"/>
    <mergeCell ref="EB4:EB9"/>
    <mergeCell ref="EC4:EC9"/>
    <mergeCell ref="EH4:EH9"/>
    <mergeCell ref="DO4:DO9"/>
    <mergeCell ref="DP4:DP9"/>
    <mergeCell ref="DQ4:DQ9"/>
    <mergeCell ref="GP4:GP9"/>
    <mergeCell ref="GQ4:GQ9"/>
    <mergeCell ref="GI4:GI9"/>
    <mergeCell ref="GJ4:GJ9"/>
    <mergeCell ref="GK4:GK9"/>
    <mergeCell ref="FF4:FF9"/>
    <mergeCell ref="FG4:FG9"/>
    <mergeCell ref="FL4:FL9"/>
    <mergeCell ref="FZ4:FZ9"/>
    <mergeCell ref="GA4:GA9"/>
    <mergeCell ref="GB4:GB9"/>
    <mergeCell ref="GC4:GC9"/>
    <mergeCell ref="GD4:GD9"/>
    <mergeCell ref="GE4:GE9"/>
    <mergeCell ref="FT4:FT9"/>
    <mergeCell ref="FU4:FU9"/>
    <mergeCell ref="FV4:FV9"/>
    <mergeCell ref="FW4:FW9"/>
    <mergeCell ref="FX4:FX9"/>
    <mergeCell ref="FY4:FY9"/>
    <mergeCell ref="FK4:FK9"/>
    <mergeCell ref="FM4:FM9"/>
    <mergeCell ref="FI4:FI9"/>
    <mergeCell ref="FJ4:FJ9"/>
    <mergeCell ref="ME4:ME9"/>
    <mergeCell ref="MF4:MF9"/>
    <mergeCell ref="MG4:MG9"/>
    <mergeCell ref="MH4:MH9"/>
    <mergeCell ref="LY4:LY9"/>
    <mergeCell ref="LZ4:LZ9"/>
    <mergeCell ref="MA4:MA9"/>
    <mergeCell ref="MB4:MB9"/>
    <mergeCell ref="MC4:MC9"/>
    <mergeCell ref="MD4:MD9"/>
    <mergeCell ref="LS4:LS9"/>
    <mergeCell ref="LT4:LT9"/>
    <mergeCell ref="LU4:LU9"/>
    <mergeCell ref="LV4:LV9"/>
    <mergeCell ref="LW4:LW9"/>
    <mergeCell ref="LX4:LX9"/>
    <mergeCell ref="HV4:HV9"/>
    <mergeCell ref="HW4:HW9"/>
    <mergeCell ref="HX4:HX9"/>
    <mergeCell ref="IM8:IM9"/>
    <mergeCell ref="IN8:IN9"/>
    <mergeCell ref="IY8:IY9"/>
    <mergeCell ref="IZ8:IZ9"/>
    <mergeCell ref="JA8:JA9"/>
    <mergeCell ref="JB8:JB9"/>
    <mergeCell ref="JC8:JC9"/>
    <mergeCell ref="JD8:JD9"/>
    <mergeCell ref="JE8:JE9"/>
    <mergeCell ref="KA8:KA9"/>
    <mergeCell ref="KB8:KB9"/>
    <mergeCell ref="KC8:KC9"/>
    <mergeCell ref="KD8:KD9"/>
    <mergeCell ref="KE8:KE9"/>
    <mergeCell ref="KF8:KF9"/>
    <mergeCell ref="ND5:ND9"/>
    <mergeCell ref="H6:H7"/>
    <mergeCell ref="R6:S6"/>
    <mergeCell ref="L8:M8"/>
    <mergeCell ref="HZ8:HZ9"/>
    <mergeCell ref="MU5:MU9"/>
    <mergeCell ref="MV5:MV9"/>
    <mergeCell ref="MW5:MW9"/>
    <mergeCell ref="MX5:MX9"/>
    <mergeCell ref="MY5:MY9"/>
    <mergeCell ref="MZ5:MZ9"/>
    <mergeCell ref="MK4:MK9"/>
    <mergeCell ref="ML4:ML9"/>
    <mergeCell ref="MM4:MM9"/>
    <mergeCell ref="MN4:MN9"/>
    <mergeCell ref="MO4:MO9"/>
    <mergeCell ref="MI4:MI9"/>
    <mergeCell ref="MJ4:MJ9"/>
    <mergeCell ref="HY4:HY9"/>
    <mergeCell ref="LQ4:LQ9"/>
    <mergeCell ref="LR4:LR9"/>
    <mergeCell ref="II8:II9"/>
    <mergeCell ref="NA5:NA9"/>
    <mergeCell ref="NB5:NB9"/>
    <mergeCell ref="NC5:NC9"/>
    <mergeCell ref="MT3:MT9"/>
    <mergeCell ref="JI8:JI9"/>
    <mergeCell ref="JJ8:JJ9"/>
    <mergeCell ref="JK8:JK9"/>
    <mergeCell ref="JL8:JL9"/>
    <mergeCell ref="JM8:JM9"/>
    <mergeCell ref="JN8:JN9"/>
    <mergeCell ref="JU8:JU9"/>
    <mergeCell ref="JV8:JV9"/>
    <mergeCell ref="JO8:JO9"/>
    <mergeCell ref="JP8:JP9"/>
    <mergeCell ref="JQ8:JQ9"/>
    <mergeCell ref="JR8:JR9"/>
    <mergeCell ref="JS8:JS9"/>
    <mergeCell ref="JT8:JT9"/>
    <mergeCell ref="KO8:KO9"/>
    <mergeCell ref="KP8:KP9"/>
    <mergeCell ref="KQ8:KQ9"/>
    <mergeCell ref="KR8:KR9"/>
    <mergeCell ref="KG8:KG9"/>
    <mergeCell ref="KH8:KH9"/>
    <mergeCell ref="KI8:KI9"/>
    <mergeCell ref="LA8:LA9"/>
    <mergeCell ref="KY8:KY9"/>
    <mergeCell ref="KZ8:KZ9"/>
    <mergeCell ref="HM4:HM9"/>
    <mergeCell ref="HN4:HN9"/>
    <mergeCell ref="HO4:HO9"/>
    <mergeCell ref="CD4:CD9"/>
    <mergeCell ref="KM8:KM9"/>
    <mergeCell ref="KN8:KN9"/>
    <mergeCell ref="JW8:JW9"/>
    <mergeCell ref="JX8:JX9"/>
    <mergeCell ref="JY8:JY9"/>
    <mergeCell ref="JZ8:JZ9"/>
    <mergeCell ref="KK8:KK9"/>
    <mergeCell ref="KL8:KL9"/>
    <mergeCell ref="IJ8:IJ9"/>
    <mergeCell ref="JF8:JF9"/>
    <mergeCell ref="JG8:JG9"/>
    <mergeCell ref="HD4:HD9"/>
    <mergeCell ref="CM4:CM9"/>
    <mergeCell ref="CN4:CN9"/>
    <mergeCell ref="CO4:CO9"/>
    <mergeCell ref="HC4:HC9"/>
    <mergeCell ref="GR4:GR9"/>
    <mergeCell ref="GS4:GS9"/>
    <mergeCell ref="KX8:KX9"/>
    <mergeCell ref="HE4:HE9"/>
    <mergeCell ref="HF4:HF9"/>
    <mergeCell ref="HG4:HG9"/>
    <mergeCell ref="HH4:HH9"/>
    <mergeCell ref="HI4:HI9"/>
    <mergeCell ref="GX4:GX9"/>
    <mergeCell ref="GY4:GY9"/>
    <mergeCell ref="GZ4:GZ9"/>
    <mergeCell ref="HA4:HA9"/>
    <mergeCell ref="HB4:HB9"/>
    <mergeCell ref="HL4:HL9"/>
    <mergeCell ref="HJ4:HJ9"/>
    <mergeCell ref="HK4:HK9"/>
    <mergeCell ref="LE8:LE9"/>
    <mergeCell ref="LF8:LF9"/>
    <mergeCell ref="IK8:IK9"/>
    <mergeCell ref="IL8:IL9"/>
    <mergeCell ref="HP4:HP9"/>
    <mergeCell ref="HQ4:HQ9"/>
    <mergeCell ref="HR4:HR9"/>
    <mergeCell ref="HS4:HS9"/>
    <mergeCell ref="HT4:HT9"/>
    <mergeCell ref="HU4:HU9"/>
    <mergeCell ref="IE8:IE9"/>
    <mergeCell ref="IF8:IF9"/>
    <mergeCell ref="IG8:IG9"/>
    <mergeCell ref="IH8:IH9"/>
    <mergeCell ref="JH8:JH9"/>
    <mergeCell ref="KJ8:KJ9"/>
    <mergeCell ref="LB8:LB9"/>
    <mergeCell ref="LC8:LC9"/>
    <mergeCell ref="LD8:LD9"/>
    <mergeCell ref="KS8:KS9"/>
    <mergeCell ref="KT8:KT9"/>
    <mergeCell ref="KU8:KU9"/>
    <mergeCell ref="KV8:KV9"/>
    <mergeCell ref="KW8:KW9"/>
    <mergeCell ref="F220:G220"/>
    <mergeCell ref="L220:M220"/>
    <mergeCell ref="F221:G221"/>
    <mergeCell ref="L221:M221"/>
    <mergeCell ref="S182:W182"/>
    <mergeCell ref="S149:W149"/>
    <mergeCell ref="S150:W150"/>
    <mergeCell ref="S183:W183"/>
    <mergeCell ref="CS4:CS9"/>
    <mergeCell ref="E119:F120"/>
    <mergeCell ref="CJ4:CJ9"/>
    <mergeCell ref="BU4:BU9"/>
    <mergeCell ref="CA4:CA9"/>
    <mergeCell ref="CE4:CE9"/>
    <mergeCell ref="BV4:BV9"/>
    <mergeCell ref="AL4:AL9"/>
    <mergeCell ref="AC4:AC9"/>
    <mergeCell ref="AD4:AD9"/>
    <mergeCell ref="AE4:AE9"/>
    <mergeCell ref="AF4:AF9"/>
    <mergeCell ref="AG4:AG9"/>
    <mergeCell ref="AH4:AH9"/>
    <mergeCell ref="AI4:AI9"/>
    <mergeCell ref="BW4:BW9"/>
    <mergeCell ref="C196:F196"/>
    <mergeCell ref="C183:F183"/>
    <mergeCell ref="C187:F187"/>
    <mergeCell ref="C192:F192"/>
    <mergeCell ref="C149:D155"/>
    <mergeCell ref="H178:J178"/>
    <mergeCell ref="C127:D135"/>
    <mergeCell ref="T22:W22"/>
    <mergeCell ref="T23:W23"/>
    <mergeCell ref="S170:W170"/>
    <mergeCell ref="S184:W184"/>
    <mergeCell ref="S188:W188"/>
    <mergeCell ref="S193:W193"/>
    <mergeCell ref="C69:F70"/>
    <mergeCell ref="T33:W33"/>
    <mergeCell ref="S105:W105"/>
    <mergeCell ref="S106:W106"/>
    <mergeCell ref="S107:W107"/>
    <mergeCell ref="S108:W108"/>
    <mergeCell ref="S109:W109"/>
    <mergeCell ref="D73:F77"/>
    <mergeCell ref="S120:W120"/>
    <mergeCell ref="C113:D118"/>
    <mergeCell ref="S100:W100"/>
    <mergeCell ref="CZ4:CZ9"/>
    <mergeCell ref="CU4:CU9"/>
    <mergeCell ref="CV4:CV9"/>
    <mergeCell ref="CW4:CW9"/>
    <mergeCell ref="CX4:CX9"/>
    <mergeCell ref="BX4:BX9"/>
    <mergeCell ref="CQ4:CQ9"/>
    <mergeCell ref="CR4:CR9"/>
    <mergeCell ref="CK4:CK9"/>
    <mergeCell ref="CL4:CL9"/>
    <mergeCell ref="CC4:CC9"/>
    <mergeCell ref="CP4:CP9"/>
    <mergeCell ref="CB4:CB9"/>
    <mergeCell ref="CT4:CT9"/>
    <mergeCell ref="GT4:GT9"/>
    <mergeCell ref="GU4:GU9"/>
    <mergeCell ref="GV4:GV9"/>
    <mergeCell ref="GW4:GW9"/>
    <mergeCell ref="GL4:GL9"/>
    <mergeCell ref="GM4:GM9"/>
    <mergeCell ref="GN4:GN9"/>
    <mergeCell ref="GO4:GO9"/>
    <mergeCell ref="B245:E245"/>
    <mergeCell ref="F245:G245"/>
    <mergeCell ref="F233:G233"/>
    <mergeCell ref="F232:G232"/>
    <mergeCell ref="L229:M229"/>
    <mergeCell ref="F229:G229"/>
    <mergeCell ref="L226:M226"/>
    <mergeCell ref="L228:M228"/>
    <mergeCell ref="F222:G222"/>
    <mergeCell ref="L222:M222"/>
    <mergeCell ref="F223:G223"/>
    <mergeCell ref="F230:G230"/>
    <mergeCell ref="L227:M227"/>
    <mergeCell ref="F231:G231"/>
    <mergeCell ref="L230:M230"/>
    <mergeCell ref="B225:E225"/>
    <mergeCell ref="F225:G225"/>
    <mergeCell ref="F226:G226"/>
    <mergeCell ref="F224:G224"/>
    <mergeCell ref="S186:W186"/>
    <mergeCell ref="S187:W187"/>
    <mergeCell ref="S191:W191"/>
    <mergeCell ref="S192:W192"/>
    <mergeCell ref="S143:W143"/>
    <mergeCell ref="S144:W144"/>
    <mergeCell ref="S158:U158"/>
    <mergeCell ref="C210:F210"/>
    <mergeCell ref="C214:F214"/>
    <mergeCell ref="S165:W165"/>
    <mergeCell ref="S166:W166"/>
    <mergeCell ref="C201:F201"/>
    <mergeCell ref="C205:F205"/>
    <mergeCell ref="S200:W200"/>
    <mergeCell ref="S201:W201"/>
    <mergeCell ref="S204:W204"/>
    <mergeCell ref="S197:W197"/>
    <mergeCell ref="S213:W213"/>
    <mergeCell ref="S214:W214"/>
    <mergeCell ref="S219:W219"/>
    <mergeCell ref="S220:W220"/>
    <mergeCell ref="F241:G241"/>
    <mergeCell ref="L237:M237"/>
    <mergeCell ref="F242:G242"/>
    <mergeCell ref="L238:M238"/>
    <mergeCell ref="L243:M243"/>
    <mergeCell ref="L244:M244"/>
    <mergeCell ref="L245:M245"/>
    <mergeCell ref="L246:M246"/>
    <mergeCell ref="F243:G243"/>
    <mergeCell ref="L239:M239"/>
    <mergeCell ref="I245:K245"/>
    <mergeCell ref="I238:K238"/>
    <mergeCell ref="F244:G244"/>
    <mergeCell ref="F246:G246"/>
    <mergeCell ref="N234:N240"/>
    <mergeCell ref="O235:Q235"/>
    <mergeCell ref="B234:E234"/>
    <mergeCell ref="F234:G234"/>
    <mergeCell ref="F235:G235"/>
    <mergeCell ref="F238:G238"/>
    <mergeCell ref="L234:M234"/>
    <mergeCell ref="F239:G239"/>
    <mergeCell ref="L235:M235"/>
    <mergeCell ref="F240:G240"/>
    <mergeCell ref="L236:M236"/>
    <mergeCell ref="N255:Q255"/>
    <mergeCell ref="A255:M255"/>
    <mergeCell ref="S53:V53"/>
    <mergeCell ref="S67:W67"/>
    <mergeCell ref="S62:W62"/>
    <mergeCell ref="S56:W56"/>
    <mergeCell ref="S63:W63"/>
    <mergeCell ref="S64:W64"/>
    <mergeCell ref="S65:W65"/>
    <mergeCell ref="S66:W66"/>
    <mergeCell ref="S93:W93"/>
    <mergeCell ref="S104:W104"/>
    <mergeCell ref="S113:W113"/>
    <mergeCell ref="S99:W99"/>
    <mergeCell ref="S110:W110"/>
    <mergeCell ref="S114:W114"/>
    <mergeCell ref="S127:W127"/>
    <mergeCell ref="S128:W128"/>
    <mergeCell ref="R255:U255"/>
    <mergeCell ref="S115:W115"/>
    <mergeCell ref="S116:W116"/>
    <mergeCell ref="S117:W117"/>
    <mergeCell ref="S118:W118"/>
    <mergeCell ref="S119:W119"/>
    <mergeCell ref="S239:W239"/>
    <mergeCell ref="S240:W240"/>
    <mergeCell ref="S241:W241"/>
    <mergeCell ref="S229:W229"/>
    <mergeCell ref="S230:W230"/>
    <mergeCell ref="S231:W231"/>
    <mergeCell ref="S232:W232"/>
    <mergeCell ref="S209:W209"/>
    <mergeCell ref="S222:W222"/>
    <mergeCell ref="S224:W224"/>
    <mergeCell ref="S226:W226"/>
    <mergeCell ref="S227:W227"/>
    <mergeCell ref="S223:W223"/>
    <mergeCell ref="S225:W225"/>
    <mergeCell ref="S210:W210"/>
    <mergeCell ref="S215:W215"/>
    <mergeCell ref="S134:W134"/>
    <mergeCell ref="S167:W167"/>
    <mergeCell ref="S168:W168"/>
    <mergeCell ref="S233:W233"/>
    <mergeCell ref="S234:W234"/>
    <mergeCell ref="S235:W235"/>
    <mergeCell ref="S236:W236"/>
    <mergeCell ref="S237:W237"/>
    <mergeCell ref="S238:W238"/>
    <mergeCell ref="S252:W252"/>
    <mergeCell ref="S250:W250"/>
    <mergeCell ref="S160:W160"/>
    <mergeCell ref="S161:W161"/>
    <mergeCell ref="S124:W124"/>
    <mergeCell ref="S132:W132"/>
    <mergeCell ref="S246:W246"/>
    <mergeCell ref="S221:W221"/>
    <mergeCell ref="S228:W228"/>
    <mergeCell ref="S244:W244"/>
    <mergeCell ref="S245:W245"/>
    <mergeCell ref="S155:W155"/>
    <mergeCell ref="S129:W129"/>
    <mergeCell ref="S130:W130"/>
    <mergeCell ref="S131:W131"/>
    <mergeCell ref="S206:W206"/>
    <mergeCell ref="S211:W211"/>
    <mergeCell ref="S202:W202"/>
    <mergeCell ref="S169:W169"/>
    <mergeCell ref="S151:W151"/>
    <mergeCell ref="S152:W152"/>
    <mergeCell ref="S153:W153"/>
    <mergeCell ref="S154:W154"/>
    <mergeCell ref="S125:W125"/>
    <mergeCell ref="S242:W242"/>
    <mergeCell ref="S243:W243"/>
    <mergeCell ref="S205:W205"/>
    <mergeCell ref="S111:W111"/>
    <mergeCell ref="A123:D123"/>
    <mergeCell ref="S94:W94"/>
    <mergeCell ref="S95:W95"/>
    <mergeCell ref="S96:W96"/>
    <mergeCell ref="S97:W97"/>
    <mergeCell ref="S98:W98"/>
    <mergeCell ref="S121:W121"/>
    <mergeCell ref="S122:W122"/>
    <mergeCell ref="S123:W123"/>
    <mergeCell ref="S145:W145"/>
    <mergeCell ref="S159:W159"/>
    <mergeCell ref="S140:W140"/>
    <mergeCell ref="S141:W141"/>
    <mergeCell ref="S142:W142"/>
    <mergeCell ref="S133:W133"/>
    <mergeCell ref="S135:W135"/>
    <mergeCell ref="S138:W138"/>
    <mergeCell ref="S139:W139"/>
    <mergeCell ref="S136:W136"/>
    <mergeCell ref="S137:W137"/>
  </mergeCells>
  <conditionalFormatting sqref="H10:I10">
    <cfRule type="expression" priority="28" stopIfTrue="1">
      <formula>AND($B10="PHA", $H10&gt;0)</formula>
    </cfRule>
  </conditionalFormatting>
  <conditionalFormatting sqref="U126 U101:U103 U112 U91:U92">
    <cfRule type="cellIs" dxfId="163" priority="29" stopIfTrue="1" operator="greaterThan">
      <formula>0</formula>
    </cfRule>
  </conditionalFormatting>
  <conditionalFormatting sqref="A10:A47">
    <cfRule type="cellIs" dxfId="162" priority="30" stopIfTrue="1" operator="equal">
      <formula>1</formula>
    </cfRule>
  </conditionalFormatting>
  <conditionalFormatting sqref="J10:J47">
    <cfRule type="expression" priority="27" stopIfTrue="1">
      <formula>AND($B10="PHA", $H10&gt;0)</formula>
    </cfRule>
  </conditionalFormatting>
  <conditionalFormatting sqref="P178">
    <cfRule type="cellIs" dxfId="161" priority="26" operator="greaterThan">
      <formula>0.02</formula>
    </cfRule>
  </conditionalFormatting>
  <conditionalFormatting sqref="Q10:Q47">
    <cfRule type="expression" dxfId="160" priority="24">
      <formula>AND($P$10="New Construction",$Q$10="Yes")</formula>
    </cfRule>
  </conditionalFormatting>
  <conditionalFormatting sqref="K56:P67 K158:P170 K138:P156 K93:P135">
    <cfRule type="cellIs" dxfId="159" priority="20" operator="equal">
      <formula>0</formula>
    </cfRule>
  </conditionalFormatting>
  <conditionalFormatting sqref="B49:C49">
    <cfRule type="cellIs" dxfId="158" priority="15" operator="greaterThan">
      <formula>60.0000001</formula>
    </cfRule>
  </conditionalFormatting>
  <conditionalFormatting sqref="L53:O53">
    <cfRule type="containsText" dxfId="157" priority="14" operator="containsText" text="&lt;&lt; Select LIHTC Election &gt;&gt;">
      <formula>NOT(ISERROR(SEARCH("&lt;&lt; Select LIHTC Election &gt;&gt;",L53)))</formula>
    </cfRule>
  </conditionalFormatting>
  <conditionalFormatting sqref="U157">
    <cfRule type="cellIs" dxfId="156" priority="12" stopIfTrue="1" operator="greaterThan">
      <formula>0</formula>
    </cfRule>
  </conditionalFormatting>
  <conditionalFormatting sqref="K157:P157">
    <cfRule type="cellIs" dxfId="155" priority="11" operator="equal">
      <formula>0</formula>
    </cfRule>
  </conditionalFormatting>
  <conditionalFormatting sqref="L102:O102">
    <cfRule type="cellIs" dxfId="154" priority="5" operator="equal">
      <formula>"&lt;&lt; Select LIHTC Election &gt;&gt;"</formula>
    </cfRule>
    <cfRule type="containsText" dxfId="153" priority="9" operator="containsText" text="&lt;&lt; Select Election or Income Averaging &gt;&gt;">
      <formula>NOT(ISERROR(SEARCH("&lt;&lt; Select Election or Income Averaging &gt;&gt;",L102)))</formula>
    </cfRule>
  </conditionalFormatting>
  <conditionalFormatting sqref="L147:O147">
    <cfRule type="cellIs" dxfId="152" priority="4" operator="equal">
      <formula>"&lt;&lt; Select LIHTC Election &gt;&gt;"</formula>
    </cfRule>
    <cfRule type="containsText" dxfId="151" priority="7" operator="containsText" text="&lt;&lt; Select Election or Income Averaging &gt;&gt;">
      <formula>NOT(ISERROR(SEARCH("&lt;&lt; Select Election or Income Averaging &gt;&gt;",L147)))</formula>
    </cfRule>
  </conditionalFormatting>
  <conditionalFormatting sqref="K136:P137">
    <cfRule type="cellIs" dxfId="150" priority="3" operator="equal">
      <formula>0</formula>
    </cfRule>
  </conditionalFormatting>
  <conditionalFormatting sqref="A5:A9">
    <cfRule type="cellIs" dxfId="149" priority="2" operator="equal">
      <formula>"Finish Row!"</formula>
    </cfRule>
  </conditionalFormatting>
  <conditionalFormatting sqref="U69">
    <cfRule type="cellIs" dxfId="148" priority="1" stopIfTrue="1" operator="greaterThan">
      <formula>0</formula>
    </cfRule>
  </conditionalFormatting>
  <dataValidations count="12">
    <dataValidation type="list" allowBlank="1" showInputMessage="1" showErrorMessage="1" sqref="G5" xr:uid="{00000000-0002-0000-0900-000000000000}">
      <formula1>"&lt;Select&gt;,Fixed, Floating"</formula1>
    </dataValidation>
    <dataValidation type="list" allowBlank="1" showInputMessage="1" showErrorMessage="1" sqref="K10:K47" xr:uid="{00000000-0002-0000-0900-000001000000}">
      <formula1>"HUD, PHA PBRA, USDA, Other Govt,RAD,  PHA Oper Sub"</formula1>
    </dataValidation>
    <dataValidation type="list" allowBlank="1" showErrorMessage="1" sqref="N10:N47" xr:uid="{00000000-0002-0000-0900-000002000000}">
      <formula1>"No, Common Space, Residential"</formula1>
    </dataValidation>
    <dataValidation type="list" allowBlank="1" showInputMessage="1" showErrorMessage="1" sqref="O10:O47" xr:uid="{00000000-0002-0000-0900-000003000000}">
      <formula1>"SF Detached, Mfd Home, Duplex, Townhome, 1-Story, 2-Story, 2-Story Walkup, 3+ Story, 3+ Story Elevator"</formula1>
    </dataValidation>
    <dataValidation type="list" allowBlank="1" showInputMessage="1" showErrorMessage="1" sqref="C10:C47" xr:uid="{00000000-0002-0000-0900-000004000000}">
      <formula1>"Efficiency, 1, 2, 3, 4"</formula1>
    </dataValidation>
    <dataValidation type="list" allowBlank="1" showInputMessage="1" showErrorMessage="1" sqref="D10:D47" xr:uid="{00000000-0002-0000-0900-000005000000}">
      <formula1>"0, 1.0, 1.5, 2.0, 2.5, 3.0, 3.5, 4.0"</formula1>
    </dataValidation>
    <dataValidation type="list" allowBlank="1" showInputMessage="1" showErrorMessage="1" errorTitle="Invalid Entry" error="Please select from the choices provided." sqref="P10:P47" xr:uid="{00000000-0002-0000-0900-000006000000}">
      <formula1>"New Construction, Rehabilitation, Acquisition/Rehab"</formula1>
    </dataValidation>
    <dataValidation type="list" allowBlank="1" showInputMessage="1" showErrorMessage="1" errorTitle="Invalid Entry" error="Please select from the choices provided." promptTitle="Historic Designation" prompt="Indicate &quot;Yes&quot; if the unit(s) on this row will be included in that part of the project for which scoring points will be requested under Historic Preservation.  However, the Type of Activity selected on this row must not be &quot;New Construction&quot;." sqref="Q10:Q47" xr:uid="{00000000-0002-0000-0900-000007000000}">
      <formula1>"Yes, No"</formula1>
    </dataValidation>
    <dataValidation type="list" allowBlank="1" showInputMessage="1" showErrorMessage="1" sqref="F6" xr:uid="{00000000-0002-0000-0900-000008000000}">
      <formula1>"&lt;Select&gt;,Yes, No"</formula1>
    </dataValidation>
    <dataValidation type="list" allowBlank="1" showInputMessage="1" showErrorMessage="1" sqref="B10:B16" xr:uid="{00000000-0002-0000-0900-000009000000}">
      <formula1>"Select Mkt/CS, Unrestricted, N/A-CS"</formula1>
    </dataValidation>
    <dataValidation type="list" allowBlank="1" showInputMessage="1" showErrorMessage="1" sqref="B17:B47" xr:uid="{00000000-0002-0000-0900-00000A000000}">
      <formula1>"20, 30, 40, 50, 60, 70, 80"</formula1>
    </dataValidation>
    <dataValidation type="list" allowBlank="1" showInputMessage="1" showErrorMessage="1" sqref="J252 L252" xr:uid="{00000000-0002-0000-0900-00000B000000}">
      <formula1>"&lt;&lt;Select&gt;&gt;,Yes, No"</formula1>
    </dataValidation>
  </dataValidations>
  <printOptions horizontalCentered="1"/>
  <pageMargins left="0.25" right="0.25" top="0.5" bottom="0.5" header="0.25" footer="0.25"/>
  <pageSetup scale="10"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rowBreaks count="6" manualBreakCount="6">
    <brk id="52" max="16383" man="1"/>
    <brk id="100" max="16383" man="1"/>
    <brk id="145" max="16383" man="1"/>
    <brk id="175" max="16383" man="1"/>
    <brk id="215" max="16383" man="1"/>
    <brk id="253" max="16383" man="1"/>
  </rowBreaks>
  <legacyDrawingHF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35">
    <pageSetUpPr fitToPage="1"/>
  </sheetPr>
  <dimension ref="A1:S174"/>
  <sheetViews>
    <sheetView showGridLines="0" zoomScaleNormal="100" workbookViewId="0">
      <selection sqref="A1:XFD1048576"/>
    </sheetView>
  </sheetViews>
  <sheetFormatPr defaultColWidth="8.88671875" defaultRowHeight="13.2"/>
  <cols>
    <col min="1" max="1" width="22.109375" style="8" customWidth="1"/>
    <col min="2" max="11" width="12" style="8" customWidth="1"/>
    <col min="12" max="13" width="2.109375" style="8" customWidth="1"/>
    <col min="14" max="14" width="19.109375" style="8" customWidth="1"/>
    <col min="15" max="15" width="83" style="8" customWidth="1"/>
    <col min="16" max="16" width="8.88671875" style="8"/>
    <col min="17" max="17" width="5.109375" style="8" customWidth="1"/>
    <col min="18" max="18" width="12.109375" style="8" customWidth="1"/>
    <col min="19" max="19" width="12.44140625" style="8" customWidth="1"/>
    <col min="20" max="16384" width="8.88671875" style="8"/>
  </cols>
  <sheetData>
    <row r="1" spans="1:19" s="16" customFormat="1" ht="14.1" customHeight="1">
      <c r="A1" s="2692" t="str">
        <f>CONCATENATE("PART SEVEN - OPERATING PRO FORMA","  -  ",'Part I-Project Information'!$O$6," ",'Part I-Project Information'!$F$34,", ",'Part I-Project Information'!F38,", ",'Part I-Project Information'!J39," County")</f>
        <v>PART SEVEN - OPERATING PRO FORMA  -  2020-074 Harper Woods II, Columbus, Muscogee County</v>
      </c>
      <c r="B1" s="4100"/>
      <c r="C1" s="4100"/>
      <c r="D1" s="4100"/>
      <c r="E1" s="4100"/>
      <c r="F1" s="4100"/>
      <c r="G1" s="4100"/>
      <c r="H1" s="4100"/>
      <c r="I1" s="4100"/>
      <c r="J1" s="4100"/>
      <c r="K1" s="4101"/>
      <c r="L1" s="10"/>
      <c r="M1" s="10"/>
      <c r="N1" s="2693" t="str">
        <f>A1</f>
        <v>PART SEVEN - OPERATING PRO FORMA  -  2020-074 Harper Woods II, Columbus, Muscogee County</v>
      </c>
      <c r="O1" s="2693"/>
      <c r="P1" s="10"/>
    </row>
    <row r="2" spans="1:19" ht="13.5" customHeight="1">
      <c r="A2" s="479"/>
      <c r="B2" s="479"/>
      <c r="C2" s="479"/>
      <c r="D2" s="479"/>
      <c r="E2" s="479"/>
      <c r="F2" s="479"/>
      <c r="G2" s="479"/>
      <c r="H2" s="479"/>
      <c r="I2" s="479"/>
      <c r="J2" s="479"/>
      <c r="K2" s="479"/>
      <c r="N2" s="2694" t="s">
        <v>1799</v>
      </c>
      <c r="O2" s="2694"/>
    </row>
    <row r="3" spans="1:19" ht="13.5" customHeight="1">
      <c r="A3" s="13" t="s">
        <v>88</v>
      </c>
      <c r="C3" s="2695" t="str">
        <f>'Part I-Project Information'!$B$6</f>
        <v>May 26, 2020 Version</v>
      </c>
      <c r="D3" s="1139" t="s">
        <v>78</v>
      </c>
      <c r="E3" s="216"/>
      <c r="F3" s="1140" t="s">
        <v>3829</v>
      </c>
      <c r="N3" s="13" t="str">
        <f>A3</f>
        <v>I.  OPERATING ASSUMPTIONS</v>
      </c>
      <c r="O3" s="31"/>
    </row>
    <row r="4" spans="1:19" ht="2.4" customHeight="1">
      <c r="A4" s="16"/>
      <c r="B4" s="16"/>
      <c r="C4" s="2695"/>
      <c r="H4" s="16"/>
      <c r="I4" s="16"/>
    </row>
    <row r="5" spans="1:19" ht="13.5" customHeight="1">
      <c r="A5" s="16" t="s">
        <v>2138</v>
      </c>
      <c r="B5" s="77">
        <v>0.02</v>
      </c>
      <c r="C5" s="2695"/>
      <c r="D5" s="2658" t="s">
        <v>3830</v>
      </c>
      <c r="E5" s="2658"/>
      <c r="F5" s="2658"/>
      <c r="G5" s="4102">
        <v>5400</v>
      </c>
      <c r="H5" s="96" t="s">
        <v>1860</v>
      </c>
      <c r="K5" s="101">
        <f>IF(($B$14+$B$15+$B$16+$B$17)=0,"",B30/($B$14+$B$15+$B$16+$B$17))</f>
        <v>-1.1193301283777634E-2</v>
      </c>
      <c r="N5" s="4034"/>
      <c r="O5" s="4036"/>
    </row>
    <row r="6" spans="1:19">
      <c r="A6" s="16" t="s">
        <v>2139</v>
      </c>
      <c r="B6" s="77">
        <v>0.03</v>
      </c>
      <c r="C6" s="2695"/>
      <c r="D6" s="2658"/>
      <c r="E6" s="2658"/>
      <c r="F6" s="2658"/>
      <c r="G6" s="1141">
        <f>IF(OR('Part III-Sources of Funds'!E5="Yes",'Part III-Sources of Funds'!H5&gt;0),'DCA Underwriting Assumptions'!$Q$100,0)</f>
        <v>0</v>
      </c>
      <c r="H6" s="16"/>
      <c r="I6" s="16"/>
      <c r="J6" s="16"/>
      <c r="K6" s="16"/>
      <c r="N6" s="3996"/>
      <c r="O6" s="3998"/>
    </row>
    <row r="7" spans="1:19">
      <c r="A7" s="16" t="s">
        <v>2141</v>
      </c>
      <c r="B7" s="77">
        <v>0.03</v>
      </c>
      <c r="C7" s="2695"/>
      <c r="D7" s="79" t="s">
        <v>265</v>
      </c>
      <c r="G7" s="81"/>
      <c r="H7" s="96" t="s">
        <v>2314</v>
      </c>
      <c r="K7" s="101">
        <f>IF(($B$14+$B$15+$B$16+$B$17)=0,"",-B21/($B$14+$B$15+$B$16+$B$17))</f>
        <v>8.0001011675444031E-2</v>
      </c>
      <c r="N7" s="3996"/>
      <c r="O7" s="3998"/>
    </row>
    <row r="8" spans="1:19" ht="13.35" customHeight="1">
      <c r="A8" s="16" t="s">
        <v>2140</v>
      </c>
      <c r="B8" s="4103">
        <v>7.0000000000000007E-2</v>
      </c>
      <c r="C8" s="1480" t="str">
        <f>IF(B8&lt;0.07, "Must be &gt;= 7%!","")</f>
        <v/>
      </c>
      <c r="D8" s="78" t="s">
        <v>2443</v>
      </c>
      <c r="G8" s="4104" t="s">
        <v>2889</v>
      </c>
      <c r="H8" s="163" t="s">
        <v>1416</v>
      </c>
      <c r="K8" s="4105"/>
      <c r="N8" s="3996"/>
      <c r="O8" s="3998"/>
    </row>
    <row r="9" spans="1:19">
      <c r="A9" s="16" t="s">
        <v>1390</v>
      </c>
      <c r="B9" s="77">
        <v>0.02</v>
      </c>
      <c r="D9" s="78" t="s">
        <v>1676</v>
      </c>
      <c r="G9" s="4106" t="s">
        <v>2886</v>
      </c>
      <c r="H9" s="163" t="s">
        <v>2296</v>
      </c>
      <c r="K9" s="4107">
        <v>0.08</v>
      </c>
      <c r="N9" s="4027"/>
      <c r="O9" s="4029"/>
    </row>
    <row r="10" spans="1:19" ht="9" customHeight="1"/>
    <row r="11" spans="1:19">
      <c r="A11" s="13" t="s">
        <v>89</v>
      </c>
      <c r="D11" s="1035"/>
      <c r="N11" s="13" t="str">
        <f>A11</f>
        <v>II.  OPERATING PRO FORMA</v>
      </c>
    </row>
    <row r="12" spans="1:19" ht="2.4" customHeight="1"/>
    <row r="13" spans="1:19" ht="14.4" customHeight="1">
      <c r="A13" s="13" t="s">
        <v>2416</v>
      </c>
      <c r="B13" s="13">
        <v>1</v>
      </c>
      <c r="C13" s="13">
        <f t="shared" ref="C13:K13" si="0">B13+1</f>
        <v>2</v>
      </c>
      <c r="D13" s="13">
        <f t="shared" si="0"/>
        <v>3</v>
      </c>
      <c r="E13" s="13">
        <f t="shared" si="0"/>
        <v>4</v>
      </c>
      <c r="F13" s="13">
        <f t="shared" si="0"/>
        <v>5</v>
      </c>
      <c r="G13" s="13">
        <f t="shared" si="0"/>
        <v>6</v>
      </c>
      <c r="H13" s="13">
        <f t="shared" si="0"/>
        <v>7</v>
      </c>
      <c r="I13" s="13">
        <f t="shared" si="0"/>
        <v>8</v>
      </c>
      <c r="J13" s="13">
        <f t="shared" si="0"/>
        <v>9</v>
      </c>
      <c r="K13" s="13">
        <f t="shared" si="0"/>
        <v>10</v>
      </c>
      <c r="N13" s="2509" t="s">
        <v>2556</v>
      </c>
      <c r="O13" s="2509"/>
    </row>
    <row r="14" spans="1:19" ht="13.35" customHeight="1">
      <c r="A14" s="18" t="s">
        <v>2342</v>
      </c>
      <c r="B14" s="19">
        <f>'Part VI-Revenues &amp; Expenses'!$M$49</f>
        <v>508572</v>
      </c>
      <c r="C14" s="19">
        <f t="shared" ref="C14:K14" si="1">$B$14*(1+$B$5)^(C13-1)</f>
        <v>518743.44</v>
      </c>
      <c r="D14" s="19">
        <f t="shared" si="1"/>
        <v>529118.3088</v>
      </c>
      <c r="E14" s="19">
        <f t="shared" si="1"/>
        <v>539700.67497599998</v>
      </c>
      <c r="F14" s="19">
        <f t="shared" si="1"/>
        <v>550494.68847552</v>
      </c>
      <c r="G14" s="19">
        <f t="shared" si="1"/>
        <v>561504.58224503044</v>
      </c>
      <c r="H14" s="19">
        <f t="shared" si="1"/>
        <v>572734.67388993106</v>
      </c>
      <c r="I14" s="19">
        <f t="shared" si="1"/>
        <v>584189.36736772954</v>
      </c>
      <c r="J14" s="19">
        <f t="shared" si="1"/>
        <v>595873.15471508424</v>
      </c>
      <c r="K14" s="20">
        <f t="shared" si="1"/>
        <v>607790.61780938588</v>
      </c>
      <c r="N14" s="4034"/>
      <c r="O14" s="4036"/>
      <c r="S14" s="2688" t="s">
        <v>3835</v>
      </c>
    </row>
    <row r="15" spans="1:19" ht="13.35" customHeight="1">
      <c r="A15" s="21" t="s">
        <v>994</v>
      </c>
      <c r="B15" s="22">
        <f>MIN(B14*B9,'Part VI-Revenues &amp; Expenses'!$H$178)</f>
        <v>10171.44</v>
      </c>
      <c r="C15" s="22">
        <f t="shared" ref="C15:K15" si="2">$B$15*(1+$B$5)^(C13-1)</f>
        <v>10374.8688</v>
      </c>
      <c r="D15" s="22">
        <f t="shared" si="2"/>
        <v>10582.366176</v>
      </c>
      <c r="E15" s="22">
        <f t="shared" si="2"/>
        <v>10794.013499520001</v>
      </c>
      <c r="F15" s="22">
        <f t="shared" si="2"/>
        <v>11009.8937695104</v>
      </c>
      <c r="G15" s="22">
        <f t="shared" si="2"/>
        <v>11230.091644900609</v>
      </c>
      <c r="H15" s="22">
        <f t="shared" si="2"/>
        <v>11454.693477798621</v>
      </c>
      <c r="I15" s="22">
        <f t="shared" si="2"/>
        <v>11683.787347354591</v>
      </c>
      <c r="J15" s="22">
        <f t="shared" si="2"/>
        <v>11917.463094301684</v>
      </c>
      <c r="K15" s="23">
        <f t="shared" si="2"/>
        <v>12155.812356187718</v>
      </c>
      <c r="N15" s="3996"/>
      <c r="O15" s="3998"/>
      <c r="S15" s="2689"/>
    </row>
    <row r="16" spans="1:19" ht="13.35" customHeight="1">
      <c r="A16" s="21" t="s">
        <v>2343</v>
      </c>
      <c r="B16" s="22">
        <f t="shared" ref="B16:K16" si="3">-(B14+B15)*$B$8</f>
        <v>-36312.040800000002</v>
      </c>
      <c r="C16" s="22">
        <f t="shared" si="3"/>
        <v>-37038.281616</v>
      </c>
      <c r="D16" s="22">
        <f t="shared" si="3"/>
        <v>-37779.047248319999</v>
      </c>
      <c r="E16" s="22">
        <f t="shared" si="3"/>
        <v>-38534.6281932864</v>
      </c>
      <c r="F16" s="22">
        <f t="shared" si="3"/>
        <v>-39305.320757152134</v>
      </c>
      <c r="G16" s="22">
        <f t="shared" si="3"/>
        <v>-40091.427172295174</v>
      </c>
      <c r="H16" s="22">
        <f t="shared" si="3"/>
        <v>-40893.255715741077</v>
      </c>
      <c r="I16" s="22">
        <f t="shared" si="3"/>
        <v>-41711.120830055894</v>
      </c>
      <c r="J16" s="22">
        <f t="shared" si="3"/>
        <v>-42545.343246657016</v>
      </c>
      <c r="K16" s="23">
        <f t="shared" si="3"/>
        <v>-43396.250111590154</v>
      </c>
      <c r="N16" s="3996"/>
      <c r="O16" s="3998"/>
      <c r="Q16" s="2691" t="s">
        <v>3658</v>
      </c>
      <c r="R16" s="2691" t="s">
        <v>3834</v>
      </c>
      <c r="S16" s="2689"/>
    </row>
    <row r="17" spans="1:19" ht="13.35" customHeight="1">
      <c r="A17" s="21" t="s">
        <v>50</v>
      </c>
      <c r="B17" s="22">
        <f>+'Part VI-Revenues &amp; Expenses'!H184</f>
        <v>0</v>
      </c>
      <c r="C17" s="22">
        <f>+'Part VI-Revenues &amp; Expenses'!I184</f>
        <v>0</v>
      </c>
      <c r="D17" s="22">
        <f>+'Part VI-Revenues &amp; Expenses'!J184</f>
        <v>0</v>
      </c>
      <c r="E17" s="22">
        <f>+'Part VI-Revenues &amp; Expenses'!K184</f>
        <v>0</v>
      </c>
      <c r="F17" s="22">
        <f>+'Part VI-Revenues &amp; Expenses'!L184</f>
        <v>0</v>
      </c>
      <c r="G17" s="22">
        <f>+'Part VI-Revenues &amp; Expenses'!M184</f>
        <v>0</v>
      </c>
      <c r="H17" s="22">
        <f>+'Part VI-Revenues &amp; Expenses'!N184</f>
        <v>0</v>
      </c>
      <c r="I17" s="22">
        <f>+'Part VI-Revenues &amp; Expenses'!O184</f>
        <v>0</v>
      </c>
      <c r="J17" s="22">
        <f>+'Part VI-Revenues &amp; Expenses'!P184</f>
        <v>0</v>
      </c>
      <c r="K17" s="23">
        <f>+'Part VI-Revenues &amp; Expenses'!Q184</f>
        <v>0</v>
      </c>
      <c r="N17" s="3996"/>
      <c r="O17" s="3998"/>
      <c r="Q17" s="2691"/>
      <c r="R17" s="2691"/>
      <c r="S17" s="2690"/>
    </row>
    <row r="18" spans="1:19" ht="13.35" customHeight="1">
      <c r="A18" s="21" t="s">
        <v>51</v>
      </c>
      <c r="B18" s="22">
        <f>'Part VI-Revenues &amp; Expenses'!H188</f>
        <v>0</v>
      </c>
      <c r="C18" s="22">
        <f>'Part VI-Revenues &amp; Expenses'!I188</f>
        <v>0</v>
      </c>
      <c r="D18" s="22">
        <f>'Part VI-Revenues &amp; Expenses'!J188</f>
        <v>0</v>
      </c>
      <c r="E18" s="22">
        <f>'Part VI-Revenues &amp; Expenses'!K188</f>
        <v>0</v>
      </c>
      <c r="F18" s="22">
        <f>'Part VI-Revenues &amp; Expenses'!L188</f>
        <v>0</v>
      </c>
      <c r="G18" s="22">
        <f>'Part VI-Revenues &amp; Expenses'!M188</f>
        <v>0</v>
      </c>
      <c r="H18" s="22">
        <f>'Part VI-Revenues &amp; Expenses'!N188</f>
        <v>0</v>
      </c>
      <c r="I18" s="22">
        <f>'Part VI-Revenues &amp; Expenses'!O188</f>
        <v>0</v>
      </c>
      <c r="J18" s="22">
        <f>'Part VI-Revenues &amp; Expenses'!P188</f>
        <v>0</v>
      </c>
      <c r="K18" s="23">
        <f>'Part VI-Revenues &amp; Expenses'!Q188</f>
        <v>0</v>
      </c>
      <c r="N18" s="3996"/>
      <c r="O18" s="3998"/>
    </row>
    <row r="19" spans="1:19" ht="13.35" customHeight="1">
      <c r="A19" s="417" t="s">
        <v>4376</v>
      </c>
      <c r="B19" s="22">
        <f>SUM(B14:B18)</f>
        <v>482431.39919999999</v>
      </c>
      <c r="C19" s="22">
        <f t="shared" ref="C19:K19" si="4">SUM(C14:C18)</f>
        <v>492080.02718400001</v>
      </c>
      <c r="D19" s="22">
        <f t="shared" si="4"/>
        <v>501921.62772767997</v>
      </c>
      <c r="E19" s="22">
        <f t="shared" si="4"/>
        <v>511960.06028223358</v>
      </c>
      <c r="F19" s="22">
        <f t="shared" si="4"/>
        <v>522199.26148787828</v>
      </c>
      <c r="G19" s="22">
        <f t="shared" si="4"/>
        <v>532643.24671763589</v>
      </c>
      <c r="H19" s="22">
        <f t="shared" si="4"/>
        <v>543296.11165198858</v>
      </c>
      <c r="I19" s="22">
        <f t="shared" si="4"/>
        <v>554162.03388502821</v>
      </c>
      <c r="J19" s="22">
        <f t="shared" si="4"/>
        <v>565245.27456272882</v>
      </c>
      <c r="K19" s="23">
        <f t="shared" si="4"/>
        <v>576550.18005398347</v>
      </c>
      <c r="N19" s="3996"/>
      <c r="O19" s="3998"/>
    </row>
    <row r="20" spans="1:19" ht="13.35" customHeight="1">
      <c r="A20" s="21" t="s">
        <v>597</v>
      </c>
      <c r="B20" s="22">
        <f>-('Part VI-Revenues &amp; Expenses'!$Q$227-'Part VI-Revenues &amp; Expenses'!$Q$219)</f>
        <v>-285405</v>
      </c>
      <c r="C20" s="22">
        <f t="shared" ref="C20:K20" si="5">$B$20*(1+$B$6)^(C13-1)</f>
        <v>-293967.15000000002</v>
      </c>
      <c r="D20" s="22">
        <f t="shared" si="5"/>
        <v>-302786.16450000001</v>
      </c>
      <c r="E20" s="22">
        <f t="shared" si="5"/>
        <v>-311869.74943500001</v>
      </c>
      <c r="F20" s="22">
        <f t="shared" si="5"/>
        <v>-321225.84191804996</v>
      </c>
      <c r="G20" s="22">
        <f t="shared" si="5"/>
        <v>-330862.61717559147</v>
      </c>
      <c r="H20" s="22">
        <f t="shared" si="5"/>
        <v>-340788.49569085921</v>
      </c>
      <c r="I20" s="22">
        <f t="shared" si="5"/>
        <v>-351012.15056158503</v>
      </c>
      <c r="J20" s="22">
        <f t="shared" si="5"/>
        <v>-361542.51507843251</v>
      </c>
      <c r="K20" s="23">
        <f t="shared" si="5"/>
        <v>-372388.79053078551</v>
      </c>
      <c r="N20" s="3996"/>
      <c r="O20" s="3998"/>
      <c r="Q20" s="62">
        <v>1</v>
      </c>
      <c r="R20" s="1043">
        <f>-B31</f>
        <v>84.587212355789219</v>
      </c>
      <c r="S20" s="1043">
        <f>B32+R20</f>
        <v>37174.073627839723</v>
      </c>
    </row>
    <row r="21" spans="1:19" ht="13.35" customHeight="1">
      <c r="A21" s="21" t="s">
        <v>1093</v>
      </c>
      <c r="B21" s="22">
        <f>IF(AND('Part VII-Pro Forma'!$G$8="Yes",'Part VII-Pro Forma'!$G$9="Yes"),"Choose One!",IF('Part VII-Pro Forma'!$G$8="Yes",ROUND((-$K$8*(1+'Part VII-Pro Forma'!$B$6)^('Part VII-Pro Forma'!B13-1)),),IF('Part VII-Pro Forma'!$G$9="Yes",ROUND((-(SUM(B14:B17)*'Part VII-Pro Forma'!$K$9)),),"Choose mgt fee")))</f>
        <v>-38595</v>
      </c>
      <c r="C21" s="22">
        <f>IF(AND('Part VII-Pro Forma'!$G$8="Yes",'Part VII-Pro Forma'!$G$9="Yes"),"Choose One!",IF('Part VII-Pro Forma'!$G$8="Yes",ROUND((-$K$8*(1+'Part VII-Pro Forma'!$B$6)^('Part VII-Pro Forma'!C13-1)),),IF('Part VII-Pro Forma'!$G$9="Yes",ROUND((-(SUM(C14:C17)*'Part VII-Pro Forma'!$K$9)),),"Choose mgt fee")))</f>
        <v>-39366</v>
      </c>
      <c r="D21" s="22">
        <f>IF(AND('Part VII-Pro Forma'!$G$8="Yes",'Part VII-Pro Forma'!$G$9="Yes"),"Choose One!",IF('Part VII-Pro Forma'!$G$8="Yes",ROUND((-$K$8*(1+'Part VII-Pro Forma'!$B$6)^('Part VII-Pro Forma'!D13-1)),),IF('Part VII-Pro Forma'!$G$9="Yes",ROUND((-(SUM(D14:D17)*'Part VII-Pro Forma'!$K$9)),),"Choose mgt fee")))</f>
        <v>-40154</v>
      </c>
      <c r="E21" s="22">
        <f>IF(AND('Part VII-Pro Forma'!$G$8="Yes",'Part VII-Pro Forma'!$G$9="Yes"),"Choose One!",IF('Part VII-Pro Forma'!$G$8="Yes",ROUND((-$K$8*(1+'Part VII-Pro Forma'!$B$6)^('Part VII-Pro Forma'!E13-1)),),IF('Part VII-Pro Forma'!$G$9="Yes",ROUND((-(SUM(E14:E17)*'Part VII-Pro Forma'!$K$9)),),"Choose mgt fee")))</f>
        <v>-40957</v>
      </c>
      <c r="F21" s="22">
        <f>IF(AND('Part VII-Pro Forma'!$G$8="Yes",'Part VII-Pro Forma'!$G$9="Yes"),"Choose One!",IF('Part VII-Pro Forma'!$G$8="Yes",ROUND((-$K$8*(1+'Part VII-Pro Forma'!$B$6)^('Part VII-Pro Forma'!F13-1)),),IF('Part VII-Pro Forma'!$G$9="Yes",ROUND((-(SUM(F14:F17)*'Part VII-Pro Forma'!$K$9)),),"Choose mgt fee")))</f>
        <v>-41776</v>
      </c>
      <c r="G21" s="22">
        <f>IF(AND('Part VII-Pro Forma'!$G$8="Yes",'Part VII-Pro Forma'!$G$9="Yes"),"Choose One!",IF('Part VII-Pro Forma'!$G$8="Yes",ROUND((-$K$8*(1+'Part VII-Pro Forma'!$B$6)^('Part VII-Pro Forma'!G13-1)),),IF('Part VII-Pro Forma'!$G$9="Yes",ROUND((-(SUM(G14:G17)*'Part VII-Pro Forma'!$K$9)),),"Choose mgt fee")))</f>
        <v>-42611</v>
      </c>
      <c r="H21" s="22">
        <f>IF(AND('Part VII-Pro Forma'!$G$8="Yes",'Part VII-Pro Forma'!$G$9="Yes"),"Choose One!",IF('Part VII-Pro Forma'!$G$8="Yes",ROUND((-$K$8*(1+'Part VII-Pro Forma'!$B$6)^('Part VII-Pro Forma'!H13-1)),),IF('Part VII-Pro Forma'!$G$9="Yes",ROUND((-(SUM(H14:H17)*'Part VII-Pro Forma'!$K$9)),),"Choose mgt fee")))</f>
        <v>-43464</v>
      </c>
      <c r="I21" s="22">
        <f>IF(AND('Part VII-Pro Forma'!$G$8="Yes",'Part VII-Pro Forma'!$G$9="Yes"),"Choose One!",IF('Part VII-Pro Forma'!$G$8="Yes",ROUND((-$K$8*(1+'Part VII-Pro Forma'!$B$6)^('Part VII-Pro Forma'!I13-1)),),IF('Part VII-Pro Forma'!$G$9="Yes",ROUND((-(SUM(I14:I17)*'Part VII-Pro Forma'!$K$9)),),"Choose mgt fee")))</f>
        <v>-44333</v>
      </c>
      <c r="J21" s="22">
        <f>IF(AND('Part VII-Pro Forma'!$G$8="Yes",'Part VII-Pro Forma'!$G$9="Yes"),"Choose One!",IF('Part VII-Pro Forma'!$G$8="Yes",ROUND((-$K$8*(1+'Part VII-Pro Forma'!$B$6)^('Part VII-Pro Forma'!J13-1)),),IF('Part VII-Pro Forma'!$G$9="Yes",ROUND((-(SUM(J14:J17)*'Part VII-Pro Forma'!$K$9)),),"Choose mgt fee")))</f>
        <v>-45220</v>
      </c>
      <c r="K21" s="23">
        <f>IF(AND('Part VII-Pro Forma'!$G$8="Yes",'Part VII-Pro Forma'!$G$9="Yes"),"Choose One!",IF('Part VII-Pro Forma'!$G$8="Yes",ROUND((-$K$8*(1+'Part VII-Pro Forma'!$B$6)^('Part VII-Pro Forma'!K13-1)),),IF('Part VII-Pro Forma'!$G$9="Yes",ROUND((-(SUM(K14:K17)*'Part VII-Pro Forma'!$K$9)),),"Choose mgt fee")))</f>
        <v>-46124</v>
      </c>
      <c r="N21" s="3996"/>
      <c r="O21" s="3998"/>
      <c r="Q21" s="62">
        <v>2</v>
      </c>
      <c r="R21" s="1043">
        <f>-SUM(B31:C31)</f>
        <v>169.17442471157844</v>
      </c>
      <c r="S21" s="1043">
        <f>SUM(B32:C32)+R21</f>
        <v>73961.625239679444</v>
      </c>
    </row>
    <row r="22" spans="1:19" ht="13.35" customHeight="1">
      <c r="A22" s="21" t="s">
        <v>1176</v>
      </c>
      <c r="B22" s="22">
        <f>-('Part VI-Revenues &amp; Expenses'!$Q$233)</f>
        <v>-18000</v>
      </c>
      <c r="C22" s="22">
        <f t="shared" ref="C22:K22" si="6">$B$22*(1+$B$7)^(C13-1)</f>
        <v>-18540</v>
      </c>
      <c r="D22" s="22">
        <f t="shared" si="6"/>
        <v>-19096.2</v>
      </c>
      <c r="E22" s="22">
        <f t="shared" si="6"/>
        <v>-19669.085999999999</v>
      </c>
      <c r="F22" s="22">
        <f t="shared" si="6"/>
        <v>-20259.158579999999</v>
      </c>
      <c r="G22" s="22">
        <f t="shared" si="6"/>
        <v>-20866.933337399998</v>
      </c>
      <c r="H22" s="22">
        <f t="shared" si="6"/>
        <v>-21492.941337521999</v>
      </c>
      <c r="I22" s="22">
        <f t="shared" si="6"/>
        <v>-22137.72957764766</v>
      </c>
      <c r="J22" s="22">
        <f t="shared" si="6"/>
        <v>-22801.861464977086</v>
      </c>
      <c r="K22" s="23">
        <f t="shared" si="6"/>
        <v>-23485.9173089264</v>
      </c>
      <c r="N22" s="3996"/>
      <c r="O22" s="3998"/>
      <c r="Q22" s="62">
        <v>3</v>
      </c>
      <c r="R22" s="1043">
        <f>-SUM(B31:D31)</f>
        <v>253.76163706736764</v>
      </c>
      <c r="S22" s="1043">
        <f>SUM(B32:D32)+R22</f>
        <v>110260.70289519912</v>
      </c>
    </row>
    <row r="23" spans="1:19" ht="13.35" customHeight="1">
      <c r="A23" s="417" t="s">
        <v>4375</v>
      </c>
      <c r="B23" s="4108">
        <f>IF(B13&lt;=+'Part VI-Revenues &amp; Expenses'!$N$250,-'Part VI-Revenues &amp; Expenses'!$K$250,0)</f>
        <v>0</v>
      </c>
      <c r="C23" s="4108">
        <f>IF(C13&lt;=+'Part VI-Revenues &amp; Expenses'!$N$250,-'Part VI-Revenues &amp; Expenses'!$K$250,0)</f>
        <v>0</v>
      </c>
      <c r="D23" s="4108">
        <f>IF(D13&lt;=+'Part VI-Revenues &amp; Expenses'!$N$250,-'Part VI-Revenues &amp; Expenses'!$K$250,0)</f>
        <v>0</v>
      </c>
      <c r="E23" s="4108">
        <f>IF(E13&lt;=+'Part VI-Revenues &amp; Expenses'!$N$250,-'Part VI-Revenues &amp; Expenses'!$K$250,0)</f>
        <v>0</v>
      </c>
      <c r="F23" s="4108">
        <f>IF(F13&lt;=+'Part VI-Revenues &amp; Expenses'!$N$250,-'Part VI-Revenues &amp; Expenses'!$K$250,0)</f>
        <v>0</v>
      </c>
      <c r="G23" s="4108">
        <f>IF(G13&lt;=+'Part VI-Revenues &amp; Expenses'!$N$250,-'Part VI-Revenues &amp; Expenses'!$K$250,0)</f>
        <v>0</v>
      </c>
      <c r="H23" s="4108">
        <f>IF(H13&lt;=+'Part VI-Revenues &amp; Expenses'!$N$250,-'Part VI-Revenues &amp; Expenses'!$K$250,0)</f>
        <v>0</v>
      </c>
      <c r="I23" s="4108">
        <f>IF(I13&lt;=+'Part VI-Revenues &amp; Expenses'!$N$250,-'Part VI-Revenues &amp; Expenses'!$K$250,0)</f>
        <v>0</v>
      </c>
      <c r="J23" s="4108">
        <f>IF(J13&lt;=+'Part VI-Revenues &amp; Expenses'!$N$250,-'Part VI-Revenues &amp; Expenses'!$K$250,0)</f>
        <v>0</v>
      </c>
      <c r="K23" s="4108">
        <f>IF(K13&lt;=+'Part VI-Revenues &amp; Expenses'!$N$250,-'Part VI-Revenues &amp; Expenses'!$K$250,0)</f>
        <v>0</v>
      </c>
      <c r="N23" s="3996"/>
      <c r="O23" s="3998"/>
      <c r="Q23" s="929">
        <v>4</v>
      </c>
      <c r="R23" s="1043">
        <f>-SUM(B31:E31)</f>
        <v>338.34884942315688</v>
      </c>
      <c r="S23" s="1043">
        <f>SUM(B32:E32)+R23</f>
        <v>145966.87637027242</v>
      </c>
    </row>
    <row r="24" spans="1:19" ht="13.35" customHeight="1">
      <c r="A24" s="21" t="s">
        <v>1177</v>
      </c>
      <c r="B24" s="22">
        <f>SUM(B19:B23)</f>
        <v>140431.39919999999</v>
      </c>
      <c r="C24" s="22">
        <f t="shared" ref="C24:J24" si="7">SUM(C19:C23)</f>
        <v>140206.87718399998</v>
      </c>
      <c r="D24" s="22">
        <f t="shared" si="7"/>
        <v>139885.26322767994</v>
      </c>
      <c r="E24" s="22">
        <f t="shared" si="7"/>
        <v>139464.22484723356</v>
      </c>
      <c r="F24" s="22">
        <f t="shared" si="7"/>
        <v>138938.26098982833</v>
      </c>
      <c r="G24" s="22">
        <f t="shared" si="7"/>
        <v>138302.69620464442</v>
      </c>
      <c r="H24" s="22">
        <f t="shared" si="7"/>
        <v>137550.67462360737</v>
      </c>
      <c r="I24" s="22">
        <f t="shared" si="7"/>
        <v>136679.15374579551</v>
      </c>
      <c r="J24" s="22">
        <f t="shared" si="7"/>
        <v>135680.89801931923</v>
      </c>
      <c r="K24" s="1482">
        <f>SUM(K19:K23)</f>
        <v>134551.47221427155</v>
      </c>
      <c r="N24" s="3996"/>
      <c r="O24" s="3998"/>
      <c r="Q24" s="929">
        <v>5</v>
      </c>
      <c r="R24" s="1043">
        <f>-SUM(B31:F31)</f>
        <v>422.93606177894611</v>
      </c>
      <c r="S24" s="1043">
        <f>SUM(B32:F32)+R24</f>
        <v>180970.0642139405</v>
      </c>
    </row>
    <row r="25" spans="1:19" ht="13.35" customHeight="1">
      <c r="A25" s="417" t="s">
        <v>1558</v>
      </c>
      <c r="B25" s="4109">
        <f>IF('Part III-Sources of Funds'!$P$38="", 0,-'Part III-Sources of Funds'!$P$38)</f>
        <v>-63365.252550325516</v>
      </c>
      <c r="C25" s="4109">
        <f>IF('Part III-Sources of Funds'!$P$38="", 0,-'Part III-Sources of Funds'!$P$38)</f>
        <v>-63365.252550325516</v>
      </c>
      <c r="D25" s="4109">
        <f>IF('Part III-Sources of Funds'!$P$38="", 0,-'Part III-Sources of Funds'!$P$38)</f>
        <v>-63365.252550325516</v>
      </c>
      <c r="E25" s="4109">
        <f>IF('Part III-Sources of Funds'!$P$38="", 0,-'Part III-Sources of Funds'!$P$38)</f>
        <v>-63365.252550325516</v>
      </c>
      <c r="F25" s="4109">
        <f>IF('Part III-Sources of Funds'!$P$38="", 0,-'Part III-Sources of Funds'!$P$38)</f>
        <v>-63365.252550325516</v>
      </c>
      <c r="G25" s="4109">
        <f>IF('Part III-Sources of Funds'!$P$38="", 0,-'Part III-Sources of Funds'!$P$38)</f>
        <v>-63365.252550325516</v>
      </c>
      <c r="H25" s="4109">
        <f>IF('Part III-Sources of Funds'!$P$38="", 0,-'Part III-Sources of Funds'!$P$38)</f>
        <v>-63365.252550325516</v>
      </c>
      <c r="I25" s="4109">
        <f>IF('Part III-Sources of Funds'!$P$38="", 0,-'Part III-Sources of Funds'!$P$38)</f>
        <v>-63365.252550325516</v>
      </c>
      <c r="J25" s="4109">
        <f>IF('Part III-Sources of Funds'!$P$38="", 0,-'Part III-Sources of Funds'!$P$38)</f>
        <v>-63365.252550325516</v>
      </c>
      <c r="K25" s="4109">
        <f>IF('Part III-Sources of Funds'!$P$38="", 0,-'Part III-Sources of Funds'!$P$38)</f>
        <v>-63365.252550325516</v>
      </c>
      <c r="N25" s="3996"/>
      <c r="O25" s="3998"/>
      <c r="Q25" s="929">
        <v>6</v>
      </c>
      <c r="R25" s="1043">
        <f>-SUM(B31:G31)</f>
        <v>507.52327413473535</v>
      </c>
      <c r="S25" s="1043">
        <f>SUM(B32:G32)+R25</f>
        <v>215155.35484520465</v>
      </c>
    </row>
    <row r="26" spans="1:19" ht="13.35" customHeight="1">
      <c r="A26" s="417" t="s">
        <v>1559</v>
      </c>
      <c r="B26" s="4110">
        <f>IF('Part III-Sources of Funds'!$P$39="", 0,-'Part III-Sources of Funds'!$P$39)</f>
        <v>-34492.073021834745</v>
      </c>
      <c r="C26" s="4110">
        <f>IF('Part III-Sources of Funds'!$P$39="", 0,-'Part III-Sources of Funds'!$P$39)</f>
        <v>-34492.073021834745</v>
      </c>
      <c r="D26" s="4110">
        <f>IF('Part III-Sources of Funds'!$P$39="", 0,-'Part III-Sources of Funds'!$P$39)</f>
        <v>-34492.073021834745</v>
      </c>
      <c r="E26" s="4110">
        <f>IF('Part III-Sources of Funds'!$P$39="", 0,-'Part III-Sources of Funds'!$P$39)</f>
        <v>-34492.073021834745</v>
      </c>
      <c r="F26" s="4110">
        <f>IF('Part III-Sources of Funds'!$P$39="", 0,-'Part III-Sources of Funds'!$P$39)</f>
        <v>-34492.073021834745</v>
      </c>
      <c r="G26" s="4110">
        <f>IF('Part III-Sources of Funds'!$P$39="", 0,-'Part III-Sources of Funds'!$P$39)</f>
        <v>-34492.073021834745</v>
      </c>
      <c r="H26" s="4110">
        <f>IF('Part III-Sources of Funds'!$P$39="", 0,-'Part III-Sources of Funds'!$P$39)</f>
        <v>-34492.073021834745</v>
      </c>
      <c r="I26" s="4110">
        <f>IF('Part III-Sources of Funds'!$P$39="", 0,-'Part III-Sources of Funds'!$P$39)</f>
        <v>-34492.073021834745</v>
      </c>
      <c r="J26" s="4110">
        <f>IF('Part III-Sources of Funds'!$P$39="", 0,-'Part III-Sources of Funds'!$P$39)</f>
        <v>-34492.073021834745</v>
      </c>
      <c r="K26" s="4110">
        <f>IF('Part III-Sources of Funds'!$P$39="", 0,-'Part III-Sources of Funds'!$P$39)</f>
        <v>-34492.073021834745</v>
      </c>
      <c r="N26" s="3996"/>
      <c r="O26" s="3998"/>
      <c r="Q26" s="929">
        <v>7</v>
      </c>
      <c r="R26" s="1043">
        <f>-SUM(B31:H31)</f>
        <v>592.11048649052452</v>
      </c>
      <c r="S26" s="1043">
        <f>SUM(B32:H32)+R26</f>
        <v>248400.82149539518</v>
      </c>
    </row>
    <row r="27" spans="1:19" ht="13.35" customHeight="1">
      <c r="A27" s="417" t="s">
        <v>1560</v>
      </c>
      <c r="B27" s="4110">
        <f>IF('Part III-Sources of Funds'!$P$40="", 0,-'Part III-Sources of Funds'!$P$40)</f>
        <v>0</v>
      </c>
      <c r="C27" s="4110">
        <f>IF('Part III-Sources of Funds'!$P$40="", 0,-'Part III-Sources of Funds'!$P$40)</f>
        <v>0</v>
      </c>
      <c r="D27" s="4110">
        <f>IF('Part III-Sources of Funds'!$P$40="", 0,-'Part III-Sources of Funds'!$P$40)</f>
        <v>0</v>
      </c>
      <c r="E27" s="4110">
        <f>IF('Part III-Sources of Funds'!$P$40="", 0,-'Part III-Sources of Funds'!$P$40)</f>
        <v>0</v>
      </c>
      <c r="F27" s="4110">
        <f>IF('Part III-Sources of Funds'!$P$40="", 0,-'Part III-Sources of Funds'!$P$40)</f>
        <v>0</v>
      </c>
      <c r="G27" s="4110">
        <f>IF('Part III-Sources of Funds'!$P$40="", 0,-'Part III-Sources of Funds'!$P$40)</f>
        <v>0</v>
      </c>
      <c r="H27" s="4110">
        <f>IF('Part III-Sources of Funds'!$P$40="", 0,-'Part III-Sources of Funds'!$P$40)</f>
        <v>0</v>
      </c>
      <c r="I27" s="4110">
        <f>IF('Part III-Sources of Funds'!$P$40="", 0,-'Part III-Sources of Funds'!$P$40)</f>
        <v>0</v>
      </c>
      <c r="J27" s="4110">
        <f>IF('Part III-Sources of Funds'!$P$40="", 0,-'Part III-Sources of Funds'!$P$40)</f>
        <v>0</v>
      </c>
      <c r="K27" s="4110">
        <f>IF('Part III-Sources of Funds'!$P$40="", 0,-'Part III-Sources of Funds'!$P$40)</f>
        <v>0</v>
      </c>
      <c r="N27" s="3996"/>
      <c r="O27" s="3998"/>
      <c r="Q27" s="929">
        <v>8</v>
      </c>
      <c r="R27" s="1043">
        <f>-SUM(B31:I31)</f>
        <v>676.69769884631376</v>
      </c>
      <c r="S27" s="1043">
        <f>SUM(B32:I32)+R27</f>
        <v>280581.33079573611</v>
      </c>
    </row>
    <row r="28" spans="1:19" ht="13.35" customHeight="1">
      <c r="A28" s="417" t="s">
        <v>3634</v>
      </c>
      <c r="B28" s="4110">
        <f>IF('Part III-Sources of Funds'!$P$41="", 0,-'Part III-Sources of Funds'!$P$41)</f>
        <v>0</v>
      </c>
      <c r="C28" s="4110">
        <f>IF('Part III-Sources of Funds'!$P$41="", 0,-'Part III-Sources of Funds'!$P$41)</f>
        <v>0</v>
      </c>
      <c r="D28" s="4110">
        <f>IF('Part III-Sources of Funds'!$P$41="", 0,-'Part III-Sources of Funds'!$P$41)</f>
        <v>0</v>
      </c>
      <c r="E28" s="4110">
        <f>IF('Part III-Sources of Funds'!$P$41="", 0,-'Part III-Sources of Funds'!$P$41)</f>
        <v>0</v>
      </c>
      <c r="F28" s="4110">
        <f>IF('Part III-Sources of Funds'!$P$41="", 0,-'Part III-Sources of Funds'!$P$41)</f>
        <v>0</v>
      </c>
      <c r="G28" s="4110">
        <f>IF('Part III-Sources of Funds'!$P$41="", 0,-'Part III-Sources of Funds'!$P$41)</f>
        <v>0</v>
      </c>
      <c r="H28" s="4110">
        <f>IF('Part III-Sources of Funds'!$P$41="", 0,-'Part III-Sources of Funds'!$P$41)</f>
        <v>0</v>
      </c>
      <c r="I28" s="4110">
        <f>IF('Part III-Sources of Funds'!$P$41="", 0,-'Part III-Sources of Funds'!$P$41)</f>
        <v>0</v>
      </c>
      <c r="J28" s="4110">
        <f>IF('Part III-Sources of Funds'!$P$41="", 0,-'Part III-Sources of Funds'!$P$41)</f>
        <v>0</v>
      </c>
      <c r="K28" s="4110">
        <f>IF('Part III-Sources of Funds'!$P$41="", 0,-'Part III-Sources of Funds'!$P$41)</f>
        <v>0</v>
      </c>
      <c r="N28" s="3996"/>
      <c r="O28" s="3998"/>
      <c r="Q28" s="929">
        <v>9</v>
      </c>
      <c r="R28" s="1043">
        <f>-SUM(B31:J31)</f>
        <v>761.28491120210299</v>
      </c>
      <c r="S28" s="1043">
        <f>SUM(B32:J32)+R28</f>
        <v>311564.34480340197</v>
      </c>
    </row>
    <row r="29" spans="1:19" ht="13.35" customHeight="1">
      <c r="A29" s="21" t="s">
        <v>745</v>
      </c>
      <c r="B29" s="4111"/>
      <c r="C29" s="4111"/>
      <c r="D29" s="4111"/>
      <c r="E29" s="4111"/>
      <c r="F29" s="4111"/>
      <c r="G29" s="4111"/>
      <c r="H29" s="4111"/>
      <c r="I29" s="4111"/>
      <c r="J29" s="4111"/>
      <c r="K29" s="4111"/>
      <c r="N29" s="3996"/>
      <c r="O29" s="3998"/>
      <c r="Q29" s="929">
        <v>10</v>
      </c>
      <c r="R29" s="1043">
        <f>-SUM(B31:K31)</f>
        <v>845.87212355789222</v>
      </c>
      <c r="S29" s="1043">
        <f>SUM(B32:K32)+R29</f>
        <v>341212.71625283535</v>
      </c>
    </row>
    <row r="30" spans="1:19" ht="13.35" customHeight="1">
      <c r="A30" s="417" t="s">
        <v>1141</v>
      </c>
      <c r="B30" s="4112">
        <f>-$G$5</f>
        <v>-5400</v>
      </c>
      <c r="C30" s="4112">
        <f t="shared" ref="C30:K30" si="8">(+B30*0.03)+B30</f>
        <v>-5562</v>
      </c>
      <c r="D30" s="4113">
        <f t="shared" si="8"/>
        <v>-5728.86</v>
      </c>
      <c r="E30" s="4112">
        <f t="shared" si="8"/>
        <v>-5900.7257999999993</v>
      </c>
      <c r="F30" s="4112">
        <f t="shared" si="8"/>
        <v>-6077.7475739999991</v>
      </c>
      <c r="G30" s="4112">
        <f t="shared" si="8"/>
        <v>-6260.0800012199988</v>
      </c>
      <c r="H30" s="4113">
        <f t="shared" si="8"/>
        <v>-6447.8824012565992</v>
      </c>
      <c r="I30" s="4112">
        <f t="shared" si="8"/>
        <v>-6641.3188732942972</v>
      </c>
      <c r="J30" s="4112">
        <f t="shared" si="8"/>
        <v>-6840.5584394931257</v>
      </c>
      <c r="K30" s="4113">
        <f t="shared" si="8"/>
        <v>-7045.7751926779192</v>
      </c>
      <c r="N30" s="3996"/>
      <c r="O30" s="3998"/>
      <c r="Q30" s="929">
        <v>11</v>
      </c>
      <c r="R30" s="1043">
        <f>-SUM(B31:K31)-B63</f>
        <v>845.87212355789222</v>
      </c>
      <c r="S30" s="1043">
        <f>SUM(B32:K32)+B64+R30</f>
        <v>369382.47681237658</v>
      </c>
    </row>
    <row r="31" spans="1:19" ht="13.35" customHeight="1">
      <c r="A31" s="417" t="s">
        <v>3769</v>
      </c>
      <c r="B31" s="4114">
        <f>IF('Part III-Sources of Funds'!$P$43="", 0,-'Part III-Sources of Funds'!$P$43)</f>
        <v>-84.587212355789219</v>
      </c>
      <c r="C31" s="4114">
        <f>IF('Part III-Sources of Funds'!$P$43="", 0,-'Part III-Sources of Funds'!$P$43)</f>
        <v>-84.587212355789219</v>
      </c>
      <c r="D31" s="4114">
        <f>IF('Part III-Sources of Funds'!$P$43="", 0,-'Part III-Sources of Funds'!$P$43)</f>
        <v>-84.587212355789219</v>
      </c>
      <c r="E31" s="4114">
        <f>IF('Part III-Sources of Funds'!$P$43="", 0,-'Part III-Sources of Funds'!$P$43)</f>
        <v>-84.587212355789219</v>
      </c>
      <c r="F31" s="4114">
        <f>IF('Part III-Sources of Funds'!$P$43="", 0,-'Part III-Sources of Funds'!$P$43)</f>
        <v>-84.587212355789219</v>
      </c>
      <c r="G31" s="4114">
        <f>IF('Part III-Sources of Funds'!$P$43="", 0,-'Part III-Sources of Funds'!$P$43)</f>
        <v>-84.587212355789219</v>
      </c>
      <c r="H31" s="4114">
        <f>IF('Part III-Sources of Funds'!$P$43="", 0,-'Part III-Sources of Funds'!$P$43)</f>
        <v>-84.587212355789219</v>
      </c>
      <c r="I31" s="4114">
        <f>IF('Part III-Sources of Funds'!$P$43="", 0,-'Part III-Sources of Funds'!$P$43)</f>
        <v>-84.587212355789219</v>
      </c>
      <c r="J31" s="4114">
        <f>IF('Part III-Sources of Funds'!$P$43="", 0,-'Part III-Sources of Funds'!$P$43)</f>
        <v>-84.587212355789219</v>
      </c>
      <c r="K31" s="4114">
        <f>IF('Part III-Sources of Funds'!$P$43="", 0,-'Part III-Sources of Funds'!$P$43)</f>
        <v>-84.587212355789219</v>
      </c>
      <c r="N31" s="3996"/>
      <c r="O31" s="3998"/>
      <c r="Q31" s="929">
        <v>12</v>
      </c>
      <c r="R31" s="1043">
        <f>-SUM(B31:K31) - SUM(B63:C63)</f>
        <v>845.87212355789222</v>
      </c>
      <c r="S31" s="1043">
        <f>SUM(B32:K32) + SUM(B64:C64)+R31</f>
        <v>395922.61811931815</v>
      </c>
    </row>
    <row r="32" spans="1:19" ht="13.35" customHeight="1">
      <c r="A32" s="21" t="s">
        <v>1142</v>
      </c>
      <c r="B32" s="22">
        <f t="shared" ref="B32:K32" si="9">SUM(B24:B31)</f>
        <v>37089.486415483938</v>
      </c>
      <c r="C32" s="22">
        <f t="shared" si="9"/>
        <v>36702.964399483935</v>
      </c>
      <c r="D32" s="22">
        <f t="shared" si="9"/>
        <v>36214.490443163893</v>
      </c>
      <c r="E32" s="22">
        <f t="shared" si="9"/>
        <v>35621.586262717516</v>
      </c>
      <c r="F32" s="22">
        <f t="shared" si="9"/>
        <v>34918.600631312278</v>
      </c>
      <c r="G32" s="22">
        <f t="shared" si="9"/>
        <v>34100.703418908379</v>
      </c>
      <c r="H32" s="22">
        <f t="shared" si="9"/>
        <v>33160.879437834723</v>
      </c>
      <c r="I32" s="22">
        <f t="shared" si="9"/>
        <v>32095.922087985164</v>
      </c>
      <c r="J32" s="22">
        <f t="shared" si="9"/>
        <v>30898.42679531005</v>
      </c>
      <c r="K32" s="23">
        <f t="shared" si="9"/>
        <v>29563.784237077576</v>
      </c>
      <c r="N32" s="3996"/>
      <c r="O32" s="3998"/>
      <c r="Q32" s="929">
        <v>13</v>
      </c>
      <c r="R32" s="1043">
        <f>-SUM(B31:K31) - SUM(B63:D63)</f>
        <v>845.87212355789222</v>
      </c>
      <c r="S32" s="1043">
        <f>SUM(B32:K32) + SUM(B64:D64)+R32</f>
        <v>420675.86535935133</v>
      </c>
    </row>
    <row r="33" spans="1:19" ht="13.35" customHeight="1">
      <c r="A33" s="21" t="str">
        <f>IF('Part III-Sources of Funds'!$E$38 = "Neither", "", "DCR Mortgage A")</f>
        <v>DCR Mortgage A</v>
      </c>
      <c r="B33" s="24">
        <f t="shared" ref="B33:K33" si="10">IF(B25=0,"",-B24/B25)</f>
        <v>2.2162209341542121</v>
      </c>
      <c r="C33" s="24">
        <f t="shared" si="10"/>
        <v>2.2126776354697841</v>
      </c>
      <c r="D33" s="24">
        <f t="shared" si="10"/>
        <v>2.207602078388013</v>
      </c>
      <c r="E33" s="24">
        <f t="shared" si="10"/>
        <v>2.2009574527690745</v>
      </c>
      <c r="F33" s="24">
        <f t="shared" si="10"/>
        <v>2.1926569436377097</v>
      </c>
      <c r="G33" s="24">
        <f t="shared" si="10"/>
        <v>2.1826267652733273</v>
      </c>
      <c r="H33" s="24">
        <f t="shared" si="10"/>
        <v>2.1707587216568389</v>
      </c>
      <c r="I33" s="24">
        <f t="shared" si="10"/>
        <v>2.1570047974991202</v>
      </c>
      <c r="J33" s="24">
        <f t="shared" si="10"/>
        <v>2.1412508047933634</v>
      </c>
      <c r="K33" s="25">
        <f t="shared" si="10"/>
        <v>2.123426748870116</v>
      </c>
      <c r="N33" s="3996"/>
      <c r="O33" s="3998"/>
      <c r="Q33" s="929">
        <v>14</v>
      </c>
      <c r="R33" s="1043">
        <f>-SUM(B31:K31) - SUM(B63:E63)</f>
        <v>845.87212355789222</v>
      </c>
      <c r="S33" s="1043">
        <f>SUM(B32:K32) + SUM(B64:E64)+R33</f>
        <v>477970.51617083786</v>
      </c>
    </row>
    <row r="34" spans="1:19" ht="13.35" customHeight="1">
      <c r="A34" s="21" t="str">
        <f>IF('Part III-Sources of Funds'!$E$38 = "Neither", "", "DCR Mortgage B")</f>
        <v>DCR Mortgage B</v>
      </c>
      <c r="B34" s="24">
        <f t="shared" ref="B34:K34" si="11">IF(B26=0,"",-(B24+B25)/B26)</f>
        <v>2.2343147250351922</v>
      </c>
      <c r="C34" s="24">
        <f t="shared" si="11"/>
        <v>2.2278053448695561</v>
      </c>
      <c r="D34" s="24">
        <f t="shared" si="11"/>
        <v>2.2184810587903621</v>
      </c>
      <c r="E34" s="24">
        <f t="shared" si="11"/>
        <v>2.2062742430335982</v>
      </c>
      <c r="F34" s="24">
        <f t="shared" si="11"/>
        <v>2.1910254101474949</v>
      </c>
      <c r="G34" s="24">
        <f t="shared" si="11"/>
        <v>2.1725990086731164</v>
      </c>
      <c r="H34" s="24">
        <f t="shared" si="11"/>
        <v>2.1507962721266352</v>
      </c>
      <c r="I34" s="24">
        <f t="shared" si="11"/>
        <v>2.1255289918080487</v>
      </c>
      <c r="J34" s="24">
        <f t="shared" si="11"/>
        <v>2.0965873933763057</v>
      </c>
      <c r="K34" s="25">
        <f t="shared" si="11"/>
        <v>2.0638428898977033</v>
      </c>
      <c r="N34" s="3996"/>
      <c r="O34" s="3998"/>
      <c r="Q34" s="929">
        <v>15</v>
      </c>
      <c r="R34" s="1043">
        <f>-SUM(B31:K31) - SUM(B63:F63)</f>
        <v>845.87212355789222</v>
      </c>
      <c r="S34" s="1043">
        <f>SUM(B32:K32) + SUM(B64:F64)+R34</f>
        <v>533142.97951573646</v>
      </c>
    </row>
    <row r="35" spans="1:19" ht="13.35" customHeight="1">
      <c r="A35" s="21" t="str">
        <f>IF('Part III-Sources of Funds'!$E$38 = "Neither", "DCR First Mortgage", "DCR Mortgage C")</f>
        <v>DCR Mortgage C</v>
      </c>
      <c r="B35" s="24" t="str">
        <f t="shared" ref="B35:K35" si="12">IF(B27=0,"",-(B24+B25+B26)/B27)</f>
        <v/>
      </c>
      <c r="C35" s="24" t="str">
        <f t="shared" si="12"/>
        <v/>
      </c>
      <c r="D35" s="24" t="str">
        <f t="shared" si="12"/>
        <v/>
      </c>
      <c r="E35" s="24" t="str">
        <f t="shared" si="12"/>
        <v/>
      </c>
      <c r="F35" s="24" t="str">
        <f t="shared" si="12"/>
        <v/>
      </c>
      <c r="G35" s="24" t="str">
        <f t="shared" si="12"/>
        <v/>
      </c>
      <c r="H35" s="24" t="str">
        <f t="shared" si="12"/>
        <v/>
      </c>
      <c r="I35" s="24" t="str">
        <f t="shared" si="12"/>
        <v/>
      </c>
      <c r="J35" s="24" t="str">
        <f t="shared" si="12"/>
        <v/>
      </c>
      <c r="K35" s="25" t="str">
        <f t="shared" si="12"/>
        <v/>
      </c>
      <c r="N35" s="3996"/>
      <c r="O35" s="3998"/>
      <c r="Q35" s="62">
        <v>16</v>
      </c>
      <c r="R35" s="1043">
        <f>-SUM(B31:K31) - SUM(B63:G63)</f>
        <v>845.87212355789222</v>
      </c>
      <c r="S35" s="1043">
        <f>SUM(B32:K32) + SUM(B64:G64)+R35</f>
        <v>586015.74447870045</v>
      </c>
    </row>
    <row r="36" spans="1:19" ht="13.35" customHeight="1">
      <c r="A36" s="21" t="s">
        <v>763</v>
      </c>
      <c r="B36" s="24" t="str">
        <f t="shared" ref="B36:K36" si="13">IF(B28=0,"",-(B24+B25+B26+B27)/B28)</f>
        <v/>
      </c>
      <c r="C36" s="24" t="str">
        <f t="shared" si="13"/>
        <v/>
      </c>
      <c r="D36" s="24" t="str">
        <f t="shared" si="13"/>
        <v/>
      </c>
      <c r="E36" s="24" t="str">
        <f t="shared" si="13"/>
        <v/>
      </c>
      <c r="F36" s="24" t="str">
        <f t="shared" si="13"/>
        <v/>
      </c>
      <c r="G36" s="24" t="str">
        <f t="shared" si="13"/>
        <v/>
      </c>
      <c r="H36" s="24" t="str">
        <f t="shared" si="13"/>
        <v/>
      </c>
      <c r="I36" s="24" t="str">
        <f t="shared" si="13"/>
        <v/>
      </c>
      <c r="J36" s="24" t="str">
        <f t="shared" si="13"/>
        <v/>
      </c>
      <c r="K36" s="25" t="str">
        <f t="shared" si="13"/>
        <v/>
      </c>
      <c r="N36" s="3996"/>
      <c r="O36" s="3998"/>
      <c r="Q36" s="62">
        <v>17</v>
      </c>
      <c r="R36" s="1043">
        <f>-SUM(B31:K31) - SUM(B63:H63)</f>
        <v>845.87212355789222</v>
      </c>
      <c r="S36" s="1043">
        <f>SUM(B32:K32) + SUM(B64:H64)+R36</f>
        <v>636402.04851109651</v>
      </c>
    </row>
    <row r="37" spans="1:19" ht="13.35" customHeight="1">
      <c r="A37" s="417" t="s">
        <v>3532</v>
      </c>
      <c r="B37" s="24">
        <f t="shared" ref="B37:K37" si="14">IF(AND(B25=0,B26=0,B27=0,B28=0),"",-B24/(B25+B26+B27+B28))</f>
        <v>1.4350627137918814</v>
      </c>
      <c r="C37" s="24">
        <f t="shared" si="14"/>
        <v>1.4327683325108966</v>
      </c>
      <c r="D37" s="24">
        <f t="shared" si="14"/>
        <v>1.4294817726704392</v>
      </c>
      <c r="E37" s="24">
        <f t="shared" si="14"/>
        <v>1.4251791987140734</v>
      </c>
      <c r="F37" s="24">
        <f t="shared" si="14"/>
        <v>1.4198043956083275</v>
      </c>
      <c r="G37" s="24">
        <f t="shared" si="14"/>
        <v>1.4133095851128654</v>
      </c>
      <c r="H37" s="24">
        <f t="shared" si="14"/>
        <v>1.4056247073927759</v>
      </c>
      <c r="I37" s="24">
        <f t="shared" si="14"/>
        <v>1.3967186712558164</v>
      </c>
      <c r="J37" s="24">
        <f t="shared" si="14"/>
        <v>1.3865175368937275</v>
      </c>
      <c r="K37" s="25">
        <f t="shared" si="14"/>
        <v>1.3749759808738378</v>
      </c>
      <c r="N37" s="3996"/>
      <c r="O37" s="3998"/>
      <c r="Q37" s="62">
        <v>18</v>
      </c>
      <c r="R37" s="1043">
        <f>-SUM(B31:K31) - SUM(B63:I63)</f>
        <v>845.87212355789222</v>
      </c>
      <c r="S37" s="1043">
        <f>SUM(B32:K32) + SUM(B64:I64)+R37</f>
        <v>684107.60995588801</v>
      </c>
    </row>
    <row r="38" spans="1:19" ht="13.35" customHeight="1">
      <c r="A38" s="21" t="s">
        <v>752</v>
      </c>
      <c r="B38" s="265">
        <f t="shared" ref="B38:K38" si="15">IF(OR(B21="Choose mgt fee",B21="Choose One!"),"",(B14+B15+B16+B17+B18) / -(B20+B21+B22))</f>
        <v>1.4106181263157895</v>
      </c>
      <c r="C38" s="265">
        <f t="shared" si="15"/>
        <v>1.3984585842483293</v>
      </c>
      <c r="D38" s="265">
        <f t="shared" si="15"/>
        <v>1.3863845650446529</v>
      </c>
      <c r="E38" s="265">
        <f t="shared" si="15"/>
        <v>1.3744047894773574</v>
      </c>
      <c r="F38" s="265">
        <f t="shared" si="15"/>
        <v>1.3625160420947533</v>
      </c>
      <c r="G38" s="265">
        <f t="shared" si="15"/>
        <v>1.350718930692592</v>
      </c>
      <c r="H38" s="265">
        <f t="shared" si="15"/>
        <v>1.3390073234858977</v>
      </c>
      <c r="I38" s="265">
        <f t="shared" si="15"/>
        <v>1.3273886433384103</v>
      </c>
      <c r="J38" s="265">
        <f t="shared" si="15"/>
        <v>1.3158569598138175</v>
      </c>
      <c r="K38" s="266">
        <f t="shared" si="15"/>
        <v>1.3044159854491379</v>
      </c>
      <c r="N38" s="3996"/>
      <c r="O38" s="3998"/>
      <c r="Q38" s="929">
        <v>19</v>
      </c>
      <c r="R38" s="1043">
        <f>-SUM(B31:K31) - SUM(B63:J63)</f>
        <v>845.87212355789222</v>
      </c>
      <c r="S38" s="1043">
        <f>SUM(B32:K32) + SUM(B64:J64)+R38</f>
        <v>728931.35154974507</v>
      </c>
    </row>
    <row r="39" spans="1:19" ht="13.35" customHeight="1">
      <c r="A39" s="417" t="s">
        <v>2550</v>
      </c>
      <c r="B39" s="4115">
        <f>IF('Part III-Sources of Funds'!$I$38="","",-FV('Part III-Sources of Funds'!$K$38/12,12,B25/12,'Part III-Sources of Funds'!$I$38))</f>
        <v>917472.06799213053</v>
      </c>
      <c r="C39" s="4115">
        <f>IF('Part III-Sources of Funds'!$I$38="","",-FV('Part III-Sources of Funds'!$K$38/12,12,C25/12,B39))</f>
        <v>904237.46214464167</v>
      </c>
      <c r="D39" s="4115">
        <f>IF('Part III-Sources of Funds'!$I$38="","",-FV('Part III-Sources of Funds'!$K$38/12,12,D25/12,C39))</f>
        <v>890256.32049825008</v>
      </c>
      <c r="E39" s="4115">
        <f>IF('Part III-Sources of Funds'!$I$38="","",-FV('Part III-Sources of Funds'!$K$38/12,12,E25/12,D39))</f>
        <v>875486.53256583854</v>
      </c>
      <c r="F39" s="4115">
        <f>IF('Part III-Sources of Funds'!$I$38="","",-FV('Part III-Sources of Funds'!$K$38/12,12,F25/12,E39))</f>
        <v>859883.61249781155</v>
      </c>
      <c r="G39" s="4115">
        <f>IF('Part III-Sources of Funds'!$I$38="","",-FV('Part III-Sources of Funds'!$K$38/12,12,G25/12,F39))</f>
        <v>843400.56509298063</v>
      </c>
      <c r="H39" s="4115">
        <f>IF('Part III-Sources of Funds'!$I$38="","",-FV('Part III-Sources of Funds'!$K$38/12,12,H25/12,G39))</f>
        <v>825987.74425140978</v>
      </c>
      <c r="I39" s="4115">
        <f>IF('Part III-Sources of Funds'!$I$38="","",-FV('Part III-Sources of Funds'!$K$38/12,12,I25/12,H39))</f>
        <v>807592.70344288927</v>
      </c>
      <c r="J39" s="4115">
        <f>IF('Part III-Sources of Funds'!$I$38="","",-FV('Part III-Sources of Funds'!$K$38/12,12,J25/12,I39))</f>
        <v>788160.03774065548</v>
      </c>
      <c r="K39" s="4115">
        <f>IF('Part III-Sources of Funds'!$I$38="","",-FV('Part III-Sources of Funds'!$K$38/12,12,K25/12,J39))</f>
        <v>767631.21694457135</v>
      </c>
      <c r="N39" s="3996"/>
      <c r="O39" s="3998"/>
      <c r="Q39" s="929">
        <v>20</v>
      </c>
      <c r="R39" s="1043">
        <f>-SUM(B31:K31) - SUM(B63:K63)</f>
        <v>845.87212355789222</v>
      </c>
      <c r="S39" s="1043">
        <f>SUM(B32:K32) + SUM(B64:K64)+R39</f>
        <v>770661.11461172393</v>
      </c>
    </row>
    <row r="40" spans="1:19" ht="13.35" customHeight="1">
      <c r="A40" s="417" t="s">
        <v>2551</v>
      </c>
      <c r="B40" s="4110">
        <f>IF('Part III-Sources of Funds'!$I$39="","",-FV('Part III-Sources of Funds'!$K$39/12,12,B26/12,'Part III-Sources of Funds'!$I$39))</f>
        <v>596628.12390497513</v>
      </c>
      <c r="C40" s="4110">
        <f>IF('Part III-Sources of Funds'!$I$39="","",-FV('Part III-Sources of Funds'!$K$39/12,12,C26/12,B40))</f>
        <v>567971.22505240364</v>
      </c>
      <c r="D40" s="4110">
        <f>IF('Part III-Sources of Funds'!$I$39="","",-FV('Part III-Sources of Funds'!$K$39/12,12,D26/12,C40))</f>
        <v>539026.4401148113</v>
      </c>
      <c r="E40" s="4110">
        <f>IF('Part III-Sources of Funds'!$I$39="","",-FV('Part III-Sources of Funds'!$K$39/12,12,E26/12,D40))</f>
        <v>509790.87699984806</v>
      </c>
      <c r="F40" s="4110">
        <f>IF('Part III-Sources of Funds'!$I$39="","",-FV('Part III-Sources of Funds'!$K$39/12,12,F26/12,E40))</f>
        <v>480261.61456131726</v>
      </c>
      <c r="G40" s="4110">
        <f>IF('Part III-Sources of Funds'!$I$39="","",-FV('Part III-Sources of Funds'!$K$39/12,12,G26/12,F40))</f>
        <v>450435.70230730169</v>
      </c>
      <c r="H40" s="4110">
        <f>IF('Part III-Sources of Funds'!$I$39="","",-FV('Part III-Sources of Funds'!$K$39/12,12,H26/12,G40))</f>
        <v>420310.16010535776</v>
      </c>
      <c r="I40" s="4110">
        <f>IF('Part III-Sources of Funds'!$I$39="","",-FV('Part III-Sources of Funds'!$K$39/12,12,I26/12,H40))</f>
        <v>389881.97788474802</v>
      </c>
      <c r="J40" s="4110">
        <f>IF('Part III-Sources of Funds'!$I$39="","",-FV('Part III-Sources of Funds'!$K$39/12,12,J26/12,I40))</f>
        <v>359148.11533568206</v>
      </c>
      <c r="K40" s="4110">
        <f>IF('Part III-Sources of Funds'!$I$39="","",-FV('Part III-Sources of Funds'!$K$39/12,12,K26/12,J40))</f>
        <v>328105.50160553609</v>
      </c>
      <c r="N40" s="3996"/>
      <c r="O40" s="3998"/>
    </row>
    <row r="41" spans="1:19" ht="13.35" customHeight="1">
      <c r="A41" s="417" t="s">
        <v>2552</v>
      </c>
      <c r="B41" s="4110" t="str">
        <f>IF('Part III-Sources of Funds'!$I$40="","",-FV('Part III-Sources of Funds'!$K$40/12,12,B27/12,'Part III-Sources of Funds'!$I$40))</f>
        <v/>
      </c>
      <c r="C41" s="4110" t="str">
        <f>IF('Part III-Sources of Funds'!$I$40="","",-FV('Part III-Sources of Funds'!$K$40/12,12,C27/12,B41))</f>
        <v/>
      </c>
      <c r="D41" s="4110" t="str">
        <f>IF('Part III-Sources of Funds'!$I$40="","",-FV('Part III-Sources of Funds'!$K$40/12,12,D27/12,C41))</f>
        <v/>
      </c>
      <c r="E41" s="4110" t="str">
        <f>IF('Part III-Sources of Funds'!$I$40="","",-FV('Part III-Sources of Funds'!$K$40/12,12,E27/12,D41))</f>
        <v/>
      </c>
      <c r="F41" s="4110" t="str">
        <f>IF('Part III-Sources of Funds'!$I$40="","",-FV('Part III-Sources of Funds'!$K$40/12,12,F27/12,E41))</f>
        <v/>
      </c>
      <c r="G41" s="4110" t="str">
        <f>IF('Part III-Sources of Funds'!$I$40="","",-FV('Part III-Sources of Funds'!$K$40/12,12,G27/12,F41))</f>
        <v/>
      </c>
      <c r="H41" s="4110" t="str">
        <f>IF('Part III-Sources of Funds'!$I$40="","",-FV('Part III-Sources of Funds'!$K$40/12,12,H27/12,G41))</f>
        <v/>
      </c>
      <c r="I41" s="4110" t="str">
        <f>IF('Part III-Sources of Funds'!$I$40="","",-FV('Part III-Sources of Funds'!$K$40/12,12,I27/12,H41))</f>
        <v/>
      </c>
      <c r="J41" s="4110" t="str">
        <f>IF('Part III-Sources of Funds'!$I$40="","",-FV('Part III-Sources of Funds'!$K$40/12,12,J27/12,I41))</f>
        <v/>
      </c>
      <c r="K41" s="4110" t="str">
        <f>IF('Part III-Sources of Funds'!$I$40="","",-FV('Part III-Sources of Funds'!$K$40/12,12,K27/12,J41))</f>
        <v/>
      </c>
      <c r="N41" s="3996"/>
      <c r="O41" s="3998"/>
    </row>
    <row r="42" spans="1:19" ht="13.35" customHeight="1">
      <c r="A42" s="21" t="s">
        <v>764</v>
      </c>
      <c r="B42" s="4110" t="str">
        <f>IF('Part III-Sources of Funds'!$I$41="","",-FV('Part III-Sources of Funds'!$K$41/12,12,B28/12,'Part III-Sources of Funds'!$I$41))</f>
        <v/>
      </c>
      <c r="C42" s="4110" t="str">
        <f>IF('Part III-Sources of Funds'!$I$41="","",-FV('Part III-Sources of Funds'!$K$41/12,12,C28/12,B42))</f>
        <v/>
      </c>
      <c r="D42" s="4110" t="str">
        <f>IF('Part III-Sources of Funds'!$I$41="","",-FV('Part III-Sources of Funds'!$K$41/12,12,D28/12,C42))</f>
        <v/>
      </c>
      <c r="E42" s="4110" t="str">
        <f>IF('Part III-Sources of Funds'!$I$41="","",-FV('Part III-Sources of Funds'!$K$41/12,12,E28/12,D42))</f>
        <v/>
      </c>
      <c r="F42" s="4110" t="str">
        <f>IF('Part III-Sources of Funds'!$I$41="","",-FV('Part III-Sources of Funds'!$K$41/12,12,F28/12,E42))</f>
        <v/>
      </c>
      <c r="G42" s="4110" t="str">
        <f>IF('Part III-Sources of Funds'!$I$41="","",-FV('Part III-Sources of Funds'!$K$41/12,12,G28/12,F42))</f>
        <v/>
      </c>
      <c r="H42" s="4110" t="str">
        <f>IF('Part III-Sources of Funds'!$I$41="","",-FV('Part III-Sources of Funds'!$K$41/12,12,H28/12,G42))</f>
        <v/>
      </c>
      <c r="I42" s="4110" t="str">
        <f>IF('Part III-Sources of Funds'!$I$41="","",-FV('Part III-Sources of Funds'!$K$41/12,12,I28/12,H42))</f>
        <v/>
      </c>
      <c r="J42" s="4110" t="str">
        <f>IF('Part III-Sources of Funds'!$I$41="","",-FV('Part III-Sources of Funds'!$K$41/12,12,J28/12,I42))</f>
        <v/>
      </c>
      <c r="K42" s="4110" t="str">
        <f>IF('Part III-Sources of Funds'!$I$41="","",-FV('Part III-Sources of Funds'!$K$41/12,12,K28/12,J42))</f>
        <v/>
      </c>
      <c r="N42" s="3996"/>
      <c r="O42" s="3998"/>
    </row>
    <row r="43" spans="1:19" ht="13.35" customHeight="1">
      <c r="A43" s="417" t="s">
        <v>3770</v>
      </c>
      <c r="B43" s="4114">
        <f>IF('Part III-Sources of Funds'!$I$43="","",-FV('Part III-Sources of Funds'!$K$43/12,12,B31/12,'Part III-Sources of Funds'!$I$43))</f>
        <v>666.44361499861554</v>
      </c>
      <c r="C43" s="4114">
        <f>IF('Part III-Sources of Funds'!$I$43="","",IF(-FV('Part III-Sources of Funds'!$K$43/12,12,C31/12,B43)&gt;0,-FV('Part III-Sources of Funds'!$K$43/12,12,C31/12,B43),0))</f>
        <v>600.95410172945071</v>
      </c>
      <c r="D43" s="4114">
        <f>IF('Part III-Sources of Funds'!$I$43="","",IF(-FV('Part III-Sources of Funds'!$K$43/12,12,D31/12,C43)&gt;0,-FV('Part III-Sources of Funds'!$K$43/12,12,D31/12,C43),0))</f>
        <v>533.47266224640452</v>
      </c>
      <c r="E43" s="4114">
        <f>IF('Part III-Sources of Funds'!$I$43="","",IF(-FV('Part III-Sources of Funds'!$K$43/12,12,E31/12,D43)&gt;0,-FV('Part III-Sources of Funds'!$K$43/12,12,E31/12,D43),0))</f>
        <v>463.93871020758058</v>
      </c>
      <c r="F43" s="4114">
        <f>IF('Part III-Sources of Funds'!$I$43="","",IF(-FV('Part III-Sources of Funds'!$K$43/12,12,F31/12,E43)&gt;0,-FV('Part III-Sources of Funds'!$K$43/12,12,F31/12,E43),0))</f>
        <v>392.28981647951792</v>
      </c>
      <c r="G43" s="4114">
        <f>IF('Part III-Sources of Funds'!$I$43="","",IF(-FV('Part III-Sources of Funds'!$K$43/12,12,G31/12,F43)&gt;0,-FV('Part III-Sources of Funds'!$K$43/12,12,G31/12,F43),0))</f>
        <v>318.46165308692207</v>
      </c>
      <c r="H43" s="4114">
        <f>IF('Part III-Sources of Funds'!$I$43="","",IF(-FV('Part III-Sources of Funds'!$K$43/12,12,H31/12,G43)&gt;0,-FV('Part III-Sources of Funds'!$K$43/12,12,H31/12,G43),0))</f>
        <v>242.38793545757369</v>
      </c>
      <c r="I43" s="4114">
        <f>IF('Part III-Sources of Funds'!$I$43="","",IF(-FV('Part III-Sources of Funds'!$K$43/12,12,I31/12,H43)&gt;0,-FV('Part III-Sources of Funds'!$K$43/12,12,I31/12,H43),0))</f>
        <v>164.0003629105608</v>
      </c>
      <c r="J43" s="4114">
        <f>IF('Part III-Sources of Funds'!$I$43="","",IF(-FV('Part III-Sources of Funds'!$K$43/12,12,J31/12,I43)&gt;0,-FV('Part III-Sources of Funds'!$K$43/12,12,J31/12,I43),0))</f>
        <v>83.228557334403561</v>
      </c>
      <c r="K43" s="4114">
        <f>IF('Part III-Sources of Funds'!$I$43="","",IF(-FV('Part III-Sources of Funds'!$K$43/12,12,K31/12,J43)&gt;0,-FV('Part III-Sources of Funds'!$K$43/12,12,K31/12,J43),0))</f>
        <v>1.5788259588589426E-11</v>
      </c>
      <c r="N43" s="4027"/>
      <c r="O43" s="4029"/>
    </row>
    <row r="44" spans="1:19" ht="4.3499999999999996" customHeight="1">
      <c r="B44" s="17"/>
      <c r="C44" s="17"/>
      <c r="D44" s="17"/>
      <c r="E44" s="17"/>
      <c r="F44" s="17"/>
      <c r="G44" s="17"/>
      <c r="H44" s="17"/>
      <c r="I44" s="17"/>
      <c r="J44" s="17"/>
      <c r="K44" s="17"/>
    </row>
    <row r="45" spans="1:19" ht="14.4" customHeight="1">
      <c r="A45" s="13" t="s">
        <v>2416</v>
      </c>
      <c r="B45" s="15">
        <f>K13+1</f>
        <v>11</v>
      </c>
      <c r="C45" s="15">
        <f t="shared" ref="C45:K45" si="16">B45+1</f>
        <v>12</v>
      </c>
      <c r="D45" s="15">
        <f t="shared" si="16"/>
        <v>13</v>
      </c>
      <c r="E45" s="15">
        <f t="shared" si="16"/>
        <v>14</v>
      </c>
      <c r="F45" s="15">
        <f t="shared" si="16"/>
        <v>15</v>
      </c>
      <c r="G45" s="15">
        <f t="shared" si="16"/>
        <v>16</v>
      </c>
      <c r="H45" s="15">
        <f t="shared" si="16"/>
        <v>17</v>
      </c>
      <c r="I45" s="15">
        <f t="shared" si="16"/>
        <v>18</v>
      </c>
      <c r="J45" s="15">
        <f t="shared" si="16"/>
        <v>19</v>
      </c>
      <c r="K45" s="15">
        <f t="shared" si="16"/>
        <v>20</v>
      </c>
      <c r="N45" s="2509" t="s">
        <v>2554</v>
      </c>
      <c r="O45" s="2509"/>
    </row>
    <row r="46" spans="1:19" ht="13.35" customHeight="1">
      <c r="A46" s="18" t="s">
        <v>2342</v>
      </c>
      <c r="B46" s="19">
        <f t="shared" ref="B46:K46" si="17">$B$14*(1+$B$5)^(B45-1)</f>
        <v>619946.43016557361</v>
      </c>
      <c r="C46" s="19">
        <f t="shared" si="17"/>
        <v>632345.35876888491</v>
      </c>
      <c r="D46" s="19">
        <f t="shared" si="17"/>
        <v>644992.26594426273</v>
      </c>
      <c r="E46" s="19">
        <f t="shared" si="17"/>
        <v>657892.11126314802</v>
      </c>
      <c r="F46" s="19">
        <f t="shared" si="17"/>
        <v>671049.95348841103</v>
      </c>
      <c r="G46" s="19">
        <f t="shared" si="17"/>
        <v>684470.95255817904</v>
      </c>
      <c r="H46" s="19">
        <f t="shared" si="17"/>
        <v>698160.37160934275</v>
      </c>
      <c r="I46" s="19">
        <f t="shared" si="17"/>
        <v>712123.57904152968</v>
      </c>
      <c r="J46" s="19">
        <f t="shared" si="17"/>
        <v>726366.0506223602</v>
      </c>
      <c r="K46" s="20">
        <f t="shared" si="17"/>
        <v>740893.37163480732</v>
      </c>
      <c r="N46" s="4034"/>
      <c r="O46" s="4036"/>
    </row>
    <row r="47" spans="1:19" ht="13.35" customHeight="1">
      <c r="A47" s="21" t="s">
        <v>994</v>
      </c>
      <c r="B47" s="22">
        <f t="shared" ref="B47:K47" si="18">$B$15*(1+$B$5)^(B45-1)</f>
        <v>12398.928603311473</v>
      </c>
      <c r="C47" s="22">
        <f t="shared" si="18"/>
        <v>12646.907175377701</v>
      </c>
      <c r="D47" s="22">
        <f t="shared" si="18"/>
        <v>12899.845318885256</v>
      </c>
      <c r="E47" s="22">
        <f t="shared" si="18"/>
        <v>13157.842225262961</v>
      </c>
      <c r="F47" s="22">
        <f t="shared" si="18"/>
        <v>13420.999069768221</v>
      </c>
      <c r="G47" s="22">
        <f t="shared" si="18"/>
        <v>13689.419051163582</v>
      </c>
      <c r="H47" s="22">
        <f t="shared" si="18"/>
        <v>13963.207432186855</v>
      </c>
      <c r="I47" s="22">
        <f t="shared" si="18"/>
        <v>14242.471580830594</v>
      </c>
      <c r="J47" s="22">
        <f t="shared" si="18"/>
        <v>14527.321012447204</v>
      </c>
      <c r="K47" s="23">
        <f t="shared" si="18"/>
        <v>14817.867432696148</v>
      </c>
      <c r="N47" s="3996"/>
      <c r="O47" s="3998"/>
    </row>
    <row r="48" spans="1:19" ht="13.35" customHeight="1">
      <c r="A48" s="21" t="s">
        <v>2343</v>
      </c>
      <c r="B48" s="22">
        <f t="shared" ref="B48:K48" si="19">-(B46+B47)*$B$8</f>
        <v>-44264.175113821955</v>
      </c>
      <c r="C48" s="22">
        <f t="shared" si="19"/>
        <v>-45149.458616098389</v>
      </c>
      <c r="D48" s="22">
        <f t="shared" si="19"/>
        <v>-46052.447788420366</v>
      </c>
      <c r="E48" s="22">
        <f t="shared" si="19"/>
        <v>-46973.496744188778</v>
      </c>
      <c r="F48" s="22">
        <f t="shared" si="19"/>
        <v>-47912.966679072553</v>
      </c>
      <c r="G48" s="22">
        <f t="shared" si="19"/>
        <v>-48871.226012653991</v>
      </c>
      <c r="H48" s="22">
        <f t="shared" si="19"/>
        <v>-49848.650532907071</v>
      </c>
      <c r="I48" s="22">
        <f t="shared" si="19"/>
        <v>-50845.623543565227</v>
      </c>
      <c r="J48" s="22">
        <f t="shared" si="19"/>
        <v>-51862.536014436526</v>
      </c>
      <c r="K48" s="23">
        <f t="shared" si="19"/>
        <v>-52899.786734725247</v>
      </c>
      <c r="N48" s="3996"/>
      <c r="O48" s="3998"/>
    </row>
    <row r="49" spans="1:19" ht="13.35" customHeight="1">
      <c r="A49" s="21" t="s">
        <v>50</v>
      </c>
      <c r="B49" s="22">
        <f>'Part VI-Revenues &amp; Expenses'!H193</f>
        <v>0</v>
      </c>
      <c r="C49" s="22">
        <f>'Part VI-Revenues &amp; Expenses'!I193</f>
        <v>0</v>
      </c>
      <c r="D49" s="22">
        <f>'Part VI-Revenues &amp; Expenses'!J193</f>
        <v>0</v>
      </c>
      <c r="E49" s="22">
        <f>'Part VI-Revenues &amp; Expenses'!K193</f>
        <v>0</v>
      </c>
      <c r="F49" s="22">
        <f>'Part VI-Revenues &amp; Expenses'!L193</f>
        <v>0</v>
      </c>
      <c r="G49" s="22">
        <f>'Part VI-Revenues &amp; Expenses'!M193</f>
        <v>0</v>
      </c>
      <c r="H49" s="22">
        <f>'Part VI-Revenues &amp; Expenses'!N193</f>
        <v>0</v>
      </c>
      <c r="I49" s="22">
        <f>'Part VI-Revenues &amp; Expenses'!O193</f>
        <v>0</v>
      </c>
      <c r="J49" s="22">
        <f>'Part VI-Revenues &amp; Expenses'!P193</f>
        <v>0</v>
      </c>
      <c r="K49" s="23">
        <f>'Part VI-Revenues &amp; Expenses'!Q193</f>
        <v>0</v>
      </c>
      <c r="N49" s="3996"/>
      <c r="O49" s="3998"/>
    </row>
    <row r="50" spans="1:19" ht="13.35" customHeight="1">
      <c r="A50" s="21" t="s">
        <v>51</v>
      </c>
      <c r="B50" s="22">
        <f>'Part VI-Revenues &amp; Expenses'!H197</f>
        <v>0</v>
      </c>
      <c r="C50" s="22">
        <f>'Part VI-Revenues &amp; Expenses'!I197</f>
        <v>0</v>
      </c>
      <c r="D50" s="22">
        <f>'Part VI-Revenues &amp; Expenses'!J197</f>
        <v>0</v>
      </c>
      <c r="E50" s="22">
        <f>'Part VI-Revenues &amp; Expenses'!K197</f>
        <v>0</v>
      </c>
      <c r="F50" s="22">
        <f>'Part VI-Revenues &amp; Expenses'!L197</f>
        <v>0</v>
      </c>
      <c r="G50" s="22">
        <f>'Part VI-Revenues &amp; Expenses'!M197</f>
        <v>0</v>
      </c>
      <c r="H50" s="22">
        <f>'Part VI-Revenues &amp; Expenses'!N197</f>
        <v>0</v>
      </c>
      <c r="I50" s="22">
        <f>'Part VI-Revenues &amp; Expenses'!O197</f>
        <v>0</v>
      </c>
      <c r="J50" s="22">
        <f>'Part VI-Revenues &amp; Expenses'!P197</f>
        <v>0</v>
      </c>
      <c r="K50" s="23">
        <f>'Part VI-Revenues &amp; Expenses'!Q197</f>
        <v>0</v>
      </c>
      <c r="N50" s="3996"/>
      <c r="O50" s="3998"/>
    </row>
    <row r="51" spans="1:19" ht="13.35" customHeight="1">
      <c r="A51" s="417" t="s">
        <v>4376</v>
      </c>
      <c r="B51" s="22">
        <f t="shared" ref="B51:K51" si="20">SUM(B46:B50)</f>
        <v>588081.18365506304</v>
      </c>
      <c r="C51" s="22">
        <f t="shared" si="20"/>
        <v>599842.80732816423</v>
      </c>
      <c r="D51" s="22">
        <f t="shared" si="20"/>
        <v>611839.66347472765</v>
      </c>
      <c r="E51" s="22">
        <f t="shared" si="20"/>
        <v>624076.4567442222</v>
      </c>
      <c r="F51" s="22">
        <f t="shared" si="20"/>
        <v>636557.98587910668</v>
      </c>
      <c r="G51" s="22">
        <f t="shared" si="20"/>
        <v>649289.14559668861</v>
      </c>
      <c r="H51" s="22">
        <f t="shared" si="20"/>
        <v>662274.92850862246</v>
      </c>
      <c r="I51" s="22">
        <f t="shared" si="20"/>
        <v>675520.42707879504</v>
      </c>
      <c r="J51" s="22">
        <f t="shared" si="20"/>
        <v>689030.83562037093</v>
      </c>
      <c r="K51" s="23">
        <f t="shared" si="20"/>
        <v>702811.45233277825</v>
      </c>
      <c r="N51" s="3996"/>
      <c r="O51" s="3998"/>
    </row>
    <row r="52" spans="1:19" ht="13.35" customHeight="1">
      <c r="A52" s="21" t="s">
        <v>597</v>
      </c>
      <c r="B52" s="22">
        <f t="shared" ref="B52:K52" si="21">$B$20*(1+$B$6)^(B45-1)</f>
        <v>-383560.45424670907</v>
      </c>
      <c r="C52" s="22">
        <f t="shared" si="21"/>
        <v>-395067.26787411037</v>
      </c>
      <c r="D52" s="22">
        <f t="shared" si="21"/>
        <v>-406919.28591033362</v>
      </c>
      <c r="E52" s="22">
        <f t="shared" si="21"/>
        <v>-419126.86448764359</v>
      </c>
      <c r="F52" s="22">
        <f t="shared" si="21"/>
        <v>-431700.67042227293</v>
      </c>
      <c r="G52" s="22">
        <f t="shared" si="21"/>
        <v>-444651.69053494115</v>
      </c>
      <c r="H52" s="22">
        <f t="shared" si="21"/>
        <v>-457991.24125098932</v>
      </c>
      <c r="I52" s="22">
        <f t="shared" si="21"/>
        <v>-471730.97848851903</v>
      </c>
      <c r="J52" s="22">
        <f t="shared" si="21"/>
        <v>-485882.90784317459</v>
      </c>
      <c r="K52" s="23">
        <f t="shared" si="21"/>
        <v>-500459.39507846982</v>
      </c>
      <c r="N52" s="3996"/>
      <c r="O52" s="3998"/>
    </row>
    <row r="53" spans="1:19" ht="13.35" customHeight="1">
      <c r="A53" s="21" t="s">
        <v>1093</v>
      </c>
      <c r="B53" s="22">
        <f>IF(AND('Part VII-Pro Forma'!$G$8="Yes",'Part VII-Pro Forma'!$G$9="Yes"),"Choose One!",IF('Part VII-Pro Forma'!$G$8="Yes",ROUND((-$K$8*(1+'Part VII-Pro Forma'!$B$6)^('Part VII-Pro Forma'!B45-1)),),IF('Part VII-Pro Forma'!$G$9="Yes",ROUND((-(SUM(B46:B49)*'Part VII-Pro Forma'!$K$9)),),"Choose mgt fee")))</f>
        <v>-47046</v>
      </c>
      <c r="C53" s="22">
        <f>IF(AND('Part VII-Pro Forma'!$G$8="Yes",'Part VII-Pro Forma'!$G$9="Yes"),"Choose One!",IF('Part VII-Pro Forma'!$G$8="Yes",ROUND((-$K$8*(1+'Part VII-Pro Forma'!$B$6)^('Part VII-Pro Forma'!C45-1)),),IF('Part VII-Pro Forma'!$G$9="Yes",ROUND((-(SUM(C46:C49)*'Part VII-Pro Forma'!$K$9)),),"Choose mgt fee")))</f>
        <v>-47987</v>
      </c>
      <c r="D53" s="22">
        <f>IF(AND('Part VII-Pro Forma'!$G$8="Yes",'Part VII-Pro Forma'!$G$9="Yes"),"Choose One!",IF('Part VII-Pro Forma'!$G$8="Yes",ROUND((-$K$8*(1+'Part VII-Pro Forma'!$B$6)^('Part VII-Pro Forma'!D45-1)),),IF('Part VII-Pro Forma'!$G$9="Yes",ROUND((-(SUM(D46:D49)*'Part VII-Pro Forma'!$K$9)),),"Choose mgt fee")))</f>
        <v>-48947</v>
      </c>
      <c r="E53" s="22">
        <f>IF(AND('Part VII-Pro Forma'!$G$8="Yes",'Part VII-Pro Forma'!$G$9="Yes"),"Choose One!",IF('Part VII-Pro Forma'!$G$8="Yes",ROUND((-$K$8*(1+'Part VII-Pro Forma'!$B$6)^('Part VII-Pro Forma'!E45-1)),),IF('Part VII-Pro Forma'!$G$9="Yes",ROUND((-(SUM(E46:E49)*'Part VII-Pro Forma'!$K$9)),),"Choose mgt fee")))</f>
        <v>-49926</v>
      </c>
      <c r="F53" s="22">
        <f>IF(AND('Part VII-Pro Forma'!$G$8="Yes",'Part VII-Pro Forma'!$G$9="Yes"),"Choose One!",IF('Part VII-Pro Forma'!$G$8="Yes",ROUND((-$K$8*(1+'Part VII-Pro Forma'!$B$6)^('Part VII-Pro Forma'!F45-1)),),IF('Part VII-Pro Forma'!$G$9="Yes",ROUND((-(SUM(F46:F49)*'Part VII-Pro Forma'!$K$9)),),"Choose mgt fee")))</f>
        <v>-50925</v>
      </c>
      <c r="G53" s="22">
        <f>IF(AND('Part VII-Pro Forma'!$G$8="Yes",'Part VII-Pro Forma'!$G$9="Yes"),"Choose One!",IF('Part VII-Pro Forma'!$G$8="Yes",ROUND((-$K$8*(1+'Part VII-Pro Forma'!$B$6)^('Part VII-Pro Forma'!G45-1)),),IF('Part VII-Pro Forma'!$G$9="Yes",ROUND((-(SUM(G46:G49)*'Part VII-Pro Forma'!$K$9)),),"Choose mgt fee")))</f>
        <v>-51943</v>
      </c>
      <c r="H53" s="22">
        <f>IF(AND('Part VII-Pro Forma'!$G$8="Yes",'Part VII-Pro Forma'!$G$9="Yes"),"Choose One!",IF('Part VII-Pro Forma'!$G$8="Yes",ROUND((-$K$8*(1+'Part VII-Pro Forma'!$B$6)^('Part VII-Pro Forma'!H45-1)),),IF('Part VII-Pro Forma'!$G$9="Yes",ROUND((-(SUM(H46:H49)*'Part VII-Pro Forma'!$K$9)),),"Choose mgt fee")))</f>
        <v>-52982</v>
      </c>
      <c r="I53" s="22">
        <f>IF(AND('Part VII-Pro Forma'!$G$8="Yes",'Part VII-Pro Forma'!$G$9="Yes"),"Choose One!",IF('Part VII-Pro Forma'!$G$8="Yes",ROUND((-$K$8*(1+'Part VII-Pro Forma'!$B$6)^('Part VII-Pro Forma'!I45-1)),),IF('Part VII-Pro Forma'!$G$9="Yes",ROUND((-(SUM(I46:I49)*'Part VII-Pro Forma'!$K$9)),),"Choose mgt fee")))</f>
        <v>-54042</v>
      </c>
      <c r="J53" s="22">
        <f>IF(AND('Part VII-Pro Forma'!$G$8="Yes",'Part VII-Pro Forma'!$G$9="Yes"),"Choose One!",IF('Part VII-Pro Forma'!$G$8="Yes",ROUND((-$K$8*(1+'Part VII-Pro Forma'!$B$6)^('Part VII-Pro Forma'!J45-1)),),IF('Part VII-Pro Forma'!$G$9="Yes",ROUND((-(SUM(J46:J49)*'Part VII-Pro Forma'!$K$9)),),"Choose mgt fee")))</f>
        <v>-55122</v>
      </c>
      <c r="K53" s="23">
        <f>IF(AND('Part VII-Pro Forma'!$G$8="Yes",'Part VII-Pro Forma'!$G$9="Yes"),"Choose One!",IF('Part VII-Pro Forma'!$G$8="Yes",ROUND((-$K$8*(1+'Part VII-Pro Forma'!$B$6)^('Part VII-Pro Forma'!K45-1)),),IF('Part VII-Pro Forma'!$G$9="Yes",ROUND((-(SUM(K46:K49)*'Part VII-Pro Forma'!$K$9)),),"Choose mgt fee")))</f>
        <v>-56225</v>
      </c>
      <c r="N53" s="3996"/>
      <c r="O53" s="3998"/>
    </row>
    <row r="54" spans="1:19" ht="13.35" customHeight="1">
      <c r="A54" s="21" t="s">
        <v>1176</v>
      </c>
      <c r="B54" s="22">
        <f t="shared" ref="B54:K54" si="22">$B$22*(1+$B$7)^(B45-1)</f>
        <v>-24190.494828194191</v>
      </c>
      <c r="C54" s="22">
        <f t="shared" si="22"/>
        <v>-24916.209673040019</v>
      </c>
      <c r="D54" s="22">
        <f t="shared" si="22"/>
        <v>-25663.695963231214</v>
      </c>
      <c r="E54" s="22">
        <f t="shared" si="22"/>
        <v>-26433.606842128149</v>
      </c>
      <c r="F54" s="22">
        <f t="shared" si="22"/>
        <v>-27226.615047391999</v>
      </c>
      <c r="G54" s="22">
        <f t="shared" si="22"/>
        <v>-28043.413498813759</v>
      </c>
      <c r="H54" s="22">
        <f t="shared" si="22"/>
        <v>-28884.715903778168</v>
      </c>
      <c r="I54" s="22">
        <f t="shared" si="22"/>
        <v>-29751.257380891511</v>
      </c>
      <c r="J54" s="22">
        <f t="shared" si="22"/>
        <v>-30643.795102318258</v>
      </c>
      <c r="K54" s="23">
        <f t="shared" si="22"/>
        <v>-31563.108955387805</v>
      </c>
      <c r="N54" s="3996"/>
      <c r="O54" s="3998"/>
      <c r="Q54" s="929">
        <v>10</v>
      </c>
      <c r="R54" s="1043">
        <f>-SUM(B60:K60)</f>
        <v>0</v>
      </c>
      <c r="S54" s="1043">
        <f>SUM(B61:K61)+R54</f>
        <v>0</v>
      </c>
    </row>
    <row r="55" spans="1:19" ht="13.35" customHeight="1">
      <c r="A55" s="417" t="s">
        <v>4375</v>
      </c>
      <c r="B55" s="4108">
        <f>IF(B45&lt;=+'Part VI-Revenues &amp; Expenses'!$N$250,-'Part VI-Revenues &amp; Expenses'!$K$250,0)</f>
        <v>0</v>
      </c>
      <c r="C55" s="4108">
        <f>IF(C45&lt;=+'Part VI-Revenues &amp; Expenses'!$N$250,-'Part VI-Revenues &amp; Expenses'!$K$250,0)</f>
        <v>0</v>
      </c>
      <c r="D55" s="4108">
        <f>IF(D45&lt;=+'Part VI-Revenues &amp; Expenses'!$N$250,-'Part VI-Revenues &amp; Expenses'!$K$250,0)</f>
        <v>0</v>
      </c>
      <c r="E55" s="4108">
        <f>IF(E45&lt;=+'Part VI-Revenues &amp; Expenses'!$N$250,-'Part VI-Revenues &amp; Expenses'!$K$250,0)</f>
        <v>0</v>
      </c>
      <c r="F55" s="4108">
        <f>IF(F45&lt;=+'Part VI-Revenues &amp; Expenses'!$N$250,-'Part VI-Revenues &amp; Expenses'!$K$250,0)</f>
        <v>0</v>
      </c>
      <c r="G55" s="4108">
        <f>IF(G45&lt;=+'Part VI-Revenues &amp; Expenses'!$N$250,-'Part VI-Revenues &amp; Expenses'!$K$250,0)</f>
        <v>0</v>
      </c>
      <c r="H55" s="4108">
        <f>IF(H45&lt;=+'Part VI-Revenues &amp; Expenses'!$N$250,-'Part VI-Revenues &amp; Expenses'!$K$250,0)</f>
        <v>0</v>
      </c>
      <c r="I55" s="4108">
        <f>IF(I45&lt;=+'Part VI-Revenues &amp; Expenses'!$N$250,-'Part VI-Revenues &amp; Expenses'!$K$250,0)</f>
        <v>0</v>
      </c>
      <c r="J55" s="4108">
        <f>IF(J45&lt;=+'Part VI-Revenues &amp; Expenses'!$N$250,-'Part VI-Revenues &amp; Expenses'!$K$250,0)</f>
        <v>0</v>
      </c>
      <c r="K55" s="4108">
        <f>IF(K45&lt;=+'Part VI-Revenues &amp; Expenses'!$N$250,-'Part VI-Revenues &amp; Expenses'!$K$250,0)</f>
        <v>0</v>
      </c>
      <c r="N55" s="3996"/>
      <c r="O55" s="3998"/>
    </row>
    <row r="56" spans="1:19" ht="13.35" customHeight="1">
      <c r="A56" s="21" t="s">
        <v>1177</v>
      </c>
      <c r="B56" s="22">
        <f t="shared" ref="B56:K56" si="23">SUM(B51:B55)</f>
        <v>133284.23458015977</v>
      </c>
      <c r="C56" s="22">
        <f t="shared" si="23"/>
        <v>131872.32978101383</v>
      </c>
      <c r="D56" s="22">
        <f t="shared" si="23"/>
        <v>130309.68160116283</v>
      </c>
      <c r="E56" s="22">
        <f t="shared" si="23"/>
        <v>128589.98541445046</v>
      </c>
      <c r="F56" s="22">
        <f t="shared" si="23"/>
        <v>126705.70040944175</v>
      </c>
      <c r="G56" s="22">
        <f t="shared" si="23"/>
        <v>124651.04156293371</v>
      </c>
      <c r="H56" s="22">
        <f t="shared" si="23"/>
        <v>122416.97135385497</v>
      </c>
      <c r="I56" s="22">
        <f t="shared" si="23"/>
        <v>119996.1912093845</v>
      </c>
      <c r="J56" s="22">
        <f t="shared" si="23"/>
        <v>117382.13267487808</v>
      </c>
      <c r="K56" s="1482">
        <f t="shared" si="23"/>
        <v>114563.94829892062</v>
      </c>
      <c r="N56" s="3996"/>
      <c r="O56" s="3998"/>
    </row>
    <row r="57" spans="1:19" ht="13.35" customHeight="1">
      <c r="A57" s="21" t="str">
        <f>$A25</f>
        <v>Mortgage A</v>
      </c>
      <c r="B57" s="4109">
        <f>IF('Part III-Sources of Funds'!$P$38="", 0,-'Part III-Sources of Funds'!$P$38)</f>
        <v>-63365.252550325516</v>
      </c>
      <c r="C57" s="4109">
        <f>IF('Part III-Sources of Funds'!$P$38="", 0,-'Part III-Sources of Funds'!$P$38)</f>
        <v>-63365.252550325516</v>
      </c>
      <c r="D57" s="4109">
        <f>IF('Part III-Sources of Funds'!$P$38="", 0,-'Part III-Sources of Funds'!$P$38)</f>
        <v>-63365.252550325516</v>
      </c>
      <c r="E57" s="4109">
        <f>IF('Part III-Sources of Funds'!$P$38="", 0,-'Part III-Sources of Funds'!$P$38)</f>
        <v>-63365.252550325516</v>
      </c>
      <c r="F57" s="4109">
        <f>IF('Part III-Sources of Funds'!$P$38="", 0,-'Part III-Sources of Funds'!$P$38)</f>
        <v>-63365.252550325516</v>
      </c>
      <c r="G57" s="4109">
        <f>IF('Part III-Sources of Funds'!$P$38="", 0,-'Part III-Sources of Funds'!$P$38)</f>
        <v>-63365.252550325516</v>
      </c>
      <c r="H57" s="4109">
        <f>IF('Part III-Sources of Funds'!$P$38="", 0,-'Part III-Sources of Funds'!$P$38)</f>
        <v>-63365.252550325516</v>
      </c>
      <c r="I57" s="4109">
        <f>IF('Part III-Sources of Funds'!$P$38="", 0,-'Part III-Sources of Funds'!$P$38)</f>
        <v>-63365.252550325516</v>
      </c>
      <c r="J57" s="4109">
        <f>IF('Part III-Sources of Funds'!$P$38="", 0,-'Part III-Sources of Funds'!$P$38)</f>
        <v>-63365.252550325516</v>
      </c>
      <c r="K57" s="4109">
        <f>IF('Part III-Sources of Funds'!$P$38="", 0,-'Part III-Sources of Funds'!$P$38)</f>
        <v>-63365.252550325516</v>
      </c>
      <c r="N57" s="3996"/>
      <c r="O57" s="3998"/>
    </row>
    <row r="58" spans="1:19" ht="13.35" customHeight="1">
      <c r="A58" s="21" t="str">
        <f>$A26</f>
        <v>Mortgage B</v>
      </c>
      <c r="B58" s="4110">
        <f>IF('Part III-Sources of Funds'!$P$39="", 0,-'Part III-Sources of Funds'!$P$39)</f>
        <v>-34492.073021834745</v>
      </c>
      <c r="C58" s="4110">
        <f>IF('Part III-Sources of Funds'!$P$39="", 0,-'Part III-Sources of Funds'!$P$39)</f>
        <v>-34492.073021834745</v>
      </c>
      <c r="D58" s="4110">
        <f>IF('Part III-Sources of Funds'!$P$39="", 0,-'Part III-Sources of Funds'!$P$39)</f>
        <v>-34492.073021834745</v>
      </c>
      <c r="E58" s="4110"/>
      <c r="F58" s="4110"/>
      <c r="G58" s="4110"/>
      <c r="H58" s="4110"/>
      <c r="I58" s="4110"/>
      <c r="J58" s="4110"/>
      <c r="K58" s="4110"/>
      <c r="N58" s="3996"/>
      <c r="O58" s="3998"/>
    </row>
    <row r="59" spans="1:19" ht="13.35" customHeight="1">
      <c r="A59" s="21" t="str">
        <f>$A27</f>
        <v>Mortgage C</v>
      </c>
      <c r="B59" s="4110">
        <f>IF('Part III-Sources of Funds'!$P$40="", 0,-'Part III-Sources of Funds'!$P$40)</f>
        <v>0</v>
      </c>
      <c r="C59" s="4110">
        <f>IF('Part III-Sources of Funds'!$P$40="", 0,-'Part III-Sources of Funds'!$P$40)</f>
        <v>0</v>
      </c>
      <c r="D59" s="4110">
        <f>IF('Part III-Sources of Funds'!$P$40="", 0,-'Part III-Sources of Funds'!$P$40)</f>
        <v>0</v>
      </c>
      <c r="E59" s="4110">
        <f>IF('Part III-Sources of Funds'!$P$40="", 0,-'Part III-Sources of Funds'!$P$40)</f>
        <v>0</v>
      </c>
      <c r="F59" s="4110">
        <f>IF('Part III-Sources of Funds'!$P$40="", 0,-'Part III-Sources of Funds'!$P$40)</f>
        <v>0</v>
      </c>
      <c r="G59" s="4110">
        <f>IF('Part III-Sources of Funds'!$P$40="", 0,-'Part III-Sources of Funds'!$P$40)</f>
        <v>0</v>
      </c>
      <c r="H59" s="4110">
        <f>IF('Part III-Sources of Funds'!$P$40="", 0,-'Part III-Sources of Funds'!$P$40)</f>
        <v>0</v>
      </c>
      <c r="I59" s="4110">
        <f>IF('Part III-Sources of Funds'!$P$40="", 0,-'Part III-Sources of Funds'!$P$40)</f>
        <v>0</v>
      </c>
      <c r="J59" s="4110">
        <f>IF('Part III-Sources of Funds'!$P$40="", 0,-'Part III-Sources of Funds'!$P$40)</f>
        <v>0</v>
      </c>
      <c r="K59" s="4110">
        <f>IF('Part III-Sources of Funds'!$P$40="", 0,-'Part III-Sources of Funds'!$P$40)</f>
        <v>0</v>
      </c>
      <c r="N59" s="3996"/>
      <c r="O59" s="3998"/>
    </row>
    <row r="60" spans="1:19" ht="13.35" customHeight="1">
      <c r="A60" s="21" t="str">
        <f>$A28</f>
        <v>D/S Other Source,not DDF</v>
      </c>
      <c r="B60" s="4110">
        <f>IF('Part III-Sources of Funds'!$P$41="", 0,-'Part III-Sources of Funds'!$P$41)</f>
        <v>0</v>
      </c>
      <c r="C60" s="4110">
        <f>IF('Part III-Sources of Funds'!$P$41="", 0,-'Part III-Sources of Funds'!$P$41)</f>
        <v>0</v>
      </c>
      <c r="D60" s="4110">
        <f>IF('Part III-Sources of Funds'!$P$41="", 0,-'Part III-Sources of Funds'!$P$41)</f>
        <v>0</v>
      </c>
      <c r="E60" s="4110">
        <f>IF('Part III-Sources of Funds'!$P$41="", 0,-'Part III-Sources of Funds'!$P$41)</f>
        <v>0</v>
      </c>
      <c r="F60" s="4110">
        <f>IF('Part III-Sources of Funds'!$P$41="", 0,-'Part III-Sources of Funds'!$P$41)</f>
        <v>0</v>
      </c>
      <c r="G60" s="4110">
        <f>IF('Part III-Sources of Funds'!$P$41="", 0,-'Part III-Sources of Funds'!$P$41)</f>
        <v>0</v>
      </c>
      <c r="H60" s="4110">
        <f>IF('Part III-Sources of Funds'!$P$41="", 0,-'Part III-Sources of Funds'!$P$41)</f>
        <v>0</v>
      </c>
      <c r="I60" s="4110">
        <f>IF('Part III-Sources of Funds'!$P$41="", 0,-'Part III-Sources of Funds'!$P$41)</f>
        <v>0</v>
      </c>
      <c r="J60" s="4110">
        <f>IF('Part III-Sources of Funds'!$P$41="", 0,-'Part III-Sources of Funds'!$P$41)</f>
        <v>0</v>
      </c>
      <c r="K60" s="4110">
        <f>IF('Part III-Sources of Funds'!$P$41="", 0,-'Part III-Sources of Funds'!$P$41)</f>
        <v>0</v>
      </c>
      <c r="N60" s="3996"/>
      <c r="O60" s="3998"/>
    </row>
    <row r="61" spans="1:19" ht="13.35" customHeight="1">
      <c r="A61" s="21" t="s">
        <v>745</v>
      </c>
      <c r="B61" s="4111"/>
      <c r="C61" s="4111"/>
      <c r="D61" s="4111"/>
      <c r="E61" s="4111"/>
      <c r="F61" s="4111"/>
      <c r="G61" s="4111"/>
      <c r="H61" s="4111"/>
      <c r="I61" s="4111"/>
      <c r="J61" s="4111"/>
      <c r="K61" s="4111"/>
      <c r="N61" s="3996"/>
      <c r="O61" s="3998"/>
      <c r="Q61" s="929"/>
      <c r="R61" s="1043"/>
    </row>
    <row r="62" spans="1:19" ht="13.35" customHeight="1">
      <c r="A62" s="417" t="s">
        <v>1141</v>
      </c>
      <c r="B62" s="4110">
        <f>(+K30*0.03)+K30</f>
        <v>-7257.148448458257</v>
      </c>
      <c r="C62" s="4116">
        <f>(+B62*0.03)+B62</f>
        <v>-7474.8629019120044</v>
      </c>
      <c r="D62" s="4110">
        <f>(+C62*0.03)+C62</f>
        <v>-7699.1087889693645</v>
      </c>
      <c r="E62" s="4116">
        <f t="shared" ref="E62:K62" si="24">(+D62*0.03)+D62</f>
        <v>-7930.082052638445</v>
      </c>
      <c r="F62" s="4110">
        <f t="shared" si="24"/>
        <v>-8167.9845142175982</v>
      </c>
      <c r="G62" s="4116">
        <f t="shared" si="24"/>
        <v>-8413.0240496441256</v>
      </c>
      <c r="H62" s="4110">
        <f t="shared" si="24"/>
        <v>-8665.4147711334499</v>
      </c>
      <c r="I62" s="4116">
        <f t="shared" si="24"/>
        <v>-8925.3772142674534</v>
      </c>
      <c r="J62" s="4110">
        <f t="shared" si="24"/>
        <v>-9193.1385306954762</v>
      </c>
      <c r="K62" s="4116">
        <f t="shared" si="24"/>
        <v>-9468.932686616341</v>
      </c>
      <c r="N62" s="3996"/>
      <c r="O62" s="3998"/>
    </row>
    <row r="63" spans="1:19" ht="13.35" customHeight="1">
      <c r="A63" s="417" t="s">
        <v>3769</v>
      </c>
      <c r="B63" s="4114"/>
      <c r="C63" s="4114"/>
      <c r="D63" s="4114"/>
      <c r="E63" s="4114"/>
      <c r="F63" s="4114"/>
      <c r="G63" s="4114"/>
      <c r="H63" s="4114"/>
      <c r="I63" s="4114"/>
      <c r="J63" s="4114"/>
      <c r="K63" s="4114"/>
      <c r="N63" s="3996"/>
      <c r="O63" s="3998"/>
    </row>
    <row r="64" spans="1:19" ht="13.35" customHeight="1">
      <c r="A64" s="21" t="s">
        <v>1142</v>
      </c>
      <c r="B64" s="22">
        <f t="shared" ref="B64:K64" si="25">SUM(B56:B63)</f>
        <v>28169.76055954125</v>
      </c>
      <c r="C64" s="22">
        <f t="shared" si="25"/>
        <v>26540.141306941565</v>
      </c>
      <c r="D64" s="22">
        <f t="shared" si="25"/>
        <v>24753.247240033197</v>
      </c>
      <c r="E64" s="22">
        <f t="shared" si="25"/>
        <v>57294.650811486499</v>
      </c>
      <c r="F64" s="22">
        <f t="shared" si="25"/>
        <v>55172.463344898635</v>
      </c>
      <c r="G64" s="22">
        <f t="shared" si="25"/>
        <v>52872.764962964065</v>
      </c>
      <c r="H64" s="22">
        <f t="shared" si="25"/>
        <v>50386.304032396001</v>
      </c>
      <c r="I64" s="22">
        <f t="shared" si="25"/>
        <v>47705.561444791529</v>
      </c>
      <c r="J64" s="22">
        <f t="shared" si="25"/>
        <v>44823.741593857092</v>
      </c>
      <c r="K64" s="596">
        <f t="shared" si="25"/>
        <v>41729.76306197876</v>
      </c>
      <c r="N64" s="3996"/>
      <c r="O64" s="3998"/>
    </row>
    <row r="65" spans="1:15" ht="13.35" customHeight="1">
      <c r="A65" s="21" t="str">
        <f>$A33</f>
        <v>DCR Mortgage A</v>
      </c>
      <c r="B65" s="24">
        <f t="shared" ref="B65:K65" si="26">IF(B57=0,"",-B56/B57)</f>
        <v>2.1034278128111881</v>
      </c>
      <c r="C65" s="24">
        <f t="shared" si="26"/>
        <v>2.0811458089949078</v>
      </c>
      <c r="D65" s="24">
        <f t="shared" si="26"/>
        <v>2.0564848455021805</v>
      </c>
      <c r="E65" s="24">
        <f t="shared" si="26"/>
        <v>2.0293454257492716</v>
      </c>
      <c r="F65" s="24">
        <f t="shared" si="26"/>
        <v>1.9996085442697544</v>
      </c>
      <c r="G65" s="24">
        <f t="shared" si="26"/>
        <v>1.9671829046042895</v>
      </c>
      <c r="H65" s="24">
        <f t="shared" si="26"/>
        <v>1.9319258809333997</v>
      </c>
      <c r="I65" s="24">
        <f t="shared" si="26"/>
        <v>1.8937222906841877</v>
      </c>
      <c r="J65" s="24">
        <f t="shared" si="26"/>
        <v>1.8524684736583612</v>
      </c>
      <c r="K65" s="25">
        <f t="shared" si="26"/>
        <v>1.8079932405845367</v>
      </c>
      <c r="N65" s="3996"/>
      <c r="O65" s="3998"/>
    </row>
    <row r="66" spans="1:15" ht="13.35" customHeight="1">
      <c r="A66" s="21" t="str">
        <f>$A34</f>
        <v>DCR Mortgage B</v>
      </c>
      <c r="B66" s="24">
        <f t="shared" ref="B66:K66" si="27">IF(B58=0,"",-(B56+B57)/B58)</f>
        <v>2.0271029226214665</v>
      </c>
      <c r="C66" s="24">
        <f t="shared" si="27"/>
        <v>1.986168740490629</v>
      </c>
      <c r="D66" s="24">
        <f t="shared" si="27"/>
        <v>1.9408641808353773</v>
      </c>
      <c r="E66" s="24" t="str">
        <f t="shared" si="27"/>
        <v/>
      </c>
      <c r="F66" s="24" t="str">
        <f t="shared" si="27"/>
        <v/>
      </c>
      <c r="G66" s="24" t="str">
        <f t="shared" si="27"/>
        <v/>
      </c>
      <c r="H66" s="24" t="str">
        <f t="shared" si="27"/>
        <v/>
      </c>
      <c r="I66" s="24" t="str">
        <f t="shared" si="27"/>
        <v/>
      </c>
      <c r="J66" s="24" t="str">
        <f t="shared" si="27"/>
        <v/>
      </c>
      <c r="K66" s="25" t="str">
        <f t="shared" si="27"/>
        <v/>
      </c>
      <c r="N66" s="3996"/>
      <c r="O66" s="3998"/>
    </row>
    <row r="67" spans="1:15" ht="13.35" customHeight="1">
      <c r="A67" s="21" t="str">
        <f>$A35</f>
        <v>DCR Mortgage C</v>
      </c>
      <c r="B67" s="24" t="str">
        <f t="shared" ref="B67:K67" si="28">IF(B59=0,"",-(B56+B57+B58)/B59)</f>
        <v/>
      </c>
      <c r="C67" s="24" t="str">
        <f t="shared" si="28"/>
        <v/>
      </c>
      <c r="D67" s="24" t="str">
        <f t="shared" si="28"/>
        <v/>
      </c>
      <c r="E67" s="24" t="str">
        <f t="shared" si="28"/>
        <v/>
      </c>
      <c r="F67" s="24" t="str">
        <f t="shared" si="28"/>
        <v/>
      </c>
      <c r="G67" s="24" t="str">
        <f t="shared" si="28"/>
        <v/>
      </c>
      <c r="H67" s="24" t="str">
        <f t="shared" si="28"/>
        <v/>
      </c>
      <c r="I67" s="24" t="str">
        <f t="shared" si="28"/>
        <v/>
      </c>
      <c r="J67" s="24" t="str">
        <f t="shared" si="28"/>
        <v/>
      </c>
      <c r="K67" s="25" t="str">
        <f t="shared" si="28"/>
        <v/>
      </c>
      <c r="N67" s="3996"/>
      <c r="O67" s="3998"/>
    </row>
    <row r="68" spans="1:15" ht="13.35" customHeight="1">
      <c r="A68" s="21" t="str">
        <f>$A36</f>
        <v>DCR Other Source</v>
      </c>
      <c r="B68" s="24" t="str">
        <f t="shared" ref="B68:K68" si="29">IF(B60=0,"",-(B56+B57+B58+B59)/B60)</f>
        <v/>
      </c>
      <c r="C68" s="24" t="str">
        <f t="shared" si="29"/>
        <v/>
      </c>
      <c r="D68" s="24" t="str">
        <f t="shared" si="29"/>
        <v/>
      </c>
      <c r="E68" s="24" t="str">
        <f t="shared" si="29"/>
        <v/>
      </c>
      <c r="F68" s="24" t="str">
        <f t="shared" si="29"/>
        <v/>
      </c>
      <c r="G68" s="24" t="str">
        <f t="shared" si="29"/>
        <v/>
      </c>
      <c r="H68" s="24" t="str">
        <f t="shared" si="29"/>
        <v/>
      </c>
      <c r="I68" s="24" t="str">
        <f t="shared" si="29"/>
        <v/>
      </c>
      <c r="J68" s="24" t="str">
        <f t="shared" si="29"/>
        <v/>
      </c>
      <c r="K68" s="25" t="str">
        <f t="shared" si="29"/>
        <v/>
      </c>
      <c r="N68" s="3996"/>
      <c r="O68" s="3998"/>
    </row>
    <row r="69" spans="1:15" ht="13.35" customHeight="1">
      <c r="A69" s="417" t="s">
        <v>3532</v>
      </c>
      <c r="B69" s="24">
        <f t="shared" ref="B69:K69" si="30">IF(AND(B57=0,B58=0,B59=0,B60=0),"",-B56/(B57+B58+B59+B60))</f>
        <v>1.3620261314200295</v>
      </c>
      <c r="C69" s="24">
        <f t="shared" si="30"/>
        <v>1.3475979341349444</v>
      </c>
      <c r="D69" s="24">
        <f t="shared" si="30"/>
        <v>1.3316292964196339</v>
      </c>
      <c r="E69" s="24">
        <f t="shared" si="30"/>
        <v>2.0293454257492716</v>
      </c>
      <c r="F69" s="24">
        <f t="shared" si="30"/>
        <v>1.9996085442697544</v>
      </c>
      <c r="G69" s="24">
        <f t="shared" si="30"/>
        <v>1.9671829046042895</v>
      </c>
      <c r="H69" s="24">
        <f t="shared" si="30"/>
        <v>1.9319258809333997</v>
      </c>
      <c r="I69" s="24">
        <f t="shared" si="30"/>
        <v>1.8937222906841877</v>
      </c>
      <c r="J69" s="24">
        <f t="shared" si="30"/>
        <v>1.8524684736583612</v>
      </c>
      <c r="K69" s="25">
        <f t="shared" si="30"/>
        <v>1.8079932405845367</v>
      </c>
      <c r="N69" s="3996"/>
      <c r="O69" s="3998"/>
    </row>
    <row r="70" spans="1:15" ht="13.35" customHeight="1">
      <c r="A70" s="21" t="s">
        <v>752</v>
      </c>
      <c r="B70" s="265">
        <f t="shared" ref="B70:K70" si="31">IF(OR(B53="Choose mgt fee",B53="Choose One!"),"",(B46+B47+B48+B49+B50) / -(B52+B53+B54))</f>
        <v>1.2930631677527116</v>
      </c>
      <c r="C70" s="265">
        <f t="shared" si="31"/>
        <v>1.2817962587559319</v>
      </c>
      <c r="D70" s="265">
        <f t="shared" si="31"/>
        <v>1.2706159252932627</v>
      </c>
      <c r="E70" s="265">
        <f t="shared" si="31"/>
        <v>1.2595226970967432</v>
      </c>
      <c r="F70" s="265">
        <f t="shared" si="31"/>
        <v>1.248514528659459</v>
      </c>
      <c r="G70" s="265">
        <f t="shared" si="31"/>
        <v>1.2375943352275338</v>
      </c>
      <c r="H70" s="265">
        <f t="shared" si="31"/>
        <v>1.2267577419790818</v>
      </c>
      <c r="I70" s="265">
        <f t="shared" si="31"/>
        <v>1.216005321570871</v>
      </c>
      <c r="J70" s="265">
        <f t="shared" si="31"/>
        <v>1.2053396291639455</v>
      </c>
      <c r="K70" s="266">
        <f t="shared" si="31"/>
        <v>1.1947546696132292</v>
      </c>
      <c r="N70" s="3996"/>
      <c r="O70" s="3998"/>
    </row>
    <row r="71" spans="1:15" ht="13.35" customHeight="1">
      <c r="A71" s="417" t="s">
        <v>2550</v>
      </c>
      <c r="B71" s="4115">
        <f>IF('Part III-Sources of Funds'!$I$38="","",-FV('Part III-Sources of Funds'!$K$38/12,12,B57/12,K39))</f>
        <v>745944.40929114202</v>
      </c>
      <c r="C71" s="4115">
        <f>IF('Part III-Sources of Funds'!$I$38="","",-FV('Part III-Sources of Funds'!$K$38/12,12,C57/12,B71))</f>
        <v>723034.29521939007</v>
      </c>
      <c r="D71" s="4115">
        <f>IF('Part III-Sources of Funds'!$I$38="","",-FV('Part III-Sources of Funds'!$K$38/12,12,D57/12,C71))</f>
        <v>698831.87063166208</v>
      </c>
      <c r="E71" s="4115">
        <f>IF('Part III-Sources of Funds'!$I$38="","",-FV('Part III-Sources of Funds'!$K$38/12,12,E57/12,D71))</f>
        <v>673264.23905679805</v>
      </c>
      <c r="F71" s="4115">
        <f>IF('Part III-Sources of Funds'!$I$38="","",-FV('Part III-Sources of Funds'!$K$38/12,12,F57/12,E71))</f>
        <v>646254.39208967029</v>
      </c>
      <c r="G71" s="4115">
        <f>IF('Part III-Sources of Funds'!$I$38="","",-FV('Part III-Sources of Funds'!$K$38/12,12,G57/12,F71))</f>
        <v>617720.97744578612</v>
      </c>
      <c r="H71" s="4115">
        <f>IF('Part III-Sources of Funds'!$I$38="","",-FV('Part III-Sources of Funds'!$K$38/12,12,H57/12,G71))</f>
        <v>587578.0539323471</v>
      </c>
      <c r="I71" s="4115">
        <f>IF('Part III-Sources of Funds'!$I$38="","",-FV('Part III-Sources of Funds'!$K$38/12,12,I57/12,H71))</f>
        <v>555734.83259775024</v>
      </c>
      <c r="J71" s="4115">
        <f>IF('Part III-Sources of Funds'!$I$38="","",-FV('Part III-Sources of Funds'!$K$38/12,12,J57/12,I71))</f>
        <v>522095.40327988565</v>
      </c>
      <c r="K71" s="4115">
        <f>IF('Part III-Sources of Funds'!$I$38="","",-FV('Part III-Sources of Funds'!$K$38/12,12,K57/12,J71))</f>
        <v>486558.44572960993</v>
      </c>
      <c r="N71" s="3996"/>
      <c r="O71" s="3998"/>
    </row>
    <row r="72" spans="1:15" ht="13.35" customHeight="1">
      <c r="A72" s="417" t="s">
        <v>2551</v>
      </c>
      <c r="B72" s="4110">
        <f>IF('Part III-Sources of Funds'!$I$39="","",-FV('Part III-Sources of Funds'!$K$39/12,12,B58/12,K40))</f>
        <v>296751.03499202128</v>
      </c>
      <c r="C72" s="4110">
        <f>IF('Part III-Sources of Funds'!$I$39="","",-FV('Part III-Sources of Funds'!$K$39/12,12,C58/12,B72))</f>
        <v>265081.58263326867</v>
      </c>
      <c r="D72" s="4110">
        <f>IF('Part III-Sources of Funds'!$I$39="","",-FV('Part III-Sources of Funds'!$K$39/12,12,D58/12,C72))</f>
        <v>233093.98019480161</v>
      </c>
      <c r="E72" s="4110">
        <f>IF('Part III-Sources of Funds'!$I$39="","",-FV('Part III-Sources of Funds'!$K$39/12,12,E58/12,D72))</f>
        <v>235435.63320287582</v>
      </c>
      <c r="F72" s="4110"/>
      <c r="G72" s="4110">
        <f>IF('Part III-Sources of Funds'!$I$39="","",-FV('Part III-Sources of Funds'!$K$39/12,12,G58/12,F72))</f>
        <v>0</v>
      </c>
      <c r="H72" s="4110">
        <f>IF('Part III-Sources of Funds'!$I$39="","",-FV('Part III-Sources of Funds'!$K$39/12,12,H58/12,G72))</f>
        <v>0</v>
      </c>
      <c r="I72" s="4110">
        <f>IF('Part III-Sources of Funds'!$I$39="","",-FV('Part III-Sources of Funds'!$K$39/12,12,I58/12,H72))</f>
        <v>0</v>
      </c>
      <c r="J72" s="4110">
        <f>IF('Part III-Sources of Funds'!$I$39="","",-FV('Part III-Sources of Funds'!$K$39/12,12,J58/12,I72))</f>
        <v>0</v>
      </c>
      <c r="K72" s="4110">
        <f>IF('Part III-Sources of Funds'!$I$39="","",-FV('Part III-Sources of Funds'!$K$39/12,12,K58/12,J72))</f>
        <v>0</v>
      </c>
      <c r="N72" s="3996"/>
      <c r="O72" s="3998"/>
    </row>
    <row r="73" spans="1:15" ht="13.35" customHeight="1">
      <c r="A73" s="417" t="s">
        <v>2552</v>
      </c>
      <c r="B73" s="4110" t="str">
        <f>IF('Part III-Sources of Funds'!$I$40="","",-FV('Part III-Sources of Funds'!$K$40/12,12,B59/12,K41))</f>
        <v/>
      </c>
      <c r="C73" s="4110" t="str">
        <f>IF('Part III-Sources of Funds'!$I$40="","",-FV('Part III-Sources of Funds'!$K$40/12,12,C59/12,B73))</f>
        <v/>
      </c>
      <c r="D73" s="4110" t="str">
        <f>IF('Part III-Sources of Funds'!$I$40="","",-FV('Part III-Sources of Funds'!$K$40/12,12,D59/12,C73))</f>
        <v/>
      </c>
      <c r="E73" s="4110" t="str">
        <f>IF('Part III-Sources of Funds'!$I$40="","",-FV('Part III-Sources of Funds'!$K$40/12,12,E59/12,D73))</f>
        <v/>
      </c>
      <c r="F73" s="4110" t="str">
        <f>IF('Part III-Sources of Funds'!$I$40="","",-FV('Part III-Sources of Funds'!$K$40/12,12,F59/12,E73))</f>
        <v/>
      </c>
      <c r="G73" s="4110" t="str">
        <f>IF('Part III-Sources of Funds'!$I$40="","",-FV('Part III-Sources of Funds'!$K$40/12,12,G59/12,F73))</f>
        <v/>
      </c>
      <c r="H73" s="4110" t="str">
        <f>IF('Part III-Sources of Funds'!$I$40="","",-FV('Part III-Sources of Funds'!$K$40/12,12,H59/12,G73))</f>
        <v/>
      </c>
      <c r="I73" s="4110" t="str">
        <f>IF('Part III-Sources of Funds'!$I$40="","",-FV('Part III-Sources of Funds'!$K$40/12,12,I59/12,H73))</f>
        <v/>
      </c>
      <c r="J73" s="4110" t="str">
        <f>IF('Part III-Sources of Funds'!$I$40="","",-FV('Part III-Sources of Funds'!$K$40/12,12,J59/12,I73))</f>
        <v/>
      </c>
      <c r="K73" s="4110" t="str">
        <f>IF('Part III-Sources of Funds'!$I$40="","",-FV('Part III-Sources of Funds'!$K$40/12,12,K59/12,J73))</f>
        <v/>
      </c>
      <c r="N73" s="3996"/>
      <c r="O73" s="3998"/>
    </row>
    <row r="74" spans="1:15" ht="13.35" customHeight="1">
      <c r="A74" s="21" t="s">
        <v>764</v>
      </c>
      <c r="B74" s="4110" t="str">
        <f>IF('Part III-Sources of Funds'!$I$41="","",-FV('Part III-Sources of Funds'!$K$41/12,12,B60/12,K42))</f>
        <v/>
      </c>
      <c r="C74" s="4110" t="str">
        <f>IF('Part III-Sources of Funds'!$I$41="","",-FV('Part III-Sources of Funds'!$K$41/12,12,C60/12,B74))</f>
        <v/>
      </c>
      <c r="D74" s="4110" t="str">
        <f>IF('Part III-Sources of Funds'!$I$41="","",-FV('Part III-Sources of Funds'!$K$41/12,12,D60/12,C74))</f>
        <v/>
      </c>
      <c r="E74" s="4110" t="str">
        <f>IF('Part III-Sources of Funds'!$I$41="","",-FV('Part III-Sources of Funds'!$K$41/12,12,E60/12,D74))</f>
        <v/>
      </c>
      <c r="F74" s="4110" t="str">
        <f>IF('Part III-Sources of Funds'!$I$41="","",-FV('Part III-Sources of Funds'!$K$41/12,12,F60/12,E74))</f>
        <v/>
      </c>
      <c r="G74" s="4110" t="str">
        <f>IF('Part III-Sources of Funds'!$I$41="","",-FV('Part III-Sources of Funds'!$K$41/12,12,G60/12,F74))</f>
        <v/>
      </c>
      <c r="H74" s="4110" t="str">
        <f>IF('Part III-Sources of Funds'!$I$41="","",-FV('Part III-Sources of Funds'!$K$41/12,12,H60/12,G74))</f>
        <v/>
      </c>
      <c r="I74" s="4110" t="str">
        <f>IF('Part III-Sources of Funds'!$I$41="","",-FV('Part III-Sources of Funds'!$K$41/12,12,I60/12,H74))</f>
        <v/>
      </c>
      <c r="J74" s="4110" t="str">
        <f>IF('Part III-Sources of Funds'!$I$41="","",-FV('Part III-Sources of Funds'!$K$41/12,12,J60/12,I74))</f>
        <v/>
      </c>
      <c r="K74" s="4110" t="str">
        <f>IF('Part III-Sources of Funds'!$I$41="","",-FV('Part III-Sources of Funds'!$K$41/12,12,K60/12,J74))</f>
        <v/>
      </c>
      <c r="N74" s="3996"/>
      <c r="O74" s="3998"/>
    </row>
    <row r="75" spans="1:15" ht="13.35" customHeight="1">
      <c r="A75" s="417" t="s">
        <v>3770</v>
      </c>
      <c r="B75" s="4114">
        <f>IF('Part III-Sources of Funds'!$I$43="","",IF(-FV('Part III-Sources of Funds'!$K$43/12,12,B63/12,K43)&gt;0,-FV('Part III-Sources of Funds'!$K$43/12,12,B63/12,K43),0))</f>
        <v>1.626847461197522E-11</v>
      </c>
      <c r="C75" s="4114">
        <f>IF('Part III-Sources of Funds'!$I$43="","",IF(-FV('Part III-Sources of Funds'!$K$43/12,12,C63/12,B75)&gt;0,-FV('Part III-Sources of Funds'!$K$43/12,12,C63/12,B75),0))</f>
        <v>1.6763295834821536E-11</v>
      </c>
      <c r="D75" s="4114">
        <f>IF('Part III-Sources of Funds'!$I$43="","",IF(-FV('Part III-Sources of Funds'!$K$43/12,12,D63/12,C75)&gt;0,-FV('Part III-Sources of Funds'!$K$43/12,12,D63/12,C75),0))</f>
        <v>1.7273167518661836E-11</v>
      </c>
      <c r="E75" s="4114">
        <f>IF('Part III-Sources of Funds'!$I$43="","",IF(-FV('Part III-Sources of Funds'!$K$43/12,12,E63/12,D75)&gt;0,-FV('Part III-Sources of Funds'!$K$43/12,12,E63/12,D75),0))</f>
        <v>1.7798547437669237E-11</v>
      </c>
      <c r="F75" s="4114">
        <f>IF('Part III-Sources of Funds'!$I$43="","",IF(-FV('Part III-Sources of Funds'!$K$43/12,12,F63/12,E75)&gt;0,-FV('Part III-Sources of Funds'!$K$43/12,12,F63/12,E75),0))</f>
        <v>1.833990728965639E-11</v>
      </c>
      <c r="G75" s="4114">
        <f>IF('Part III-Sources of Funds'!$I$43="","",IF(-FV('Part III-Sources of Funds'!$K$43/12,12,G63/12,F75)&gt;0,-FV('Part III-Sources of Funds'!$K$43/12,12,G63/12,F75),0))</f>
        <v>1.8897733119576286E-11</v>
      </c>
      <c r="H75" s="4114" t="str">
        <f>IF('Part III-Sources of Funds'!$I$41="","",-FV('Part III-Sources of Funds'!$K$41/12,12,H61/12,G75))</f>
        <v/>
      </c>
      <c r="I75" s="4114" t="str">
        <f>IF('Part III-Sources of Funds'!$I$41="","",-FV('Part III-Sources of Funds'!$K$41/12,12,I61/12,H75))</f>
        <v/>
      </c>
      <c r="J75" s="4114" t="str">
        <f>IF('Part III-Sources of Funds'!$I$41="","",-FV('Part III-Sources of Funds'!$K$41/12,12,J61/12,I75))</f>
        <v/>
      </c>
      <c r="K75" s="4114" t="str">
        <f>IF('Part III-Sources of Funds'!$I$41="","",-FV('Part III-Sources of Funds'!$K$41/12,12,K61/12,J75))</f>
        <v/>
      </c>
      <c r="N75" s="4027"/>
      <c r="O75" s="4029"/>
    </row>
    <row r="76" spans="1:15" ht="4.3499999999999996" customHeight="1">
      <c r="B76" s="17"/>
      <c r="C76" s="17"/>
      <c r="D76" s="17"/>
      <c r="E76" s="17"/>
      <c r="F76" s="17"/>
      <c r="G76" s="17"/>
      <c r="H76" s="17"/>
      <c r="I76" s="17"/>
      <c r="J76" s="17"/>
      <c r="K76" s="17"/>
    </row>
    <row r="77" spans="1:15" ht="14.4" customHeight="1">
      <c r="A77" s="13" t="s">
        <v>2416</v>
      </c>
      <c r="B77" s="15">
        <f>K45+1</f>
        <v>21</v>
      </c>
      <c r="C77" s="15">
        <f t="shared" ref="C77:K77" si="32">B77+1</f>
        <v>22</v>
      </c>
      <c r="D77" s="15">
        <f t="shared" si="32"/>
        <v>23</v>
      </c>
      <c r="E77" s="15">
        <f t="shared" si="32"/>
        <v>24</v>
      </c>
      <c r="F77" s="15">
        <f t="shared" si="32"/>
        <v>25</v>
      </c>
      <c r="G77" s="15">
        <f t="shared" si="32"/>
        <v>26</v>
      </c>
      <c r="H77" s="15">
        <f t="shared" si="32"/>
        <v>27</v>
      </c>
      <c r="I77" s="15">
        <f t="shared" si="32"/>
        <v>28</v>
      </c>
      <c r="J77" s="15">
        <f t="shared" si="32"/>
        <v>29</v>
      </c>
      <c r="K77" s="15">
        <f t="shared" si="32"/>
        <v>30</v>
      </c>
      <c r="N77" s="2509" t="s">
        <v>2555</v>
      </c>
      <c r="O77" s="2509"/>
    </row>
    <row r="78" spans="1:15" ht="13.35" customHeight="1">
      <c r="A78" s="18" t="s">
        <v>2342</v>
      </c>
      <c r="B78" s="19">
        <f t="shared" ref="B78:K78" si="33">$B$14*(1+$B$5)^(B77-1)</f>
        <v>755711.2390675036</v>
      </c>
      <c r="C78" s="19">
        <f t="shared" si="33"/>
        <v>770825.4638488536</v>
      </c>
      <c r="D78" s="19">
        <f t="shared" si="33"/>
        <v>786241.97312583076</v>
      </c>
      <c r="E78" s="19">
        <f t="shared" si="33"/>
        <v>801966.81258834712</v>
      </c>
      <c r="F78" s="19">
        <f t="shared" si="33"/>
        <v>818006.14884011413</v>
      </c>
      <c r="G78" s="19">
        <f t="shared" si="33"/>
        <v>834366.27181691641</v>
      </c>
      <c r="H78" s="19">
        <f t="shared" si="33"/>
        <v>851053.59725325485</v>
      </c>
      <c r="I78" s="19">
        <f t="shared" si="33"/>
        <v>868074.66919831978</v>
      </c>
      <c r="J78" s="19">
        <f t="shared" si="33"/>
        <v>885436.1625822864</v>
      </c>
      <c r="K78" s="20">
        <f t="shared" si="33"/>
        <v>903144.88583393197</v>
      </c>
      <c r="N78" s="4034"/>
      <c r="O78" s="4036"/>
    </row>
    <row r="79" spans="1:15" ht="13.35" customHeight="1">
      <c r="A79" s="21" t="s">
        <v>994</v>
      </c>
      <c r="B79" s="22">
        <f t="shared" ref="B79:K79" si="34">$B$15*(1+$B$5)^(B77-1)</f>
        <v>15114.224781350073</v>
      </c>
      <c r="C79" s="22">
        <f t="shared" si="34"/>
        <v>15416.509276977073</v>
      </c>
      <c r="D79" s="22">
        <f t="shared" si="34"/>
        <v>15724.839462516615</v>
      </c>
      <c r="E79" s="22">
        <f t="shared" si="34"/>
        <v>16039.336251766945</v>
      </c>
      <c r="F79" s="22">
        <f t="shared" si="34"/>
        <v>16360.122976802284</v>
      </c>
      <c r="G79" s="22">
        <f t="shared" si="34"/>
        <v>16687.325436338331</v>
      </c>
      <c r="H79" s="22">
        <f t="shared" si="34"/>
        <v>17021.071945065098</v>
      </c>
      <c r="I79" s="22">
        <f t="shared" si="34"/>
        <v>17361.493383966397</v>
      </c>
      <c r="J79" s="22">
        <f t="shared" si="34"/>
        <v>17708.72325164573</v>
      </c>
      <c r="K79" s="23">
        <f t="shared" si="34"/>
        <v>18062.897716678639</v>
      </c>
      <c r="N79" s="3996"/>
      <c r="O79" s="3998"/>
    </row>
    <row r="80" spans="1:15" ht="13.35" customHeight="1">
      <c r="A80" s="21" t="s">
        <v>2343</v>
      </c>
      <c r="B80" s="22">
        <f t="shared" ref="B80:K80" si="35">-(B78+B79)*$B$8</f>
        <v>-53957.782469419762</v>
      </c>
      <c r="C80" s="22">
        <f t="shared" si="35"/>
        <v>-55036.938118808153</v>
      </c>
      <c r="D80" s="22">
        <f t="shared" si="35"/>
        <v>-56137.676881184321</v>
      </c>
      <c r="E80" s="22">
        <f t="shared" si="35"/>
        <v>-57260.430418807984</v>
      </c>
      <c r="F80" s="22">
        <f t="shared" si="35"/>
        <v>-58405.639027184152</v>
      </c>
      <c r="G80" s="22">
        <f t="shared" si="35"/>
        <v>-59573.751807727836</v>
      </c>
      <c r="H80" s="22">
        <f t="shared" si="35"/>
        <v>-60765.226843882396</v>
      </c>
      <c r="I80" s="22">
        <f t="shared" si="35"/>
        <v>-61980.53138076004</v>
      </c>
      <c r="J80" s="22">
        <f t="shared" si="35"/>
        <v>-63220.142008375253</v>
      </c>
      <c r="K80" s="23">
        <f t="shared" si="35"/>
        <v>-64484.544848542755</v>
      </c>
      <c r="N80" s="3996"/>
      <c r="O80" s="3998"/>
    </row>
    <row r="81" spans="1:19" ht="13.35" customHeight="1">
      <c r="A81" s="21" t="s">
        <v>50</v>
      </c>
      <c r="B81" s="22">
        <f>'Part VI-Revenues &amp; Expenses'!H202</f>
        <v>0</v>
      </c>
      <c r="C81" s="22">
        <f>'Part VI-Revenues &amp; Expenses'!I202</f>
        <v>0</v>
      </c>
      <c r="D81" s="22">
        <f>'Part VI-Revenues &amp; Expenses'!J202</f>
        <v>0</v>
      </c>
      <c r="E81" s="22">
        <f>'Part VI-Revenues &amp; Expenses'!K202</f>
        <v>0</v>
      </c>
      <c r="F81" s="22">
        <f>'Part VI-Revenues &amp; Expenses'!L202</f>
        <v>0</v>
      </c>
      <c r="G81" s="22">
        <f>'Part VI-Revenues &amp; Expenses'!M202</f>
        <v>0</v>
      </c>
      <c r="H81" s="22">
        <f>'Part VI-Revenues &amp; Expenses'!N202</f>
        <v>0</v>
      </c>
      <c r="I81" s="22">
        <f>'Part VI-Revenues &amp; Expenses'!O202</f>
        <v>0</v>
      </c>
      <c r="J81" s="22">
        <f>'Part VI-Revenues &amp; Expenses'!P202</f>
        <v>0</v>
      </c>
      <c r="K81" s="23">
        <f>'Part VI-Revenues &amp; Expenses'!Q202</f>
        <v>0</v>
      </c>
      <c r="N81" s="3996"/>
      <c r="O81" s="3998"/>
    </row>
    <row r="82" spans="1:19" ht="13.35" customHeight="1">
      <c r="A82" s="21" t="s">
        <v>51</v>
      </c>
      <c r="B82" s="22">
        <f>'Part VI-Revenues &amp; Expenses'!H206</f>
        <v>0</v>
      </c>
      <c r="C82" s="22">
        <f>'Part VI-Revenues &amp; Expenses'!I206</f>
        <v>0</v>
      </c>
      <c r="D82" s="22">
        <f>'Part VI-Revenues &amp; Expenses'!J206</f>
        <v>0</v>
      </c>
      <c r="E82" s="22">
        <f>'Part VI-Revenues &amp; Expenses'!K206</f>
        <v>0</v>
      </c>
      <c r="F82" s="22">
        <f>'Part VI-Revenues &amp; Expenses'!L206</f>
        <v>0</v>
      </c>
      <c r="G82" s="22">
        <f>'Part VI-Revenues &amp; Expenses'!M206</f>
        <v>0</v>
      </c>
      <c r="H82" s="22">
        <f>'Part VI-Revenues &amp; Expenses'!N206</f>
        <v>0</v>
      </c>
      <c r="I82" s="22">
        <f>'Part VI-Revenues &amp; Expenses'!O206</f>
        <v>0</v>
      </c>
      <c r="J82" s="22">
        <f>'Part VI-Revenues &amp; Expenses'!P206</f>
        <v>0</v>
      </c>
      <c r="K82" s="23">
        <f>'Part VI-Revenues &amp; Expenses'!Q206</f>
        <v>0</v>
      </c>
      <c r="N82" s="3996"/>
      <c r="O82" s="3998"/>
    </row>
    <row r="83" spans="1:19" ht="13.35" customHeight="1">
      <c r="A83" s="417" t="s">
        <v>4376</v>
      </c>
      <c r="B83" s="22">
        <f t="shared" ref="B83:K83" si="36">SUM(B78:B82)</f>
        <v>716867.68137943395</v>
      </c>
      <c r="C83" s="22">
        <f t="shared" si="36"/>
        <v>731205.03500702244</v>
      </c>
      <c r="D83" s="22">
        <f t="shared" si="36"/>
        <v>745829.13570716302</v>
      </c>
      <c r="E83" s="22">
        <f t="shared" si="36"/>
        <v>760745.718421306</v>
      </c>
      <c r="F83" s="22">
        <f t="shared" si="36"/>
        <v>775960.63278973231</v>
      </c>
      <c r="G83" s="22">
        <f t="shared" si="36"/>
        <v>791479.84544552688</v>
      </c>
      <c r="H83" s="22">
        <f t="shared" si="36"/>
        <v>807309.44235443755</v>
      </c>
      <c r="I83" s="22">
        <f t="shared" si="36"/>
        <v>823455.63120152615</v>
      </c>
      <c r="J83" s="22">
        <f t="shared" si="36"/>
        <v>839924.74382555683</v>
      </c>
      <c r="K83" s="23">
        <f t="shared" si="36"/>
        <v>856723.23870206787</v>
      </c>
      <c r="N83" s="3996"/>
      <c r="O83" s="3998"/>
    </row>
    <row r="84" spans="1:19" ht="13.35" customHeight="1">
      <c r="A84" s="21" t="s">
        <v>597</v>
      </c>
      <c r="B84" s="22">
        <f t="shared" ref="B84:K84" si="37">$B$20*(1+$B$6)^(B77-1)</f>
        <v>-515473.17693082389</v>
      </c>
      <c r="C84" s="22">
        <f t="shared" si="37"/>
        <v>-530937.37223874859</v>
      </c>
      <c r="D84" s="22">
        <f t="shared" si="37"/>
        <v>-546865.49340591102</v>
      </c>
      <c r="E84" s="22">
        <f t="shared" si="37"/>
        <v>-563271.45820808841</v>
      </c>
      <c r="F84" s="22">
        <f t="shared" si="37"/>
        <v>-580169.60195433092</v>
      </c>
      <c r="G84" s="22">
        <f t="shared" si="37"/>
        <v>-597574.69001296093</v>
      </c>
      <c r="H84" s="22">
        <f t="shared" si="37"/>
        <v>-615501.93071334984</v>
      </c>
      <c r="I84" s="22">
        <f t="shared" si="37"/>
        <v>-633966.98863475025</v>
      </c>
      <c r="J84" s="22">
        <f t="shared" si="37"/>
        <v>-652985.99829379271</v>
      </c>
      <c r="K84" s="23">
        <f t="shared" si="37"/>
        <v>-672575.57824260648</v>
      </c>
      <c r="N84" s="3996"/>
      <c r="O84" s="3998"/>
    </row>
    <row r="85" spans="1:19" ht="13.35" customHeight="1">
      <c r="A85" s="21" t="s">
        <v>1093</v>
      </c>
      <c r="B85" s="22">
        <f>IF(AND('Part VII-Pro Forma'!$G$8="Yes",'Part VII-Pro Forma'!$G$9="Yes"),"Choose One!",IF('Part VII-Pro Forma'!$G$8="Yes",ROUND((-$K$8*(1+'Part VII-Pro Forma'!$B$6)^('Part VII-Pro Forma'!B77-1)),),IF('Part VII-Pro Forma'!$G$9="Yes",ROUND((-(SUM(B78:B81)*'Part VII-Pro Forma'!$K$9)),),"Choose mgt fee")))</f>
        <v>-57349</v>
      </c>
      <c r="C85" s="22">
        <f>IF(AND('Part VII-Pro Forma'!$G$8="Yes",'Part VII-Pro Forma'!$G$9="Yes"),"Choose One!",IF('Part VII-Pro Forma'!$G$8="Yes",ROUND((-$K$8*(1+'Part VII-Pro Forma'!$B$6)^('Part VII-Pro Forma'!C77-1)),),IF('Part VII-Pro Forma'!$G$9="Yes",ROUND((-(SUM(C78:C81)*'Part VII-Pro Forma'!$K$9)),),"Choose mgt fee")))</f>
        <v>-58496</v>
      </c>
      <c r="D85" s="22">
        <f>IF(AND('Part VII-Pro Forma'!$G$8="Yes",'Part VII-Pro Forma'!$G$9="Yes"),"Choose One!",IF('Part VII-Pro Forma'!$G$8="Yes",ROUND((-$K$8*(1+'Part VII-Pro Forma'!$B$6)^('Part VII-Pro Forma'!D77-1)),),IF('Part VII-Pro Forma'!$G$9="Yes",ROUND((-(SUM(D78:D81)*'Part VII-Pro Forma'!$K$9)),),"Choose mgt fee")))</f>
        <v>-59666</v>
      </c>
      <c r="E85" s="22">
        <f>IF(AND('Part VII-Pro Forma'!$G$8="Yes",'Part VII-Pro Forma'!$G$9="Yes"),"Choose One!",IF('Part VII-Pro Forma'!$G$8="Yes",ROUND((-$K$8*(1+'Part VII-Pro Forma'!$B$6)^('Part VII-Pro Forma'!E77-1)),),IF('Part VII-Pro Forma'!$G$9="Yes",ROUND((-(SUM(E78:E81)*'Part VII-Pro Forma'!$K$9)),),"Choose mgt fee")))</f>
        <v>-60860</v>
      </c>
      <c r="F85" s="22">
        <f>IF(AND('Part VII-Pro Forma'!$G$8="Yes",'Part VII-Pro Forma'!$G$9="Yes"),"Choose One!",IF('Part VII-Pro Forma'!$G$8="Yes",ROUND((-$K$8*(1+'Part VII-Pro Forma'!$B$6)^('Part VII-Pro Forma'!F77-1)),),IF('Part VII-Pro Forma'!$G$9="Yes",ROUND((-(SUM(F78:F81)*'Part VII-Pro Forma'!$K$9)),),"Choose mgt fee")))</f>
        <v>-62077</v>
      </c>
      <c r="G85" s="22">
        <f>IF(AND('Part VII-Pro Forma'!$G$8="Yes",'Part VII-Pro Forma'!$G$9="Yes"),"Choose One!",IF('Part VII-Pro Forma'!$G$8="Yes",ROUND((-$K$8*(1+'Part VII-Pro Forma'!$B$6)^('Part VII-Pro Forma'!G77-1)),),IF('Part VII-Pro Forma'!$G$9="Yes",ROUND((-(SUM(G78:G81)*'Part VII-Pro Forma'!$K$9)),),"Choose mgt fee")))</f>
        <v>-63318</v>
      </c>
      <c r="H85" s="22">
        <f>IF(AND('Part VII-Pro Forma'!$G$8="Yes",'Part VII-Pro Forma'!$G$9="Yes"),"Choose One!",IF('Part VII-Pro Forma'!$G$8="Yes",ROUND((-$K$8*(1+'Part VII-Pro Forma'!$B$6)^('Part VII-Pro Forma'!H77-1)),),IF('Part VII-Pro Forma'!$G$9="Yes",ROUND((-(SUM(H78:H81)*'Part VII-Pro Forma'!$K$9)),),"Choose mgt fee")))</f>
        <v>-64585</v>
      </c>
      <c r="I85" s="22">
        <f>IF(AND('Part VII-Pro Forma'!$G$8="Yes",'Part VII-Pro Forma'!$G$9="Yes"),"Choose One!",IF('Part VII-Pro Forma'!$G$8="Yes",ROUND((-$K$8*(1+'Part VII-Pro Forma'!$B$6)^('Part VII-Pro Forma'!I77-1)),),IF('Part VII-Pro Forma'!$G$9="Yes",ROUND((-(SUM(I78:I81)*'Part VII-Pro Forma'!$K$9)),),"Choose mgt fee")))</f>
        <v>-65876</v>
      </c>
      <c r="J85" s="22">
        <f>IF(AND('Part VII-Pro Forma'!$G$8="Yes",'Part VII-Pro Forma'!$G$9="Yes"),"Choose One!",IF('Part VII-Pro Forma'!$G$8="Yes",ROUND((-$K$8*(1+'Part VII-Pro Forma'!$B$6)^('Part VII-Pro Forma'!J77-1)),),IF('Part VII-Pro Forma'!$G$9="Yes",ROUND((-(SUM(J78:J81)*'Part VII-Pro Forma'!$K$9)),),"Choose mgt fee")))</f>
        <v>-67194</v>
      </c>
      <c r="K85" s="23">
        <f>IF(AND('Part VII-Pro Forma'!$G$8="Yes",'Part VII-Pro Forma'!$G$9="Yes"),"Choose One!",IF('Part VII-Pro Forma'!$G$8="Yes",ROUND((-$K$8*(1+'Part VII-Pro Forma'!$B$6)^('Part VII-Pro Forma'!K77-1)),),IF('Part VII-Pro Forma'!$G$9="Yes",ROUND((-(SUM(K78:K81)*'Part VII-Pro Forma'!$K$9)),),"Choose mgt fee")))</f>
        <v>-68538</v>
      </c>
      <c r="N85" s="3996"/>
      <c r="O85" s="3998"/>
    </row>
    <row r="86" spans="1:19" ht="13.35" customHeight="1">
      <c r="A86" s="21" t="s">
        <v>1176</v>
      </c>
      <c r="B86" s="22">
        <f t="shared" ref="B86:K86" si="38">$B$22*(1+$B$7)^(B77-1)</f>
        <v>-32510.00222404944</v>
      </c>
      <c r="C86" s="22">
        <f t="shared" si="38"/>
        <v>-33485.302290770916</v>
      </c>
      <c r="D86" s="22">
        <f t="shared" si="38"/>
        <v>-34489.861359494047</v>
      </c>
      <c r="E86" s="22">
        <f t="shared" si="38"/>
        <v>-35524.557200278869</v>
      </c>
      <c r="F86" s="22">
        <f t="shared" si="38"/>
        <v>-36590.293916287235</v>
      </c>
      <c r="G86" s="22">
        <f t="shared" si="38"/>
        <v>-37688.002733775851</v>
      </c>
      <c r="H86" s="22">
        <f t="shared" si="38"/>
        <v>-38818.642815789128</v>
      </c>
      <c r="I86" s="22">
        <f t="shared" si="38"/>
        <v>-39983.202100262803</v>
      </c>
      <c r="J86" s="22">
        <f t="shared" si="38"/>
        <v>-41182.698163270681</v>
      </c>
      <c r="K86" s="23">
        <f t="shared" si="38"/>
        <v>-42418.179108168799</v>
      </c>
      <c r="N86" s="3996"/>
      <c r="O86" s="3998"/>
      <c r="Q86" s="929">
        <v>10</v>
      </c>
      <c r="R86" s="1043">
        <f>-SUM(B92:K92)</f>
        <v>0</v>
      </c>
      <c r="S86" s="1043">
        <f>SUM(B93:K93)+R86</f>
        <v>0</v>
      </c>
    </row>
    <row r="87" spans="1:19" ht="13.35" customHeight="1">
      <c r="A87" s="417" t="s">
        <v>4375</v>
      </c>
      <c r="B87" s="4108">
        <f>IF(B77&lt;=+'Part VI-Revenues &amp; Expenses'!$N$250,-'Part VI-Revenues &amp; Expenses'!$K$250,0)</f>
        <v>0</v>
      </c>
      <c r="C87" s="4108">
        <f>IF(C77&lt;=+'Part VI-Revenues &amp; Expenses'!$N$250,-'Part VI-Revenues &amp; Expenses'!$K$250,0)</f>
        <v>0</v>
      </c>
      <c r="D87" s="4108">
        <f>IF(D77&lt;=+'Part VI-Revenues &amp; Expenses'!$N$250,-'Part VI-Revenues &amp; Expenses'!$K$250,0)</f>
        <v>0</v>
      </c>
      <c r="E87" s="4108">
        <f>IF(E77&lt;=+'Part VI-Revenues &amp; Expenses'!$N$250,-'Part VI-Revenues &amp; Expenses'!$K$250,0)</f>
        <v>0</v>
      </c>
      <c r="F87" s="4108">
        <f>IF(F77&lt;=+'Part VI-Revenues &amp; Expenses'!$N$250,-'Part VI-Revenues &amp; Expenses'!$K$250,0)</f>
        <v>0</v>
      </c>
      <c r="G87" s="4108">
        <f>IF(G77&lt;=+'Part VI-Revenues &amp; Expenses'!$N$250,-'Part VI-Revenues &amp; Expenses'!$K$250,0)</f>
        <v>0</v>
      </c>
      <c r="H87" s="4108">
        <f>IF(H77&lt;=+'Part VI-Revenues &amp; Expenses'!$N$250,-'Part VI-Revenues &amp; Expenses'!$K$250,0)</f>
        <v>0</v>
      </c>
      <c r="I87" s="4108">
        <f>IF(I77&lt;=+'Part VI-Revenues &amp; Expenses'!$N$250,-'Part VI-Revenues &amp; Expenses'!$K$250,0)</f>
        <v>0</v>
      </c>
      <c r="J87" s="4108">
        <f>IF(J77&lt;=+'Part VI-Revenues &amp; Expenses'!$N$250,-'Part VI-Revenues &amp; Expenses'!$K$250,0)</f>
        <v>0</v>
      </c>
      <c r="K87" s="4108">
        <f>IF(K77&lt;=+'Part VI-Revenues &amp; Expenses'!$N$250,-'Part VI-Revenues &amp; Expenses'!$K$250,0)</f>
        <v>0</v>
      </c>
      <c r="N87" s="3996"/>
      <c r="O87" s="3998"/>
    </row>
    <row r="88" spans="1:19" ht="13.35" customHeight="1">
      <c r="A88" s="21" t="s">
        <v>1177</v>
      </c>
      <c r="B88" s="22">
        <f t="shared" ref="B88:K88" si="39">SUM(B83:B87)</f>
        <v>111535.50222456062</v>
      </c>
      <c r="C88" s="22">
        <f t="shared" si="39"/>
        <v>108286.36047750292</v>
      </c>
      <c r="D88" s="22">
        <f t="shared" si="39"/>
        <v>104807.78094175796</v>
      </c>
      <c r="E88" s="22">
        <f t="shared" si="39"/>
        <v>101089.70301293871</v>
      </c>
      <c r="F88" s="22">
        <f t="shared" si="39"/>
        <v>97123.736919114148</v>
      </c>
      <c r="G88" s="22">
        <f t="shared" si="39"/>
        <v>92899.152698790102</v>
      </c>
      <c r="H88" s="22">
        <f t="shared" si="39"/>
        <v>88403.868825298588</v>
      </c>
      <c r="I88" s="22">
        <f t="shared" si="39"/>
        <v>83629.440466513101</v>
      </c>
      <c r="J88" s="22">
        <f t="shared" si="39"/>
        <v>78562.047368493426</v>
      </c>
      <c r="K88" s="1482">
        <f t="shared" si="39"/>
        <v>73191.48135129259</v>
      </c>
      <c r="N88" s="3996"/>
      <c r="O88" s="3998"/>
    </row>
    <row r="89" spans="1:19" ht="13.35" customHeight="1">
      <c r="A89" s="21" t="str">
        <f>$A57</f>
        <v>Mortgage A</v>
      </c>
      <c r="B89" s="4109"/>
      <c r="C89" s="4109"/>
      <c r="D89" s="4109"/>
      <c r="E89" s="4109"/>
      <c r="F89" s="4109"/>
      <c r="G89" s="4109"/>
      <c r="H89" s="4109"/>
      <c r="I89" s="4109"/>
      <c r="J89" s="4109"/>
      <c r="K89" s="4109"/>
      <c r="N89" s="3996"/>
      <c r="O89" s="3998"/>
    </row>
    <row r="90" spans="1:19" ht="13.35" customHeight="1">
      <c r="A90" s="21" t="str">
        <f>$A58</f>
        <v>Mortgage B</v>
      </c>
      <c r="B90" s="4110"/>
      <c r="C90" s="4110"/>
      <c r="D90" s="4110"/>
      <c r="E90" s="4110"/>
      <c r="F90" s="4110"/>
      <c r="G90" s="4110"/>
      <c r="H90" s="4110"/>
      <c r="I90" s="4110"/>
      <c r="J90" s="4110"/>
      <c r="K90" s="4110"/>
      <c r="N90" s="3996"/>
      <c r="O90" s="3998"/>
    </row>
    <row r="91" spans="1:19" ht="13.35" customHeight="1">
      <c r="A91" s="21" t="str">
        <f>$A59</f>
        <v>Mortgage C</v>
      </c>
      <c r="B91" s="4110">
        <f>IF('Part III-Sources of Funds'!$P$40="", 0,-'Part III-Sources of Funds'!$P$40)</f>
        <v>0</v>
      </c>
      <c r="C91" s="4110">
        <f>IF('Part III-Sources of Funds'!$P$40="", 0,-'Part III-Sources of Funds'!$P$40)</f>
        <v>0</v>
      </c>
      <c r="D91" s="4110">
        <f>IF('Part III-Sources of Funds'!$P$40="", 0,-'Part III-Sources of Funds'!$P$40)</f>
        <v>0</v>
      </c>
      <c r="E91" s="4110">
        <f>IF('Part III-Sources of Funds'!$P$40="", 0,-'Part III-Sources of Funds'!$P$40)</f>
        <v>0</v>
      </c>
      <c r="F91" s="4110">
        <f>IF('Part III-Sources of Funds'!$P$40="", 0,-'Part III-Sources of Funds'!$P$40)</f>
        <v>0</v>
      </c>
      <c r="G91" s="4110">
        <f>IF('Part III-Sources of Funds'!$P$40="", 0,-'Part III-Sources of Funds'!$P$40)</f>
        <v>0</v>
      </c>
      <c r="H91" s="4110">
        <f>IF('Part III-Sources of Funds'!$P$40="", 0,-'Part III-Sources of Funds'!$P$40)</f>
        <v>0</v>
      </c>
      <c r="I91" s="4110">
        <f>IF('Part III-Sources of Funds'!$P$40="", 0,-'Part III-Sources of Funds'!$P$40)</f>
        <v>0</v>
      </c>
      <c r="J91" s="4110">
        <f>IF('Part III-Sources of Funds'!$P$40="", 0,-'Part III-Sources of Funds'!$P$40)</f>
        <v>0</v>
      </c>
      <c r="K91" s="4110">
        <f>IF('Part III-Sources of Funds'!$P$40="", 0,-'Part III-Sources of Funds'!$P$40)</f>
        <v>0</v>
      </c>
      <c r="N91" s="3996"/>
      <c r="O91" s="3998"/>
    </row>
    <row r="92" spans="1:19" ht="13.35" customHeight="1">
      <c r="A92" s="21" t="str">
        <f>$A60</f>
        <v>D/S Other Source,not DDF</v>
      </c>
      <c r="B92" s="4110">
        <f>IF('Part III-Sources of Funds'!$P$41="", 0,-'Part III-Sources of Funds'!$P$41)</f>
        <v>0</v>
      </c>
      <c r="C92" s="4110">
        <f>IF('Part III-Sources of Funds'!$P$41="", 0,-'Part III-Sources of Funds'!$P$41)</f>
        <v>0</v>
      </c>
      <c r="D92" s="4110">
        <f>IF('Part III-Sources of Funds'!$P$41="", 0,-'Part III-Sources of Funds'!$P$41)</f>
        <v>0</v>
      </c>
      <c r="E92" s="4110">
        <f>IF('Part III-Sources of Funds'!$P$41="", 0,-'Part III-Sources of Funds'!$P$41)</f>
        <v>0</v>
      </c>
      <c r="F92" s="4110">
        <f>IF('Part III-Sources of Funds'!$P$41="", 0,-'Part III-Sources of Funds'!$P$41)</f>
        <v>0</v>
      </c>
      <c r="G92" s="4110">
        <f>IF('Part III-Sources of Funds'!$P$41="", 0,-'Part III-Sources of Funds'!$P$41)</f>
        <v>0</v>
      </c>
      <c r="H92" s="4110">
        <f>IF('Part III-Sources of Funds'!$P$41="", 0,-'Part III-Sources of Funds'!$P$41)</f>
        <v>0</v>
      </c>
      <c r="I92" s="4110">
        <f>IF('Part III-Sources of Funds'!$P$41="", 0,-'Part III-Sources of Funds'!$P$41)</f>
        <v>0</v>
      </c>
      <c r="J92" s="4110">
        <f>IF('Part III-Sources of Funds'!$P$41="", 0,-'Part III-Sources of Funds'!$P$41)</f>
        <v>0</v>
      </c>
      <c r="K92" s="4110">
        <f>IF('Part III-Sources of Funds'!$P$41="", 0,-'Part III-Sources of Funds'!$P$41)</f>
        <v>0</v>
      </c>
      <c r="N92" s="3996"/>
      <c r="O92" s="3998"/>
    </row>
    <row r="93" spans="1:19" ht="13.35" customHeight="1">
      <c r="A93" s="21" t="s">
        <v>745</v>
      </c>
      <c r="B93" s="4111"/>
      <c r="C93" s="4111"/>
      <c r="D93" s="4111"/>
      <c r="E93" s="4111"/>
      <c r="F93" s="4111"/>
      <c r="G93" s="4111"/>
      <c r="H93" s="4111"/>
      <c r="I93" s="4111"/>
      <c r="J93" s="4111"/>
      <c r="K93" s="4111"/>
      <c r="N93" s="3996"/>
      <c r="O93" s="3998"/>
    </row>
    <row r="94" spans="1:19" ht="13.35" customHeight="1">
      <c r="A94" s="417" t="s">
        <v>1141</v>
      </c>
      <c r="B94" s="4114">
        <f>+K62</f>
        <v>-9468.932686616341</v>
      </c>
      <c r="C94" s="4114">
        <f t="shared" ref="C94:K94" si="40">+B94</f>
        <v>-9468.932686616341</v>
      </c>
      <c r="D94" s="4114">
        <f t="shared" si="40"/>
        <v>-9468.932686616341</v>
      </c>
      <c r="E94" s="4114">
        <f t="shared" si="40"/>
        <v>-9468.932686616341</v>
      </c>
      <c r="F94" s="4114">
        <f t="shared" si="40"/>
        <v>-9468.932686616341</v>
      </c>
      <c r="G94" s="4114">
        <f t="shared" si="40"/>
        <v>-9468.932686616341</v>
      </c>
      <c r="H94" s="4114">
        <f t="shared" si="40"/>
        <v>-9468.932686616341</v>
      </c>
      <c r="I94" s="4114">
        <f t="shared" si="40"/>
        <v>-9468.932686616341</v>
      </c>
      <c r="J94" s="4114">
        <f t="shared" si="40"/>
        <v>-9468.932686616341</v>
      </c>
      <c r="K94" s="4114">
        <f t="shared" si="40"/>
        <v>-9468.932686616341</v>
      </c>
      <c r="N94" s="3996"/>
      <c r="O94" s="3998"/>
    </row>
    <row r="95" spans="1:19" ht="13.35" customHeight="1">
      <c r="A95" s="21" t="s">
        <v>1142</v>
      </c>
      <c r="B95" s="22">
        <f t="shared" ref="B95:K95" si="41">SUM(B88:B94)</f>
        <v>102066.56953794428</v>
      </c>
      <c r="C95" s="22">
        <f t="shared" si="41"/>
        <v>98817.427790886577</v>
      </c>
      <c r="D95" s="22">
        <f t="shared" si="41"/>
        <v>95338.848255141609</v>
      </c>
      <c r="E95" s="22">
        <f t="shared" si="41"/>
        <v>91620.770326322367</v>
      </c>
      <c r="F95" s="22">
        <f t="shared" si="41"/>
        <v>87654.804232497801</v>
      </c>
      <c r="G95" s="22">
        <f t="shared" si="41"/>
        <v>83430.220012173755</v>
      </c>
      <c r="H95" s="22">
        <f t="shared" si="41"/>
        <v>78934.936138682242</v>
      </c>
      <c r="I95" s="22">
        <f t="shared" si="41"/>
        <v>74160.507779896754</v>
      </c>
      <c r="J95" s="22">
        <f t="shared" si="41"/>
        <v>69093.114681877079</v>
      </c>
      <c r="K95" s="23">
        <f t="shared" si="41"/>
        <v>63722.548664676251</v>
      </c>
      <c r="N95" s="3996"/>
      <c r="O95" s="3998"/>
    </row>
    <row r="96" spans="1:19" ht="13.35" customHeight="1">
      <c r="A96" s="21" t="str">
        <f>$A65</f>
        <v>DCR Mortgage A</v>
      </c>
      <c r="B96" s="24" t="str">
        <f t="shared" ref="B96:K96" si="42">IF(B89=0,"",-B88/B89)</f>
        <v/>
      </c>
      <c r="C96" s="24" t="str">
        <f t="shared" si="42"/>
        <v/>
      </c>
      <c r="D96" s="24" t="str">
        <f t="shared" si="42"/>
        <v/>
      </c>
      <c r="E96" s="24" t="str">
        <f t="shared" si="42"/>
        <v/>
      </c>
      <c r="F96" s="24" t="str">
        <f t="shared" si="42"/>
        <v/>
      </c>
      <c r="G96" s="24" t="str">
        <f t="shared" si="42"/>
        <v/>
      </c>
      <c r="H96" s="24" t="str">
        <f t="shared" si="42"/>
        <v/>
      </c>
      <c r="I96" s="24" t="str">
        <f t="shared" si="42"/>
        <v/>
      </c>
      <c r="J96" s="24" t="str">
        <f t="shared" si="42"/>
        <v/>
      </c>
      <c r="K96" s="25" t="str">
        <f t="shared" si="42"/>
        <v/>
      </c>
      <c r="N96" s="3996"/>
      <c r="O96" s="3998"/>
    </row>
    <row r="97" spans="1:15" ht="13.35" customHeight="1">
      <c r="A97" s="21" t="str">
        <f>$A66</f>
        <v>DCR Mortgage B</v>
      </c>
      <c r="B97" s="24" t="str">
        <f t="shared" ref="B97:K97" si="43">IF(B90=0,"",-(B88+B89)/B90)</f>
        <v/>
      </c>
      <c r="C97" s="24" t="str">
        <f t="shared" si="43"/>
        <v/>
      </c>
      <c r="D97" s="24" t="str">
        <f t="shared" si="43"/>
        <v/>
      </c>
      <c r="E97" s="24" t="str">
        <f t="shared" si="43"/>
        <v/>
      </c>
      <c r="F97" s="24" t="str">
        <f t="shared" si="43"/>
        <v/>
      </c>
      <c r="G97" s="24" t="str">
        <f t="shared" si="43"/>
        <v/>
      </c>
      <c r="H97" s="24" t="str">
        <f t="shared" si="43"/>
        <v/>
      </c>
      <c r="I97" s="24" t="str">
        <f t="shared" si="43"/>
        <v/>
      </c>
      <c r="J97" s="24" t="str">
        <f t="shared" si="43"/>
        <v/>
      </c>
      <c r="K97" s="25" t="str">
        <f t="shared" si="43"/>
        <v/>
      </c>
      <c r="N97" s="3996"/>
      <c r="O97" s="3998"/>
    </row>
    <row r="98" spans="1:15" ht="13.35" customHeight="1">
      <c r="A98" s="21" t="str">
        <f>$A67</f>
        <v>DCR Mortgage C</v>
      </c>
      <c r="B98" s="24" t="str">
        <f t="shared" ref="B98:K98" si="44">IF(B91=0,"",-(B88+B89+B90)/B91)</f>
        <v/>
      </c>
      <c r="C98" s="24" t="str">
        <f t="shared" si="44"/>
        <v/>
      </c>
      <c r="D98" s="24" t="str">
        <f t="shared" si="44"/>
        <v/>
      </c>
      <c r="E98" s="24" t="str">
        <f t="shared" si="44"/>
        <v/>
      </c>
      <c r="F98" s="24" t="str">
        <f t="shared" si="44"/>
        <v/>
      </c>
      <c r="G98" s="24" t="str">
        <f t="shared" si="44"/>
        <v/>
      </c>
      <c r="H98" s="24" t="str">
        <f t="shared" si="44"/>
        <v/>
      </c>
      <c r="I98" s="24" t="str">
        <f t="shared" si="44"/>
        <v/>
      </c>
      <c r="J98" s="24" t="str">
        <f t="shared" si="44"/>
        <v/>
      </c>
      <c r="K98" s="25" t="str">
        <f t="shared" si="44"/>
        <v/>
      </c>
      <c r="N98" s="3996"/>
      <c r="O98" s="3998"/>
    </row>
    <row r="99" spans="1:15" ht="13.35" customHeight="1">
      <c r="A99" s="21" t="str">
        <f>$A68</f>
        <v>DCR Other Source</v>
      </c>
      <c r="B99" s="24" t="str">
        <f t="shared" ref="B99:K99" si="45">IF(B92=0,"",-(B88+B89+B90+B91)/B92)</f>
        <v/>
      </c>
      <c r="C99" s="24" t="str">
        <f t="shared" si="45"/>
        <v/>
      </c>
      <c r="D99" s="24" t="str">
        <f t="shared" si="45"/>
        <v/>
      </c>
      <c r="E99" s="24" t="str">
        <f t="shared" si="45"/>
        <v/>
      </c>
      <c r="F99" s="24" t="str">
        <f t="shared" si="45"/>
        <v/>
      </c>
      <c r="G99" s="24" t="str">
        <f t="shared" si="45"/>
        <v/>
      </c>
      <c r="H99" s="24" t="str">
        <f t="shared" si="45"/>
        <v/>
      </c>
      <c r="I99" s="24" t="str">
        <f t="shared" si="45"/>
        <v/>
      </c>
      <c r="J99" s="24" t="str">
        <f t="shared" si="45"/>
        <v/>
      </c>
      <c r="K99" s="25" t="str">
        <f t="shared" si="45"/>
        <v/>
      </c>
      <c r="N99" s="3996"/>
      <c r="O99" s="3998"/>
    </row>
    <row r="100" spans="1:15" ht="13.35" customHeight="1">
      <c r="A100" s="417" t="s">
        <v>3532</v>
      </c>
      <c r="B100" s="24" t="str">
        <f t="shared" ref="B100:K100" si="46">IF(AND(B89=0,B90=0,B91=0,B92=0),"",-B88/(B89+B90+B91+B92))</f>
        <v/>
      </c>
      <c r="C100" s="24" t="str">
        <f t="shared" si="46"/>
        <v/>
      </c>
      <c r="D100" s="24" t="str">
        <f t="shared" si="46"/>
        <v/>
      </c>
      <c r="E100" s="24" t="str">
        <f t="shared" si="46"/>
        <v/>
      </c>
      <c r="F100" s="24" t="str">
        <f t="shared" si="46"/>
        <v/>
      </c>
      <c r="G100" s="24" t="str">
        <f t="shared" si="46"/>
        <v/>
      </c>
      <c r="H100" s="24" t="str">
        <f t="shared" si="46"/>
        <v/>
      </c>
      <c r="I100" s="24" t="str">
        <f t="shared" si="46"/>
        <v/>
      </c>
      <c r="J100" s="24" t="str">
        <f t="shared" si="46"/>
        <v/>
      </c>
      <c r="K100" s="25" t="str">
        <f t="shared" si="46"/>
        <v/>
      </c>
      <c r="N100" s="3996"/>
      <c r="O100" s="3998"/>
    </row>
    <row r="101" spans="1:15" ht="13.35" customHeight="1">
      <c r="A101" s="21" t="s">
        <v>752</v>
      </c>
      <c r="B101" s="265">
        <f>IF(OR(B85="Choose mgt fee",B85="Choose One!"),"",(B78+B79+B80+B81+B82) / -(B84+B85+B86))</f>
        <v>1.184255035607523</v>
      </c>
      <c r="C101" s="265">
        <f t="shared" ref="C101:K101" si="47">IF(OR(C85="Choose mgt fee",C85="Choose One!"),"",(C78+C79+C80+C81+C82) / -(C84+C85+C86))</f>
        <v>1.1738370752157814</v>
      </c>
      <c r="D101" s="265">
        <f t="shared" si="47"/>
        <v>1.163501231530913</v>
      </c>
      <c r="E101" s="265">
        <f t="shared" si="47"/>
        <v>1.1532460868265684</v>
      </c>
      <c r="F101" s="265">
        <f t="shared" si="47"/>
        <v>1.1430737449745592</v>
      </c>
      <c r="G101" s="265">
        <f t="shared" si="47"/>
        <v>1.1329827086023829</v>
      </c>
      <c r="H101" s="265">
        <f t="shared" si="47"/>
        <v>1.1229700701739176</v>
      </c>
      <c r="I101" s="265">
        <f t="shared" si="47"/>
        <v>1.1130393077642031</v>
      </c>
      <c r="J101" s="265">
        <f t="shared" si="47"/>
        <v>1.1031861000467651</v>
      </c>
      <c r="K101" s="266">
        <f t="shared" si="47"/>
        <v>1.0934122716337149</v>
      </c>
      <c r="N101" s="3996"/>
      <c r="O101" s="3998"/>
    </row>
    <row r="102" spans="1:15" ht="13.35" customHeight="1">
      <c r="A102" s="417" t="s">
        <v>2550</v>
      </c>
      <c r="B102" s="4115"/>
      <c r="C102" s="4115"/>
      <c r="D102" s="4115"/>
      <c r="E102" s="4115"/>
      <c r="F102" s="4115"/>
      <c r="G102" s="4115"/>
      <c r="H102" s="4115"/>
      <c r="I102" s="4115"/>
      <c r="J102" s="4115"/>
      <c r="K102" s="4115"/>
      <c r="N102" s="3996"/>
      <c r="O102" s="3998"/>
    </row>
    <row r="103" spans="1:15" ht="13.35" customHeight="1">
      <c r="A103" s="417" t="s">
        <v>2551</v>
      </c>
      <c r="B103" s="4110">
        <f>IF('Part III-Sources of Funds'!$I$39="","",-FV('Part III-Sources of Funds'!$K$39/12,12,B90/12,K72))</f>
        <v>0</v>
      </c>
      <c r="C103" s="4110">
        <f>IF('Part III-Sources of Funds'!$I$39="","",-FV('Part III-Sources of Funds'!$K$39/12,12,C90/12,B103))</f>
        <v>0</v>
      </c>
      <c r="D103" s="4110">
        <f>IF('Part III-Sources of Funds'!$I$39="","",-FV('Part III-Sources of Funds'!$K$39/12,12,D90/12,C103))</f>
        <v>0</v>
      </c>
      <c r="E103" s="4110">
        <f>IF('Part III-Sources of Funds'!$I$39="","",-FV('Part III-Sources of Funds'!$K$39/12,12,E90/12,D103))</f>
        <v>0</v>
      </c>
      <c r="F103" s="4110">
        <f>IF('Part III-Sources of Funds'!$I$39="","",-FV('Part III-Sources of Funds'!$K$39/12,12,F90/12,E103))</f>
        <v>0</v>
      </c>
      <c r="G103" s="4110">
        <f>IF('Part III-Sources of Funds'!$I$39="","",-FV('Part III-Sources of Funds'!$K$39/12,12,G90/12,F103))</f>
        <v>0</v>
      </c>
      <c r="H103" s="4110">
        <f>IF('Part III-Sources of Funds'!$I$39="","",-FV('Part III-Sources of Funds'!$K$39/12,12,H90/12,G103))</f>
        <v>0</v>
      </c>
      <c r="I103" s="4110">
        <f>IF('Part III-Sources of Funds'!$I$39="","",-FV('Part III-Sources of Funds'!$K$39/12,12,I90/12,H103))</f>
        <v>0</v>
      </c>
      <c r="J103" s="4110">
        <f>IF('Part III-Sources of Funds'!$I$39="","",-FV('Part III-Sources of Funds'!$K$39/12,12,J90/12,I103))</f>
        <v>0</v>
      </c>
      <c r="K103" s="4110">
        <f>IF('Part III-Sources of Funds'!$I$39="","",-FV('Part III-Sources of Funds'!$K$39/12,12,K90/12,J103))</f>
        <v>0</v>
      </c>
      <c r="N103" s="3996"/>
      <c r="O103" s="3998"/>
    </row>
    <row r="104" spans="1:15" ht="13.35" customHeight="1">
      <c r="A104" s="417" t="s">
        <v>2552</v>
      </c>
      <c r="B104" s="4110" t="str">
        <f>IF('Part III-Sources of Funds'!$I$40="","",-FV('Part III-Sources of Funds'!$K$40/12,12,B91/12,K73))</f>
        <v/>
      </c>
      <c r="C104" s="4110" t="str">
        <f>IF('Part III-Sources of Funds'!$I$40="","",-FV('Part III-Sources of Funds'!$K$40/12,12,C91/12,B104))</f>
        <v/>
      </c>
      <c r="D104" s="4110" t="str">
        <f>IF('Part III-Sources of Funds'!$I$40="","",-FV('Part III-Sources of Funds'!$K$40/12,12,D91/12,C104))</f>
        <v/>
      </c>
      <c r="E104" s="4110" t="str">
        <f>IF('Part III-Sources of Funds'!$I$40="","",-FV('Part III-Sources of Funds'!$K$40/12,12,E91/12,D104))</f>
        <v/>
      </c>
      <c r="F104" s="4110" t="str">
        <f>IF('Part III-Sources of Funds'!$I$40="","",-FV('Part III-Sources of Funds'!$K$40/12,12,F91/12,E104))</f>
        <v/>
      </c>
      <c r="G104" s="4110" t="str">
        <f>IF('Part III-Sources of Funds'!$I$40="","",-FV('Part III-Sources of Funds'!$K$40/12,12,G91/12,F104))</f>
        <v/>
      </c>
      <c r="H104" s="4110" t="str">
        <f>IF('Part III-Sources of Funds'!$I$40="","",-FV('Part III-Sources of Funds'!$K$40/12,12,H91/12,G104))</f>
        <v/>
      </c>
      <c r="I104" s="4110" t="str">
        <f>IF('Part III-Sources of Funds'!$I$40="","",-FV('Part III-Sources of Funds'!$K$40/12,12,I91/12,H104))</f>
        <v/>
      </c>
      <c r="J104" s="4110" t="str">
        <f>IF('Part III-Sources of Funds'!$I$40="","",-FV('Part III-Sources of Funds'!$K$40/12,12,J91/12,I104))</f>
        <v/>
      </c>
      <c r="K104" s="4110" t="str">
        <f>IF('Part III-Sources of Funds'!$I$40="","",-FV('Part III-Sources of Funds'!$K$40/12,12,K91/12,J104))</f>
        <v/>
      </c>
      <c r="N104" s="3996"/>
      <c r="O104" s="3998"/>
    </row>
    <row r="105" spans="1:15" ht="13.35" customHeight="1">
      <c r="A105" s="21" t="s">
        <v>764</v>
      </c>
      <c r="B105" s="4114" t="str">
        <f>IF('Part III-Sources of Funds'!$I$41="","",-FV('Part III-Sources of Funds'!$K$41/12,12,B92/12,K74))</f>
        <v/>
      </c>
      <c r="C105" s="4114" t="str">
        <f>IF('Part III-Sources of Funds'!$I$41="","",-FV('Part III-Sources of Funds'!$K$41/12,12,C92/12,B105))</f>
        <v/>
      </c>
      <c r="D105" s="4114" t="str">
        <f>IF('Part III-Sources of Funds'!$I$41="","",-FV('Part III-Sources of Funds'!$K$41/12,12,D92/12,C105))</f>
        <v/>
      </c>
      <c r="E105" s="4114" t="str">
        <f>IF('Part III-Sources of Funds'!$I$41="","",-FV('Part III-Sources of Funds'!$K$41/12,12,E92/12,D105))</f>
        <v/>
      </c>
      <c r="F105" s="4114" t="str">
        <f>IF('Part III-Sources of Funds'!$I$41="","",-FV('Part III-Sources of Funds'!$K$41/12,12,F92/12,E105))</f>
        <v/>
      </c>
      <c r="G105" s="4114" t="str">
        <f>IF('Part III-Sources of Funds'!$I$41="","",-FV('Part III-Sources of Funds'!$K$41/12,12,G92/12,F105))</f>
        <v/>
      </c>
      <c r="H105" s="4114" t="str">
        <f>IF('Part III-Sources of Funds'!$I$41="","",-FV('Part III-Sources of Funds'!$K$41/12,12,H92/12,G105))</f>
        <v/>
      </c>
      <c r="I105" s="4114" t="str">
        <f>IF('Part III-Sources of Funds'!$I$41="","",-FV('Part III-Sources of Funds'!$K$41/12,12,I92/12,H105))</f>
        <v/>
      </c>
      <c r="J105" s="4114" t="str">
        <f>IF('Part III-Sources of Funds'!$I$41="","",-FV('Part III-Sources of Funds'!$K$41/12,12,J92/12,I105))</f>
        <v/>
      </c>
      <c r="K105" s="4114" t="str">
        <f>IF('Part III-Sources of Funds'!$I$41="","",-FV('Part III-Sources of Funds'!$K$41/12,12,K92/12,J105))</f>
        <v/>
      </c>
      <c r="N105" s="4027"/>
      <c r="O105" s="4029"/>
    </row>
    <row r="106" spans="1:15" ht="4.3499999999999996" customHeight="1">
      <c r="B106" s="17"/>
      <c r="C106" s="17"/>
      <c r="D106" s="17"/>
      <c r="E106" s="17"/>
      <c r="F106" s="17"/>
      <c r="G106" s="17"/>
      <c r="H106" s="17"/>
      <c r="I106" s="17"/>
      <c r="J106" s="17"/>
      <c r="K106" s="17"/>
    </row>
    <row r="107" spans="1:15" ht="14.4" customHeight="1">
      <c r="A107" s="13" t="s">
        <v>2416</v>
      </c>
      <c r="B107" s="15">
        <f>K77+1</f>
        <v>31</v>
      </c>
      <c r="C107" s="15">
        <f>B107+1</f>
        <v>32</v>
      </c>
      <c r="D107" s="15">
        <f>C107+1</f>
        <v>33</v>
      </c>
      <c r="E107" s="15">
        <f>D107+1</f>
        <v>34</v>
      </c>
      <c r="F107" s="15">
        <f>E107+1</f>
        <v>35</v>
      </c>
      <c r="G107" s="17"/>
      <c r="H107" s="17"/>
      <c r="I107" s="17"/>
      <c r="J107" s="17"/>
      <c r="K107" s="17"/>
      <c r="N107" s="2509" t="s">
        <v>3523</v>
      </c>
      <c r="O107" s="2509"/>
    </row>
    <row r="108" spans="1:15" ht="13.35" customHeight="1">
      <c r="A108" s="18" t="s">
        <v>2342</v>
      </c>
      <c r="B108" s="19">
        <f>$B$14*(1+$B$5)^(B107-1)</f>
        <v>921207.78355061065</v>
      </c>
      <c r="C108" s="19">
        <f>$B$14*(1+$B$5)^(C107-1)</f>
        <v>939631.93922162266</v>
      </c>
      <c r="D108" s="19">
        <f>$B$14*(1+$B$5)^(D107-1)</f>
        <v>958424.57800605532</v>
      </c>
      <c r="E108" s="19">
        <f>$B$14*(1+$B$5)^(E107-1)</f>
        <v>977593.06956617651</v>
      </c>
      <c r="F108" s="596">
        <f>$B$14*(1+$B$5)^(F107-1)</f>
        <v>997144.93095749989</v>
      </c>
      <c r="G108" s="17"/>
      <c r="H108" s="17"/>
      <c r="I108" s="17"/>
      <c r="J108" s="17"/>
      <c r="K108" s="17"/>
      <c r="N108" s="4034"/>
      <c r="O108" s="4036"/>
    </row>
    <row r="109" spans="1:15" ht="13.35" customHeight="1">
      <c r="A109" s="21" t="s">
        <v>994</v>
      </c>
      <c r="B109" s="22">
        <f>$B$15*(1+$B$5)^(B107-1)</f>
        <v>18424.155671012213</v>
      </c>
      <c r="C109" s="22">
        <f>$B$15*(1+$B$5)^(C107-1)</f>
        <v>18792.638784432456</v>
      </c>
      <c r="D109" s="22">
        <f>$B$15*(1+$B$5)^(D107-1)</f>
        <v>19168.491560121107</v>
      </c>
      <c r="E109" s="22">
        <f>$B$15*(1+$B$5)^(E107-1)</f>
        <v>19551.861391323531</v>
      </c>
      <c r="F109" s="23">
        <f>$B$15*(1+$B$5)^(F107-1)</f>
        <v>19942.898619150001</v>
      </c>
      <c r="G109" s="17"/>
      <c r="H109" s="17"/>
      <c r="I109" s="17"/>
      <c r="J109" s="17"/>
      <c r="K109" s="17"/>
      <c r="N109" s="3996"/>
      <c r="O109" s="3998"/>
    </row>
    <row r="110" spans="1:15" ht="13.35" customHeight="1">
      <c r="A110" s="21" t="s">
        <v>2343</v>
      </c>
      <c r="B110" s="22">
        <f>-(B108+B109)*$B$8</f>
        <v>-65774.235745513608</v>
      </c>
      <c r="C110" s="22">
        <f>-(C108+C109)*$B$8</f>
        <v>-67089.720460423865</v>
      </c>
      <c r="D110" s="22">
        <f>-(D108+D109)*$B$8</f>
        <v>-68431.514869632359</v>
      </c>
      <c r="E110" s="22">
        <f>-(E108+E109)*$B$8</f>
        <v>-69800.14516702501</v>
      </c>
      <c r="F110" s="23">
        <f>-(F108+F109)*$B$8</f>
        <v>-71196.148070365496</v>
      </c>
      <c r="G110" s="17"/>
      <c r="H110" s="17"/>
      <c r="I110" s="17"/>
      <c r="J110" s="17"/>
      <c r="K110" s="17"/>
      <c r="N110" s="3996"/>
      <c r="O110" s="3998"/>
    </row>
    <row r="111" spans="1:15" ht="13.35" customHeight="1">
      <c r="A111" s="21" t="s">
        <v>50</v>
      </c>
      <c r="B111" s="22">
        <f>'Part VI-Revenues &amp; Expenses'!H211</f>
        <v>0</v>
      </c>
      <c r="C111" s="22">
        <f>'Part VI-Revenues &amp; Expenses'!I211</f>
        <v>0</v>
      </c>
      <c r="D111" s="22">
        <f>'Part VI-Revenues &amp; Expenses'!J211</f>
        <v>0</v>
      </c>
      <c r="E111" s="22">
        <f>'Part VI-Revenues &amp; Expenses'!K211</f>
        <v>0</v>
      </c>
      <c r="F111" s="23">
        <f>'Part VI-Revenues &amp; Expenses'!L211</f>
        <v>0</v>
      </c>
      <c r="G111" s="17"/>
      <c r="H111" s="17"/>
      <c r="I111" s="17"/>
      <c r="J111" s="17"/>
      <c r="K111" s="17"/>
      <c r="N111" s="3996"/>
      <c r="O111" s="3998"/>
    </row>
    <row r="112" spans="1:15" ht="13.35" customHeight="1">
      <c r="A112" s="21" t="s">
        <v>51</v>
      </c>
      <c r="B112" s="22">
        <f>'Part VI-Revenues &amp; Expenses'!H215</f>
        <v>0</v>
      </c>
      <c r="C112" s="22">
        <f>'Part VI-Revenues &amp; Expenses'!I215</f>
        <v>0</v>
      </c>
      <c r="D112" s="22">
        <f>'Part VI-Revenues &amp; Expenses'!J215</f>
        <v>0</v>
      </c>
      <c r="E112" s="22">
        <f>'Part VI-Revenues &amp; Expenses'!K215</f>
        <v>0</v>
      </c>
      <c r="F112" s="23">
        <f>'Part VI-Revenues &amp; Expenses'!L215</f>
        <v>0</v>
      </c>
      <c r="G112" s="17"/>
      <c r="H112" s="17"/>
      <c r="I112" s="17"/>
      <c r="J112" s="17"/>
      <c r="K112" s="17"/>
      <c r="N112" s="3996"/>
      <c r="O112" s="3998"/>
    </row>
    <row r="113" spans="1:19" ht="13.35" customHeight="1">
      <c r="A113" s="417" t="s">
        <v>4376</v>
      </c>
      <c r="B113" s="22">
        <f>SUM(B108:B112)</f>
        <v>873857.70347610931</v>
      </c>
      <c r="C113" s="22">
        <f>SUM(C108:C112)</f>
        <v>891334.85754563124</v>
      </c>
      <c r="D113" s="22">
        <f>SUM(D108:D112)</f>
        <v>909161.55469654407</v>
      </c>
      <c r="E113" s="22">
        <f>SUM(E108:E112)</f>
        <v>927344.78579047497</v>
      </c>
      <c r="F113" s="23">
        <f>SUM(F108:F112)</f>
        <v>945891.6815062844</v>
      </c>
      <c r="G113" s="17"/>
      <c r="H113" s="17"/>
      <c r="I113" s="17"/>
      <c r="J113" s="17"/>
      <c r="K113" s="17"/>
      <c r="N113" s="3996"/>
      <c r="O113" s="3998"/>
    </row>
    <row r="114" spans="1:19" ht="13.35" customHeight="1">
      <c r="A114" s="21" t="s">
        <v>597</v>
      </c>
      <c r="B114" s="22">
        <f>$B$20*(1+$B$6)^(B107-1)</f>
        <v>-692752.84558988467</v>
      </c>
      <c r="C114" s="22">
        <f>$B$20*(1+$B$6)^(C107-1)</f>
        <v>-713535.43095758127</v>
      </c>
      <c r="D114" s="22">
        <f>$B$20*(1+$B$6)^(D107-1)</f>
        <v>-734941.49388630863</v>
      </c>
      <c r="E114" s="22">
        <f>$B$20*(1+$B$6)^(E107-1)</f>
        <v>-756989.73870289791</v>
      </c>
      <c r="F114" s="23">
        <f>$B$20*(1+$B$6)^(F107-1)</f>
        <v>-779699.43086398474</v>
      </c>
      <c r="G114" s="17"/>
      <c r="H114" s="17"/>
      <c r="I114" s="17"/>
      <c r="J114" s="17"/>
      <c r="K114" s="17"/>
      <c r="N114" s="3996"/>
      <c r="O114" s="3998"/>
    </row>
    <row r="115" spans="1:19" ht="13.35" customHeight="1">
      <c r="A115" s="21" t="s">
        <v>1093</v>
      </c>
      <c r="B115" s="22">
        <f>IF(AND('Part VII-Pro Forma'!$G$8="Yes",'Part VII-Pro Forma'!$G$9="Yes"),"Choose One!",IF('Part VII-Pro Forma'!$G$8="Yes",ROUND((-$K$8*(1+'Part VII-Pro Forma'!$B$6)^('Part VII-Pro Forma'!B107-1)),),IF('Part VII-Pro Forma'!$G$9="Yes",ROUND((-(SUM(B108:B111)*'Part VII-Pro Forma'!$K$9)),),"Choose mgt fee")))</f>
        <v>-69909</v>
      </c>
      <c r="C115" s="22">
        <f>IF(AND('Part VII-Pro Forma'!$G$8="Yes",'Part VII-Pro Forma'!$G$9="Yes"),"Choose One!",IF('Part VII-Pro Forma'!$G$8="Yes",ROUND((-$K$8*(1+'Part VII-Pro Forma'!$B$6)^('Part VII-Pro Forma'!C107-1)),),IF('Part VII-Pro Forma'!$G$9="Yes",ROUND((-(SUM(C108:C111)*'Part VII-Pro Forma'!$K$9)),),"Choose mgt fee")))</f>
        <v>-71307</v>
      </c>
      <c r="D115" s="22">
        <f>IF(AND('Part VII-Pro Forma'!$G$8="Yes",'Part VII-Pro Forma'!$G$9="Yes"),"Choose One!",IF('Part VII-Pro Forma'!$G$8="Yes",ROUND((-$K$8*(1+'Part VII-Pro Forma'!$B$6)^('Part VII-Pro Forma'!D107-1)),),IF('Part VII-Pro Forma'!$G$9="Yes",ROUND((-(SUM(D108:D111)*'Part VII-Pro Forma'!$K$9)),),"Choose mgt fee")))</f>
        <v>-72733</v>
      </c>
      <c r="E115" s="22">
        <f>IF(AND('Part VII-Pro Forma'!$G$8="Yes",'Part VII-Pro Forma'!$G$9="Yes"),"Choose One!",IF('Part VII-Pro Forma'!$G$8="Yes",ROUND((-$K$8*(1+'Part VII-Pro Forma'!$B$6)^('Part VII-Pro Forma'!E107-1)),),IF('Part VII-Pro Forma'!$G$9="Yes",ROUND((-(SUM(E108:E111)*'Part VII-Pro Forma'!$K$9)),),"Choose mgt fee")))</f>
        <v>-74188</v>
      </c>
      <c r="F115" s="23">
        <f>IF(AND('Part VII-Pro Forma'!$G$8="Yes",'Part VII-Pro Forma'!$G$9="Yes"),"Choose One!",IF('Part VII-Pro Forma'!$G$8="Yes",ROUND((-$K$8*(1+'Part VII-Pro Forma'!$B$6)^('Part VII-Pro Forma'!F107-1)),),IF('Part VII-Pro Forma'!$G$9="Yes",ROUND((-(SUM(F108:F111)*'Part VII-Pro Forma'!$K$9)),),"Choose mgt fee")))</f>
        <v>-75671</v>
      </c>
      <c r="G115" s="17"/>
      <c r="H115" s="17"/>
      <c r="I115" s="17"/>
      <c r="J115" s="17"/>
      <c r="K115" s="17"/>
      <c r="N115" s="3996"/>
      <c r="O115" s="3998"/>
    </row>
    <row r="116" spans="1:19" ht="13.35" customHeight="1">
      <c r="A116" s="21" t="s">
        <v>1176</v>
      </c>
      <c r="B116" s="22">
        <f>$B$22*(1+$B$7)^(B107-1)</f>
        <v>-43690.724481413861</v>
      </c>
      <c r="C116" s="22">
        <f>$B$22*(1+$B$7)^(C107-1)</f>
        <v>-45001.446215856289</v>
      </c>
      <c r="D116" s="22">
        <f>$B$22*(1+$B$7)^(D107-1)</f>
        <v>-46351.489602331967</v>
      </c>
      <c r="E116" s="22">
        <f>$B$22*(1+$B$7)^(E107-1)</f>
        <v>-47742.034290401927</v>
      </c>
      <c r="F116" s="23">
        <f>$B$22*(1+$B$7)^(F107-1)</f>
        <v>-49174.295319113975</v>
      </c>
      <c r="G116" s="17"/>
      <c r="H116" s="17"/>
      <c r="I116" s="17"/>
      <c r="J116" s="17"/>
      <c r="K116" s="17"/>
      <c r="N116" s="3996"/>
      <c r="O116" s="3998"/>
      <c r="Q116" s="929">
        <v>10</v>
      </c>
      <c r="R116" s="1043">
        <f>-SUM(B122:K122)</f>
        <v>0</v>
      </c>
      <c r="S116" s="1043">
        <f>SUM(B123:K123)+R116</f>
        <v>0</v>
      </c>
    </row>
    <row r="117" spans="1:19" ht="13.35" customHeight="1">
      <c r="A117" s="417" t="s">
        <v>4375</v>
      </c>
      <c r="B117" s="4108">
        <f>IF(B107&lt;=+'Part VI-Revenues &amp; Expenses'!$N$250,-'Part VI-Revenues &amp; Expenses'!$K$250,0)</f>
        <v>0</v>
      </c>
      <c r="C117" s="4108">
        <f>IF(C107&lt;=+'Part VI-Revenues &amp; Expenses'!$N$250,-'Part VI-Revenues &amp; Expenses'!$K$250,0)</f>
        <v>0</v>
      </c>
      <c r="D117" s="4108">
        <f>IF(D107&lt;=+'Part VI-Revenues &amp; Expenses'!$N$250,-'Part VI-Revenues &amp; Expenses'!$K$250,0)</f>
        <v>0</v>
      </c>
      <c r="E117" s="4108">
        <f>IF(E107&lt;=+'Part VI-Revenues &amp; Expenses'!$N$250,-'Part VI-Revenues &amp; Expenses'!$K$250,0)</f>
        <v>0</v>
      </c>
      <c r="F117" s="4108">
        <f>IF(F107&lt;=+'Part VI-Revenues &amp; Expenses'!$N$250,-'Part VI-Revenues &amp; Expenses'!$K$250,0)</f>
        <v>0</v>
      </c>
      <c r="G117" s="17"/>
      <c r="H117" s="17"/>
      <c r="I117" s="17"/>
      <c r="J117" s="17"/>
      <c r="K117" s="17"/>
      <c r="N117" s="3996"/>
      <c r="O117" s="3998"/>
    </row>
    <row r="118" spans="1:19" ht="13.35" customHeight="1">
      <c r="A118" s="21" t="s">
        <v>1177</v>
      </c>
      <c r="B118" s="22">
        <f>SUM(B113:B117)</f>
        <v>67505.133404810767</v>
      </c>
      <c r="C118" s="22">
        <f>SUM(C113:C117)</f>
        <v>61490.980372193684</v>
      </c>
      <c r="D118" s="22">
        <f>SUM(D113:D117)</f>
        <v>55135.571207903478</v>
      </c>
      <c r="E118" s="22">
        <f>SUM(E113:E117)</f>
        <v>48425.012797175128</v>
      </c>
      <c r="F118" s="1482">
        <f>SUM(F113:F117)</f>
        <v>41346.955323185677</v>
      </c>
      <c r="G118" s="17"/>
      <c r="H118" s="17"/>
      <c r="I118" s="17"/>
      <c r="J118" s="17"/>
      <c r="K118" s="17"/>
      <c r="N118" s="3996"/>
      <c r="O118" s="3998"/>
    </row>
    <row r="119" spans="1:19" ht="13.35" customHeight="1">
      <c r="A119" s="21" t="str">
        <f>$A89</f>
        <v>Mortgage A</v>
      </c>
      <c r="B119" s="4109"/>
      <c r="C119" s="4109"/>
      <c r="D119" s="4109"/>
      <c r="E119" s="4109"/>
      <c r="F119" s="4109"/>
      <c r="G119" s="17"/>
      <c r="H119" s="17"/>
      <c r="I119" s="17"/>
      <c r="J119" s="17"/>
      <c r="K119" s="17"/>
      <c r="N119" s="3996"/>
      <c r="O119" s="3998"/>
    </row>
    <row r="120" spans="1:19" ht="13.35" customHeight="1">
      <c r="A120" s="21" t="str">
        <f>$A90</f>
        <v>Mortgage B</v>
      </c>
      <c r="B120" s="4110"/>
      <c r="C120" s="4110"/>
      <c r="D120" s="4110"/>
      <c r="E120" s="4110"/>
      <c r="F120" s="4110"/>
      <c r="G120" s="17"/>
      <c r="H120" s="17"/>
      <c r="I120" s="17"/>
      <c r="J120" s="17"/>
      <c r="K120" s="17"/>
      <c r="N120" s="3996"/>
      <c r="O120" s="3998"/>
    </row>
    <row r="121" spans="1:19" ht="13.35" customHeight="1">
      <c r="A121" s="21" t="str">
        <f>$A91</f>
        <v>Mortgage C</v>
      </c>
      <c r="B121" s="4110">
        <f>IF('Part III-Sources of Funds'!$P$40="", 0,-'Part III-Sources of Funds'!$P$40)</f>
        <v>0</v>
      </c>
      <c r="C121" s="4110">
        <f>IF('Part III-Sources of Funds'!$P$40="", 0,-'Part III-Sources of Funds'!$P$40)</f>
        <v>0</v>
      </c>
      <c r="D121" s="4110">
        <f>IF('Part III-Sources of Funds'!$P$40="", 0,-'Part III-Sources of Funds'!$P$40)</f>
        <v>0</v>
      </c>
      <c r="E121" s="4110">
        <f>IF('Part III-Sources of Funds'!$P$40="", 0,-'Part III-Sources of Funds'!$P$40)</f>
        <v>0</v>
      </c>
      <c r="F121" s="4110">
        <f>IF('Part III-Sources of Funds'!$P$40="", 0,-'Part III-Sources of Funds'!$P$40)</f>
        <v>0</v>
      </c>
      <c r="G121" s="17"/>
      <c r="H121" s="17"/>
      <c r="I121" s="17"/>
      <c r="J121" s="17"/>
      <c r="K121" s="17"/>
      <c r="N121" s="3996"/>
      <c r="O121" s="3998"/>
    </row>
    <row r="122" spans="1:19" ht="13.35" customHeight="1">
      <c r="A122" s="21" t="str">
        <f>$A92</f>
        <v>D/S Other Source,not DDF</v>
      </c>
      <c r="B122" s="4110">
        <f>IF('Part III-Sources of Funds'!$P$41="", 0,-'Part III-Sources of Funds'!$P$41)</f>
        <v>0</v>
      </c>
      <c r="C122" s="4110">
        <f>IF('Part III-Sources of Funds'!$P$41="", 0,-'Part III-Sources of Funds'!$P$41)</f>
        <v>0</v>
      </c>
      <c r="D122" s="4110">
        <f>IF('Part III-Sources of Funds'!$P$41="", 0,-'Part III-Sources of Funds'!$P$41)</f>
        <v>0</v>
      </c>
      <c r="E122" s="4110">
        <f>IF('Part III-Sources of Funds'!$P$41="", 0,-'Part III-Sources of Funds'!$P$41)</f>
        <v>0</v>
      </c>
      <c r="F122" s="4110">
        <f>IF('Part III-Sources of Funds'!$P$41="", 0,-'Part III-Sources of Funds'!$P$41)</f>
        <v>0</v>
      </c>
      <c r="G122" s="17"/>
      <c r="H122" s="17"/>
      <c r="I122" s="17"/>
      <c r="J122" s="17"/>
      <c r="K122" s="17"/>
      <c r="N122" s="3996"/>
      <c r="O122" s="3998"/>
    </row>
    <row r="123" spans="1:19" ht="13.35" customHeight="1">
      <c r="A123" s="21" t="s">
        <v>745</v>
      </c>
      <c r="B123" s="4111"/>
      <c r="C123" s="4111"/>
      <c r="D123" s="4111"/>
      <c r="E123" s="4111"/>
      <c r="F123" s="4111"/>
      <c r="G123" s="17"/>
      <c r="H123" s="17"/>
      <c r="I123" s="17"/>
      <c r="J123" s="17"/>
      <c r="K123" s="17"/>
      <c r="N123" s="3996"/>
      <c r="O123" s="3998"/>
    </row>
    <row r="124" spans="1:19" ht="13.35" customHeight="1">
      <c r="A124" s="21" t="s">
        <v>1141</v>
      </c>
      <c r="B124" s="4114">
        <f>+K94</f>
        <v>-9468.932686616341</v>
      </c>
      <c r="C124" s="4114">
        <f>+B124</f>
        <v>-9468.932686616341</v>
      </c>
      <c r="D124" s="4114">
        <f>+C124</f>
        <v>-9468.932686616341</v>
      </c>
      <c r="E124" s="4114">
        <f>+D124</f>
        <v>-9468.932686616341</v>
      </c>
      <c r="F124" s="4114">
        <f>+E124</f>
        <v>-9468.932686616341</v>
      </c>
      <c r="G124" s="17"/>
      <c r="H124" s="17"/>
      <c r="I124" s="17"/>
      <c r="J124" s="17"/>
      <c r="K124" s="17"/>
      <c r="N124" s="3996"/>
      <c r="O124" s="3998"/>
    </row>
    <row r="125" spans="1:19" ht="13.35" customHeight="1">
      <c r="A125" s="21" t="s">
        <v>1142</v>
      </c>
      <c r="B125" s="22">
        <f>SUM(B118:B124)</f>
        <v>58036.200718194428</v>
      </c>
      <c r="C125" s="22">
        <f>SUM(C118:C124)</f>
        <v>52022.047685577345</v>
      </c>
      <c r="D125" s="22">
        <f>SUM(D118:D124)</f>
        <v>45666.638521287139</v>
      </c>
      <c r="E125" s="22">
        <f>SUM(E118:E124)</f>
        <v>38956.080110558789</v>
      </c>
      <c r="F125" s="23">
        <f>SUM(F118:F124)</f>
        <v>31878.022636569338</v>
      </c>
      <c r="G125" s="17"/>
      <c r="H125" s="17"/>
      <c r="I125" s="17"/>
      <c r="J125" s="17"/>
      <c r="K125" s="17"/>
      <c r="N125" s="3996"/>
      <c r="O125" s="3998"/>
    </row>
    <row r="126" spans="1:19" ht="13.35" customHeight="1">
      <c r="A126" s="21" t="str">
        <f>$A96</f>
        <v>DCR Mortgage A</v>
      </c>
      <c r="B126" s="24" t="str">
        <f>IF(B119=0,"",-B118/B119)</f>
        <v/>
      </c>
      <c r="C126" s="24" t="str">
        <f>IF(C119=0,"",-C118/C119)</f>
        <v/>
      </c>
      <c r="D126" s="24" t="str">
        <f>IF(D119=0,"",-D118/D119)</f>
        <v/>
      </c>
      <c r="E126" s="24" t="str">
        <f>IF(E119=0,"",-E118/E119)</f>
        <v/>
      </c>
      <c r="F126" s="25" t="str">
        <f>IF(F119=0,"",-F118/F119)</f>
        <v/>
      </c>
      <c r="G126" s="17"/>
      <c r="H126" s="17"/>
      <c r="I126" s="17"/>
      <c r="J126" s="17"/>
      <c r="K126" s="17"/>
      <c r="N126" s="3996"/>
      <c r="O126" s="3998"/>
    </row>
    <row r="127" spans="1:19" ht="13.35" customHeight="1">
      <c r="A127" s="21" t="str">
        <f>$A97</f>
        <v>DCR Mortgage B</v>
      </c>
      <c r="B127" s="24" t="str">
        <f>IF(B120=0,"",-(B118+B119)/B120)</f>
        <v/>
      </c>
      <c r="C127" s="24" t="str">
        <f>IF(C120=0,"",-(C118+C119)/C120)</f>
        <v/>
      </c>
      <c r="D127" s="24" t="str">
        <f>IF(D120=0,"",-(D118+D119)/D120)</f>
        <v/>
      </c>
      <c r="E127" s="24" t="str">
        <f>IF(E120=0,"",-(E118+E119)/E120)</f>
        <v/>
      </c>
      <c r="F127" s="25" t="str">
        <f>IF(F120=0,"",-(F118+F119)/F120)</f>
        <v/>
      </c>
      <c r="G127" s="17"/>
      <c r="H127" s="17"/>
      <c r="I127" s="17"/>
      <c r="J127" s="17"/>
      <c r="K127" s="17"/>
      <c r="N127" s="3996"/>
      <c r="O127" s="3998"/>
    </row>
    <row r="128" spans="1:19" ht="13.35" customHeight="1">
      <c r="A128" s="21" t="str">
        <f>$A98</f>
        <v>DCR Mortgage C</v>
      </c>
      <c r="B128" s="24" t="str">
        <f>IF(B121=0,"",-(B118+B119+B120)/B121)</f>
        <v/>
      </c>
      <c r="C128" s="24" t="str">
        <f>IF(C121=0,"",-(C118+C119+C120)/C121)</f>
        <v/>
      </c>
      <c r="D128" s="24" t="str">
        <f>IF(D121=0,"",-(D118+D119+D120)/D121)</f>
        <v/>
      </c>
      <c r="E128" s="24" t="str">
        <f>IF(E121=0,"",-(E118+E119+E120)/E121)</f>
        <v/>
      </c>
      <c r="F128" s="25" t="str">
        <f>IF(F121=0,"",-(F118+F119+F120)/F121)</f>
        <v/>
      </c>
      <c r="G128" s="17"/>
      <c r="H128" s="17"/>
      <c r="I128" s="17"/>
      <c r="J128" s="17"/>
      <c r="K128" s="17"/>
      <c r="N128" s="3996"/>
      <c r="O128" s="3998"/>
    </row>
    <row r="129" spans="1:19" ht="13.35" customHeight="1">
      <c r="A129" s="21" t="str">
        <f>$A99</f>
        <v>DCR Other Source</v>
      </c>
      <c r="B129" s="24" t="str">
        <f>IF(B122=0,"",-(B118+B119+B120+B121)/B122)</f>
        <v/>
      </c>
      <c r="C129" s="24" t="str">
        <f>IF(C122=0,"",-(C118+C119+C120+C121)/C122)</f>
        <v/>
      </c>
      <c r="D129" s="24" t="str">
        <f>IF(D122=0,"",-(D118+D119+D120+D121)/D122)</f>
        <v/>
      </c>
      <c r="E129" s="24" t="str">
        <f>IF(E122=0,"",-(E118+E119+E120+E121)/E122)</f>
        <v/>
      </c>
      <c r="F129" s="25" t="str">
        <f>IF(F122=0,"",-(F118+F119+F120+F121)/F122)</f>
        <v/>
      </c>
      <c r="G129" s="17"/>
      <c r="H129" s="17"/>
      <c r="I129" s="17"/>
      <c r="J129" s="17"/>
      <c r="K129" s="17"/>
      <c r="N129" s="3996"/>
      <c r="O129" s="3998"/>
    </row>
    <row r="130" spans="1:19" ht="13.35" customHeight="1">
      <c r="A130" s="417" t="s">
        <v>3532</v>
      </c>
      <c r="B130" s="24" t="str">
        <f>IF(AND(B119=0,B120=0,B121=0,B122=0),"",-B118/(B119+B120+B121+B122))</f>
        <v/>
      </c>
      <c r="C130" s="24" t="str">
        <f>IF(AND(C119=0,C120=0,C121=0,C122=0),"",-C118/(C119+C120+C121+C122))</f>
        <v/>
      </c>
      <c r="D130" s="24" t="str">
        <f>IF(AND(D119=0,D120=0,D121=0,D122=0),"",-D118/(D119+D120+D121+D122))</f>
        <v/>
      </c>
      <c r="E130" s="24" t="str">
        <f>IF(AND(E119=0,E120=0,E121=0,E122=0),"",-E118/(E119+E120+E121+E122))</f>
        <v/>
      </c>
      <c r="F130" s="25" t="str">
        <f>IF(AND(F119=0,F120=0,F121=0,F122=0),"",-F118/(F119+F120+F121+F122))</f>
        <v/>
      </c>
      <c r="G130" s="17"/>
      <c r="H130" s="17"/>
      <c r="I130" s="17"/>
      <c r="J130" s="17"/>
      <c r="K130" s="17"/>
      <c r="N130" s="3996"/>
      <c r="O130" s="3998"/>
    </row>
    <row r="131" spans="1:19" ht="13.35" customHeight="1">
      <c r="A131" s="21" t="s">
        <v>752</v>
      </c>
      <c r="B131" s="265">
        <f>IF(OR(B115="Choose mgt fee",B115="Choose One!"),"",(B108+B109+B110+B111+B112) / -(B114+B115+B116))</f>
        <v>1.0837166469238659</v>
      </c>
      <c r="C131" s="265">
        <f>IF(OR(C115="Choose mgt fee",C115="Choose One!"),"",(C108+C109+C110+C111+C112) / -(C114+C115+C116))</f>
        <v>1.0740994566130204</v>
      </c>
      <c r="D131" s="265">
        <f>IF(OR(D115="Choose mgt fee",D115="Choose One!"),"",(D108+D109+D110+D111+D112) / -(D114+D115+D116))</f>
        <v>1.0645595945250732</v>
      </c>
      <c r="E131" s="265">
        <f>IF(OR(E115="Choose mgt fee",E115="Choose One!"),"",(E108+E109+E110+E111+E112) / -(E114+E115+E116))</f>
        <v>1.0550960557324318</v>
      </c>
      <c r="F131" s="597">
        <f>IF(OR(F115="Choose mgt fee",F115="Choose One!"),"",(F108+F109+F110+F111+F112) / -(F114+F115+F116))</f>
        <v>1.0457102386718422</v>
      </c>
      <c r="G131" s="17"/>
      <c r="H131" s="17"/>
      <c r="I131" s="17"/>
      <c r="J131" s="17"/>
      <c r="K131" s="17"/>
      <c r="N131" s="3996"/>
      <c r="O131" s="3998"/>
    </row>
    <row r="132" spans="1:19" ht="13.35" customHeight="1">
      <c r="A132" s="417" t="s">
        <v>2550</v>
      </c>
      <c r="B132" s="4115">
        <f>IF('Part III-Sources of Funds'!$I$38="","",-FV('Part III-Sources of Funds'!$K$38/12,12,B119/12,K102))</f>
        <v>0</v>
      </c>
      <c r="C132" s="4115">
        <f>IF('Part III-Sources of Funds'!$I$38="","",-FV('Part III-Sources of Funds'!$K$38/12,12,C119/12,B132))</f>
        <v>0</v>
      </c>
      <c r="D132" s="4115">
        <f>IF('Part III-Sources of Funds'!$I$38="","",-FV('Part III-Sources of Funds'!$K$38/12,12,D119/12,C132))</f>
        <v>0</v>
      </c>
      <c r="E132" s="4115">
        <f>IF('Part III-Sources of Funds'!$I$38="","",-FV('Part III-Sources of Funds'!$K$38/12,12,E119/12,D132))</f>
        <v>0</v>
      </c>
      <c r="F132" s="4115">
        <f>IF('Part III-Sources of Funds'!$I$38="","",-FV('Part III-Sources of Funds'!$K$38/12,12,F119/12,E132))</f>
        <v>0</v>
      </c>
      <c r="G132" s="17"/>
      <c r="H132" s="17"/>
      <c r="I132" s="17"/>
      <c r="J132" s="17"/>
      <c r="K132" s="17"/>
      <c r="N132" s="3996"/>
      <c r="O132" s="3998"/>
    </row>
    <row r="133" spans="1:19" ht="13.35" customHeight="1">
      <c r="A133" s="417" t="s">
        <v>2551</v>
      </c>
      <c r="B133" s="4110">
        <f>IF('Part III-Sources of Funds'!$I$39="","",-FV('Part III-Sources of Funds'!$K$39/12,12,B120/12,K103))</f>
        <v>0</v>
      </c>
      <c r="C133" s="4110">
        <f>IF('Part III-Sources of Funds'!$I$39="","",-FV('Part III-Sources of Funds'!$K$39/12,12,C120/12,B133))</f>
        <v>0</v>
      </c>
      <c r="D133" s="4110">
        <f>IF('Part III-Sources of Funds'!$I$39="","",-FV('Part III-Sources of Funds'!$K$39/12,12,D120/12,C133))</f>
        <v>0</v>
      </c>
      <c r="E133" s="4110">
        <f>IF('Part III-Sources of Funds'!$I$39="","",-FV('Part III-Sources of Funds'!$K$39/12,12,E120/12,D133))</f>
        <v>0</v>
      </c>
      <c r="F133" s="4110">
        <f>IF('Part III-Sources of Funds'!$I$39="","",-FV('Part III-Sources of Funds'!$K$39/12,12,F120/12,E133))</f>
        <v>0</v>
      </c>
      <c r="G133" s="17"/>
      <c r="H133" s="17"/>
      <c r="I133" s="17"/>
      <c r="J133" s="17"/>
      <c r="K133" s="17"/>
      <c r="N133" s="3996"/>
      <c r="O133" s="3998"/>
    </row>
    <row r="134" spans="1:19" ht="13.35" customHeight="1">
      <c r="A134" s="417" t="s">
        <v>2552</v>
      </c>
      <c r="B134" s="4110" t="str">
        <f>IF('Part III-Sources of Funds'!$I$40="","",-FV('Part III-Sources of Funds'!$K$40/12,12,B121/12,K104))</f>
        <v/>
      </c>
      <c r="C134" s="4110" t="str">
        <f>IF('Part III-Sources of Funds'!$I$40="","",-FV('Part III-Sources of Funds'!$K$40/12,12,C121/12,B134))</f>
        <v/>
      </c>
      <c r="D134" s="4110" t="str">
        <f>IF('Part III-Sources of Funds'!$I$40="","",-FV('Part III-Sources of Funds'!$K$40/12,12,D121/12,C134))</f>
        <v/>
      </c>
      <c r="E134" s="4110" t="str">
        <f>IF('Part III-Sources of Funds'!$I$40="","",-FV('Part III-Sources of Funds'!$K$40/12,12,E121/12,D134))</f>
        <v/>
      </c>
      <c r="F134" s="4110" t="str">
        <f>IF('Part III-Sources of Funds'!$I$40="","",-FV('Part III-Sources of Funds'!$K$40/12,12,F121/12,E134))</f>
        <v/>
      </c>
      <c r="G134" s="17"/>
      <c r="H134" s="17"/>
      <c r="I134" s="17"/>
      <c r="J134" s="17"/>
      <c r="K134" s="17"/>
      <c r="N134" s="3996"/>
      <c r="O134" s="3998"/>
    </row>
    <row r="135" spans="1:19" ht="13.35" customHeight="1">
      <c r="A135" s="26" t="s">
        <v>764</v>
      </c>
      <c r="B135" s="4114" t="str">
        <f>IF('Part III-Sources of Funds'!$I$41="","",-FV('Part III-Sources of Funds'!$K$41/12,12,B122/12,K105))</f>
        <v/>
      </c>
      <c r="C135" s="4114" t="str">
        <f>IF('Part III-Sources of Funds'!$I$41="","",-FV('Part III-Sources of Funds'!$K$41/12,12,C122/12,B135))</f>
        <v/>
      </c>
      <c r="D135" s="4114" t="str">
        <f>IF('Part III-Sources of Funds'!$I$41="","",-FV('Part III-Sources of Funds'!$K$41/12,12,D122/12,C135))</f>
        <v/>
      </c>
      <c r="E135" s="4114" t="str">
        <f>IF('Part III-Sources of Funds'!$I$41="","",-FV('Part III-Sources of Funds'!$K$41/12,12,E122/12,D135))</f>
        <v/>
      </c>
      <c r="F135" s="4114" t="str">
        <f>IF('Part III-Sources of Funds'!$I$41="","",-FV('Part III-Sources of Funds'!$K$41/12,12,F122/12,E135))</f>
        <v/>
      </c>
      <c r="G135" s="17"/>
      <c r="H135" s="17"/>
      <c r="I135" s="17"/>
      <c r="J135" s="17"/>
      <c r="K135" s="17"/>
      <c r="N135" s="4027"/>
      <c r="O135" s="4029"/>
    </row>
    <row r="136" spans="1:19" ht="4.3499999999999996" customHeight="1"/>
    <row r="137" spans="1:19" ht="12" customHeight="1">
      <c r="A137" s="13" t="s">
        <v>554</v>
      </c>
      <c r="B137" s="13"/>
      <c r="G137" s="13" t="s">
        <v>1009</v>
      </c>
    </row>
    <row r="138" spans="1:19" ht="12" customHeight="1">
      <c r="B138" s="31"/>
    </row>
    <row r="139" spans="1:19" ht="409.5" customHeight="1">
      <c r="A139" s="3721" t="s">
        <v>7158</v>
      </c>
      <c r="B139" s="4117"/>
      <c r="C139" s="4117"/>
      <c r="D139" s="4117"/>
      <c r="E139" s="4117"/>
      <c r="F139" s="4118"/>
      <c r="G139" s="4119"/>
      <c r="H139" s="4120"/>
      <c r="I139" s="4120"/>
      <c r="J139" s="4120"/>
      <c r="K139" s="4121"/>
      <c r="N139" s="2490" t="s">
        <v>2614</v>
      </c>
      <c r="O139" s="2490"/>
    </row>
    <row r="140" spans="1:19" ht="11.25" customHeight="1"/>
    <row r="141" spans="1:19" ht="12" customHeight="1">
      <c r="B141" s="13"/>
    </row>
    <row r="142" spans="1:19" ht="12" customHeight="1">
      <c r="B142" s="31"/>
      <c r="Q142" s="1"/>
      <c r="R142" s="1"/>
    </row>
    <row r="143" spans="1:19" ht="12" customHeight="1">
      <c r="Q143" s="1"/>
      <c r="R143" s="1"/>
      <c r="S143" s="1"/>
    </row>
    <row r="144" spans="1:19" s="1" customFormat="1" ht="12" customHeight="1">
      <c r="L144" s="8"/>
      <c r="M144" s="8"/>
      <c r="N144" s="8"/>
      <c r="O144" s="8"/>
    </row>
    <row r="145" spans="12:19" s="1" customFormat="1" ht="12" customHeight="1">
      <c r="L145" s="8"/>
      <c r="M145" s="8"/>
      <c r="N145" s="8"/>
      <c r="O145" s="8"/>
    </row>
    <row r="146" spans="12:19" s="1" customFormat="1" ht="12" customHeight="1">
      <c r="L146" s="8"/>
      <c r="M146" s="8"/>
      <c r="N146" s="8"/>
      <c r="O146" s="8"/>
      <c r="Q146" s="8"/>
      <c r="R146" s="8"/>
    </row>
    <row r="147" spans="12:19" s="1" customFormat="1" ht="12" customHeight="1">
      <c r="L147" s="8"/>
      <c r="M147" s="8"/>
      <c r="N147" s="8"/>
      <c r="O147" s="8"/>
      <c r="S147" s="8"/>
    </row>
    <row r="148" spans="12:19" ht="12" customHeight="1">
      <c r="Q148" s="1"/>
      <c r="R148" s="1"/>
      <c r="S148" s="1"/>
    </row>
    <row r="149" spans="12:19" s="1" customFormat="1" ht="12" customHeight="1">
      <c r="L149" s="8"/>
      <c r="M149" s="8"/>
      <c r="N149" s="8"/>
      <c r="O149" s="8"/>
      <c r="Q149" s="8"/>
      <c r="R149" s="8"/>
    </row>
    <row r="150" spans="12:19" s="1" customFormat="1" ht="12" customHeight="1">
      <c r="L150" s="8"/>
      <c r="M150" s="8"/>
      <c r="N150" s="8"/>
      <c r="O150" s="8"/>
      <c r="S150" s="8"/>
    </row>
    <row r="151" spans="12:19" ht="12" customHeight="1">
      <c r="Q151" s="1"/>
      <c r="R151" s="1"/>
      <c r="S151" s="1"/>
    </row>
    <row r="152" spans="12:19" s="1" customFormat="1" ht="12" customHeight="1">
      <c r="L152" s="8"/>
      <c r="M152" s="8"/>
      <c r="N152" s="8"/>
      <c r="O152" s="8"/>
    </row>
    <row r="153" spans="12:19" s="1" customFormat="1" ht="12" customHeight="1">
      <c r="L153" s="8"/>
      <c r="M153" s="8"/>
      <c r="N153" s="8"/>
      <c r="O153" s="8"/>
    </row>
    <row r="154" spans="12:19" s="1" customFormat="1" ht="12" customHeight="1">
      <c r="L154" s="8"/>
      <c r="M154" s="8"/>
      <c r="N154" s="8"/>
      <c r="O154" s="8"/>
    </row>
    <row r="155" spans="12:19" s="1" customFormat="1" ht="12" customHeight="1">
      <c r="L155" s="8"/>
      <c r="M155" s="8"/>
      <c r="N155" s="8"/>
      <c r="O155" s="8"/>
    </row>
    <row r="156" spans="12:19" s="1" customFormat="1" ht="12" customHeight="1">
      <c r="L156" s="8"/>
      <c r="M156" s="8"/>
      <c r="N156" s="8"/>
      <c r="O156" s="8"/>
    </row>
    <row r="157" spans="12:19" s="1" customFormat="1" ht="12" customHeight="1">
      <c r="L157" s="8"/>
      <c r="M157" s="8"/>
      <c r="N157" s="8"/>
      <c r="O157" s="8"/>
      <c r="Q157" s="8"/>
      <c r="R157" s="8"/>
    </row>
    <row r="158" spans="12:19" s="1" customFormat="1" ht="12" customHeight="1">
      <c r="L158" s="8"/>
      <c r="M158" s="8"/>
      <c r="N158" s="8"/>
      <c r="O158" s="8"/>
      <c r="S158" s="8"/>
    </row>
    <row r="159" spans="12:19" ht="12" customHeight="1">
      <c r="Q159" s="1"/>
      <c r="R159" s="1"/>
      <c r="S159" s="1"/>
    </row>
    <row r="160" spans="12:19" s="1" customFormat="1" ht="12" customHeight="1">
      <c r="L160" s="8"/>
      <c r="M160" s="8"/>
      <c r="N160" s="8"/>
      <c r="O160" s="8"/>
    </row>
    <row r="161" spans="12:19" s="1" customFormat="1" ht="12" customHeight="1">
      <c r="L161" s="8"/>
      <c r="M161" s="8"/>
      <c r="N161" s="8"/>
      <c r="O161" s="8"/>
    </row>
    <row r="162" spans="12:19" s="1" customFormat="1" ht="12" customHeight="1">
      <c r="L162" s="8"/>
      <c r="M162" s="8"/>
      <c r="N162" s="8"/>
      <c r="O162" s="8"/>
    </row>
    <row r="163" spans="12:19" s="1" customFormat="1" ht="12" customHeight="1">
      <c r="L163" s="8"/>
      <c r="M163" s="8"/>
      <c r="N163" s="8"/>
      <c r="O163" s="8"/>
    </row>
    <row r="164" spans="12:19" s="1" customFormat="1" ht="12" customHeight="1">
      <c r="L164" s="8"/>
      <c r="M164" s="8"/>
      <c r="N164" s="8"/>
      <c r="O164" s="8"/>
    </row>
    <row r="165" spans="12:19" s="1" customFormat="1" ht="12" customHeight="1">
      <c r="L165" s="8"/>
      <c r="M165" s="8"/>
      <c r="N165" s="8"/>
      <c r="O165" s="8"/>
    </row>
    <row r="166" spans="12:19" s="1" customFormat="1" ht="12" customHeight="1">
      <c r="L166" s="8"/>
      <c r="M166" s="8"/>
      <c r="N166" s="8"/>
      <c r="O166" s="8"/>
    </row>
    <row r="167" spans="12:19" s="1" customFormat="1" ht="12" customHeight="1">
      <c r="L167" s="8"/>
      <c r="M167" s="8"/>
      <c r="N167" s="8"/>
      <c r="O167" s="8"/>
    </row>
    <row r="168" spans="12:19" s="1" customFormat="1" ht="12" customHeight="1">
      <c r="L168" s="8"/>
      <c r="M168" s="8"/>
      <c r="N168" s="8"/>
      <c r="O168" s="8"/>
    </row>
    <row r="169" spans="12:19" s="1" customFormat="1" ht="12" customHeight="1">
      <c r="L169" s="8"/>
      <c r="M169" s="8"/>
      <c r="N169" s="8"/>
      <c r="O169" s="8"/>
      <c r="Q169" s="8"/>
      <c r="R169" s="8"/>
    </row>
    <row r="170" spans="12:19" s="1" customFormat="1" ht="12" customHeight="1">
      <c r="L170" s="8"/>
      <c r="M170" s="8"/>
      <c r="N170" s="8"/>
      <c r="O170" s="8"/>
      <c r="Q170" s="8"/>
      <c r="R170" s="8"/>
      <c r="S170" s="8"/>
    </row>
    <row r="171" spans="12:19" ht="12" customHeight="1"/>
    <row r="172" spans="12:19" ht="12" customHeight="1"/>
    <row r="173" spans="12:19" ht="12" customHeight="1"/>
    <row r="174" spans="12:19" ht="12" customHeight="1"/>
  </sheetData>
  <sheetProtection algorithmName="SHA-512" hashValue="Id7bcA+qxKgRgJZbTf6lBTtkqTSZMQdePnuf5C5vQOv7BQO7oObJosx+4FjZ6rQi71cyRnD/Q7fn6lWt36Rw9A==" saltValue="ch9N/TNh0LpemS3bKvq0mw==" spinCount="100000" sheet="1" objects="1" scenarios="1" selectLockedCells="1" selectUnlockedCells="1"/>
  <mergeCells count="136">
    <mergeCell ref="N19:O19"/>
    <mergeCell ref="N51:O51"/>
    <mergeCell ref="N83:O83"/>
    <mergeCell ref="N113:O113"/>
    <mergeCell ref="S14:S17"/>
    <mergeCell ref="R16:R17"/>
    <mergeCell ref="N13:O13"/>
    <mergeCell ref="A1:K1"/>
    <mergeCell ref="N1:O1"/>
    <mergeCell ref="N2:O2"/>
    <mergeCell ref="D5:F6"/>
    <mergeCell ref="N5:O5"/>
    <mergeCell ref="N6:O6"/>
    <mergeCell ref="N7:O7"/>
    <mergeCell ref="N8:O8"/>
    <mergeCell ref="N9:O9"/>
    <mergeCell ref="Q16:Q17"/>
    <mergeCell ref="C3:C7"/>
    <mergeCell ref="N22:O22"/>
    <mergeCell ref="N24:O24"/>
    <mergeCell ref="N25:O25"/>
    <mergeCell ref="N26:O26"/>
    <mergeCell ref="N27:O27"/>
    <mergeCell ref="N28:O28"/>
    <mergeCell ref="A139:F139"/>
    <mergeCell ref="G139:K139"/>
    <mergeCell ref="N139:O139"/>
    <mergeCell ref="N45:O45"/>
    <mergeCell ref="N77:O77"/>
    <mergeCell ref="N107:O107"/>
    <mergeCell ref="N14:O14"/>
    <mergeCell ref="N15:O15"/>
    <mergeCell ref="N46:O46"/>
    <mergeCell ref="N47:O47"/>
    <mergeCell ref="N78:O78"/>
    <mergeCell ref="N79:O79"/>
    <mergeCell ref="N33:O33"/>
    <mergeCell ref="N34:O34"/>
    <mergeCell ref="N35:O35"/>
    <mergeCell ref="N36:O36"/>
    <mergeCell ref="N37:O37"/>
    <mergeCell ref="N134:O134"/>
    <mergeCell ref="N135:O135"/>
    <mergeCell ref="N16:O16"/>
    <mergeCell ref="N17:O17"/>
    <mergeCell ref="N18:O18"/>
    <mergeCell ref="N20:O20"/>
    <mergeCell ref="N21:O21"/>
    <mergeCell ref="N29:O29"/>
    <mergeCell ref="N30:O30"/>
    <mergeCell ref="N32:O32"/>
    <mergeCell ref="N31:O31"/>
    <mergeCell ref="N23:O23"/>
    <mergeCell ref="N41:O41"/>
    <mergeCell ref="N60:O60"/>
    <mergeCell ref="N61:O61"/>
    <mergeCell ref="N62:O62"/>
    <mergeCell ref="N64:O64"/>
    <mergeCell ref="N65:O65"/>
    <mergeCell ref="N38:O38"/>
    <mergeCell ref="N39:O39"/>
    <mergeCell ref="N40:O40"/>
    <mergeCell ref="N48:O48"/>
    <mergeCell ref="N49:O49"/>
    <mergeCell ref="N42:O42"/>
    <mergeCell ref="N50:O50"/>
    <mergeCell ref="N52:O52"/>
    <mergeCell ref="N53:O53"/>
    <mergeCell ref="N54:O54"/>
    <mergeCell ref="N56:O56"/>
    <mergeCell ref="N57:O57"/>
    <mergeCell ref="N58:O58"/>
    <mergeCell ref="N59:O59"/>
    <mergeCell ref="N63:O63"/>
    <mergeCell ref="N43:O43"/>
    <mergeCell ref="N55:O55"/>
    <mergeCell ref="N80:O80"/>
    <mergeCell ref="N81:O81"/>
    <mergeCell ref="N82:O82"/>
    <mergeCell ref="N66:O66"/>
    <mergeCell ref="N67:O67"/>
    <mergeCell ref="N68:O68"/>
    <mergeCell ref="N69:O69"/>
    <mergeCell ref="N70:O70"/>
    <mergeCell ref="N73:O73"/>
    <mergeCell ref="N74:O74"/>
    <mergeCell ref="N71:O71"/>
    <mergeCell ref="N72:O72"/>
    <mergeCell ref="N75:O75"/>
    <mergeCell ref="N90:O90"/>
    <mergeCell ref="N91:O91"/>
    <mergeCell ref="N92:O92"/>
    <mergeCell ref="N93:O93"/>
    <mergeCell ref="N94:O94"/>
    <mergeCell ref="N84:O84"/>
    <mergeCell ref="N85:O85"/>
    <mergeCell ref="N86:O86"/>
    <mergeCell ref="N88:O88"/>
    <mergeCell ref="N89:O89"/>
    <mergeCell ref="N87:O87"/>
    <mergeCell ref="N101:O101"/>
    <mergeCell ref="N102:O102"/>
    <mergeCell ref="N103:O103"/>
    <mergeCell ref="N110:O110"/>
    <mergeCell ref="N95:O95"/>
    <mergeCell ref="N96:O96"/>
    <mergeCell ref="N97:O97"/>
    <mergeCell ref="N98:O98"/>
    <mergeCell ref="N99:O99"/>
    <mergeCell ref="N104:O104"/>
    <mergeCell ref="N105:O105"/>
    <mergeCell ref="N108:O108"/>
    <mergeCell ref="N109:O109"/>
    <mergeCell ref="N100:O100"/>
    <mergeCell ref="N133:O133"/>
    <mergeCell ref="N128:O128"/>
    <mergeCell ref="N129:O129"/>
    <mergeCell ref="N130:O130"/>
    <mergeCell ref="N131:O131"/>
    <mergeCell ref="N132:O132"/>
    <mergeCell ref="N123:O123"/>
    <mergeCell ref="N124:O124"/>
    <mergeCell ref="N125:O125"/>
    <mergeCell ref="N126:O126"/>
    <mergeCell ref="N127:O127"/>
    <mergeCell ref="N118:O118"/>
    <mergeCell ref="N119:O119"/>
    <mergeCell ref="N120:O120"/>
    <mergeCell ref="N121:O121"/>
    <mergeCell ref="N122:O122"/>
    <mergeCell ref="N111:O111"/>
    <mergeCell ref="N112:O112"/>
    <mergeCell ref="N114:O114"/>
    <mergeCell ref="N115:O115"/>
    <mergeCell ref="N116:O116"/>
    <mergeCell ref="N117:O117"/>
  </mergeCells>
  <conditionalFormatting sqref="G6">
    <cfRule type="expression" dxfId="147" priority="11">
      <formula>$G$6&lt;$G$5</formula>
    </cfRule>
  </conditionalFormatting>
  <conditionalFormatting sqref="A30">
    <cfRule type="expression" dxfId="146" priority="10">
      <formula>"or(B28&lt;$G$6,C28&lt;$G$6,D28&lt;$G$6,E28&lt;$G$6,F28&lt;$G$6,G28&lt;$G$6,H28&lt;$G$6,I28&lt;$G$6,J28&lt;$G$6,K28&lt;$G$6,)"</formula>
    </cfRule>
  </conditionalFormatting>
  <conditionalFormatting sqref="A62">
    <cfRule type="expression" dxfId="145" priority="7">
      <formula>"or(B28&lt;$G$6,C28&lt;$G$6,D28&lt;$G$6,E28&lt;$G$6,F28&lt;$G$6,G28&lt;$G$6,H28&lt;$G$6,I28&lt;$G$6,J28&lt;$G$6,K28&lt;$G$6,)"</formula>
    </cfRule>
  </conditionalFormatting>
  <conditionalFormatting sqref="A94">
    <cfRule type="expression" dxfId="144" priority="6">
      <formula>"or(B28&lt;$G$6,C28&lt;$G$6,D28&lt;$G$6,E28&lt;$G$6,F28&lt;$G$6,G28&lt;$G$6,H28&lt;$G$6,I28&lt;$G$6,J28&lt;$G$6,K28&lt;$G$6,)"</formula>
    </cfRule>
  </conditionalFormatting>
  <conditionalFormatting sqref="A23">
    <cfRule type="expression" dxfId="143" priority="5">
      <formula>"or(B28&lt;$G$6,C28&lt;$G$6,D28&lt;$G$6,E28&lt;$G$6,F28&lt;$G$6,G28&lt;$G$6,H28&lt;$G$6,I28&lt;$G$6,J28&lt;$G$6,K28&lt;$G$6,)"</formula>
    </cfRule>
  </conditionalFormatting>
  <conditionalFormatting sqref="A55">
    <cfRule type="expression" dxfId="142" priority="4">
      <formula>"or(B28&lt;$G$6,C28&lt;$G$6,D28&lt;$G$6,E28&lt;$G$6,F28&lt;$G$6,G28&lt;$G$6,H28&lt;$G$6,I28&lt;$G$6,J28&lt;$G$6,K28&lt;$G$6,)"</formula>
    </cfRule>
  </conditionalFormatting>
  <conditionalFormatting sqref="A87">
    <cfRule type="expression" dxfId="141" priority="3">
      <formula>"or(B28&lt;$G$6,C28&lt;$G$6,D28&lt;$G$6,E28&lt;$G$6,F28&lt;$G$6,G28&lt;$G$6,H28&lt;$G$6,I28&lt;$G$6,J28&lt;$G$6,K28&lt;$G$6,)"</formula>
    </cfRule>
  </conditionalFormatting>
  <conditionalFormatting sqref="A117">
    <cfRule type="expression" dxfId="140" priority="2">
      <formula>"or(B28&lt;$G$6,C28&lt;$G$6,D28&lt;$G$6,E28&lt;$G$6,F28&lt;$G$6,G28&lt;$G$6,H28&lt;$G$6,I28&lt;$G$6,J28&lt;$G$6,K28&lt;$G$6,)"</formula>
    </cfRule>
  </conditionalFormatting>
  <conditionalFormatting sqref="C8">
    <cfRule type="containsText" dxfId="139" priority="1" operator="containsText" text="Must be &gt;= 7%!">
      <formula>NOT(ISERROR(SEARCH("Must be &gt;= 7%!",C8)))</formula>
    </cfRule>
  </conditionalFormatting>
  <dataValidations count="2">
    <dataValidation type="decimal" operator="greaterThanOrEqual" allowBlank="1" showInputMessage="1" showErrorMessage="1" error="You must enter a percentage no less than 7%, unless you have previously been granted a DCA waiver." prompt="Enter a percentage no less than 7%, unless you have previously been granted a DCA waiver." sqref="B8" xr:uid="{00000000-0002-0000-0A00-000000000000}">
      <formula1>0.05</formula1>
    </dataValidation>
    <dataValidation type="list" allowBlank="1" showInputMessage="1" showErrorMessage="1" error="Please choose a response from the list provided by using the drop-down arrow to the right of the box." sqref="G8:G9" xr:uid="{00000000-0002-0000-0A00-000001000000}">
      <formula1>"Yes, No"</formula1>
    </dataValidation>
  </dataValidations>
  <pageMargins left="0.7" right="0.7" top="0.75" bottom="0.75" header="0.3" footer="0.3"/>
  <pageSetup scale="10" fitToHeight="0" orientation="landscape" r:id="rId1"/>
  <headerFooter>
    <oddHeader>&amp;LGeorgia Department of Community Affairs&amp;C2020 Funding Application&amp;RHousing Finance and Development Division</oddHeader>
    <oddFooter>&amp;L&amp;G &amp;F&amp;C&amp;A&amp;R&amp;P of &amp;N</oddFooter>
  </headerFooter>
  <rowBreaks count="4" manualBreakCount="4">
    <brk id="44" max="16383" man="1"/>
    <brk id="76" max="16383" man="1"/>
    <brk id="106" max="16383" man="1"/>
    <brk id="136" max="16383" man="1"/>
  </rowBreaks>
  <legacyDrawingHF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36">
    <pageSetUpPr fitToPage="1"/>
  </sheetPr>
  <dimension ref="A1:BFO739"/>
  <sheetViews>
    <sheetView showGridLines="0" topLeftCell="A477" zoomScale="120" zoomScaleNormal="120" workbookViewId="0">
      <selection activeCell="A477" sqref="A1:XFD1048576"/>
    </sheetView>
  </sheetViews>
  <sheetFormatPr defaultColWidth="9.109375" defaultRowHeight="13.2"/>
  <cols>
    <col min="1" max="1" width="5.109375" style="35" customWidth="1"/>
    <col min="2" max="2" width="2.5546875" style="35" customWidth="1"/>
    <col min="3" max="3" width="2.109375" style="35" customWidth="1"/>
    <col min="4" max="10" width="8.88671875" style="35" customWidth="1"/>
    <col min="11" max="11" width="7.5546875" style="35" customWidth="1"/>
    <col min="12" max="15" width="9.109375" style="35" customWidth="1"/>
    <col min="16" max="16" width="8.88671875" style="35" customWidth="1"/>
    <col min="17" max="17" width="9.109375" style="35" customWidth="1"/>
    <col min="18" max="30" width="9.109375" style="35"/>
    <col min="31" max="32" width="9.109375" style="127"/>
    <col min="33" max="16384" width="9.109375" style="35"/>
  </cols>
  <sheetData>
    <row r="1" spans="1:32" ht="14.1" customHeight="1">
      <c r="A1" s="2526" t="str">
        <f>CONCATENATE("PART EIGHT - THRESHOLD CRITERIA","  -  ",'Part I-Project Information'!$O$6," ",'Part I-Project Information'!$F$34,", ",'Part I-Project Information'!F38,", ",'Part I-Project Information'!J39," County")</f>
        <v>PART EIGHT - THRESHOLD CRITERIA  -  2020-074 Harper Woods II, Columbus, Muscogee County</v>
      </c>
      <c r="B1" s="2527"/>
      <c r="C1" s="2527"/>
      <c r="D1" s="2527"/>
      <c r="E1" s="2527"/>
      <c r="F1" s="2527"/>
      <c r="G1" s="2527"/>
      <c r="H1" s="2527"/>
      <c r="I1" s="2527"/>
      <c r="J1" s="2527"/>
      <c r="K1" s="2527"/>
      <c r="L1" s="2527"/>
      <c r="M1" s="2527"/>
      <c r="N1" s="2527"/>
      <c r="O1" s="2527"/>
      <c r="P1" s="2527"/>
      <c r="Q1" s="2527"/>
      <c r="R1" s="2802" t="str">
        <f>'Part I-Project Information'!$B$6</f>
        <v>May 26, 2020 Version</v>
      </c>
      <c r="S1" s="2802"/>
    </row>
    <row r="2" spans="1:32" s="27" customFormat="1" ht="3" customHeight="1">
      <c r="R2" s="2802"/>
      <c r="S2" s="2802"/>
      <c r="AE2" s="116"/>
      <c r="AF2" s="116"/>
    </row>
    <row r="3" spans="1:32" ht="13.5" customHeight="1">
      <c r="A3" s="2790" t="str">
        <f>IF(OR(P29="Fail",P36="Fail",P73="Fail",P77="Fail",P92="Fail",P109="Fail",P131="Fail",P169="Fail",P179="Fail",P189="Fail",P206="Fail",P214="Fail",P224="Fail",P254="Fail",P275="Fail",P287="Fail",P297="Fail",P322="Fail",P339="Fail",P351="Fail",P367="Fail",P390="Fail",P400="Fail",P411="Fail",P441="Fail",P458="Fail",P472="Fail",P479="Fail"),"Preliminary Rating: FAIL",IF(OR(P29="",P36="",P73="",P77="",P92="",P109="",P131="",P169="",P179="",P189="",P206="",P214="",P224="",P254="",P275="",P287="",P297="",P322="",P339="",P351="",P367="",P390="",P400="",P411="",P441="",P458="",P472="",P479=""),"Preliminary Rating: Incomplete",IF(OR(P29="TBD",P36="TBD",P73="TBD",P77="TBD",P92="TBD",P109="TBD",P131="TBD",P169="TBD",P179="TBD",P189="TBD",P206="TBD",P214="TBD",P224="TBD",P254="TBD",P275="TBD",P287="TBD",P297="TBD",P322="TBD",P339="TBD",P351="TBD",P367="TBD",P390="TBD",P400="TBD",P411="TBD",P441="TBD",P458="TBD",P472="TBD",P479="TBD"),"Preliminary Rating: TBD","")))</f>
        <v>Preliminary Rating: Incomplete</v>
      </c>
      <c r="B3" s="2790"/>
      <c r="C3" s="2790"/>
      <c r="D3" s="2790"/>
      <c r="E3" s="2790"/>
      <c r="F3" s="2790"/>
      <c r="G3" s="2790"/>
      <c r="H3" s="2790" t="str">
        <f>IF(AND(NOT(A3="Preliminary Rating: Fail"),NOT(A3="Preliminary Rating: Incomplete"),NOT(A3="Preliminary Rating: TBD"),OR(P29="Conditional Pass",P36="Conditional Pass",P73="Conditional Pass",P77="Conditional Pass",P92="Conditional Pass",P109="Conditional Pass",P131="Conditional Pass",P169="Conditional Pass",P179="Conditional Pass",P189="Conditional Pass",P206="Conditional Pass",P214="Conditional Pass",P224="Conditional Pass",P254="Conditional Pass",P275="Conditional Pass",P287="Conditional Pass",P297="Conditional Pass",P322="Conditional Pass",P339="Conditional Pass",P351="Conditional Pass",P367="Conditional Pass",P390="Conditional Pass",P400="Conditional Pass",P411="Conditional Pass",P441="Conditional Pass",P458="Conditional Pass",P472="Conditional Pass",P479="Conditional Pass")),"Preliminary Rating: Conditional Pass","")</f>
        <v/>
      </c>
      <c r="I3" s="2790"/>
      <c r="J3" s="2790"/>
      <c r="K3" s="2790"/>
      <c r="L3" s="2790"/>
      <c r="M3" s="2790"/>
      <c r="N3" s="2791"/>
      <c r="O3" s="2792" t="s">
        <v>913</v>
      </c>
      <c r="P3" s="2793"/>
      <c r="Q3" s="1508" t="s">
        <v>1796</v>
      </c>
      <c r="R3" s="2802"/>
      <c r="S3" s="2802"/>
    </row>
    <row r="4" spans="1:32" ht="3" customHeight="1">
      <c r="A4" s="2374"/>
      <c r="B4" s="2794"/>
      <c r="C4" s="2794"/>
      <c r="D4" s="2794"/>
      <c r="E4" s="2374"/>
      <c r="F4" s="2374"/>
      <c r="G4" s="2374"/>
      <c r="H4" s="2374"/>
      <c r="I4" s="2374"/>
      <c r="J4" s="2374"/>
      <c r="K4" s="2374"/>
      <c r="L4" s="2374"/>
      <c r="M4" s="2374"/>
      <c r="N4" s="2374"/>
      <c r="P4" s="2374"/>
      <c r="Q4" s="2374"/>
      <c r="R4" s="2802"/>
      <c r="S4" s="2802"/>
    </row>
    <row r="5" spans="1:32" ht="11.1" hidden="1" customHeight="1">
      <c r="A5" s="2374"/>
      <c r="B5" s="2374"/>
      <c r="C5" s="2374"/>
      <c r="D5" s="2374"/>
      <c r="E5" s="2374"/>
      <c r="F5" s="2374"/>
      <c r="G5" s="2374"/>
      <c r="H5" s="2374"/>
      <c r="I5" s="2374"/>
      <c r="J5" s="2374"/>
      <c r="K5" s="2374"/>
      <c r="L5" s="2374"/>
      <c r="M5" s="2374"/>
      <c r="N5" s="2374"/>
      <c r="P5" s="2374"/>
      <c r="Q5" s="2374"/>
      <c r="R5" s="2802"/>
      <c r="S5" s="2802"/>
    </row>
    <row r="6" spans="1:32" ht="17.25" customHeight="1">
      <c r="A6" s="125" t="s">
        <v>550</v>
      </c>
      <c r="J6" s="2797" t="s">
        <v>3629</v>
      </c>
      <c r="K6" s="2797"/>
      <c r="L6" s="2797"/>
      <c r="M6" s="2797"/>
      <c r="N6" s="2797"/>
      <c r="O6" s="2798"/>
      <c r="P6" s="2795"/>
      <c r="Q6" s="2796"/>
      <c r="R6" s="2802"/>
      <c r="S6" s="2802"/>
    </row>
    <row r="7" spans="1:32" ht="12.6" customHeight="1">
      <c r="A7" s="126" t="s">
        <v>3336</v>
      </c>
      <c r="C7" s="127"/>
      <c r="D7" s="127"/>
      <c r="H7" s="1210"/>
      <c r="I7" s="1210"/>
      <c r="J7" s="1210"/>
      <c r="K7" s="1210"/>
      <c r="L7" s="1210"/>
      <c r="M7" s="2374"/>
      <c r="N7" s="2374"/>
    </row>
    <row r="8" spans="1:32" ht="24.6" customHeight="1">
      <c r="A8" s="2799" t="s">
        <v>1381</v>
      </c>
      <c r="B8" s="2800"/>
      <c r="C8" s="2800"/>
      <c r="D8" s="2800"/>
      <c r="E8" s="2800"/>
      <c r="F8" s="2800"/>
      <c r="G8" s="2800"/>
      <c r="H8" s="2800"/>
      <c r="I8" s="2800"/>
      <c r="J8" s="2800"/>
      <c r="K8" s="2800"/>
      <c r="L8" s="2800"/>
      <c r="M8" s="2800"/>
      <c r="N8" s="2800"/>
      <c r="O8" s="2800"/>
      <c r="P8" s="2800"/>
      <c r="Q8" s="2801"/>
      <c r="R8" s="2642" t="s">
        <v>1984</v>
      </c>
      <c r="S8" s="2401"/>
    </row>
    <row r="9" spans="1:32" ht="24.6" customHeight="1">
      <c r="A9" s="2787" t="s">
        <v>221</v>
      </c>
      <c r="B9" s="2788"/>
      <c r="C9" s="2788"/>
      <c r="D9" s="2788"/>
      <c r="E9" s="2788"/>
      <c r="F9" s="2788"/>
      <c r="G9" s="2788"/>
      <c r="H9" s="2788"/>
      <c r="I9" s="2788"/>
      <c r="J9" s="2788"/>
      <c r="K9" s="2788"/>
      <c r="L9" s="2788"/>
      <c r="M9" s="2788"/>
      <c r="N9" s="2788"/>
      <c r="O9" s="2788"/>
      <c r="P9" s="2788"/>
      <c r="Q9" s="2789"/>
      <c r="R9" s="2642"/>
      <c r="S9" s="2401"/>
    </row>
    <row r="10" spans="1:32" ht="24.6" customHeight="1">
      <c r="A10" s="2787" t="s">
        <v>1377</v>
      </c>
      <c r="B10" s="2788"/>
      <c r="C10" s="2788"/>
      <c r="D10" s="2788"/>
      <c r="E10" s="2788"/>
      <c r="F10" s="2788"/>
      <c r="G10" s="2788"/>
      <c r="H10" s="2788"/>
      <c r="I10" s="2788"/>
      <c r="J10" s="2788"/>
      <c r="K10" s="2788"/>
      <c r="L10" s="2788"/>
      <c r="M10" s="2788"/>
      <c r="N10" s="2788"/>
      <c r="O10" s="2788"/>
      <c r="P10" s="2788"/>
      <c r="Q10" s="2789"/>
      <c r="R10" s="2642"/>
      <c r="S10" s="2401"/>
    </row>
    <row r="11" spans="1:32" ht="24.6" customHeight="1">
      <c r="A11" s="2787" t="s">
        <v>1378</v>
      </c>
      <c r="B11" s="2788"/>
      <c r="C11" s="2788"/>
      <c r="D11" s="2788"/>
      <c r="E11" s="2788"/>
      <c r="F11" s="2788"/>
      <c r="G11" s="2788"/>
      <c r="H11" s="2788"/>
      <c r="I11" s="2788"/>
      <c r="J11" s="2788"/>
      <c r="K11" s="2788"/>
      <c r="L11" s="2788"/>
      <c r="M11" s="2788"/>
      <c r="N11" s="2788"/>
      <c r="O11" s="2788"/>
      <c r="P11" s="2788"/>
      <c r="Q11" s="2789"/>
      <c r="R11" s="2642"/>
      <c r="S11" s="2401"/>
    </row>
    <row r="12" spans="1:32" ht="24" customHeight="1">
      <c r="A12" s="2787" t="s">
        <v>1379</v>
      </c>
      <c r="B12" s="2788"/>
      <c r="C12" s="2788"/>
      <c r="D12" s="2788"/>
      <c r="E12" s="2788"/>
      <c r="F12" s="2788"/>
      <c r="G12" s="2788"/>
      <c r="H12" s="2788"/>
      <c r="I12" s="2788"/>
      <c r="J12" s="2788"/>
      <c r="K12" s="2788"/>
      <c r="L12" s="2788"/>
      <c r="M12" s="2788"/>
      <c r="N12" s="2788"/>
      <c r="O12" s="2788"/>
      <c r="P12" s="2788"/>
      <c r="Q12" s="2789"/>
      <c r="R12" s="2344"/>
      <c r="S12" s="2344"/>
    </row>
    <row r="13" spans="1:32" ht="11.25" customHeight="1">
      <c r="A13" s="2787" t="s">
        <v>1380</v>
      </c>
      <c r="B13" s="2788"/>
      <c r="C13" s="2788"/>
      <c r="D13" s="2788"/>
      <c r="E13" s="2788"/>
      <c r="F13" s="2788"/>
      <c r="G13" s="2788"/>
      <c r="H13" s="2788"/>
      <c r="I13" s="2788"/>
      <c r="J13" s="2788"/>
      <c r="K13" s="2788"/>
      <c r="L13" s="2788"/>
      <c r="M13" s="2788"/>
      <c r="N13" s="2788"/>
      <c r="O13" s="2788"/>
      <c r="P13" s="2788"/>
      <c r="Q13" s="2789"/>
      <c r="R13" s="2344"/>
      <c r="S13" s="2344"/>
    </row>
    <row r="14" spans="1:32" ht="11.25" customHeight="1">
      <c r="A14" s="2787" t="s">
        <v>1382</v>
      </c>
      <c r="B14" s="2788"/>
      <c r="C14" s="2788"/>
      <c r="D14" s="2788"/>
      <c r="E14" s="2788"/>
      <c r="F14" s="2788"/>
      <c r="G14" s="2788"/>
      <c r="H14" s="2788"/>
      <c r="I14" s="2788"/>
      <c r="J14" s="2788"/>
      <c r="K14" s="2788"/>
      <c r="L14" s="2788"/>
      <c r="M14" s="2788"/>
      <c r="N14" s="2788"/>
      <c r="O14" s="2788"/>
      <c r="P14" s="2788"/>
      <c r="Q14" s="2789"/>
    </row>
    <row r="15" spans="1:32" ht="11.25" customHeight="1">
      <c r="A15" s="2787" t="s">
        <v>1971</v>
      </c>
      <c r="B15" s="2788"/>
      <c r="C15" s="2788"/>
      <c r="D15" s="2788"/>
      <c r="E15" s="2788"/>
      <c r="F15" s="2788"/>
      <c r="G15" s="2788"/>
      <c r="H15" s="2788"/>
      <c r="I15" s="2788"/>
      <c r="J15" s="2788"/>
      <c r="K15" s="2788"/>
      <c r="L15" s="2788"/>
      <c r="M15" s="2788"/>
      <c r="N15" s="2788"/>
      <c r="O15" s="2788"/>
      <c r="P15" s="2788"/>
      <c r="Q15" s="2789"/>
      <c r="R15" s="2642" t="s">
        <v>1984</v>
      </c>
      <c r="S15" s="2474"/>
    </row>
    <row r="16" spans="1:32" ht="11.25" customHeight="1">
      <c r="A16" s="2787" t="s">
        <v>1972</v>
      </c>
      <c r="B16" s="2788"/>
      <c r="C16" s="2788"/>
      <c r="D16" s="2788"/>
      <c r="E16" s="2788"/>
      <c r="F16" s="2788"/>
      <c r="G16" s="2788"/>
      <c r="H16" s="2788"/>
      <c r="I16" s="2788"/>
      <c r="J16" s="2788"/>
      <c r="K16" s="2788"/>
      <c r="L16" s="2788"/>
      <c r="M16" s="2788"/>
      <c r="N16" s="2788"/>
      <c r="O16" s="2788"/>
      <c r="P16" s="2788"/>
      <c r="Q16" s="2789"/>
      <c r="R16" s="2642"/>
      <c r="S16" s="2474"/>
    </row>
    <row r="17" spans="1:31" ht="11.25" customHeight="1">
      <c r="A17" s="2787" t="s">
        <v>1973</v>
      </c>
      <c r="B17" s="2788"/>
      <c r="C17" s="2788"/>
      <c r="D17" s="2788"/>
      <c r="E17" s="2788"/>
      <c r="F17" s="2788"/>
      <c r="G17" s="2788"/>
      <c r="H17" s="2788"/>
      <c r="I17" s="2788"/>
      <c r="J17" s="2788"/>
      <c r="K17" s="2788"/>
      <c r="L17" s="2788"/>
      <c r="M17" s="2788"/>
      <c r="N17" s="2788"/>
      <c r="O17" s="2788"/>
      <c r="P17" s="2788"/>
      <c r="Q17" s="2789"/>
      <c r="R17" s="2642"/>
      <c r="S17" s="2474"/>
    </row>
    <row r="18" spans="1:31" ht="11.25" customHeight="1">
      <c r="A18" s="2787" t="s">
        <v>1974</v>
      </c>
      <c r="B18" s="2788"/>
      <c r="C18" s="2788"/>
      <c r="D18" s="2788"/>
      <c r="E18" s="2788"/>
      <c r="F18" s="2788"/>
      <c r="G18" s="2788"/>
      <c r="H18" s="2788"/>
      <c r="I18" s="2788"/>
      <c r="J18" s="2788"/>
      <c r="K18" s="2788"/>
      <c r="L18" s="2788"/>
      <c r="M18" s="2788"/>
      <c r="N18" s="2788"/>
      <c r="O18" s="2788"/>
      <c r="P18" s="2788"/>
      <c r="Q18" s="2789"/>
      <c r="R18" s="2642"/>
      <c r="S18" s="2474"/>
    </row>
    <row r="19" spans="1:31" ht="11.25" customHeight="1">
      <c r="A19" s="2787" t="s">
        <v>1975</v>
      </c>
      <c r="B19" s="2788"/>
      <c r="C19" s="2788"/>
      <c r="D19" s="2788"/>
      <c r="E19" s="2788"/>
      <c r="F19" s="2788"/>
      <c r="G19" s="2788"/>
      <c r="H19" s="2788"/>
      <c r="I19" s="2788"/>
      <c r="J19" s="2788"/>
      <c r="K19" s="2788"/>
      <c r="L19" s="2788"/>
      <c r="M19" s="2788"/>
      <c r="N19" s="2788"/>
      <c r="O19" s="2788"/>
      <c r="P19" s="2788"/>
      <c r="Q19" s="2789"/>
      <c r="R19" s="2642"/>
      <c r="S19" s="2474"/>
    </row>
    <row r="20" spans="1:31" ht="11.25" customHeight="1">
      <c r="A20" s="2787" t="s">
        <v>1976</v>
      </c>
      <c r="B20" s="2788"/>
      <c r="C20" s="2788"/>
      <c r="D20" s="2788"/>
      <c r="E20" s="2788"/>
      <c r="F20" s="2788"/>
      <c r="G20" s="2788"/>
      <c r="H20" s="2788"/>
      <c r="I20" s="2788"/>
      <c r="J20" s="2788"/>
      <c r="K20" s="2788"/>
      <c r="L20" s="2788"/>
      <c r="M20" s="2788"/>
      <c r="N20" s="2788"/>
      <c r="O20" s="2788"/>
      <c r="P20" s="2788"/>
      <c r="Q20" s="2789"/>
      <c r="R20" s="2642"/>
      <c r="S20" s="2474"/>
    </row>
    <row r="21" spans="1:31" ht="11.25" customHeight="1">
      <c r="A21" s="2787" t="s">
        <v>1977</v>
      </c>
      <c r="B21" s="2788"/>
      <c r="C21" s="2788"/>
      <c r="D21" s="2788"/>
      <c r="E21" s="2788"/>
      <c r="F21" s="2788"/>
      <c r="G21" s="2788"/>
      <c r="H21" s="2788"/>
      <c r="I21" s="2788"/>
      <c r="J21" s="2788"/>
      <c r="K21" s="2788"/>
      <c r="L21" s="2788"/>
      <c r="M21" s="2788"/>
      <c r="N21" s="2788"/>
      <c r="O21" s="2788"/>
      <c r="P21" s="2788"/>
      <c r="Q21" s="2789"/>
    </row>
    <row r="22" spans="1:31" ht="11.25" customHeight="1">
      <c r="A22" s="2787" t="s">
        <v>1978</v>
      </c>
      <c r="B22" s="2788"/>
      <c r="C22" s="2788"/>
      <c r="D22" s="2788"/>
      <c r="E22" s="2788"/>
      <c r="F22" s="2788"/>
      <c r="G22" s="2788"/>
      <c r="H22" s="2788"/>
      <c r="I22" s="2788"/>
      <c r="J22" s="2788"/>
      <c r="K22" s="2788"/>
      <c r="L22" s="2788"/>
      <c r="M22" s="2788"/>
      <c r="N22" s="2788"/>
      <c r="O22" s="2788"/>
      <c r="P22" s="2788"/>
      <c r="Q22" s="2789"/>
      <c r="R22" s="2642" t="s">
        <v>1984</v>
      </c>
      <c r="S22" s="2474"/>
    </row>
    <row r="23" spans="1:31" ht="11.25" customHeight="1">
      <c r="A23" s="2787" t="s">
        <v>1979</v>
      </c>
      <c r="B23" s="2788"/>
      <c r="C23" s="2788"/>
      <c r="D23" s="2788"/>
      <c r="E23" s="2788"/>
      <c r="F23" s="2788"/>
      <c r="G23" s="2788"/>
      <c r="H23" s="2788"/>
      <c r="I23" s="2788"/>
      <c r="J23" s="2788"/>
      <c r="K23" s="2788"/>
      <c r="L23" s="2788"/>
      <c r="M23" s="2788"/>
      <c r="N23" s="2788"/>
      <c r="O23" s="2788"/>
      <c r="P23" s="2788"/>
      <c r="Q23" s="2789"/>
      <c r="R23" s="2642"/>
      <c r="S23" s="2474"/>
    </row>
    <row r="24" spans="1:31" ht="11.25" customHeight="1">
      <c r="A24" s="2787" t="s">
        <v>1980</v>
      </c>
      <c r="B24" s="2788"/>
      <c r="C24" s="2788"/>
      <c r="D24" s="2788"/>
      <c r="E24" s="2788"/>
      <c r="F24" s="2788"/>
      <c r="G24" s="2788"/>
      <c r="H24" s="2788"/>
      <c r="I24" s="2788"/>
      <c r="J24" s="2788"/>
      <c r="K24" s="2788"/>
      <c r="L24" s="2788"/>
      <c r="M24" s="2788"/>
      <c r="N24" s="2788"/>
      <c r="O24" s="2788"/>
      <c r="P24" s="2788"/>
      <c r="Q24" s="2789"/>
      <c r="R24" s="2642"/>
      <c r="S24" s="2474"/>
    </row>
    <row r="25" spans="1:31" ht="11.25" customHeight="1">
      <c r="A25" s="2787" t="s">
        <v>1981</v>
      </c>
      <c r="B25" s="2788"/>
      <c r="C25" s="2788"/>
      <c r="D25" s="2788"/>
      <c r="E25" s="2788"/>
      <c r="F25" s="2788"/>
      <c r="G25" s="2788"/>
      <c r="H25" s="2788"/>
      <c r="I25" s="2788"/>
      <c r="J25" s="2788"/>
      <c r="K25" s="2788"/>
      <c r="L25" s="2788"/>
      <c r="M25" s="2788"/>
      <c r="N25" s="2788"/>
      <c r="O25" s="2788"/>
      <c r="P25" s="2788"/>
      <c r="Q25" s="2789"/>
      <c r="R25" s="2642"/>
      <c r="S25" s="2474"/>
    </row>
    <row r="26" spans="1:31" ht="11.25" customHeight="1">
      <c r="A26" s="2787" t="s">
        <v>1982</v>
      </c>
      <c r="B26" s="2788"/>
      <c r="C26" s="2788"/>
      <c r="D26" s="2788"/>
      <c r="E26" s="2788"/>
      <c r="F26" s="2788"/>
      <c r="G26" s="2788"/>
      <c r="H26" s="2788"/>
      <c r="I26" s="2788"/>
      <c r="J26" s="2788"/>
      <c r="K26" s="2788"/>
      <c r="L26" s="2788"/>
      <c r="M26" s="2788"/>
      <c r="N26" s="2788"/>
      <c r="O26" s="2788"/>
      <c r="P26" s="2788"/>
      <c r="Q26" s="2789"/>
      <c r="R26" s="2642"/>
      <c r="S26" s="2474"/>
    </row>
    <row r="27" spans="1:31" ht="11.25" customHeight="1">
      <c r="A27" s="2805" t="s">
        <v>1983</v>
      </c>
      <c r="B27" s="2806"/>
      <c r="C27" s="2806"/>
      <c r="D27" s="2806"/>
      <c r="E27" s="2806"/>
      <c r="F27" s="2806"/>
      <c r="G27" s="2806"/>
      <c r="H27" s="2806"/>
      <c r="I27" s="2806"/>
      <c r="J27" s="2806"/>
      <c r="K27" s="2806"/>
      <c r="L27" s="2806"/>
      <c r="M27" s="2806"/>
      <c r="N27" s="2806"/>
      <c r="O27" s="2806"/>
      <c r="P27" s="2806"/>
      <c r="Q27" s="2807"/>
      <c r="R27" s="2642"/>
      <c r="S27" s="2474"/>
    </row>
    <row r="28" spans="1:31" ht="6" customHeight="1"/>
    <row r="29" spans="1:31" ht="14.1" customHeight="1">
      <c r="A29" s="128" t="s">
        <v>598</v>
      </c>
      <c r="B29" s="129" t="s">
        <v>2579</v>
      </c>
      <c r="C29" s="130"/>
      <c r="D29" s="86"/>
      <c r="E29" s="86"/>
      <c r="F29" s="86"/>
      <c r="G29" s="86"/>
      <c r="I29" s="2397"/>
      <c r="J29" s="2397"/>
      <c r="K29" s="2397"/>
      <c r="L29" s="2374"/>
      <c r="M29" s="2374"/>
      <c r="O29" s="131" t="s">
        <v>1821</v>
      </c>
      <c r="P29" s="2808"/>
      <c r="Q29" s="2809"/>
    </row>
    <row r="30" spans="1:31" ht="3" customHeight="1"/>
    <row r="31" spans="1:31" ht="11.25" customHeight="1">
      <c r="B31" s="66" t="s">
        <v>3565</v>
      </c>
      <c r="C31" s="66"/>
      <c r="D31" s="66"/>
      <c r="E31" s="66"/>
      <c r="F31" s="66"/>
      <c r="G31" s="2397"/>
      <c r="H31" s="2397"/>
      <c r="I31" s="2397"/>
      <c r="J31" s="2397"/>
      <c r="K31" s="2374"/>
      <c r="L31" s="2374"/>
      <c r="M31" s="2374"/>
      <c r="N31" s="2374"/>
      <c r="O31" s="2374"/>
      <c r="P31" s="855"/>
      <c r="S31" s="157"/>
      <c r="T31" s="157"/>
    </row>
    <row r="32" spans="1:31" ht="95.25" customHeight="1">
      <c r="A32" s="2729" t="s">
        <v>7175</v>
      </c>
      <c r="B32" s="2730"/>
      <c r="C32" s="2730"/>
      <c r="D32" s="2730"/>
      <c r="E32" s="2730"/>
      <c r="F32" s="2730"/>
      <c r="G32" s="2730"/>
      <c r="H32" s="2730"/>
      <c r="I32" s="2730"/>
      <c r="J32" s="2730"/>
      <c r="K32" s="2730"/>
      <c r="L32" s="2730"/>
      <c r="M32" s="2730"/>
      <c r="N32" s="2730"/>
      <c r="O32" s="2730"/>
      <c r="P32" s="2730"/>
      <c r="Q32" s="2731"/>
      <c r="R32" s="440" t="s">
        <v>1228</v>
      </c>
      <c r="S32" s="441"/>
      <c r="T32" s="157"/>
      <c r="U32" s="135"/>
      <c r="V32" s="135"/>
      <c r="W32" s="135"/>
      <c r="X32" s="135"/>
      <c r="Y32" s="135"/>
      <c r="Z32" s="135"/>
      <c r="AA32" s="135"/>
      <c r="AB32" s="135"/>
      <c r="AC32" s="135"/>
      <c r="AD32" s="135"/>
      <c r="AE32" s="457"/>
    </row>
    <row r="33" spans="1:295" ht="11.25" customHeight="1">
      <c r="B33" s="136" t="s">
        <v>1820</v>
      </c>
      <c r="C33" s="137"/>
      <c r="D33" s="2380"/>
      <c r="E33" s="2380"/>
      <c r="F33" s="2380"/>
      <c r="G33" s="2380"/>
      <c r="H33" s="2380"/>
      <c r="I33" s="2380"/>
      <c r="J33" s="2380"/>
      <c r="K33" s="2380"/>
      <c r="L33" s="2380"/>
      <c r="M33" s="2380"/>
      <c r="N33" s="2380"/>
      <c r="O33" s="2380"/>
      <c r="P33" s="2380"/>
    </row>
    <row r="34" spans="1:295" ht="36" customHeight="1">
      <c r="A34" s="2810"/>
      <c r="B34" s="2810"/>
      <c r="C34" s="2810"/>
      <c r="D34" s="2810"/>
      <c r="E34" s="2810"/>
      <c r="F34" s="2810"/>
      <c r="G34" s="2810"/>
      <c r="H34" s="2810"/>
      <c r="I34" s="2810"/>
      <c r="J34" s="2810"/>
      <c r="K34" s="2810"/>
      <c r="L34" s="2810"/>
      <c r="M34" s="2810"/>
      <c r="N34" s="2810"/>
      <c r="O34" s="2810"/>
      <c r="P34" s="2810"/>
      <c r="Q34" s="2810"/>
      <c r="R34" s="440" t="s">
        <v>1228</v>
      </c>
      <c r="S34" s="441"/>
    </row>
    <row r="35" spans="1:295" ht="3" customHeight="1">
      <c r="B35" s="2397"/>
      <c r="C35" s="2380"/>
      <c r="D35" s="2380"/>
      <c r="E35" s="2380"/>
      <c r="F35" s="2380"/>
      <c r="G35" s="2380"/>
      <c r="H35" s="2380"/>
      <c r="I35" s="2380"/>
      <c r="J35" s="2380"/>
      <c r="K35" s="2380"/>
      <c r="L35" s="2380"/>
      <c r="M35" s="2380"/>
      <c r="N35" s="2380"/>
      <c r="O35" s="2380"/>
      <c r="P35" s="2380"/>
      <c r="Q35" s="2374"/>
    </row>
    <row r="36" spans="1:295" ht="12.75" customHeight="1">
      <c r="A36" s="2372" t="s">
        <v>722</v>
      </c>
      <c r="B36" s="4" t="s">
        <v>2631</v>
      </c>
      <c r="C36" s="4"/>
      <c r="D36" s="4"/>
      <c r="E36" s="2380"/>
      <c r="G36" s="585"/>
      <c r="H36" s="585"/>
      <c r="I36" s="585"/>
      <c r="J36" s="42"/>
      <c r="L36" s="586"/>
      <c r="M36" s="586"/>
      <c r="N36" s="586"/>
      <c r="O36" s="131" t="s">
        <v>1821</v>
      </c>
      <c r="P36" s="2808"/>
      <c r="Q36" s="2809"/>
    </row>
    <row r="37" spans="1:295" ht="11.25" customHeight="1">
      <c r="A37" s="2697"/>
      <c r="B37" s="2697"/>
      <c r="C37" s="2697"/>
      <c r="D37" s="2697"/>
      <c r="E37" s="2697"/>
      <c r="F37" s="1511"/>
      <c r="G37" s="2811" t="s">
        <v>2635</v>
      </c>
      <c r="H37" s="2812"/>
      <c r="I37" s="589"/>
      <c r="J37" s="42"/>
      <c r="K37" s="2813" t="s">
        <v>3467</v>
      </c>
      <c r="L37" s="2814"/>
      <c r="M37" s="2814"/>
      <c r="N37" s="2815"/>
    </row>
    <row r="38" spans="1:295" ht="11.25" customHeight="1">
      <c r="A38" s="2697"/>
      <c r="B38" s="2697"/>
      <c r="C38" s="2697"/>
      <c r="D38" s="2697"/>
      <c r="E38" s="2697"/>
      <c r="F38" s="1511"/>
      <c r="G38" s="2816" t="s">
        <v>341</v>
      </c>
      <c r="H38" s="2817"/>
      <c r="I38" s="589"/>
      <c r="J38" s="42"/>
      <c r="K38" s="2818" t="s">
        <v>3468</v>
      </c>
      <c r="L38" s="2819"/>
      <c r="M38" s="2819"/>
      <c r="N38" s="2820"/>
      <c r="P38" s="509" t="s">
        <v>2650</v>
      </c>
      <c r="Q38" s="2254" t="s">
        <v>2886</v>
      </c>
    </row>
    <row r="39" spans="1:295" ht="4.5" customHeight="1">
      <c r="A39" s="1511"/>
      <c r="B39" s="1511"/>
      <c r="C39" s="1511"/>
      <c r="D39" s="1511"/>
      <c r="E39" s="1511"/>
      <c r="F39" s="1511"/>
      <c r="G39" s="213"/>
      <c r="H39" s="213"/>
      <c r="I39" s="213"/>
      <c r="J39" s="42"/>
      <c r="K39" s="2701"/>
      <c r="L39" s="2701"/>
      <c r="M39" s="2701"/>
      <c r="N39" s="2701"/>
      <c r="P39" s="2864" t="s">
        <v>4530</v>
      </c>
      <c r="Q39" s="2864"/>
    </row>
    <row r="40" spans="1:295" s="82" customFormat="1" ht="10.5" customHeight="1">
      <c r="D40" s="590" t="s">
        <v>2634</v>
      </c>
      <c r="E40" s="35"/>
      <c r="F40" s="591" t="s">
        <v>3337</v>
      </c>
      <c r="G40" s="2821" t="s">
        <v>4453</v>
      </c>
      <c r="H40" s="2821"/>
      <c r="I40" s="2821"/>
      <c r="J40" s="35"/>
      <c r="K40" s="591" t="s">
        <v>3337</v>
      </c>
      <c r="L40" s="2821" t="s">
        <v>4452</v>
      </c>
      <c r="M40" s="2821"/>
      <c r="N40" s="2821"/>
      <c r="O40" s="35"/>
      <c r="P40" s="2864"/>
      <c r="Q40" s="2864"/>
      <c r="R40" s="404"/>
      <c r="U40" s="35"/>
      <c r="V40" s="445"/>
      <c r="W40" s="445"/>
      <c r="X40" s="446"/>
      <c r="Y40" s="445"/>
      <c r="Z40" s="449"/>
      <c r="AA40" s="450"/>
      <c r="AB40" s="450"/>
      <c r="AC40" s="450"/>
      <c r="AD40" s="450"/>
      <c r="AE40" s="450"/>
      <c r="AF40" s="450"/>
      <c r="AG40" s="608"/>
      <c r="AH40" s="443"/>
      <c r="AI40" s="443"/>
      <c r="AJ40" s="443"/>
      <c r="AK40" s="443"/>
      <c r="AL40" s="443"/>
      <c r="AM40" s="443"/>
      <c r="AN40" s="443"/>
      <c r="AO40" s="443"/>
      <c r="AP40" s="443"/>
      <c r="AQ40" s="443"/>
      <c r="AR40" s="443"/>
      <c r="AS40" s="443"/>
      <c r="AT40" s="443"/>
      <c r="AU40" s="443"/>
      <c r="AV40" s="443"/>
      <c r="AW40" s="443"/>
      <c r="AX40" s="443"/>
      <c r="AY40" s="443"/>
      <c r="AZ40" s="443"/>
      <c r="BA40" s="443"/>
      <c r="BB40" s="443"/>
      <c r="BC40" s="443"/>
      <c r="BD40" s="443"/>
      <c r="BE40" s="443"/>
      <c r="BF40" s="443"/>
      <c r="BG40" s="443"/>
      <c r="BH40" s="443"/>
      <c r="BI40" s="443"/>
      <c r="BJ40" s="443"/>
      <c r="BK40" s="443"/>
      <c r="BL40" s="443"/>
      <c r="BM40" s="443"/>
      <c r="BN40" s="443"/>
      <c r="BO40" s="443"/>
      <c r="BP40" s="443"/>
      <c r="BQ40" s="443"/>
      <c r="BR40" s="443"/>
      <c r="BS40" s="443"/>
      <c r="BT40" s="443"/>
      <c r="BU40" s="443"/>
      <c r="BV40" s="443"/>
      <c r="BW40" s="443"/>
      <c r="BX40" s="443"/>
      <c r="BY40" s="443"/>
      <c r="BZ40" s="443"/>
      <c r="CA40" s="443"/>
      <c r="CB40" s="443"/>
      <c r="CC40" s="443"/>
      <c r="CD40" s="443"/>
      <c r="CE40" s="443"/>
      <c r="CF40" s="443"/>
      <c r="CG40" s="443"/>
      <c r="CH40" s="443"/>
      <c r="CI40" s="443"/>
      <c r="CJ40" s="443"/>
      <c r="CK40" s="443"/>
      <c r="CL40" s="443"/>
      <c r="CM40" s="443"/>
      <c r="CN40" s="443"/>
      <c r="CO40" s="443"/>
      <c r="CP40" s="443"/>
      <c r="CQ40" s="443"/>
      <c r="CR40" s="443"/>
      <c r="CS40" s="443"/>
      <c r="CT40" s="443"/>
      <c r="CU40" s="443"/>
      <c r="CV40" s="443"/>
      <c r="CW40" s="443"/>
      <c r="CX40" s="443"/>
      <c r="CY40" s="443"/>
      <c r="CZ40" s="443"/>
      <c r="DA40" s="443"/>
      <c r="DB40" s="443"/>
      <c r="DC40" s="443"/>
      <c r="DD40" s="443"/>
      <c r="DE40" s="443"/>
      <c r="DF40" s="443"/>
      <c r="DG40" s="443"/>
      <c r="DH40" s="443"/>
      <c r="DI40" s="443"/>
      <c r="DJ40" s="443"/>
      <c r="DK40" s="443"/>
      <c r="DL40" s="443"/>
      <c r="DM40" s="443"/>
      <c r="DN40" s="443"/>
      <c r="DO40" s="443"/>
      <c r="DP40" s="443"/>
      <c r="DQ40" s="443"/>
      <c r="DR40" s="443"/>
      <c r="DS40" s="443"/>
      <c r="DT40" s="443"/>
      <c r="DU40" s="443"/>
      <c r="DV40" s="443"/>
      <c r="DW40" s="443"/>
      <c r="DX40" s="443"/>
      <c r="DY40" s="443"/>
      <c r="DZ40" s="443"/>
      <c r="EA40" s="443"/>
      <c r="EB40" s="443"/>
      <c r="EC40" s="443"/>
      <c r="ED40" s="443"/>
      <c r="EE40" s="443"/>
      <c r="EF40" s="443"/>
      <c r="EG40" s="443"/>
      <c r="EH40" s="443"/>
      <c r="EI40" s="443"/>
      <c r="EJ40" s="443"/>
      <c r="EK40" s="443"/>
      <c r="EL40" s="443"/>
      <c r="EM40" s="443"/>
      <c r="EN40" s="443"/>
      <c r="EO40" s="443"/>
      <c r="EP40" s="443"/>
      <c r="EQ40" s="443"/>
      <c r="ER40" s="443"/>
      <c r="ES40" s="443"/>
      <c r="ET40" s="443"/>
      <c r="EU40" s="443"/>
      <c r="EV40" s="443"/>
      <c r="EW40" s="443"/>
      <c r="EX40" s="443"/>
      <c r="EY40" s="443"/>
      <c r="EZ40" s="443"/>
      <c r="FA40" s="443"/>
      <c r="FB40" s="443"/>
      <c r="FC40" s="443"/>
      <c r="FD40" s="443"/>
      <c r="FE40" s="443"/>
      <c r="FF40" s="443"/>
      <c r="FG40" s="443"/>
      <c r="FH40" s="443"/>
      <c r="FI40" s="443"/>
      <c r="FJ40" s="443"/>
      <c r="FK40" s="443"/>
      <c r="FL40" s="443"/>
      <c r="FM40" s="443"/>
      <c r="FN40" s="443"/>
      <c r="FO40" s="443"/>
      <c r="FP40" s="443"/>
      <c r="FQ40" s="443"/>
      <c r="FR40" s="443"/>
      <c r="FS40" s="443"/>
      <c r="FT40" s="443"/>
      <c r="FU40" s="443"/>
      <c r="FV40" s="443"/>
      <c r="FW40" s="443"/>
      <c r="FX40" s="443"/>
      <c r="FY40" s="443"/>
      <c r="FZ40" s="443"/>
      <c r="GA40" s="443"/>
      <c r="GB40" s="443"/>
      <c r="GC40" s="443"/>
      <c r="GD40" s="443"/>
      <c r="GE40" s="443"/>
      <c r="GF40" s="443"/>
      <c r="GG40" s="443"/>
      <c r="GH40" s="443"/>
      <c r="GI40" s="443"/>
      <c r="GJ40" s="443"/>
      <c r="GK40" s="443"/>
      <c r="GL40" s="443"/>
      <c r="GM40" s="443"/>
      <c r="GN40" s="443"/>
      <c r="GO40" s="443"/>
      <c r="GP40" s="443"/>
      <c r="GQ40" s="443"/>
      <c r="GR40" s="443"/>
      <c r="GS40" s="443"/>
      <c r="GT40" s="443"/>
      <c r="GU40" s="443"/>
      <c r="GV40" s="443"/>
      <c r="GW40" s="443"/>
      <c r="GX40" s="443"/>
      <c r="GY40" s="443"/>
      <c r="GZ40" s="443"/>
      <c r="HA40" s="443"/>
      <c r="HB40" s="443"/>
      <c r="HC40" s="443"/>
      <c r="HD40" s="443"/>
      <c r="HE40" s="443"/>
      <c r="HF40" s="443"/>
      <c r="HG40" s="443"/>
      <c r="HH40" s="443"/>
      <c r="HI40" s="443"/>
      <c r="HJ40" s="443"/>
      <c r="HK40" s="443"/>
      <c r="HL40" s="443"/>
      <c r="HM40" s="443"/>
      <c r="HN40" s="443"/>
      <c r="HO40" s="443"/>
      <c r="HP40" s="443"/>
      <c r="HQ40" s="443"/>
      <c r="HR40" s="443"/>
      <c r="HS40" s="443"/>
      <c r="HT40" s="443"/>
      <c r="HU40" s="443"/>
      <c r="HV40" s="443"/>
      <c r="HW40" s="443"/>
      <c r="HX40" s="443"/>
      <c r="HY40" s="443"/>
      <c r="HZ40" s="443"/>
      <c r="IA40" s="443"/>
      <c r="IB40" s="443"/>
      <c r="IC40" s="443"/>
      <c r="ID40" s="443"/>
      <c r="IE40" s="443"/>
      <c r="IF40" s="443"/>
      <c r="IG40" s="443"/>
      <c r="IH40" s="443"/>
      <c r="II40" s="443"/>
      <c r="IJ40" s="448"/>
      <c r="IK40" s="448"/>
      <c r="IL40" s="443"/>
      <c r="IM40" s="443"/>
      <c r="IN40" s="443"/>
      <c r="IO40" s="443"/>
      <c r="IP40" s="443"/>
      <c r="IQ40" s="443"/>
      <c r="IR40" s="443"/>
      <c r="IS40" s="443"/>
      <c r="IT40" s="443"/>
      <c r="IU40" s="443"/>
      <c r="IV40" s="443"/>
      <c r="IW40" s="443"/>
      <c r="IX40" s="443"/>
      <c r="IY40" s="443"/>
      <c r="IZ40" s="443"/>
      <c r="JA40" s="448"/>
      <c r="JB40" s="443"/>
      <c r="JC40" s="443"/>
      <c r="JD40" s="147"/>
      <c r="JE40" s="147"/>
      <c r="JF40" s="147"/>
      <c r="JG40" s="147"/>
      <c r="JH40" s="147"/>
      <c r="JI40" s="147"/>
      <c r="JJ40" s="147"/>
      <c r="JK40" s="147"/>
      <c r="JL40" s="147"/>
      <c r="JM40" s="147"/>
      <c r="JN40" s="147"/>
      <c r="JO40" s="147"/>
      <c r="JP40" s="147"/>
      <c r="JQ40" s="147"/>
      <c r="JR40" s="147"/>
      <c r="JS40" s="147"/>
      <c r="JT40" s="147"/>
      <c r="JU40" s="147"/>
      <c r="JV40" s="147"/>
      <c r="JW40" s="147"/>
      <c r="JX40" s="147"/>
      <c r="JY40" s="147"/>
      <c r="JZ40" s="147"/>
      <c r="KA40" s="147"/>
      <c r="KB40" s="147"/>
      <c r="KC40" s="147"/>
      <c r="KD40" s="147"/>
      <c r="KE40" s="147"/>
      <c r="KF40" s="147"/>
      <c r="KG40" s="147"/>
      <c r="KH40" s="147"/>
      <c r="KI40" s="147"/>
    </row>
    <row r="41" spans="1:295" s="82" customFormat="1" ht="10.5" customHeight="1">
      <c r="A41" s="2804" t="s">
        <v>3252</v>
      </c>
      <c r="B41" s="2804"/>
      <c r="C41" s="2804"/>
      <c r="D41" s="822" t="s">
        <v>551</v>
      </c>
      <c r="E41" s="823">
        <v>0</v>
      </c>
      <c r="F41" s="1509" t="str">
        <f>IF('Part VI-Revenues &amp; Expenses'!$K$149 =0,"",'Part VI-Revenues &amp; Expenses'!$K$149)</f>
        <v/>
      </c>
      <c r="G41" s="824">
        <f>IF('Part IX Scoring Criteria'!$O$74='Part IX Scoring Criteria'!$M$74,$L41,
IF($P$42="Albany",VLOOKUP($A$41,'DCA Underwriting Assumptions'!$E$22:$J$25,$E41+2),
IF($P$42="Athens",VLOOKUP($A$41,'DCA Underwriting Assumptions'!$E$26:$J$29,$E41+2),
IF($P$42="Atlanta",VLOOKUP($A$41,'DCA Underwriting Assumptions'!$E$30:$J$33,$E41+2),
IF($P$42="Augusta",VLOOKUP($A$41,'DCA Underwriting Assumptions'!$E$34:$J$37,$E41+2),
IF($P$42="Chattanooga",VLOOKUP($A$41,'DCA Underwriting Assumptions'!$E$38:$J$41,$E41+2),
IF($P$42="Columbus",VLOOKUP($A$41,'DCA Underwriting Assumptions'!$E$42:$J$45,$E41+2),
IF($P$42="Macon",VLOOKUP($A$41,'DCA Underwriting Assumptions'!$E$46:$J$49,$E41+2),
IF($P$42="Savannah",VLOOKUP($A$41,'DCA Underwriting Assumptions'!$E$50:$J$53,$E41+2),
VLOOKUP($A$41,'DCA Underwriting Assumptions'!$E$54:$J$57,$E41+2))))))))))*(1+'DCA Underwriting Assumptions'!$I$14)</f>
        <v>168301.19999999998</v>
      </c>
      <c r="H41" s="40" t="str">
        <f>CONCATENATE("x ", F41," units = ")</f>
        <v xml:space="preserve">x  units = </v>
      </c>
      <c r="I41" s="1510" t="str">
        <f>IF(F41="","",F41*G41)</f>
        <v/>
      </c>
      <c r="J41" s="42"/>
      <c r="K41" s="1509" t="str">
        <f>IF('Part VI-Revenues &amp; Expenses'!$K$150 =0,"",'Part VI-Revenues &amp; Expenses'!$K$150)</f>
        <v/>
      </c>
      <c r="L41" s="824">
        <f>G41*(1+'DCA Underwriting Assumptions'!$Q$12)</f>
        <v>185131.32</v>
      </c>
      <c r="M41" s="40" t="str">
        <f>CONCATENATE("x ", K41," units = ")</f>
        <v xml:space="preserve">x  units = </v>
      </c>
      <c r="N41" s="1510" t="str">
        <f>IF(K41="","",K41*L41)</f>
        <v/>
      </c>
      <c r="O41" s="2380"/>
      <c r="P41" s="2865"/>
      <c r="Q41" s="2865"/>
      <c r="R41" s="404"/>
      <c r="U41" s="35"/>
      <c r="V41" s="445"/>
      <c r="W41" s="445"/>
      <c r="X41" s="446"/>
      <c r="Y41" s="445"/>
      <c r="Z41" s="449"/>
      <c r="AA41" s="450"/>
      <c r="AB41" s="450"/>
      <c r="AC41" s="450"/>
      <c r="AD41" s="450"/>
      <c r="AE41" s="450"/>
      <c r="AF41" s="450"/>
      <c r="AG41" s="608"/>
      <c r="AH41" s="443"/>
      <c r="AI41" s="443"/>
      <c r="AJ41" s="443"/>
      <c r="AK41" s="443"/>
      <c r="AL41" s="443"/>
      <c r="AM41" s="443"/>
      <c r="AN41" s="443"/>
      <c r="AO41" s="443"/>
      <c r="AP41" s="443"/>
      <c r="AQ41" s="443"/>
      <c r="AR41" s="443"/>
      <c r="AS41" s="443"/>
      <c r="AT41" s="443"/>
      <c r="AU41" s="443"/>
      <c r="AV41" s="443"/>
      <c r="AW41" s="443"/>
      <c r="AX41" s="443"/>
      <c r="AY41" s="443"/>
      <c r="AZ41" s="443"/>
      <c r="BA41" s="443"/>
      <c r="BB41" s="443"/>
      <c r="BC41" s="443"/>
      <c r="BD41" s="443"/>
      <c r="BE41" s="443"/>
      <c r="BF41" s="443"/>
      <c r="BG41" s="443"/>
      <c r="BH41" s="443"/>
      <c r="BI41" s="443"/>
      <c r="BJ41" s="443"/>
      <c r="BK41" s="443"/>
      <c r="BL41" s="443"/>
      <c r="BM41" s="443"/>
      <c r="BN41" s="443"/>
      <c r="BO41" s="443"/>
      <c r="BP41" s="443"/>
      <c r="BQ41" s="443"/>
      <c r="BR41" s="443"/>
      <c r="BS41" s="443"/>
      <c r="BT41" s="443"/>
      <c r="BU41" s="443"/>
      <c r="BV41" s="443"/>
      <c r="BW41" s="443"/>
      <c r="BX41" s="443"/>
      <c r="BY41" s="443"/>
      <c r="BZ41" s="443"/>
      <c r="CA41" s="443"/>
      <c r="CB41" s="443"/>
      <c r="CC41" s="443"/>
      <c r="CD41" s="443"/>
      <c r="CE41" s="443"/>
      <c r="CF41" s="443"/>
      <c r="CG41" s="443"/>
      <c r="CH41" s="443"/>
      <c r="CI41" s="443"/>
      <c r="CJ41" s="443"/>
      <c r="CK41" s="443"/>
      <c r="CL41" s="443"/>
      <c r="CM41" s="443"/>
      <c r="CN41" s="443"/>
      <c r="CO41" s="443"/>
      <c r="CP41" s="443"/>
      <c r="CQ41" s="443"/>
      <c r="CR41" s="443"/>
      <c r="CS41" s="443"/>
      <c r="CT41" s="443"/>
      <c r="CU41" s="443"/>
      <c r="CV41" s="443"/>
      <c r="CW41" s="443"/>
      <c r="CX41" s="443"/>
      <c r="CY41" s="443"/>
      <c r="CZ41" s="443"/>
      <c r="DA41" s="443"/>
      <c r="DB41" s="443"/>
      <c r="DC41" s="443"/>
      <c r="DD41" s="443"/>
      <c r="DE41" s="443"/>
      <c r="DF41" s="443"/>
      <c r="DG41" s="443"/>
      <c r="DH41" s="443"/>
      <c r="DI41" s="443"/>
      <c r="DJ41" s="443"/>
      <c r="DK41" s="443"/>
      <c r="DL41" s="443"/>
      <c r="DM41" s="443"/>
      <c r="DN41" s="443"/>
      <c r="DO41" s="443"/>
      <c r="DP41" s="443"/>
      <c r="DQ41" s="443"/>
      <c r="DR41" s="443"/>
      <c r="DS41" s="443"/>
      <c r="DT41" s="443"/>
      <c r="DU41" s="443"/>
      <c r="DV41" s="443"/>
      <c r="DW41" s="443"/>
      <c r="DX41" s="443"/>
      <c r="DY41" s="443"/>
      <c r="DZ41" s="443"/>
      <c r="EA41" s="443"/>
      <c r="EB41" s="443"/>
      <c r="EC41" s="443"/>
      <c r="ED41" s="443"/>
      <c r="EE41" s="443"/>
      <c r="EF41" s="443"/>
      <c r="EG41" s="443"/>
      <c r="EH41" s="443"/>
      <c r="EI41" s="443"/>
      <c r="EJ41" s="443"/>
      <c r="EK41" s="443"/>
      <c r="EL41" s="443"/>
      <c r="EM41" s="443"/>
      <c r="EN41" s="443"/>
      <c r="EO41" s="443"/>
      <c r="EP41" s="443"/>
      <c r="EQ41" s="443"/>
      <c r="ER41" s="443"/>
      <c r="ES41" s="443"/>
      <c r="ET41" s="443"/>
      <c r="EU41" s="443"/>
      <c r="EV41" s="443"/>
      <c r="EW41" s="443"/>
      <c r="EX41" s="443"/>
      <c r="EY41" s="443"/>
      <c r="EZ41" s="443"/>
      <c r="FA41" s="443"/>
      <c r="FB41" s="443"/>
      <c r="FC41" s="443"/>
      <c r="FD41" s="443"/>
      <c r="FE41" s="443"/>
      <c r="FF41" s="443"/>
      <c r="FG41" s="443"/>
      <c r="FH41" s="443"/>
      <c r="FI41" s="443"/>
      <c r="FJ41" s="443"/>
      <c r="FK41" s="443"/>
      <c r="FL41" s="443"/>
      <c r="FM41" s="443"/>
      <c r="FN41" s="443"/>
      <c r="FO41" s="443"/>
      <c r="FP41" s="443"/>
      <c r="FQ41" s="443"/>
      <c r="FR41" s="443"/>
      <c r="FS41" s="443"/>
      <c r="FT41" s="443"/>
      <c r="FU41" s="443"/>
      <c r="FV41" s="443"/>
      <c r="FW41" s="443"/>
      <c r="FX41" s="443"/>
      <c r="FY41" s="443"/>
      <c r="FZ41" s="443"/>
      <c r="GA41" s="443"/>
      <c r="GB41" s="443"/>
      <c r="GC41" s="443"/>
      <c r="GD41" s="443"/>
      <c r="GE41" s="443"/>
      <c r="GF41" s="443"/>
      <c r="GG41" s="443"/>
      <c r="GH41" s="443"/>
      <c r="GI41" s="443"/>
      <c r="GJ41" s="443"/>
      <c r="GK41" s="443"/>
      <c r="GL41" s="443"/>
      <c r="GM41" s="443"/>
      <c r="GN41" s="443"/>
      <c r="GO41" s="443"/>
      <c r="GP41" s="443"/>
      <c r="GQ41" s="443"/>
      <c r="GR41" s="443"/>
      <c r="GS41" s="443"/>
      <c r="GT41" s="443"/>
      <c r="GU41" s="443"/>
      <c r="GV41" s="443"/>
      <c r="GW41" s="443"/>
      <c r="GX41" s="443"/>
      <c r="GY41" s="443"/>
      <c r="GZ41" s="443"/>
      <c r="HA41" s="443"/>
      <c r="HB41" s="443"/>
      <c r="HC41" s="443"/>
      <c r="HD41" s="443"/>
      <c r="HE41" s="443"/>
      <c r="HF41" s="443"/>
      <c r="HG41" s="443"/>
      <c r="HH41" s="443"/>
      <c r="HI41" s="443"/>
      <c r="HJ41" s="443"/>
      <c r="HK41" s="443"/>
      <c r="HL41" s="443"/>
      <c r="HM41" s="443"/>
      <c r="HN41" s="443"/>
      <c r="HO41" s="443"/>
      <c r="HP41" s="443"/>
      <c r="HQ41" s="443"/>
      <c r="HR41" s="443"/>
      <c r="HS41" s="443"/>
      <c r="HT41" s="443"/>
      <c r="HU41" s="443"/>
      <c r="HV41" s="443"/>
      <c r="HW41" s="443"/>
      <c r="HX41" s="443"/>
      <c r="HY41" s="443"/>
      <c r="HZ41" s="443"/>
      <c r="IA41" s="443"/>
      <c r="IB41" s="443"/>
      <c r="IC41" s="443"/>
      <c r="ID41" s="443"/>
      <c r="IE41" s="443"/>
      <c r="IF41" s="443"/>
      <c r="IG41" s="443"/>
      <c r="IH41" s="443"/>
      <c r="II41" s="443"/>
      <c r="IJ41" s="448"/>
      <c r="IK41" s="448"/>
      <c r="IL41" s="443"/>
      <c r="IM41" s="443"/>
      <c r="IN41" s="443"/>
      <c r="IO41" s="443"/>
      <c r="IP41" s="443"/>
      <c r="IQ41" s="443"/>
      <c r="IR41" s="443"/>
      <c r="IS41" s="443"/>
      <c r="IT41" s="443"/>
      <c r="IU41" s="443"/>
      <c r="IV41" s="443"/>
      <c r="IW41" s="443"/>
      <c r="IX41" s="443"/>
      <c r="IY41" s="443"/>
      <c r="IZ41" s="443"/>
      <c r="JA41" s="448"/>
      <c r="JB41" s="443"/>
      <c r="JC41" s="443"/>
      <c r="JD41" s="147"/>
      <c r="JE41" s="147"/>
      <c r="JF41" s="147"/>
      <c r="JG41" s="147"/>
      <c r="JH41" s="147"/>
      <c r="JI41" s="147"/>
      <c r="JJ41" s="147"/>
      <c r="JK41" s="147"/>
      <c r="JL41" s="147"/>
      <c r="JM41" s="147"/>
      <c r="JN41" s="147"/>
      <c r="JO41" s="147"/>
      <c r="JP41" s="147"/>
      <c r="JQ41" s="147"/>
      <c r="JR41" s="147"/>
      <c r="JS41" s="147"/>
      <c r="JT41" s="147"/>
      <c r="JU41" s="147"/>
      <c r="JV41" s="147"/>
      <c r="JW41" s="147"/>
      <c r="JX41" s="147"/>
      <c r="JY41" s="147"/>
      <c r="JZ41" s="147"/>
      <c r="KA41" s="147"/>
      <c r="KB41" s="147"/>
      <c r="KC41" s="147"/>
      <c r="KD41" s="147"/>
      <c r="KE41" s="147"/>
      <c r="KF41" s="147"/>
      <c r="KG41" s="147"/>
      <c r="KH41" s="147"/>
      <c r="KI41" s="147"/>
    </row>
    <row r="42" spans="1:295" s="82" customFormat="1" ht="10.5" customHeight="1">
      <c r="A42" s="2804"/>
      <c r="B42" s="2804"/>
      <c r="C42" s="2804"/>
      <c r="D42" s="822" t="s">
        <v>2377</v>
      </c>
      <c r="E42" s="823">
        <v>1</v>
      </c>
      <c r="F42" s="1509" t="str">
        <f>IF('Part VI-Revenues &amp; Expenses'!$L$149 =0,"",'Part VI-Revenues &amp; Expenses'!$L$149)</f>
        <v/>
      </c>
      <c r="G42" s="824">
        <f>IF('Part IX Scoring Criteria'!$O$74='Part IX Scoring Criteria'!$M$74,$L42,
IF($P$42="Albany",VLOOKUP($A$41,'DCA Underwriting Assumptions'!$E$22:$J$25,$E42+2),
IF($P$42="Athens",VLOOKUP($A$41,'DCA Underwriting Assumptions'!$E$26:$J$29,$E42+2),
IF($P$42="Atlanta",VLOOKUP($A$41,'DCA Underwriting Assumptions'!$E$30:$J$33,$E42+2),
IF($P$42="Augusta",VLOOKUP($A$41,'DCA Underwriting Assumptions'!$E$34:$J$37,$E42+2),
IF($P$42="Chattanooga",VLOOKUP($A$41,'DCA Underwriting Assumptions'!$E$38:$J$41,$E42+2),
IF($P$42="Columbus",VLOOKUP($A$41,'DCA Underwriting Assumptions'!$E$42:$J$45,$E42+2),
IF($P$42="Macon",VLOOKUP($A$41,'DCA Underwriting Assumptions'!$E$46:$J$49,$E42+2),
IF($P$42="Savannah",VLOOKUP($A$41,'DCA Underwriting Assumptions'!$E$50:$J$53,$E42+2),
VLOOKUP($A$41,'DCA Underwriting Assumptions'!$E$54:$J$57,$E42+2))))))))))*(1+'DCA Underwriting Assumptions'!$I$15)</f>
        <v>208644.49999999997</v>
      </c>
      <c r="H42" s="40" t="str">
        <f>CONCATENATE("x ", F42," units = ")</f>
        <v xml:space="preserve">x  units = </v>
      </c>
      <c r="I42" s="1510" t="str">
        <f>IF(F42="","",F42*G42)</f>
        <v/>
      </c>
      <c r="J42" s="42"/>
      <c r="K42" s="1509" t="str">
        <f>IF('Part VI-Revenues &amp; Expenses'!$L$150 =0,"",'Part VI-Revenues &amp; Expenses'!$L$150)</f>
        <v/>
      </c>
      <c r="L42" s="824">
        <f>G42*(1+'DCA Underwriting Assumptions'!$Q$12)</f>
        <v>229508.94999999998</v>
      </c>
      <c r="M42" s="40" t="str">
        <f>CONCATENATE("x ", K42," units = ")</f>
        <v xml:space="preserve">x  units = </v>
      </c>
      <c r="N42" s="1510" t="str">
        <f>IF(K42="","",K42*L42)</f>
        <v/>
      </c>
      <c r="O42" s="2380"/>
      <c r="P42" s="2822" t="str">
        <f>IF('Part I-Project Information'!$F$38="","",VLOOKUP('Part I-Project Information'!$J$39,'DCA Underwriting Assumptions'!$G$173:$N$332,8,FALSE))</f>
        <v>Columbus</v>
      </c>
      <c r="Q42" s="2823"/>
      <c r="R42" s="404"/>
      <c r="W42" s="445"/>
      <c r="X42" s="446"/>
      <c r="Y42" s="445"/>
      <c r="Z42" s="449"/>
      <c r="AA42" s="450"/>
      <c r="AB42" s="450"/>
      <c r="AC42" s="450"/>
      <c r="AD42" s="450"/>
      <c r="AE42" s="450"/>
      <c r="AF42" s="450"/>
      <c r="AG42" s="608"/>
      <c r="AH42" s="443"/>
      <c r="AI42" s="443"/>
      <c r="AJ42" s="443"/>
      <c r="AK42" s="443"/>
      <c r="AL42" s="443"/>
      <c r="AM42" s="443"/>
      <c r="AN42" s="443"/>
      <c r="AO42" s="443"/>
      <c r="AP42" s="443"/>
      <c r="AQ42" s="443"/>
      <c r="AR42" s="443"/>
      <c r="AS42" s="443"/>
      <c r="AT42" s="443"/>
      <c r="AU42" s="443"/>
      <c r="AV42" s="443"/>
      <c r="AW42" s="443"/>
      <c r="AX42" s="443"/>
      <c r="AY42" s="443"/>
      <c r="AZ42" s="443"/>
      <c r="BA42" s="443"/>
      <c r="BB42" s="443"/>
      <c r="BC42" s="443"/>
      <c r="BD42" s="443"/>
      <c r="BE42" s="443"/>
      <c r="BF42" s="443"/>
      <c r="BG42" s="443"/>
      <c r="BH42" s="443"/>
      <c r="BI42" s="443"/>
      <c r="BJ42" s="443"/>
      <c r="BK42" s="443"/>
      <c r="BL42" s="443"/>
      <c r="BM42" s="443"/>
      <c r="BN42" s="443"/>
      <c r="BO42" s="443"/>
      <c r="BP42" s="443"/>
      <c r="BQ42" s="443"/>
      <c r="BR42" s="443"/>
      <c r="BS42" s="443"/>
      <c r="BT42" s="443"/>
      <c r="BU42" s="443"/>
      <c r="BV42" s="443"/>
      <c r="BW42" s="443"/>
      <c r="BX42" s="443"/>
      <c r="BY42" s="443"/>
      <c r="BZ42" s="443"/>
      <c r="CA42" s="443"/>
      <c r="CB42" s="443"/>
      <c r="CC42" s="443"/>
      <c r="CD42" s="443"/>
      <c r="CE42" s="443"/>
      <c r="CF42" s="443"/>
      <c r="CG42" s="443"/>
      <c r="CH42" s="443"/>
      <c r="CI42" s="443"/>
      <c r="CJ42" s="443"/>
      <c r="CK42" s="443"/>
      <c r="CL42" s="443"/>
      <c r="CM42" s="443"/>
      <c r="CN42" s="443"/>
      <c r="CO42" s="443"/>
      <c r="CP42" s="443"/>
      <c r="CQ42" s="443"/>
      <c r="CR42" s="443"/>
      <c r="CS42" s="443"/>
      <c r="CT42" s="443"/>
      <c r="CU42" s="443"/>
      <c r="CV42" s="443"/>
      <c r="CW42" s="443"/>
      <c r="CX42" s="443"/>
      <c r="CY42" s="443"/>
      <c r="CZ42" s="443"/>
      <c r="DA42" s="443"/>
      <c r="DB42" s="443"/>
      <c r="DC42" s="443"/>
      <c r="DD42" s="443"/>
      <c r="DE42" s="443"/>
      <c r="DF42" s="443"/>
      <c r="DG42" s="443"/>
      <c r="DH42" s="443"/>
      <c r="DI42" s="443"/>
      <c r="DJ42" s="443"/>
      <c r="DK42" s="443"/>
      <c r="DL42" s="443"/>
      <c r="DM42" s="443"/>
      <c r="DN42" s="443"/>
      <c r="DO42" s="443"/>
      <c r="DP42" s="443"/>
      <c r="DQ42" s="443"/>
      <c r="DR42" s="443"/>
      <c r="DS42" s="443"/>
      <c r="DT42" s="443"/>
      <c r="DU42" s="443"/>
      <c r="DV42" s="443"/>
      <c r="DW42" s="443"/>
      <c r="DX42" s="443"/>
      <c r="DY42" s="443"/>
      <c r="DZ42" s="443"/>
      <c r="EA42" s="443"/>
      <c r="EB42" s="443"/>
      <c r="EC42" s="443"/>
      <c r="ED42" s="443"/>
      <c r="EE42" s="443"/>
      <c r="EF42" s="443"/>
      <c r="EG42" s="443"/>
      <c r="EH42" s="443"/>
      <c r="EI42" s="443"/>
      <c r="EJ42" s="443"/>
      <c r="EK42" s="443"/>
      <c r="EL42" s="443"/>
      <c r="EM42" s="443"/>
      <c r="EN42" s="443"/>
      <c r="EO42" s="443"/>
      <c r="EP42" s="443"/>
      <c r="EQ42" s="443"/>
      <c r="ER42" s="443"/>
      <c r="ES42" s="443"/>
      <c r="ET42" s="443"/>
      <c r="EU42" s="443"/>
      <c r="EV42" s="443"/>
      <c r="EW42" s="443"/>
      <c r="EX42" s="443"/>
      <c r="EY42" s="443"/>
      <c r="EZ42" s="443"/>
      <c r="FA42" s="443"/>
      <c r="FB42" s="443"/>
      <c r="FC42" s="443"/>
      <c r="FD42" s="443"/>
      <c r="FE42" s="443"/>
      <c r="FF42" s="443"/>
      <c r="FG42" s="443"/>
      <c r="FH42" s="443"/>
      <c r="FI42" s="443"/>
      <c r="FJ42" s="443"/>
      <c r="FK42" s="443"/>
      <c r="FL42" s="443"/>
      <c r="FM42" s="443"/>
      <c r="FN42" s="443"/>
      <c r="FO42" s="443"/>
      <c r="FP42" s="443"/>
      <c r="FQ42" s="443"/>
      <c r="FR42" s="443"/>
      <c r="FS42" s="443"/>
      <c r="FT42" s="443"/>
      <c r="FU42" s="443"/>
      <c r="FV42" s="443"/>
      <c r="FW42" s="443"/>
      <c r="FX42" s="443"/>
      <c r="FY42" s="443"/>
      <c r="FZ42" s="443"/>
      <c r="GA42" s="443"/>
      <c r="GB42" s="443"/>
      <c r="GC42" s="443"/>
      <c r="GD42" s="443"/>
      <c r="GE42" s="443"/>
      <c r="GF42" s="443"/>
      <c r="GG42" s="443"/>
      <c r="GH42" s="443"/>
      <c r="GI42" s="443"/>
      <c r="GJ42" s="443"/>
      <c r="GK42" s="443"/>
      <c r="GL42" s="443"/>
      <c r="GM42" s="443"/>
      <c r="GN42" s="443"/>
      <c r="GO42" s="443"/>
      <c r="GP42" s="443"/>
      <c r="GQ42" s="443"/>
      <c r="GR42" s="443"/>
      <c r="GS42" s="443"/>
      <c r="GT42" s="443"/>
      <c r="GU42" s="443"/>
      <c r="GV42" s="443"/>
      <c r="GW42" s="443"/>
      <c r="GX42" s="443"/>
      <c r="GY42" s="443"/>
      <c r="GZ42" s="443"/>
      <c r="HA42" s="443"/>
      <c r="HB42" s="443"/>
      <c r="HC42" s="443"/>
      <c r="HD42" s="443"/>
      <c r="HE42" s="443"/>
      <c r="HF42" s="443"/>
      <c r="HG42" s="443"/>
      <c r="HH42" s="443"/>
      <c r="HI42" s="443"/>
      <c r="HJ42" s="443"/>
      <c r="HK42" s="443"/>
      <c r="HL42" s="443"/>
      <c r="HM42" s="443"/>
      <c r="HN42" s="443"/>
      <c r="HO42" s="443"/>
      <c r="HP42" s="443"/>
      <c r="HQ42" s="443"/>
      <c r="HR42" s="443"/>
      <c r="HS42" s="443"/>
      <c r="HT42" s="443"/>
      <c r="HU42" s="443"/>
      <c r="HV42" s="443"/>
      <c r="HW42" s="443"/>
      <c r="HX42" s="443"/>
      <c r="HY42" s="443"/>
      <c r="HZ42" s="443"/>
      <c r="IA42" s="443"/>
      <c r="IB42" s="443"/>
      <c r="IC42" s="443"/>
      <c r="ID42" s="443"/>
      <c r="IE42" s="443"/>
      <c r="IF42" s="443"/>
      <c r="IG42" s="443"/>
      <c r="IH42" s="443"/>
      <c r="II42" s="443"/>
      <c r="IJ42" s="448"/>
      <c r="IK42" s="448"/>
      <c r="IL42" s="443"/>
      <c r="IM42" s="443"/>
      <c r="IN42" s="443"/>
      <c r="IO42" s="443"/>
      <c r="IP42" s="443"/>
      <c r="IQ42" s="443"/>
      <c r="IR42" s="443"/>
      <c r="IS42" s="443"/>
      <c r="IT42" s="443"/>
      <c r="IU42" s="443"/>
      <c r="IV42" s="443"/>
      <c r="IW42" s="443"/>
      <c r="IX42" s="443"/>
      <c r="IY42" s="443"/>
      <c r="IZ42" s="443"/>
      <c r="JA42" s="448"/>
      <c r="JB42" s="443"/>
      <c r="JC42" s="443"/>
      <c r="JD42" s="147"/>
      <c r="JE42" s="147"/>
      <c r="JF42" s="147"/>
      <c r="JG42" s="147"/>
      <c r="JH42" s="147"/>
      <c r="JI42" s="147"/>
      <c r="JJ42" s="147"/>
      <c r="JK42" s="147"/>
      <c r="JL42" s="147"/>
      <c r="JM42" s="147"/>
      <c r="JN42" s="147"/>
      <c r="JO42" s="147"/>
      <c r="JP42" s="147"/>
      <c r="JQ42" s="147"/>
      <c r="JR42" s="147"/>
      <c r="JS42" s="147"/>
      <c r="JT42" s="147"/>
      <c r="JU42" s="147"/>
      <c r="JV42" s="147"/>
      <c r="JW42" s="147"/>
      <c r="JX42" s="147"/>
      <c r="JY42" s="147"/>
      <c r="JZ42" s="147"/>
      <c r="KA42" s="147"/>
      <c r="KB42" s="147"/>
      <c r="KC42" s="147"/>
      <c r="KD42" s="147"/>
      <c r="KE42" s="147"/>
      <c r="KF42" s="147"/>
      <c r="KG42" s="147"/>
      <c r="KH42" s="147"/>
      <c r="KI42" s="147"/>
    </row>
    <row r="43" spans="1:295" s="82" customFormat="1" ht="10.5" customHeight="1">
      <c r="A43" s="2804"/>
      <c r="B43" s="2804"/>
      <c r="C43" s="2804"/>
      <c r="D43" s="822" t="s">
        <v>2378</v>
      </c>
      <c r="E43" s="823">
        <v>2</v>
      </c>
      <c r="F43" s="1509" t="str">
        <f>IF('Part VI-Revenues &amp; Expenses'!$M$149 =0,"",'Part VI-Revenues &amp; Expenses'!$M$149)</f>
        <v/>
      </c>
      <c r="G43" s="824">
        <f>IF('Part IX Scoring Criteria'!$O$74='Part IX Scoring Criteria'!$M$74,$L43,
IF($P$42="Albany",VLOOKUP($A$41,'DCA Underwriting Assumptions'!$E$22:$J$25,$E43+2),
IF($P$42="Athens",VLOOKUP($A$41,'DCA Underwriting Assumptions'!$E$26:$J$29,$E43+2),
IF($P$42="Atlanta",VLOOKUP($A$41,'DCA Underwriting Assumptions'!$E$30:$J$33,$E43+2),
IF($P$42="Augusta",VLOOKUP($A$41,'DCA Underwriting Assumptions'!$E$34:$J$37,$E43+2),
IF($P$42="Chattanooga",VLOOKUP($A$41,'DCA Underwriting Assumptions'!$E$38:$J$41,$E43+2),
IF($P$42="Columbus",VLOOKUP($A$41,'DCA Underwriting Assumptions'!$E$42:$J$45,$E43+2),
IF($P$42="Macon",VLOOKUP($A$41,'DCA Underwriting Assumptions'!$E$46:$J$49,$E43+2),
IF($P$42="Savannah",VLOOKUP($A$41,'DCA Underwriting Assumptions'!$E$50:$J$53,$E43+2),
VLOOKUP($A$41,'DCA Underwriting Assumptions'!$E$54:$J$57,$E43+2))))))))))*(1+'DCA Underwriting Assumptions'!$I$16)</f>
        <v>249636.24999999997</v>
      </c>
      <c r="H43" s="40" t="str">
        <f>CONCATENATE("x ", F43," units = ")</f>
        <v xml:space="preserve">x  units = </v>
      </c>
      <c r="I43" s="1510" t="str">
        <f>IF(F43="","",F43*G43)</f>
        <v/>
      </c>
      <c r="J43" s="42"/>
      <c r="K43" s="1509" t="str">
        <f>IF('Part VI-Revenues &amp; Expenses'!$M$150 =0,"",'Part VI-Revenues &amp; Expenses'!$M$150)</f>
        <v/>
      </c>
      <c r="L43" s="824">
        <f>G43*(1+'DCA Underwriting Assumptions'!$Q$12)</f>
        <v>274599.875</v>
      </c>
      <c r="M43" s="40" t="str">
        <f>CONCATENATE("x ", K43," units = ")</f>
        <v xml:space="preserve">x  units = </v>
      </c>
      <c r="N43" s="1510" t="str">
        <f>IF(K43="","",K43*L43)</f>
        <v/>
      </c>
      <c r="O43" s="2380"/>
      <c r="P43" s="2824"/>
      <c r="Q43" s="2825"/>
      <c r="W43" s="445"/>
      <c r="X43" s="446"/>
      <c r="Y43" s="445"/>
      <c r="Z43" s="449"/>
      <c r="AA43" s="450"/>
      <c r="AB43" s="450"/>
      <c r="AC43" s="450"/>
      <c r="AD43" s="450"/>
      <c r="AE43" s="450"/>
      <c r="AF43" s="450"/>
      <c r="AG43" s="608"/>
      <c r="AH43" s="443"/>
      <c r="AI43" s="443"/>
      <c r="AJ43" s="443"/>
      <c r="AK43" s="443"/>
      <c r="AL43" s="443"/>
      <c r="AM43" s="443"/>
      <c r="AN43" s="443"/>
      <c r="AO43" s="443"/>
      <c r="AP43" s="443"/>
      <c r="AQ43" s="443"/>
      <c r="AR43" s="443"/>
      <c r="AS43" s="443"/>
      <c r="AT43" s="443"/>
      <c r="AU43" s="443"/>
      <c r="AV43" s="443"/>
      <c r="AW43" s="443"/>
      <c r="AX43" s="443"/>
      <c r="AY43" s="443"/>
      <c r="AZ43" s="443"/>
      <c r="BA43" s="443"/>
      <c r="BB43" s="443"/>
      <c r="BC43" s="443"/>
      <c r="BD43" s="443"/>
      <c r="BE43" s="443"/>
      <c r="BF43" s="443"/>
      <c r="BG43" s="443"/>
      <c r="BH43" s="443"/>
      <c r="BI43" s="443"/>
      <c r="BJ43" s="443"/>
      <c r="BK43" s="443"/>
      <c r="BL43" s="443"/>
      <c r="BM43" s="443"/>
      <c r="BN43" s="443"/>
      <c r="BO43" s="443"/>
      <c r="BP43" s="443"/>
      <c r="BQ43" s="443"/>
      <c r="BR43" s="443"/>
      <c r="BS43" s="443"/>
      <c r="BT43" s="443"/>
      <c r="BU43" s="443"/>
      <c r="BV43" s="443"/>
      <c r="BW43" s="443"/>
      <c r="BX43" s="443"/>
      <c r="BY43" s="443"/>
      <c r="BZ43" s="443"/>
      <c r="CA43" s="443"/>
      <c r="CB43" s="443"/>
      <c r="CC43" s="443"/>
      <c r="CD43" s="443"/>
      <c r="CE43" s="443"/>
      <c r="CF43" s="443"/>
      <c r="CG43" s="443"/>
      <c r="CH43" s="443"/>
      <c r="CI43" s="443"/>
      <c r="CJ43" s="443"/>
      <c r="CK43" s="443"/>
      <c r="CL43" s="443"/>
      <c r="CM43" s="443"/>
      <c r="CN43" s="443"/>
      <c r="CO43" s="443"/>
      <c r="CP43" s="443"/>
      <c r="CQ43" s="443"/>
      <c r="CR43" s="443"/>
      <c r="CS43" s="443"/>
      <c r="CT43" s="443"/>
      <c r="CU43" s="443"/>
      <c r="CV43" s="443"/>
      <c r="CW43" s="443"/>
      <c r="CX43" s="443"/>
      <c r="CY43" s="443"/>
      <c r="CZ43" s="443"/>
      <c r="DA43" s="443"/>
      <c r="DB43" s="443"/>
      <c r="DC43" s="443"/>
      <c r="DD43" s="443"/>
      <c r="DE43" s="443"/>
      <c r="DF43" s="443"/>
      <c r="DG43" s="443"/>
      <c r="DH43" s="443"/>
      <c r="DI43" s="443"/>
      <c r="DJ43" s="443"/>
      <c r="DK43" s="443"/>
      <c r="DL43" s="443"/>
      <c r="DM43" s="443"/>
      <c r="DN43" s="443"/>
      <c r="DO43" s="443"/>
      <c r="DP43" s="443"/>
      <c r="DQ43" s="443"/>
      <c r="DR43" s="443"/>
      <c r="DS43" s="443"/>
      <c r="DT43" s="443"/>
      <c r="DU43" s="443"/>
      <c r="DV43" s="443"/>
      <c r="DW43" s="443"/>
      <c r="DX43" s="443"/>
      <c r="DY43" s="443"/>
      <c r="DZ43" s="443"/>
      <c r="EA43" s="443"/>
      <c r="EB43" s="443"/>
      <c r="EC43" s="443"/>
      <c r="ED43" s="443"/>
      <c r="EE43" s="443"/>
      <c r="EF43" s="443"/>
      <c r="EG43" s="443"/>
      <c r="EH43" s="443"/>
      <c r="EI43" s="443"/>
      <c r="EJ43" s="443"/>
      <c r="EK43" s="443"/>
      <c r="EL43" s="443"/>
      <c r="EM43" s="443"/>
      <c r="EN43" s="443"/>
      <c r="EO43" s="443"/>
      <c r="EP43" s="443"/>
      <c r="EQ43" s="443"/>
      <c r="ER43" s="443"/>
      <c r="ES43" s="443"/>
      <c r="ET43" s="443"/>
      <c r="EU43" s="443"/>
      <c r="EV43" s="443"/>
      <c r="EW43" s="443"/>
      <c r="EX43" s="443"/>
      <c r="EY43" s="443"/>
      <c r="EZ43" s="443"/>
      <c r="FA43" s="443"/>
      <c r="FB43" s="443"/>
      <c r="FC43" s="443"/>
      <c r="FD43" s="443"/>
      <c r="FE43" s="443"/>
      <c r="FF43" s="443"/>
      <c r="FG43" s="443"/>
      <c r="FH43" s="443"/>
      <c r="FI43" s="443"/>
      <c r="FJ43" s="443"/>
      <c r="FK43" s="443"/>
      <c r="FL43" s="443"/>
      <c r="FM43" s="443"/>
      <c r="FN43" s="443"/>
      <c r="FO43" s="443"/>
      <c r="FP43" s="443"/>
      <c r="FQ43" s="443"/>
      <c r="FR43" s="443"/>
      <c r="FS43" s="443"/>
      <c r="FT43" s="443"/>
      <c r="FU43" s="443"/>
      <c r="FV43" s="443"/>
      <c r="FW43" s="443"/>
      <c r="FX43" s="443"/>
      <c r="FY43" s="443"/>
      <c r="FZ43" s="443"/>
      <c r="GA43" s="443"/>
      <c r="GB43" s="443"/>
      <c r="GC43" s="443"/>
      <c r="GD43" s="443"/>
      <c r="GE43" s="443"/>
      <c r="GF43" s="443"/>
      <c r="GG43" s="443"/>
      <c r="GH43" s="443"/>
      <c r="GI43" s="443"/>
      <c r="GJ43" s="443"/>
      <c r="GK43" s="443"/>
      <c r="GL43" s="443"/>
      <c r="GM43" s="443"/>
      <c r="GN43" s="443"/>
      <c r="GO43" s="443"/>
      <c r="GP43" s="443"/>
      <c r="GQ43" s="443"/>
      <c r="GR43" s="443"/>
      <c r="GS43" s="443"/>
      <c r="GT43" s="443"/>
      <c r="GU43" s="443"/>
      <c r="GV43" s="443"/>
      <c r="GW43" s="443"/>
      <c r="GX43" s="443"/>
      <c r="GY43" s="443"/>
      <c r="GZ43" s="443"/>
      <c r="HA43" s="443"/>
      <c r="HB43" s="443"/>
      <c r="HC43" s="443"/>
      <c r="HD43" s="443"/>
      <c r="HE43" s="443"/>
      <c r="HF43" s="443"/>
      <c r="HG43" s="443"/>
      <c r="HH43" s="443"/>
      <c r="HI43" s="443"/>
      <c r="HJ43" s="443"/>
      <c r="HK43" s="443"/>
      <c r="HL43" s="443"/>
      <c r="HM43" s="443"/>
      <c r="HN43" s="443"/>
      <c r="HO43" s="443"/>
      <c r="HP43" s="443"/>
      <c r="HQ43" s="443"/>
      <c r="HR43" s="443"/>
      <c r="HS43" s="443"/>
      <c r="HT43" s="443"/>
      <c r="HU43" s="443"/>
      <c r="HV43" s="443"/>
      <c r="HW43" s="443"/>
      <c r="HX43" s="443"/>
      <c r="HY43" s="443"/>
      <c r="HZ43" s="443"/>
      <c r="IA43" s="443"/>
      <c r="IB43" s="443"/>
      <c r="IC43" s="443"/>
      <c r="ID43" s="443"/>
      <c r="IE43" s="443"/>
      <c r="IF43" s="443"/>
      <c r="IG43" s="443"/>
      <c r="IH43" s="443"/>
      <c r="II43" s="443"/>
      <c r="IJ43" s="448"/>
      <c r="IK43" s="448"/>
      <c r="IL43" s="443"/>
      <c r="IM43" s="443"/>
      <c r="IN43" s="443"/>
      <c r="IO43" s="443"/>
      <c r="IP43" s="443"/>
      <c r="IQ43" s="443"/>
      <c r="IR43" s="443"/>
      <c r="IS43" s="443"/>
      <c r="IT43" s="443"/>
      <c r="IU43" s="443"/>
      <c r="IV43" s="443"/>
      <c r="IW43" s="443"/>
      <c r="IX43" s="443"/>
      <c r="IY43" s="443"/>
      <c r="IZ43" s="443"/>
      <c r="JA43" s="448"/>
      <c r="JB43" s="443"/>
      <c r="JC43" s="443"/>
      <c r="JD43" s="147"/>
      <c r="JE43" s="147"/>
      <c r="JF43" s="147"/>
      <c r="JG43" s="147"/>
      <c r="JH43" s="147"/>
      <c r="JI43" s="147"/>
      <c r="JJ43" s="147"/>
      <c r="JK43" s="147"/>
      <c r="JL43" s="147"/>
      <c r="JM43" s="147"/>
      <c r="JN43" s="147"/>
      <c r="JO43" s="147"/>
      <c r="JP43" s="147"/>
      <c r="JQ43" s="147"/>
      <c r="JR43" s="147"/>
      <c r="JS43" s="147"/>
      <c r="JT43" s="147"/>
      <c r="JU43" s="147"/>
      <c r="JV43" s="147"/>
      <c r="JW43" s="147"/>
      <c r="JX43" s="147"/>
      <c r="JY43" s="147"/>
      <c r="JZ43" s="147"/>
      <c r="KA43" s="147"/>
      <c r="KB43" s="147"/>
      <c r="KC43" s="147"/>
      <c r="KD43" s="147"/>
      <c r="KE43" s="147"/>
      <c r="KF43" s="147"/>
      <c r="KG43" s="147"/>
      <c r="KH43" s="147"/>
      <c r="KI43" s="147"/>
    </row>
    <row r="44" spans="1:295" s="82" customFormat="1" ht="10.5" customHeight="1">
      <c r="A44" s="2804"/>
      <c r="B44" s="2804"/>
      <c r="C44" s="2804"/>
      <c r="D44" s="822" t="s">
        <v>2379</v>
      </c>
      <c r="E44" s="823">
        <v>3</v>
      </c>
      <c r="F44" s="1509" t="str">
        <f>IF('Part VI-Revenues &amp; Expenses'!$N$149 =0,"",'Part VI-Revenues &amp; Expenses'!$N$149)</f>
        <v/>
      </c>
      <c r="G44" s="824">
        <f>IF('Part IX Scoring Criteria'!$O$74='Part IX Scoring Criteria'!$M$74,$L44,
IF($P$42="Albany",VLOOKUP($A$41,'DCA Underwriting Assumptions'!$E$22:$J$25,$E44+2),
IF($P$42="Athens",VLOOKUP($A$41,'DCA Underwriting Assumptions'!$E$26:$J$29,$E44+2),
IF($P$42="Atlanta",VLOOKUP($A$41,'DCA Underwriting Assumptions'!$E$30:$J$33,$E44+2),
IF($P$42="Augusta",VLOOKUP($A$41,'DCA Underwriting Assumptions'!$E$34:$J$37,$E44+2),
IF($P$42="Chattanooga",VLOOKUP($A$41,'DCA Underwriting Assumptions'!$E$38:$J$41,$E44+2),
IF($P$42="Columbus",VLOOKUP($A$41,'DCA Underwriting Assumptions'!$E$42:$J$45,$E44+2),
IF($P$42="Macon",VLOOKUP($A$41,'DCA Underwriting Assumptions'!$E$46:$J$49,$E44+2),
IF($P$42="Savannah",VLOOKUP($A$41,'DCA Underwriting Assumptions'!$E$50:$J$53,$E44+2),
VLOOKUP($A$41,'DCA Underwriting Assumptions'!$E$54:$J$57,$E44+2))))))))))*(1+'DCA Underwriting Assumptions'!$I$17)</f>
        <v>284659.10000000003</v>
      </c>
      <c r="H44" s="40" t="str">
        <f>CONCATENATE("x ", F44," units = ")</f>
        <v xml:space="preserve">x  units = </v>
      </c>
      <c r="I44" s="1510" t="str">
        <f>IF(F44="","",F44*G44)</f>
        <v/>
      </c>
      <c r="J44" s="42"/>
      <c r="K44" s="1509" t="str">
        <f>IF('Part VI-Revenues &amp; Expenses'!$N$150 =0,"",'Part VI-Revenues &amp; Expenses'!$N$150)</f>
        <v/>
      </c>
      <c r="L44" s="824">
        <f>G44*(1+'DCA Underwriting Assumptions'!$Q$12)</f>
        <v>313125.01000000007</v>
      </c>
      <c r="M44" s="40" t="str">
        <f>CONCATENATE("x ", K44," units = ")</f>
        <v xml:space="preserve">x  units = </v>
      </c>
      <c r="N44" s="1510" t="str">
        <f>IF(K44="","",K44*L44)</f>
        <v/>
      </c>
      <c r="O44" s="2380"/>
      <c r="P44" s="2803" t="s">
        <v>4531</v>
      </c>
      <c r="Q44" s="2803"/>
      <c r="W44" s="445"/>
      <c r="X44" s="446"/>
      <c r="AC44" s="450"/>
      <c r="AD44" s="450"/>
      <c r="AE44" s="450"/>
      <c r="AF44" s="450"/>
      <c r="AG44" s="608"/>
      <c r="AH44" s="443"/>
      <c r="AI44" s="443"/>
      <c r="AJ44" s="443"/>
      <c r="AK44" s="443"/>
      <c r="AL44" s="443"/>
      <c r="AM44" s="443"/>
      <c r="AN44" s="443"/>
      <c r="AO44" s="443"/>
      <c r="AP44" s="443"/>
      <c r="AQ44" s="443"/>
      <c r="AR44" s="443"/>
      <c r="AS44" s="443"/>
      <c r="AT44" s="443"/>
      <c r="AU44" s="443"/>
      <c r="AV44" s="443"/>
      <c r="AW44" s="443"/>
      <c r="AX44" s="443"/>
      <c r="AY44" s="443"/>
      <c r="AZ44" s="443"/>
      <c r="BA44" s="443"/>
      <c r="BB44" s="443"/>
      <c r="BC44" s="443"/>
      <c r="BD44" s="443"/>
      <c r="BE44" s="443"/>
      <c r="BF44" s="443"/>
      <c r="BG44" s="443"/>
      <c r="BH44" s="443"/>
      <c r="BI44" s="443"/>
      <c r="BJ44" s="443"/>
      <c r="BK44" s="443"/>
      <c r="BL44" s="443"/>
      <c r="BM44" s="443"/>
      <c r="BN44" s="443"/>
      <c r="BO44" s="443"/>
      <c r="BP44" s="443"/>
      <c r="BQ44" s="443"/>
      <c r="BR44" s="443"/>
      <c r="BS44" s="443"/>
      <c r="BT44" s="443"/>
      <c r="BU44" s="443"/>
      <c r="BV44" s="443"/>
      <c r="BW44" s="443"/>
      <c r="BX44" s="443"/>
      <c r="BY44" s="443"/>
      <c r="BZ44" s="443"/>
      <c r="CA44" s="443"/>
      <c r="CB44" s="443"/>
      <c r="CC44" s="443"/>
      <c r="CD44" s="443"/>
      <c r="CE44" s="443"/>
      <c r="CF44" s="443"/>
      <c r="CG44" s="443"/>
      <c r="CH44" s="443"/>
      <c r="CI44" s="443"/>
      <c r="CJ44" s="443"/>
      <c r="CK44" s="443"/>
      <c r="CL44" s="443"/>
      <c r="CM44" s="443"/>
      <c r="CN44" s="443"/>
      <c r="CO44" s="443"/>
      <c r="CP44" s="443"/>
      <c r="CQ44" s="443"/>
      <c r="CR44" s="443"/>
      <c r="CS44" s="443"/>
      <c r="CT44" s="443"/>
      <c r="CU44" s="443"/>
      <c r="CV44" s="443"/>
      <c r="CW44" s="443"/>
      <c r="CX44" s="443"/>
      <c r="CY44" s="443"/>
      <c r="CZ44" s="443"/>
      <c r="DA44" s="443"/>
      <c r="DB44" s="443"/>
      <c r="DC44" s="443"/>
      <c r="DD44" s="443"/>
      <c r="DE44" s="443"/>
      <c r="DF44" s="443"/>
      <c r="DG44" s="443"/>
      <c r="DH44" s="443"/>
      <c r="DI44" s="443"/>
      <c r="DJ44" s="443"/>
      <c r="DK44" s="443"/>
      <c r="DL44" s="443"/>
      <c r="DM44" s="443"/>
      <c r="DN44" s="443"/>
      <c r="DO44" s="443"/>
      <c r="DP44" s="443"/>
      <c r="DQ44" s="443"/>
      <c r="DR44" s="443"/>
      <c r="DS44" s="443"/>
      <c r="DT44" s="443"/>
      <c r="DU44" s="443"/>
      <c r="DV44" s="443"/>
      <c r="DW44" s="443"/>
      <c r="DX44" s="443"/>
      <c r="DY44" s="443"/>
      <c r="DZ44" s="443"/>
      <c r="EA44" s="443"/>
      <c r="EB44" s="443"/>
      <c r="EC44" s="443"/>
      <c r="ED44" s="443"/>
      <c r="EE44" s="443"/>
      <c r="EF44" s="443"/>
      <c r="EG44" s="443"/>
      <c r="EH44" s="443"/>
      <c r="EI44" s="443"/>
      <c r="EJ44" s="443"/>
      <c r="EK44" s="443"/>
      <c r="EL44" s="443"/>
      <c r="EM44" s="443"/>
      <c r="EN44" s="443"/>
      <c r="EO44" s="443"/>
      <c r="EP44" s="443"/>
      <c r="EQ44" s="443"/>
      <c r="ER44" s="443"/>
      <c r="ES44" s="443"/>
      <c r="ET44" s="443"/>
      <c r="EU44" s="443"/>
      <c r="EV44" s="443"/>
      <c r="EW44" s="443"/>
      <c r="EX44" s="443"/>
      <c r="EY44" s="443"/>
      <c r="EZ44" s="443"/>
      <c r="FA44" s="443"/>
      <c r="FB44" s="443"/>
      <c r="FC44" s="443"/>
      <c r="FD44" s="443"/>
      <c r="FE44" s="443"/>
      <c r="FF44" s="443"/>
      <c r="FG44" s="443"/>
      <c r="FH44" s="443"/>
      <c r="FI44" s="443"/>
      <c r="FJ44" s="443"/>
      <c r="FK44" s="443"/>
      <c r="FL44" s="443"/>
      <c r="FM44" s="443"/>
      <c r="FN44" s="443"/>
      <c r="FO44" s="443"/>
      <c r="FP44" s="443"/>
      <c r="FQ44" s="443"/>
      <c r="FR44" s="443"/>
      <c r="FS44" s="443"/>
      <c r="FT44" s="443"/>
      <c r="FU44" s="443"/>
      <c r="FV44" s="443"/>
      <c r="FW44" s="443"/>
      <c r="FX44" s="443"/>
      <c r="FY44" s="443"/>
      <c r="FZ44" s="443"/>
      <c r="GA44" s="443"/>
      <c r="GB44" s="443"/>
      <c r="GC44" s="443"/>
      <c r="GD44" s="443"/>
      <c r="GE44" s="443"/>
      <c r="GF44" s="443"/>
      <c r="GG44" s="443"/>
      <c r="GH44" s="443"/>
      <c r="GI44" s="443"/>
      <c r="GJ44" s="443"/>
      <c r="GK44" s="443"/>
      <c r="GL44" s="443"/>
      <c r="GM44" s="443"/>
      <c r="GN44" s="443"/>
      <c r="GO44" s="443"/>
      <c r="GP44" s="443"/>
      <c r="GQ44" s="443"/>
      <c r="GR44" s="443"/>
      <c r="GS44" s="443"/>
      <c r="GT44" s="443"/>
      <c r="GU44" s="443"/>
      <c r="GV44" s="443"/>
      <c r="GW44" s="443"/>
      <c r="GX44" s="443"/>
      <c r="GY44" s="443"/>
      <c r="GZ44" s="443"/>
      <c r="HA44" s="443"/>
      <c r="HB44" s="443"/>
      <c r="HC44" s="443"/>
      <c r="HD44" s="443"/>
      <c r="HE44" s="443"/>
      <c r="HF44" s="443"/>
      <c r="HG44" s="443"/>
      <c r="HH44" s="443"/>
      <c r="HI44" s="443"/>
      <c r="HJ44" s="443"/>
      <c r="HK44" s="443"/>
      <c r="HL44" s="443"/>
      <c r="HM44" s="443"/>
      <c r="HN44" s="443"/>
      <c r="HO44" s="443"/>
      <c r="HP44" s="443"/>
      <c r="HQ44" s="443"/>
      <c r="HR44" s="443"/>
      <c r="HS44" s="443"/>
      <c r="HT44" s="443"/>
      <c r="HU44" s="443"/>
      <c r="HV44" s="443"/>
      <c r="HW44" s="443"/>
      <c r="HX44" s="443"/>
      <c r="HY44" s="443"/>
      <c r="HZ44" s="443"/>
      <c r="IA44" s="443"/>
      <c r="IB44" s="443"/>
      <c r="IC44" s="443"/>
      <c r="ID44" s="443"/>
      <c r="IE44" s="443"/>
      <c r="IF44" s="443"/>
      <c r="IG44" s="443"/>
      <c r="IH44" s="443"/>
      <c r="II44" s="443"/>
      <c r="IJ44" s="448"/>
      <c r="IK44" s="448"/>
      <c r="IL44" s="443"/>
      <c r="IM44" s="443"/>
      <c r="IN44" s="443"/>
      <c r="IO44" s="443"/>
      <c r="IP44" s="443"/>
      <c r="IQ44" s="443"/>
      <c r="IR44" s="443"/>
      <c r="IS44" s="443"/>
      <c r="IT44" s="443"/>
      <c r="IU44" s="443"/>
      <c r="IV44" s="443"/>
      <c r="IW44" s="443"/>
      <c r="IX44" s="443"/>
      <c r="IY44" s="443"/>
      <c r="IZ44" s="443"/>
      <c r="JA44" s="448"/>
      <c r="JB44" s="443"/>
      <c r="JC44" s="443"/>
      <c r="JD44" s="147"/>
      <c r="JE44" s="147"/>
      <c r="JF44" s="147"/>
      <c r="JG44" s="147"/>
      <c r="JH44" s="147"/>
      <c r="JI44" s="147"/>
      <c r="JJ44" s="147"/>
      <c r="JK44" s="147"/>
      <c r="JL44" s="147"/>
      <c r="JM44" s="147"/>
      <c r="JN44" s="147"/>
      <c r="JO44" s="147"/>
      <c r="JP44" s="147"/>
      <c r="JQ44" s="147"/>
      <c r="JR44" s="147"/>
      <c r="JS44" s="147"/>
      <c r="JT44" s="147"/>
      <c r="JU44" s="147"/>
      <c r="JV44" s="147"/>
      <c r="JW44" s="147"/>
      <c r="JX44" s="147"/>
      <c r="JY44" s="147"/>
      <c r="JZ44" s="147"/>
      <c r="KA44" s="147"/>
      <c r="KB44" s="147"/>
      <c r="KC44" s="147"/>
      <c r="KD44" s="147"/>
      <c r="KE44" s="147"/>
      <c r="KF44" s="147"/>
      <c r="KG44" s="147"/>
      <c r="KH44" s="147"/>
      <c r="KI44" s="147"/>
    </row>
    <row r="45" spans="1:295" s="82" customFormat="1" ht="10.5" customHeight="1">
      <c r="A45" s="8"/>
      <c r="B45" s="8"/>
      <c r="C45" s="1"/>
      <c r="D45" s="826" t="s">
        <v>2380</v>
      </c>
      <c r="E45" s="823">
        <v>4</v>
      </c>
      <c r="F45" s="1509" t="str">
        <f>IF('Part VI-Revenues &amp; Expenses'!$O$149 =0,"",'Part VI-Revenues &amp; Expenses'!$O$149)</f>
        <v/>
      </c>
      <c r="G45" s="824">
        <f>IF('Part IX Scoring Criteria'!$O$74='Part IX Scoring Criteria'!$M$74,$L45,
IF($P$42="Albany",VLOOKUP($A$41,'DCA Underwriting Assumptions'!$E$22:$J$25,$E45+2),
IF($P$42="Athens",VLOOKUP($A$41,'DCA Underwriting Assumptions'!$E$26:$J$29,$E45+2),
IF($P$42="Atlanta",VLOOKUP($A$41,'DCA Underwriting Assumptions'!$E$30:$J$33,$E45+2),
IF($P$42="Augusta",VLOOKUP($A$41,'DCA Underwriting Assumptions'!$E$34:$J$37,$E45+2),
IF($P$42="Chattanooga",VLOOKUP($A$41,'DCA Underwriting Assumptions'!$E$38:$J$41,$E45+2),
IF($P$42="Columbus",VLOOKUP($A$41,'DCA Underwriting Assumptions'!$E$42:$J$45,$E45+2),
IF($P$42="Macon",VLOOKUP($A$41,'DCA Underwriting Assumptions'!$E$46:$J$49,$E45+2),
IF($P$42="Savannah",VLOOKUP($A$41,'DCA Underwriting Assumptions'!$E$50:$J$53,$E45+2),
VLOOKUP($A$41,'DCA Underwriting Assumptions'!$E$54:$J$57,$E45+2))))))))))*(1+'DCA Underwriting Assumptions'!$I$18)</f>
        <v>335406.5</v>
      </c>
      <c r="H45" s="40" t="str">
        <f>CONCATENATE("x ", F45," units = ")</f>
        <v xml:space="preserve">x  units = </v>
      </c>
      <c r="I45" s="1510" t="str">
        <f>IF(F45="","",F45*G45)</f>
        <v/>
      </c>
      <c r="J45" s="42"/>
      <c r="K45" s="1509" t="str">
        <f>IF('Part VI-Revenues &amp; Expenses'!$O$150 =0,"",'Part VI-Revenues &amp; Expenses'!$O$150)</f>
        <v/>
      </c>
      <c r="L45" s="824">
        <f>G45*(1+'DCA Underwriting Assumptions'!$Q$12)</f>
        <v>368947.15</v>
      </c>
      <c r="M45" s="40" t="str">
        <f>CONCATENATE("x ", K45," units = ")</f>
        <v xml:space="preserve">x  units = </v>
      </c>
      <c r="N45" s="1510" t="str">
        <f>IF(K45="","",K45*L45)</f>
        <v/>
      </c>
      <c r="O45" s="2380"/>
      <c r="P45" s="2862">
        <f>'Part IV-A-Uses of Funds'!$G$132</f>
        <v>12452350</v>
      </c>
      <c r="Q45" s="2863"/>
      <c r="AC45" s="450"/>
      <c r="AD45" s="450"/>
      <c r="AE45" s="450"/>
      <c r="AF45" s="450"/>
      <c r="AG45" s="608"/>
      <c r="AH45" s="443"/>
      <c r="AI45" s="443"/>
      <c r="AJ45" s="443"/>
      <c r="AK45" s="443"/>
      <c r="AL45" s="443"/>
      <c r="AM45" s="443"/>
      <c r="AN45" s="443"/>
      <c r="AO45" s="443"/>
      <c r="AP45" s="443"/>
      <c r="AQ45" s="443"/>
      <c r="AR45" s="443"/>
      <c r="AS45" s="443"/>
      <c r="AT45" s="443"/>
      <c r="AU45" s="443"/>
      <c r="AV45" s="443"/>
      <c r="AW45" s="443"/>
      <c r="AX45" s="443"/>
      <c r="AY45" s="443"/>
      <c r="AZ45" s="443"/>
      <c r="BA45" s="443"/>
      <c r="BB45" s="443"/>
      <c r="BC45" s="443"/>
      <c r="BD45" s="443"/>
      <c r="BE45" s="443"/>
      <c r="BF45" s="443"/>
      <c r="BG45" s="443"/>
      <c r="BH45" s="443"/>
      <c r="BI45" s="443"/>
      <c r="BJ45" s="443"/>
      <c r="BK45" s="443"/>
      <c r="BL45" s="443"/>
      <c r="BM45" s="443"/>
      <c r="BN45" s="443"/>
      <c r="BO45" s="443"/>
      <c r="BP45" s="443"/>
      <c r="BQ45" s="443"/>
      <c r="BR45" s="443"/>
      <c r="BS45" s="443"/>
      <c r="BT45" s="443"/>
      <c r="BU45" s="443"/>
      <c r="BV45" s="443"/>
      <c r="BW45" s="443"/>
      <c r="BX45" s="443"/>
      <c r="BY45" s="443"/>
      <c r="BZ45" s="443"/>
      <c r="CA45" s="443"/>
      <c r="CB45" s="443"/>
      <c r="CC45" s="443"/>
      <c r="CD45" s="443"/>
      <c r="CE45" s="443"/>
      <c r="CF45" s="443"/>
      <c r="CG45" s="443"/>
      <c r="CH45" s="443"/>
      <c r="CI45" s="443"/>
      <c r="CJ45" s="443"/>
      <c r="CK45" s="443"/>
      <c r="CL45" s="443"/>
      <c r="CM45" s="443"/>
      <c r="CN45" s="443"/>
      <c r="CO45" s="443"/>
      <c r="CP45" s="443"/>
      <c r="CQ45" s="443"/>
      <c r="CR45" s="443"/>
      <c r="CS45" s="443"/>
      <c r="CT45" s="443"/>
      <c r="CU45" s="443"/>
      <c r="CV45" s="443"/>
      <c r="CW45" s="443"/>
      <c r="CX45" s="443"/>
      <c r="CY45" s="443"/>
      <c r="CZ45" s="443"/>
      <c r="DA45" s="443"/>
      <c r="DB45" s="443"/>
      <c r="DC45" s="443"/>
      <c r="DD45" s="443"/>
      <c r="DE45" s="443"/>
      <c r="DF45" s="443"/>
      <c r="DG45" s="443"/>
      <c r="DH45" s="443"/>
      <c r="DI45" s="443"/>
      <c r="DJ45" s="443"/>
      <c r="DK45" s="443"/>
      <c r="DL45" s="443"/>
      <c r="DM45" s="443"/>
      <c r="DN45" s="443"/>
      <c r="DO45" s="443"/>
      <c r="DP45" s="443"/>
      <c r="DQ45" s="443"/>
      <c r="DR45" s="443"/>
      <c r="DS45" s="443"/>
      <c r="DT45" s="443"/>
      <c r="DU45" s="443"/>
      <c r="DV45" s="443"/>
      <c r="DW45" s="443"/>
      <c r="DX45" s="443"/>
      <c r="DY45" s="443"/>
      <c r="DZ45" s="443"/>
      <c r="EA45" s="443"/>
      <c r="EB45" s="443"/>
      <c r="EC45" s="443"/>
      <c r="ED45" s="443"/>
      <c r="EE45" s="443"/>
      <c r="EF45" s="443"/>
      <c r="EG45" s="443"/>
      <c r="EH45" s="443"/>
      <c r="EI45" s="443"/>
      <c r="EJ45" s="443"/>
      <c r="EK45" s="443"/>
      <c r="EL45" s="443"/>
      <c r="EM45" s="443"/>
      <c r="EN45" s="443"/>
      <c r="EO45" s="443"/>
      <c r="EP45" s="443"/>
      <c r="EQ45" s="443"/>
      <c r="ER45" s="443"/>
      <c r="ES45" s="443"/>
      <c r="ET45" s="443"/>
      <c r="EU45" s="443"/>
      <c r="EV45" s="443"/>
      <c r="EW45" s="443"/>
      <c r="EX45" s="443"/>
      <c r="EY45" s="443"/>
      <c r="EZ45" s="443"/>
      <c r="FA45" s="443"/>
      <c r="FB45" s="443"/>
      <c r="FC45" s="443"/>
      <c r="FD45" s="443"/>
      <c r="FE45" s="443"/>
      <c r="FF45" s="443"/>
      <c r="FG45" s="443"/>
      <c r="FH45" s="443"/>
      <c r="FI45" s="443"/>
      <c r="FJ45" s="443"/>
      <c r="FK45" s="443"/>
      <c r="FL45" s="443"/>
      <c r="FM45" s="443"/>
      <c r="FN45" s="443"/>
      <c r="FO45" s="443"/>
      <c r="FP45" s="443"/>
      <c r="FQ45" s="443"/>
      <c r="FR45" s="443"/>
      <c r="FS45" s="443"/>
      <c r="FT45" s="443"/>
      <c r="FU45" s="443"/>
      <c r="FV45" s="443"/>
      <c r="FW45" s="443"/>
      <c r="FX45" s="443"/>
      <c r="FY45" s="443"/>
      <c r="FZ45" s="443"/>
      <c r="GA45" s="443"/>
      <c r="GB45" s="443"/>
      <c r="GC45" s="443"/>
      <c r="GD45" s="443"/>
      <c r="GE45" s="443"/>
      <c r="GF45" s="443"/>
      <c r="GG45" s="443"/>
      <c r="GH45" s="443"/>
      <c r="GI45" s="443"/>
      <c r="GJ45" s="443"/>
      <c r="GK45" s="443"/>
      <c r="GL45" s="443"/>
      <c r="GM45" s="443"/>
      <c r="GN45" s="443"/>
      <c r="GO45" s="443"/>
      <c r="GP45" s="443"/>
      <c r="GQ45" s="443"/>
      <c r="GR45" s="443"/>
      <c r="GS45" s="443"/>
      <c r="GT45" s="443"/>
      <c r="GU45" s="443"/>
      <c r="GV45" s="443"/>
      <c r="GW45" s="443"/>
      <c r="GX45" s="443"/>
      <c r="GY45" s="443"/>
      <c r="GZ45" s="443"/>
      <c r="HA45" s="443"/>
      <c r="HB45" s="443"/>
      <c r="HC45" s="443"/>
      <c r="HD45" s="443"/>
      <c r="HE45" s="443"/>
      <c r="HF45" s="443"/>
      <c r="HG45" s="443"/>
      <c r="HH45" s="443"/>
      <c r="HI45" s="443"/>
      <c r="HJ45" s="443"/>
      <c r="HK45" s="443"/>
      <c r="HL45" s="443"/>
      <c r="HM45" s="443"/>
      <c r="HN45" s="443"/>
      <c r="HO45" s="443"/>
      <c r="HP45" s="443"/>
      <c r="HQ45" s="443"/>
      <c r="HR45" s="443"/>
      <c r="HS45" s="443"/>
      <c r="HT45" s="443"/>
      <c r="HU45" s="443"/>
      <c r="HV45" s="443"/>
      <c r="HW45" s="443"/>
      <c r="HX45" s="443"/>
      <c r="HY45" s="443"/>
      <c r="HZ45" s="443"/>
      <c r="IA45" s="443"/>
      <c r="IB45" s="443"/>
      <c r="IC45" s="443"/>
      <c r="ID45" s="443"/>
      <c r="IE45" s="443"/>
      <c r="IF45" s="443"/>
      <c r="IG45" s="443"/>
      <c r="IH45" s="443"/>
      <c r="II45" s="443"/>
      <c r="IJ45" s="448"/>
      <c r="IK45" s="448"/>
      <c r="IL45" s="443"/>
      <c r="IM45" s="443"/>
      <c r="IN45" s="443"/>
      <c r="IO45" s="443"/>
      <c r="IP45" s="443"/>
      <c r="IQ45" s="443"/>
      <c r="IR45" s="443"/>
      <c r="IS45" s="443"/>
      <c r="IT45" s="443"/>
      <c r="IU45" s="443"/>
      <c r="IV45" s="443"/>
      <c r="IW45" s="443"/>
      <c r="IX45" s="443"/>
      <c r="IY45" s="443"/>
      <c r="IZ45" s="443"/>
      <c r="JA45" s="448"/>
      <c r="JB45" s="443"/>
      <c r="JC45" s="443"/>
      <c r="JD45" s="147"/>
      <c r="JE45" s="147"/>
      <c r="JF45" s="147"/>
      <c r="JG45" s="147"/>
      <c r="JH45" s="147"/>
      <c r="JI45" s="147"/>
      <c r="JJ45" s="147"/>
      <c r="JK45" s="147"/>
      <c r="JL45" s="147"/>
      <c r="JM45" s="147"/>
      <c r="JN45" s="147"/>
      <c r="JO45" s="147"/>
      <c r="JP45" s="147"/>
      <c r="JQ45" s="147"/>
      <c r="JR45" s="147"/>
      <c r="JS45" s="147"/>
      <c r="JT45" s="147"/>
      <c r="JU45" s="147"/>
      <c r="JV45" s="147"/>
      <c r="JW45" s="147"/>
      <c r="JX45" s="147"/>
      <c r="JY45" s="147"/>
      <c r="JZ45" s="147"/>
      <c r="KA45" s="147"/>
      <c r="KB45" s="147"/>
      <c r="KC45" s="147"/>
      <c r="KD45" s="147"/>
      <c r="KE45" s="147"/>
      <c r="KF45" s="147"/>
      <c r="KG45" s="147"/>
      <c r="KH45" s="147"/>
      <c r="KI45" s="147"/>
    </row>
    <row r="46" spans="1:295" s="82" customFormat="1" ht="10.5" customHeight="1">
      <c r="A46" s="8"/>
      <c r="B46" s="8"/>
      <c r="C46" s="1"/>
      <c r="D46" s="553" t="s">
        <v>3262</v>
      </c>
      <c r="E46" s="132"/>
      <c r="F46" s="1044">
        <f>SUM(F41:F45)</f>
        <v>0</v>
      </c>
      <c r="G46" s="592"/>
      <c r="H46" s="1045"/>
      <c r="I46" s="1046">
        <f>SUM(I41:I45)</f>
        <v>0</v>
      </c>
      <c r="J46" s="1047"/>
      <c r="K46" s="1044">
        <f>SUM(K41:K45)</f>
        <v>0</v>
      </c>
      <c r="L46" s="1047"/>
      <c r="M46" s="1045"/>
      <c r="N46" s="1046">
        <f>SUM(N41:N45)</f>
        <v>0</v>
      </c>
      <c r="O46" s="2380"/>
      <c r="P46" s="2803" t="s">
        <v>4516</v>
      </c>
      <c r="Q46" s="2803"/>
      <c r="R46" s="2922" t="s">
        <v>4532</v>
      </c>
      <c r="S46" s="2922"/>
      <c r="T46" s="2922"/>
      <c r="V46" s="2255"/>
      <c r="W46" s="2255"/>
      <c r="AC46" s="450"/>
      <c r="AD46" s="450"/>
      <c r="AE46" s="450"/>
      <c r="AF46" s="450"/>
      <c r="AG46" s="608"/>
      <c r="AH46" s="443"/>
      <c r="AI46" s="443"/>
      <c r="AJ46" s="443"/>
      <c r="AK46" s="443"/>
      <c r="AL46" s="443"/>
      <c r="AM46" s="443"/>
      <c r="AN46" s="443"/>
      <c r="AO46" s="443"/>
      <c r="AP46" s="443"/>
      <c r="AQ46" s="443"/>
      <c r="AR46" s="443"/>
      <c r="AS46" s="443"/>
      <c r="AT46" s="443"/>
      <c r="AU46" s="443"/>
      <c r="AV46" s="443"/>
      <c r="AW46" s="443"/>
      <c r="AX46" s="443"/>
      <c r="AY46" s="443"/>
      <c r="AZ46" s="443"/>
      <c r="BA46" s="443"/>
      <c r="BB46" s="443"/>
      <c r="BC46" s="443"/>
      <c r="BD46" s="443"/>
      <c r="BE46" s="443"/>
      <c r="BF46" s="443"/>
      <c r="BG46" s="443"/>
      <c r="BH46" s="443"/>
      <c r="BI46" s="443"/>
      <c r="BJ46" s="443"/>
      <c r="BK46" s="443"/>
      <c r="BL46" s="443"/>
      <c r="BM46" s="443"/>
      <c r="BN46" s="443"/>
      <c r="BO46" s="443"/>
      <c r="BP46" s="443"/>
      <c r="BQ46" s="443"/>
      <c r="BR46" s="443"/>
      <c r="BS46" s="443"/>
      <c r="BT46" s="443"/>
      <c r="BU46" s="443"/>
      <c r="BV46" s="443"/>
      <c r="BW46" s="443"/>
      <c r="BX46" s="443"/>
      <c r="BY46" s="443"/>
      <c r="BZ46" s="443"/>
      <c r="CA46" s="443"/>
      <c r="CB46" s="443"/>
      <c r="CC46" s="443"/>
      <c r="CD46" s="443"/>
      <c r="CE46" s="443"/>
      <c r="CF46" s="443"/>
      <c r="CG46" s="443"/>
      <c r="CH46" s="443"/>
      <c r="CI46" s="443"/>
      <c r="CJ46" s="443"/>
      <c r="CK46" s="443"/>
      <c r="CL46" s="443"/>
      <c r="CM46" s="443"/>
      <c r="CN46" s="443"/>
      <c r="CO46" s="443"/>
      <c r="CP46" s="443"/>
      <c r="CQ46" s="443"/>
      <c r="CR46" s="443"/>
      <c r="CS46" s="443"/>
      <c r="CT46" s="443"/>
      <c r="CU46" s="443"/>
      <c r="CV46" s="443"/>
      <c r="CW46" s="443"/>
      <c r="CX46" s="443"/>
      <c r="CY46" s="443"/>
      <c r="CZ46" s="443"/>
      <c r="DA46" s="443"/>
      <c r="DB46" s="443"/>
      <c r="DC46" s="443"/>
      <c r="DD46" s="443"/>
      <c r="DE46" s="443"/>
      <c r="DF46" s="443"/>
      <c r="DG46" s="443"/>
      <c r="DH46" s="443"/>
      <c r="DI46" s="443"/>
      <c r="DJ46" s="443"/>
      <c r="DK46" s="443"/>
      <c r="DL46" s="443"/>
      <c r="DM46" s="443"/>
      <c r="DN46" s="443"/>
      <c r="DO46" s="443"/>
      <c r="DP46" s="443"/>
      <c r="DQ46" s="443"/>
      <c r="DR46" s="443"/>
      <c r="DS46" s="443"/>
      <c r="DT46" s="443"/>
      <c r="DU46" s="443"/>
      <c r="DV46" s="443"/>
      <c r="DW46" s="443"/>
      <c r="DX46" s="443"/>
      <c r="DY46" s="443"/>
      <c r="DZ46" s="443"/>
      <c r="EA46" s="443"/>
      <c r="EB46" s="443"/>
      <c r="EC46" s="443"/>
      <c r="ED46" s="443"/>
      <c r="EE46" s="443"/>
      <c r="EF46" s="443"/>
      <c r="EG46" s="443"/>
      <c r="EH46" s="443"/>
      <c r="EI46" s="443"/>
      <c r="EJ46" s="443"/>
      <c r="EK46" s="443"/>
      <c r="EL46" s="443"/>
      <c r="EM46" s="443"/>
      <c r="EN46" s="443"/>
      <c r="EO46" s="443"/>
      <c r="EP46" s="443"/>
      <c r="EQ46" s="443"/>
      <c r="ER46" s="443"/>
      <c r="ES46" s="443"/>
      <c r="ET46" s="443"/>
      <c r="EU46" s="443"/>
      <c r="EV46" s="443"/>
      <c r="EW46" s="443"/>
      <c r="EX46" s="443"/>
      <c r="EY46" s="443"/>
      <c r="EZ46" s="443"/>
      <c r="FA46" s="443"/>
      <c r="FB46" s="443"/>
      <c r="FC46" s="443"/>
      <c r="FD46" s="443"/>
      <c r="FE46" s="443"/>
      <c r="FF46" s="443"/>
      <c r="FG46" s="443"/>
      <c r="FH46" s="443"/>
      <c r="FI46" s="443"/>
      <c r="FJ46" s="443"/>
      <c r="FK46" s="443"/>
      <c r="FL46" s="443"/>
      <c r="FM46" s="443"/>
      <c r="FN46" s="443"/>
      <c r="FO46" s="443"/>
      <c r="FP46" s="443"/>
      <c r="FQ46" s="443"/>
      <c r="FR46" s="443"/>
      <c r="FS46" s="443"/>
      <c r="FT46" s="443"/>
      <c r="FU46" s="443"/>
      <c r="FV46" s="443"/>
      <c r="FW46" s="443"/>
      <c r="FX46" s="443"/>
      <c r="FY46" s="443"/>
      <c r="FZ46" s="443"/>
      <c r="GA46" s="443"/>
      <c r="GB46" s="443"/>
      <c r="GC46" s="443"/>
      <c r="GD46" s="443"/>
      <c r="GE46" s="443"/>
      <c r="GF46" s="443"/>
      <c r="GG46" s="443"/>
      <c r="GH46" s="443"/>
      <c r="GI46" s="443"/>
      <c r="GJ46" s="443"/>
      <c r="GK46" s="443"/>
      <c r="GL46" s="443"/>
      <c r="GM46" s="443"/>
      <c r="GN46" s="443"/>
      <c r="GO46" s="443"/>
      <c r="GP46" s="443"/>
      <c r="GQ46" s="443"/>
      <c r="GR46" s="443"/>
      <c r="GS46" s="443"/>
      <c r="GT46" s="443"/>
      <c r="GU46" s="443"/>
      <c r="GV46" s="443"/>
      <c r="GW46" s="443"/>
      <c r="GX46" s="443"/>
      <c r="GY46" s="443"/>
      <c r="GZ46" s="443"/>
      <c r="HA46" s="443"/>
      <c r="HB46" s="443"/>
      <c r="HC46" s="443"/>
      <c r="HD46" s="443"/>
      <c r="HE46" s="443"/>
      <c r="HF46" s="443"/>
      <c r="HG46" s="443"/>
      <c r="HH46" s="443"/>
      <c r="HI46" s="443"/>
      <c r="HJ46" s="443"/>
      <c r="HK46" s="443"/>
      <c r="HL46" s="443"/>
      <c r="HM46" s="443"/>
      <c r="HN46" s="443"/>
      <c r="HO46" s="443"/>
      <c r="HP46" s="443"/>
      <c r="HQ46" s="443"/>
      <c r="HR46" s="443"/>
      <c r="HS46" s="443"/>
      <c r="HT46" s="443"/>
      <c r="HU46" s="443"/>
      <c r="HV46" s="443"/>
      <c r="HW46" s="443"/>
      <c r="HX46" s="443"/>
      <c r="HY46" s="443"/>
      <c r="HZ46" s="443"/>
      <c r="IA46" s="443"/>
      <c r="IB46" s="443"/>
      <c r="IC46" s="443"/>
      <c r="ID46" s="443"/>
      <c r="IE46" s="443"/>
      <c r="IF46" s="443"/>
      <c r="IG46" s="443"/>
      <c r="IH46" s="443"/>
      <c r="II46" s="443"/>
      <c r="IJ46" s="448"/>
      <c r="IK46" s="448"/>
      <c r="IL46" s="443"/>
      <c r="IM46" s="443"/>
      <c r="IN46" s="443"/>
      <c r="IO46" s="443"/>
      <c r="IP46" s="443"/>
      <c r="IQ46" s="443"/>
      <c r="IR46" s="443"/>
      <c r="IS46" s="443"/>
      <c r="IT46" s="443"/>
      <c r="IU46" s="443"/>
      <c r="IV46" s="443"/>
      <c r="IW46" s="443"/>
      <c r="IX46" s="443"/>
      <c r="IY46" s="443"/>
      <c r="IZ46" s="443"/>
      <c r="JA46" s="448"/>
      <c r="JB46" s="443"/>
      <c r="JC46" s="443"/>
      <c r="JD46" s="147"/>
      <c r="JE46" s="147"/>
      <c r="JF46" s="147"/>
      <c r="JG46" s="147"/>
      <c r="JH46" s="147"/>
      <c r="JI46" s="147"/>
      <c r="JJ46" s="147"/>
      <c r="JK46" s="147"/>
      <c r="JL46" s="147"/>
      <c r="JM46" s="147"/>
      <c r="JN46" s="147"/>
      <c r="JO46" s="147"/>
      <c r="JP46" s="147"/>
      <c r="JQ46" s="147"/>
      <c r="JR46" s="147"/>
      <c r="JS46" s="147"/>
      <c r="JT46" s="147"/>
      <c r="JU46" s="147"/>
      <c r="JV46" s="147"/>
      <c r="JW46" s="147"/>
      <c r="JX46" s="147"/>
      <c r="JY46" s="147"/>
      <c r="JZ46" s="147"/>
      <c r="KA46" s="147"/>
      <c r="KB46" s="147"/>
      <c r="KC46" s="147"/>
      <c r="KD46" s="147"/>
      <c r="KE46" s="147"/>
      <c r="KF46" s="147"/>
      <c r="KG46" s="147"/>
      <c r="KH46" s="147"/>
      <c r="KI46" s="147"/>
    </row>
    <row r="47" spans="1:295" s="82" customFormat="1" ht="1.5" customHeight="1">
      <c r="A47" s="8"/>
      <c r="C47" s="1"/>
      <c r="D47" s="522"/>
      <c r="E47" s="522"/>
      <c r="F47" s="593"/>
      <c r="G47" s="139"/>
      <c r="H47" s="127"/>
      <c r="I47" s="2383"/>
      <c r="J47" s="127"/>
      <c r="K47" s="593"/>
      <c r="L47" s="127"/>
      <c r="M47" s="2380"/>
      <c r="N47" s="2383"/>
      <c r="O47" s="2380"/>
      <c r="R47" s="404"/>
      <c r="AC47" s="450"/>
      <c r="AD47" s="450"/>
      <c r="AE47" s="450"/>
      <c r="AF47" s="450"/>
      <c r="AG47" s="608"/>
      <c r="AH47" s="443"/>
      <c r="AI47" s="443"/>
      <c r="AJ47" s="443"/>
      <c r="AK47" s="443"/>
      <c r="AL47" s="443"/>
      <c r="AM47" s="443"/>
      <c r="AN47" s="443"/>
      <c r="AO47" s="443"/>
      <c r="AP47" s="443"/>
      <c r="AQ47" s="443"/>
      <c r="AR47" s="443"/>
      <c r="AS47" s="443"/>
      <c r="AT47" s="443"/>
      <c r="AU47" s="443"/>
      <c r="AV47" s="443"/>
      <c r="AW47" s="443"/>
      <c r="AX47" s="443"/>
      <c r="AY47" s="443"/>
      <c r="AZ47" s="443"/>
      <c r="BA47" s="443"/>
      <c r="BB47" s="443"/>
      <c r="BC47" s="443"/>
      <c r="BD47" s="443"/>
      <c r="BE47" s="443"/>
      <c r="BF47" s="443"/>
      <c r="BG47" s="443"/>
      <c r="BH47" s="443"/>
      <c r="BI47" s="443"/>
      <c r="BJ47" s="443"/>
      <c r="BK47" s="443"/>
      <c r="BL47" s="443"/>
      <c r="BM47" s="443"/>
      <c r="BN47" s="443"/>
      <c r="BO47" s="443"/>
      <c r="BP47" s="443"/>
      <c r="BQ47" s="443"/>
      <c r="BR47" s="443"/>
      <c r="BS47" s="443"/>
      <c r="BT47" s="443"/>
      <c r="BU47" s="443"/>
      <c r="BV47" s="443"/>
      <c r="BW47" s="443"/>
      <c r="BX47" s="443"/>
      <c r="BY47" s="443"/>
      <c r="BZ47" s="443"/>
      <c r="CA47" s="443"/>
      <c r="CB47" s="443"/>
      <c r="CC47" s="443"/>
      <c r="CD47" s="443"/>
      <c r="CE47" s="443"/>
      <c r="CF47" s="443"/>
      <c r="CG47" s="443"/>
      <c r="CH47" s="443"/>
      <c r="CI47" s="443"/>
      <c r="CJ47" s="443"/>
      <c r="CK47" s="443"/>
      <c r="CL47" s="443"/>
      <c r="CM47" s="443"/>
      <c r="CN47" s="443"/>
      <c r="CO47" s="443"/>
      <c r="CP47" s="443"/>
      <c r="CQ47" s="443"/>
      <c r="CR47" s="443"/>
      <c r="CS47" s="443"/>
      <c r="CT47" s="443"/>
      <c r="CU47" s="443"/>
      <c r="CV47" s="443"/>
      <c r="CW47" s="443"/>
      <c r="CX47" s="443"/>
      <c r="CY47" s="443"/>
      <c r="CZ47" s="443"/>
      <c r="DA47" s="443"/>
      <c r="DB47" s="443"/>
      <c r="DC47" s="443"/>
      <c r="DD47" s="443"/>
      <c r="DE47" s="443"/>
      <c r="DF47" s="443"/>
      <c r="DG47" s="443"/>
      <c r="DH47" s="443"/>
      <c r="DI47" s="443"/>
      <c r="DJ47" s="443"/>
      <c r="DK47" s="443"/>
      <c r="DL47" s="443"/>
      <c r="DM47" s="443"/>
      <c r="DN47" s="443"/>
      <c r="DO47" s="443"/>
      <c r="DP47" s="443"/>
      <c r="DQ47" s="443"/>
      <c r="DR47" s="443"/>
      <c r="DS47" s="443"/>
      <c r="DT47" s="443"/>
      <c r="DU47" s="443"/>
      <c r="DV47" s="443"/>
      <c r="DW47" s="443"/>
      <c r="DX47" s="443"/>
      <c r="DY47" s="443"/>
      <c r="DZ47" s="443"/>
      <c r="EA47" s="443"/>
      <c r="EB47" s="443"/>
      <c r="EC47" s="443"/>
      <c r="ED47" s="443"/>
      <c r="EE47" s="443"/>
      <c r="EF47" s="443"/>
      <c r="EG47" s="443"/>
      <c r="EH47" s="443"/>
      <c r="EI47" s="443"/>
      <c r="EJ47" s="443"/>
      <c r="EK47" s="443"/>
      <c r="EL47" s="443"/>
      <c r="EM47" s="443"/>
      <c r="EN47" s="443"/>
      <c r="EO47" s="443"/>
      <c r="EP47" s="443"/>
      <c r="EQ47" s="443"/>
      <c r="ER47" s="443"/>
      <c r="ES47" s="443"/>
      <c r="ET47" s="443"/>
      <c r="EU47" s="443"/>
      <c r="EV47" s="443"/>
      <c r="EW47" s="443"/>
      <c r="EX47" s="443"/>
      <c r="EY47" s="443"/>
      <c r="EZ47" s="443"/>
      <c r="FA47" s="443"/>
      <c r="FB47" s="443"/>
      <c r="FC47" s="443"/>
      <c r="FD47" s="443"/>
      <c r="FE47" s="443"/>
      <c r="FF47" s="443"/>
      <c r="FG47" s="443"/>
      <c r="FH47" s="443"/>
      <c r="FI47" s="443"/>
      <c r="FJ47" s="443"/>
      <c r="FK47" s="443"/>
      <c r="FL47" s="443"/>
      <c r="FM47" s="443"/>
      <c r="FN47" s="443"/>
      <c r="FO47" s="443"/>
      <c r="FP47" s="443"/>
      <c r="FQ47" s="443"/>
      <c r="FR47" s="443"/>
      <c r="FS47" s="443"/>
      <c r="FT47" s="443"/>
      <c r="FU47" s="443"/>
      <c r="FV47" s="443"/>
      <c r="FW47" s="443"/>
      <c r="FX47" s="443"/>
      <c r="FY47" s="443"/>
      <c r="FZ47" s="443"/>
      <c r="GA47" s="443"/>
      <c r="GB47" s="443"/>
      <c r="GC47" s="443"/>
      <c r="GD47" s="443"/>
      <c r="GE47" s="443"/>
      <c r="GF47" s="443"/>
      <c r="GG47" s="443"/>
      <c r="GH47" s="443"/>
      <c r="GI47" s="443"/>
      <c r="GJ47" s="443"/>
      <c r="GK47" s="443"/>
      <c r="GL47" s="443"/>
      <c r="GM47" s="443"/>
      <c r="GN47" s="443"/>
      <c r="GO47" s="443"/>
      <c r="GP47" s="443"/>
      <c r="GQ47" s="443"/>
      <c r="GR47" s="443"/>
      <c r="GS47" s="443"/>
      <c r="GT47" s="443"/>
      <c r="GU47" s="443"/>
      <c r="GV47" s="443"/>
      <c r="GW47" s="443"/>
      <c r="GX47" s="443"/>
      <c r="GY47" s="443"/>
      <c r="GZ47" s="443"/>
      <c r="HA47" s="443"/>
      <c r="HB47" s="443"/>
      <c r="HC47" s="443"/>
      <c r="HD47" s="443"/>
      <c r="HE47" s="443"/>
      <c r="HF47" s="443"/>
      <c r="HG47" s="443"/>
      <c r="HH47" s="443"/>
      <c r="HI47" s="443"/>
      <c r="HJ47" s="443"/>
      <c r="HK47" s="443"/>
      <c r="HL47" s="443"/>
      <c r="HM47" s="443"/>
      <c r="HN47" s="443"/>
      <c r="HO47" s="443"/>
      <c r="HP47" s="443"/>
      <c r="HQ47" s="443"/>
      <c r="HR47" s="443"/>
      <c r="HS47" s="443"/>
      <c r="HT47" s="443"/>
      <c r="HU47" s="443"/>
      <c r="HV47" s="443"/>
      <c r="HW47" s="443"/>
      <c r="HX47" s="443"/>
      <c r="HY47" s="443"/>
      <c r="HZ47" s="443"/>
      <c r="IA47" s="443"/>
      <c r="IB47" s="443"/>
      <c r="IC47" s="443"/>
      <c r="ID47" s="443"/>
      <c r="IE47" s="443"/>
      <c r="IF47" s="443"/>
      <c r="IG47" s="443"/>
      <c r="IH47" s="443"/>
      <c r="II47" s="443"/>
      <c r="IJ47" s="448"/>
      <c r="IK47" s="448"/>
      <c r="IL47" s="443"/>
      <c r="IM47" s="443"/>
      <c r="IN47" s="443"/>
      <c r="IO47" s="443"/>
      <c r="IP47" s="443"/>
      <c r="IQ47" s="443"/>
      <c r="IR47" s="443"/>
      <c r="IS47" s="443"/>
      <c r="IT47" s="443"/>
      <c r="IU47" s="443"/>
      <c r="IV47" s="443"/>
      <c r="IW47" s="443"/>
      <c r="IX47" s="443"/>
      <c r="IY47" s="443"/>
      <c r="IZ47" s="443"/>
      <c r="JA47" s="448"/>
      <c r="JB47" s="443"/>
      <c r="JC47" s="443"/>
      <c r="JD47" s="147"/>
      <c r="JE47" s="147"/>
      <c r="JF47" s="147"/>
      <c r="JG47" s="147"/>
      <c r="JH47" s="147"/>
      <c r="JI47" s="147"/>
      <c r="JJ47" s="147"/>
      <c r="JK47" s="147"/>
      <c r="JL47" s="147"/>
      <c r="JM47" s="147"/>
      <c r="JN47" s="147"/>
      <c r="JO47" s="147"/>
      <c r="JP47" s="147"/>
      <c r="JQ47" s="147"/>
      <c r="JR47" s="147"/>
      <c r="JS47" s="147"/>
      <c r="JT47" s="147"/>
      <c r="JU47" s="147"/>
      <c r="JV47" s="147"/>
      <c r="JW47" s="147"/>
      <c r="JX47" s="147"/>
      <c r="JY47" s="147"/>
      <c r="JZ47" s="147"/>
      <c r="KA47" s="147"/>
      <c r="KB47" s="147"/>
      <c r="KC47" s="147"/>
      <c r="KD47" s="147"/>
      <c r="KE47" s="147"/>
      <c r="KF47" s="147"/>
      <c r="KG47" s="147"/>
      <c r="KH47" s="147"/>
      <c r="KI47" s="147"/>
    </row>
    <row r="48" spans="1:295" s="82" customFormat="1" ht="10.5" customHeight="1">
      <c r="A48" s="2804" t="s">
        <v>3247</v>
      </c>
      <c r="B48" s="2804"/>
      <c r="C48" s="2804"/>
      <c r="D48" s="822" t="s">
        <v>551</v>
      </c>
      <c r="E48" s="827">
        <v>0</v>
      </c>
      <c r="F48" s="1509" t="str">
        <f>IF('Part VI-Revenues &amp; Expenses'!$K$151 =0,"",'Part VI-Revenues &amp; Expenses'!$K$151)</f>
        <v/>
      </c>
      <c r="G48" s="824">
        <f>IF('Part IX Scoring Criteria'!$O$74='Part IX Scoring Criteria'!$M$74,$L48,
IF($P$42="Albany",VLOOKUP($A$48,'DCA Underwriting Assumptions'!$E$22:$J$25,$E48+2),
IF($P$42="Athens",VLOOKUP($A$48,'DCA Underwriting Assumptions'!$E$26:$J$29,$E48+2),
IF($P$42="Atlanta",VLOOKUP($A$48,'DCA Underwriting Assumptions'!$E$30:$J$33,$E48+2),
IF($P$42="Augusta",VLOOKUP($A$48,'DCA Underwriting Assumptions'!$E$34:$J$37,$E48+2),
IF($P$42="Chattanooga",VLOOKUP($A$48,'DCA Underwriting Assumptions'!$E$38:$J$41,$E48+2),
IF($P$42="Columbus",VLOOKUP($A$48,'DCA Underwriting Assumptions'!$E$42:$J$45,$E48+2),
IF($P$42="Macon",VLOOKUP($A$48,'DCA Underwriting Assumptions'!$E$46:$J$49,$E48+2),
IF($P$42="Savannah",VLOOKUP($A$48,'DCA Underwriting Assumptions'!$E$50:$J$53,$E48+2),
VLOOKUP($A$48,'DCA Underwriting Assumptions'!$E$54:$J$57,$E48+2))))))))))*(1+'DCA Underwriting Assumptions'!$I$14)</f>
        <v>144937.19999999998</v>
      </c>
      <c r="H48" s="40" t="str">
        <f>CONCATENATE("x ", F48," units = ")</f>
        <v xml:space="preserve">x  units = </v>
      </c>
      <c r="I48" s="1510" t="str">
        <f>IF(F48="","",F48*G48)</f>
        <v/>
      </c>
      <c r="J48" s="42"/>
      <c r="K48" s="1509" t="str">
        <f>IF('Part VI-Revenues &amp; Expenses'!$K$152 =0,"",'Part VI-Revenues &amp; Expenses'!$K$152)</f>
        <v/>
      </c>
      <c r="L48" s="824">
        <f>G48*(1+'DCA Underwriting Assumptions'!$Q$12)</f>
        <v>159430.91999999998</v>
      </c>
      <c r="M48" s="40" t="str">
        <f>CONCATENATE("x ", K48," units = ")</f>
        <v xml:space="preserve">x  units = </v>
      </c>
      <c r="N48" s="1510" t="str">
        <f>IF(K48="","",K48*L48)</f>
        <v/>
      </c>
      <c r="P48" s="2862">
        <f>'Part IV-A-Uses of Funds'!$G$132-'Part IV-A-Uses of Funds'!$G$83-'Part IV-A-Uses of Funds'!$G$105-'Part IV-A-Uses of Funds'!$G$121-'Part IV-A-Uses of Funds'!$G$122-'Part IV-A-Uses of Funds'!$G$123</f>
        <v>11830095</v>
      </c>
      <c r="Q48" s="2863"/>
      <c r="AC48" s="450"/>
      <c r="AD48" s="450"/>
      <c r="AE48" s="450"/>
      <c r="AF48" s="450"/>
      <c r="AG48" s="608"/>
      <c r="AH48" s="443"/>
      <c r="AI48" s="443"/>
      <c r="AJ48" s="443"/>
      <c r="AK48" s="443"/>
      <c r="AL48" s="443"/>
      <c r="AM48" s="443"/>
      <c r="AN48" s="443"/>
      <c r="AO48" s="443"/>
      <c r="AP48" s="443"/>
      <c r="AQ48" s="443"/>
      <c r="AR48" s="443"/>
      <c r="AS48" s="443"/>
      <c r="AT48" s="443"/>
      <c r="AU48" s="443"/>
      <c r="AV48" s="443"/>
      <c r="AW48" s="443"/>
      <c r="AX48" s="443"/>
      <c r="AY48" s="443"/>
      <c r="AZ48" s="443"/>
      <c r="BA48" s="443"/>
      <c r="BB48" s="443"/>
      <c r="BC48" s="443"/>
      <c r="BD48" s="443"/>
      <c r="BE48" s="443"/>
      <c r="BF48" s="443"/>
      <c r="BG48" s="443"/>
      <c r="BH48" s="443"/>
      <c r="BI48" s="443"/>
      <c r="BJ48" s="443"/>
      <c r="BK48" s="443"/>
      <c r="BL48" s="443"/>
      <c r="BM48" s="443"/>
      <c r="BN48" s="443"/>
      <c r="BO48" s="443"/>
      <c r="BP48" s="443"/>
      <c r="BQ48" s="443"/>
      <c r="BR48" s="443"/>
      <c r="BS48" s="443"/>
      <c r="BT48" s="443"/>
      <c r="BU48" s="443"/>
      <c r="BV48" s="443"/>
      <c r="BW48" s="443"/>
      <c r="BX48" s="443"/>
      <c r="BY48" s="443"/>
      <c r="BZ48" s="443"/>
      <c r="CA48" s="443"/>
      <c r="CB48" s="443"/>
      <c r="CC48" s="443"/>
      <c r="CD48" s="443"/>
      <c r="CE48" s="443"/>
      <c r="CF48" s="443"/>
      <c r="CG48" s="443"/>
      <c r="CH48" s="443"/>
      <c r="CI48" s="443"/>
      <c r="CJ48" s="443"/>
      <c r="CK48" s="443"/>
      <c r="CL48" s="443"/>
      <c r="CM48" s="443"/>
      <c r="CN48" s="443"/>
      <c r="CO48" s="443"/>
      <c r="CP48" s="443"/>
      <c r="CQ48" s="443"/>
      <c r="CR48" s="443"/>
      <c r="CS48" s="443"/>
      <c r="CT48" s="443"/>
      <c r="CU48" s="443"/>
      <c r="CV48" s="443"/>
      <c r="CW48" s="443"/>
      <c r="CX48" s="443"/>
      <c r="CY48" s="443"/>
      <c r="CZ48" s="443"/>
      <c r="DA48" s="443"/>
      <c r="DB48" s="443"/>
      <c r="DC48" s="443"/>
      <c r="DD48" s="443"/>
      <c r="DE48" s="443"/>
      <c r="DF48" s="443"/>
      <c r="DG48" s="443"/>
      <c r="DH48" s="443"/>
      <c r="DI48" s="443"/>
      <c r="DJ48" s="443"/>
      <c r="DK48" s="443"/>
      <c r="DL48" s="443"/>
      <c r="DM48" s="443"/>
      <c r="DN48" s="443"/>
      <c r="DO48" s="443"/>
      <c r="DP48" s="443"/>
      <c r="DQ48" s="443"/>
      <c r="DR48" s="443"/>
      <c r="DS48" s="443"/>
      <c r="DT48" s="443"/>
      <c r="DU48" s="443"/>
      <c r="DV48" s="443"/>
      <c r="DW48" s="443"/>
      <c r="DX48" s="443"/>
      <c r="DY48" s="443"/>
      <c r="DZ48" s="443"/>
      <c r="EA48" s="443"/>
      <c r="EB48" s="443"/>
      <c r="EC48" s="443"/>
      <c r="ED48" s="443"/>
      <c r="EE48" s="443"/>
      <c r="EF48" s="443"/>
      <c r="EG48" s="443"/>
      <c r="EH48" s="443"/>
      <c r="EI48" s="443"/>
      <c r="EJ48" s="443"/>
      <c r="EK48" s="443"/>
      <c r="EL48" s="443"/>
      <c r="EM48" s="443"/>
      <c r="EN48" s="443"/>
      <c r="EO48" s="443"/>
      <c r="EP48" s="443"/>
      <c r="EQ48" s="443"/>
      <c r="ER48" s="443"/>
      <c r="ES48" s="443"/>
      <c r="ET48" s="443"/>
      <c r="EU48" s="443"/>
      <c r="EV48" s="443"/>
      <c r="EW48" s="443"/>
      <c r="EX48" s="443"/>
      <c r="EY48" s="443"/>
      <c r="EZ48" s="443"/>
      <c r="FA48" s="443"/>
      <c r="FB48" s="443"/>
      <c r="FC48" s="443"/>
      <c r="FD48" s="443"/>
      <c r="FE48" s="443"/>
      <c r="FF48" s="443"/>
      <c r="FG48" s="443"/>
      <c r="FH48" s="443"/>
      <c r="FI48" s="443"/>
      <c r="FJ48" s="443"/>
      <c r="FK48" s="443"/>
      <c r="FL48" s="443"/>
      <c r="FM48" s="443"/>
      <c r="FN48" s="443"/>
      <c r="FO48" s="443"/>
      <c r="FP48" s="443"/>
      <c r="FQ48" s="443"/>
      <c r="FR48" s="443"/>
      <c r="FS48" s="443"/>
      <c r="FT48" s="443"/>
      <c r="FU48" s="443"/>
      <c r="FV48" s="443"/>
      <c r="FW48" s="443"/>
      <c r="FX48" s="443"/>
      <c r="FY48" s="443"/>
      <c r="FZ48" s="443"/>
      <c r="GA48" s="443"/>
      <c r="GB48" s="443"/>
      <c r="GC48" s="443"/>
      <c r="GD48" s="443"/>
      <c r="GE48" s="443"/>
      <c r="GF48" s="443"/>
      <c r="GG48" s="443"/>
      <c r="GH48" s="443"/>
      <c r="GI48" s="443"/>
      <c r="GJ48" s="443"/>
      <c r="GK48" s="443"/>
      <c r="GL48" s="443"/>
      <c r="GM48" s="443"/>
      <c r="GN48" s="443"/>
      <c r="GO48" s="443"/>
      <c r="GP48" s="443"/>
      <c r="GQ48" s="443"/>
      <c r="GR48" s="443"/>
      <c r="GS48" s="443"/>
      <c r="GT48" s="443"/>
      <c r="GU48" s="443"/>
      <c r="GV48" s="443"/>
      <c r="GW48" s="443"/>
      <c r="GX48" s="443"/>
      <c r="GY48" s="443"/>
      <c r="GZ48" s="443"/>
      <c r="HA48" s="443"/>
      <c r="HB48" s="443"/>
      <c r="HC48" s="443"/>
      <c r="HD48" s="443"/>
      <c r="HE48" s="443"/>
      <c r="HF48" s="443"/>
      <c r="HG48" s="443"/>
      <c r="HH48" s="443"/>
      <c r="HI48" s="443"/>
      <c r="HJ48" s="443"/>
      <c r="HK48" s="443"/>
      <c r="HL48" s="443"/>
      <c r="HM48" s="443"/>
      <c r="HN48" s="443"/>
      <c r="HO48" s="443"/>
      <c r="HP48" s="443"/>
      <c r="HQ48" s="443"/>
      <c r="HR48" s="443"/>
      <c r="HS48" s="443"/>
      <c r="HT48" s="443"/>
      <c r="HU48" s="443"/>
      <c r="HV48" s="443"/>
      <c r="HW48" s="443"/>
      <c r="HX48" s="443"/>
      <c r="HY48" s="443"/>
      <c r="HZ48" s="443"/>
      <c r="IA48" s="443"/>
      <c r="IB48" s="443"/>
      <c r="IC48" s="443"/>
      <c r="ID48" s="443"/>
      <c r="IE48" s="443"/>
      <c r="IF48" s="443"/>
      <c r="IG48" s="443"/>
      <c r="IH48" s="443"/>
      <c r="II48" s="443"/>
      <c r="IJ48" s="448"/>
      <c r="IK48" s="448"/>
      <c r="IL48" s="443"/>
      <c r="IM48" s="443"/>
      <c r="IN48" s="443"/>
      <c r="IO48" s="443"/>
      <c r="IP48" s="443"/>
      <c r="IQ48" s="443"/>
      <c r="IR48" s="443"/>
      <c r="IS48" s="443"/>
      <c r="IT48" s="443"/>
      <c r="IU48" s="443"/>
      <c r="IV48" s="443"/>
      <c r="IW48" s="443"/>
      <c r="IX48" s="443"/>
      <c r="IY48" s="443"/>
      <c r="IZ48" s="443"/>
      <c r="JA48" s="448"/>
      <c r="JB48" s="443"/>
      <c r="JC48" s="443"/>
      <c r="JD48" s="147"/>
      <c r="JE48" s="147"/>
      <c r="JF48" s="147"/>
      <c r="JG48" s="147"/>
      <c r="JH48" s="147"/>
      <c r="JI48" s="147"/>
      <c r="JJ48" s="147"/>
      <c r="JK48" s="147"/>
      <c r="JL48" s="147"/>
      <c r="JM48" s="147"/>
      <c r="JN48" s="147"/>
      <c r="JO48" s="147"/>
      <c r="JP48" s="147"/>
      <c r="JQ48" s="147"/>
      <c r="JR48" s="147"/>
      <c r="JS48" s="147"/>
      <c r="JT48" s="147"/>
      <c r="JU48" s="147"/>
      <c r="JV48" s="147"/>
      <c r="JW48" s="147"/>
      <c r="JX48" s="147"/>
      <c r="JY48" s="147"/>
      <c r="JZ48" s="147"/>
      <c r="KA48" s="147"/>
      <c r="KB48" s="147"/>
      <c r="KC48" s="147"/>
      <c r="KD48" s="147"/>
      <c r="KE48" s="147"/>
      <c r="KF48" s="147"/>
      <c r="KG48" s="147"/>
      <c r="KH48" s="147"/>
      <c r="KI48" s="147"/>
    </row>
    <row r="49" spans="1:295" s="82" customFormat="1" ht="10.5" customHeight="1" thickBot="1">
      <c r="A49" s="2804"/>
      <c r="B49" s="2804"/>
      <c r="C49" s="2804"/>
      <c r="D49" s="822" t="s">
        <v>2377</v>
      </c>
      <c r="E49" s="823">
        <v>1</v>
      </c>
      <c r="F49" s="1509" t="str">
        <f>IF('Part VI-Revenues &amp; Expenses'!$L$151 =0,"",'Part VI-Revenues &amp; Expenses'!$L$151)</f>
        <v/>
      </c>
      <c r="G49" s="824">
        <f>IF('Part IX Scoring Criteria'!$O$74='Part IX Scoring Criteria'!$M$74,$L49,
IF($P$42="Albany",VLOOKUP($A$48,'DCA Underwriting Assumptions'!$E$22:$J$25,$E49+2),
IF($P$42="Athens",VLOOKUP($A$48,'DCA Underwriting Assumptions'!$E$26:$J$29,$E49+2),
IF($P$42="Atlanta",VLOOKUP($A$48,'DCA Underwriting Assumptions'!$E$30:$J$33,$E49+2),
IF($P$42="Augusta",VLOOKUP($A$48,'DCA Underwriting Assumptions'!$E$34:$J$37,$E49+2),
IF($P$42="Chattanooga",VLOOKUP($A$48,'DCA Underwriting Assumptions'!$E$38:$J$41,$E49+2),
IF($P$42="Columbus",VLOOKUP($A$48,'DCA Underwriting Assumptions'!$E$42:$J$45,$E49+2),
IF($P$42="Macon",VLOOKUP($A$48,'DCA Underwriting Assumptions'!$E$46:$J$49,$E49+2),
IF($P$42="Savannah",VLOOKUP($A$48,'DCA Underwriting Assumptions'!$E$50:$J$53,$E49+2),
VLOOKUP($A$48,'DCA Underwriting Assumptions'!$E$54:$J$57,$E49+2))))))))))*(1+'DCA Underwriting Assumptions'!$I$15)</f>
        <v>181344.65</v>
      </c>
      <c r="H49" s="40" t="str">
        <f>CONCATENATE("x ", F49," units = ")</f>
        <v xml:space="preserve">x  units = </v>
      </c>
      <c r="I49" s="1510" t="str">
        <f>IF(F49="","",F49*G49)</f>
        <v/>
      </c>
      <c r="J49" s="42"/>
      <c r="K49" s="1509" t="str">
        <f>IF('Part VI-Revenues &amp; Expenses'!$L$152 =0,"",'Part VI-Revenues &amp; Expenses'!$L$152)</f>
        <v/>
      </c>
      <c r="L49" s="824">
        <f>G49*(1+'DCA Underwriting Assumptions'!$Q$12)</f>
        <v>199479.11500000002</v>
      </c>
      <c r="M49" s="40" t="str">
        <f>CONCATENATE("x ", K49," units = ")</f>
        <v xml:space="preserve">x  units = </v>
      </c>
      <c r="N49" s="1510" t="str">
        <f>IF(K49="","",K49*L49)</f>
        <v/>
      </c>
      <c r="P49" s="2545" t="s">
        <v>3773</v>
      </c>
      <c r="Q49" s="2545"/>
      <c r="AC49" s="450"/>
      <c r="AD49" s="450"/>
      <c r="AE49" s="450"/>
      <c r="AF49" s="450"/>
      <c r="AG49" s="608"/>
      <c r="AH49" s="443"/>
      <c r="AI49" s="443"/>
      <c r="AJ49" s="443"/>
      <c r="AK49" s="443"/>
      <c r="AL49" s="443"/>
      <c r="AM49" s="443"/>
      <c r="AN49" s="443"/>
      <c r="AO49" s="443"/>
      <c r="AP49" s="443"/>
      <c r="AQ49" s="443"/>
      <c r="AR49" s="443"/>
      <c r="AS49" s="443"/>
      <c r="AT49" s="443"/>
      <c r="AU49" s="443"/>
      <c r="AV49" s="443"/>
      <c r="AW49" s="443"/>
      <c r="AX49" s="443"/>
      <c r="AY49" s="443"/>
      <c r="AZ49" s="443"/>
      <c r="BA49" s="443"/>
      <c r="BB49" s="443"/>
      <c r="BC49" s="443"/>
      <c r="BD49" s="443"/>
      <c r="BE49" s="443"/>
      <c r="BF49" s="443"/>
      <c r="BG49" s="443"/>
      <c r="BH49" s="443"/>
      <c r="BI49" s="443"/>
      <c r="BJ49" s="443"/>
      <c r="BK49" s="443"/>
      <c r="BL49" s="443"/>
      <c r="BM49" s="443"/>
      <c r="BN49" s="443"/>
      <c r="BO49" s="443"/>
      <c r="BP49" s="443"/>
      <c r="BQ49" s="443"/>
      <c r="BR49" s="443"/>
      <c r="BS49" s="443"/>
      <c r="BT49" s="443"/>
      <c r="BU49" s="443"/>
      <c r="BV49" s="443"/>
      <c r="BW49" s="443"/>
      <c r="BX49" s="443"/>
      <c r="BY49" s="443"/>
      <c r="BZ49" s="443"/>
      <c r="CA49" s="443"/>
      <c r="CB49" s="443"/>
      <c r="CC49" s="443"/>
      <c r="CD49" s="443"/>
      <c r="CE49" s="443"/>
      <c r="CF49" s="443"/>
      <c r="CG49" s="443"/>
      <c r="CH49" s="443"/>
      <c r="CI49" s="443"/>
      <c r="CJ49" s="443"/>
      <c r="CK49" s="443"/>
      <c r="CL49" s="443"/>
      <c r="CM49" s="443"/>
      <c r="CN49" s="443"/>
      <c r="CO49" s="443"/>
      <c r="CP49" s="443"/>
      <c r="CQ49" s="443"/>
      <c r="CR49" s="443"/>
      <c r="CS49" s="443"/>
      <c r="CT49" s="443"/>
      <c r="CU49" s="443"/>
      <c r="CV49" s="443"/>
      <c r="CW49" s="443"/>
      <c r="CX49" s="443"/>
      <c r="CY49" s="443"/>
      <c r="CZ49" s="443"/>
      <c r="DA49" s="443"/>
      <c r="DB49" s="443"/>
      <c r="DC49" s="443"/>
      <c r="DD49" s="443"/>
      <c r="DE49" s="443"/>
      <c r="DF49" s="443"/>
      <c r="DG49" s="443"/>
      <c r="DH49" s="443"/>
      <c r="DI49" s="443"/>
      <c r="DJ49" s="443"/>
      <c r="DK49" s="443"/>
      <c r="DL49" s="443"/>
      <c r="DM49" s="443"/>
      <c r="DN49" s="443"/>
      <c r="DO49" s="443"/>
      <c r="DP49" s="443"/>
      <c r="DQ49" s="443"/>
      <c r="DR49" s="443"/>
      <c r="DS49" s="443"/>
      <c r="DT49" s="443"/>
      <c r="DU49" s="443"/>
      <c r="DV49" s="443"/>
      <c r="DW49" s="443"/>
      <c r="DX49" s="443"/>
      <c r="DY49" s="443"/>
      <c r="DZ49" s="443"/>
      <c r="EA49" s="443"/>
      <c r="EB49" s="443"/>
      <c r="EC49" s="443"/>
      <c r="ED49" s="443"/>
      <c r="EE49" s="443"/>
      <c r="EF49" s="443"/>
      <c r="EG49" s="443"/>
      <c r="EH49" s="443"/>
      <c r="EI49" s="443"/>
      <c r="EJ49" s="443"/>
      <c r="EK49" s="443"/>
      <c r="EL49" s="443"/>
      <c r="EM49" s="443"/>
      <c r="EN49" s="443"/>
      <c r="EO49" s="443"/>
      <c r="EP49" s="443"/>
      <c r="EQ49" s="443"/>
      <c r="ER49" s="443"/>
      <c r="ES49" s="443"/>
      <c r="ET49" s="443"/>
      <c r="EU49" s="443"/>
      <c r="EV49" s="443"/>
      <c r="EW49" s="443"/>
      <c r="EX49" s="443"/>
      <c r="EY49" s="443"/>
      <c r="EZ49" s="443"/>
      <c r="FA49" s="443"/>
      <c r="FB49" s="443"/>
      <c r="FC49" s="443"/>
      <c r="FD49" s="443"/>
      <c r="FE49" s="443"/>
      <c r="FF49" s="443"/>
      <c r="FG49" s="443"/>
      <c r="FH49" s="443"/>
      <c r="FI49" s="443"/>
      <c r="FJ49" s="443"/>
      <c r="FK49" s="443"/>
      <c r="FL49" s="443"/>
      <c r="FM49" s="443"/>
      <c r="FN49" s="443"/>
      <c r="FO49" s="443"/>
      <c r="FP49" s="443"/>
      <c r="FQ49" s="443"/>
      <c r="FR49" s="443"/>
      <c r="FS49" s="443"/>
      <c r="FT49" s="443"/>
      <c r="FU49" s="443"/>
      <c r="FV49" s="443"/>
      <c r="FW49" s="443"/>
      <c r="FX49" s="443"/>
      <c r="FY49" s="443"/>
      <c r="FZ49" s="443"/>
      <c r="GA49" s="443"/>
      <c r="GB49" s="443"/>
      <c r="GC49" s="443"/>
      <c r="GD49" s="443"/>
      <c r="GE49" s="443"/>
      <c r="GF49" s="443"/>
      <c r="GG49" s="443"/>
      <c r="GH49" s="443"/>
      <c r="GI49" s="443"/>
      <c r="GJ49" s="443"/>
      <c r="GK49" s="443"/>
      <c r="GL49" s="443"/>
      <c r="GM49" s="443"/>
      <c r="GN49" s="443"/>
      <c r="GO49" s="443"/>
      <c r="GP49" s="443"/>
      <c r="GQ49" s="443"/>
      <c r="GR49" s="443"/>
      <c r="GS49" s="443"/>
      <c r="GT49" s="443"/>
      <c r="GU49" s="443"/>
      <c r="GV49" s="443"/>
      <c r="GW49" s="443"/>
      <c r="GX49" s="443"/>
      <c r="GY49" s="443"/>
      <c r="GZ49" s="443"/>
      <c r="HA49" s="443"/>
      <c r="HB49" s="443"/>
      <c r="HC49" s="443"/>
      <c r="HD49" s="443"/>
      <c r="HE49" s="443"/>
      <c r="HF49" s="443"/>
      <c r="HG49" s="443"/>
      <c r="HH49" s="443"/>
      <c r="HI49" s="443"/>
      <c r="HJ49" s="443"/>
      <c r="HK49" s="443"/>
      <c r="HL49" s="443"/>
      <c r="HM49" s="443"/>
      <c r="HN49" s="443"/>
      <c r="HO49" s="443"/>
      <c r="HP49" s="443"/>
      <c r="HQ49" s="443"/>
      <c r="HR49" s="443"/>
      <c r="HS49" s="443"/>
      <c r="HT49" s="443"/>
      <c r="HU49" s="443"/>
      <c r="HV49" s="443"/>
      <c r="HW49" s="443"/>
      <c r="HX49" s="443"/>
      <c r="HY49" s="443"/>
      <c r="HZ49" s="443"/>
      <c r="IA49" s="443"/>
      <c r="IB49" s="443"/>
      <c r="IC49" s="443"/>
      <c r="ID49" s="443"/>
      <c r="IE49" s="443"/>
      <c r="IF49" s="443"/>
      <c r="IG49" s="443"/>
      <c r="IH49" s="443"/>
      <c r="II49" s="443"/>
      <c r="IJ49" s="448"/>
      <c r="IK49" s="448"/>
      <c r="IL49" s="443"/>
      <c r="IM49" s="443"/>
      <c r="IN49" s="443"/>
      <c r="IO49" s="443"/>
      <c r="IP49" s="443"/>
      <c r="IQ49" s="443"/>
      <c r="IR49" s="443"/>
      <c r="IS49" s="443"/>
      <c r="IT49" s="443"/>
      <c r="IU49" s="443"/>
      <c r="IV49" s="443"/>
      <c r="IW49" s="443"/>
      <c r="IX49" s="443"/>
      <c r="IY49" s="443"/>
      <c r="IZ49" s="443"/>
      <c r="JA49" s="448"/>
      <c r="JB49" s="443"/>
      <c r="JC49" s="443"/>
      <c r="JD49" s="147"/>
      <c r="JE49" s="147"/>
      <c r="JF49" s="147"/>
      <c r="JG49" s="147"/>
      <c r="JH49" s="147"/>
      <c r="JI49" s="147"/>
      <c r="JJ49" s="147"/>
      <c r="JK49" s="147"/>
      <c r="JL49" s="147"/>
      <c r="JM49" s="147"/>
      <c r="JN49" s="147"/>
      <c r="JO49" s="147"/>
      <c r="JP49" s="147"/>
      <c r="JQ49" s="147"/>
      <c r="JR49" s="147"/>
      <c r="JS49" s="147"/>
      <c r="JT49" s="147"/>
      <c r="JU49" s="147"/>
      <c r="JV49" s="147"/>
      <c r="JW49" s="147"/>
      <c r="JX49" s="147"/>
      <c r="JY49" s="147"/>
      <c r="JZ49" s="147"/>
      <c r="KA49" s="147"/>
      <c r="KB49" s="147"/>
      <c r="KC49" s="147"/>
      <c r="KD49" s="147"/>
      <c r="KE49" s="147"/>
      <c r="KF49" s="147"/>
      <c r="KG49" s="147"/>
      <c r="KH49" s="147"/>
      <c r="KI49" s="147"/>
    </row>
    <row r="50" spans="1:295" s="82" customFormat="1" ht="10.5" customHeight="1">
      <c r="A50" s="2804"/>
      <c r="B50" s="2804"/>
      <c r="C50" s="2804"/>
      <c r="D50" s="822" t="s">
        <v>2378</v>
      </c>
      <c r="E50" s="823">
        <v>2</v>
      </c>
      <c r="F50" s="1509" t="str">
        <f>IF('Part VI-Revenues &amp; Expenses'!$M$151 =0,"",'Part VI-Revenues &amp; Expenses'!$M$151)</f>
        <v/>
      </c>
      <c r="G50" s="824">
        <f>IF('Part IX Scoring Criteria'!$O$74='Part IX Scoring Criteria'!$M$74,$L50,
IF($P$42="Albany",VLOOKUP($A$48,'DCA Underwriting Assumptions'!$E$22:$J$25,$E50+2),
IF($P$42="Athens",VLOOKUP($A$48,'DCA Underwriting Assumptions'!$E$26:$J$29,$E50+2),
IF($P$42="Atlanta",VLOOKUP($A$48,'DCA Underwriting Assumptions'!$E$30:$J$33,$E50+2),
IF($P$42="Augusta",VLOOKUP($A$48,'DCA Underwriting Assumptions'!$E$34:$J$37,$E50+2),
IF($P$42="Chattanooga",VLOOKUP($A$48,'DCA Underwriting Assumptions'!$E$38:$J$41,$E50+2),
IF($P$42="Columbus",VLOOKUP($A$48,'DCA Underwriting Assumptions'!$E$42:$J$45,$E50+2),
IF($P$42="Macon",VLOOKUP($A$48,'DCA Underwriting Assumptions'!$E$46:$J$49,$E50+2),
IF($P$42="Savannah",VLOOKUP($A$48,'DCA Underwriting Assumptions'!$E$50:$J$53,$E50+2),
VLOOKUP($A$48,'DCA Underwriting Assumptions'!$E$54:$J$57,$E50+2))))))))))*(1+'DCA Underwriting Assumptions'!$I$16)</f>
        <v>219739.69999999998</v>
      </c>
      <c r="H50" s="40" t="str">
        <f>CONCATENATE("x ", F50," units = ")</f>
        <v xml:space="preserve">x  units = </v>
      </c>
      <c r="I50" s="1510" t="str">
        <f>IF(F50="","",F50*G50)</f>
        <v/>
      </c>
      <c r="J50" s="42"/>
      <c r="K50" s="1509" t="str">
        <f>IF('Part VI-Revenues &amp; Expenses'!$M$152 =0,"",'Part VI-Revenues &amp; Expenses'!$M$152)</f>
        <v/>
      </c>
      <c r="L50" s="824">
        <f>G50*(1+'DCA Underwriting Assumptions'!$Q$12)</f>
        <v>241713.67</v>
      </c>
      <c r="M50" s="40" t="str">
        <f>CONCATENATE("x ", K50," units = ")</f>
        <v xml:space="preserve">x  units = </v>
      </c>
      <c r="N50" s="1510" t="str">
        <f>IF(K50="","",K50*L50)</f>
        <v/>
      </c>
      <c r="O50" s="540"/>
      <c r="P50" s="2826"/>
      <c r="Q50" s="2827"/>
      <c r="R50" s="404"/>
      <c r="S50" s="2830" t="s">
        <v>4519</v>
      </c>
      <c r="T50" s="2831"/>
      <c r="U50" s="2831"/>
      <c r="V50" s="2832"/>
      <c r="AC50" s="450"/>
      <c r="AD50" s="450"/>
      <c r="AE50" s="450"/>
      <c r="AF50" s="450"/>
      <c r="AG50" s="608"/>
      <c r="AH50" s="443"/>
      <c r="AI50" s="443"/>
      <c r="AJ50" s="443"/>
      <c r="AK50" s="443"/>
      <c r="AL50" s="443"/>
      <c r="AM50" s="443"/>
      <c r="AN50" s="443"/>
      <c r="AO50" s="443"/>
      <c r="AP50" s="443"/>
      <c r="AQ50" s="443"/>
      <c r="AR50" s="443"/>
      <c r="AS50" s="443"/>
      <c r="AT50" s="443"/>
      <c r="AU50" s="443"/>
      <c r="AV50" s="443"/>
      <c r="AW50" s="443"/>
      <c r="AX50" s="443"/>
      <c r="AY50" s="443"/>
      <c r="AZ50" s="443"/>
      <c r="BA50" s="443"/>
      <c r="BB50" s="443"/>
      <c r="BC50" s="443"/>
      <c r="BD50" s="443"/>
      <c r="BE50" s="443"/>
      <c r="BF50" s="443"/>
      <c r="BG50" s="443"/>
      <c r="BH50" s="443"/>
      <c r="BI50" s="443"/>
      <c r="BJ50" s="443"/>
      <c r="BK50" s="443"/>
      <c r="BL50" s="443"/>
      <c r="BM50" s="443"/>
      <c r="BN50" s="443"/>
      <c r="BO50" s="443"/>
      <c r="BP50" s="443"/>
      <c r="BQ50" s="443"/>
      <c r="BR50" s="443"/>
      <c r="BS50" s="443"/>
      <c r="BT50" s="443"/>
      <c r="BU50" s="443"/>
      <c r="BV50" s="443"/>
      <c r="BW50" s="443"/>
      <c r="BX50" s="443"/>
      <c r="BY50" s="443"/>
      <c r="BZ50" s="443"/>
      <c r="CA50" s="443"/>
      <c r="CB50" s="443"/>
      <c r="CC50" s="443"/>
      <c r="CD50" s="443"/>
      <c r="CE50" s="443"/>
      <c r="CF50" s="443"/>
      <c r="CG50" s="443"/>
      <c r="CH50" s="443"/>
      <c r="CI50" s="443"/>
      <c r="CJ50" s="443"/>
      <c r="CK50" s="443"/>
      <c r="CL50" s="443"/>
      <c r="CM50" s="443"/>
      <c r="CN50" s="443"/>
      <c r="CO50" s="443"/>
      <c r="CP50" s="443"/>
      <c r="CQ50" s="443"/>
      <c r="CR50" s="443"/>
      <c r="CS50" s="443"/>
      <c r="CT50" s="443"/>
      <c r="CU50" s="443"/>
      <c r="CV50" s="443"/>
      <c r="CW50" s="443"/>
      <c r="CX50" s="443"/>
      <c r="CY50" s="443"/>
      <c r="CZ50" s="443"/>
      <c r="DA50" s="443"/>
      <c r="DB50" s="443"/>
      <c r="DC50" s="443"/>
      <c r="DD50" s="443"/>
      <c r="DE50" s="443"/>
      <c r="DF50" s="443"/>
      <c r="DG50" s="443"/>
      <c r="DH50" s="443"/>
      <c r="DI50" s="443"/>
      <c r="DJ50" s="443"/>
      <c r="DK50" s="443"/>
      <c r="DL50" s="443"/>
      <c r="DM50" s="443"/>
      <c r="DN50" s="443"/>
      <c r="DO50" s="443"/>
      <c r="DP50" s="443"/>
      <c r="DQ50" s="443"/>
      <c r="DR50" s="443"/>
      <c r="DS50" s="443"/>
      <c r="DT50" s="443"/>
      <c r="DU50" s="443"/>
      <c r="DV50" s="443"/>
      <c r="DW50" s="443"/>
      <c r="DX50" s="443"/>
      <c r="DY50" s="443"/>
      <c r="DZ50" s="443"/>
      <c r="EA50" s="443"/>
      <c r="EB50" s="443"/>
      <c r="EC50" s="443"/>
      <c r="ED50" s="443"/>
      <c r="EE50" s="443"/>
      <c r="EF50" s="443"/>
      <c r="EG50" s="443"/>
      <c r="EH50" s="443"/>
      <c r="EI50" s="443"/>
      <c r="EJ50" s="443"/>
      <c r="EK50" s="443"/>
      <c r="EL50" s="443"/>
      <c r="EM50" s="443"/>
      <c r="EN50" s="443"/>
      <c r="EO50" s="443"/>
      <c r="EP50" s="443"/>
      <c r="EQ50" s="443"/>
      <c r="ER50" s="443"/>
      <c r="ES50" s="443"/>
      <c r="ET50" s="443"/>
      <c r="EU50" s="443"/>
      <c r="EV50" s="443"/>
      <c r="EW50" s="443"/>
      <c r="EX50" s="443"/>
      <c r="EY50" s="443"/>
      <c r="EZ50" s="443"/>
      <c r="FA50" s="443"/>
      <c r="FB50" s="443"/>
      <c r="FC50" s="443"/>
      <c r="FD50" s="443"/>
      <c r="FE50" s="443"/>
      <c r="FF50" s="443"/>
      <c r="FG50" s="443"/>
      <c r="FH50" s="443"/>
      <c r="FI50" s="443"/>
      <c r="FJ50" s="443"/>
      <c r="FK50" s="443"/>
      <c r="FL50" s="443"/>
      <c r="FM50" s="443"/>
      <c r="FN50" s="443"/>
      <c r="FO50" s="443"/>
      <c r="FP50" s="443"/>
      <c r="FQ50" s="443"/>
      <c r="FR50" s="443"/>
      <c r="FS50" s="443"/>
      <c r="FT50" s="443"/>
      <c r="FU50" s="443"/>
      <c r="FV50" s="443"/>
      <c r="FW50" s="443"/>
      <c r="FX50" s="443"/>
      <c r="FY50" s="443"/>
      <c r="FZ50" s="443"/>
      <c r="GA50" s="443"/>
      <c r="GB50" s="443"/>
      <c r="GC50" s="443"/>
      <c r="GD50" s="443"/>
      <c r="GE50" s="443"/>
      <c r="GF50" s="443"/>
      <c r="GG50" s="443"/>
      <c r="GH50" s="443"/>
      <c r="GI50" s="443"/>
      <c r="GJ50" s="443"/>
      <c r="GK50" s="443"/>
      <c r="GL50" s="443"/>
      <c r="GM50" s="443"/>
      <c r="GN50" s="443"/>
      <c r="GO50" s="443"/>
      <c r="GP50" s="443"/>
      <c r="GQ50" s="443"/>
      <c r="GR50" s="443"/>
      <c r="GS50" s="443"/>
      <c r="GT50" s="443"/>
      <c r="GU50" s="443"/>
      <c r="GV50" s="443"/>
      <c r="GW50" s="443"/>
      <c r="GX50" s="443"/>
      <c r="GY50" s="443"/>
      <c r="GZ50" s="443"/>
      <c r="HA50" s="443"/>
      <c r="HB50" s="443"/>
      <c r="HC50" s="443"/>
      <c r="HD50" s="443"/>
      <c r="HE50" s="443"/>
      <c r="HF50" s="443"/>
      <c r="HG50" s="443"/>
      <c r="HH50" s="443"/>
      <c r="HI50" s="443"/>
      <c r="HJ50" s="443"/>
      <c r="HK50" s="443"/>
      <c r="HL50" s="443"/>
      <c r="HM50" s="443"/>
      <c r="HN50" s="443"/>
      <c r="HO50" s="443"/>
      <c r="HP50" s="443"/>
      <c r="HQ50" s="443"/>
      <c r="HR50" s="443"/>
      <c r="HS50" s="443"/>
      <c r="HT50" s="443"/>
      <c r="HU50" s="443"/>
      <c r="HV50" s="443"/>
      <c r="HW50" s="443"/>
      <c r="HX50" s="443"/>
      <c r="HY50" s="443"/>
      <c r="HZ50" s="443"/>
      <c r="IA50" s="443"/>
      <c r="IB50" s="443"/>
      <c r="IC50" s="443"/>
      <c r="ID50" s="443"/>
      <c r="IE50" s="443"/>
      <c r="IF50" s="443"/>
      <c r="IG50" s="443"/>
      <c r="IH50" s="443"/>
      <c r="II50" s="443"/>
      <c r="IJ50" s="448"/>
      <c r="IK50" s="448"/>
      <c r="IL50" s="443"/>
      <c r="IM50" s="443"/>
      <c r="IN50" s="443"/>
      <c r="IO50" s="443"/>
      <c r="IP50" s="443"/>
      <c r="IQ50" s="443"/>
      <c r="IR50" s="443"/>
      <c r="IS50" s="443"/>
      <c r="IT50" s="443"/>
      <c r="IU50" s="443"/>
      <c r="IV50" s="443"/>
      <c r="IW50" s="443"/>
      <c r="IX50" s="443"/>
      <c r="IY50" s="443"/>
      <c r="IZ50" s="443"/>
      <c r="JA50" s="448"/>
      <c r="JB50" s="443"/>
      <c r="JC50" s="443"/>
      <c r="JD50" s="147"/>
      <c r="JE50" s="147"/>
      <c r="JF50" s="147"/>
      <c r="JG50" s="147"/>
      <c r="JH50" s="147"/>
      <c r="JI50" s="147"/>
      <c r="JJ50" s="147"/>
      <c r="JK50" s="147"/>
      <c r="JL50" s="147"/>
      <c r="JM50" s="147"/>
      <c r="JN50" s="147"/>
      <c r="JO50" s="147"/>
      <c r="JP50" s="147"/>
      <c r="JQ50" s="147"/>
      <c r="JR50" s="147"/>
      <c r="JS50" s="147"/>
      <c r="JT50" s="147"/>
      <c r="JU50" s="147"/>
      <c r="JV50" s="147"/>
      <c r="JW50" s="147"/>
      <c r="JX50" s="147"/>
      <c r="JY50" s="147"/>
      <c r="JZ50" s="147"/>
      <c r="KA50" s="147"/>
      <c r="KB50" s="147"/>
      <c r="KC50" s="147"/>
      <c r="KD50" s="147"/>
      <c r="KE50" s="147"/>
      <c r="KF50" s="147"/>
      <c r="KG50" s="147"/>
      <c r="KH50" s="147"/>
      <c r="KI50" s="147"/>
    </row>
    <row r="51" spans="1:295" s="82" customFormat="1" ht="10.5" customHeight="1">
      <c r="A51" s="8"/>
      <c r="B51" s="8"/>
      <c r="C51" s="1"/>
      <c r="D51" s="822" t="s">
        <v>2379</v>
      </c>
      <c r="E51" s="823">
        <v>3</v>
      </c>
      <c r="F51" s="1509" t="str">
        <f>IF('Part VI-Revenues &amp; Expenses'!$N$151 =0,"",'Part VI-Revenues &amp; Expenses'!$N$151)</f>
        <v/>
      </c>
      <c r="G51" s="824">
        <f>IF('Part IX Scoring Criteria'!$O$74='Part IX Scoring Criteria'!$M$74,$L51,
IF($P$42="Albany",VLOOKUP($A$48,'DCA Underwriting Assumptions'!$E$22:$J$25,$E51+2),
IF($P$42="Athens",VLOOKUP($A$48,'DCA Underwriting Assumptions'!$E$26:$J$29,$E51+2),
IF($P$42="Atlanta",VLOOKUP($A$48,'DCA Underwriting Assumptions'!$E$30:$J$33,$E51+2),
IF($P$42="Augusta",VLOOKUP($A$48,'DCA Underwriting Assumptions'!$E$34:$J$37,$E51+2),
IF($P$42="Chattanooga",VLOOKUP($A$48,'DCA Underwriting Assumptions'!$E$38:$J$41,$E51+2),
IF($P$42="Columbus",VLOOKUP($A$48,'DCA Underwriting Assumptions'!$E$42:$J$45,$E51+2),
IF($P$42="Macon",VLOOKUP($A$48,'DCA Underwriting Assumptions'!$E$46:$J$49,$E51+2),
IF($P$42="Savannah",VLOOKUP($A$48,'DCA Underwriting Assumptions'!$E$50:$J$53,$E51+2),
VLOOKUP($A$48,'DCA Underwriting Assumptions'!$E$54:$J$57,$E51+2))))))))))*(1+'DCA Underwriting Assumptions'!$I$17)</f>
        <v>256490.30000000002</v>
      </c>
      <c r="H51" s="40" t="str">
        <f>CONCATENATE("x ", F51," units = ")</f>
        <v xml:space="preserve">x  units = </v>
      </c>
      <c r="I51" s="1510" t="str">
        <f>IF(F51="","",F51*G51)</f>
        <v/>
      </c>
      <c r="J51" s="42"/>
      <c r="K51" s="1509" t="str">
        <f>IF('Part VI-Revenues &amp; Expenses'!$N$152 =0,"",'Part VI-Revenues &amp; Expenses'!$N$152)</f>
        <v/>
      </c>
      <c r="L51" s="824">
        <f>G51*(1+'DCA Underwriting Assumptions'!$Q$12)</f>
        <v>282139.33</v>
      </c>
      <c r="M51" s="40" t="str">
        <f>CONCATENATE("x ", K51," units = ")</f>
        <v xml:space="preserve">x  units = </v>
      </c>
      <c r="N51" s="1510" t="str">
        <f>IF(K51="","",K51*L51)</f>
        <v/>
      </c>
      <c r="O51" s="540"/>
      <c r="P51" s="2828"/>
      <c r="Q51" s="2829"/>
      <c r="S51" s="2833"/>
      <c r="T51" s="2834"/>
      <c r="U51" s="2834"/>
      <c r="V51" s="2835"/>
      <c r="AC51" s="450"/>
      <c r="AD51" s="450"/>
      <c r="AE51" s="450"/>
      <c r="AF51" s="450"/>
      <c r="AG51" s="608"/>
      <c r="AH51" s="443"/>
      <c r="AI51" s="443"/>
      <c r="AJ51" s="443"/>
      <c r="AK51" s="443"/>
      <c r="AL51" s="443"/>
      <c r="AM51" s="443"/>
      <c r="AN51" s="443"/>
      <c r="AO51" s="443"/>
      <c r="AP51" s="443"/>
      <c r="AQ51" s="443"/>
      <c r="AR51" s="443"/>
      <c r="AS51" s="443"/>
      <c r="AT51" s="443"/>
      <c r="AU51" s="443"/>
      <c r="AV51" s="443"/>
      <c r="AW51" s="443"/>
      <c r="AX51" s="443"/>
      <c r="AY51" s="443"/>
      <c r="AZ51" s="443"/>
      <c r="BA51" s="443"/>
      <c r="BB51" s="443"/>
      <c r="BC51" s="443"/>
      <c r="BD51" s="443"/>
      <c r="BE51" s="443"/>
      <c r="BF51" s="443"/>
      <c r="BG51" s="443"/>
      <c r="BH51" s="443"/>
      <c r="BI51" s="443"/>
      <c r="BJ51" s="443"/>
      <c r="BK51" s="443"/>
      <c r="BL51" s="443"/>
      <c r="BM51" s="443"/>
      <c r="BN51" s="443"/>
      <c r="BO51" s="443"/>
      <c r="BP51" s="443"/>
      <c r="BQ51" s="443"/>
      <c r="BR51" s="443"/>
      <c r="BS51" s="443"/>
      <c r="BT51" s="443"/>
      <c r="BU51" s="443"/>
      <c r="BV51" s="443"/>
      <c r="BW51" s="443"/>
      <c r="BX51" s="443"/>
      <c r="BY51" s="443"/>
      <c r="BZ51" s="443"/>
      <c r="CA51" s="443"/>
      <c r="CB51" s="443"/>
      <c r="CC51" s="443"/>
      <c r="CD51" s="443"/>
      <c r="CE51" s="443"/>
      <c r="CF51" s="443"/>
      <c r="CG51" s="443"/>
      <c r="CH51" s="443"/>
      <c r="CI51" s="443"/>
      <c r="CJ51" s="443"/>
      <c r="CK51" s="443"/>
      <c r="CL51" s="443"/>
      <c r="CM51" s="443"/>
      <c r="CN51" s="443"/>
      <c r="CO51" s="443"/>
      <c r="CP51" s="443"/>
      <c r="CQ51" s="443"/>
      <c r="CR51" s="443"/>
      <c r="CS51" s="443"/>
      <c r="CT51" s="443"/>
      <c r="CU51" s="443"/>
      <c r="CV51" s="443"/>
      <c r="CW51" s="443"/>
      <c r="CX51" s="443"/>
      <c r="CY51" s="443"/>
      <c r="CZ51" s="443"/>
      <c r="DA51" s="443"/>
      <c r="DB51" s="443"/>
      <c r="DC51" s="443"/>
      <c r="DD51" s="443"/>
      <c r="DE51" s="443"/>
      <c r="DF51" s="443"/>
      <c r="DG51" s="443"/>
      <c r="DH51" s="443"/>
      <c r="DI51" s="443"/>
      <c r="DJ51" s="443"/>
      <c r="DK51" s="443"/>
      <c r="DL51" s="443"/>
      <c r="DM51" s="443"/>
      <c r="DN51" s="443"/>
      <c r="DO51" s="443"/>
      <c r="DP51" s="443"/>
      <c r="DQ51" s="443"/>
      <c r="DR51" s="443"/>
      <c r="DS51" s="443"/>
      <c r="DT51" s="443"/>
      <c r="DU51" s="443"/>
      <c r="DV51" s="443"/>
      <c r="DW51" s="443"/>
      <c r="DX51" s="443"/>
      <c r="DY51" s="443"/>
      <c r="DZ51" s="443"/>
      <c r="EA51" s="443"/>
      <c r="EB51" s="443"/>
      <c r="EC51" s="443"/>
      <c r="ED51" s="443"/>
      <c r="EE51" s="443"/>
      <c r="EF51" s="443"/>
      <c r="EG51" s="443"/>
      <c r="EH51" s="443"/>
      <c r="EI51" s="443"/>
      <c r="EJ51" s="443"/>
      <c r="EK51" s="443"/>
      <c r="EL51" s="443"/>
      <c r="EM51" s="443"/>
      <c r="EN51" s="443"/>
      <c r="EO51" s="443"/>
      <c r="EP51" s="443"/>
      <c r="EQ51" s="443"/>
      <c r="ER51" s="443"/>
      <c r="ES51" s="443"/>
      <c r="ET51" s="443"/>
      <c r="EU51" s="443"/>
      <c r="EV51" s="443"/>
      <c r="EW51" s="443"/>
      <c r="EX51" s="443"/>
      <c r="EY51" s="443"/>
      <c r="EZ51" s="443"/>
      <c r="FA51" s="443"/>
      <c r="FB51" s="443"/>
      <c r="FC51" s="443"/>
      <c r="FD51" s="443"/>
      <c r="FE51" s="443"/>
      <c r="FF51" s="443"/>
      <c r="FG51" s="443"/>
      <c r="FH51" s="443"/>
      <c r="FI51" s="443"/>
      <c r="FJ51" s="443"/>
      <c r="FK51" s="443"/>
      <c r="FL51" s="443"/>
      <c r="FM51" s="443"/>
      <c r="FN51" s="443"/>
      <c r="FO51" s="443"/>
      <c r="FP51" s="443"/>
      <c r="FQ51" s="443"/>
      <c r="FR51" s="443"/>
      <c r="FS51" s="443"/>
      <c r="FT51" s="443"/>
      <c r="FU51" s="443"/>
      <c r="FV51" s="443"/>
      <c r="FW51" s="443"/>
      <c r="FX51" s="443"/>
      <c r="FY51" s="443"/>
      <c r="FZ51" s="443"/>
      <c r="GA51" s="443"/>
      <c r="GB51" s="443"/>
      <c r="GC51" s="443"/>
      <c r="GD51" s="443"/>
      <c r="GE51" s="443"/>
      <c r="GF51" s="443"/>
      <c r="GG51" s="443"/>
      <c r="GH51" s="443"/>
      <c r="GI51" s="443"/>
      <c r="GJ51" s="443"/>
      <c r="GK51" s="443"/>
      <c r="GL51" s="443"/>
      <c r="GM51" s="443"/>
      <c r="GN51" s="443"/>
      <c r="GO51" s="443"/>
      <c r="GP51" s="443"/>
      <c r="GQ51" s="443"/>
      <c r="GR51" s="443"/>
      <c r="GS51" s="443"/>
      <c r="GT51" s="443"/>
      <c r="GU51" s="443"/>
      <c r="GV51" s="443"/>
      <c r="GW51" s="443"/>
      <c r="GX51" s="443"/>
      <c r="GY51" s="443"/>
      <c r="GZ51" s="443"/>
      <c r="HA51" s="443"/>
      <c r="HB51" s="443"/>
      <c r="HC51" s="443"/>
      <c r="HD51" s="443"/>
      <c r="HE51" s="443"/>
      <c r="HF51" s="443"/>
      <c r="HG51" s="443"/>
      <c r="HH51" s="443"/>
      <c r="HI51" s="443"/>
      <c r="HJ51" s="443"/>
      <c r="HK51" s="443"/>
      <c r="HL51" s="443"/>
      <c r="HM51" s="443"/>
      <c r="HN51" s="443"/>
      <c r="HO51" s="443"/>
      <c r="HP51" s="443"/>
      <c r="HQ51" s="443"/>
      <c r="HR51" s="443"/>
      <c r="HS51" s="443"/>
      <c r="HT51" s="443"/>
      <c r="HU51" s="443"/>
      <c r="HV51" s="443"/>
      <c r="HW51" s="443"/>
      <c r="HX51" s="443"/>
      <c r="HY51" s="443"/>
      <c r="HZ51" s="443"/>
      <c r="IA51" s="443"/>
      <c r="IB51" s="443"/>
      <c r="IC51" s="443"/>
      <c r="ID51" s="443"/>
      <c r="IE51" s="443"/>
      <c r="IF51" s="443"/>
      <c r="IG51" s="443"/>
      <c r="IH51" s="443"/>
      <c r="II51" s="443"/>
      <c r="IJ51" s="448"/>
      <c r="IK51" s="448"/>
      <c r="IL51" s="443"/>
      <c r="IM51" s="443"/>
      <c r="IN51" s="443"/>
      <c r="IO51" s="443"/>
      <c r="IP51" s="443"/>
      <c r="IQ51" s="443"/>
      <c r="IR51" s="443"/>
      <c r="IS51" s="443"/>
      <c r="IT51" s="443"/>
      <c r="IU51" s="443"/>
      <c r="IV51" s="443"/>
      <c r="IW51" s="443"/>
      <c r="IX51" s="443"/>
      <c r="IY51" s="443"/>
      <c r="IZ51" s="443"/>
      <c r="JA51" s="448"/>
      <c r="JB51" s="443"/>
      <c r="JC51" s="443"/>
      <c r="JD51" s="147"/>
      <c r="JE51" s="147"/>
      <c r="JF51" s="147"/>
      <c r="JG51" s="147"/>
      <c r="JH51" s="147"/>
      <c r="JI51" s="147"/>
      <c r="JJ51" s="147"/>
      <c r="JK51" s="147"/>
      <c r="JL51" s="147"/>
      <c r="JM51" s="147"/>
      <c r="JN51" s="147"/>
      <c r="JO51" s="147"/>
      <c r="JP51" s="147"/>
      <c r="JQ51" s="147"/>
      <c r="JR51" s="147"/>
      <c r="JS51" s="147"/>
      <c r="JT51" s="147"/>
      <c r="JU51" s="147"/>
      <c r="JV51" s="147"/>
      <c r="JW51" s="147"/>
      <c r="JX51" s="147"/>
      <c r="JY51" s="147"/>
      <c r="JZ51" s="147"/>
      <c r="KA51" s="147"/>
      <c r="KB51" s="147"/>
      <c r="KC51" s="147"/>
      <c r="KD51" s="147"/>
      <c r="KE51" s="147"/>
      <c r="KF51" s="147"/>
      <c r="KG51" s="147"/>
      <c r="KH51" s="147"/>
      <c r="KI51" s="147"/>
    </row>
    <row r="52" spans="1:295" s="82" customFormat="1" ht="10.5" customHeight="1">
      <c r="A52" s="8"/>
      <c r="B52" s="8"/>
      <c r="C52" s="1"/>
      <c r="D52" s="826" t="s">
        <v>2380</v>
      </c>
      <c r="E52" s="823">
        <v>4</v>
      </c>
      <c r="F52" s="1509" t="str">
        <f>IF('Part VI-Revenues &amp; Expenses'!$O$151 =0,"",'Part VI-Revenues &amp; Expenses'!$O$151)</f>
        <v/>
      </c>
      <c r="G52" s="824">
        <f>IF('Part IX Scoring Criteria'!$O$74='Part IX Scoring Criteria'!$M$74,$L52,
IF($P$42="Albany",VLOOKUP($A$48,'DCA Underwriting Assumptions'!$E$22:$J$25,$E52+2),
IF($P$42="Athens",VLOOKUP($A$48,'DCA Underwriting Assumptions'!$E$26:$J$29,$E52+2),
IF($P$42="Atlanta",VLOOKUP($A$48,'DCA Underwriting Assumptions'!$E$30:$J$33,$E52+2),
IF($P$42="Augusta",VLOOKUP($A$48,'DCA Underwriting Assumptions'!$E$34:$J$37,$E52+2),
IF($P$42="Chattanooga",VLOOKUP($A$48,'DCA Underwriting Assumptions'!$E$38:$J$41,$E52+2),
IF($P$42="Columbus",VLOOKUP($A$48,'DCA Underwriting Assumptions'!$E$42:$J$45,$E52+2),
IF($P$42="Macon",VLOOKUP($A$48,'DCA Underwriting Assumptions'!$E$46:$J$49,$E52+2),
IF($P$42="Savannah",VLOOKUP($A$48,'DCA Underwriting Assumptions'!$E$50:$J$53,$E52+2),
VLOOKUP($A$48,'DCA Underwriting Assumptions'!$E$54:$J$57,$E52+2))))))))))*(1+'DCA Underwriting Assumptions'!$I$18)</f>
        <v>304225.90000000002</v>
      </c>
      <c r="H52" s="40" t="str">
        <f>CONCATENATE("x ", F52," units = ")</f>
        <v xml:space="preserve">x  units = </v>
      </c>
      <c r="I52" s="1510" t="str">
        <f>IF(F52="","",F52*G52)</f>
        <v/>
      </c>
      <c r="J52" s="42"/>
      <c r="K52" s="1509" t="str">
        <f>IF('Part VI-Revenues &amp; Expenses'!$O$152 =0,"",'Part VI-Revenues &amp; Expenses'!$O$152)</f>
        <v/>
      </c>
      <c r="L52" s="824">
        <f>G52*(1+'DCA Underwriting Assumptions'!$Q$12)</f>
        <v>334648.49000000005</v>
      </c>
      <c r="M52" s="40" t="str">
        <f>CONCATENATE("x ", K52," units = ")</f>
        <v xml:space="preserve">x  units = </v>
      </c>
      <c r="N52" s="1510" t="str">
        <f>IF(K52="","",K52*L52)</f>
        <v/>
      </c>
      <c r="O52" s="540"/>
      <c r="P52" s="2847" t="s">
        <v>3463</v>
      </c>
      <c r="Q52" s="2847"/>
      <c r="S52" s="2833"/>
      <c r="T52" s="2834"/>
      <c r="U52" s="2834"/>
      <c r="V52" s="2835"/>
      <c r="AC52" s="450"/>
      <c r="AD52" s="450"/>
      <c r="AE52" s="450"/>
      <c r="AF52" s="450"/>
      <c r="AG52" s="608"/>
      <c r="AH52" s="443"/>
      <c r="AI52" s="443"/>
      <c r="AJ52" s="443"/>
      <c r="AK52" s="443"/>
      <c r="AL52" s="443"/>
      <c r="AM52" s="443"/>
      <c r="AN52" s="443"/>
      <c r="AO52" s="443"/>
      <c r="AP52" s="443"/>
      <c r="AQ52" s="443"/>
      <c r="AR52" s="443"/>
      <c r="AS52" s="443"/>
      <c r="AT52" s="443"/>
      <c r="AU52" s="443"/>
      <c r="AV52" s="443"/>
      <c r="AW52" s="443"/>
      <c r="AX52" s="443"/>
      <c r="AY52" s="443"/>
      <c r="AZ52" s="443"/>
      <c r="BA52" s="443"/>
      <c r="BB52" s="443"/>
      <c r="BC52" s="443"/>
      <c r="BD52" s="443"/>
      <c r="BE52" s="443"/>
      <c r="BF52" s="443"/>
      <c r="BG52" s="443"/>
      <c r="BH52" s="443"/>
      <c r="BI52" s="443"/>
      <c r="BJ52" s="443"/>
      <c r="BK52" s="443"/>
      <c r="BL52" s="443"/>
      <c r="BM52" s="443"/>
      <c r="BN52" s="443"/>
      <c r="BO52" s="443"/>
      <c r="BP52" s="443"/>
      <c r="BQ52" s="443"/>
      <c r="BR52" s="443"/>
      <c r="BS52" s="443"/>
      <c r="BT52" s="443"/>
      <c r="BU52" s="443"/>
      <c r="BV52" s="443"/>
      <c r="BW52" s="443"/>
      <c r="BX52" s="443"/>
      <c r="BY52" s="443"/>
      <c r="BZ52" s="443"/>
      <c r="CA52" s="443"/>
      <c r="CB52" s="443"/>
      <c r="CC52" s="443"/>
      <c r="CD52" s="443"/>
      <c r="CE52" s="443"/>
      <c r="CF52" s="443"/>
      <c r="CG52" s="443"/>
      <c r="CH52" s="443"/>
      <c r="CI52" s="443"/>
      <c r="CJ52" s="443"/>
      <c r="CK52" s="443"/>
      <c r="CL52" s="443"/>
      <c r="CM52" s="443"/>
      <c r="CN52" s="443"/>
      <c r="CO52" s="443"/>
      <c r="CP52" s="443"/>
      <c r="CQ52" s="443"/>
      <c r="CR52" s="443"/>
      <c r="CS52" s="443"/>
      <c r="CT52" s="443"/>
      <c r="CU52" s="443"/>
      <c r="CV52" s="443"/>
      <c r="CW52" s="443"/>
      <c r="CX52" s="443"/>
      <c r="CY52" s="443"/>
      <c r="CZ52" s="443"/>
      <c r="DA52" s="443"/>
      <c r="DB52" s="443"/>
      <c r="DC52" s="443"/>
      <c r="DD52" s="443"/>
      <c r="DE52" s="443"/>
      <c r="DF52" s="443"/>
      <c r="DG52" s="443"/>
      <c r="DH52" s="443"/>
      <c r="DI52" s="443"/>
      <c r="DJ52" s="443"/>
      <c r="DK52" s="443"/>
      <c r="DL52" s="443"/>
      <c r="DM52" s="443"/>
      <c r="DN52" s="443"/>
      <c r="DO52" s="443"/>
      <c r="DP52" s="443"/>
      <c r="DQ52" s="443"/>
      <c r="DR52" s="443"/>
      <c r="DS52" s="443"/>
      <c r="DT52" s="443"/>
      <c r="DU52" s="443"/>
      <c r="DV52" s="443"/>
      <c r="DW52" s="443"/>
      <c r="DX52" s="443"/>
      <c r="DY52" s="443"/>
      <c r="DZ52" s="443"/>
      <c r="EA52" s="443"/>
      <c r="EB52" s="443"/>
      <c r="EC52" s="443"/>
      <c r="ED52" s="443"/>
      <c r="EE52" s="443"/>
      <c r="EF52" s="443"/>
      <c r="EG52" s="443"/>
      <c r="EH52" s="443"/>
      <c r="EI52" s="443"/>
      <c r="EJ52" s="443"/>
      <c r="EK52" s="443"/>
      <c r="EL52" s="443"/>
      <c r="EM52" s="443"/>
      <c r="EN52" s="443"/>
      <c r="EO52" s="443"/>
      <c r="EP52" s="443"/>
      <c r="EQ52" s="443"/>
      <c r="ER52" s="443"/>
      <c r="ES52" s="443"/>
      <c r="ET52" s="443"/>
      <c r="EU52" s="443"/>
      <c r="EV52" s="443"/>
      <c r="EW52" s="443"/>
      <c r="EX52" s="443"/>
      <c r="EY52" s="443"/>
      <c r="EZ52" s="443"/>
      <c r="FA52" s="443"/>
      <c r="FB52" s="443"/>
      <c r="FC52" s="443"/>
      <c r="FD52" s="443"/>
      <c r="FE52" s="443"/>
      <c r="FF52" s="443"/>
      <c r="FG52" s="443"/>
      <c r="FH52" s="443"/>
      <c r="FI52" s="443"/>
      <c r="FJ52" s="443"/>
      <c r="FK52" s="443"/>
      <c r="FL52" s="443"/>
      <c r="FM52" s="443"/>
      <c r="FN52" s="443"/>
      <c r="FO52" s="443"/>
      <c r="FP52" s="443"/>
      <c r="FQ52" s="443"/>
      <c r="FR52" s="443"/>
      <c r="FS52" s="443"/>
      <c r="FT52" s="443"/>
      <c r="FU52" s="443"/>
      <c r="FV52" s="443"/>
      <c r="FW52" s="443"/>
      <c r="FX52" s="443"/>
      <c r="FY52" s="443"/>
      <c r="FZ52" s="443"/>
      <c r="GA52" s="443"/>
      <c r="GB52" s="443"/>
      <c r="GC52" s="443"/>
      <c r="GD52" s="443"/>
      <c r="GE52" s="443"/>
      <c r="GF52" s="443"/>
      <c r="GG52" s="443"/>
      <c r="GH52" s="443"/>
      <c r="GI52" s="443"/>
      <c r="GJ52" s="443"/>
      <c r="GK52" s="443"/>
      <c r="GL52" s="443"/>
      <c r="GM52" s="443"/>
      <c r="GN52" s="443"/>
      <c r="GO52" s="443"/>
      <c r="GP52" s="443"/>
      <c r="GQ52" s="443"/>
      <c r="GR52" s="443"/>
      <c r="GS52" s="443"/>
      <c r="GT52" s="443"/>
      <c r="GU52" s="443"/>
      <c r="GV52" s="443"/>
      <c r="GW52" s="443"/>
      <c r="GX52" s="443"/>
      <c r="GY52" s="443"/>
      <c r="GZ52" s="443"/>
      <c r="HA52" s="443"/>
      <c r="HB52" s="443"/>
      <c r="HC52" s="443"/>
      <c r="HD52" s="443"/>
      <c r="HE52" s="443"/>
      <c r="HF52" s="443"/>
      <c r="HG52" s="443"/>
      <c r="HH52" s="443"/>
      <c r="HI52" s="443"/>
      <c r="HJ52" s="443"/>
      <c r="HK52" s="443"/>
      <c r="HL52" s="443"/>
      <c r="HM52" s="443"/>
      <c r="HN52" s="443"/>
      <c r="HO52" s="443"/>
      <c r="HP52" s="443"/>
      <c r="HQ52" s="443"/>
      <c r="HR52" s="443"/>
      <c r="HS52" s="443"/>
      <c r="HT52" s="443"/>
      <c r="HU52" s="443"/>
      <c r="HV52" s="443"/>
      <c r="HW52" s="443"/>
      <c r="HX52" s="443"/>
      <c r="HY52" s="443"/>
      <c r="HZ52" s="443"/>
      <c r="IA52" s="443"/>
      <c r="IB52" s="443"/>
      <c r="IC52" s="443"/>
      <c r="ID52" s="443"/>
      <c r="IE52" s="443"/>
      <c r="IF52" s="443"/>
      <c r="IG52" s="443"/>
      <c r="IH52" s="443"/>
      <c r="II52" s="443"/>
      <c r="IJ52" s="448"/>
      <c r="IK52" s="448"/>
      <c r="IL52" s="443"/>
      <c r="IM52" s="443"/>
      <c r="IN52" s="443"/>
      <c r="IO52" s="443"/>
      <c r="IP52" s="443"/>
      <c r="IQ52" s="443"/>
      <c r="IR52" s="443"/>
      <c r="IS52" s="443"/>
      <c r="IT52" s="443"/>
      <c r="IU52" s="443"/>
      <c r="IV52" s="443"/>
      <c r="IW52" s="443"/>
      <c r="IX52" s="443"/>
      <c r="IY52" s="443"/>
      <c r="IZ52" s="443"/>
      <c r="JA52" s="448"/>
      <c r="JB52" s="443"/>
      <c r="JC52" s="443"/>
      <c r="JD52" s="147"/>
      <c r="JE52" s="147"/>
      <c r="JF52" s="147"/>
      <c r="JG52" s="147"/>
      <c r="JH52" s="147"/>
      <c r="JI52" s="147"/>
      <c r="JJ52" s="147"/>
      <c r="JK52" s="147"/>
      <c r="JL52" s="147"/>
      <c r="JM52" s="147"/>
      <c r="JN52" s="147"/>
      <c r="JO52" s="147"/>
      <c r="JP52" s="147"/>
      <c r="JQ52" s="147"/>
      <c r="JR52" s="147"/>
      <c r="JS52" s="147"/>
      <c r="JT52" s="147"/>
      <c r="JU52" s="147"/>
      <c r="JV52" s="147"/>
      <c r="JW52" s="147"/>
      <c r="JX52" s="147"/>
      <c r="JY52" s="147"/>
      <c r="JZ52" s="147"/>
      <c r="KA52" s="147"/>
      <c r="KB52" s="147"/>
      <c r="KC52" s="147"/>
      <c r="KD52" s="147"/>
      <c r="KE52" s="147"/>
      <c r="KF52" s="147"/>
      <c r="KG52" s="147"/>
      <c r="KH52" s="147"/>
      <c r="KI52" s="147"/>
    </row>
    <row r="53" spans="1:295" s="82" customFormat="1" ht="10.5" customHeight="1">
      <c r="A53" s="8"/>
      <c r="B53" s="8"/>
      <c r="C53" s="1"/>
      <c r="D53" s="553" t="s">
        <v>3262</v>
      </c>
      <c r="E53" s="132"/>
      <c r="F53" s="1044">
        <f>SUM(F48:F52)</f>
        <v>0</v>
      </c>
      <c r="G53" s="592"/>
      <c r="H53" s="1045"/>
      <c r="I53" s="1046">
        <f>SUM(I48:I52)</f>
        <v>0</v>
      </c>
      <c r="J53" s="1047"/>
      <c r="K53" s="1044">
        <f>SUM(K48:K52)</f>
        <v>0</v>
      </c>
      <c r="L53" s="1047"/>
      <c r="M53" s="1045"/>
      <c r="N53" s="1046">
        <f>SUM(N48:N52)</f>
        <v>0</v>
      </c>
      <c r="O53" s="540"/>
      <c r="P53" s="1052" t="s">
        <v>3141</v>
      </c>
      <c r="Q53" s="1052" t="s">
        <v>251</v>
      </c>
      <c r="R53" s="404"/>
      <c r="S53" s="2833"/>
      <c r="T53" s="2834"/>
      <c r="U53" s="2834"/>
      <c r="V53" s="2835"/>
      <c r="AB53" s="450"/>
      <c r="AC53" s="450"/>
      <c r="AD53" s="450"/>
      <c r="AE53" s="450"/>
      <c r="AF53" s="450"/>
      <c r="AG53" s="608"/>
      <c r="AH53" s="443"/>
      <c r="AI53" s="443"/>
      <c r="AJ53" s="443"/>
      <c r="AK53" s="443"/>
      <c r="AL53" s="443"/>
      <c r="AM53" s="443"/>
      <c r="AN53" s="443"/>
      <c r="AO53" s="443"/>
      <c r="AP53" s="443"/>
      <c r="AQ53" s="443"/>
      <c r="AR53" s="443"/>
      <c r="AS53" s="443"/>
      <c r="AT53" s="443"/>
      <c r="AU53" s="443"/>
      <c r="AV53" s="443"/>
      <c r="AW53" s="443"/>
      <c r="AX53" s="443"/>
      <c r="AY53" s="443"/>
      <c r="AZ53" s="443"/>
      <c r="BA53" s="443"/>
      <c r="BB53" s="443"/>
      <c r="BC53" s="443"/>
      <c r="BD53" s="443"/>
      <c r="BE53" s="443"/>
      <c r="BF53" s="443"/>
      <c r="BG53" s="443"/>
      <c r="BH53" s="443"/>
      <c r="BI53" s="443"/>
      <c r="BJ53" s="443"/>
      <c r="BK53" s="443"/>
      <c r="BL53" s="443"/>
      <c r="BM53" s="443"/>
      <c r="BN53" s="443"/>
      <c r="BO53" s="443"/>
      <c r="BP53" s="443"/>
      <c r="BQ53" s="443"/>
      <c r="BR53" s="443"/>
      <c r="BS53" s="443"/>
      <c r="BT53" s="443"/>
      <c r="BU53" s="443"/>
      <c r="BV53" s="443"/>
      <c r="BW53" s="443"/>
      <c r="BX53" s="443"/>
      <c r="BY53" s="443"/>
      <c r="BZ53" s="443"/>
      <c r="CA53" s="443"/>
      <c r="CB53" s="443"/>
      <c r="CC53" s="443"/>
      <c r="CD53" s="443"/>
      <c r="CE53" s="443"/>
      <c r="CF53" s="443"/>
      <c r="CG53" s="443"/>
      <c r="CH53" s="443"/>
      <c r="CI53" s="443"/>
      <c r="CJ53" s="443"/>
      <c r="CK53" s="443"/>
      <c r="CL53" s="443"/>
      <c r="CM53" s="443"/>
      <c r="CN53" s="443"/>
      <c r="CO53" s="443"/>
      <c r="CP53" s="443"/>
      <c r="CQ53" s="443"/>
      <c r="CR53" s="443"/>
      <c r="CS53" s="443"/>
      <c r="CT53" s="443"/>
      <c r="CU53" s="443"/>
      <c r="CV53" s="443"/>
      <c r="CW53" s="443"/>
      <c r="CX53" s="443"/>
      <c r="CY53" s="443"/>
      <c r="CZ53" s="443"/>
      <c r="DA53" s="443"/>
      <c r="DB53" s="443"/>
      <c r="DC53" s="443"/>
      <c r="DD53" s="443"/>
      <c r="DE53" s="443"/>
      <c r="DF53" s="443"/>
      <c r="DG53" s="443"/>
      <c r="DH53" s="443"/>
      <c r="DI53" s="443"/>
      <c r="DJ53" s="443"/>
      <c r="DK53" s="443"/>
      <c r="DL53" s="443"/>
      <c r="DM53" s="443"/>
      <c r="DN53" s="443"/>
      <c r="DO53" s="443"/>
      <c r="DP53" s="443"/>
      <c r="DQ53" s="443"/>
      <c r="DR53" s="443"/>
      <c r="DS53" s="443"/>
      <c r="DT53" s="443"/>
      <c r="DU53" s="443"/>
      <c r="DV53" s="443"/>
      <c r="DW53" s="443"/>
      <c r="DX53" s="443"/>
      <c r="DY53" s="443"/>
      <c r="DZ53" s="443"/>
      <c r="EA53" s="443"/>
      <c r="EB53" s="443"/>
      <c r="EC53" s="443"/>
      <c r="ED53" s="443"/>
      <c r="EE53" s="443"/>
      <c r="EF53" s="443"/>
      <c r="EG53" s="443"/>
      <c r="EH53" s="443"/>
      <c r="EI53" s="443"/>
      <c r="EJ53" s="443"/>
      <c r="EK53" s="443"/>
      <c r="EL53" s="443"/>
      <c r="EM53" s="443"/>
      <c r="EN53" s="443"/>
      <c r="EO53" s="443"/>
      <c r="EP53" s="443"/>
      <c r="EQ53" s="443"/>
      <c r="ER53" s="443"/>
      <c r="ES53" s="443"/>
      <c r="ET53" s="443"/>
      <c r="EU53" s="443"/>
      <c r="EV53" s="443"/>
      <c r="EW53" s="443"/>
      <c r="EX53" s="443"/>
      <c r="EY53" s="443"/>
      <c r="EZ53" s="443"/>
      <c r="FA53" s="443"/>
      <c r="FB53" s="443"/>
      <c r="FC53" s="443"/>
      <c r="FD53" s="443"/>
      <c r="FE53" s="443"/>
      <c r="FF53" s="443"/>
      <c r="FG53" s="443"/>
      <c r="FH53" s="443"/>
      <c r="FI53" s="443"/>
      <c r="FJ53" s="443"/>
      <c r="FK53" s="443"/>
      <c r="FL53" s="443"/>
      <c r="FM53" s="443"/>
      <c r="FN53" s="443"/>
      <c r="FO53" s="443"/>
      <c r="FP53" s="443"/>
      <c r="FQ53" s="443"/>
      <c r="FR53" s="443"/>
      <c r="FS53" s="443"/>
      <c r="FT53" s="443"/>
      <c r="FU53" s="443"/>
      <c r="FV53" s="443"/>
      <c r="FW53" s="443"/>
      <c r="FX53" s="443"/>
      <c r="FY53" s="443"/>
      <c r="FZ53" s="443"/>
      <c r="GA53" s="443"/>
      <c r="GB53" s="443"/>
      <c r="GC53" s="443"/>
      <c r="GD53" s="443"/>
      <c r="GE53" s="443"/>
      <c r="GF53" s="443"/>
      <c r="GG53" s="443"/>
      <c r="GH53" s="443"/>
      <c r="GI53" s="443"/>
      <c r="GJ53" s="443"/>
      <c r="GK53" s="443"/>
      <c r="GL53" s="443"/>
      <c r="GM53" s="443"/>
      <c r="GN53" s="443"/>
      <c r="GO53" s="443"/>
      <c r="GP53" s="443"/>
      <c r="GQ53" s="443"/>
      <c r="GR53" s="443"/>
      <c r="GS53" s="443"/>
      <c r="GT53" s="443"/>
      <c r="GU53" s="443"/>
      <c r="GV53" s="443"/>
      <c r="GW53" s="443"/>
      <c r="GX53" s="443"/>
      <c r="GY53" s="443"/>
      <c r="GZ53" s="443"/>
      <c r="HA53" s="443"/>
      <c r="HB53" s="443"/>
      <c r="HC53" s="443"/>
      <c r="HD53" s="443"/>
      <c r="HE53" s="443"/>
      <c r="HF53" s="443"/>
      <c r="HG53" s="443"/>
      <c r="HH53" s="443"/>
      <c r="HI53" s="443"/>
      <c r="HJ53" s="443"/>
      <c r="HK53" s="443"/>
      <c r="HL53" s="443"/>
      <c r="HM53" s="443"/>
      <c r="HN53" s="443"/>
      <c r="HO53" s="443"/>
      <c r="HP53" s="443"/>
      <c r="HQ53" s="443"/>
      <c r="HR53" s="443"/>
      <c r="HS53" s="443"/>
      <c r="HT53" s="443"/>
      <c r="HU53" s="443"/>
      <c r="HV53" s="443"/>
      <c r="HW53" s="443"/>
      <c r="HX53" s="443"/>
      <c r="HY53" s="443"/>
      <c r="HZ53" s="443"/>
      <c r="IA53" s="443"/>
      <c r="IB53" s="443"/>
      <c r="IC53" s="443"/>
      <c r="ID53" s="443"/>
      <c r="IE53" s="443"/>
      <c r="IF53" s="443"/>
      <c r="IG53" s="443"/>
      <c r="IH53" s="443"/>
      <c r="II53" s="443"/>
      <c r="IJ53" s="448"/>
      <c r="IK53" s="448"/>
      <c r="IL53" s="443"/>
      <c r="IM53" s="443"/>
      <c r="IN53" s="443"/>
      <c r="IO53" s="443"/>
      <c r="IP53" s="443"/>
      <c r="IQ53" s="443"/>
      <c r="IR53" s="443"/>
      <c r="IS53" s="443"/>
      <c r="IT53" s="443"/>
      <c r="IU53" s="443"/>
      <c r="IV53" s="443"/>
      <c r="IW53" s="443"/>
      <c r="IX53" s="443"/>
      <c r="IY53" s="443"/>
      <c r="IZ53" s="443"/>
      <c r="JA53" s="448"/>
      <c r="JB53" s="443"/>
      <c r="JC53" s="443"/>
      <c r="JD53" s="147"/>
      <c r="JE53" s="147"/>
      <c r="JF53" s="147"/>
      <c r="JG53" s="147"/>
      <c r="JH53" s="147"/>
      <c r="JI53" s="147"/>
      <c r="JJ53" s="147"/>
      <c r="JK53" s="147"/>
      <c r="JL53" s="147"/>
      <c r="JM53" s="147"/>
      <c r="JN53" s="147"/>
      <c r="JO53" s="147"/>
      <c r="JP53" s="147"/>
      <c r="JQ53" s="147"/>
      <c r="JR53" s="147"/>
      <c r="JS53" s="147"/>
      <c r="JT53" s="147"/>
      <c r="JU53" s="147"/>
      <c r="JV53" s="147"/>
      <c r="JW53" s="147"/>
      <c r="JX53" s="147"/>
      <c r="JY53" s="147"/>
      <c r="JZ53" s="147"/>
      <c r="KA53" s="147"/>
      <c r="KB53" s="147"/>
      <c r="KC53" s="147"/>
      <c r="KD53" s="147"/>
      <c r="KE53" s="147"/>
      <c r="KF53" s="147"/>
      <c r="KG53" s="147"/>
      <c r="KH53" s="147"/>
      <c r="KI53" s="147"/>
    </row>
    <row r="54" spans="1:295" s="82" customFormat="1" ht="1.5" customHeight="1">
      <c r="A54" s="8"/>
      <c r="C54" s="1"/>
      <c r="D54" s="522"/>
      <c r="E54" s="522"/>
      <c r="F54" s="593"/>
      <c r="G54" s="139"/>
      <c r="H54" s="35"/>
      <c r="I54" s="2383"/>
      <c r="J54" s="35"/>
      <c r="K54" s="593"/>
      <c r="L54" s="35"/>
      <c r="M54" s="2380"/>
      <c r="N54" s="2383"/>
      <c r="O54" s="540"/>
      <c r="R54" s="404"/>
      <c r="S54" s="2833"/>
      <c r="T54" s="2834"/>
      <c r="U54" s="2834"/>
      <c r="V54" s="2835"/>
      <c r="W54" s="445"/>
      <c r="AB54" s="450"/>
      <c r="AC54" s="450"/>
      <c r="AD54" s="450"/>
      <c r="AE54" s="450"/>
      <c r="AF54" s="450"/>
      <c r="AG54" s="608"/>
      <c r="AH54" s="443"/>
      <c r="AI54" s="443"/>
      <c r="AJ54" s="443"/>
      <c r="AK54" s="443"/>
      <c r="AL54" s="443"/>
      <c r="AM54" s="443"/>
      <c r="AN54" s="443"/>
      <c r="AO54" s="443"/>
      <c r="AP54" s="443"/>
      <c r="AQ54" s="443"/>
      <c r="AR54" s="443"/>
      <c r="AS54" s="443"/>
      <c r="AT54" s="443"/>
      <c r="AU54" s="443"/>
      <c r="AV54" s="443"/>
      <c r="AW54" s="443"/>
      <c r="AX54" s="443"/>
      <c r="AY54" s="443"/>
      <c r="AZ54" s="443"/>
      <c r="BA54" s="443"/>
      <c r="BB54" s="443"/>
      <c r="BC54" s="443"/>
      <c r="BD54" s="443"/>
      <c r="BE54" s="443"/>
      <c r="BF54" s="443"/>
      <c r="BG54" s="443"/>
      <c r="BH54" s="443"/>
      <c r="BI54" s="443"/>
      <c r="BJ54" s="443"/>
      <c r="BK54" s="443"/>
      <c r="BL54" s="443"/>
      <c r="BM54" s="443"/>
      <c r="BN54" s="443"/>
      <c r="BO54" s="443"/>
      <c r="BP54" s="443"/>
      <c r="BQ54" s="443"/>
      <c r="BR54" s="443"/>
      <c r="BS54" s="443"/>
      <c r="BT54" s="443"/>
      <c r="BU54" s="443"/>
      <c r="BV54" s="443"/>
      <c r="BW54" s="443"/>
      <c r="BX54" s="443"/>
      <c r="BY54" s="443"/>
      <c r="BZ54" s="443"/>
      <c r="CA54" s="443"/>
      <c r="CB54" s="443"/>
      <c r="CC54" s="443"/>
      <c r="CD54" s="443"/>
      <c r="CE54" s="443"/>
      <c r="CF54" s="443"/>
      <c r="CG54" s="443"/>
      <c r="CH54" s="443"/>
      <c r="CI54" s="443"/>
      <c r="CJ54" s="443"/>
      <c r="CK54" s="443"/>
      <c r="CL54" s="443"/>
      <c r="CM54" s="443"/>
      <c r="CN54" s="443"/>
      <c r="CO54" s="443"/>
      <c r="CP54" s="443"/>
      <c r="CQ54" s="443"/>
      <c r="CR54" s="443"/>
      <c r="CS54" s="443"/>
      <c r="CT54" s="443"/>
      <c r="CU54" s="443"/>
      <c r="CV54" s="443"/>
      <c r="CW54" s="443"/>
      <c r="CX54" s="443"/>
      <c r="CY54" s="443"/>
      <c r="CZ54" s="443"/>
      <c r="DA54" s="443"/>
      <c r="DB54" s="443"/>
      <c r="DC54" s="443"/>
      <c r="DD54" s="443"/>
      <c r="DE54" s="443"/>
      <c r="DF54" s="443"/>
      <c r="DG54" s="443"/>
      <c r="DH54" s="443"/>
      <c r="DI54" s="443"/>
      <c r="DJ54" s="443"/>
      <c r="DK54" s="443"/>
      <c r="DL54" s="443"/>
      <c r="DM54" s="443"/>
      <c r="DN54" s="443"/>
      <c r="DO54" s="443"/>
      <c r="DP54" s="443"/>
      <c r="DQ54" s="443"/>
      <c r="DR54" s="443"/>
      <c r="DS54" s="443"/>
      <c r="DT54" s="443"/>
      <c r="DU54" s="443"/>
      <c r="DV54" s="443"/>
      <c r="DW54" s="443"/>
      <c r="DX54" s="443"/>
      <c r="DY54" s="443"/>
      <c r="DZ54" s="443"/>
      <c r="EA54" s="443"/>
      <c r="EB54" s="443"/>
      <c r="EC54" s="443"/>
      <c r="ED54" s="443"/>
      <c r="EE54" s="443"/>
      <c r="EF54" s="443"/>
      <c r="EG54" s="443"/>
      <c r="EH54" s="443"/>
      <c r="EI54" s="443"/>
      <c r="EJ54" s="443"/>
      <c r="EK54" s="443"/>
      <c r="EL54" s="443"/>
      <c r="EM54" s="443"/>
      <c r="EN54" s="443"/>
      <c r="EO54" s="443"/>
      <c r="EP54" s="443"/>
      <c r="EQ54" s="443"/>
      <c r="ER54" s="443"/>
      <c r="ES54" s="443"/>
      <c r="ET54" s="443"/>
      <c r="EU54" s="443"/>
      <c r="EV54" s="443"/>
      <c r="EW54" s="443"/>
      <c r="EX54" s="443"/>
      <c r="EY54" s="443"/>
      <c r="EZ54" s="443"/>
      <c r="FA54" s="443"/>
      <c r="FB54" s="443"/>
      <c r="FC54" s="443"/>
      <c r="FD54" s="443"/>
      <c r="FE54" s="443"/>
      <c r="FF54" s="443"/>
      <c r="FG54" s="443"/>
      <c r="FH54" s="443"/>
      <c r="FI54" s="443"/>
      <c r="FJ54" s="443"/>
      <c r="FK54" s="443"/>
      <c r="FL54" s="443"/>
      <c r="FM54" s="443"/>
      <c r="FN54" s="443"/>
      <c r="FO54" s="443"/>
      <c r="FP54" s="443"/>
      <c r="FQ54" s="443"/>
      <c r="FR54" s="443"/>
      <c r="FS54" s="443"/>
      <c r="FT54" s="443"/>
      <c r="FU54" s="443"/>
      <c r="FV54" s="443"/>
      <c r="FW54" s="443"/>
      <c r="FX54" s="443"/>
      <c r="FY54" s="443"/>
      <c r="FZ54" s="443"/>
      <c r="GA54" s="443"/>
      <c r="GB54" s="443"/>
      <c r="GC54" s="443"/>
      <c r="GD54" s="443"/>
      <c r="GE54" s="443"/>
      <c r="GF54" s="443"/>
      <c r="GG54" s="443"/>
      <c r="GH54" s="443"/>
      <c r="GI54" s="443"/>
      <c r="GJ54" s="443"/>
      <c r="GK54" s="443"/>
      <c r="GL54" s="443"/>
      <c r="GM54" s="443"/>
      <c r="GN54" s="443"/>
      <c r="GO54" s="443"/>
      <c r="GP54" s="443"/>
      <c r="GQ54" s="443"/>
      <c r="GR54" s="443"/>
      <c r="GS54" s="443"/>
      <c r="GT54" s="443"/>
      <c r="GU54" s="443"/>
      <c r="GV54" s="443"/>
      <c r="GW54" s="443"/>
      <c r="GX54" s="443"/>
      <c r="GY54" s="443"/>
      <c r="GZ54" s="443"/>
      <c r="HA54" s="443"/>
      <c r="HB54" s="443"/>
      <c r="HC54" s="443"/>
      <c r="HD54" s="443"/>
      <c r="HE54" s="443"/>
      <c r="HF54" s="443"/>
      <c r="HG54" s="443"/>
      <c r="HH54" s="443"/>
      <c r="HI54" s="443"/>
      <c r="HJ54" s="443"/>
      <c r="HK54" s="443"/>
      <c r="HL54" s="443"/>
      <c r="HM54" s="443"/>
      <c r="HN54" s="443"/>
      <c r="HO54" s="443"/>
      <c r="HP54" s="443"/>
      <c r="HQ54" s="443"/>
      <c r="HR54" s="443"/>
      <c r="HS54" s="443"/>
      <c r="HT54" s="443"/>
      <c r="HU54" s="443"/>
      <c r="HV54" s="443"/>
      <c r="HW54" s="443"/>
      <c r="HX54" s="443"/>
      <c r="HY54" s="443"/>
      <c r="HZ54" s="443"/>
      <c r="IA54" s="443"/>
      <c r="IB54" s="443"/>
      <c r="IC54" s="443"/>
      <c r="ID54" s="443"/>
      <c r="IE54" s="443"/>
      <c r="IF54" s="443"/>
      <c r="IG54" s="443"/>
      <c r="IH54" s="443"/>
      <c r="II54" s="443"/>
      <c r="IJ54" s="448"/>
      <c r="IK54" s="448"/>
      <c r="IL54" s="443"/>
      <c r="IM54" s="443"/>
      <c r="IN54" s="443"/>
      <c r="IO54" s="443"/>
      <c r="IP54" s="443"/>
      <c r="IQ54" s="443"/>
      <c r="IR54" s="443"/>
      <c r="IS54" s="443"/>
      <c r="IT54" s="443"/>
      <c r="IU54" s="443"/>
      <c r="IV54" s="443"/>
      <c r="IW54" s="443"/>
      <c r="IX54" s="443"/>
      <c r="IY54" s="443"/>
      <c r="IZ54" s="443"/>
      <c r="JA54" s="448"/>
      <c r="JB54" s="443"/>
      <c r="JC54" s="443"/>
      <c r="JD54" s="147"/>
      <c r="JE54" s="147"/>
      <c r="JF54" s="147"/>
      <c r="JG54" s="147"/>
      <c r="JH54" s="147"/>
      <c r="JI54" s="147"/>
      <c r="JJ54" s="147"/>
      <c r="JK54" s="147"/>
      <c r="JL54" s="147"/>
      <c r="JM54" s="147"/>
      <c r="JN54" s="147"/>
      <c r="JO54" s="147"/>
      <c r="JP54" s="147"/>
      <c r="JQ54" s="147"/>
      <c r="JR54" s="147"/>
      <c r="JS54" s="147"/>
      <c r="JT54" s="147"/>
      <c r="JU54" s="147"/>
      <c r="JV54" s="147"/>
      <c r="JW54" s="147"/>
      <c r="JX54" s="147"/>
      <c r="JY54" s="147"/>
      <c r="JZ54" s="147"/>
      <c r="KA54" s="147"/>
      <c r="KB54" s="147"/>
      <c r="KC54" s="147"/>
      <c r="KD54" s="147"/>
      <c r="KE54" s="147"/>
      <c r="KF54" s="147"/>
      <c r="KG54" s="147"/>
      <c r="KH54" s="147"/>
      <c r="KI54" s="147"/>
    </row>
    <row r="55" spans="1:295" s="82" customFormat="1" ht="10.5" customHeight="1">
      <c r="A55" s="552" t="s">
        <v>3248</v>
      </c>
      <c r="B55" s="551"/>
      <c r="C55" s="1"/>
      <c r="D55" s="822" t="s">
        <v>551</v>
      </c>
      <c r="E55" s="823">
        <v>0</v>
      </c>
      <c r="F55" s="1509" t="str">
        <f>IF('Part VI-Revenues &amp; Expenses'!$K$153 =0,"",'Part VI-Revenues &amp; Expenses'!$K$153)</f>
        <v/>
      </c>
      <c r="G55" s="824">
        <f>IF('Part IX Scoring Criteria'!$O$74='Part IX Scoring Criteria'!$M$74,$L55,
IF($P$42="Albany",VLOOKUP($A$55,'DCA Underwriting Assumptions'!$E$22:$J$25,$E55+2),
IF($P$42="Athens",VLOOKUP($A$55,'DCA Underwriting Assumptions'!$E$26:$J$29,$E55+2),
IF($P$42="Atlanta",VLOOKUP($A$55,'DCA Underwriting Assumptions'!$E$30:$J$33,$E55+2),
IF($P$42="Augusta",VLOOKUP($A$55,'DCA Underwriting Assumptions'!$E$34:$J$37,$E55+2),
IF($P$42="Chattanooga",VLOOKUP($A$55,'DCA Underwriting Assumptions'!$E$38:$J$41,$E55+2),
IF($P$42="Columbus",VLOOKUP($A$55,'DCA Underwriting Assumptions'!$E$42:$J$45,$E55+2),
IF($P$42="Macon",VLOOKUP($A$55,'DCA Underwriting Assumptions'!$E$46:$J$49,$E55+2),
IF($P$42="Savannah",VLOOKUP($A$55,'DCA Underwriting Assumptions'!$E$50:$J$53,$E55+2),
VLOOKUP($A$55,'DCA Underwriting Assumptions'!$E$54:$J$57,$E55+2))))))))))*(1+'DCA Underwriting Assumptions'!$I$14)</f>
        <v>127420.79999999999</v>
      </c>
      <c r="H55" s="40" t="str">
        <f>CONCATENATE("x ", F55," units = ")</f>
        <v xml:space="preserve">x  units = </v>
      </c>
      <c r="I55" s="1510" t="str">
        <f>IF(F55="","",F55*G55)</f>
        <v/>
      </c>
      <c r="J55" s="42"/>
      <c r="K55" s="1509" t="str">
        <f>IF('Part VI-Revenues &amp; Expenses'!$K$154 =0,"",'Part VI-Revenues &amp; Expenses'!$K$154)</f>
        <v/>
      </c>
      <c r="L55" s="824">
        <f>G55*(1+'DCA Underwriting Assumptions'!$Q$12)</f>
        <v>140162.88</v>
      </c>
      <c r="M55" s="40" t="str">
        <f>CONCATENATE("x ", K55," units = ")</f>
        <v xml:space="preserve">x  units = </v>
      </c>
      <c r="N55" s="1510" t="str">
        <f>IF(K55="","",K55*L55)</f>
        <v/>
      </c>
      <c r="O55" s="540"/>
      <c r="P55" s="1051">
        <f>'Part IX Scoring Criteria'!O415</f>
        <v>0</v>
      </c>
      <c r="Q55" s="1051">
        <f>'Part IX Scoring Criteria'!P415</f>
        <v>0</v>
      </c>
      <c r="R55" s="404"/>
      <c r="S55" s="2833"/>
      <c r="T55" s="2834"/>
      <c r="U55" s="2834"/>
      <c r="V55" s="2835"/>
      <c r="W55" s="445"/>
      <c r="AB55" s="450"/>
      <c r="AC55" s="450"/>
      <c r="AD55" s="450"/>
      <c r="AE55" s="450"/>
      <c r="AF55" s="450"/>
      <c r="AG55" s="608"/>
      <c r="AH55" s="443"/>
      <c r="AI55" s="443"/>
      <c r="AJ55" s="443"/>
      <c r="AK55" s="443"/>
      <c r="AL55" s="443"/>
      <c r="AM55" s="443"/>
      <c r="AN55" s="443"/>
      <c r="AO55" s="443"/>
      <c r="AP55" s="443"/>
      <c r="AQ55" s="443"/>
      <c r="AR55" s="443"/>
      <c r="AS55" s="443"/>
      <c r="AT55" s="443"/>
      <c r="AU55" s="443"/>
      <c r="AV55" s="443"/>
      <c r="AW55" s="443"/>
      <c r="AX55" s="443"/>
      <c r="AY55" s="443"/>
      <c r="AZ55" s="443"/>
      <c r="BA55" s="443"/>
      <c r="BB55" s="443"/>
      <c r="BC55" s="443"/>
      <c r="BD55" s="443"/>
      <c r="BE55" s="443"/>
      <c r="BF55" s="443"/>
      <c r="BG55" s="443"/>
      <c r="BH55" s="443"/>
      <c r="BI55" s="443"/>
      <c r="BJ55" s="443"/>
      <c r="BK55" s="443"/>
      <c r="BL55" s="443"/>
      <c r="BM55" s="443"/>
      <c r="BN55" s="443"/>
      <c r="BO55" s="443"/>
      <c r="BP55" s="443"/>
      <c r="BQ55" s="443"/>
      <c r="BR55" s="443"/>
      <c r="BS55" s="443"/>
      <c r="BT55" s="443"/>
      <c r="BU55" s="443"/>
      <c r="BV55" s="443"/>
      <c r="BW55" s="443"/>
      <c r="BX55" s="443"/>
      <c r="BY55" s="443"/>
      <c r="BZ55" s="443"/>
      <c r="CA55" s="443"/>
      <c r="CB55" s="443"/>
      <c r="CC55" s="443"/>
      <c r="CD55" s="443"/>
      <c r="CE55" s="443"/>
      <c r="CF55" s="443"/>
      <c r="CG55" s="443"/>
      <c r="CH55" s="443"/>
      <c r="CI55" s="443"/>
      <c r="CJ55" s="443"/>
      <c r="CK55" s="443"/>
      <c r="CL55" s="443"/>
      <c r="CM55" s="443"/>
      <c r="CN55" s="443"/>
      <c r="CO55" s="443"/>
      <c r="CP55" s="443"/>
      <c r="CQ55" s="443"/>
      <c r="CR55" s="443"/>
      <c r="CS55" s="443"/>
      <c r="CT55" s="443"/>
      <c r="CU55" s="443"/>
      <c r="CV55" s="443"/>
      <c r="CW55" s="443"/>
      <c r="CX55" s="443"/>
      <c r="CY55" s="443"/>
      <c r="CZ55" s="443"/>
      <c r="DA55" s="443"/>
      <c r="DB55" s="443"/>
      <c r="DC55" s="443"/>
      <c r="DD55" s="443"/>
      <c r="DE55" s="443"/>
      <c r="DF55" s="443"/>
      <c r="DG55" s="443"/>
      <c r="DH55" s="443"/>
      <c r="DI55" s="443"/>
      <c r="DJ55" s="443"/>
      <c r="DK55" s="443"/>
      <c r="DL55" s="443"/>
      <c r="DM55" s="443"/>
      <c r="DN55" s="443"/>
      <c r="DO55" s="443"/>
      <c r="DP55" s="443"/>
      <c r="DQ55" s="443"/>
      <c r="DR55" s="443"/>
      <c r="DS55" s="443"/>
      <c r="DT55" s="443"/>
      <c r="DU55" s="443"/>
      <c r="DV55" s="443"/>
      <c r="DW55" s="443"/>
      <c r="DX55" s="443"/>
      <c r="DY55" s="443"/>
      <c r="DZ55" s="443"/>
      <c r="EA55" s="443"/>
      <c r="EB55" s="443"/>
      <c r="EC55" s="443"/>
      <c r="ED55" s="443"/>
      <c r="EE55" s="443"/>
      <c r="EF55" s="443"/>
      <c r="EG55" s="443"/>
      <c r="EH55" s="443"/>
      <c r="EI55" s="443"/>
      <c r="EJ55" s="443"/>
      <c r="EK55" s="443"/>
      <c r="EL55" s="443"/>
      <c r="EM55" s="443"/>
      <c r="EN55" s="443"/>
      <c r="EO55" s="443"/>
      <c r="EP55" s="443"/>
      <c r="EQ55" s="443"/>
      <c r="ER55" s="443"/>
      <c r="ES55" s="443"/>
      <c r="ET55" s="443"/>
      <c r="EU55" s="443"/>
      <c r="EV55" s="443"/>
      <c r="EW55" s="443"/>
      <c r="EX55" s="443"/>
      <c r="EY55" s="443"/>
      <c r="EZ55" s="443"/>
      <c r="FA55" s="443"/>
      <c r="FB55" s="443"/>
      <c r="FC55" s="443"/>
      <c r="FD55" s="443"/>
      <c r="FE55" s="443"/>
      <c r="FF55" s="443"/>
      <c r="FG55" s="443"/>
      <c r="FH55" s="443"/>
      <c r="FI55" s="443"/>
      <c r="FJ55" s="443"/>
      <c r="FK55" s="443"/>
      <c r="FL55" s="443"/>
      <c r="FM55" s="443"/>
      <c r="FN55" s="443"/>
      <c r="FO55" s="443"/>
      <c r="FP55" s="443"/>
      <c r="FQ55" s="443"/>
      <c r="FR55" s="443"/>
      <c r="FS55" s="443"/>
      <c r="FT55" s="443"/>
      <c r="FU55" s="443"/>
      <c r="FV55" s="443"/>
      <c r="FW55" s="443"/>
      <c r="FX55" s="443"/>
      <c r="FY55" s="443"/>
      <c r="FZ55" s="443"/>
      <c r="GA55" s="443"/>
      <c r="GB55" s="443"/>
      <c r="GC55" s="443"/>
      <c r="GD55" s="443"/>
      <c r="GE55" s="443"/>
      <c r="GF55" s="443"/>
      <c r="GG55" s="443"/>
      <c r="GH55" s="443"/>
      <c r="GI55" s="443"/>
      <c r="GJ55" s="443"/>
      <c r="GK55" s="443"/>
      <c r="GL55" s="443"/>
      <c r="GM55" s="443"/>
      <c r="GN55" s="443"/>
      <c r="GO55" s="443"/>
      <c r="GP55" s="443"/>
      <c r="GQ55" s="443"/>
      <c r="GR55" s="443"/>
      <c r="GS55" s="443"/>
      <c r="GT55" s="443"/>
      <c r="GU55" s="443"/>
      <c r="GV55" s="443"/>
      <c r="GW55" s="443"/>
      <c r="GX55" s="443"/>
      <c r="GY55" s="443"/>
      <c r="GZ55" s="443"/>
      <c r="HA55" s="443"/>
      <c r="HB55" s="443"/>
      <c r="HC55" s="443"/>
      <c r="HD55" s="443"/>
      <c r="HE55" s="443"/>
      <c r="HF55" s="443"/>
      <c r="HG55" s="443"/>
      <c r="HH55" s="443"/>
      <c r="HI55" s="443"/>
      <c r="HJ55" s="443"/>
      <c r="HK55" s="443"/>
      <c r="HL55" s="443"/>
      <c r="HM55" s="443"/>
      <c r="HN55" s="443"/>
      <c r="HO55" s="443"/>
      <c r="HP55" s="443"/>
      <c r="HQ55" s="443"/>
      <c r="HR55" s="443"/>
      <c r="HS55" s="443"/>
      <c r="HT55" s="443"/>
      <c r="HU55" s="443"/>
      <c r="HV55" s="443"/>
      <c r="HW55" s="443"/>
      <c r="HX55" s="443"/>
      <c r="HY55" s="443"/>
      <c r="HZ55" s="443"/>
      <c r="IA55" s="443"/>
      <c r="IB55" s="443"/>
      <c r="IC55" s="443"/>
      <c r="ID55" s="443"/>
      <c r="IE55" s="443"/>
      <c r="IF55" s="443"/>
      <c r="IG55" s="443"/>
      <c r="IH55" s="443"/>
      <c r="II55" s="443"/>
      <c r="IJ55" s="448"/>
      <c r="IK55" s="448"/>
      <c r="IL55" s="443"/>
      <c r="IM55" s="443"/>
      <c r="IN55" s="443"/>
      <c r="IO55" s="443"/>
      <c r="IP55" s="443"/>
      <c r="IQ55" s="443"/>
      <c r="IR55" s="443"/>
      <c r="IS55" s="443"/>
      <c r="IT55" s="443"/>
      <c r="IU55" s="443"/>
      <c r="IV55" s="443"/>
      <c r="IW55" s="443"/>
      <c r="IX55" s="443"/>
      <c r="IY55" s="443"/>
      <c r="IZ55" s="443"/>
      <c r="JA55" s="448"/>
      <c r="JB55" s="443"/>
      <c r="JC55" s="443"/>
      <c r="JD55" s="147"/>
      <c r="JE55" s="147"/>
      <c r="JF55" s="147"/>
      <c r="JG55" s="147"/>
      <c r="JH55" s="147"/>
      <c r="JI55" s="147"/>
      <c r="JJ55" s="147"/>
      <c r="JK55" s="147"/>
      <c r="JL55" s="147"/>
      <c r="JM55" s="147"/>
      <c r="JN55" s="147"/>
      <c r="JO55" s="147"/>
      <c r="JP55" s="147"/>
      <c r="JQ55" s="147"/>
      <c r="JR55" s="147"/>
      <c r="JS55" s="147"/>
      <c r="JT55" s="147"/>
      <c r="JU55" s="147"/>
      <c r="JV55" s="147"/>
      <c r="JW55" s="147"/>
      <c r="JX55" s="147"/>
      <c r="JY55" s="147"/>
      <c r="JZ55" s="147"/>
      <c r="KA55" s="147"/>
      <c r="KB55" s="147"/>
      <c r="KC55" s="147"/>
      <c r="KD55" s="147"/>
      <c r="KE55" s="147"/>
      <c r="KF55" s="147"/>
      <c r="KG55" s="147"/>
      <c r="KH55" s="147"/>
      <c r="KI55" s="147"/>
    </row>
    <row r="56" spans="1:295" s="82" customFormat="1" ht="10.5" customHeight="1">
      <c r="A56" s="8"/>
      <c r="B56" s="8"/>
      <c r="C56" s="1"/>
      <c r="D56" s="822" t="s">
        <v>2377</v>
      </c>
      <c r="E56" s="823">
        <v>1</v>
      </c>
      <c r="F56" s="1509" t="str">
        <f>IF('Part VI-Revenues &amp; Expenses'!$L$153 =0,"",'Part VI-Revenues &amp; Expenses'!$L$153)</f>
        <v/>
      </c>
      <c r="G56" s="824">
        <f>IF('Part IX Scoring Criteria'!$O$74='Part IX Scoring Criteria'!$M$74,$L56,
IF($P$42="Albany",VLOOKUP($A$55,'DCA Underwriting Assumptions'!$E$22:$J$25,$E56+2),
IF($P$42="Athens",VLOOKUP($A$55,'DCA Underwriting Assumptions'!$E$26:$J$29,$E56+2),
IF($P$42="Atlanta",VLOOKUP($A$55,'DCA Underwriting Assumptions'!$E$30:$J$33,$E56+2),
IF($P$42="Augusta",VLOOKUP($A$55,'DCA Underwriting Assumptions'!$E$34:$J$37,$E56+2),
IF($P$42="Chattanooga",VLOOKUP($A$55,'DCA Underwriting Assumptions'!$E$38:$J$41,$E56+2),
IF($P$42="Columbus",VLOOKUP($A$55,'DCA Underwriting Assumptions'!$E$42:$J$45,$E56+2),
IF($P$42="Macon",VLOOKUP($A$55,'DCA Underwriting Assumptions'!$E$46:$J$49,$E56+2),
IF($P$42="Savannah",VLOOKUP($A$55,'DCA Underwriting Assumptions'!$E$50:$J$53,$E56+2),
VLOOKUP($A$55,'DCA Underwriting Assumptions'!$E$54:$J$57,$E56+2))))))))))*(1+'DCA Underwriting Assumptions'!$I$15)</f>
        <v>166761.5</v>
      </c>
      <c r="H56" s="40" t="str">
        <f>CONCATENATE("x ", F56," units = ")</f>
        <v xml:space="preserve">x  units = </v>
      </c>
      <c r="I56" s="1510" t="str">
        <f>IF(F56="","",F56*G56)</f>
        <v/>
      </c>
      <c r="J56" s="42"/>
      <c r="K56" s="1509" t="str">
        <f>IF('Part VI-Revenues &amp; Expenses'!$L$154 =0,"",'Part VI-Revenues &amp; Expenses'!$L$154)</f>
        <v/>
      </c>
      <c r="L56" s="824">
        <f>G56*(1+'DCA Underwriting Assumptions'!$Q$12)</f>
        <v>183437.65000000002</v>
      </c>
      <c r="M56" s="40" t="str">
        <f>CONCATENATE("x ", K56," units = ")</f>
        <v xml:space="preserve">x  units = </v>
      </c>
      <c r="N56" s="1510" t="str">
        <f>IF(K56="","",K56*L56)</f>
        <v/>
      </c>
      <c r="P56" s="2847" t="s">
        <v>3464</v>
      </c>
      <c r="Q56" s="2847"/>
      <c r="S56" s="2833"/>
      <c r="T56" s="2834"/>
      <c r="U56" s="2834"/>
      <c r="V56" s="2835"/>
      <c r="W56" s="445"/>
      <c r="AB56" s="450"/>
      <c r="AC56" s="450"/>
      <c r="AD56" s="450"/>
      <c r="AE56" s="450"/>
      <c r="AF56" s="450"/>
      <c r="AG56" s="608"/>
      <c r="AH56" s="443"/>
      <c r="AI56" s="443"/>
      <c r="AJ56" s="443"/>
      <c r="AK56" s="443"/>
      <c r="AL56" s="443"/>
      <c r="AM56" s="443"/>
      <c r="AN56" s="443"/>
      <c r="AO56" s="443"/>
      <c r="AP56" s="443"/>
      <c r="AQ56" s="443"/>
      <c r="AR56" s="443"/>
      <c r="AS56" s="443"/>
      <c r="AT56" s="443"/>
      <c r="AU56" s="443"/>
      <c r="AV56" s="443"/>
      <c r="AW56" s="443"/>
      <c r="AX56" s="443"/>
      <c r="AY56" s="443"/>
      <c r="AZ56" s="443"/>
      <c r="BA56" s="443"/>
      <c r="BB56" s="443"/>
      <c r="BC56" s="443"/>
      <c r="BD56" s="443"/>
      <c r="BE56" s="443"/>
      <c r="BF56" s="443"/>
      <c r="BG56" s="443"/>
      <c r="BH56" s="443"/>
      <c r="BI56" s="443"/>
      <c r="BJ56" s="443"/>
      <c r="BK56" s="443"/>
      <c r="BL56" s="443"/>
      <c r="BM56" s="443"/>
      <c r="BN56" s="443"/>
      <c r="BO56" s="443"/>
      <c r="BP56" s="443"/>
      <c r="BQ56" s="443"/>
      <c r="BR56" s="443"/>
      <c r="BS56" s="443"/>
      <c r="BT56" s="443"/>
      <c r="BU56" s="443"/>
      <c r="BV56" s="443"/>
      <c r="BW56" s="443"/>
      <c r="BX56" s="443"/>
      <c r="BY56" s="443"/>
      <c r="BZ56" s="443"/>
      <c r="CA56" s="443"/>
      <c r="CB56" s="443"/>
      <c r="CC56" s="443"/>
      <c r="CD56" s="443"/>
      <c r="CE56" s="443"/>
      <c r="CF56" s="443"/>
      <c r="CG56" s="443"/>
      <c r="CH56" s="443"/>
      <c r="CI56" s="443"/>
      <c r="CJ56" s="443"/>
      <c r="CK56" s="443"/>
      <c r="CL56" s="443"/>
      <c r="CM56" s="443"/>
      <c r="CN56" s="443"/>
      <c r="CO56" s="443"/>
      <c r="CP56" s="443"/>
      <c r="CQ56" s="443"/>
      <c r="CR56" s="443"/>
      <c r="CS56" s="443"/>
      <c r="CT56" s="443"/>
      <c r="CU56" s="443"/>
      <c r="CV56" s="443"/>
      <c r="CW56" s="443"/>
      <c r="CX56" s="443"/>
      <c r="CY56" s="443"/>
      <c r="CZ56" s="443"/>
      <c r="DA56" s="443"/>
      <c r="DB56" s="443"/>
      <c r="DC56" s="443"/>
      <c r="DD56" s="443"/>
      <c r="DE56" s="443"/>
      <c r="DF56" s="443"/>
      <c r="DG56" s="443"/>
      <c r="DH56" s="443"/>
      <c r="DI56" s="443"/>
      <c r="DJ56" s="443"/>
      <c r="DK56" s="443"/>
      <c r="DL56" s="443"/>
      <c r="DM56" s="443"/>
      <c r="DN56" s="443"/>
      <c r="DO56" s="443"/>
      <c r="DP56" s="443"/>
      <c r="DQ56" s="443"/>
      <c r="DR56" s="443"/>
      <c r="DS56" s="443"/>
      <c r="DT56" s="443"/>
      <c r="DU56" s="443"/>
      <c r="DV56" s="443"/>
      <c r="DW56" s="443"/>
      <c r="DX56" s="443"/>
      <c r="DY56" s="443"/>
      <c r="DZ56" s="443"/>
      <c r="EA56" s="443"/>
      <c r="EB56" s="443"/>
      <c r="EC56" s="443"/>
      <c r="ED56" s="443"/>
      <c r="EE56" s="443"/>
      <c r="EF56" s="443"/>
      <c r="EG56" s="443"/>
      <c r="EH56" s="443"/>
      <c r="EI56" s="443"/>
      <c r="EJ56" s="443"/>
      <c r="EK56" s="443"/>
      <c r="EL56" s="443"/>
      <c r="EM56" s="443"/>
      <c r="EN56" s="443"/>
      <c r="EO56" s="443"/>
      <c r="EP56" s="443"/>
      <c r="EQ56" s="443"/>
      <c r="ER56" s="443"/>
      <c r="ES56" s="443"/>
      <c r="ET56" s="443"/>
      <c r="EU56" s="443"/>
      <c r="EV56" s="443"/>
      <c r="EW56" s="443"/>
      <c r="EX56" s="443"/>
      <c r="EY56" s="443"/>
      <c r="EZ56" s="443"/>
      <c r="FA56" s="443"/>
      <c r="FB56" s="443"/>
      <c r="FC56" s="443"/>
      <c r="FD56" s="443"/>
      <c r="FE56" s="443"/>
      <c r="FF56" s="443"/>
      <c r="FG56" s="443"/>
      <c r="FH56" s="443"/>
      <c r="FI56" s="443"/>
      <c r="FJ56" s="443"/>
      <c r="FK56" s="443"/>
      <c r="FL56" s="443"/>
      <c r="FM56" s="443"/>
      <c r="FN56" s="443"/>
      <c r="FO56" s="443"/>
      <c r="FP56" s="443"/>
      <c r="FQ56" s="443"/>
      <c r="FR56" s="443"/>
      <c r="FS56" s="443"/>
      <c r="FT56" s="443"/>
      <c r="FU56" s="443"/>
      <c r="FV56" s="443"/>
      <c r="FW56" s="443"/>
      <c r="FX56" s="443"/>
      <c r="FY56" s="443"/>
      <c r="FZ56" s="443"/>
      <c r="GA56" s="443"/>
      <c r="GB56" s="443"/>
      <c r="GC56" s="443"/>
      <c r="GD56" s="443"/>
      <c r="GE56" s="443"/>
      <c r="GF56" s="443"/>
      <c r="GG56" s="443"/>
      <c r="GH56" s="443"/>
      <c r="GI56" s="443"/>
      <c r="GJ56" s="443"/>
      <c r="GK56" s="443"/>
      <c r="GL56" s="443"/>
      <c r="GM56" s="443"/>
      <c r="GN56" s="443"/>
      <c r="GO56" s="443"/>
      <c r="GP56" s="443"/>
      <c r="GQ56" s="443"/>
      <c r="GR56" s="443"/>
      <c r="GS56" s="443"/>
      <c r="GT56" s="443"/>
      <c r="GU56" s="443"/>
      <c r="GV56" s="443"/>
      <c r="GW56" s="443"/>
      <c r="GX56" s="443"/>
      <c r="GY56" s="443"/>
      <c r="GZ56" s="443"/>
      <c r="HA56" s="443"/>
      <c r="HB56" s="443"/>
      <c r="HC56" s="443"/>
      <c r="HD56" s="443"/>
      <c r="HE56" s="443"/>
      <c r="HF56" s="443"/>
      <c r="HG56" s="443"/>
      <c r="HH56" s="443"/>
      <c r="HI56" s="443"/>
      <c r="HJ56" s="443"/>
      <c r="HK56" s="443"/>
      <c r="HL56" s="443"/>
      <c r="HM56" s="443"/>
      <c r="HN56" s="443"/>
      <c r="HO56" s="443"/>
      <c r="HP56" s="443"/>
      <c r="HQ56" s="443"/>
      <c r="HR56" s="443"/>
      <c r="HS56" s="443"/>
      <c r="HT56" s="443"/>
      <c r="HU56" s="443"/>
      <c r="HV56" s="443"/>
      <c r="HW56" s="443"/>
      <c r="HX56" s="443"/>
      <c r="HY56" s="443"/>
      <c r="HZ56" s="443"/>
      <c r="IA56" s="443"/>
      <c r="IB56" s="443"/>
      <c r="IC56" s="443"/>
      <c r="ID56" s="443"/>
      <c r="IE56" s="443"/>
      <c r="IF56" s="443"/>
      <c r="IG56" s="443"/>
      <c r="IH56" s="443"/>
      <c r="II56" s="443"/>
      <c r="IJ56" s="448"/>
      <c r="IK56" s="448"/>
      <c r="IL56" s="443"/>
      <c r="IM56" s="443"/>
      <c r="IN56" s="443"/>
      <c r="IO56" s="443"/>
      <c r="IP56" s="443"/>
      <c r="IQ56" s="443"/>
      <c r="IR56" s="443"/>
      <c r="IS56" s="443"/>
      <c r="IT56" s="443"/>
      <c r="IU56" s="443"/>
      <c r="IV56" s="443"/>
      <c r="IW56" s="443"/>
      <c r="IX56" s="443"/>
      <c r="IY56" s="443"/>
      <c r="IZ56" s="443"/>
      <c r="JA56" s="448"/>
      <c r="JB56" s="443"/>
      <c r="JC56" s="443"/>
      <c r="JD56" s="147"/>
      <c r="JE56" s="147"/>
      <c r="JF56" s="147"/>
      <c r="JG56" s="147"/>
      <c r="JH56" s="147"/>
      <c r="JI56" s="147"/>
      <c r="JJ56" s="147"/>
      <c r="JK56" s="147"/>
      <c r="JL56" s="147"/>
      <c r="JM56" s="147"/>
      <c r="JN56" s="147"/>
      <c r="JO56" s="147"/>
      <c r="JP56" s="147"/>
      <c r="JQ56" s="147"/>
      <c r="JR56" s="147"/>
      <c r="JS56" s="147"/>
      <c r="JT56" s="147"/>
      <c r="JU56" s="147"/>
      <c r="JV56" s="147"/>
      <c r="JW56" s="147"/>
      <c r="JX56" s="147"/>
      <c r="JY56" s="147"/>
      <c r="JZ56" s="147"/>
      <c r="KA56" s="147"/>
      <c r="KB56" s="147"/>
      <c r="KC56" s="147"/>
      <c r="KD56" s="147"/>
      <c r="KE56" s="147"/>
      <c r="KF56" s="147"/>
      <c r="KG56" s="147"/>
      <c r="KH56" s="147"/>
      <c r="KI56" s="147"/>
    </row>
    <row r="57" spans="1:295" s="82" customFormat="1" ht="10.5" customHeight="1">
      <c r="A57" s="8"/>
      <c r="B57" s="8"/>
      <c r="C57" s="1"/>
      <c r="D57" s="822" t="s">
        <v>2378</v>
      </c>
      <c r="E57" s="823">
        <v>2</v>
      </c>
      <c r="F57" s="1509" t="str">
        <f>IF('Part VI-Revenues &amp; Expenses'!$M$153 =0,"",'Part VI-Revenues &amp; Expenses'!$M$153)</f>
        <v/>
      </c>
      <c r="G57" s="824">
        <f>IF('Part IX Scoring Criteria'!$O$74='Part IX Scoring Criteria'!$M$74,$L57,
IF($P$42="Albany",VLOOKUP($A$55,'DCA Underwriting Assumptions'!$E$22:$J$25,$E57+2),
IF($P$42="Athens",VLOOKUP($A$55,'DCA Underwriting Assumptions'!$E$26:$J$29,$E57+2),
IF($P$42="Atlanta",VLOOKUP($A$55,'DCA Underwriting Assumptions'!$E$30:$J$33,$E57+2),
IF($P$42="Augusta",VLOOKUP($A$55,'DCA Underwriting Assumptions'!$E$34:$J$37,$E57+2),
IF($P$42="Chattanooga",VLOOKUP($A$55,'DCA Underwriting Assumptions'!$E$38:$J$41,$E57+2),
IF($P$42="Columbus",VLOOKUP($A$55,'DCA Underwriting Assumptions'!$E$42:$J$45,$E57+2),
IF($P$42="Macon",VLOOKUP($A$55,'DCA Underwriting Assumptions'!$E$46:$J$49,$E57+2),
IF($P$42="Savannah",VLOOKUP($A$55,'DCA Underwriting Assumptions'!$E$50:$J$53,$E57+2),
VLOOKUP($A$55,'DCA Underwriting Assumptions'!$E$54:$J$57,$E57+2))))))))))*(1+'DCA Underwriting Assumptions'!$I$16)</f>
        <v>211096.3</v>
      </c>
      <c r="H57" s="40" t="str">
        <f>CONCATENATE("x ", F57," units = ")</f>
        <v xml:space="preserve">x  units = </v>
      </c>
      <c r="I57" s="1510" t="str">
        <f>IF(F57="","",F57*G57)</f>
        <v/>
      </c>
      <c r="J57" s="42"/>
      <c r="K57" s="1509" t="str">
        <f>IF('Part VI-Revenues &amp; Expenses'!$M$154 =0,"",'Part VI-Revenues &amp; Expenses'!$M$154)</f>
        <v/>
      </c>
      <c r="L57" s="824">
        <f>G57*(1+'DCA Underwriting Assumptions'!$Q$12)</f>
        <v>232205.93</v>
      </c>
      <c r="M57" s="40" t="str">
        <f>CONCATENATE("x ", K57," units = ")</f>
        <v xml:space="preserve">x  units = </v>
      </c>
      <c r="N57" s="1510" t="str">
        <f>IF(K57="","",K57*L57)</f>
        <v/>
      </c>
      <c r="P57" s="1052" t="s">
        <v>3141</v>
      </c>
      <c r="Q57" s="1052" t="s">
        <v>251</v>
      </c>
      <c r="S57" s="2833"/>
      <c r="T57" s="2834"/>
      <c r="U57" s="2834"/>
      <c r="V57" s="2835"/>
      <c r="W57" s="445"/>
      <c r="AB57" s="450"/>
      <c r="AC57" s="450"/>
      <c r="AD57" s="450"/>
      <c r="AE57" s="450"/>
      <c r="AF57" s="450"/>
      <c r="AG57" s="608"/>
      <c r="AH57" s="443"/>
      <c r="AI57" s="443"/>
      <c r="AJ57" s="443"/>
      <c r="AK57" s="443"/>
      <c r="AL57" s="443"/>
      <c r="AM57" s="443"/>
      <c r="AN57" s="443"/>
      <c r="AO57" s="443"/>
      <c r="AP57" s="443"/>
      <c r="AQ57" s="443"/>
      <c r="AR57" s="443"/>
      <c r="AS57" s="443"/>
      <c r="AT57" s="443"/>
      <c r="AU57" s="443"/>
      <c r="AV57" s="443"/>
      <c r="AW57" s="443"/>
      <c r="AX57" s="443"/>
      <c r="AY57" s="443"/>
      <c r="AZ57" s="443"/>
      <c r="BA57" s="443"/>
      <c r="BB57" s="443"/>
      <c r="BC57" s="443"/>
      <c r="BD57" s="443"/>
      <c r="BE57" s="443"/>
      <c r="BF57" s="443"/>
      <c r="BG57" s="443"/>
      <c r="BH57" s="443"/>
      <c r="BI57" s="443"/>
      <c r="BJ57" s="443"/>
      <c r="BK57" s="443"/>
      <c r="BL57" s="443"/>
      <c r="BM57" s="443"/>
      <c r="BN57" s="443"/>
      <c r="BO57" s="443"/>
      <c r="BP57" s="443"/>
      <c r="BQ57" s="443"/>
      <c r="BR57" s="443"/>
      <c r="BS57" s="443"/>
      <c r="BT57" s="443"/>
      <c r="BU57" s="443"/>
      <c r="BV57" s="443"/>
      <c r="BW57" s="443"/>
      <c r="BX57" s="443"/>
      <c r="BY57" s="443"/>
      <c r="BZ57" s="443"/>
      <c r="CA57" s="443"/>
      <c r="CB57" s="443"/>
      <c r="CC57" s="443"/>
      <c r="CD57" s="443"/>
      <c r="CE57" s="443"/>
      <c r="CF57" s="443"/>
      <c r="CG57" s="443"/>
      <c r="CH57" s="443"/>
      <c r="CI57" s="443"/>
      <c r="CJ57" s="443"/>
      <c r="CK57" s="443"/>
      <c r="CL57" s="443"/>
      <c r="CM57" s="443"/>
      <c r="CN57" s="443"/>
      <c r="CO57" s="443"/>
      <c r="CP57" s="443"/>
      <c r="CQ57" s="443"/>
      <c r="CR57" s="443"/>
      <c r="CS57" s="443"/>
      <c r="CT57" s="443"/>
      <c r="CU57" s="443"/>
      <c r="CV57" s="443"/>
      <c r="CW57" s="443"/>
      <c r="CX57" s="443"/>
      <c r="CY57" s="443"/>
      <c r="CZ57" s="443"/>
      <c r="DA57" s="443"/>
      <c r="DB57" s="443"/>
      <c r="DC57" s="443"/>
      <c r="DD57" s="443"/>
      <c r="DE57" s="443"/>
      <c r="DF57" s="443"/>
      <c r="DG57" s="443"/>
      <c r="DH57" s="443"/>
      <c r="DI57" s="443"/>
      <c r="DJ57" s="443"/>
      <c r="DK57" s="443"/>
      <c r="DL57" s="443"/>
      <c r="DM57" s="443"/>
      <c r="DN57" s="443"/>
      <c r="DO57" s="443"/>
      <c r="DP57" s="443"/>
      <c r="DQ57" s="443"/>
      <c r="DR57" s="443"/>
      <c r="DS57" s="443"/>
      <c r="DT57" s="443"/>
      <c r="DU57" s="443"/>
      <c r="DV57" s="443"/>
      <c r="DW57" s="443"/>
      <c r="DX57" s="443"/>
      <c r="DY57" s="443"/>
      <c r="DZ57" s="443"/>
      <c r="EA57" s="443"/>
      <c r="EB57" s="443"/>
      <c r="EC57" s="443"/>
      <c r="ED57" s="443"/>
      <c r="EE57" s="443"/>
      <c r="EF57" s="443"/>
      <c r="EG57" s="443"/>
      <c r="EH57" s="443"/>
      <c r="EI57" s="443"/>
      <c r="EJ57" s="443"/>
      <c r="EK57" s="443"/>
      <c r="EL57" s="443"/>
      <c r="EM57" s="443"/>
      <c r="EN57" s="443"/>
      <c r="EO57" s="443"/>
      <c r="EP57" s="443"/>
      <c r="EQ57" s="443"/>
      <c r="ER57" s="443"/>
      <c r="ES57" s="443"/>
      <c r="ET57" s="443"/>
      <c r="EU57" s="443"/>
      <c r="EV57" s="443"/>
      <c r="EW57" s="443"/>
      <c r="EX57" s="443"/>
      <c r="EY57" s="443"/>
      <c r="EZ57" s="443"/>
      <c r="FA57" s="443"/>
      <c r="FB57" s="443"/>
      <c r="FC57" s="443"/>
      <c r="FD57" s="443"/>
      <c r="FE57" s="443"/>
      <c r="FF57" s="443"/>
      <c r="FG57" s="443"/>
      <c r="FH57" s="443"/>
      <c r="FI57" s="443"/>
      <c r="FJ57" s="443"/>
      <c r="FK57" s="443"/>
      <c r="FL57" s="443"/>
      <c r="FM57" s="443"/>
      <c r="FN57" s="443"/>
      <c r="FO57" s="443"/>
      <c r="FP57" s="443"/>
      <c r="FQ57" s="443"/>
      <c r="FR57" s="443"/>
      <c r="FS57" s="443"/>
      <c r="FT57" s="443"/>
      <c r="FU57" s="443"/>
      <c r="FV57" s="443"/>
      <c r="FW57" s="443"/>
      <c r="FX57" s="443"/>
      <c r="FY57" s="443"/>
      <c r="FZ57" s="443"/>
      <c r="GA57" s="443"/>
      <c r="GB57" s="443"/>
      <c r="GC57" s="443"/>
      <c r="GD57" s="443"/>
      <c r="GE57" s="443"/>
      <c r="GF57" s="443"/>
      <c r="GG57" s="443"/>
      <c r="GH57" s="443"/>
      <c r="GI57" s="443"/>
      <c r="GJ57" s="443"/>
      <c r="GK57" s="443"/>
      <c r="GL57" s="443"/>
      <c r="GM57" s="443"/>
      <c r="GN57" s="443"/>
      <c r="GO57" s="443"/>
      <c r="GP57" s="443"/>
      <c r="GQ57" s="443"/>
      <c r="GR57" s="443"/>
      <c r="GS57" s="443"/>
      <c r="GT57" s="443"/>
      <c r="GU57" s="443"/>
      <c r="GV57" s="443"/>
      <c r="GW57" s="443"/>
      <c r="GX57" s="443"/>
      <c r="GY57" s="443"/>
      <c r="GZ57" s="443"/>
      <c r="HA57" s="443"/>
      <c r="HB57" s="443"/>
      <c r="HC57" s="443"/>
      <c r="HD57" s="443"/>
      <c r="HE57" s="443"/>
      <c r="HF57" s="443"/>
      <c r="HG57" s="443"/>
      <c r="HH57" s="443"/>
      <c r="HI57" s="443"/>
      <c r="HJ57" s="443"/>
      <c r="HK57" s="443"/>
      <c r="HL57" s="443"/>
      <c r="HM57" s="443"/>
      <c r="HN57" s="443"/>
      <c r="HO57" s="443"/>
      <c r="HP57" s="443"/>
      <c r="HQ57" s="443"/>
      <c r="HR57" s="443"/>
      <c r="HS57" s="443"/>
      <c r="HT57" s="443"/>
      <c r="HU57" s="443"/>
      <c r="HV57" s="443"/>
      <c r="HW57" s="443"/>
      <c r="HX57" s="443"/>
      <c r="HY57" s="443"/>
      <c r="HZ57" s="443"/>
      <c r="IA57" s="443"/>
      <c r="IB57" s="443"/>
      <c r="IC57" s="443"/>
      <c r="ID57" s="443"/>
      <c r="IE57" s="443"/>
      <c r="IF57" s="443"/>
      <c r="IG57" s="443"/>
      <c r="IH57" s="443"/>
      <c r="II57" s="443"/>
      <c r="IJ57" s="448"/>
      <c r="IK57" s="448"/>
      <c r="IL57" s="443"/>
      <c r="IM57" s="443"/>
      <c r="IN57" s="443"/>
      <c r="IO57" s="443"/>
      <c r="IP57" s="443"/>
      <c r="IQ57" s="443"/>
      <c r="IR57" s="443"/>
      <c r="IS57" s="443"/>
      <c r="IT57" s="443"/>
      <c r="IU57" s="443"/>
      <c r="IV57" s="443"/>
      <c r="IW57" s="443"/>
      <c r="IX57" s="443"/>
      <c r="IY57" s="443"/>
      <c r="IZ57" s="443"/>
      <c r="JA57" s="448"/>
      <c r="JB57" s="443"/>
      <c r="JC57" s="443"/>
      <c r="JD57" s="147"/>
      <c r="JE57" s="147"/>
      <c r="JF57" s="147"/>
      <c r="JG57" s="147"/>
      <c r="JH57" s="147"/>
      <c r="JI57" s="147"/>
      <c r="JJ57" s="147"/>
      <c r="JK57" s="147"/>
      <c r="JL57" s="147"/>
      <c r="JM57" s="147"/>
      <c r="JN57" s="147"/>
      <c r="JO57" s="147"/>
      <c r="JP57" s="147"/>
      <c r="JQ57" s="147"/>
      <c r="JR57" s="147"/>
      <c r="JS57" s="147"/>
      <c r="JT57" s="147"/>
      <c r="JU57" s="147"/>
      <c r="JV57" s="147"/>
      <c r="JW57" s="147"/>
      <c r="JX57" s="147"/>
      <c r="JY57" s="147"/>
      <c r="JZ57" s="147"/>
      <c r="KA57" s="147"/>
      <c r="KB57" s="147"/>
      <c r="KC57" s="147"/>
      <c r="KD57" s="147"/>
      <c r="KE57" s="147"/>
      <c r="KF57" s="147"/>
      <c r="KG57" s="147"/>
      <c r="KH57" s="147"/>
      <c r="KI57" s="147"/>
    </row>
    <row r="58" spans="1:295" s="82" customFormat="1" ht="10.5" customHeight="1">
      <c r="A58" s="8"/>
      <c r="B58" s="8"/>
      <c r="C58" s="1"/>
      <c r="D58" s="822" t="s">
        <v>2379</v>
      </c>
      <c r="E58" s="823">
        <v>3</v>
      </c>
      <c r="F58" s="1509" t="str">
        <f>IF('Part VI-Revenues &amp; Expenses'!$N$153 =0,"",'Part VI-Revenues &amp; Expenses'!$N$153)</f>
        <v/>
      </c>
      <c r="G58" s="824">
        <f>IF('Part IX Scoring Criteria'!$O$74='Part IX Scoring Criteria'!$M$74,$L58,
IF($P$42="Albany",VLOOKUP($A$55,'DCA Underwriting Assumptions'!$E$22:$J$25,$E58+2),
IF($P$42="Athens",VLOOKUP($A$55,'DCA Underwriting Assumptions'!$E$26:$J$29,$E58+2),
IF($P$42="Atlanta",VLOOKUP($A$55,'DCA Underwriting Assumptions'!$E$30:$J$33,$E58+2),
IF($P$42="Augusta",VLOOKUP($A$55,'DCA Underwriting Assumptions'!$E$34:$J$37,$E58+2),
IF($P$42="Chattanooga",VLOOKUP($A$55,'DCA Underwriting Assumptions'!$E$38:$J$41,$E58+2),
IF($P$42="Columbus",VLOOKUP($A$55,'DCA Underwriting Assumptions'!$E$42:$J$45,$E58+2),
IF($P$42="Macon",VLOOKUP($A$55,'DCA Underwriting Assumptions'!$E$46:$J$49,$E58+2),
IF($P$42="Savannah",VLOOKUP($A$55,'DCA Underwriting Assumptions'!$E$50:$J$53,$E58+2),
VLOOKUP($A$55,'DCA Underwriting Assumptions'!$E$54:$J$57,$E58+2))))))))))*(1+'DCA Underwriting Assumptions'!$I$17)</f>
        <v>266068</v>
      </c>
      <c r="H58" s="40" t="str">
        <f>CONCATENATE("x ", F58," units = ")</f>
        <v xml:space="preserve">x  units = </v>
      </c>
      <c r="I58" s="1510" t="str">
        <f>IF(F58="","",F58*G58)</f>
        <v/>
      </c>
      <c r="J58" s="42"/>
      <c r="K58" s="1509" t="str">
        <f>IF('Part VI-Revenues &amp; Expenses'!$N$154 =0,"",'Part VI-Revenues &amp; Expenses'!$N$154)</f>
        <v/>
      </c>
      <c r="L58" s="824">
        <f>G58*(1+'DCA Underwriting Assumptions'!$Q$12)</f>
        <v>292674.80000000005</v>
      </c>
      <c r="M58" s="40" t="str">
        <f>CONCATENATE("x ", K58," units = ")</f>
        <v xml:space="preserve">x  units = </v>
      </c>
      <c r="N58" s="1510" t="str">
        <f>IF(K58="","",K58*L58)</f>
        <v/>
      </c>
      <c r="O58" s="540"/>
      <c r="P58" s="1051">
        <f>'Part IX Scoring Criteria'!O74</f>
        <v>3</v>
      </c>
      <c r="Q58" s="1051">
        <f>'Part IX Scoring Criteria'!P74</f>
        <v>0</v>
      </c>
      <c r="S58" s="2833"/>
      <c r="T58" s="2834"/>
      <c r="U58" s="2834"/>
      <c r="V58" s="2835"/>
      <c r="W58" s="445"/>
      <c r="AB58" s="450"/>
      <c r="AC58" s="450"/>
      <c r="AD58" s="450"/>
      <c r="AE58" s="450"/>
      <c r="AF58" s="450"/>
      <c r="AG58" s="608"/>
      <c r="AH58" s="443"/>
      <c r="AI58" s="443"/>
      <c r="AJ58" s="443"/>
      <c r="AK58" s="443"/>
      <c r="AL58" s="443"/>
      <c r="AM58" s="443"/>
      <c r="AN58" s="443"/>
      <c r="AO58" s="443"/>
      <c r="AP58" s="443"/>
      <c r="AQ58" s="443"/>
      <c r="AR58" s="443"/>
      <c r="AS58" s="443"/>
      <c r="AT58" s="443"/>
      <c r="AU58" s="443"/>
      <c r="AV58" s="443"/>
      <c r="AW58" s="443"/>
      <c r="AX58" s="443"/>
      <c r="AY58" s="443"/>
      <c r="AZ58" s="443"/>
      <c r="BA58" s="443"/>
      <c r="BB58" s="443"/>
      <c r="BC58" s="443"/>
      <c r="BD58" s="443"/>
      <c r="BE58" s="443"/>
      <c r="BF58" s="443"/>
      <c r="BG58" s="443"/>
      <c r="BH58" s="443"/>
      <c r="BI58" s="443"/>
      <c r="BJ58" s="443"/>
      <c r="BK58" s="443"/>
      <c r="BL58" s="443"/>
      <c r="BM58" s="443"/>
      <c r="BN58" s="443"/>
      <c r="BO58" s="443"/>
      <c r="BP58" s="443"/>
      <c r="BQ58" s="443"/>
      <c r="BR58" s="443"/>
      <c r="BS58" s="443"/>
      <c r="BT58" s="443"/>
      <c r="BU58" s="443"/>
      <c r="BV58" s="443"/>
      <c r="BW58" s="443"/>
      <c r="BX58" s="443"/>
      <c r="BY58" s="443"/>
      <c r="BZ58" s="443"/>
      <c r="CA58" s="443"/>
      <c r="CB58" s="443"/>
      <c r="CC58" s="443"/>
      <c r="CD58" s="443"/>
      <c r="CE58" s="443"/>
      <c r="CF58" s="443"/>
      <c r="CG58" s="443"/>
      <c r="CH58" s="443"/>
      <c r="CI58" s="443"/>
      <c r="CJ58" s="443"/>
      <c r="CK58" s="443"/>
      <c r="CL58" s="443"/>
      <c r="CM58" s="443"/>
      <c r="CN58" s="443"/>
      <c r="CO58" s="443"/>
      <c r="CP58" s="443"/>
      <c r="CQ58" s="443"/>
      <c r="CR58" s="443"/>
      <c r="CS58" s="443"/>
      <c r="CT58" s="443"/>
      <c r="CU58" s="443"/>
      <c r="CV58" s="443"/>
      <c r="CW58" s="443"/>
      <c r="CX58" s="443"/>
      <c r="CY58" s="443"/>
      <c r="CZ58" s="443"/>
      <c r="DA58" s="443"/>
      <c r="DB58" s="443"/>
      <c r="DC58" s="443"/>
      <c r="DD58" s="443"/>
      <c r="DE58" s="443"/>
      <c r="DF58" s="443"/>
      <c r="DG58" s="443"/>
      <c r="DH58" s="443"/>
      <c r="DI58" s="443"/>
      <c r="DJ58" s="443"/>
      <c r="DK58" s="443"/>
      <c r="DL58" s="443"/>
      <c r="DM58" s="443"/>
      <c r="DN58" s="443"/>
      <c r="DO58" s="443"/>
      <c r="DP58" s="443"/>
      <c r="DQ58" s="443"/>
      <c r="DR58" s="443"/>
      <c r="DS58" s="443"/>
      <c r="DT58" s="443"/>
      <c r="DU58" s="443"/>
      <c r="DV58" s="443"/>
      <c r="DW58" s="443"/>
      <c r="DX58" s="443"/>
      <c r="DY58" s="443"/>
      <c r="DZ58" s="443"/>
      <c r="EA58" s="443"/>
      <c r="EB58" s="443"/>
      <c r="EC58" s="443"/>
      <c r="ED58" s="443"/>
      <c r="EE58" s="443"/>
      <c r="EF58" s="443"/>
      <c r="EG58" s="443"/>
      <c r="EH58" s="443"/>
      <c r="EI58" s="443"/>
      <c r="EJ58" s="443"/>
      <c r="EK58" s="443"/>
      <c r="EL58" s="443"/>
      <c r="EM58" s="443"/>
      <c r="EN58" s="443"/>
      <c r="EO58" s="443"/>
      <c r="EP58" s="443"/>
      <c r="EQ58" s="443"/>
      <c r="ER58" s="443"/>
      <c r="ES58" s="443"/>
      <c r="ET58" s="443"/>
      <c r="EU58" s="443"/>
      <c r="EV58" s="443"/>
      <c r="EW58" s="443"/>
      <c r="EX58" s="443"/>
      <c r="EY58" s="443"/>
      <c r="EZ58" s="443"/>
      <c r="FA58" s="443"/>
      <c r="FB58" s="443"/>
      <c r="FC58" s="443"/>
      <c r="FD58" s="443"/>
      <c r="FE58" s="443"/>
      <c r="FF58" s="443"/>
      <c r="FG58" s="443"/>
      <c r="FH58" s="443"/>
      <c r="FI58" s="443"/>
      <c r="FJ58" s="443"/>
      <c r="FK58" s="443"/>
      <c r="FL58" s="443"/>
      <c r="FM58" s="443"/>
      <c r="FN58" s="443"/>
      <c r="FO58" s="443"/>
      <c r="FP58" s="443"/>
      <c r="FQ58" s="443"/>
      <c r="FR58" s="443"/>
      <c r="FS58" s="443"/>
      <c r="FT58" s="443"/>
      <c r="FU58" s="443"/>
      <c r="FV58" s="443"/>
      <c r="FW58" s="443"/>
      <c r="FX58" s="443"/>
      <c r="FY58" s="443"/>
      <c r="FZ58" s="443"/>
      <c r="GA58" s="443"/>
      <c r="GB58" s="443"/>
      <c r="GC58" s="443"/>
      <c r="GD58" s="443"/>
      <c r="GE58" s="443"/>
      <c r="GF58" s="443"/>
      <c r="GG58" s="443"/>
      <c r="GH58" s="443"/>
      <c r="GI58" s="443"/>
      <c r="GJ58" s="443"/>
      <c r="GK58" s="443"/>
      <c r="GL58" s="443"/>
      <c r="GM58" s="443"/>
      <c r="GN58" s="443"/>
      <c r="GO58" s="443"/>
      <c r="GP58" s="443"/>
      <c r="GQ58" s="443"/>
      <c r="GR58" s="443"/>
      <c r="GS58" s="443"/>
      <c r="GT58" s="443"/>
      <c r="GU58" s="443"/>
      <c r="GV58" s="443"/>
      <c r="GW58" s="443"/>
      <c r="GX58" s="443"/>
      <c r="GY58" s="443"/>
      <c r="GZ58" s="443"/>
      <c r="HA58" s="443"/>
      <c r="HB58" s="443"/>
      <c r="HC58" s="443"/>
      <c r="HD58" s="443"/>
      <c r="HE58" s="443"/>
      <c r="HF58" s="443"/>
      <c r="HG58" s="443"/>
      <c r="HH58" s="443"/>
      <c r="HI58" s="443"/>
      <c r="HJ58" s="443"/>
      <c r="HK58" s="443"/>
      <c r="HL58" s="443"/>
      <c r="HM58" s="443"/>
      <c r="HN58" s="443"/>
      <c r="HO58" s="443"/>
      <c r="HP58" s="443"/>
      <c r="HQ58" s="443"/>
      <c r="HR58" s="443"/>
      <c r="HS58" s="443"/>
      <c r="HT58" s="443"/>
      <c r="HU58" s="443"/>
      <c r="HV58" s="443"/>
      <c r="HW58" s="443"/>
      <c r="HX58" s="443"/>
      <c r="HY58" s="443"/>
      <c r="HZ58" s="443"/>
      <c r="IA58" s="443"/>
      <c r="IB58" s="443"/>
      <c r="IC58" s="443"/>
      <c r="ID58" s="443"/>
      <c r="IE58" s="443"/>
      <c r="IF58" s="443"/>
      <c r="IG58" s="443"/>
      <c r="IH58" s="443"/>
      <c r="II58" s="443"/>
      <c r="IJ58" s="448"/>
      <c r="IK58" s="448"/>
      <c r="IL58" s="443"/>
      <c r="IM58" s="443"/>
      <c r="IN58" s="443"/>
      <c r="IO58" s="443"/>
      <c r="IP58" s="443"/>
      <c r="IQ58" s="443"/>
      <c r="IR58" s="443"/>
      <c r="IS58" s="443"/>
      <c r="IT58" s="443"/>
      <c r="IU58" s="443"/>
      <c r="IV58" s="443"/>
      <c r="IW58" s="443"/>
      <c r="IX58" s="443"/>
      <c r="IY58" s="443"/>
      <c r="IZ58" s="443"/>
      <c r="JA58" s="448"/>
      <c r="JB58" s="443"/>
      <c r="JC58" s="443"/>
      <c r="JD58" s="147"/>
      <c r="JE58" s="147"/>
      <c r="JF58" s="147"/>
      <c r="JG58" s="147"/>
      <c r="JH58" s="147"/>
      <c r="JI58" s="147"/>
      <c r="JJ58" s="147"/>
      <c r="JK58" s="147"/>
      <c r="JL58" s="147"/>
      <c r="JM58" s="147"/>
      <c r="JN58" s="147"/>
      <c r="JO58" s="147"/>
      <c r="JP58" s="147"/>
      <c r="JQ58" s="147"/>
      <c r="JR58" s="147"/>
      <c r="JS58" s="147"/>
      <c r="JT58" s="147"/>
      <c r="JU58" s="147"/>
      <c r="JV58" s="147"/>
      <c r="JW58" s="147"/>
      <c r="JX58" s="147"/>
      <c r="JY58" s="147"/>
      <c r="JZ58" s="147"/>
      <c r="KA58" s="147"/>
      <c r="KB58" s="147"/>
      <c r="KC58" s="147"/>
      <c r="KD58" s="147"/>
      <c r="KE58" s="147"/>
      <c r="KF58" s="147"/>
      <c r="KG58" s="147"/>
      <c r="KH58" s="147"/>
      <c r="KI58" s="147"/>
    </row>
    <row r="59" spans="1:295" s="82" customFormat="1" ht="10.5" customHeight="1">
      <c r="A59" s="8"/>
      <c r="B59" s="8"/>
      <c r="C59" s="1"/>
      <c r="D59" s="826" t="s">
        <v>2380</v>
      </c>
      <c r="E59" s="823">
        <v>4</v>
      </c>
      <c r="F59" s="1509" t="str">
        <f>IF('Part VI-Revenues &amp; Expenses'!$O$153 =0,"",'Part VI-Revenues &amp; Expenses'!$O$153)</f>
        <v/>
      </c>
      <c r="G59" s="824">
        <f>IF('Part IX Scoring Criteria'!$O$74='Part IX Scoring Criteria'!$M$74,$L59,
IF($P$42="Albany",VLOOKUP($A$55,'DCA Underwriting Assumptions'!$E$22:$J$25,$E59+2),
IF($P$42="Athens",VLOOKUP($A$55,'DCA Underwriting Assumptions'!$E$26:$J$29,$E59+2),
IF($P$42="Atlanta",VLOOKUP($A$55,'DCA Underwriting Assumptions'!$E$30:$J$33,$E59+2),
IF($P$42="Augusta",VLOOKUP($A$55,'DCA Underwriting Assumptions'!$E$34:$J$37,$E59+2),
IF($P$42="Chattanooga",VLOOKUP($A$55,'DCA Underwriting Assumptions'!$E$38:$J$41,$E59+2),
IF($P$42="Columbus",VLOOKUP($A$55,'DCA Underwriting Assumptions'!$E$42:$J$45,$E59+2),
IF($P$42="Macon",VLOOKUP($A$55,'DCA Underwriting Assumptions'!$E$46:$J$49,$E59+2),
IF($P$42="Savannah",VLOOKUP($A$55,'DCA Underwriting Assumptions'!$E$50:$J$53,$E59+2),
VLOOKUP($A$55,'DCA Underwriting Assumptions'!$E$54:$J$57,$E59+2))))))))))*(1+'DCA Underwriting Assumptions'!$I$18)</f>
        <v>329800.90000000002</v>
      </c>
      <c r="H59" s="40" t="str">
        <f>CONCATENATE("x ", F59," units = ")</f>
        <v xml:space="preserve">x  units = </v>
      </c>
      <c r="I59" s="1510" t="str">
        <f>IF(F59="","",F59*G59)</f>
        <v/>
      </c>
      <c r="J59" s="42"/>
      <c r="K59" s="1509" t="str">
        <f>IF('Part VI-Revenues &amp; Expenses'!$O$154 =0,"",'Part VI-Revenues &amp; Expenses'!$O$154)</f>
        <v/>
      </c>
      <c r="L59" s="824">
        <f>G59*(1+'DCA Underwriting Assumptions'!$Q$12)</f>
        <v>362780.99000000005</v>
      </c>
      <c r="M59" s="40" t="str">
        <f>CONCATENATE("x ", K59," units = ")</f>
        <v xml:space="preserve">x  units = </v>
      </c>
      <c r="N59" s="1510" t="str">
        <f>IF(K59="","",K59*L59)</f>
        <v/>
      </c>
      <c r="O59" s="540"/>
      <c r="P59" s="2856" t="s">
        <v>2679</v>
      </c>
      <c r="Q59" s="2856"/>
      <c r="S59" s="2833"/>
      <c r="T59" s="2834"/>
      <c r="U59" s="2834"/>
      <c r="V59" s="2835"/>
      <c r="W59" s="445"/>
      <c r="AB59" s="450"/>
      <c r="AC59" s="450"/>
      <c r="AD59" s="450"/>
      <c r="AE59" s="450"/>
      <c r="AF59" s="450"/>
      <c r="AG59" s="608"/>
      <c r="AH59" s="443"/>
      <c r="AI59" s="443"/>
      <c r="AJ59" s="443"/>
      <c r="AK59" s="443"/>
      <c r="AL59" s="443"/>
      <c r="AM59" s="443"/>
      <c r="AN59" s="443"/>
      <c r="AO59" s="443"/>
      <c r="AP59" s="443"/>
      <c r="AQ59" s="443"/>
      <c r="AR59" s="443"/>
      <c r="AS59" s="443"/>
      <c r="AT59" s="443"/>
      <c r="AU59" s="443"/>
      <c r="AV59" s="443"/>
      <c r="AW59" s="443"/>
      <c r="AX59" s="443"/>
      <c r="AY59" s="443"/>
      <c r="AZ59" s="443"/>
      <c r="BA59" s="443"/>
      <c r="BB59" s="443"/>
      <c r="BC59" s="443"/>
      <c r="BD59" s="443"/>
      <c r="BE59" s="443"/>
      <c r="BF59" s="443"/>
      <c r="BG59" s="443"/>
      <c r="BH59" s="443"/>
      <c r="BI59" s="443"/>
      <c r="BJ59" s="443"/>
      <c r="BK59" s="443"/>
      <c r="BL59" s="443"/>
      <c r="BM59" s="443"/>
      <c r="BN59" s="443"/>
      <c r="BO59" s="443"/>
      <c r="BP59" s="443"/>
      <c r="BQ59" s="443"/>
      <c r="BR59" s="443"/>
      <c r="BS59" s="443"/>
      <c r="BT59" s="443"/>
      <c r="BU59" s="443"/>
      <c r="BV59" s="443"/>
      <c r="BW59" s="443"/>
      <c r="BX59" s="443"/>
      <c r="BY59" s="443"/>
      <c r="BZ59" s="443"/>
      <c r="CA59" s="443"/>
      <c r="CB59" s="443"/>
      <c r="CC59" s="443"/>
      <c r="CD59" s="443"/>
      <c r="CE59" s="443"/>
      <c r="CF59" s="443"/>
      <c r="CG59" s="443"/>
      <c r="CH59" s="443"/>
      <c r="CI59" s="443"/>
      <c r="CJ59" s="443"/>
      <c r="CK59" s="443"/>
      <c r="CL59" s="443"/>
      <c r="CM59" s="443"/>
      <c r="CN59" s="443"/>
      <c r="CO59" s="443"/>
      <c r="CP59" s="443"/>
      <c r="CQ59" s="443"/>
      <c r="CR59" s="443"/>
      <c r="CS59" s="443"/>
      <c r="CT59" s="443"/>
      <c r="CU59" s="443"/>
      <c r="CV59" s="443"/>
      <c r="CW59" s="443"/>
      <c r="CX59" s="443"/>
      <c r="CY59" s="443"/>
      <c r="CZ59" s="443"/>
      <c r="DA59" s="443"/>
      <c r="DB59" s="443"/>
      <c r="DC59" s="443"/>
      <c r="DD59" s="443"/>
      <c r="DE59" s="443"/>
      <c r="DF59" s="443"/>
      <c r="DG59" s="443"/>
      <c r="DH59" s="443"/>
      <c r="DI59" s="443"/>
      <c r="DJ59" s="443"/>
      <c r="DK59" s="443"/>
      <c r="DL59" s="443"/>
      <c r="DM59" s="443"/>
      <c r="DN59" s="443"/>
      <c r="DO59" s="443"/>
      <c r="DP59" s="443"/>
      <c r="DQ59" s="443"/>
      <c r="DR59" s="443"/>
      <c r="DS59" s="443"/>
      <c r="DT59" s="443"/>
      <c r="DU59" s="443"/>
      <c r="DV59" s="443"/>
      <c r="DW59" s="443"/>
      <c r="DX59" s="443"/>
      <c r="DY59" s="443"/>
      <c r="DZ59" s="443"/>
      <c r="EA59" s="443"/>
      <c r="EB59" s="443"/>
      <c r="EC59" s="443"/>
      <c r="ED59" s="443"/>
      <c r="EE59" s="443"/>
      <c r="EF59" s="443"/>
      <c r="EG59" s="443"/>
      <c r="EH59" s="443"/>
      <c r="EI59" s="443"/>
      <c r="EJ59" s="443"/>
      <c r="EK59" s="443"/>
      <c r="EL59" s="443"/>
      <c r="EM59" s="443"/>
      <c r="EN59" s="443"/>
      <c r="EO59" s="443"/>
      <c r="EP59" s="443"/>
      <c r="EQ59" s="443"/>
      <c r="ER59" s="443"/>
      <c r="ES59" s="443"/>
      <c r="ET59" s="443"/>
      <c r="EU59" s="443"/>
      <c r="EV59" s="443"/>
      <c r="EW59" s="443"/>
      <c r="EX59" s="443"/>
      <c r="EY59" s="443"/>
      <c r="EZ59" s="443"/>
      <c r="FA59" s="443"/>
      <c r="FB59" s="443"/>
      <c r="FC59" s="443"/>
      <c r="FD59" s="443"/>
      <c r="FE59" s="443"/>
      <c r="FF59" s="443"/>
      <c r="FG59" s="443"/>
      <c r="FH59" s="443"/>
      <c r="FI59" s="443"/>
      <c r="FJ59" s="443"/>
      <c r="FK59" s="443"/>
      <c r="FL59" s="443"/>
      <c r="FM59" s="443"/>
      <c r="FN59" s="443"/>
      <c r="FO59" s="443"/>
      <c r="FP59" s="443"/>
      <c r="FQ59" s="443"/>
      <c r="FR59" s="443"/>
      <c r="FS59" s="443"/>
      <c r="FT59" s="443"/>
      <c r="FU59" s="443"/>
      <c r="FV59" s="443"/>
      <c r="FW59" s="443"/>
      <c r="FX59" s="443"/>
      <c r="FY59" s="443"/>
      <c r="FZ59" s="443"/>
      <c r="GA59" s="443"/>
      <c r="GB59" s="443"/>
      <c r="GC59" s="443"/>
      <c r="GD59" s="443"/>
      <c r="GE59" s="443"/>
      <c r="GF59" s="443"/>
      <c r="GG59" s="443"/>
      <c r="GH59" s="443"/>
      <c r="GI59" s="443"/>
      <c r="GJ59" s="443"/>
      <c r="GK59" s="443"/>
      <c r="GL59" s="443"/>
      <c r="GM59" s="443"/>
      <c r="GN59" s="443"/>
      <c r="GO59" s="443"/>
      <c r="GP59" s="443"/>
      <c r="GQ59" s="443"/>
      <c r="GR59" s="443"/>
      <c r="GS59" s="443"/>
      <c r="GT59" s="443"/>
      <c r="GU59" s="443"/>
      <c r="GV59" s="443"/>
      <c r="GW59" s="443"/>
      <c r="GX59" s="443"/>
      <c r="GY59" s="443"/>
      <c r="GZ59" s="443"/>
      <c r="HA59" s="443"/>
      <c r="HB59" s="443"/>
      <c r="HC59" s="443"/>
      <c r="HD59" s="443"/>
      <c r="HE59" s="443"/>
      <c r="HF59" s="443"/>
      <c r="HG59" s="443"/>
      <c r="HH59" s="443"/>
      <c r="HI59" s="443"/>
      <c r="HJ59" s="443"/>
      <c r="HK59" s="443"/>
      <c r="HL59" s="443"/>
      <c r="HM59" s="443"/>
      <c r="HN59" s="443"/>
      <c r="HO59" s="443"/>
      <c r="HP59" s="443"/>
      <c r="HQ59" s="443"/>
      <c r="HR59" s="443"/>
      <c r="HS59" s="443"/>
      <c r="HT59" s="443"/>
      <c r="HU59" s="443"/>
      <c r="HV59" s="443"/>
      <c r="HW59" s="443"/>
      <c r="HX59" s="443"/>
      <c r="HY59" s="443"/>
      <c r="HZ59" s="443"/>
      <c r="IA59" s="443"/>
      <c r="IB59" s="443"/>
      <c r="IC59" s="443"/>
      <c r="ID59" s="443"/>
      <c r="IE59" s="443"/>
      <c r="IF59" s="443"/>
      <c r="IG59" s="443"/>
      <c r="IH59" s="443"/>
      <c r="II59" s="443"/>
      <c r="IJ59" s="448"/>
      <c r="IK59" s="448"/>
      <c r="IL59" s="443"/>
      <c r="IM59" s="443"/>
      <c r="IN59" s="443"/>
      <c r="IO59" s="443"/>
      <c r="IP59" s="443"/>
      <c r="IQ59" s="443"/>
      <c r="IR59" s="443"/>
      <c r="IS59" s="443"/>
      <c r="IT59" s="443"/>
      <c r="IU59" s="443"/>
      <c r="IV59" s="443"/>
      <c r="IW59" s="443"/>
      <c r="IX59" s="443"/>
      <c r="IY59" s="443"/>
      <c r="IZ59" s="443"/>
      <c r="JA59" s="448"/>
      <c r="JB59" s="443"/>
      <c r="JC59" s="443"/>
      <c r="JD59" s="147"/>
      <c r="JE59" s="147"/>
      <c r="JF59" s="147"/>
      <c r="JG59" s="147"/>
      <c r="JH59" s="147"/>
      <c r="JI59" s="147"/>
      <c r="JJ59" s="147"/>
      <c r="JK59" s="147"/>
      <c r="JL59" s="147"/>
      <c r="JM59" s="147"/>
      <c r="JN59" s="147"/>
      <c r="JO59" s="147"/>
      <c r="JP59" s="147"/>
      <c r="JQ59" s="147"/>
      <c r="JR59" s="147"/>
      <c r="JS59" s="147"/>
      <c r="JT59" s="147"/>
      <c r="JU59" s="147"/>
      <c r="JV59" s="147"/>
      <c r="JW59" s="147"/>
      <c r="JX59" s="147"/>
      <c r="JY59" s="147"/>
      <c r="JZ59" s="147"/>
      <c r="KA59" s="147"/>
      <c r="KB59" s="147"/>
      <c r="KC59" s="147"/>
      <c r="KD59" s="147"/>
      <c r="KE59" s="147"/>
      <c r="KF59" s="147"/>
      <c r="KG59" s="147"/>
      <c r="KH59" s="147"/>
      <c r="KI59" s="147"/>
    </row>
    <row r="60" spans="1:295" s="82" customFormat="1" ht="10.5" customHeight="1">
      <c r="A60" s="8"/>
      <c r="B60" s="8"/>
      <c r="C60" s="1"/>
      <c r="D60" s="553" t="s">
        <v>3262</v>
      </c>
      <c r="E60" s="132"/>
      <c r="F60" s="1044">
        <f>SUM(F55:F59)</f>
        <v>0</v>
      </c>
      <c r="G60" s="592"/>
      <c r="H60" s="1045"/>
      <c r="I60" s="1046">
        <f>SUM(I55:I59)</f>
        <v>0</v>
      </c>
      <c r="J60" s="1047"/>
      <c r="K60" s="1044">
        <f>SUM(K55:K59)</f>
        <v>0</v>
      </c>
      <c r="L60" s="1047"/>
      <c r="M60" s="1045"/>
      <c r="N60" s="1046">
        <f>SUM(N55:N59)</f>
        <v>0</v>
      </c>
      <c r="O60" s="540"/>
      <c r="P60" s="2856"/>
      <c r="Q60" s="2856"/>
      <c r="S60" s="2833"/>
      <c r="T60" s="2834"/>
      <c r="U60" s="2834"/>
      <c r="V60" s="2835"/>
      <c r="W60" s="445"/>
      <c r="AB60" s="450"/>
      <c r="AC60" s="450"/>
      <c r="AD60" s="450"/>
      <c r="AE60" s="450"/>
      <c r="AF60" s="450"/>
      <c r="AG60" s="608"/>
      <c r="AH60" s="443"/>
      <c r="AI60" s="443"/>
      <c r="AJ60" s="443"/>
      <c r="AK60" s="443"/>
      <c r="AL60" s="443"/>
      <c r="AM60" s="443"/>
      <c r="AN60" s="443"/>
      <c r="AO60" s="443"/>
      <c r="AP60" s="443"/>
      <c r="AQ60" s="443"/>
      <c r="AR60" s="443"/>
      <c r="AS60" s="443"/>
      <c r="AT60" s="443"/>
      <c r="AU60" s="443"/>
      <c r="AV60" s="443"/>
      <c r="AW60" s="443"/>
      <c r="AX60" s="443"/>
      <c r="AY60" s="443"/>
      <c r="AZ60" s="443"/>
      <c r="BA60" s="443"/>
      <c r="BB60" s="443"/>
      <c r="BC60" s="443"/>
      <c r="BD60" s="443"/>
      <c r="BE60" s="443"/>
      <c r="BF60" s="443"/>
      <c r="BG60" s="443"/>
      <c r="BH60" s="443"/>
      <c r="BI60" s="443"/>
      <c r="BJ60" s="443"/>
      <c r="BK60" s="443"/>
      <c r="BL60" s="443"/>
      <c r="BM60" s="443"/>
      <c r="BN60" s="443"/>
      <c r="BO60" s="443"/>
      <c r="BP60" s="443"/>
      <c r="BQ60" s="443"/>
      <c r="BR60" s="443"/>
      <c r="BS60" s="443"/>
      <c r="BT60" s="443"/>
      <c r="BU60" s="443"/>
      <c r="BV60" s="443"/>
      <c r="BW60" s="443"/>
      <c r="BX60" s="443"/>
      <c r="BY60" s="443"/>
      <c r="BZ60" s="443"/>
      <c r="CA60" s="443"/>
      <c r="CB60" s="443"/>
      <c r="CC60" s="443"/>
      <c r="CD60" s="443"/>
      <c r="CE60" s="443"/>
      <c r="CF60" s="443"/>
      <c r="CG60" s="443"/>
      <c r="CH60" s="443"/>
      <c r="CI60" s="443"/>
      <c r="CJ60" s="443"/>
      <c r="CK60" s="443"/>
      <c r="CL60" s="443"/>
      <c r="CM60" s="443"/>
      <c r="CN60" s="443"/>
      <c r="CO60" s="443"/>
      <c r="CP60" s="443"/>
      <c r="CQ60" s="443"/>
      <c r="CR60" s="443"/>
      <c r="CS60" s="443"/>
      <c r="CT60" s="443"/>
      <c r="CU60" s="443"/>
      <c r="CV60" s="443"/>
      <c r="CW60" s="443"/>
      <c r="CX60" s="443"/>
      <c r="CY60" s="443"/>
      <c r="CZ60" s="443"/>
      <c r="DA60" s="443"/>
      <c r="DB60" s="443"/>
      <c r="DC60" s="443"/>
      <c r="DD60" s="443"/>
      <c r="DE60" s="443"/>
      <c r="DF60" s="443"/>
      <c r="DG60" s="443"/>
      <c r="DH60" s="443"/>
      <c r="DI60" s="443"/>
      <c r="DJ60" s="443"/>
      <c r="DK60" s="443"/>
      <c r="DL60" s="443"/>
      <c r="DM60" s="443"/>
      <c r="DN60" s="443"/>
      <c r="DO60" s="443"/>
      <c r="DP60" s="443"/>
      <c r="DQ60" s="443"/>
      <c r="DR60" s="443"/>
      <c r="DS60" s="443"/>
      <c r="DT60" s="443"/>
      <c r="DU60" s="443"/>
      <c r="DV60" s="443"/>
      <c r="DW60" s="443"/>
      <c r="DX60" s="443"/>
      <c r="DY60" s="443"/>
      <c r="DZ60" s="443"/>
      <c r="EA60" s="443"/>
      <c r="EB60" s="443"/>
      <c r="EC60" s="443"/>
      <c r="ED60" s="443"/>
      <c r="EE60" s="443"/>
      <c r="EF60" s="443"/>
      <c r="EG60" s="443"/>
      <c r="EH60" s="443"/>
      <c r="EI60" s="443"/>
      <c r="EJ60" s="443"/>
      <c r="EK60" s="443"/>
      <c r="EL60" s="443"/>
      <c r="EM60" s="443"/>
      <c r="EN60" s="443"/>
      <c r="EO60" s="443"/>
      <c r="EP60" s="443"/>
      <c r="EQ60" s="443"/>
      <c r="ER60" s="443"/>
      <c r="ES60" s="443"/>
      <c r="ET60" s="443"/>
      <c r="EU60" s="443"/>
      <c r="EV60" s="443"/>
      <c r="EW60" s="443"/>
      <c r="EX60" s="443"/>
      <c r="EY60" s="443"/>
      <c r="EZ60" s="443"/>
      <c r="FA60" s="443"/>
      <c r="FB60" s="443"/>
      <c r="FC60" s="443"/>
      <c r="FD60" s="443"/>
      <c r="FE60" s="443"/>
      <c r="FF60" s="443"/>
      <c r="FG60" s="443"/>
      <c r="FH60" s="443"/>
      <c r="FI60" s="443"/>
      <c r="FJ60" s="443"/>
      <c r="FK60" s="443"/>
      <c r="FL60" s="443"/>
      <c r="FM60" s="443"/>
      <c r="FN60" s="443"/>
      <c r="FO60" s="443"/>
      <c r="FP60" s="443"/>
      <c r="FQ60" s="443"/>
      <c r="FR60" s="443"/>
      <c r="FS60" s="443"/>
      <c r="FT60" s="443"/>
      <c r="FU60" s="443"/>
      <c r="FV60" s="443"/>
      <c r="FW60" s="443"/>
      <c r="FX60" s="443"/>
      <c r="FY60" s="443"/>
      <c r="FZ60" s="443"/>
      <c r="GA60" s="443"/>
      <c r="GB60" s="443"/>
      <c r="GC60" s="443"/>
      <c r="GD60" s="443"/>
      <c r="GE60" s="443"/>
      <c r="GF60" s="443"/>
      <c r="GG60" s="443"/>
      <c r="GH60" s="443"/>
      <c r="GI60" s="443"/>
      <c r="GJ60" s="443"/>
      <c r="GK60" s="443"/>
      <c r="GL60" s="443"/>
      <c r="GM60" s="443"/>
      <c r="GN60" s="443"/>
      <c r="GO60" s="443"/>
      <c r="GP60" s="443"/>
      <c r="GQ60" s="443"/>
      <c r="GR60" s="443"/>
      <c r="GS60" s="443"/>
      <c r="GT60" s="443"/>
      <c r="GU60" s="443"/>
      <c r="GV60" s="443"/>
      <c r="GW60" s="443"/>
      <c r="GX60" s="443"/>
      <c r="GY60" s="443"/>
      <c r="GZ60" s="443"/>
      <c r="HA60" s="443"/>
      <c r="HB60" s="443"/>
      <c r="HC60" s="443"/>
      <c r="HD60" s="443"/>
      <c r="HE60" s="443"/>
      <c r="HF60" s="443"/>
      <c r="HG60" s="443"/>
      <c r="HH60" s="443"/>
      <c r="HI60" s="443"/>
      <c r="HJ60" s="443"/>
      <c r="HK60" s="443"/>
      <c r="HL60" s="443"/>
      <c r="HM60" s="443"/>
      <c r="HN60" s="443"/>
      <c r="HO60" s="443"/>
      <c r="HP60" s="443"/>
      <c r="HQ60" s="443"/>
      <c r="HR60" s="443"/>
      <c r="HS60" s="443"/>
      <c r="HT60" s="443"/>
      <c r="HU60" s="443"/>
      <c r="HV60" s="443"/>
      <c r="HW60" s="443"/>
      <c r="HX60" s="443"/>
      <c r="HY60" s="443"/>
      <c r="HZ60" s="443"/>
      <c r="IA60" s="443"/>
      <c r="IB60" s="443"/>
      <c r="IC60" s="443"/>
      <c r="ID60" s="443"/>
      <c r="IE60" s="443"/>
      <c r="IF60" s="443"/>
      <c r="IG60" s="443"/>
      <c r="IH60" s="443"/>
      <c r="II60" s="443"/>
      <c r="IJ60" s="448"/>
      <c r="IK60" s="448"/>
      <c r="IL60" s="443"/>
      <c r="IM60" s="443"/>
      <c r="IN60" s="443"/>
      <c r="IO60" s="443"/>
      <c r="IP60" s="443"/>
      <c r="IQ60" s="443"/>
      <c r="IR60" s="443"/>
      <c r="IS60" s="443"/>
      <c r="IT60" s="443"/>
      <c r="IU60" s="443"/>
      <c r="IV60" s="443"/>
      <c r="IW60" s="443"/>
      <c r="IX60" s="443"/>
      <c r="IY60" s="443"/>
      <c r="IZ60" s="443"/>
      <c r="JA60" s="448"/>
      <c r="JB60" s="443"/>
      <c r="JC60" s="443"/>
      <c r="JD60" s="147"/>
      <c r="JE60" s="147"/>
      <c r="JF60" s="147"/>
      <c r="JG60" s="147"/>
      <c r="JH60" s="147"/>
      <c r="JI60" s="147"/>
      <c r="JJ60" s="147"/>
      <c r="JK60" s="147"/>
      <c r="JL60" s="147"/>
      <c r="JM60" s="147"/>
      <c r="JN60" s="147"/>
      <c r="JO60" s="147"/>
      <c r="JP60" s="147"/>
      <c r="JQ60" s="147"/>
      <c r="JR60" s="147"/>
      <c r="JS60" s="147"/>
      <c r="JT60" s="147"/>
      <c r="JU60" s="147"/>
      <c r="JV60" s="147"/>
      <c r="JW60" s="147"/>
      <c r="JX60" s="147"/>
      <c r="JY60" s="147"/>
      <c r="JZ60" s="147"/>
      <c r="KA60" s="147"/>
      <c r="KB60" s="147"/>
      <c r="KC60" s="147"/>
      <c r="KD60" s="147"/>
      <c r="KE60" s="147"/>
      <c r="KF60" s="147"/>
      <c r="KG60" s="147"/>
      <c r="KH60" s="147"/>
      <c r="KI60" s="147"/>
    </row>
    <row r="61" spans="1:295" s="82" customFormat="1" ht="1.5" customHeight="1">
      <c r="A61" s="8"/>
      <c r="C61" s="1"/>
      <c r="D61" s="522"/>
      <c r="E61" s="522"/>
      <c r="F61" s="593"/>
      <c r="G61" s="139"/>
      <c r="H61" s="35"/>
      <c r="I61" s="2383"/>
      <c r="J61" s="35"/>
      <c r="K61" s="593"/>
      <c r="L61" s="35"/>
      <c r="M61" s="2380"/>
      <c r="N61" s="2383"/>
      <c r="O61" s="540"/>
      <c r="P61" s="2856"/>
      <c r="Q61" s="2856"/>
      <c r="R61" s="404"/>
      <c r="S61" s="2833"/>
      <c r="T61" s="2834"/>
      <c r="U61" s="2834"/>
      <c r="V61" s="2835"/>
      <c r="W61" s="445"/>
      <c r="AB61" s="450"/>
      <c r="AC61" s="450"/>
      <c r="AD61" s="450"/>
      <c r="AE61" s="450"/>
      <c r="AF61" s="450"/>
      <c r="AG61" s="608"/>
      <c r="AH61" s="443"/>
      <c r="AI61" s="443"/>
      <c r="AJ61" s="443"/>
      <c r="AK61" s="443"/>
      <c r="AL61" s="443"/>
      <c r="AM61" s="443"/>
      <c r="AN61" s="443"/>
      <c r="AO61" s="443"/>
      <c r="AP61" s="443"/>
      <c r="AQ61" s="443"/>
      <c r="AR61" s="443"/>
      <c r="AS61" s="443"/>
      <c r="AT61" s="443"/>
      <c r="AU61" s="443"/>
      <c r="AV61" s="443"/>
      <c r="AW61" s="443"/>
      <c r="AX61" s="443"/>
      <c r="AY61" s="443"/>
      <c r="AZ61" s="443"/>
      <c r="BA61" s="443"/>
      <c r="BB61" s="443"/>
      <c r="BC61" s="443"/>
      <c r="BD61" s="443"/>
      <c r="BE61" s="443"/>
      <c r="BF61" s="443"/>
      <c r="BG61" s="443"/>
      <c r="BH61" s="443"/>
      <c r="BI61" s="443"/>
      <c r="BJ61" s="443"/>
      <c r="BK61" s="443"/>
      <c r="BL61" s="443"/>
      <c r="BM61" s="443"/>
      <c r="BN61" s="443"/>
      <c r="BO61" s="443"/>
      <c r="BP61" s="443"/>
      <c r="BQ61" s="443"/>
      <c r="BR61" s="443"/>
      <c r="BS61" s="443"/>
      <c r="BT61" s="443"/>
      <c r="BU61" s="443"/>
      <c r="BV61" s="443"/>
      <c r="BW61" s="443"/>
      <c r="BX61" s="443"/>
      <c r="BY61" s="443"/>
      <c r="BZ61" s="443"/>
      <c r="CA61" s="443"/>
      <c r="CB61" s="443"/>
      <c r="CC61" s="443"/>
      <c r="CD61" s="443"/>
      <c r="CE61" s="443"/>
      <c r="CF61" s="443"/>
      <c r="CG61" s="443"/>
      <c r="CH61" s="443"/>
      <c r="CI61" s="443"/>
      <c r="CJ61" s="443"/>
      <c r="CK61" s="443"/>
      <c r="CL61" s="443"/>
      <c r="CM61" s="443"/>
      <c r="CN61" s="443"/>
      <c r="CO61" s="443"/>
      <c r="CP61" s="443"/>
      <c r="CQ61" s="443"/>
      <c r="CR61" s="443"/>
      <c r="CS61" s="443"/>
      <c r="CT61" s="443"/>
      <c r="CU61" s="443"/>
      <c r="CV61" s="443"/>
      <c r="CW61" s="443"/>
      <c r="CX61" s="443"/>
      <c r="CY61" s="443"/>
      <c r="CZ61" s="443"/>
      <c r="DA61" s="443"/>
      <c r="DB61" s="443"/>
      <c r="DC61" s="443"/>
      <c r="DD61" s="443"/>
      <c r="DE61" s="443"/>
      <c r="DF61" s="443"/>
      <c r="DG61" s="443"/>
      <c r="DH61" s="443"/>
      <c r="DI61" s="443"/>
      <c r="DJ61" s="443"/>
      <c r="DK61" s="443"/>
      <c r="DL61" s="443"/>
      <c r="DM61" s="443"/>
      <c r="DN61" s="443"/>
      <c r="DO61" s="443"/>
      <c r="DP61" s="443"/>
      <c r="DQ61" s="443"/>
      <c r="DR61" s="443"/>
      <c r="DS61" s="443"/>
      <c r="DT61" s="443"/>
      <c r="DU61" s="443"/>
      <c r="DV61" s="443"/>
      <c r="DW61" s="443"/>
      <c r="DX61" s="443"/>
      <c r="DY61" s="443"/>
      <c r="DZ61" s="443"/>
      <c r="EA61" s="443"/>
      <c r="EB61" s="443"/>
      <c r="EC61" s="443"/>
      <c r="ED61" s="443"/>
      <c r="EE61" s="443"/>
      <c r="EF61" s="443"/>
      <c r="EG61" s="443"/>
      <c r="EH61" s="443"/>
      <c r="EI61" s="443"/>
      <c r="EJ61" s="443"/>
      <c r="EK61" s="443"/>
      <c r="EL61" s="443"/>
      <c r="EM61" s="443"/>
      <c r="EN61" s="443"/>
      <c r="EO61" s="443"/>
      <c r="EP61" s="443"/>
      <c r="EQ61" s="443"/>
      <c r="ER61" s="443"/>
      <c r="ES61" s="443"/>
      <c r="ET61" s="443"/>
      <c r="EU61" s="443"/>
      <c r="EV61" s="443"/>
      <c r="EW61" s="443"/>
      <c r="EX61" s="443"/>
      <c r="EY61" s="443"/>
      <c r="EZ61" s="443"/>
      <c r="FA61" s="443"/>
      <c r="FB61" s="443"/>
      <c r="FC61" s="443"/>
      <c r="FD61" s="443"/>
      <c r="FE61" s="443"/>
      <c r="FF61" s="443"/>
      <c r="FG61" s="443"/>
      <c r="FH61" s="443"/>
      <c r="FI61" s="443"/>
      <c r="FJ61" s="443"/>
      <c r="FK61" s="443"/>
      <c r="FL61" s="443"/>
      <c r="FM61" s="443"/>
      <c r="FN61" s="443"/>
      <c r="FO61" s="443"/>
      <c r="FP61" s="443"/>
      <c r="FQ61" s="443"/>
      <c r="FR61" s="443"/>
      <c r="FS61" s="443"/>
      <c r="FT61" s="443"/>
      <c r="FU61" s="443"/>
      <c r="FV61" s="443"/>
      <c r="FW61" s="443"/>
      <c r="FX61" s="443"/>
      <c r="FY61" s="443"/>
      <c r="FZ61" s="443"/>
      <c r="GA61" s="443"/>
      <c r="GB61" s="443"/>
      <c r="GC61" s="443"/>
      <c r="GD61" s="443"/>
      <c r="GE61" s="443"/>
      <c r="GF61" s="443"/>
      <c r="GG61" s="443"/>
      <c r="GH61" s="443"/>
      <c r="GI61" s="443"/>
      <c r="GJ61" s="443"/>
      <c r="GK61" s="443"/>
      <c r="GL61" s="443"/>
      <c r="GM61" s="443"/>
      <c r="GN61" s="443"/>
      <c r="GO61" s="443"/>
      <c r="GP61" s="443"/>
      <c r="GQ61" s="443"/>
      <c r="GR61" s="443"/>
      <c r="GS61" s="443"/>
      <c r="GT61" s="443"/>
      <c r="GU61" s="443"/>
      <c r="GV61" s="443"/>
      <c r="GW61" s="443"/>
      <c r="GX61" s="443"/>
      <c r="GY61" s="443"/>
      <c r="GZ61" s="443"/>
      <c r="HA61" s="443"/>
      <c r="HB61" s="443"/>
      <c r="HC61" s="443"/>
      <c r="HD61" s="443"/>
      <c r="HE61" s="443"/>
      <c r="HF61" s="443"/>
      <c r="HG61" s="443"/>
      <c r="HH61" s="443"/>
      <c r="HI61" s="443"/>
      <c r="HJ61" s="443"/>
      <c r="HK61" s="443"/>
      <c r="HL61" s="443"/>
      <c r="HM61" s="443"/>
      <c r="HN61" s="443"/>
      <c r="HO61" s="443"/>
      <c r="HP61" s="443"/>
      <c r="HQ61" s="443"/>
      <c r="HR61" s="443"/>
      <c r="HS61" s="443"/>
      <c r="HT61" s="443"/>
      <c r="HU61" s="443"/>
      <c r="HV61" s="443"/>
      <c r="HW61" s="443"/>
      <c r="HX61" s="443"/>
      <c r="HY61" s="443"/>
      <c r="HZ61" s="443"/>
      <c r="IA61" s="443"/>
      <c r="IB61" s="443"/>
      <c r="IC61" s="443"/>
      <c r="ID61" s="443"/>
      <c r="IE61" s="443"/>
      <c r="IF61" s="443"/>
      <c r="IG61" s="443"/>
      <c r="IH61" s="443"/>
      <c r="II61" s="443"/>
      <c r="IJ61" s="448"/>
      <c r="IK61" s="448"/>
      <c r="IL61" s="443"/>
      <c r="IM61" s="443"/>
      <c r="IN61" s="443"/>
      <c r="IO61" s="443"/>
      <c r="IP61" s="443"/>
      <c r="IQ61" s="443"/>
      <c r="IR61" s="443"/>
      <c r="IS61" s="443"/>
      <c r="IT61" s="443"/>
      <c r="IU61" s="443"/>
      <c r="IV61" s="443"/>
      <c r="IW61" s="443"/>
      <c r="IX61" s="443"/>
      <c r="IY61" s="443"/>
      <c r="IZ61" s="443"/>
      <c r="JA61" s="448"/>
      <c r="JB61" s="443"/>
      <c r="JC61" s="443"/>
      <c r="JD61" s="147"/>
      <c r="JE61" s="147"/>
      <c r="JF61" s="147"/>
      <c r="JG61" s="147"/>
      <c r="JH61" s="147"/>
      <c r="JI61" s="147"/>
      <c r="JJ61" s="147"/>
      <c r="JK61" s="147"/>
      <c r="JL61" s="147"/>
      <c r="JM61" s="147"/>
      <c r="JN61" s="147"/>
      <c r="JO61" s="147"/>
      <c r="JP61" s="147"/>
      <c r="JQ61" s="147"/>
      <c r="JR61" s="147"/>
      <c r="JS61" s="147"/>
      <c r="JT61" s="147"/>
      <c r="JU61" s="147"/>
      <c r="JV61" s="147"/>
      <c r="JW61" s="147"/>
      <c r="JX61" s="147"/>
      <c r="JY61" s="147"/>
      <c r="JZ61" s="147"/>
      <c r="KA61" s="147"/>
      <c r="KB61" s="147"/>
      <c r="KC61" s="147"/>
      <c r="KD61" s="147"/>
      <c r="KE61" s="147"/>
      <c r="KF61" s="147"/>
      <c r="KG61" s="147"/>
      <c r="KH61" s="147"/>
      <c r="KI61" s="147"/>
    </row>
    <row r="62" spans="1:295" s="82" customFormat="1" ht="10.5" customHeight="1" thickBot="1">
      <c r="A62" s="552" t="s">
        <v>3249</v>
      </c>
      <c r="B62" s="8"/>
      <c r="C62" s="1"/>
      <c r="D62" s="822" t="s">
        <v>551</v>
      </c>
      <c r="E62" s="823">
        <v>0</v>
      </c>
      <c r="F62" s="1509" t="str">
        <f>IF('Part VI-Revenues &amp; Expenses'!$K$155 =0,"",'Part VI-Revenues &amp; Expenses'!$K$155)</f>
        <v/>
      </c>
      <c r="G62" s="824">
        <f>IF('Part IX Scoring Criteria'!$O$74='Part IX Scoring Criteria'!$M$74,$L62,
IF($P$42="Albany",VLOOKUP($A$62,'DCA Underwriting Assumptions'!$E$22:$J$25,$E62+2),
IF($P$42="Athens",VLOOKUP($A$62,'DCA Underwriting Assumptions'!$E$26:$J$29,$E62+2),
IF($P$42="Atlanta",VLOOKUP($A$62,'DCA Underwriting Assumptions'!$E$30:$J$33,$E62+2),
IF($P$42="Augusta",VLOOKUP($A$62,'DCA Underwriting Assumptions'!$E$34:$J$37,$E62+2),
IF($P$42="Chattanooga",VLOOKUP($A$62,'DCA Underwriting Assumptions'!$E$38:$J$41,$E62+2),
IF($P$42="Columbus",VLOOKUP($A$62,'DCA Underwriting Assumptions'!$E$42:$J$45,$E62+2),
IF($P$42="Macon",VLOOKUP($A$62,'DCA Underwriting Assumptions'!$E$46:$J$49,$E62+2),
IF($P$42="Savannah",VLOOKUP($A$62,'DCA Underwriting Assumptions'!$E$50:$J$53,$E62+2),
VLOOKUP($A$62,'DCA Underwriting Assumptions'!$E$54:$J$57,$E62+2))))))))))*(1+'DCA Underwriting Assumptions'!$I$14)</f>
        <v>131222.39999999999</v>
      </c>
      <c r="H62" s="40" t="str">
        <f>CONCATENATE("x ", F62," units = ")</f>
        <v xml:space="preserve">x  units = </v>
      </c>
      <c r="I62" s="1510" t="str">
        <f>IF(F62="","",F62*G62)</f>
        <v/>
      </c>
      <c r="J62" s="42"/>
      <c r="K62" s="1509" t="str">
        <f>IF('Part VI-Revenues &amp; Expenses'!$K$156 =0,"",'Part VI-Revenues &amp; Expenses'!$K$156)</f>
        <v/>
      </c>
      <c r="L62" s="824">
        <f>G62*(1+'DCA Underwriting Assumptions'!$Q$12)</f>
        <v>144344.64000000001</v>
      </c>
      <c r="M62" s="40" t="str">
        <f>CONCATENATE("x ", K62," units = ")</f>
        <v xml:space="preserve">x  units = </v>
      </c>
      <c r="N62" s="1510" t="str">
        <f>IF(K62="","",K62*L62)</f>
        <v/>
      </c>
      <c r="O62" s="540"/>
      <c r="P62" s="2857"/>
      <c r="Q62" s="2857"/>
      <c r="R62" s="404"/>
      <c r="S62" s="2836"/>
      <c r="T62" s="2837"/>
      <c r="U62" s="2837"/>
      <c r="V62" s="2838"/>
      <c r="W62" s="445"/>
      <c r="X62" s="446"/>
      <c r="Y62" s="445"/>
      <c r="Z62" s="449"/>
      <c r="AA62" s="450"/>
      <c r="AB62" s="450"/>
      <c r="AC62" s="450"/>
      <c r="AD62" s="450"/>
      <c r="AE62" s="450"/>
      <c r="AF62" s="450"/>
      <c r="AG62" s="608"/>
      <c r="AH62" s="443"/>
      <c r="AI62" s="443"/>
      <c r="AJ62" s="443"/>
      <c r="AK62" s="443"/>
      <c r="AL62" s="443"/>
      <c r="AM62" s="443"/>
      <c r="AN62" s="443"/>
      <c r="AO62" s="443"/>
      <c r="AP62" s="443"/>
      <c r="AQ62" s="443"/>
      <c r="AR62" s="443"/>
      <c r="AS62" s="443"/>
      <c r="AT62" s="443"/>
      <c r="AU62" s="443"/>
      <c r="AV62" s="443"/>
      <c r="AW62" s="443"/>
      <c r="AX62" s="443"/>
      <c r="AY62" s="443"/>
      <c r="AZ62" s="443"/>
      <c r="BA62" s="443"/>
      <c r="BB62" s="443"/>
      <c r="BC62" s="443"/>
      <c r="BD62" s="443"/>
      <c r="BE62" s="443"/>
      <c r="BF62" s="443"/>
      <c r="BG62" s="443"/>
      <c r="BH62" s="443"/>
      <c r="BI62" s="443"/>
      <c r="BJ62" s="443"/>
      <c r="BK62" s="443"/>
      <c r="BL62" s="443"/>
      <c r="BM62" s="443"/>
      <c r="BN62" s="443"/>
      <c r="BO62" s="443"/>
      <c r="BP62" s="443"/>
      <c r="BQ62" s="443"/>
      <c r="BR62" s="443"/>
      <c r="BS62" s="443"/>
      <c r="BT62" s="443"/>
      <c r="BU62" s="443"/>
      <c r="BV62" s="443"/>
      <c r="BW62" s="443"/>
      <c r="BX62" s="443"/>
      <c r="BY62" s="443"/>
      <c r="BZ62" s="443"/>
      <c r="CA62" s="443"/>
      <c r="CB62" s="443"/>
      <c r="CC62" s="443"/>
      <c r="CD62" s="443"/>
      <c r="CE62" s="443"/>
      <c r="CF62" s="443"/>
      <c r="CG62" s="443"/>
      <c r="CH62" s="443"/>
      <c r="CI62" s="443"/>
      <c r="CJ62" s="443"/>
      <c r="CK62" s="443"/>
      <c r="CL62" s="443"/>
      <c r="CM62" s="443"/>
      <c r="CN62" s="443"/>
      <c r="CO62" s="443"/>
      <c r="CP62" s="443"/>
      <c r="CQ62" s="443"/>
      <c r="CR62" s="443"/>
      <c r="CS62" s="443"/>
      <c r="CT62" s="443"/>
      <c r="CU62" s="443"/>
      <c r="CV62" s="443"/>
      <c r="CW62" s="443"/>
      <c r="CX62" s="443"/>
      <c r="CY62" s="443"/>
      <c r="CZ62" s="443"/>
      <c r="DA62" s="443"/>
      <c r="DB62" s="443"/>
      <c r="DC62" s="443"/>
      <c r="DD62" s="443"/>
      <c r="DE62" s="443"/>
      <c r="DF62" s="443"/>
      <c r="DG62" s="443"/>
      <c r="DH62" s="443"/>
      <c r="DI62" s="443"/>
      <c r="DJ62" s="443"/>
      <c r="DK62" s="443"/>
      <c r="DL62" s="443"/>
      <c r="DM62" s="443"/>
      <c r="DN62" s="443"/>
      <c r="DO62" s="443"/>
      <c r="DP62" s="443"/>
      <c r="DQ62" s="443"/>
      <c r="DR62" s="443"/>
      <c r="DS62" s="443"/>
      <c r="DT62" s="443"/>
      <c r="DU62" s="443"/>
      <c r="DV62" s="443"/>
      <c r="DW62" s="443"/>
      <c r="DX62" s="443"/>
      <c r="DY62" s="443"/>
      <c r="DZ62" s="443"/>
      <c r="EA62" s="443"/>
      <c r="EB62" s="443"/>
      <c r="EC62" s="443"/>
      <c r="ED62" s="443"/>
      <c r="EE62" s="443"/>
      <c r="EF62" s="443"/>
      <c r="EG62" s="443"/>
      <c r="EH62" s="443"/>
      <c r="EI62" s="443"/>
      <c r="EJ62" s="443"/>
      <c r="EK62" s="443"/>
      <c r="EL62" s="443"/>
      <c r="EM62" s="443"/>
      <c r="EN62" s="443"/>
      <c r="EO62" s="443"/>
      <c r="EP62" s="443"/>
      <c r="EQ62" s="443"/>
      <c r="ER62" s="443"/>
      <c r="ES62" s="443"/>
      <c r="ET62" s="443"/>
      <c r="EU62" s="443"/>
      <c r="EV62" s="443"/>
      <c r="EW62" s="443"/>
      <c r="EX62" s="443"/>
      <c r="EY62" s="443"/>
      <c r="EZ62" s="443"/>
      <c r="FA62" s="443"/>
      <c r="FB62" s="443"/>
      <c r="FC62" s="443"/>
      <c r="FD62" s="443"/>
      <c r="FE62" s="443"/>
      <c r="FF62" s="443"/>
      <c r="FG62" s="443"/>
      <c r="FH62" s="443"/>
      <c r="FI62" s="443"/>
      <c r="FJ62" s="443"/>
      <c r="FK62" s="443"/>
      <c r="FL62" s="443"/>
      <c r="FM62" s="443"/>
      <c r="FN62" s="443"/>
      <c r="FO62" s="443"/>
      <c r="FP62" s="443"/>
      <c r="FQ62" s="443"/>
      <c r="FR62" s="443"/>
      <c r="FS62" s="443"/>
      <c r="FT62" s="443"/>
      <c r="FU62" s="443"/>
      <c r="FV62" s="443"/>
      <c r="FW62" s="443"/>
      <c r="FX62" s="443"/>
      <c r="FY62" s="443"/>
      <c r="FZ62" s="443"/>
      <c r="GA62" s="443"/>
      <c r="GB62" s="443"/>
      <c r="GC62" s="443"/>
      <c r="GD62" s="443"/>
      <c r="GE62" s="443"/>
      <c r="GF62" s="443"/>
      <c r="GG62" s="443"/>
      <c r="GH62" s="443"/>
      <c r="GI62" s="443"/>
      <c r="GJ62" s="443"/>
      <c r="GK62" s="443"/>
      <c r="GL62" s="443"/>
      <c r="GM62" s="443"/>
      <c r="GN62" s="443"/>
      <c r="GO62" s="443"/>
      <c r="GP62" s="443"/>
      <c r="GQ62" s="443"/>
      <c r="GR62" s="443"/>
      <c r="GS62" s="443"/>
      <c r="GT62" s="443"/>
      <c r="GU62" s="443"/>
      <c r="GV62" s="443"/>
      <c r="GW62" s="443"/>
      <c r="GX62" s="443"/>
      <c r="GY62" s="443"/>
      <c r="GZ62" s="443"/>
      <c r="HA62" s="443"/>
      <c r="HB62" s="443"/>
      <c r="HC62" s="443"/>
      <c r="HD62" s="443"/>
      <c r="HE62" s="443"/>
      <c r="HF62" s="443"/>
      <c r="HG62" s="443"/>
      <c r="HH62" s="443"/>
      <c r="HI62" s="443"/>
      <c r="HJ62" s="443"/>
      <c r="HK62" s="443"/>
      <c r="HL62" s="443"/>
      <c r="HM62" s="443"/>
      <c r="HN62" s="443"/>
      <c r="HO62" s="443"/>
      <c r="HP62" s="443"/>
      <c r="HQ62" s="443"/>
      <c r="HR62" s="443"/>
      <c r="HS62" s="443"/>
      <c r="HT62" s="443"/>
      <c r="HU62" s="443"/>
      <c r="HV62" s="443"/>
      <c r="HW62" s="443"/>
      <c r="HX62" s="443"/>
      <c r="HY62" s="443"/>
      <c r="HZ62" s="443"/>
      <c r="IA62" s="443"/>
      <c r="IB62" s="443"/>
      <c r="IC62" s="443"/>
      <c r="ID62" s="443"/>
      <c r="IE62" s="443"/>
      <c r="IF62" s="443"/>
      <c r="IG62" s="443"/>
      <c r="IH62" s="443"/>
      <c r="II62" s="443"/>
      <c r="IJ62" s="448"/>
      <c r="IK62" s="448"/>
      <c r="IL62" s="443"/>
      <c r="IM62" s="443"/>
      <c r="IN62" s="443"/>
      <c r="IO62" s="443"/>
      <c r="IP62" s="443"/>
      <c r="IQ62" s="443"/>
      <c r="IR62" s="443"/>
      <c r="IS62" s="443"/>
      <c r="IT62" s="443"/>
      <c r="IU62" s="443"/>
      <c r="IV62" s="443"/>
      <c r="IW62" s="443"/>
      <c r="IX62" s="443"/>
      <c r="IY62" s="443"/>
      <c r="IZ62" s="443"/>
      <c r="JA62" s="448"/>
      <c r="JB62" s="443"/>
      <c r="JC62" s="443"/>
      <c r="JD62" s="147"/>
      <c r="JE62" s="147"/>
      <c r="JF62" s="147"/>
      <c r="JG62" s="147"/>
      <c r="JH62" s="147"/>
      <c r="JI62" s="147"/>
      <c r="JJ62" s="147"/>
      <c r="JK62" s="147"/>
      <c r="JL62" s="147"/>
      <c r="JM62" s="147"/>
      <c r="JN62" s="147"/>
      <c r="JO62" s="147"/>
      <c r="JP62" s="147"/>
      <c r="JQ62" s="147"/>
      <c r="JR62" s="147"/>
      <c r="JS62" s="147"/>
      <c r="JT62" s="147"/>
      <c r="JU62" s="147"/>
      <c r="JV62" s="147"/>
      <c r="JW62" s="147"/>
      <c r="JX62" s="147"/>
      <c r="JY62" s="147"/>
      <c r="JZ62" s="147"/>
      <c r="KA62" s="147"/>
      <c r="KB62" s="147"/>
      <c r="KC62" s="147"/>
      <c r="KD62" s="147"/>
      <c r="KE62" s="147"/>
      <c r="KF62" s="147"/>
      <c r="KG62" s="147"/>
      <c r="KH62" s="147"/>
      <c r="KI62" s="147"/>
    </row>
    <row r="63" spans="1:295" s="82" customFormat="1" ht="10.5" customHeight="1">
      <c r="A63" s="8"/>
      <c r="B63" s="8"/>
      <c r="C63" s="1"/>
      <c r="D63" s="822" t="s">
        <v>2377</v>
      </c>
      <c r="E63" s="823">
        <v>1</v>
      </c>
      <c r="F63" s="1509">
        <f>IF('Part VI-Revenues &amp; Expenses'!$L$155 =0,"",'Part VI-Revenues &amp; Expenses'!$L$155)</f>
        <v>20</v>
      </c>
      <c r="G63" s="824">
        <f>IF('Part IX Scoring Criteria'!$O$74='Part IX Scoring Criteria'!$M$74,$L63,
IF($P$42="Albany",VLOOKUP($A$62,'DCA Underwriting Assumptions'!$E$22:$J$25,$E63+2),
IF($P$42="Athens",VLOOKUP($A$62,'DCA Underwriting Assumptions'!$E$26:$J$29,$E63+2),
IF($P$42="Atlanta",VLOOKUP($A$62,'DCA Underwriting Assumptions'!$E$30:$J$33,$E63+2),
IF($P$42="Augusta",VLOOKUP($A$62,'DCA Underwriting Assumptions'!$E$34:$J$37,$E63+2),
IF($P$42="Chattanooga",VLOOKUP($A$62,'DCA Underwriting Assumptions'!$E$38:$J$41,$E63+2),
IF($P$42="Columbus",VLOOKUP($A$62,'DCA Underwriting Assumptions'!$E$42:$J$45,$E63+2),
IF($P$42="Macon",VLOOKUP($A$62,'DCA Underwriting Assumptions'!$E$46:$J$49,$E63+2),
IF($P$42="Savannah",VLOOKUP($A$62,'DCA Underwriting Assumptions'!$E$50:$J$53,$E63+2),
VLOOKUP($A$62,'DCA Underwriting Assumptions'!$E$54:$J$57,$E63+2))))))))))*(1+'DCA Underwriting Assumptions'!$I$15)</f>
        <v>176056.94999999998</v>
      </c>
      <c r="H63" s="40" t="str">
        <f>CONCATENATE("x ", F63," units = ")</f>
        <v xml:space="preserve">x 20 units = </v>
      </c>
      <c r="I63" s="1510">
        <f>IF(F63="","",F63*G63)</f>
        <v>3521138.9999999995</v>
      </c>
      <c r="J63" s="42"/>
      <c r="K63" s="1509" t="str">
        <f>IF('Part VI-Revenues &amp; Expenses'!$L$156 =0,"",'Part VI-Revenues &amp; Expenses'!$L$156)</f>
        <v/>
      </c>
      <c r="L63" s="824">
        <f>G63*(1+'DCA Underwriting Assumptions'!$Q$12)</f>
        <v>193662.64499999999</v>
      </c>
      <c r="M63" s="40" t="str">
        <f>CONCATENATE("x ", K63," units = ")</f>
        <v xml:space="preserve">x  units = </v>
      </c>
      <c r="N63" s="1510" t="str">
        <f>IF(K63="","",K63*L63)</f>
        <v/>
      </c>
      <c r="O63" s="540"/>
      <c r="P63" s="2858">
        <f>IF(P50&gt;1,P50, IF(OR('Part IX Scoring Criteria'!$O$74='Part IX Scoring Criteria'!$M$74,AND('Part IV-A-Uses of Funds'!$T$172="Yes",'Part IX Scoring Criteria'!$O$415&gt;0)),H69+M69,H69))</f>
        <v>15291752.399999999</v>
      </c>
      <c r="Q63" s="2859"/>
      <c r="R63" s="1591"/>
      <c r="S63" s="1592"/>
      <c r="U63" s="35"/>
      <c r="V63" s="445"/>
      <c r="W63" s="445"/>
      <c r="X63" s="446"/>
      <c r="Y63" s="445"/>
      <c r="Z63" s="449"/>
      <c r="AA63" s="450"/>
      <c r="AB63" s="450"/>
      <c r="AC63" s="450"/>
      <c r="AD63" s="450"/>
      <c r="AE63" s="450"/>
      <c r="AF63" s="450"/>
      <c r="AG63" s="608"/>
      <c r="AH63" s="443"/>
      <c r="AI63" s="443"/>
      <c r="AJ63" s="443"/>
      <c r="AK63" s="443"/>
      <c r="AL63" s="443"/>
      <c r="AM63" s="443"/>
      <c r="AN63" s="443"/>
      <c r="AO63" s="443"/>
      <c r="AP63" s="443"/>
      <c r="AQ63" s="443"/>
      <c r="AR63" s="443"/>
      <c r="AS63" s="443"/>
      <c r="AT63" s="443"/>
      <c r="AU63" s="443"/>
      <c r="AV63" s="443"/>
      <c r="AW63" s="443"/>
      <c r="AX63" s="443"/>
      <c r="AY63" s="443"/>
      <c r="AZ63" s="443"/>
      <c r="BA63" s="443"/>
      <c r="BB63" s="443"/>
      <c r="BC63" s="443"/>
      <c r="BD63" s="443"/>
      <c r="BE63" s="443"/>
      <c r="BF63" s="443"/>
      <c r="BG63" s="443"/>
      <c r="BH63" s="443"/>
      <c r="BI63" s="443"/>
      <c r="BJ63" s="443"/>
      <c r="BK63" s="443"/>
      <c r="BL63" s="443"/>
      <c r="BM63" s="443"/>
      <c r="BN63" s="443"/>
      <c r="BO63" s="443"/>
      <c r="BP63" s="443"/>
      <c r="BQ63" s="443"/>
      <c r="BR63" s="443"/>
      <c r="BS63" s="443"/>
      <c r="BT63" s="443"/>
      <c r="BU63" s="443"/>
      <c r="BV63" s="443"/>
      <c r="BW63" s="443"/>
      <c r="BX63" s="443"/>
      <c r="BY63" s="443"/>
      <c r="BZ63" s="443"/>
      <c r="CA63" s="443"/>
      <c r="CB63" s="443"/>
      <c r="CC63" s="443"/>
      <c r="CD63" s="443"/>
      <c r="CE63" s="443"/>
      <c r="CF63" s="443"/>
      <c r="CG63" s="443"/>
      <c r="CH63" s="443"/>
      <c r="CI63" s="443"/>
      <c r="CJ63" s="443"/>
      <c r="CK63" s="443"/>
      <c r="CL63" s="443"/>
      <c r="CM63" s="443"/>
      <c r="CN63" s="443"/>
      <c r="CO63" s="443"/>
      <c r="CP63" s="443"/>
      <c r="CQ63" s="443"/>
      <c r="CR63" s="443"/>
      <c r="CS63" s="443"/>
      <c r="CT63" s="443"/>
      <c r="CU63" s="443"/>
      <c r="CV63" s="443"/>
      <c r="CW63" s="443"/>
      <c r="CX63" s="443"/>
      <c r="CY63" s="443"/>
      <c r="CZ63" s="443"/>
      <c r="DA63" s="443"/>
      <c r="DB63" s="443"/>
      <c r="DC63" s="443"/>
      <c r="DD63" s="443"/>
      <c r="DE63" s="443"/>
      <c r="DF63" s="443"/>
      <c r="DG63" s="443"/>
      <c r="DH63" s="443"/>
      <c r="DI63" s="443"/>
      <c r="DJ63" s="443"/>
      <c r="DK63" s="443"/>
      <c r="DL63" s="443"/>
      <c r="DM63" s="443"/>
      <c r="DN63" s="443"/>
      <c r="DO63" s="443"/>
      <c r="DP63" s="443"/>
      <c r="DQ63" s="443"/>
      <c r="DR63" s="443"/>
      <c r="DS63" s="443"/>
      <c r="DT63" s="443"/>
      <c r="DU63" s="443"/>
      <c r="DV63" s="443"/>
      <c r="DW63" s="443"/>
      <c r="DX63" s="443"/>
      <c r="DY63" s="443"/>
      <c r="DZ63" s="443"/>
      <c r="EA63" s="443"/>
      <c r="EB63" s="443"/>
      <c r="EC63" s="443"/>
      <c r="ED63" s="443"/>
      <c r="EE63" s="443"/>
      <c r="EF63" s="443"/>
      <c r="EG63" s="443"/>
      <c r="EH63" s="443"/>
      <c r="EI63" s="443"/>
      <c r="EJ63" s="443"/>
      <c r="EK63" s="443"/>
      <c r="EL63" s="443"/>
      <c r="EM63" s="443"/>
      <c r="EN63" s="443"/>
      <c r="EO63" s="443"/>
      <c r="EP63" s="443"/>
      <c r="EQ63" s="443"/>
      <c r="ER63" s="443"/>
      <c r="ES63" s="443"/>
      <c r="ET63" s="443"/>
      <c r="EU63" s="443"/>
      <c r="EV63" s="443"/>
      <c r="EW63" s="443"/>
      <c r="EX63" s="443"/>
      <c r="EY63" s="443"/>
      <c r="EZ63" s="443"/>
      <c r="FA63" s="443"/>
      <c r="FB63" s="443"/>
      <c r="FC63" s="443"/>
      <c r="FD63" s="443"/>
      <c r="FE63" s="443"/>
      <c r="FF63" s="443"/>
      <c r="FG63" s="443"/>
      <c r="FH63" s="443"/>
      <c r="FI63" s="443"/>
      <c r="FJ63" s="443"/>
      <c r="FK63" s="443"/>
      <c r="FL63" s="443"/>
      <c r="FM63" s="443"/>
      <c r="FN63" s="443"/>
      <c r="FO63" s="443"/>
      <c r="FP63" s="443"/>
      <c r="FQ63" s="443"/>
      <c r="FR63" s="443"/>
      <c r="FS63" s="443"/>
      <c r="FT63" s="443"/>
      <c r="FU63" s="443"/>
      <c r="FV63" s="443"/>
      <c r="FW63" s="443"/>
      <c r="FX63" s="443"/>
      <c r="FY63" s="443"/>
      <c r="FZ63" s="443"/>
      <c r="GA63" s="443"/>
      <c r="GB63" s="443"/>
      <c r="GC63" s="443"/>
      <c r="GD63" s="443"/>
      <c r="GE63" s="443"/>
      <c r="GF63" s="443"/>
      <c r="GG63" s="443"/>
      <c r="GH63" s="443"/>
      <c r="GI63" s="443"/>
      <c r="GJ63" s="443"/>
      <c r="GK63" s="443"/>
      <c r="GL63" s="443"/>
      <c r="GM63" s="443"/>
      <c r="GN63" s="443"/>
      <c r="GO63" s="443"/>
      <c r="GP63" s="443"/>
      <c r="GQ63" s="443"/>
      <c r="GR63" s="443"/>
      <c r="GS63" s="443"/>
      <c r="GT63" s="443"/>
      <c r="GU63" s="443"/>
      <c r="GV63" s="443"/>
      <c r="GW63" s="443"/>
      <c r="GX63" s="443"/>
      <c r="GY63" s="443"/>
      <c r="GZ63" s="443"/>
      <c r="HA63" s="443"/>
      <c r="HB63" s="443"/>
      <c r="HC63" s="443"/>
      <c r="HD63" s="443"/>
      <c r="HE63" s="443"/>
      <c r="HF63" s="443"/>
      <c r="HG63" s="443"/>
      <c r="HH63" s="443"/>
      <c r="HI63" s="443"/>
      <c r="HJ63" s="443"/>
      <c r="HK63" s="443"/>
      <c r="HL63" s="443"/>
      <c r="HM63" s="443"/>
      <c r="HN63" s="443"/>
      <c r="HO63" s="443"/>
      <c r="HP63" s="443"/>
      <c r="HQ63" s="443"/>
      <c r="HR63" s="443"/>
      <c r="HS63" s="443"/>
      <c r="HT63" s="443"/>
      <c r="HU63" s="443"/>
      <c r="HV63" s="443"/>
      <c r="HW63" s="443"/>
      <c r="HX63" s="443"/>
      <c r="HY63" s="443"/>
      <c r="HZ63" s="443"/>
      <c r="IA63" s="443"/>
      <c r="IB63" s="443"/>
      <c r="IC63" s="443"/>
      <c r="ID63" s="443"/>
      <c r="IE63" s="443"/>
      <c r="IF63" s="443"/>
      <c r="IG63" s="443"/>
      <c r="IH63" s="443"/>
      <c r="II63" s="443"/>
      <c r="IJ63" s="448"/>
      <c r="IK63" s="448"/>
      <c r="IL63" s="443"/>
      <c r="IM63" s="443"/>
      <c r="IN63" s="443"/>
      <c r="IO63" s="443"/>
      <c r="IP63" s="443"/>
      <c r="IQ63" s="443"/>
      <c r="IR63" s="443"/>
      <c r="IS63" s="443"/>
      <c r="IT63" s="443"/>
      <c r="IU63" s="443"/>
      <c r="IV63" s="443"/>
      <c r="IW63" s="443"/>
      <c r="IX63" s="443"/>
      <c r="IY63" s="443"/>
      <c r="IZ63" s="443"/>
      <c r="JA63" s="448"/>
      <c r="JB63" s="443"/>
      <c r="JC63" s="443"/>
      <c r="JD63" s="147"/>
      <c r="JE63" s="147"/>
      <c r="JF63" s="147"/>
      <c r="JG63" s="147"/>
      <c r="JH63" s="147"/>
      <c r="JI63" s="147"/>
      <c r="JJ63" s="147"/>
      <c r="JK63" s="147"/>
      <c r="JL63" s="147"/>
      <c r="JM63" s="147"/>
      <c r="JN63" s="147"/>
      <c r="JO63" s="147"/>
      <c r="JP63" s="147"/>
      <c r="JQ63" s="147"/>
      <c r="JR63" s="147"/>
      <c r="JS63" s="147"/>
      <c r="JT63" s="147"/>
      <c r="JU63" s="147"/>
      <c r="JV63" s="147"/>
      <c r="JW63" s="147"/>
      <c r="JX63" s="147"/>
      <c r="JY63" s="147"/>
      <c r="JZ63" s="147"/>
      <c r="KA63" s="147"/>
      <c r="KB63" s="147"/>
      <c r="KC63" s="147"/>
      <c r="KD63" s="147"/>
      <c r="KE63" s="147"/>
      <c r="KF63" s="147"/>
      <c r="KG63" s="147"/>
      <c r="KH63" s="147"/>
      <c r="KI63" s="147"/>
    </row>
    <row r="64" spans="1:295" s="82" customFormat="1" ht="10.5" customHeight="1">
      <c r="A64" s="8"/>
      <c r="B64" s="8"/>
      <c r="C64" s="1"/>
      <c r="D64" s="822" t="s">
        <v>2378</v>
      </c>
      <c r="E64" s="823">
        <v>2</v>
      </c>
      <c r="F64" s="1509">
        <f>IF('Part VI-Revenues &amp; Expenses'!$M$155 =0,"",'Part VI-Revenues &amp; Expenses'!$M$155)</f>
        <v>52</v>
      </c>
      <c r="G64" s="824">
        <f>IF('Part IX Scoring Criteria'!$O$74='Part IX Scoring Criteria'!$M$74,$L64,
IF($P$42="Albany",VLOOKUP($A$62,'DCA Underwriting Assumptions'!$E$22:$J$25,$E64+2),
IF($P$42="Athens",VLOOKUP($A$62,'DCA Underwriting Assumptions'!$E$26:$J$29,$E64+2),
IF($P$42="Atlanta",VLOOKUP($A$62,'DCA Underwriting Assumptions'!$E$30:$J$33,$E64+2),
IF($P$42="Augusta",VLOOKUP($A$62,'DCA Underwriting Assumptions'!$E$34:$J$37,$E64+2),
IF($P$42="Chattanooga",VLOOKUP($A$62,'DCA Underwriting Assumptions'!$E$38:$J$41,$E64+2),
IF($P$42="Columbus",VLOOKUP($A$62,'DCA Underwriting Assumptions'!$E$42:$J$45,$E64+2),
IF($P$42="Macon",VLOOKUP($A$62,'DCA Underwriting Assumptions'!$E$46:$J$49,$E64+2),
IF($P$42="Savannah",VLOOKUP($A$62,'DCA Underwriting Assumptions'!$E$50:$J$53,$E64+2),
VLOOKUP($A$62,'DCA Underwriting Assumptions'!$E$54:$J$57,$E64+2))))))))))*(1+'DCA Underwriting Assumptions'!$I$16)</f>
        <v>226357.94999999998</v>
      </c>
      <c r="H64" s="40" t="str">
        <f>CONCATENATE("x ", F64," units = ")</f>
        <v xml:space="preserve">x 52 units = </v>
      </c>
      <c r="I64" s="1510">
        <f>IF(F64="","",F64*G64)</f>
        <v>11770613.399999999</v>
      </c>
      <c r="J64" s="42"/>
      <c r="K64" s="1509" t="str">
        <f>IF('Part VI-Revenues &amp; Expenses'!$M$156 =0,"",'Part VI-Revenues &amp; Expenses'!$M$156)</f>
        <v/>
      </c>
      <c r="L64" s="824">
        <f>G64*(1+'DCA Underwriting Assumptions'!$Q$12)</f>
        <v>248993.745</v>
      </c>
      <c r="M64" s="40" t="str">
        <f>CONCATENATE("x ", K64," units = ")</f>
        <v xml:space="preserve">x  units = </v>
      </c>
      <c r="N64" s="1510" t="str">
        <f>IF(K64="","",K64*L64)</f>
        <v/>
      </c>
      <c r="P64" s="2860"/>
      <c r="Q64" s="2861"/>
      <c r="R64" s="1591"/>
      <c r="S64" s="1592"/>
      <c r="U64" s="35"/>
      <c r="V64" s="445"/>
      <c r="W64" s="445"/>
      <c r="X64" s="446"/>
      <c r="Y64" s="445"/>
      <c r="Z64" s="449"/>
      <c r="AA64" s="450"/>
      <c r="AB64" s="450"/>
      <c r="AC64" s="450"/>
      <c r="AD64" s="450"/>
      <c r="AE64" s="450"/>
      <c r="AF64" s="450"/>
      <c r="AG64" s="608"/>
      <c r="AH64" s="443"/>
      <c r="AI64" s="443"/>
      <c r="AJ64" s="443"/>
      <c r="AK64" s="443"/>
      <c r="AL64" s="443"/>
      <c r="AM64" s="443"/>
      <c r="AN64" s="443"/>
      <c r="AO64" s="443"/>
      <c r="AP64" s="443"/>
      <c r="AQ64" s="443"/>
      <c r="AR64" s="443"/>
      <c r="AS64" s="443"/>
      <c r="AT64" s="443"/>
      <c r="AU64" s="443"/>
      <c r="AV64" s="443"/>
      <c r="AW64" s="443"/>
      <c r="AX64" s="443"/>
      <c r="AY64" s="443"/>
      <c r="AZ64" s="443"/>
      <c r="BA64" s="443"/>
      <c r="BB64" s="443"/>
      <c r="BC64" s="443"/>
      <c r="BD64" s="443"/>
      <c r="BE64" s="443"/>
      <c r="BF64" s="443"/>
      <c r="BG64" s="443"/>
      <c r="BH64" s="443"/>
      <c r="BI64" s="443"/>
      <c r="BJ64" s="443"/>
      <c r="BK64" s="443"/>
      <c r="BL64" s="443"/>
      <c r="BM64" s="443"/>
      <c r="BN64" s="443"/>
      <c r="BO64" s="443"/>
      <c r="BP64" s="443"/>
      <c r="BQ64" s="443"/>
      <c r="BR64" s="443"/>
      <c r="BS64" s="443"/>
      <c r="BT64" s="443"/>
      <c r="BU64" s="443"/>
      <c r="BV64" s="443"/>
      <c r="BW64" s="443"/>
      <c r="BX64" s="443"/>
      <c r="BY64" s="443"/>
      <c r="BZ64" s="443"/>
      <c r="CA64" s="443"/>
      <c r="CB64" s="443"/>
      <c r="CC64" s="443"/>
      <c r="CD64" s="443"/>
      <c r="CE64" s="443"/>
      <c r="CF64" s="443"/>
      <c r="CG64" s="443"/>
      <c r="CH64" s="443"/>
      <c r="CI64" s="443"/>
      <c r="CJ64" s="443"/>
      <c r="CK64" s="443"/>
      <c r="CL64" s="443"/>
      <c r="CM64" s="443"/>
      <c r="CN64" s="443"/>
      <c r="CO64" s="443"/>
      <c r="CP64" s="443"/>
      <c r="CQ64" s="443"/>
      <c r="CR64" s="443"/>
      <c r="CS64" s="443"/>
      <c r="CT64" s="443"/>
      <c r="CU64" s="443"/>
      <c r="CV64" s="443"/>
      <c r="CW64" s="443"/>
      <c r="CX64" s="443"/>
      <c r="CY64" s="443"/>
      <c r="CZ64" s="443"/>
      <c r="DA64" s="443"/>
      <c r="DB64" s="443"/>
      <c r="DC64" s="443"/>
      <c r="DD64" s="443"/>
      <c r="DE64" s="443"/>
      <c r="DF64" s="443"/>
      <c r="DG64" s="443"/>
      <c r="DH64" s="443"/>
      <c r="DI64" s="443"/>
      <c r="DJ64" s="443"/>
      <c r="DK64" s="443"/>
      <c r="DL64" s="443"/>
      <c r="DM64" s="443"/>
      <c r="DN64" s="443"/>
      <c r="DO64" s="443"/>
      <c r="DP64" s="443"/>
      <c r="DQ64" s="443"/>
      <c r="DR64" s="443"/>
      <c r="DS64" s="443"/>
      <c r="DT64" s="443"/>
      <c r="DU64" s="443"/>
      <c r="DV64" s="443"/>
      <c r="DW64" s="443"/>
      <c r="DX64" s="443"/>
      <c r="DY64" s="443"/>
      <c r="DZ64" s="443"/>
      <c r="EA64" s="443"/>
      <c r="EB64" s="443"/>
      <c r="EC64" s="443"/>
      <c r="ED64" s="443"/>
      <c r="EE64" s="443"/>
      <c r="EF64" s="443"/>
      <c r="EG64" s="443"/>
      <c r="EH64" s="443"/>
      <c r="EI64" s="443"/>
      <c r="EJ64" s="443"/>
      <c r="EK64" s="443"/>
      <c r="EL64" s="443"/>
      <c r="EM64" s="443"/>
      <c r="EN64" s="443"/>
      <c r="EO64" s="443"/>
      <c r="EP64" s="443"/>
      <c r="EQ64" s="443"/>
      <c r="ER64" s="443"/>
      <c r="ES64" s="443"/>
      <c r="ET64" s="443"/>
      <c r="EU64" s="443"/>
      <c r="EV64" s="443"/>
      <c r="EW64" s="443"/>
      <c r="EX64" s="443"/>
      <c r="EY64" s="443"/>
      <c r="EZ64" s="443"/>
      <c r="FA64" s="443"/>
      <c r="FB64" s="443"/>
      <c r="FC64" s="443"/>
      <c r="FD64" s="443"/>
      <c r="FE64" s="443"/>
      <c r="FF64" s="443"/>
      <c r="FG64" s="443"/>
      <c r="FH64" s="443"/>
      <c r="FI64" s="443"/>
      <c r="FJ64" s="443"/>
      <c r="FK64" s="443"/>
      <c r="FL64" s="443"/>
      <c r="FM64" s="443"/>
      <c r="FN64" s="443"/>
      <c r="FO64" s="443"/>
      <c r="FP64" s="443"/>
      <c r="FQ64" s="443"/>
      <c r="FR64" s="443"/>
      <c r="FS64" s="443"/>
      <c r="FT64" s="443"/>
      <c r="FU64" s="443"/>
      <c r="FV64" s="443"/>
      <c r="FW64" s="443"/>
      <c r="FX64" s="443"/>
      <c r="FY64" s="443"/>
      <c r="FZ64" s="443"/>
      <c r="GA64" s="443"/>
      <c r="GB64" s="443"/>
      <c r="GC64" s="443"/>
      <c r="GD64" s="443"/>
      <c r="GE64" s="443"/>
      <c r="GF64" s="443"/>
      <c r="GG64" s="443"/>
      <c r="GH64" s="443"/>
      <c r="GI64" s="443"/>
      <c r="GJ64" s="443"/>
      <c r="GK64" s="443"/>
      <c r="GL64" s="443"/>
      <c r="GM64" s="443"/>
      <c r="GN64" s="443"/>
      <c r="GO64" s="443"/>
      <c r="GP64" s="443"/>
      <c r="GQ64" s="443"/>
      <c r="GR64" s="443"/>
      <c r="GS64" s="443"/>
      <c r="GT64" s="443"/>
      <c r="GU64" s="443"/>
      <c r="GV64" s="443"/>
      <c r="GW64" s="443"/>
      <c r="GX64" s="443"/>
      <c r="GY64" s="443"/>
      <c r="GZ64" s="443"/>
      <c r="HA64" s="443"/>
      <c r="HB64" s="443"/>
      <c r="HC64" s="443"/>
      <c r="HD64" s="443"/>
      <c r="HE64" s="443"/>
      <c r="HF64" s="443"/>
      <c r="HG64" s="443"/>
      <c r="HH64" s="443"/>
      <c r="HI64" s="443"/>
      <c r="HJ64" s="443"/>
      <c r="HK64" s="443"/>
      <c r="HL64" s="443"/>
      <c r="HM64" s="443"/>
      <c r="HN64" s="443"/>
      <c r="HO64" s="443"/>
      <c r="HP64" s="443"/>
      <c r="HQ64" s="443"/>
      <c r="HR64" s="443"/>
      <c r="HS64" s="443"/>
      <c r="HT64" s="443"/>
      <c r="HU64" s="443"/>
      <c r="HV64" s="443"/>
      <c r="HW64" s="443"/>
      <c r="HX64" s="443"/>
      <c r="HY64" s="443"/>
      <c r="HZ64" s="443"/>
      <c r="IA64" s="443"/>
      <c r="IB64" s="443"/>
      <c r="IC64" s="443"/>
      <c r="ID64" s="443"/>
      <c r="IE64" s="443"/>
      <c r="IF64" s="443"/>
      <c r="IG64" s="443"/>
      <c r="IH64" s="443"/>
      <c r="II64" s="443"/>
      <c r="IJ64" s="448"/>
      <c r="IK64" s="448"/>
      <c r="IL64" s="443"/>
      <c r="IM64" s="443"/>
      <c r="IN64" s="443"/>
      <c r="IO64" s="443"/>
      <c r="IP64" s="443"/>
      <c r="IQ64" s="443"/>
      <c r="IR64" s="443"/>
      <c r="IS64" s="443"/>
      <c r="IT64" s="443"/>
      <c r="IU64" s="443"/>
      <c r="IV64" s="443"/>
      <c r="IW64" s="443"/>
      <c r="IX64" s="443"/>
      <c r="IY64" s="443"/>
      <c r="IZ64" s="443"/>
      <c r="JA64" s="448"/>
      <c r="JB64" s="443"/>
      <c r="JC64" s="443"/>
      <c r="JD64" s="147"/>
      <c r="JE64" s="147"/>
      <c r="JF64" s="147"/>
      <c r="JG64" s="147"/>
      <c r="JH64" s="147"/>
      <c r="JI64" s="147"/>
      <c r="JJ64" s="147"/>
      <c r="JK64" s="147"/>
      <c r="JL64" s="147"/>
      <c r="JM64" s="147"/>
      <c r="JN64" s="147"/>
      <c r="JO64" s="147"/>
      <c r="JP64" s="147"/>
      <c r="JQ64" s="147"/>
      <c r="JR64" s="147"/>
      <c r="JS64" s="147"/>
      <c r="JT64" s="147"/>
      <c r="JU64" s="147"/>
      <c r="JV64" s="147"/>
      <c r="JW64" s="147"/>
      <c r="JX64" s="147"/>
      <c r="JY64" s="147"/>
      <c r="JZ64" s="147"/>
      <c r="KA64" s="147"/>
      <c r="KB64" s="147"/>
      <c r="KC64" s="147"/>
      <c r="KD64" s="147"/>
      <c r="KE64" s="147"/>
      <c r="KF64" s="147"/>
      <c r="KG64" s="147"/>
      <c r="KH64" s="147"/>
      <c r="KI64" s="147"/>
    </row>
    <row r="65" spans="1:295" s="82" customFormat="1" ht="10.5" customHeight="1">
      <c r="A65" s="8"/>
      <c r="B65" s="8"/>
      <c r="C65" s="1"/>
      <c r="D65" s="822" t="s">
        <v>2379</v>
      </c>
      <c r="E65" s="823">
        <v>3</v>
      </c>
      <c r="F65" s="1509" t="str">
        <f>IF('Part VI-Revenues &amp; Expenses'!$N$155 =0,"",'Part VI-Revenues &amp; Expenses'!$N$155)</f>
        <v/>
      </c>
      <c r="G65" s="824">
        <f>IF('Part IX Scoring Criteria'!$O$74='Part IX Scoring Criteria'!$M$74,$L65,
IF($P$42="Albany",VLOOKUP($A$62,'DCA Underwriting Assumptions'!$E$22:$J$25,$E65+2),
IF($P$42="Athens",VLOOKUP($A$62,'DCA Underwriting Assumptions'!$E$26:$J$29,$E65+2),
IF($P$42="Atlanta",VLOOKUP($A$62,'DCA Underwriting Assumptions'!$E$30:$J$33,$E65+2),
IF($P$42="Augusta",VLOOKUP($A$62,'DCA Underwriting Assumptions'!$E$34:$J$37,$E65+2),
IF($P$42="Chattanooga",VLOOKUP($A$62,'DCA Underwriting Assumptions'!$E$38:$J$41,$E65+2),
IF($P$42="Columbus",VLOOKUP($A$62,'DCA Underwriting Assumptions'!$E$42:$J$45,$E65+2),
IF($P$42="Macon",VLOOKUP($A$62,'DCA Underwriting Assumptions'!$E$46:$J$49,$E65+2),
IF($P$42="Savannah",VLOOKUP($A$62,'DCA Underwriting Assumptions'!$E$50:$J$53,$E65+2),
VLOOKUP($A$62,'DCA Underwriting Assumptions'!$E$54:$J$57,$E65+2))))))))))*(1+'DCA Underwriting Assumptions'!$I$17)</f>
        <v>288689.5</v>
      </c>
      <c r="H65" s="40" t="str">
        <f>CONCATENATE("x ", F65," units = ")</f>
        <v xml:space="preserve">x  units = </v>
      </c>
      <c r="I65" s="1510" t="str">
        <f>IF(F65="","",F65*G65)</f>
        <v/>
      </c>
      <c r="J65" s="42"/>
      <c r="K65" s="1509" t="str">
        <f>IF('Part VI-Revenues &amp; Expenses'!$N$156 =0,"",'Part VI-Revenues &amp; Expenses'!$N$156)</f>
        <v/>
      </c>
      <c r="L65" s="824">
        <f>G65*(1+'DCA Underwriting Assumptions'!$Q$12)</f>
        <v>317558.45</v>
      </c>
      <c r="M65" s="40" t="str">
        <f>CONCATENATE("x ", K65," units = ")</f>
        <v xml:space="preserve">x  units = </v>
      </c>
      <c r="N65" s="1510" t="str">
        <f>IF(K65="","",K65*L65)</f>
        <v/>
      </c>
      <c r="P65" s="2843" t="s">
        <v>3878</v>
      </c>
      <c r="Q65" s="2843"/>
      <c r="R65" s="404"/>
      <c r="U65" s="35"/>
      <c r="V65" s="445"/>
      <c r="W65" s="445"/>
      <c r="X65" s="446"/>
      <c r="Y65" s="445"/>
      <c r="Z65" s="449"/>
      <c r="AA65" s="450"/>
      <c r="AB65" s="450"/>
      <c r="AC65" s="450"/>
      <c r="AD65" s="450"/>
      <c r="AE65" s="450"/>
      <c r="AF65" s="450"/>
      <c r="AG65" s="608"/>
      <c r="AH65" s="443"/>
      <c r="AI65" s="443"/>
      <c r="AJ65" s="443"/>
      <c r="AK65" s="443"/>
      <c r="AL65" s="443"/>
      <c r="AM65" s="443"/>
      <c r="AN65" s="443"/>
      <c r="AO65" s="443"/>
      <c r="AP65" s="443"/>
      <c r="AQ65" s="443"/>
      <c r="AR65" s="443"/>
      <c r="AS65" s="443"/>
      <c r="AT65" s="443"/>
      <c r="AU65" s="443"/>
      <c r="AV65" s="443"/>
      <c r="AW65" s="443"/>
      <c r="AX65" s="443"/>
      <c r="AY65" s="443"/>
      <c r="AZ65" s="443"/>
      <c r="BA65" s="443"/>
      <c r="BB65" s="443"/>
      <c r="BC65" s="443"/>
      <c r="BD65" s="443"/>
      <c r="BE65" s="443"/>
      <c r="BF65" s="443"/>
      <c r="BG65" s="443"/>
      <c r="BH65" s="443"/>
      <c r="BI65" s="443"/>
      <c r="BJ65" s="443"/>
      <c r="BK65" s="443"/>
      <c r="BL65" s="443"/>
      <c r="BM65" s="443"/>
      <c r="BN65" s="443"/>
      <c r="BO65" s="443"/>
      <c r="BP65" s="443"/>
      <c r="BQ65" s="443"/>
      <c r="BR65" s="443"/>
      <c r="BS65" s="443"/>
      <c r="BT65" s="443"/>
      <c r="BU65" s="443"/>
      <c r="BV65" s="443"/>
      <c r="BW65" s="443"/>
      <c r="BX65" s="443"/>
      <c r="BY65" s="443"/>
      <c r="BZ65" s="443"/>
      <c r="CA65" s="443"/>
      <c r="CB65" s="443"/>
      <c r="CC65" s="443"/>
      <c r="CD65" s="443"/>
      <c r="CE65" s="443"/>
      <c r="CF65" s="443"/>
      <c r="CG65" s="443"/>
      <c r="CH65" s="443"/>
      <c r="CI65" s="443"/>
      <c r="CJ65" s="443"/>
      <c r="CK65" s="443"/>
      <c r="CL65" s="443"/>
      <c r="CM65" s="443"/>
      <c r="CN65" s="443"/>
      <c r="CO65" s="443"/>
      <c r="CP65" s="443"/>
      <c r="CQ65" s="443"/>
      <c r="CR65" s="443"/>
      <c r="CS65" s="443"/>
      <c r="CT65" s="443"/>
      <c r="CU65" s="443"/>
      <c r="CV65" s="443"/>
      <c r="CW65" s="443"/>
      <c r="CX65" s="443"/>
      <c r="CY65" s="443"/>
      <c r="CZ65" s="443"/>
      <c r="DA65" s="443"/>
      <c r="DB65" s="443"/>
      <c r="DC65" s="443"/>
      <c r="DD65" s="443"/>
      <c r="DE65" s="443"/>
      <c r="DF65" s="443"/>
      <c r="DG65" s="443"/>
      <c r="DH65" s="443"/>
      <c r="DI65" s="443"/>
      <c r="DJ65" s="443"/>
      <c r="DK65" s="443"/>
      <c r="DL65" s="443"/>
      <c r="DM65" s="443"/>
      <c r="DN65" s="443"/>
      <c r="DO65" s="443"/>
      <c r="DP65" s="443"/>
      <c r="DQ65" s="443"/>
      <c r="DR65" s="443"/>
      <c r="DS65" s="443"/>
      <c r="DT65" s="443"/>
      <c r="DU65" s="443"/>
      <c r="DV65" s="443"/>
      <c r="DW65" s="443"/>
      <c r="DX65" s="443"/>
      <c r="DY65" s="443"/>
      <c r="DZ65" s="443"/>
      <c r="EA65" s="443"/>
      <c r="EB65" s="443"/>
      <c r="EC65" s="443"/>
      <c r="ED65" s="443"/>
      <c r="EE65" s="443"/>
      <c r="EF65" s="443"/>
      <c r="EG65" s="443"/>
      <c r="EH65" s="443"/>
      <c r="EI65" s="443"/>
      <c r="EJ65" s="443"/>
      <c r="EK65" s="443"/>
      <c r="EL65" s="443"/>
      <c r="EM65" s="443"/>
      <c r="EN65" s="443"/>
      <c r="EO65" s="443"/>
      <c r="EP65" s="443"/>
      <c r="EQ65" s="443"/>
      <c r="ER65" s="443"/>
      <c r="ES65" s="443"/>
      <c r="ET65" s="443"/>
      <c r="EU65" s="443"/>
      <c r="EV65" s="443"/>
      <c r="EW65" s="443"/>
      <c r="EX65" s="443"/>
      <c r="EY65" s="443"/>
      <c r="EZ65" s="443"/>
      <c r="FA65" s="443"/>
      <c r="FB65" s="443"/>
      <c r="FC65" s="443"/>
      <c r="FD65" s="443"/>
      <c r="FE65" s="443"/>
      <c r="FF65" s="443"/>
      <c r="FG65" s="443"/>
      <c r="FH65" s="443"/>
      <c r="FI65" s="443"/>
      <c r="FJ65" s="443"/>
      <c r="FK65" s="443"/>
      <c r="FL65" s="443"/>
      <c r="FM65" s="443"/>
      <c r="FN65" s="443"/>
      <c r="FO65" s="443"/>
      <c r="FP65" s="443"/>
      <c r="FQ65" s="443"/>
      <c r="FR65" s="443"/>
      <c r="FS65" s="443"/>
      <c r="FT65" s="443"/>
      <c r="FU65" s="443"/>
      <c r="FV65" s="443"/>
      <c r="FW65" s="443"/>
      <c r="FX65" s="443"/>
      <c r="FY65" s="443"/>
      <c r="FZ65" s="443"/>
      <c r="GA65" s="443"/>
      <c r="GB65" s="443"/>
      <c r="GC65" s="443"/>
      <c r="GD65" s="443"/>
      <c r="GE65" s="443"/>
      <c r="GF65" s="443"/>
      <c r="GG65" s="443"/>
      <c r="GH65" s="443"/>
      <c r="GI65" s="443"/>
      <c r="GJ65" s="443"/>
      <c r="GK65" s="443"/>
      <c r="GL65" s="443"/>
      <c r="GM65" s="443"/>
      <c r="GN65" s="443"/>
      <c r="GO65" s="443"/>
      <c r="GP65" s="443"/>
      <c r="GQ65" s="443"/>
      <c r="GR65" s="443"/>
      <c r="GS65" s="443"/>
      <c r="GT65" s="443"/>
      <c r="GU65" s="443"/>
      <c r="GV65" s="443"/>
      <c r="GW65" s="443"/>
      <c r="GX65" s="443"/>
      <c r="GY65" s="443"/>
      <c r="GZ65" s="443"/>
      <c r="HA65" s="443"/>
      <c r="HB65" s="443"/>
      <c r="HC65" s="443"/>
      <c r="HD65" s="443"/>
      <c r="HE65" s="443"/>
      <c r="HF65" s="443"/>
      <c r="HG65" s="443"/>
      <c r="HH65" s="443"/>
      <c r="HI65" s="443"/>
      <c r="HJ65" s="443"/>
      <c r="HK65" s="443"/>
      <c r="HL65" s="443"/>
      <c r="HM65" s="443"/>
      <c r="HN65" s="443"/>
      <c r="HO65" s="443"/>
      <c r="HP65" s="443"/>
      <c r="HQ65" s="443"/>
      <c r="HR65" s="443"/>
      <c r="HS65" s="443"/>
      <c r="HT65" s="443"/>
      <c r="HU65" s="443"/>
      <c r="HV65" s="443"/>
      <c r="HW65" s="443"/>
      <c r="HX65" s="443"/>
      <c r="HY65" s="443"/>
      <c r="HZ65" s="443"/>
      <c r="IA65" s="443"/>
      <c r="IB65" s="443"/>
      <c r="IC65" s="443"/>
      <c r="ID65" s="443"/>
      <c r="IE65" s="443"/>
      <c r="IF65" s="443"/>
      <c r="IG65" s="443"/>
      <c r="IH65" s="443"/>
      <c r="II65" s="443"/>
      <c r="IJ65" s="448"/>
      <c r="IK65" s="448"/>
      <c r="IL65" s="443"/>
      <c r="IM65" s="443"/>
      <c r="IN65" s="443"/>
      <c r="IO65" s="443"/>
      <c r="IP65" s="443"/>
      <c r="IQ65" s="443"/>
      <c r="IR65" s="443"/>
      <c r="IS65" s="443"/>
      <c r="IT65" s="443"/>
      <c r="IU65" s="443"/>
      <c r="IV65" s="443"/>
      <c r="IW65" s="443"/>
      <c r="IX65" s="443"/>
      <c r="IY65" s="443"/>
      <c r="IZ65" s="443"/>
      <c r="JA65" s="448"/>
      <c r="JB65" s="443"/>
      <c r="JC65" s="443"/>
      <c r="JD65" s="147"/>
      <c r="JE65" s="147"/>
      <c r="JF65" s="147"/>
      <c r="JG65" s="147"/>
      <c r="JH65" s="147"/>
      <c r="JI65" s="147"/>
      <c r="JJ65" s="147"/>
      <c r="JK65" s="147"/>
      <c r="JL65" s="147"/>
      <c r="JM65" s="147"/>
      <c r="JN65" s="147"/>
      <c r="JO65" s="147"/>
      <c r="JP65" s="147"/>
      <c r="JQ65" s="147"/>
      <c r="JR65" s="147"/>
      <c r="JS65" s="147"/>
      <c r="JT65" s="147"/>
      <c r="JU65" s="147"/>
      <c r="JV65" s="147"/>
      <c r="JW65" s="147"/>
      <c r="JX65" s="147"/>
      <c r="JY65" s="147"/>
      <c r="JZ65" s="147"/>
      <c r="KA65" s="147"/>
      <c r="KB65" s="147"/>
      <c r="KC65" s="147"/>
      <c r="KD65" s="147"/>
      <c r="KE65" s="147"/>
      <c r="KF65" s="147"/>
      <c r="KG65" s="147"/>
      <c r="KH65" s="147"/>
      <c r="KI65" s="147"/>
    </row>
    <row r="66" spans="1:295" s="82" customFormat="1" ht="10.5" customHeight="1">
      <c r="A66" s="8"/>
      <c r="B66" s="8"/>
      <c r="C66" s="1"/>
      <c r="D66" s="826" t="s">
        <v>2380</v>
      </c>
      <c r="E66" s="823">
        <v>4</v>
      </c>
      <c r="F66" s="1509" t="str">
        <f>IF('Part VI-Revenues &amp; Expenses'!$O$155 =0,"",'Part VI-Revenues &amp; Expenses'!$O$155)</f>
        <v/>
      </c>
      <c r="G66" s="824">
        <f>IF('Part IX Scoring Criteria'!$O$74='Part IX Scoring Criteria'!$M$74,$L66,
IF($P$42="Albany",VLOOKUP($A$62,'DCA Underwriting Assumptions'!$E$22:$J$25,$E66+2),
IF($P$42="Athens",VLOOKUP($A$62,'DCA Underwriting Assumptions'!$E$26:$J$29,$E66+2),
IF($P$42="Atlanta",VLOOKUP($A$62,'DCA Underwriting Assumptions'!$E$30:$J$33,$E66+2),
IF($P$42="Augusta",VLOOKUP($A$62,'DCA Underwriting Assumptions'!$E$34:$J$37,$E66+2),
IF($P$42="Chattanooga",VLOOKUP($A$62,'DCA Underwriting Assumptions'!$E$38:$J$41,$E66+2),
IF($P$42="Columbus",VLOOKUP($A$62,'DCA Underwriting Assumptions'!$E$42:$J$45,$E66+2),
IF($P$42="Macon",VLOOKUP($A$62,'DCA Underwriting Assumptions'!$E$46:$J$49,$E66+2),
IF($P$42="Savannah",VLOOKUP($A$62,'DCA Underwriting Assumptions'!$E$50:$J$53,$E66+2),
VLOOKUP($A$62,'DCA Underwriting Assumptions'!$E$54:$J$57,$E66+2))))))))))*(1+'DCA Underwriting Assumptions'!$I$18)</f>
        <v>360861.60000000003</v>
      </c>
      <c r="H66" s="40" t="str">
        <f>CONCATENATE("x ", F66," units = ")</f>
        <v xml:space="preserve">x  units = </v>
      </c>
      <c r="I66" s="1510" t="str">
        <f>IF(F66="","",F66*G66)</f>
        <v/>
      </c>
      <c r="J66" s="42"/>
      <c r="K66" s="1509" t="str">
        <f>IF('Part VI-Revenues &amp; Expenses'!$O$156 =0,"",'Part VI-Revenues &amp; Expenses'!$O$156)</f>
        <v/>
      </c>
      <c r="L66" s="824">
        <f>G66*(1+'DCA Underwriting Assumptions'!$Q$12)</f>
        <v>396947.76000000007</v>
      </c>
      <c r="M66" s="40" t="str">
        <f>CONCATENATE("x ", K66," units = ")</f>
        <v xml:space="preserve">x  units = </v>
      </c>
      <c r="N66" s="1510" t="str">
        <f>IF(K66="","",K66*L66)</f>
        <v/>
      </c>
      <c r="O66" s="540"/>
      <c r="P66" s="2844"/>
      <c r="Q66" s="2844"/>
      <c r="R66" s="404"/>
      <c r="U66" s="35"/>
      <c r="V66" s="445"/>
      <c r="W66" s="445"/>
      <c r="X66" s="446"/>
      <c r="Y66" s="445"/>
      <c r="Z66" s="449"/>
      <c r="AA66" s="450"/>
      <c r="AB66" s="450"/>
      <c r="AC66" s="450"/>
      <c r="AD66" s="450"/>
      <c r="AE66" s="450"/>
      <c r="AF66" s="450"/>
      <c r="AG66" s="608"/>
      <c r="AH66" s="443"/>
      <c r="AI66" s="443"/>
      <c r="AJ66" s="443"/>
      <c r="AK66" s="443"/>
      <c r="AL66" s="443"/>
      <c r="AM66" s="443"/>
      <c r="AN66" s="443"/>
      <c r="AO66" s="443"/>
      <c r="AP66" s="443"/>
      <c r="AQ66" s="443"/>
      <c r="AR66" s="443"/>
      <c r="AS66" s="443"/>
      <c r="AT66" s="443"/>
      <c r="AU66" s="443"/>
      <c r="AV66" s="443"/>
      <c r="AW66" s="443"/>
      <c r="AX66" s="443"/>
      <c r="AY66" s="443"/>
      <c r="AZ66" s="443"/>
      <c r="BA66" s="443"/>
      <c r="BB66" s="443"/>
      <c r="BC66" s="443"/>
      <c r="BD66" s="443"/>
      <c r="BE66" s="443"/>
      <c r="BF66" s="443"/>
      <c r="BG66" s="443"/>
      <c r="BH66" s="443"/>
      <c r="BI66" s="443"/>
      <c r="BJ66" s="443"/>
      <c r="BK66" s="443"/>
      <c r="BL66" s="443"/>
      <c r="BM66" s="443"/>
      <c r="BN66" s="443"/>
      <c r="BO66" s="443"/>
      <c r="BP66" s="443"/>
      <c r="BQ66" s="443"/>
      <c r="BR66" s="443"/>
      <c r="BS66" s="443"/>
      <c r="BT66" s="443"/>
      <c r="BU66" s="443"/>
      <c r="BV66" s="443"/>
      <c r="BW66" s="443"/>
      <c r="BX66" s="443"/>
      <c r="BY66" s="443"/>
      <c r="BZ66" s="443"/>
      <c r="CA66" s="443"/>
      <c r="CB66" s="443"/>
      <c r="CC66" s="443"/>
      <c r="CD66" s="443"/>
      <c r="CE66" s="443"/>
      <c r="CF66" s="443"/>
      <c r="CG66" s="443"/>
      <c r="CH66" s="443"/>
      <c r="CI66" s="443"/>
      <c r="CJ66" s="443"/>
      <c r="CK66" s="443"/>
      <c r="CL66" s="443"/>
      <c r="CM66" s="443"/>
      <c r="CN66" s="443"/>
      <c r="CO66" s="443"/>
      <c r="CP66" s="443"/>
      <c r="CQ66" s="443"/>
      <c r="CR66" s="443"/>
      <c r="CS66" s="443"/>
      <c r="CT66" s="443"/>
      <c r="CU66" s="443"/>
      <c r="CV66" s="443"/>
      <c r="CW66" s="443"/>
      <c r="CX66" s="443"/>
      <c r="CY66" s="443"/>
      <c r="CZ66" s="443"/>
      <c r="DA66" s="443"/>
      <c r="DB66" s="443"/>
      <c r="DC66" s="443"/>
      <c r="DD66" s="443"/>
      <c r="DE66" s="443"/>
      <c r="DF66" s="443"/>
      <c r="DG66" s="443"/>
      <c r="DH66" s="443"/>
      <c r="DI66" s="443"/>
      <c r="DJ66" s="443"/>
      <c r="DK66" s="443"/>
      <c r="DL66" s="443"/>
      <c r="DM66" s="443"/>
      <c r="DN66" s="443"/>
      <c r="DO66" s="443"/>
      <c r="DP66" s="443"/>
      <c r="DQ66" s="443"/>
      <c r="DR66" s="443"/>
      <c r="DS66" s="443"/>
      <c r="DT66" s="443"/>
      <c r="DU66" s="443"/>
      <c r="DV66" s="443"/>
      <c r="DW66" s="443"/>
      <c r="DX66" s="443"/>
      <c r="DY66" s="443"/>
      <c r="DZ66" s="443"/>
      <c r="EA66" s="443"/>
      <c r="EB66" s="443"/>
      <c r="EC66" s="443"/>
      <c r="ED66" s="443"/>
      <c r="EE66" s="443"/>
      <c r="EF66" s="443"/>
      <c r="EG66" s="443"/>
      <c r="EH66" s="443"/>
      <c r="EI66" s="443"/>
      <c r="EJ66" s="443"/>
      <c r="EK66" s="443"/>
      <c r="EL66" s="443"/>
      <c r="EM66" s="443"/>
      <c r="EN66" s="443"/>
      <c r="EO66" s="443"/>
      <c r="EP66" s="443"/>
      <c r="EQ66" s="443"/>
      <c r="ER66" s="443"/>
      <c r="ES66" s="443"/>
      <c r="ET66" s="443"/>
      <c r="EU66" s="443"/>
      <c r="EV66" s="443"/>
      <c r="EW66" s="443"/>
      <c r="EX66" s="443"/>
      <c r="EY66" s="443"/>
      <c r="EZ66" s="443"/>
      <c r="FA66" s="443"/>
      <c r="FB66" s="443"/>
      <c r="FC66" s="443"/>
      <c r="FD66" s="443"/>
      <c r="FE66" s="443"/>
      <c r="FF66" s="443"/>
      <c r="FG66" s="443"/>
      <c r="FH66" s="443"/>
      <c r="FI66" s="443"/>
      <c r="FJ66" s="443"/>
      <c r="FK66" s="443"/>
      <c r="FL66" s="443"/>
      <c r="FM66" s="443"/>
      <c r="FN66" s="443"/>
      <c r="FO66" s="443"/>
      <c r="FP66" s="443"/>
      <c r="FQ66" s="443"/>
      <c r="FR66" s="443"/>
      <c r="FS66" s="443"/>
      <c r="FT66" s="443"/>
      <c r="FU66" s="443"/>
      <c r="FV66" s="443"/>
      <c r="FW66" s="443"/>
      <c r="FX66" s="443"/>
      <c r="FY66" s="443"/>
      <c r="FZ66" s="443"/>
      <c r="GA66" s="443"/>
      <c r="GB66" s="443"/>
      <c r="GC66" s="443"/>
      <c r="GD66" s="443"/>
      <c r="GE66" s="443"/>
      <c r="GF66" s="443"/>
      <c r="GG66" s="443"/>
      <c r="GH66" s="443"/>
      <c r="GI66" s="443"/>
      <c r="GJ66" s="443"/>
      <c r="GK66" s="443"/>
      <c r="GL66" s="443"/>
      <c r="GM66" s="443"/>
      <c r="GN66" s="443"/>
      <c r="GO66" s="443"/>
      <c r="GP66" s="443"/>
      <c r="GQ66" s="443"/>
      <c r="GR66" s="443"/>
      <c r="GS66" s="443"/>
      <c r="GT66" s="443"/>
      <c r="GU66" s="443"/>
      <c r="GV66" s="443"/>
      <c r="GW66" s="443"/>
      <c r="GX66" s="443"/>
      <c r="GY66" s="443"/>
      <c r="GZ66" s="443"/>
      <c r="HA66" s="443"/>
      <c r="HB66" s="443"/>
      <c r="HC66" s="443"/>
      <c r="HD66" s="443"/>
      <c r="HE66" s="443"/>
      <c r="HF66" s="443"/>
      <c r="HG66" s="443"/>
      <c r="HH66" s="443"/>
      <c r="HI66" s="443"/>
      <c r="HJ66" s="443"/>
      <c r="HK66" s="443"/>
      <c r="HL66" s="443"/>
      <c r="HM66" s="443"/>
      <c r="HN66" s="443"/>
      <c r="HO66" s="443"/>
      <c r="HP66" s="443"/>
      <c r="HQ66" s="443"/>
      <c r="HR66" s="443"/>
      <c r="HS66" s="443"/>
      <c r="HT66" s="443"/>
      <c r="HU66" s="443"/>
      <c r="HV66" s="443"/>
      <c r="HW66" s="443"/>
      <c r="HX66" s="443"/>
      <c r="HY66" s="443"/>
      <c r="HZ66" s="443"/>
      <c r="IA66" s="443"/>
      <c r="IB66" s="443"/>
      <c r="IC66" s="443"/>
      <c r="ID66" s="443"/>
      <c r="IE66" s="443"/>
      <c r="IF66" s="443"/>
      <c r="IG66" s="443"/>
      <c r="IH66" s="443"/>
      <c r="II66" s="443"/>
      <c r="IJ66" s="448"/>
      <c r="IK66" s="448"/>
      <c r="IL66" s="443"/>
      <c r="IM66" s="443"/>
      <c r="IN66" s="443"/>
      <c r="IO66" s="443"/>
      <c r="IP66" s="443"/>
      <c r="IQ66" s="443"/>
      <c r="IR66" s="443"/>
      <c r="IS66" s="443"/>
      <c r="IT66" s="443"/>
      <c r="IU66" s="443"/>
      <c r="IV66" s="443"/>
      <c r="IW66" s="443"/>
      <c r="IX66" s="443"/>
      <c r="IY66" s="443"/>
      <c r="IZ66" s="443"/>
      <c r="JA66" s="448"/>
      <c r="JB66" s="443"/>
      <c r="JC66" s="443"/>
      <c r="JD66" s="147"/>
      <c r="JE66" s="147"/>
      <c r="JF66" s="147"/>
      <c r="JG66" s="147"/>
      <c r="JH66" s="147"/>
      <c r="JI66" s="147"/>
      <c r="JJ66" s="147"/>
      <c r="JK66" s="147"/>
      <c r="JL66" s="147"/>
      <c r="JM66" s="147"/>
      <c r="JN66" s="147"/>
      <c r="JO66" s="147"/>
      <c r="JP66" s="147"/>
      <c r="JQ66" s="147"/>
      <c r="JR66" s="147"/>
      <c r="JS66" s="147"/>
      <c r="JT66" s="147"/>
      <c r="JU66" s="147"/>
      <c r="JV66" s="147"/>
      <c r="JW66" s="147"/>
      <c r="JX66" s="147"/>
      <c r="JY66" s="147"/>
      <c r="JZ66" s="147"/>
      <c r="KA66" s="147"/>
      <c r="KB66" s="147"/>
      <c r="KC66" s="147"/>
      <c r="KD66" s="147"/>
      <c r="KE66" s="147"/>
      <c r="KF66" s="147"/>
      <c r="KG66" s="147"/>
      <c r="KH66" s="147"/>
      <c r="KI66" s="147"/>
    </row>
    <row r="67" spans="1:295" s="82" customFormat="1" ht="10.5" customHeight="1" thickBot="1">
      <c r="A67" s="8"/>
      <c r="B67" s="8"/>
      <c r="C67" s="1"/>
      <c r="D67" s="553" t="s">
        <v>3262</v>
      </c>
      <c r="E67" s="132"/>
      <c r="F67" s="1044">
        <f>SUM(F62:F66)</f>
        <v>72</v>
      </c>
      <c r="G67" s="592"/>
      <c r="H67" s="1045"/>
      <c r="I67" s="1048">
        <f>SUM(I62:I66)</f>
        <v>15291752.399999999</v>
      </c>
      <c r="J67" s="1047"/>
      <c r="K67" s="1044">
        <f>SUM(K62:K66)</f>
        <v>0</v>
      </c>
      <c r="L67" s="1047"/>
      <c r="M67" s="1045"/>
      <c r="N67" s="1048">
        <f>SUM(N62:N66)</f>
        <v>0</v>
      </c>
      <c r="O67" s="540"/>
      <c r="P67" s="2844"/>
      <c r="Q67" s="2844"/>
      <c r="R67" s="404"/>
      <c r="U67" s="35"/>
      <c r="V67" s="445"/>
      <c r="W67" s="445"/>
      <c r="X67" s="446"/>
      <c r="Y67" s="445"/>
      <c r="Z67" s="449"/>
      <c r="AA67" s="450"/>
      <c r="AB67" s="450"/>
      <c r="AC67" s="450"/>
      <c r="AD67" s="450"/>
      <c r="AE67" s="450"/>
      <c r="AF67" s="450"/>
      <c r="AG67" s="608"/>
      <c r="AH67" s="443"/>
      <c r="AI67" s="443"/>
      <c r="AJ67" s="443"/>
      <c r="AK67" s="443"/>
      <c r="AL67" s="443"/>
      <c r="AM67" s="443"/>
      <c r="AN67" s="443"/>
      <c r="AO67" s="443"/>
      <c r="AP67" s="443"/>
      <c r="AQ67" s="443"/>
      <c r="AR67" s="443"/>
      <c r="AS67" s="443"/>
      <c r="AT67" s="443"/>
      <c r="AU67" s="443"/>
      <c r="AV67" s="443"/>
      <c r="AW67" s="443"/>
      <c r="AX67" s="443"/>
      <c r="AY67" s="443"/>
      <c r="AZ67" s="443"/>
      <c r="BA67" s="443"/>
      <c r="BB67" s="443"/>
      <c r="BC67" s="443"/>
      <c r="BD67" s="443"/>
      <c r="BE67" s="443"/>
      <c r="BF67" s="443"/>
      <c r="BG67" s="443"/>
      <c r="BH67" s="443"/>
      <c r="BI67" s="443"/>
      <c r="BJ67" s="443"/>
      <c r="BK67" s="443"/>
      <c r="BL67" s="443"/>
      <c r="BM67" s="443"/>
      <c r="BN67" s="443"/>
      <c r="BO67" s="443"/>
      <c r="BP67" s="443"/>
      <c r="BQ67" s="443"/>
      <c r="BR67" s="443"/>
      <c r="BS67" s="443"/>
      <c r="BT67" s="443"/>
      <c r="BU67" s="443"/>
      <c r="BV67" s="443"/>
      <c r="BW67" s="443"/>
      <c r="BX67" s="443"/>
      <c r="BY67" s="443"/>
      <c r="BZ67" s="443"/>
      <c r="CA67" s="443"/>
      <c r="CB67" s="443"/>
      <c r="CC67" s="443"/>
      <c r="CD67" s="443"/>
      <c r="CE67" s="443"/>
      <c r="CF67" s="443"/>
      <c r="CG67" s="443"/>
      <c r="CH67" s="443"/>
      <c r="CI67" s="443"/>
      <c r="CJ67" s="443"/>
      <c r="CK67" s="443"/>
      <c r="CL67" s="443"/>
      <c r="CM67" s="443"/>
      <c r="CN67" s="443"/>
      <c r="CO67" s="443"/>
      <c r="CP67" s="443"/>
      <c r="CQ67" s="443"/>
      <c r="CR67" s="443"/>
      <c r="CS67" s="443"/>
      <c r="CT67" s="443"/>
      <c r="CU67" s="443"/>
      <c r="CV67" s="443"/>
      <c r="CW67" s="443"/>
      <c r="CX67" s="443"/>
      <c r="CY67" s="443"/>
      <c r="CZ67" s="443"/>
      <c r="DA67" s="443"/>
      <c r="DB67" s="443"/>
      <c r="DC67" s="443"/>
      <c r="DD67" s="443"/>
      <c r="DE67" s="443"/>
      <c r="DF67" s="443"/>
      <c r="DG67" s="443"/>
      <c r="DH67" s="443"/>
      <c r="DI67" s="443"/>
      <c r="DJ67" s="443"/>
      <c r="DK67" s="443"/>
      <c r="DL67" s="443"/>
      <c r="DM67" s="443"/>
      <c r="DN67" s="443"/>
      <c r="DO67" s="443"/>
      <c r="DP67" s="443"/>
      <c r="DQ67" s="443"/>
      <c r="DR67" s="443"/>
      <c r="DS67" s="443"/>
      <c r="DT67" s="443"/>
      <c r="DU67" s="443"/>
      <c r="DV67" s="443"/>
      <c r="DW67" s="443"/>
      <c r="DX67" s="443"/>
      <c r="DY67" s="443"/>
      <c r="DZ67" s="443"/>
      <c r="EA67" s="443"/>
      <c r="EB67" s="443"/>
      <c r="EC67" s="443"/>
      <c r="ED67" s="443"/>
      <c r="EE67" s="443"/>
      <c r="EF67" s="443"/>
      <c r="EG67" s="443"/>
      <c r="EH67" s="443"/>
      <c r="EI67" s="443"/>
      <c r="EJ67" s="443"/>
      <c r="EK67" s="443"/>
      <c r="EL67" s="443"/>
      <c r="EM67" s="443"/>
      <c r="EN67" s="443"/>
      <c r="EO67" s="443"/>
      <c r="EP67" s="443"/>
      <c r="EQ67" s="443"/>
      <c r="ER67" s="443"/>
      <c r="ES67" s="443"/>
      <c r="ET67" s="443"/>
      <c r="EU67" s="443"/>
      <c r="EV67" s="443"/>
      <c r="EW67" s="443"/>
      <c r="EX67" s="443"/>
      <c r="EY67" s="443"/>
      <c r="EZ67" s="443"/>
      <c r="FA67" s="443"/>
      <c r="FB67" s="443"/>
      <c r="FC67" s="443"/>
      <c r="FD67" s="443"/>
      <c r="FE67" s="443"/>
      <c r="FF67" s="443"/>
      <c r="FG67" s="443"/>
      <c r="FH67" s="443"/>
      <c r="FI67" s="443"/>
      <c r="FJ67" s="443"/>
      <c r="FK67" s="443"/>
      <c r="FL67" s="443"/>
      <c r="FM67" s="443"/>
      <c r="FN67" s="443"/>
      <c r="FO67" s="443"/>
      <c r="FP67" s="443"/>
      <c r="FQ67" s="443"/>
      <c r="FR67" s="443"/>
      <c r="FS67" s="443"/>
      <c r="FT67" s="443"/>
      <c r="FU67" s="443"/>
      <c r="FV67" s="443"/>
      <c r="FW67" s="443"/>
      <c r="FX67" s="443"/>
      <c r="FY67" s="443"/>
      <c r="FZ67" s="443"/>
      <c r="GA67" s="443"/>
      <c r="GB67" s="443"/>
      <c r="GC67" s="443"/>
      <c r="GD67" s="443"/>
      <c r="GE67" s="443"/>
      <c r="GF67" s="443"/>
      <c r="GG67" s="443"/>
      <c r="GH67" s="443"/>
      <c r="GI67" s="443"/>
      <c r="GJ67" s="443"/>
      <c r="GK67" s="443"/>
      <c r="GL67" s="443"/>
      <c r="GM67" s="443"/>
      <c r="GN67" s="443"/>
      <c r="GO67" s="443"/>
      <c r="GP67" s="443"/>
      <c r="GQ67" s="443"/>
      <c r="GR67" s="443"/>
      <c r="GS67" s="443"/>
      <c r="GT67" s="443"/>
      <c r="GU67" s="443"/>
      <c r="GV67" s="443"/>
      <c r="GW67" s="443"/>
      <c r="GX67" s="443"/>
      <c r="GY67" s="443"/>
      <c r="GZ67" s="443"/>
      <c r="HA67" s="443"/>
      <c r="HB67" s="443"/>
      <c r="HC67" s="443"/>
      <c r="HD67" s="443"/>
      <c r="HE67" s="443"/>
      <c r="HF67" s="443"/>
      <c r="HG67" s="443"/>
      <c r="HH67" s="443"/>
      <c r="HI67" s="443"/>
      <c r="HJ67" s="443"/>
      <c r="HK67" s="443"/>
      <c r="HL67" s="443"/>
      <c r="HM67" s="443"/>
      <c r="HN67" s="443"/>
      <c r="HO67" s="443"/>
      <c r="HP67" s="443"/>
      <c r="HQ67" s="443"/>
      <c r="HR67" s="443"/>
      <c r="HS67" s="443"/>
      <c r="HT67" s="443"/>
      <c r="HU67" s="443"/>
      <c r="HV67" s="443"/>
      <c r="HW67" s="443"/>
      <c r="HX67" s="443"/>
      <c r="HY67" s="443"/>
      <c r="HZ67" s="443"/>
      <c r="IA67" s="443"/>
      <c r="IB67" s="443"/>
      <c r="IC67" s="443"/>
      <c r="ID67" s="443"/>
      <c r="IE67" s="443"/>
      <c r="IF67" s="443"/>
      <c r="IG67" s="443"/>
      <c r="IH67" s="443"/>
      <c r="II67" s="443"/>
      <c r="IJ67" s="448"/>
      <c r="IK67" s="448"/>
      <c r="IL67" s="443"/>
      <c r="IM67" s="443"/>
      <c r="IN67" s="443"/>
      <c r="IO67" s="443"/>
      <c r="IP67" s="443"/>
      <c r="IQ67" s="443"/>
      <c r="IR67" s="443"/>
      <c r="IS67" s="443"/>
      <c r="IT67" s="443"/>
      <c r="IU67" s="443"/>
      <c r="IV67" s="443"/>
      <c r="IW67" s="443"/>
      <c r="IX67" s="443"/>
      <c r="IY67" s="443"/>
      <c r="IZ67" s="443"/>
      <c r="JA67" s="448"/>
      <c r="JB67" s="443"/>
      <c r="JC67" s="443"/>
      <c r="JD67" s="147"/>
      <c r="JE67" s="147"/>
      <c r="JF67" s="147"/>
      <c r="JG67" s="147"/>
      <c r="JH67" s="147"/>
      <c r="JI67" s="147"/>
      <c r="JJ67" s="147"/>
      <c r="JK67" s="147"/>
      <c r="JL67" s="147"/>
      <c r="JM67" s="147"/>
      <c r="JN67" s="147"/>
      <c r="JO67" s="147"/>
      <c r="JP67" s="147"/>
      <c r="JQ67" s="147"/>
      <c r="JR67" s="147"/>
      <c r="JS67" s="147"/>
      <c r="JT67" s="147"/>
      <c r="JU67" s="147"/>
      <c r="JV67" s="147"/>
      <c r="JW67" s="147"/>
      <c r="JX67" s="147"/>
      <c r="JY67" s="147"/>
      <c r="JZ67" s="147"/>
      <c r="KA67" s="147"/>
      <c r="KB67" s="147"/>
      <c r="KC67" s="147"/>
      <c r="KD67" s="147"/>
      <c r="KE67" s="147"/>
      <c r="KF67" s="147"/>
      <c r="KG67" s="147"/>
      <c r="KH67" s="147"/>
      <c r="KI67" s="147"/>
    </row>
    <row r="68" spans="1:295" s="82" customFormat="1" ht="1.5" customHeight="1" thickTop="1" thickBot="1">
      <c r="A68" s="8"/>
      <c r="B68" s="8"/>
      <c r="C68" s="1"/>
      <c r="D68" s="1"/>
      <c r="E68" s="89"/>
      <c r="F68" s="1"/>
      <c r="G68" s="52"/>
      <c r="H68" s="539"/>
      <c r="I68" s="539"/>
      <c r="J68" s="539"/>
      <c r="K68" s="539"/>
      <c r="L68" s="539"/>
      <c r="M68" s="539"/>
      <c r="N68" s="2378"/>
      <c r="O68" s="540"/>
      <c r="P68" s="2844"/>
      <c r="Q68" s="2844"/>
      <c r="R68" s="404"/>
      <c r="S68" s="404"/>
      <c r="T68" s="35"/>
      <c r="U68" s="35"/>
      <c r="V68" s="445"/>
      <c r="W68" s="445"/>
      <c r="X68" s="446"/>
      <c r="Y68" s="445"/>
      <c r="Z68" s="449"/>
      <c r="AA68" s="450"/>
      <c r="AB68" s="450"/>
      <c r="AC68" s="450"/>
      <c r="AD68" s="450"/>
      <c r="AE68" s="450"/>
      <c r="AF68" s="450"/>
      <c r="AG68" s="608"/>
      <c r="AH68" s="443"/>
      <c r="AI68" s="443"/>
      <c r="AJ68" s="443"/>
      <c r="AK68" s="443"/>
      <c r="AL68" s="443"/>
      <c r="AM68" s="443"/>
      <c r="AN68" s="443"/>
      <c r="AO68" s="443"/>
      <c r="AP68" s="443"/>
      <c r="AQ68" s="443"/>
      <c r="AR68" s="443"/>
      <c r="AS68" s="443"/>
      <c r="AT68" s="443"/>
      <c r="AU68" s="443"/>
      <c r="AV68" s="443"/>
      <c r="AW68" s="443"/>
      <c r="AX68" s="443"/>
      <c r="AY68" s="443"/>
      <c r="AZ68" s="443"/>
      <c r="BA68" s="443"/>
      <c r="BB68" s="443"/>
      <c r="BC68" s="443"/>
      <c r="BD68" s="443"/>
      <c r="BE68" s="443"/>
      <c r="BF68" s="443"/>
      <c r="BG68" s="443"/>
      <c r="BH68" s="443"/>
      <c r="BI68" s="443"/>
      <c r="BJ68" s="443"/>
      <c r="BK68" s="443"/>
      <c r="BL68" s="443"/>
      <c r="BM68" s="443"/>
      <c r="BN68" s="443"/>
      <c r="BO68" s="443"/>
      <c r="BP68" s="443"/>
      <c r="BQ68" s="443"/>
      <c r="BR68" s="443"/>
      <c r="BS68" s="443"/>
      <c r="BT68" s="443"/>
      <c r="BU68" s="443"/>
      <c r="BV68" s="443"/>
      <c r="BW68" s="443"/>
      <c r="BX68" s="443"/>
      <c r="BY68" s="443"/>
      <c r="BZ68" s="443"/>
      <c r="CA68" s="443"/>
      <c r="CB68" s="443"/>
      <c r="CC68" s="443"/>
      <c r="CD68" s="443"/>
      <c r="CE68" s="443"/>
      <c r="CF68" s="443"/>
      <c r="CG68" s="443"/>
      <c r="CH68" s="443"/>
      <c r="CI68" s="443"/>
      <c r="CJ68" s="443"/>
      <c r="CK68" s="443"/>
      <c r="CL68" s="443"/>
      <c r="CM68" s="443"/>
      <c r="CN68" s="443"/>
      <c r="CO68" s="443"/>
      <c r="CP68" s="443"/>
      <c r="CQ68" s="443"/>
      <c r="CR68" s="443"/>
      <c r="CS68" s="443"/>
      <c r="CT68" s="443"/>
      <c r="CU68" s="443"/>
      <c r="CV68" s="443"/>
      <c r="CW68" s="443"/>
      <c r="CX68" s="443"/>
      <c r="CY68" s="443"/>
      <c r="CZ68" s="443"/>
      <c r="DA68" s="443"/>
      <c r="DB68" s="443"/>
      <c r="DC68" s="443"/>
      <c r="DD68" s="443"/>
      <c r="DE68" s="443"/>
      <c r="DF68" s="443"/>
      <c r="DG68" s="443"/>
      <c r="DH68" s="443"/>
      <c r="DI68" s="443"/>
      <c r="DJ68" s="443"/>
      <c r="DK68" s="443"/>
      <c r="DL68" s="443"/>
      <c r="DM68" s="443"/>
      <c r="DN68" s="443"/>
      <c r="DO68" s="443"/>
      <c r="DP68" s="443"/>
      <c r="DQ68" s="443"/>
      <c r="DR68" s="443"/>
      <c r="DS68" s="443"/>
      <c r="DT68" s="443"/>
      <c r="DU68" s="443"/>
      <c r="DV68" s="443"/>
      <c r="DW68" s="443"/>
      <c r="DX68" s="443"/>
      <c r="DY68" s="443"/>
      <c r="DZ68" s="443"/>
      <c r="EA68" s="443"/>
      <c r="EB68" s="443"/>
      <c r="EC68" s="443"/>
      <c r="ED68" s="443"/>
      <c r="EE68" s="443"/>
      <c r="EF68" s="443"/>
      <c r="EG68" s="443"/>
      <c r="EH68" s="443"/>
      <c r="EI68" s="443"/>
      <c r="EJ68" s="443"/>
      <c r="EK68" s="443"/>
      <c r="EL68" s="443"/>
      <c r="EM68" s="443"/>
      <c r="EN68" s="443"/>
      <c r="EO68" s="443"/>
      <c r="EP68" s="443"/>
      <c r="EQ68" s="443"/>
      <c r="ER68" s="443"/>
      <c r="ES68" s="443"/>
      <c r="ET68" s="443"/>
      <c r="EU68" s="443"/>
      <c r="EV68" s="443"/>
      <c r="EW68" s="443"/>
      <c r="EX68" s="443"/>
      <c r="EY68" s="443"/>
      <c r="EZ68" s="443"/>
      <c r="FA68" s="443"/>
      <c r="FB68" s="443"/>
      <c r="FC68" s="443"/>
      <c r="FD68" s="443"/>
      <c r="FE68" s="443"/>
      <c r="FF68" s="443"/>
      <c r="FG68" s="443"/>
      <c r="FH68" s="443"/>
      <c r="FI68" s="443"/>
      <c r="FJ68" s="443"/>
      <c r="FK68" s="443"/>
      <c r="FL68" s="443"/>
      <c r="FM68" s="443"/>
      <c r="FN68" s="443"/>
      <c r="FO68" s="443"/>
      <c r="FP68" s="443"/>
      <c r="FQ68" s="443"/>
      <c r="FR68" s="443"/>
      <c r="FS68" s="443"/>
      <c r="FT68" s="443"/>
      <c r="FU68" s="443"/>
      <c r="FV68" s="443"/>
      <c r="FW68" s="443"/>
      <c r="FX68" s="443"/>
      <c r="FY68" s="443"/>
      <c r="FZ68" s="443"/>
      <c r="GA68" s="443"/>
      <c r="GB68" s="443"/>
      <c r="GC68" s="443"/>
      <c r="GD68" s="443"/>
      <c r="GE68" s="443"/>
      <c r="GF68" s="443"/>
      <c r="GG68" s="443"/>
      <c r="GH68" s="443"/>
      <c r="GI68" s="443"/>
      <c r="GJ68" s="443"/>
      <c r="GK68" s="443"/>
      <c r="GL68" s="443"/>
      <c r="GM68" s="443"/>
      <c r="GN68" s="443"/>
      <c r="GO68" s="443"/>
      <c r="GP68" s="443"/>
      <c r="GQ68" s="443"/>
      <c r="GR68" s="443"/>
      <c r="GS68" s="443"/>
      <c r="GT68" s="443"/>
      <c r="GU68" s="443"/>
      <c r="GV68" s="443"/>
      <c r="GW68" s="443"/>
      <c r="GX68" s="443"/>
      <c r="GY68" s="443"/>
      <c r="GZ68" s="443"/>
      <c r="HA68" s="443"/>
      <c r="HB68" s="443"/>
      <c r="HC68" s="443"/>
      <c r="HD68" s="443"/>
      <c r="HE68" s="443"/>
      <c r="HF68" s="443"/>
      <c r="HG68" s="443"/>
      <c r="HH68" s="443"/>
      <c r="HI68" s="443"/>
      <c r="HJ68" s="443"/>
      <c r="HK68" s="443"/>
      <c r="HL68" s="443"/>
      <c r="HM68" s="443"/>
      <c r="HN68" s="443"/>
      <c r="HO68" s="443"/>
      <c r="HP68" s="443"/>
      <c r="HQ68" s="443"/>
      <c r="HR68" s="443"/>
      <c r="HS68" s="443"/>
      <c r="HT68" s="443"/>
      <c r="HU68" s="443"/>
      <c r="HV68" s="443"/>
      <c r="HW68" s="443"/>
      <c r="HX68" s="443"/>
      <c r="HY68" s="443"/>
      <c r="HZ68" s="443"/>
      <c r="IA68" s="443"/>
      <c r="IB68" s="443"/>
      <c r="IC68" s="443"/>
      <c r="ID68" s="443"/>
      <c r="IE68" s="443"/>
      <c r="IF68" s="443"/>
      <c r="IG68" s="443"/>
      <c r="IH68" s="443"/>
      <c r="II68" s="443"/>
      <c r="IJ68" s="448"/>
      <c r="IK68" s="448"/>
      <c r="IL68" s="443"/>
      <c r="IM68" s="443"/>
      <c r="IN68" s="443"/>
      <c r="IO68" s="443"/>
      <c r="IP68" s="443"/>
      <c r="IQ68" s="443"/>
      <c r="IR68" s="443"/>
      <c r="IS68" s="443"/>
      <c r="IT68" s="443"/>
      <c r="IU68" s="443"/>
      <c r="IV68" s="443"/>
      <c r="IW68" s="443"/>
      <c r="IX68" s="443"/>
      <c r="IY68" s="443"/>
      <c r="IZ68" s="443"/>
      <c r="JA68" s="448"/>
      <c r="JB68" s="443"/>
      <c r="JC68" s="443"/>
      <c r="JD68" s="147"/>
      <c r="JE68" s="147"/>
      <c r="JF68" s="147"/>
      <c r="JG68" s="147"/>
      <c r="JH68" s="147"/>
      <c r="JI68" s="147"/>
      <c r="JJ68" s="147"/>
      <c r="JK68" s="147"/>
      <c r="JL68" s="147"/>
      <c r="JM68" s="147"/>
      <c r="JN68" s="147"/>
      <c r="JO68" s="147"/>
      <c r="JP68" s="147"/>
      <c r="JQ68" s="147"/>
      <c r="JR68" s="147"/>
      <c r="JS68" s="147"/>
      <c r="JT68" s="147"/>
      <c r="JU68" s="147"/>
      <c r="JV68" s="147"/>
      <c r="JW68" s="147"/>
      <c r="JX68" s="147"/>
      <c r="JY68" s="147"/>
      <c r="JZ68" s="147"/>
      <c r="KA68" s="147"/>
      <c r="KB68" s="147"/>
      <c r="KC68" s="147"/>
      <c r="KD68" s="147"/>
      <c r="KE68" s="147"/>
      <c r="KF68" s="147"/>
      <c r="KG68" s="147"/>
      <c r="KH68" s="147"/>
      <c r="KI68" s="147"/>
    </row>
    <row r="69" spans="1:295" s="82" customFormat="1" ht="12.75" customHeight="1" thickTop="1">
      <c r="A69" s="113" t="s">
        <v>3263</v>
      </c>
      <c r="B69" s="1"/>
      <c r="C69" s="1"/>
      <c r="D69" s="90"/>
      <c r="E69" s="110"/>
      <c r="F69" s="583">
        <f>F46+F53+F60+F67</f>
        <v>72</v>
      </c>
      <c r="G69" s="329"/>
      <c r="H69" s="2846">
        <f>I46+I53+I60+I67</f>
        <v>15291752.399999999</v>
      </c>
      <c r="I69" s="2846"/>
      <c r="J69" s="2846"/>
      <c r="K69" s="583">
        <f>K46+K53+K60+K67</f>
        <v>0</v>
      </c>
      <c r="L69" s="584"/>
      <c r="M69" s="2846">
        <f>N46+N53+N60+N67</f>
        <v>0</v>
      </c>
      <c r="N69" s="2846"/>
      <c r="O69" s="2846"/>
      <c r="P69" s="2844"/>
      <c r="Q69" s="2844"/>
      <c r="R69" s="404"/>
      <c r="S69" s="404"/>
      <c r="T69" s="35"/>
      <c r="U69" s="35"/>
      <c r="V69" s="445"/>
      <c r="W69" s="445"/>
      <c r="X69" s="446"/>
      <c r="Y69" s="445"/>
      <c r="Z69" s="449"/>
      <c r="AA69" s="450"/>
      <c r="AB69" s="450"/>
      <c r="AC69" s="450"/>
      <c r="AD69" s="450"/>
      <c r="AE69" s="450"/>
      <c r="AF69" s="450"/>
      <c r="AG69" s="608"/>
      <c r="AH69" s="443"/>
      <c r="AI69" s="443"/>
      <c r="AJ69" s="443"/>
      <c r="AK69" s="443"/>
      <c r="AL69" s="443"/>
      <c r="AM69" s="443"/>
      <c r="AN69" s="443"/>
      <c r="AO69" s="443"/>
      <c r="AP69" s="443"/>
      <c r="AQ69" s="443"/>
      <c r="AR69" s="443"/>
      <c r="AS69" s="443"/>
      <c r="AT69" s="443"/>
      <c r="AU69" s="443"/>
      <c r="AV69" s="443"/>
      <c r="AW69" s="443"/>
      <c r="AX69" s="443"/>
      <c r="AY69" s="443"/>
      <c r="AZ69" s="443"/>
      <c r="BA69" s="443"/>
      <c r="BB69" s="443"/>
      <c r="BC69" s="443"/>
      <c r="BD69" s="443"/>
      <c r="BE69" s="443"/>
      <c r="BF69" s="443"/>
      <c r="BG69" s="443"/>
      <c r="BH69" s="443"/>
      <c r="BI69" s="443"/>
      <c r="BJ69" s="443"/>
      <c r="BK69" s="443"/>
      <c r="BL69" s="443"/>
      <c r="BM69" s="443"/>
      <c r="BN69" s="443"/>
      <c r="BO69" s="443"/>
      <c r="BP69" s="443"/>
      <c r="BQ69" s="443"/>
      <c r="BR69" s="443"/>
      <c r="BS69" s="443"/>
      <c r="BT69" s="443"/>
      <c r="BU69" s="443"/>
      <c r="BV69" s="443"/>
      <c r="BW69" s="443"/>
      <c r="BX69" s="443"/>
      <c r="BY69" s="443"/>
      <c r="BZ69" s="443"/>
      <c r="CA69" s="443"/>
      <c r="CB69" s="443"/>
      <c r="CC69" s="443"/>
      <c r="CD69" s="443"/>
      <c r="CE69" s="443"/>
      <c r="CF69" s="443"/>
      <c r="CG69" s="443"/>
      <c r="CH69" s="443"/>
      <c r="CI69" s="443"/>
      <c r="CJ69" s="443"/>
      <c r="CK69" s="443"/>
      <c r="CL69" s="443"/>
      <c r="CM69" s="443"/>
      <c r="CN69" s="443"/>
      <c r="CO69" s="443"/>
      <c r="CP69" s="443"/>
      <c r="CQ69" s="443"/>
      <c r="CR69" s="443"/>
      <c r="CS69" s="443"/>
      <c r="CT69" s="443"/>
      <c r="CU69" s="443"/>
      <c r="CV69" s="443"/>
      <c r="CW69" s="443"/>
      <c r="CX69" s="443"/>
      <c r="CY69" s="443"/>
      <c r="CZ69" s="443"/>
      <c r="DA69" s="443"/>
      <c r="DB69" s="443"/>
      <c r="DC69" s="443"/>
      <c r="DD69" s="443"/>
      <c r="DE69" s="443"/>
      <c r="DF69" s="443"/>
      <c r="DG69" s="443"/>
      <c r="DH69" s="443"/>
      <c r="DI69" s="443"/>
      <c r="DJ69" s="443"/>
      <c r="DK69" s="443"/>
      <c r="DL69" s="443"/>
      <c r="DM69" s="443"/>
      <c r="DN69" s="443"/>
      <c r="DO69" s="443"/>
      <c r="DP69" s="443"/>
      <c r="DQ69" s="443"/>
      <c r="DR69" s="443"/>
      <c r="DS69" s="443"/>
      <c r="DT69" s="443"/>
      <c r="DU69" s="443"/>
      <c r="DV69" s="443"/>
      <c r="DW69" s="443"/>
      <c r="DX69" s="443"/>
      <c r="DY69" s="443"/>
      <c r="DZ69" s="443"/>
      <c r="EA69" s="443"/>
      <c r="EB69" s="443"/>
      <c r="EC69" s="443"/>
      <c r="ED69" s="443"/>
      <c r="EE69" s="443"/>
      <c r="EF69" s="443"/>
      <c r="EG69" s="443"/>
      <c r="EH69" s="443"/>
      <c r="EI69" s="443"/>
      <c r="EJ69" s="443"/>
      <c r="EK69" s="443"/>
      <c r="EL69" s="443"/>
      <c r="EM69" s="443"/>
      <c r="EN69" s="443"/>
      <c r="EO69" s="443"/>
      <c r="EP69" s="443"/>
      <c r="EQ69" s="443"/>
      <c r="ER69" s="443"/>
      <c r="ES69" s="443"/>
      <c r="ET69" s="443"/>
      <c r="EU69" s="443"/>
      <c r="EV69" s="443"/>
      <c r="EW69" s="443"/>
      <c r="EX69" s="443"/>
      <c r="EY69" s="443"/>
      <c r="EZ69" s="443"/>
      <c r="FA69" s="443"/>
      <c r="FB69" s="443"/>
      <c r="FC69" s="443"/>
      <c r="FD69" s="443"/>
      <c r="FE69" s="443"/>
      <c r="FF69" s="443"/>
      <c r="FG69" s="443"/>
      <c r="FH69" s="443"/>
      <c r="FI69" s="443"/>
      <c r="FJ69" s="443"/>
      <c r="FK69" s="443"/>
      <c r="FL69" s="443"/>
      <c r="FM69" s="443"/>
      <c r="FN69" s="443"/>
      <c r="FO69" s="443"/>
      <c r="FP69" s="443"/>
      <c r="FQ69" s="443"/>
      <c r="FR69" s="443"/>
      <c r="FS69" s="443"/>
      <c r="FT69" s="443"/>
      <c r="FU69" s="443"/>
      <c r="FV69" s="443"/>
      <c r="FW69" s="443"/>
      <c r="FX69" s="443"/>
      <c r="FY69" s="443"/>
      <c r="FZ69" s="443"/>
      <c r="GA69" s="443"/>
      <c r="GB69" s="443"/>
      <c r="GC69" s="443"/>
      <c r="GD69" s="443"/>
      <c r="GE69" s="443"/>
      <c r="GF69" s="443"/>
      <c r="GG69" s="443"/>
      <c r="GH69" s="443"/>
      <c r="GI69" s="443"/>
      <c r="GJ69" s="443"/>
      <c r="GK69" s="443"/>
      <c r="GL69" s="443"/>
      <c r="GM69" s="443"/>
      <c r="GN69" s="443"/>
      <c r="GO69" s="443"/>
      <c r="GP69" s="443"/>
      <c r="GQ69" s="443"/>
      <c r="GR69" s="443"/>
      <c r="GS69" s="443"/>
      <c r="GT69" s="443"/>
      <c r="GU69" s="443"/>
      <c r="GV69" s="443"/>
      <c r="GW69" s="443"/>
      <c r="GX69" s="443"/>
      <c r="GY69" s="443"/>
      <c r="GZ69" s="443"/>
      <c r="HA69" s="443"/>
      <c r="HB69" s="443"/>
      <c r="HC69" s="443"/>
      <c r="HD69" s="443"/>
      <c r="HE69" s="443"/>
      <c r="HF69" s="443"/>
      <c r="HG69" s="443"/>
      <c r="HH69" s="443"/>
      <c r="HI69" s="443"/>
      <c r="HJ69" s="443"/>
      <c r="HK69" s="443"/>
      <c r="HL69" s="443"/>
      <c r="HM69" s="443"/>
      <c r="HN69" s="443"/>
      <c r="HO69" s="443"/>
      <c r="HP69" s="443"/>
      <c r="HQ69" s="443"/>
      <c r="HR69" s="443"/>
      <c r="HS69" s="443"/>
      <c r="HT69" s="443"/>
      <c r="HU69" s="443"/>
      <c r="HV69" s="443"/>
      <c r="HW69" s="443"/>
      <c r="HX69" s="443"/>
      <c r="HY69" s="443"/>
      <c r="HZ69" s="443"/>
      <c r="IA69" s="443"/>
      <c r="IB69" s="443"/>
      <c r="IC69" s="443"/>
      <c r="ID69" s="443"/>
      <c r="IE69" s="443"/>
      <c r="IF69" s="443"/>
      <c r="IG69" s="443"/>
      <c r="IH69" s="443"/>
      <c r="II69" s="443"/>
      <c r="IJ69" s="448"/>
      <c r="IK69" s="448"/>
      <c r="IL69" s="443"/>
      <c r="IM69" s="443"/>
      <c r="IN69" s="443"/>
      <c r="IO69" s="443"/>
      <c r="IP69" s="443"/>
      <c r="IQ69" s="443"/>
      <c r="IR69" s="443"/>
      <c r="IS69" s="443"/>
      <c r="IT69" s="443"/>
      <c r="IU69" s="443"/>
      <c r="IV69" s="443"/>
      <c r="IW69" s="443"/>
      <c r="IX69" s="443"/>
      <c r="IY69" s="443"/>
      <c r="IZ69" s="443"/>
      <c r="JA69" s="448"/>
      <c r="JB69" s="443"/>
      <c r="JC69" s="443"/>
      <c r="JD69" s="147"/>
      <c r="JE69" s="147"/>
      <c r="JF69" s="147"/>
      <c r="JG69" s="147"/>
      <c r="JH69" s="147"/>
      <c r="JI69" s="147"/>
      <c r="JJ69" s="147"/>
      <c r="JK69" s="147"/>
      <c r="JL69" s="147"/>
      <c r="JM69" s="147"/>
      <c r="JN69" s="147"/>
      <c r="JO69" s="147"/>
      <c r="JP69" s="147"/>
      <c r="JQ69" s="147"/>
      <c r="JR69" s="147"/>
      <c r="JS69" s="147"/>
      <c r="JT69" s="147"/>
      <c r="JU69" s="147"/>
      <c r="JV69" s="147"/>
      <c r="JW69" s="147"/>
      <c r="JX69" s="147"/>
      <c r="JY69" s="147"/>
      <c r="JZ69" s="147"/>
      <c r="KA69" s="147"/>
      <c r="KB69" s="147"/>
      <c r="KC69" s="147"/>
      <c r="KD69" s="147"/>
      <c r="KE69" s="147"/>
      <c r="KF69" s="147"/>
      <c r="KG69" s="147"/>
      <c r="KH69" s="147"/>
      <c r="KI69" s="147"/>
    </row>
    <row r="70" spans="1:295" ht="10.5" customHeight="1">
      <c r="B70" s="95" t="s">
        <v>3565</v>
      </c>
      <c r="D70" s="95"/>
      <c r="E70" s="95"/>
      <c r="F70" s="95"/>
      <c r="G70" s="95"/>
      <c r="H70" s="40"/>
      <c r="I70" s="2397"/>
      <c r="J70" s="2397"/>
      <c r="K70" s="136" t="s">
        <v>1820</v>
      </c>
      <c r="L70" s="2374"/>
      <c r="M70" s="2374"/>
      <c r="N70" s="2374"/>
      <c r="O70" s="2374"/>
      <c r="P70" s="2845"/>
      <c r="Q70" s="2845"/>
    </row>
    <row r="71" spans="1:295" ht="45.75" customHeight="1">
      <c r="A71" s="2729" t="s">
        <v>7151</v>
      </c>
      <c r="B71" s="2730"/>
      <c r="C71" s="2730"/>
      <c r="D71" s="2730"/>
      <c r="E71" s="2730"/>
      <c r="F71" s="2730"/>
      <c r="G71" s="2730"/>
      <c r="H71" s="2730"/>
      <c r="I71" s="2730"/>
      <c r="J71" s="2731"/>
      <c r="K71" s="2848"/>
      <c r="L71" s="2849"/>
      <c r="M71" s="2849"/>
      <c r="N71" s="2849"/>
      <c r="O71" s="2849"/>
      <c r="P71" s="2849"/>
      <c r="Q71" s="2850"/>
      <c r="R71" s="440" t="s">
        <v>1228</v>
      </c>
      <c r="U71" s="135"/>
      <c r="V71" s="135"/>
      <c r="W71" s="135"/>
      <c r="X71" s="135"/>
      <c r="Y71" s="135"/>
      <c r="Z71" s="135"/>
      <c r="AA71" s="135"/>
      <c r="AB71" s="135"/>
      <c r="AC71" s="135"/>
      <c r="AD71" s="135"/>
      <c r="AE71" s="457"/>
    </row>
    <row r="72" spans="1:295" ht="3" customHeight="1">
      <c r="B72" s="2397"/>
      <c r="C72" s="2380"/>
      <c r="D72" s="2380"/>
      <c r="E72" s="2380"/>
      <c r="F72" s="2380"/>
      <c r="G72" s="2380"/>
      <c r="H72" s="2380"/>
      <c r="I72" s="2380"/>
      <c r="J72" s="2380"/>
      <c r="K72" s="2380"/>
      <c r="L72" s="2380"/>
      <c r="M72" s="2380"/>
      <c r="N72" s="2380"/>
      <c r="O72" s="2380"/>
      <c r="P72" s="2380"/>
      <c r="Q72" s="2374"/>
    </row>
    <row r="73" spans="1:295" ht="12.75" customHeight="1">
      <c r="A73" s="2372" t="s">
        <v>724</v>
      </c>
      <c r="B73" s="4" t="s">
        <v>1166</v>
      </c>
      <c r="C73" s="4"/>
      <c r="D73" s="4"/>
      <c r="E73" s="2380"/>
      <c r="F73" s="2380"/>
      <c r="G73" s="139" t="s">
        <v>4555</v>
      </c>
      <c r="H73" s="2380"/>
      <c r="J73" s="2851" t="str">
        <f>'Part I-Project Information'!$H$82</f>
        <v>HFOP</v>
      </c>
      <c r="K73" s="2851"/>
      <c r="L73" s="2851"/>
      <c r="O73" s="131" t="s">
        <v>1821</v>
      </c>
      <c r="P73" s="2808"/>
      <c r="Q73" s="2809"/>
    </row>
    <row r="74" spans="1:295" ht="10.5" customHeight="1">
      <c r="B74" s="95" t="s">
        <v>3565</v>
      </c>
      <c r="D74" s="95"/>
      <c r="E74" s="95"/>
      <c r="F74" s="95"/>
      <c r="G74" s="95"/>
      <c r="H74" s="40"/>
      <c r="I74" s="2397"/>
      <c r="J74" s="2397"/>
      <c r="K74" s="136" t="s">
        <v>1820</v>
      </c>
      <c r="L74" s="2374"/>
      <c r="M74" s="2374"/>
      <c r="N74" s="2374"/>
      <c r="O74" s="2374"/>
      <c r="P74" s="2374"/>
      <c r="Q74" s="855"/>
    </row>
    <row r="75" spans="1:295" ht="15" customHeight="1">
      <c r="A75" s="2729" t="s">
        <v>7185</v>
      </c>
      <c r="B75" s="2730"/>
      <c r="C75" s="2730"/>
      <c r="D75" s="2730"/>
      <c r="E75" s="2730"/>
      <c r="F75" s="2730"/>
      <c r="G75" s="2730"/>
      <c r="H75" s="2730"/>
      <c r="I75" s="2730"/>
      <c r="J75" s="2731"/>
      <c r="K75" s="2848"/>
      <c r="L75" s="2849"/>
      <c r="M75" s="2849"/>
      <c r="N75" s="2849"/>
      <c r="O75" s="2849"/>
      <c r="P75" s="2849"/>
      <c r="Q75" s="2850"/>
      <c r="R75" s="440" t="s">
        <v>1228</v>
      </c>
      <c r="U75" s="135"/>
      <c r="V75" s="135"/>
      <c r="W75" s="135"/>
      <c r="X75" s="135"/>
      <c r="Y75" s="135"/>
      <c r="Z75" s="135"/>
      <c r="AA75" s="135"/>
      <c r="AB75" s="135"/>
      <c r="AC75" s="135"/>
      <c r="AD75" s="135"/>
      <c r="AE75" s="457"/>
    </row>
    <row r="76" spans="1:295" ht="3" customHeight="1">
      <c r="A76" s="2374"/>
      <c r="B76" s="2397"/>
      <c r="C76" s="2380"/>
      <c r="D76" s="2380"/>
      <c r="E76" s="2380"/>
      <c r="F76" s="2380"/>
      <c r="G76" s="2380"/>
      <c r="H76" s="2380"/>
      <c r="I76" s="2380"/>
      <c r="J76" s="2380"/>
      <c r="K76" s="2380"/>
      <c r="L76" s="2380"/>
      <c r="M76" s="2380"/>
      <c r="N76" s="2380"/>
      <c r="O76" s="2380"/>
      <c r="P76" s="2380"/>
      <c r="Q76" s="2374"/>
    </row>
    <row r="77" spans="1:295" ht="12.75" customHeight="1">
      <c r="A77" s="2372" t="s">
        <v>1748</v>
      </c>
      <c r="B77" s="2372" t="s">
        <v>2580</v>
      </c>
      <c r="C77" s="113"/>
      <c r="D77" s="2380"/>
      <c r="E77" s="2380"/>
      <c r="F77" s="2380"/>
      <c r="G77" s="2380"/>
      <c r="H77" s="2380"/>
      <c r="I77" s="2380"/>
      <c r="J77" s="2380"/>
      <c r="L77" s="1594" t="s">
        <v>4250</v>
      </c>
      <c r="M77" s="1595" t="s">
        <v>4251</v>
      </c>
      <c r="O77" s="131" t="s">
        <v>1821</v>
      </c>
      <c r="P77" s="2808"/>
      <c r="Q77" s="2809"/>
    </row>
    <row r="78" spans="1:295" ht="1.5" customHeight="1"/>
    <row r="79" spans="1:295" ht="12" customHeight="1">
      <c r="A79" s="141" t="s">
        <v>1936</v>
      </c>
      <c r="B79" s="2769" t="s">
        <v>4243</v>
      </c>
      <c r="C79" s="2769"/>
      <c r="D79" s="2769"/>
      <c r="E79" s="2769"/>
      <c r="F79" s="2769"/>
      <c r="G79" s="2769"/>
      <c r="H79" s="2769"/>
      <c r="I79" s="2769"/>
      <c r="J79" s="2769"/>
      <c r="K79" s="147"/>
      <c r="L79" s="429" t="s">
        <v>2808</v>
      </c>
      <c r="M79" s="1463">
        <v>2</v>
      </c>
      <c r="N79" s="389" t="s">
        <v>4700</v>
      </c>
      <c r="P79" s="2853" t="s">
        <v>7084</v>
      </c>
      <c r="Q79" s="2923"/>
    </row>
    <row r="80" spans="1:295" ht="12" customHeight="1">
      <c r="A80" s="141"/>
      <c r="B80" s="2769"/>
      <c r="C80" s="2769"/>
      <c r="D80" s="2769"/>
      <c r="E80" s="2769"/>
      <c r="F80" s="2769"/>
      <c r="G80" s="2769"/>
      <c r="H80" s="2769"/>
      <c r="I80" s="2769"/>
      <c r="J80" s="2769"/>
      <c r="K80" s="147"/>
      <c r="L80" s="429" t="s">
        <v>4249</v>
      </c>
      <c r="M80" s="1464">
        <v>4</v>
      </c>
      <c r="O80" s="142"/>
      <c r="P80" s="2854"/>
      <c r="Q80" s="2924"/>
    </row>
    <row r="81" spans="1:31" ht="12" customHeight="1">
      <c r="A81" s="47" t="s">
        <v>1938</v>
      </c>
      <c r="B81" s="389" t="s">
        <v>4252</v>
      </c>
      <c r="C81" s="389"/>
      <c r="D81" s="389"/>
      <c r="E81" s="389"/>
      <c r="F81" s="389"/>
      <c r="G81" s="389"/>
      <c r="H81" s="389"/>
      <c r="I81" s="389"/>
      <c r="J81" s="389"/>
      <c r="K81" s="563"/>
      <c r="L81" s="389"/>
      <c r="M81" s="147"/>
      <c r="N81" s="897"/>
      <c r="O81" s="897"/>
      <c r="P81" s="897"/>
    </row>
    <row r="82" spans="1:31" ht="12" customHeight="1">
      <c r="A82" s="1412"/>
      <c r="B82" s="1488" t="s">
        <v>1694</v>
      </c>
      <c r="C82" s="389" t="s">
        <v>4256</v>
      </c>
      <c r="D82" s="1414"/>
      <c r="E82" s="1414"/>
      <c r="F82" s="1414"/>
      <c r="G82" s="1414"/>
      <c r="H82" s="1414"/>
      <c r="I82" s="1414"/>
      <c r="J82" s="1414"/>
      <c r="K82" s="1413"/>
      <c r="L82" s="896"/>
      <c r="N82" s="389" t="s">
        <v>4701</v>
      </c>
      <c r="O82" s="897"/>
      <c r="P82" s="2256" t="s">
        <v>7085</v>
      </c>
      <c r="Q82" s="518"/>
    </row>
    <row r="83" spans="1:31" ht="12" customHeight="1">
      <c r="A83" s="1412"/>
      <c r="B83" s="1488" t="s">
        <v>1695</v>
      </c>
      <c r="C83" s="389" t="s">
        <v>4253</v>
      </c>
      <c r="D83" s="1414"/>
      <c r="E83" s="1414"/>
      <c r="F83" s="1414"/>
      <c r="G83" s="1414"/>
      <c r="H83" s="1414"/>
      <c r="I83" s="1414"/>
      <c r="J83" s="1414"/>
      <c r="K83" s="1413"/>
      <c r="L83" s="896"/>
      <c r="N83" s="389" t="s">
        <v>4702</v>
      </c>
      <c r="O83" s="897"/>
      <c r="P83" s="2257" t="s">
        <v>7084</v>
      </c>
      <c r="Q83" s="519"/>
    </row>
    <row r="84" spans="1:31" ht="12" customHeight="1">
      <c r="A84" s="1411"/>
      <c r="B84" s="468" t="s">
        <v>1696</v>
      </c>
      <c r="C84" s="389" t="s">
        <v>4254</v>
      </c>
      <c r="E84" s="1414"/>
      <c r="F84" s="1414"/>
      <c r="G84" s="1414"/>
      <c r="H84" s="1414"/>
      <c r="I84" s="1414"/>
      <c r="J84" s="1414"/>
      <c r="K84" s="1413"/>
      <c r="L84" s="896"/>
      <c r="M84" s="897"/>
      <c r="N84" s="389" t="s">
        <v>4703</v>
      </c>
      <c r="O84" s="897"/>
      <c r="P84" s="2257" t="s">
        <v>7084</v>
      </c>
      <c r="Q84" s="519"/>
    </row>
    <row r="85" spans="1:31" ht="11.1" customHeight="1">
      <c r="A85" s="143"/>
      <c r="B85" s="468" t="s">
        <v>2305</v>
      </c>
      <c r="C85" s="468" t="s">
        <v>4257</v>
      </c>
      <c r="D85" s="133"/>
      <c r="E85" s="133"/>
      <c r="F85" s="133"/>
      <c r="G85" s="133"/>
      <c r="H85" s="133"/>
      <c r="I85" s="42"/>
      <c r="J85" s="42"/>
      <c r="N85" s="389" t="s">
        <v>4704</v>
      </c>
      <c r="O85" s="897"/>
      <c r="P85" s="2258" t="s">
        <v>7086</v>
      </c>
      <c r="Q85" s="520"/>
    </row>
    <row r="86" spans="1:31" ht="11.1" customHeight="1">
      <c r="A86" s="143"/>
      <c r="B86" s="468"/>
      <c r="C86" s="389" t="s">
        <v>4258</v>
      </c>
      <c r="D86" s="133"/>
      <c r="E86" s="133"/>
      <c r="F86" s="133"/>
      <c r="G86" s="133"/>
      <c r="H86" s="133"/>
      <c r="I86" s="42"/>
      <c r="J86" s="42"/>
      <c r="L86" s="2718"/>
      <c r="M86" s="2719"/>
      <c r="N86" s="2719"/>
      <c r="O86" s="2719"/>
      <c r="P86" s="2719"/>
      <c r="Q86" s="2720"/>
    </row>
    <row r="87" spans="1:31" ht="11.25" customHeight="1">
      <c r="A87" s="143"/>
      <c r="B87" s="468" t="s">
        <v>1516</v>
      </c>
      <c r="C87" s="2769" t="s">
        <v>4255</v>
      </c>
      <c r="D87" s="2769"/>
      <c r="E87" s="2769"/>
      <c r="F87" s="2769"/>
      <c r="G87" s="2769"/>
      <c r="H87" s="2769"/>
      <c r="I87" s="2769"/>
      <c r="J87" s="2769"/>
      <c r="K87" s="2769"/>
      <c r="L87" s="2769"/>
      <c r="M87" s="515"/>
      <c r="N87" s="389" t="s">
        <v>4705</v>
      </c>
      <c r="O87" s="897"/>
      <c r="P87" s="2259" t="s">
        <v>7084</v>
      </c>
      <c r="Q87" s="517"/>
    </row>
    <row r="88" spans="1:31" ht="11.25" customHeight="1">
      <c r="A88" s="47"/>
      <c r="C88" s="2769"/>
      <c r="D88" s="2769"/>
      <c r="E88" s="2769"/>
      <c r="F88" s="2769"/>
      <c r="G88" s="2769"/>
      <c r="H88" s="2769"/>
      <c r="I88" s="2769"/>
      <c r="J88" s="2769"/>
      <c r="K88" s="2769"/>
      <c r="L88" s="2769"/>
      <c r="M88" s="515"/>
    </row>
    <row r="89" spans="1:31" ht="10.5" customHeight="1">
      <c r="B89" s="95" t="s">
        <v>3565</v>
      </c>
      <c r="D89" s="95"/>
      <c r="E89" s="95"/>
      <c r="F89" s="95"/>
      <c r="G89" s="95"/>
      <c r="H89" s="40"/>
      <c r="I89" s="2397"/>
      <c r="J89" s="2397"/>
      <c r="K89" s="136" t="s">
        <v>1820</v>
      </c>
      <c r="L89" s="2374"/>
      <c r="M89" s="2374"/>
      <c r="N89" s="2374"/>
      <c r="O89" s="2374"/>
      <c r="P89" s="2374"/>
      <c r="Q89" s="855"/>
    </row>
    <row r="90" spans="1:31" ht="33.75" customHeight="1">
      <c r="A90" s="2729" t="s">
        <v>7083</v>
      </c>
      <c r="B90" s="2730"/>
      <c r="C90" s="2730"/>
      <c r="D90" s="2730"/>
      <c r="E90" s="2730"/>
      <c r="F90" s="2730"/>
      <c r="G90" s="2730"/>
      <c r="H90" s="2730"/>
      <c r="I90" s="2730"/>
      <c r="J90" s="2731"/>
      <c r="K90" s="2848"/>
      <c r="L90" s="2849"/>
      <c r="M90" s="2849"/>
      <c r="N90" s="2849"/>
      <c r="O90" s="2849"/>
      <c r="P90" s="2849"/>
      <c r="Q90" s="2850"/>
      <c r="R90" s="440" t="s">
        <v>1228</v>
      </c>
      <c r="U90" s="135"/>
      <c r="V90" s="135"/>
      <c r="W90" s="135"/>
      <c r="X90" s="135"/>
      <c r="Y90" s="135"/>
      <c r="Z90" s="135"/>
      <c r="AA90" s="135"/>
      <c r="AB90" s="135"/>
      <c r="AC90" s="135"/>
      <c r="AD90" s="135"/>
      <c r="AE90" s="457"/>
    </row>
    <row r="91" spans="1:31" ht="3" customHeight="1">
      <c r="A91" s="2374"/>
      <c r="B91" s="2397"/>
      <c r="C91" s="2380"/>
      <c r="D91" s="2380"/>
      <c r="E91" s="2380"/>
      <c r="F91" s="2380"/>
      <c r="G91" s="2380"/>
      <c r="H91" s="2380"/>
      <c r="I91" s="2380"/>
      <c r="J91" s="2380"/>
      <c r="K91" s="2380"/>
      <c r="L91" s="2380"/>
      <c r="M91" s="2380"/>
      <c r="N91" s="2380"/>
      <c r="O91" s="2380"/>
      <c r="P91" s="2380"/>
      <c r="Q91" s="2374"/>
    </row>
    <row r="92" spans="1:31" ht="14.1" customHeight="1">
      <c r="A92" s="2372" t="s">
        <v>1750</v>
      </c>
      <c r="B92" s="2372" t="s">
        <v>4694</v>
      </c>
      <c r="C92" s="2372"/>
      <c r="D92" s="2380"/>
      <c r="E92" s="2380"/>
      <c r="F92" s="2380"/>
      <c r="G92" s="2380"/>
      <c r="H92" s="1627" t="str">
        <f>'Part I-Project Information'!$K$40</f>
        <v>Urban</v>
      </c>
      <c r="J92" s="47" t="s">
        <v>4699</v>
      </c>
      <c r="K92" s="587" t="str">
        <f>'Part I-Project Information'!$H$105</f>
        <v>Flexible</v>
      </c>
      <c r="L92" s="63" t="s">
        <v>4309</v>
      </c>
      <c r="M92" s="1466" t="str">
        <f>'Part I-Project Information'!$H$82</f>
        <v>HFOP</v>
      </c>
      <c r="O92" s="131" t="s">
        <v>1821</v>
      </c>
      <c r="P92" s="2808"/>
      <c r="Q92" s="2809"/>
    </row>
    <row r="93" spans="1:31" ht="3" customHeight="1"/>
    <row r="94" spans="1:31" ht="10.5" customHeight="1">
      <c r="A94" s="47" t="s">
        <v>1936</v>
      </c>
      <c r="B94" s="39" t="s">
        <v>2396</v>
      </c>
      <c r="D94" s="133"/>
      <c r="E94" s="133"/>
      <c r="F94" s="133"/>
      <c r="G94" s="133"/>
      <c r="H94" s="133"/>
      <c r="I94" s="42"/>
      <c r="J94" s="42"/>
      <c r="K94" s="42"/>
      <c r="L94" s="455" t="s">
        <v>1936</v>
      </c>
      <c r="M94" s="2725" t="s">
        <v>7087</v>
      </c>
      <c r="N94" s="2726"/>
      <c r="O94" s="2726"/>
      <c r="P94" s="2872"/>
      <c r="Q94" s="518"/>
    </row>
    <row r="95" spans="1:31" ht="10.5" customHeight="1">
      <c r="A95" s="47" t="s">
        <v>1938</v>
      </c>
      <c r="B95" s="52" t="s">
        <v>4556</v>
      </c>
      <c r="D95" s="133"/>
      <c r="E95" s="133"/>
      <c r="F95" s="133"/>
      <c r="L95" s="455" t="s">
        <v>1938</v>
      </c>
      <c r="M95" s="2873" t="s">
        <v>7088</v>
      </c>
      <c r="N95" s="2874"/>
      <c r="O95" s="2874"/>
      <c r="P95" s="2875"/>
      <c r="Q95" s="519"/>
    </row>
    <row r="96" spans="1:31" ht="10.5" customHeight="1">
      <c r="A96" s="47" t="s">
        <v>731</v>
      </c>
      <c r="B96" s="52" t="s">
        <v>2779</v>
      </c>
      <c r="D96" s="133"/>
      <c r="E96" s="133"/>
      <c r="F96" s="133"/>
      <c r="L96" s="455" t="s">
        <v>731</v>
      </c>
      <c r="M96" s="2839">
        <v>0.95299999999999996</v>
      </c>
      <c r="N96" s="2840"/>
      <c r="O96" s="2840"/>
      <c r="P96" s="2841"/>
      <c r="Q96" s="519"/>
    </row>
    <row r="97" spans="1:32" ht="10.5" customHeight="1">
      <c r="A97" s="47" t="s">
        <v>2065</v>
      </c>
      <c r="B97" s="52" t="s">
        <v>3665</v>
      </c>
      <c r="D97" s="133"/>
      <c r="E97" s="133"/>
      <c r="F97" s="133"/>
      <c r="L97" s="455" t="s">
        <v>3666</v>
      </c>
      <c r="M97" s="2260">
        <v>0.223</v>
      </c>
      <c r="N97" s="1053"/>
      <c r="O97" s="1054" t="s">
        <v>3805</v>
      </c>
      <c r="P97" s="2261"/>
      <c r="Q97" s="520"/>
    </row>
    <row r="98" spans="1:32" ht="10.5" customHeight="1">
      <c r="A98" s="47" t="s">
        <v>1692</v>
      </c>
      <c r="B98" s="52" t="s">
        <v>4557</v>
      </c>
      <c r="D98" s="139"/>
      <c r="E98" s="139"/>
      <c r="F98" s="139"/>
      <c r="G98" s="139"/>
      <c r="H98" s="139"/>
      <c r="I98" s="139"/>
      <c r="J98" s="139"/>
      <c r="K98" s="139"/>
      <c r="L98" s="139"/>
      <c r="M98" s="139"/>
      <c r="N98" s="139"/>
      <c r="O98" s="139"/>
      <c r="P98" s="139"/>
      <c r="Q98" s="139"/>
    </row>
    <row r="99" spans="1:32" ht="10.5" customHeight="1">
      <c r="B99" s="47"/>
      <c r="C99" s="52"/>
      <c r="D99" s="2384" t="s">
        <v>2317</v>
      </c>
      <c r="E99" s="856" t="s">
        <v>599</v>
      </c>
      <c r="F99" s="856"/>
      <c r="H99" s="52"/>
      <c r="I99" s="2384" t="s">
        <v>2317</v>
      </c>
      <c r="J99" s="856" t="s">
        <v>599</v>
      </c>
      <c r="K99" s="856"/>
      <c r="M99" s="52"/>
      <c r="N99" s="2384" t="s">
        <v>2317</v>
      </c>
      <c r="O99" s="856" t="s">
        <v>599</v>
      </c>
      <c r="P99" s="856"/>
      <c r="Q99" s="455"/>
    </row>
    <row r="100" spans="1:32" ht="10.5" customHeight="1">
      <c r="C100" s="455" t="s">
        <v>1694</v>
      </c>
      <c r="D100" s="2262" t="s">
        <v>7089</v>
      </c>
      <c r="E100" s="2852" t="s">
        <v>7090</v>
      </c>
      <c r="F100" s="2852"/>
      <c r="G100" s="2852"/>
      <c r="H100" s="65" t="s">
        <v>1696</v>
      </c>
      <c r="I100" s="2262" t="s">
        <v>7003</v>
      </c>
      <c r="J100" s="2852" t="s">
        <v>7093</v>
      </c>
      <c r="K100" s="2852"/>
      <c r="L100" s="2852"/>
      <c r="M100" s="64" t="s">
        <v>1516</v>
      </c>
      <c r="N100" s="2262"/>
      <c r="O100" s="2852"/>
      <c r="P100" s="2852"/>
      <c r="Q100" s="2852"/>
    </row>
    <row r="101" spans="1:32" ht="10.5" customHeight="1">
      <c r="C101" s="65" t="s">
        <v>1695</v>
      </c>
      <c r="D101" s="2263" t="s">
        <v>7091</v>
      </c>
      <c r="E101" s="2855" t="s">
        <v>7092</v>
      </c>
      <c r="F101" s="2855"/>
      <c r="G101" s="2855"/>
      <c r="H101" s="455" t="s">
        <v>2305</v>
      </c>
      <c r="I101" s="2263"/>
      <c r="J101" s="2855"/>
      <c r="K101" s="2855"/>
      <c r="L101" s="2855"/>
      <c r="M101" s="64" t="s">
        <v>1517</v>
      </c>
      <c r="N101" s="2263"/>
      <c r="O101" s="2855"/>
      <c r="P101" s="2855"/>
      <c r="Q101" s="2855"/>
    </row>
    <row r="102" spans="1:32" ht="10.5" customHeight="1">
      <c r="A102" s="47" t="s">
        <v>1693</v>
      </c>
      <c r="B102" s="52" t="s">
        <v>0</v>
      </c>
      <c r="D102" s="133"/>
      <c r="E102" s="133"/>
      <c r="F102" s="133"/>
      <c r="G102" s="133"/>
      <c r="H102" s="133"/>
      <c r="I102" s="42"/>
      <c r="J102" s="42"/>
      <c r="K102" s="133"/>
      <c r="L102" s="2392"/>
      <c r="M102" s="2392"/>
      <c r="O102" s="455" t="s">
        <v>1693</v>
      </c>
      <c r="P102" s="2264" t="s">
        <v>2886</v>
      </c>
      <c r="Q102" s="1553"/>
    </row>
    <row r="103" spans="1:32" s="132" customFormat="1" ht="43.2" customHeight="1">
      <c r="A103" s="141" t="s">
        <v>1900</v>
      </c>
      <c r="B103" s="2696" t="s">
        <v>4791</v>
      </c>
      <c r="C103" s="2696"/>
      <c r="D103" s="2696"/>
      <c r="E103" s="2696"/>
      <c r="F103" s="2696"/>
      <c r="G103" s="2696"/>
      <c r="H103" s="2696"/>
      <c r="I103" s="2696"/>
      <c r="J103" s="2696"/>
      <c r="K103" s="2696"/>
      <c r="L103" s="2696"/>
      <c r="M103" s="2696"/>
      <c r="N103" s="2696"/>
      <c r="O103" s="1725" t="s">
        <v>4789</v>
      </c>
      <c r="P103" s="2386" t="s">
        <v>2886</v>
      </c>
      <c r="Q103" s="2393"/>
      <c r="AE103" s="458"/>
      <c r="AF103" s="458"/>
    </row>
    <row r="104" spans="1:32" s="42" customFormat="1" ht="10.5" customHeight="1">
      <c r="A104" s="47"/>
      <c r="B104" s="1488" t="s">
        <v>1695</v>
      </c>
      <c r="C104" s="52" t="s">
        <v>4790</v>
      </c>
      <c r="D104" s="133"/>
      <c r="E104" s="133"/>
      <c r="F104" s="133"/>
      <c r="G104" s="133"/>
      <c r="H104" s="133"/>
      <c r="K104" s="133"/>
      <c r="L104" s="2392"/>
      <c r="M104" s="2392"/>
      <c r="O104" s="455" t="s">
        <v>1695</v>
      </c>
      <c r="P104" s="2258" t="s">
        <v>2889</v>
      </c>
      <c r="Q104" s="520"/>
      <c r="AE104" s="50"/>
      <c r="AF104" s="50"/>
    </row>
    <row r="105" spans="1:32" ht="9.75" customHeight="1">
      <c r="B105" s="140" t="s">
        <v>3565</v>
      </c>
      <c r="D105" s="140"/>
      <c r="E105" s="140"/>
      <c r="F105" s="140"/>
      <c r="G105" s="140"/>
      <c r="H105" s="40"/>
      <c r="I105" s="2397"/>
      <c r="J105" s="2397"/>
      <c r="K105" s="2397"/>
      <c r="L105" s="2374"/>
      <c r="M105" s="2374"/>
      <c r="N105" s="2374"/>
      <c r="O105" s="2374"/>
      <c r="P105" s="2374"/>
      <c r="Q105" s="855"/>
    </row>
    <row r="106" spans="1:32" ht="153.75" customHeight="1">
      <c r="A106" s="2729" t="s">
        <v>7186</v>
      </c>
      <c r="B106" s="2730"/>
      <c r="C106" s="2730"/>
      <c r="D106" s="2730"/>
      <c r="E106" s="2730"/>
      <c r="F106" s="2730"/>
      <c r="G106" s="2730"/>
      <c r="H106" s="2730"/>
      <c r="I106" s="2730"/>
      <c r="J106" s="2730"/>
      <c r="K106" s="2730"/>
      <c r="L106" s="2730"/>
      <c r="M106" s="2730"/>
      <c r="N106" s="2730"/>
      <c r="O106" s="2730"/>
      <c r="P106" s="2730"/>
      <c r="Q106" s="2731"/>
      <c r="U106" s="135"/>
      <c r="V106" s="135"/>
      <c r="W106" s="135"/>
      <c r="X106" s="135"/>
      <c r="Y106" s="135"/>
      <c r="Z106" s="135"/>
      <c r="AA106" s="135"/>
      <c r="AB106" s="135"/>
      <c r="AC106" s="135"/>
      <c r="AD106" s="135"/>
      <c r="AE106" s="457"/>
    </row>
    <row r="107" spans="1:32" ht="9.75" customHeight="1">
      <c r="B107" s="136" t="s">
        <v>1820</v>
      </c>
      <c r="C107" s="137"/>
      <c r="D107" s="2380"/>
      <c r="E107" s="2380"/>
      <c r="F107" s="2380"/>
      <c r="G107" s="2380"/>
      <c r="H107" s="2380"/>
      <c r="I107" s="2380"/>
      <c r="J107" s="2380"/>
      <c r="K107" s="2380"/>
      <c r="L107" s="2380"/>
      <c r="M107" s="2380"/>
      <c r="N107" s="2380"/>
      <c r="O107" s="2380"/>
      <c r="P107" s="2380"/>
      <c r="Q107" s="2380"/>
    </row>
    <row r="108" spans="1:32" ht="33" customHeight="1">
      <c r="A108" s="2848"/>
      <c r="B108" s="2849"/>
      <c r="C108" s="2849"/>
      <c r="D108" s="2849"/>
      <c r="E108" s="2849"/>
      <c r="F108" s="2849"/>
      <c r="G108" s="2849"/>
      <c r="H108" s="2849"/>
      <c r="I108" s="2849"/>
      <c r="J108" s="2849"/>
      <c r="K108" s="2849"/>
      <c r="L108" s="2849"/>
      <c r="M108" s="2849"/>
      <c r="N108" s="2849"/>
      <c r="O108" s="2849"/>
      <c r="P108" s="2849"/>
      <c r="Q108" s="2850"/>
    </row>
    <row r="109" spans="1:32" ht="14.1" customHeight="1">
      <c r="A109" s="2372" t="s">
        <v>516</v>
      </c>
      <c r="B109" s="2372" t="s">
        <v>2581</v>
      </c>
      <c r="C109" s="2372"/>
      <c r="D109" s="2380"/>
      <c r="E109" s="2380"/>
      <c r="F109" s="2380"/>
      <c r="G109" s="2380"/>
      <c r="H109" s="2380"/>
      <c r="I109" s="2380"/>
      <c r="J109" s="2380"/>
      <c r="K109" s="2380"/>
      <c r="L109" s="2380"/>
      <c r="M109" s="2380"/>
      <c r="O109" s="131" t="s">
        <v>1821</v>
      </c>
      <c r="P109" s="2808"/>
      <c r="Q109" s="2809"/>
    </row>
    <row r="110" spans="1:32" ht="3" customHeight="1"/>
    <row r="111" spans="1:32" ht="10.5" customHeight="1">
      <c r="A111" s="47" t="s">
        <v>1936</v>
      </c>
      <c r="B111" s="52" t="s">
        <v>4706</v>
      </c>
      <c r="C111" s="52"/>
      <c r="E111" s="52"/>
      <c r="F111" s="52"/>
      <c r="G111" s="52"/>
      <c r="H111" s="52"/>
      <c r="I111" s="52"/>
      <c r="J111" s="52"/>
      <c r="K111" s="52"/>
      <c r="L111" s="856"/>
      <c r="M111" s="856"/>
      <c r="O111" s="455" t="s">
        <v>1936</v>
      </c>
      <c r="P111" s="2259" t="s">
        <v>2886</v>
      </c>
      <c r="Q111" s="1553"/>
    </row>
    <row r="112" spans="1:32" ht="10.5" customHeight="1">
      <c r="B112" s="1488" t="s">
        <v>1694</v>
      </c>
      <c r="C112" s="39" t="s">
        <v>538</v>
      </c>
      <c r="E112" s="42"/>
      <c r="F112" s="42"/>
      <c r="G112" s="42"/>
      <c r="H112" s="42"/>
      <c r="I112" s="42"/>
      <c r="L112" s="65" t="s">
        <v>539</v>
      </c>
      <c r="M112" s="2718" t="s">
        <v>7094</v>
      </c>
      <c r="N112" s="2719"/>
      <c r="O112" s="2719"/>
      <c r="P112" s="2876"/>
      <c r="Q112" s="519"/>
    </row>
    <row r="113" spans="1:32" s="42" customFormat="1" ht="9.75" customHeight="1">
      <c r="B113" s="145" t="s">
        <v>1695</v>
      </c>
      <c r="C113" s="36" t="s">
        <v>4374</v>
      </c>
      <c r="O113" s="65" t="s">
        <v>1695</v>
      </c>
      <c r="P113" s="2264" t="s">
        <v>2886</v>
      </c>
      <c r="Q113" s="1553"/>
      <c r="AE113" s="50"/>
      <c r="AF113" s="50"/>
    </row>
    <row r="114" spans="1:32" s="42" customFormat="1" ht="9.75" customHeight="1">
      <c r="B114" s="1488" t="s">
        <v>1696</v>
      </c>
      <c r="C114" s="36" t="s">
        <v>4742</v>
      </c>
      <c r="O114" s="148" t="s">
        <v>1696</v>
      </c>
      <c r="P114" s="2265">
        <v>43979</v>
      </c>
      <c r="Q114" s="1724"/>
      <c r="AE114" s="50"/>
      <c r="AF114" s="50"/>
    </row>
    <row r="115" spans="1:32" ht="10.5" customHeight="1">
      <c r="A115" s="2397"/>
      <c r="B115" s="468" t="s">
        <v>2305</v>
      </c>
      <c r="C115" s="856" t="s">
        <v>4259</v>
      </c>
      <c r="D115" s="984"/>
      <c r="E115" s="984"/>
      <c r="F115" s="984"/>
      <c r="G115" s="984"/>
      <c r="H115" s="984"/>
      <c r="I115" s="984"/>
      <c r="J115" s="984"/>
      <c r="K115" s="984"/>
      <c r="L115" s="984"/>
      <c r="M115" s="984"/>
      <c r="O115" s="160" t="s">
        <v>2305</v>
      </c>
      <c r="P115" s="2266" t="s">
        <v>2886</v>
      </c>
      <c r="Q115" s="519"/>
    </row>
    <row r="116" spans="1:32" ht="10.5" customHeight="1">
      <c r="A116" s="2397"/>
      <c r="B116" s="468" t="s">
        <v>1516</v>
      </c>
      <c r="C116" s="856" t="s">
        <v>3352</v>
      </c>
      <c r="D116" s="984"/>
      <c r="E116" s="984"/>
      <c r="F116" s="984"/>
      <c r="G116" s="984"/>
      <c r="H116" s="984"/>
      <c r="I116" s="984"/>
      <c r="J116" s="984"/>
      <c r="K116" s="984"/>
      <c r="L116" s="984"/>
      <c r="M116" s="984"/>
      <c r="O116" s="160" t="s">
        <v>1516</v>
      </c>
      <c r="P116" s="2257" t="s">
        <v>2886</v>
      </c>
      <c r="Q116" s="519"/>
    </row>
    <row r="117" spans="1:32" ht="10.5" customHeight="1">
      <c r="A117" s="2397"/>
      <c r="B117" s="468" t="s">
        <v>1517</v>
      </c>
      <c r="C117" s="856" t="s">
        <v>3353</v>
      </c>
      <c r="D117" s="984"/>
      <c r="E117" s="984"/>
      <c r="F117" s="984"/>
      <c r="G117" s="984"/>
      <c r="H117" s="984"/>
      <c r="I117" s="984"/>
      <c r="J117" s="984"/>
      <c r="K117" s="984"/>
      <c r="L117" s="984"/>
      <c r="M117" s="984"/>
      <c r="O117" s="160" t="s">
        <v>1517</v>
      </c>
      <c r="P117" s="2257" t="s">
        <v>2886</v>
      </c>
      <c r="Q117" s="519"/>
    </row>
    <row r="118" spans="1:32" ht="10.5" customHeight="1">
      <c r="A118" s="2397"/>
      <c r="B118" s="468" t="s">
        <v>96</v>
      </c>
      <c r="C118" s="856" t="s">
        <v>2780</v>
      </c>
      <c r="D118" s="856"/>
      <c r="E118" s="856"/>
      <c r="F118" s="856"/>
      <c r="G118" s="856"/>
      <c r="H118" s="856"/>
      <c r="I118" s="856"/>
      <c r="J118" s="856"/>
      <c r="K118" s="856"/>
      <c r="L118" s="856"/>
      <c r="M118" s="1106"/>
      <c r="O118" s="160" t="s">
        <v>96</v>
      </c>
      <c r="P118" s="2257" t="s">
        <v>2886</v>
      </c>
      <c r="Q118" s="519"/>
    </row>
    <row r="119" spans="1:32" s="132" customFormat="1" ht="20.399999999999999" customHeight="1">
      <c r="A119" s="429"/>
      <c r="B119" s="468" t="s">
        <v>500</v>
      </c>
      <c r="C119" s="2696" t="s">
        <v>4559</v>
      </c>
      <c r="D119" s="2696"/>
      <c r="E119" s="2696"/>
      <c r="F119" s="2696"/>
      <c r="G119" s="2696"/>
      <c r="H119" s="2696"/>
      <c r="I119" s="2696"/>
      <c r="J119" s="2696"/>
      <c r="K119" s="2696"/>
      <c r="L119" s="2696"/>
      <c r="M119" s="2696"/>
      <c r="N119" s="2696"/>
      <c r="O119" s="160" t="s">
        <v>500</v>
      </c>
      <c r="P119" s="2387"/>
      <c r="Q119" s="2253"/>
      <c r="AE119" s="458"/>
      <c r="AF119" s="458"/>
    </row>
    <row r="120" spans="1:32" ht="10.5" customHeight="1">
      <c r="A120" s="47" t="s">
        <v>1938</v>
      </c>
      <c r="B120" s="52" t="s">
        <v>4558</v>
      </c>
      <c r="C120" s="52"/>
      <c r="E120" s="52"/>
      <c r="F120" s="52"/>
      <c r="G120" s="52"/>
      <c r="H120" s="52"/>
      <c r="I120" s="52"/>
      <c r="J120" s="52"/>
      <c r="K120" s="52"/>
      <c r="L120" s="52"/>
      <c r="M120" s="52"/>
      <c r="O120" s="455" t="s">
        <v>1938</v>
      </c>
      <c r="P120" s="2264" t="s">
        <v>2886</v>
      </c>
      <c r="Q120" s="1553"/>
    </row>
    <row r="121" spans="1:32" ht="10.5" customHeight="1">
      <c r="B121" s="1488" t="s">
        <v>1694</v>
      </c>
      <c r="C121" s="52" t="s">
        <v>4798</v>
      </c>
      <c r="D121" s="52"/>
      <c r="E121" s="52"/>
      <c r="F121" s="52"/>
      <c r="G121" s="52"/>
      <c r="H121" s="52"/>
      <c r="I121" s="52"/>
      <c r="J121" s="52"/>
      <c r="K121" s="52"/>
      <c r="L121" s="52"/>
      <c r="M121" s="52"/>
      <c r="O121" s="148" t="s">
        <v>1694</v>
      </c>
      <c r="P121" s="2264" t="s">
        <v>2886</v>
      </c>
      <c r="Q121" s="1553"/>
    </row>
    <row r="122" spans="1:32" ht="10.5" customHeight="1">
      <c r="A122" s="47"/>
      <c r="B122" s="145" t="s">
        <v>1695</v>
      </c>
      <c r="C122" s="52" t="s">
        <v>4797</v>
      </c>
      <c r="D122" s="52"/>
      <c r="E122" s="52"/>
      <c r="F122" s="52"/>
      <c r="G122" s="52"/>
      <c r="H122" s="52"/>
      <c r="I122" s="52"/>
      <c r="J122" s="52"/>
      <c r="K122" s="52"/>
      <c r="L122" s="52"/>
      <c r="M122" s="52"/>
      <c r="O122" s="65" t="s">
        <v>1695</v>
      </c>
      <c r="P122" s="2390"/>
      <c r="Q122" s="2379"/>
    </row>
    <row r="123" spans="1:32" ht="10.5" customHeight="1">
      <c r="A123" s="47" t="s">
        <v>731</v>
      </c>
      <c r="B123" s="52" t="s">
        <v>1400</v>
      </c>
      <c r="D123" s="52"/>
      <c r="E123" s="52"/>
      <c r="G123" s="52"/>
      <c r="I123" s="52"/>
      <c r="K123" s="52"/>
      <c r="L123" s="856"/>
      <c r="M123" s="856"/>
      <c r="N123" s="856"/>
      <c r="O123" s="455" t="s">
        <v>731</v>
      </c>
      <c r="P123" s="856"/>
      <c r="Q123" s="856"/>
    </row>
    <row r="124" spans="1:32" ht="10.5" customHeight="1">
      <c r="A124" s="47"/>
      <c r="B124" s="145" t="s">
        <v>1694</v>
      </c>
      <c r="C124" s="52" t="s">
        <v>1401</v>
      </c>
      <c r="E124" s="52"/>
      <c r="F124" s="52"/>
      <c r="G124" s="52"/>
      <c r="H124" s="52"/>
      <c r="I124" s="52"/>
      <c r="J124" s="52"/>
      <c r="K124" s="52"/>
      <c r="L124" s="856"/>
      <c r="M124" s="856"/>
      <c r="O124" s="65" t="s">
        <v>1694</v>
      </c>
      <c r="P124" s="2256" t="s">
        <v>2886</v>
      </c>
      <c r="Q124" s="518"/>
    </row>
    <row r="125" spans="1:32" ht="10.5" customHeight="1">
      <c r="B125" s="145" t="s">
        <v>1695</v>
      </c>
      <c r="C125" s="52" t="s">
        <v>1402</v>
      </c>
      <c r="E125" s="52"/>
      <c r="F125" s="52"/>
      <c r="G125" s="52"/>
      <c r="H125" s="52"/>
      <c r="I125" s="52"/>
      <c r="J125" s="52"/>
      <c r="K125" s="52"/>
      <c r="L125" s="856"/>
      <c r="M125" s="856"/>
      <c r="O125" s="65" t="s">
        <v>1695</v>
      </c>
      <c r="P125" s="2257" t="s">
        <v>2886</v>
      </c>
      <c r="Q125" s="519"/>
    </row>
    <row r="126" spans="1:32" ht="10.5" customHeight="1">
      <c r="B126" s="145" t="s">
        <v>1696</v>
      </c>
      <c r="C126" s="52" t="s">
        <v>1403</v>
      </c>
      <c r="E126" s="52"/>
      <c r="F126" s="52"/>
      <c r="G126" s="52"/>
      <c r="H126" s="52"/>
      <c r="I126" s="52"/>
      <c r="J126" s="52"/>
      <c r="K126" s="52"/>
      <c r="L126" s="856"/>
      <c r="M126" s="856"/>
      <c r="O126" s="65" t="s">
        <v>1696</v>
      </c>
      <c r="P126" s="2258" t="s">
        <v>2889</v>
      </c>
      <c r="Q126" s="520"/>
    </row>
    <row r="127" spans="1:32" ht="10.5" customHeight="1">
      <c r="B127" s="140" t="s">
        <v>3565</v>
      </c>
      <c r="D127" s="140"/>
      <c r="E127" s="140"/>
      <c r="F127" s="140"/>
      <c r="G127" s="140"/>
      <c r="H127" s="40"/>
      <c r="I127" s="2397"/>
      <c r="J127" s="2397"/>
      <c r="K127" s="2397"/>
      <c r="L127" s="2374"/>
      <c r="M127" s="2374"/>
      <c r="N127" s="2374"/>
      <c r="O127" s="2374"/>
      <c r="P127" s="2374"/>
      <c r="Q127" s="855"/>
    </row>
    <row r="128" spans="1:32" ht="49.5" customHeight="1">
      <c r="A128" s="2729" t="s">
        <v>7174</v>
      </c>
      <c r="B128" s="2730"/>
      <c r="C128" s="2730"/>
      <c r="D128" s="2730"/>
      <c r="E128" s="2730"/>
      <c r="F128" s="2730"/>
      <c r="G128" s="2730"/>
      <c r="H128" s="2730"/>
      <c r="I128" s="2730"/>
      <c r="J128" s="2730"/>
      <c r="K128" s="2730"/>
      <c r="L128" s="2730"/>
      <c r="M128" s="2730"/>
      <c r="N128" s="2730"/>
      <c r="O128" s="2730"/>
      <c r="P128" s="2730"/>
      <c r="Q128" s="2731"/>
      <c r="U128" s="135"/>
      <c r="V128" s="135"/>
      <c r="W128" s="135"/>
      <c r="X128" s="135"/>
      <c r="Y128" s="135"/>
      <c r="Z128" s="135"/>
      <c r="AA128" s="135"/>
      <c r="AB128" s="135"/>
      <c r="AC128" s="135"/>
      <c r="AD128" s="135"/>
      <c r="AE128" s="457"/>
    </row>
    <row r="129" spans="1:17" ht="11.25" customHeight="1">
      <c r="B129" s="136" t="s">
        <v>1820</v>
      </c>
      <c r="C129" s="137"/>
      <c r="D129" s="2380"/>
      <c r="E129" s="2380"/>
      <c r="F129" s="2380"/>
      <c r="G129" s="2380"/>
      <c r="H129" s="2380"/>
      <c r="I129" s="2380"/>
      <c r="J129" s="2380"/>
      <c r="K129" s="2380"/>
      <c r="L129" s="2380"/>
      <c r="M129" s="2380"/>
      <c r="N129" s="2380"/>
      <c r="O129" s="2380"/>
      <c r="P129" s="2380"/>
      <c r="Q129" s="2380"/>
    </row>
    <row r="130" spans="1:17" ht="22.5" customHeight="1">
      <c r="A130" s="2848"/>
      <c r="B130" s="2849"/>
      <c r="C130" s="2849"/>
      <c r="D130" s="2849"/>
      <c r="E130" s="2849"/>
      <c r="F130" s="2849"/>
      <c r="G130" s="2849"/>
      <c r="H130" s="2849"/>
      <c r="I130" s="2849"/>
      <c r="J130" s="2849"/>
      <c r="K130" s="2849"/>
      <c r="L130" s="2849"/>
      <c r="M130" s="2849"/>
      <c r="N130" s="2849"/>
      <c r="O130" s="2849"/>
      <c r="P130" s="2849"/>
      <c r="Q130" s="2850"/>
    </row>
    <row r="131" spans="1:17" ht="14.1" customHeight="1">
      <c r="A131" s="2372" t="s">
        <v>754</v>
      </c>
      <c r="B131" s="2372" t="s">
        <v>2582</v>
      </c>
      <c r="C131" s="40"/>
      <c r="D131" s="2380"/>
      <c r="E131" s="2380"/>
      <c r="F131" s="2380"/>
      <c r="G131" s="2380"/>
      <c r="H131" s="2380"/>
      <c r="I131" s="2380"/>
      <c r="J131" s="2380"/>
      <c r="K131" s="2380"/>
      <c r="L131" s="2380"/>
      <c r="M131" s="2380"/>
      <c r="O131" s="131" t="s">
        <v>1821</v>
      </c>
      <c r="P131" s="2808"/>
      <c r="Q131" s="2809"/>
    </row>
    <row r="132" spans="1:17" ht="6.6" customHeight="1"/>
    <row r="133" spans="1:17" ht="12" customHeight="1">
      <c r="A133" s="47" t="s">
        <v>1936</v>
      </c>
      <c r="B133" s="52" t="s">
        <v>3469</v>
      </c>
      <c r="D133" s="133"/>
      <c r="E133" s="133"/>
      <c r="F133" s="133"/>
      <c r="G133" s="133"/>
      <c r="H133" s="133"/>
      <c r="I133" s="42"/>
      <c r="J133" s="42"/>
      <c r="K133" s="455" t="s">
        <v>1936</v>
      </c>
      <c r="L133" s="2913" t="s">
        <v>7095</v>
      </c>
      <c r="M133" s="2913"/>
      <c r="N133" s="2913"/>
      <c r="O133" s="2913"/>
      <c r="P133" s="2913"/>
      <c r="Q133" s="517"/>
    </row>
    <row r="134" spans="1:17" ht="12" customHeight="1">
      <c r="A134" s="47" t="s">
        <v>1938</v>
      </c>
      <c r="B134" s="52" t="s">
        <v>1505</v>
      </c>
      <c r="D134" s="133"/>
      <c r="E134" s="133"/>
      <c r="F134" s="133"/>
      <c r="G134" s="133"/>
      <c r="H134" s="133"/>
      <c r="I134" s="42"/>
      <c r="J134" s="42"/>
      <c r="K134" s="133"/>
      <c r="L134" s="2392"/>
      <c r="O134" s="455" t="s">
        <v>1938</v>
      </c>
      <c r="P134" s="2266" t="s">
        <v>2889</v>
      </c>
      <c r="Q134" s="898"/>
    </row>
    <row r="135" spans="1:17" ht="12" customHeight="1">
      <c r="A135" s="47" t="s">
        <v>731</v>
      </c>
      <c r="B135" s="52" t="s">
        <v>147</v>
      </c>
      <c r="D135" s="133"/>
      <c r="E135" s="133"/>
      <c r="F135" s="133"/>
      <c r="G135" s="133"/>
      <c r="H135" s="133"/>
      <c r="I135" s="42"/>
      <c r="J135" s="42"/>
      <c r="K135" s="2392"/>
      <c r="L135" s="2392"/>
      <c r="O135" s="455" t="s">
        <v>731</v>
      </c>
      <c r="P135" s="2258" t="s">
        <v>2886</v>
      </c>
      <c r="Q135" s="862"/>
    </row>
    <row r="136" spans="1:17" ht="12" customHeight="1">
      <c r="A136" s="47"/>
      <c r="B136" s="856" t="s">
        <v>1694</v>
      </c>
      <c r="C136" s="52" t="s">
        <v>2611</v>
      </c>
      <c r="E136" s="133"/>
      <c r="F136" s="133"/>
      <c r="G136" s="133"/>
      <c r="H136" s="133"/>
      <c r="I136" s="42"/>
      <c r="J136" s="42"/>
      <c r="K136" s="65" t="s">
        <v>1694</v>
      </c>
      <c r="L136" s="2913" t="s">
        <v>7095</v>
      </c>
      <c r="M136" s="2913"/>
      <c r="N136" s="2913"/>
      <c r="O136" s="2913"/>
      <c r="P136" s="2913"/>
      <c r="Q136" s="517"/>
    </row>
    <row r="137" spans="1:17" ht="12" customHeight="1">
      <c r="A137" s="138"/>
      <c r="B137" s="145" t="s">
        <v>1695</v>
      </c>
      <c r="C137" s="36" t="s">
        <v>3354</v>
      </c>
      <c r="E137" s="42"/>
      <c r="F137" s="42"/>
      <c r="G137" s="42"/>
      <c r="H137" s="52"/>
      <c r="I137" s="42"/>
      <c r="J137" s="42"/>
      <c r="K137" s="133"/>
      <c r="L137" s="2392"/>
      <c r="M137" s="2392"/>
      <c r="O137" s="455" t="s">
        <v>1695</v>
      </c>
      <c r="P137" s="2264" t="s">
        <v>7096</v>
      </c>
      <c r="Q137" s="1553"/>
    </row>
    <row r="138" spans="1:17" ht="12" customHeight="1">
      <c r="A138" s="138"/>
      <c r="B138" s="40" t="s">
        <v>1696</v>
      </c>
      <c r="C138" s="36" t="s">
        <v>4244</v>
      </c>
      <c r="D138" s="147"/>
      <c r="E138" s="42"/>
      <c r="F138" s="42"/>
      <c r="G138" s="42"/>
      <c r="H138" s="52"/>
      <c r="I138" s="42"/>
      <c r="J138" s="42"/>
      <c r="K138" s="133"/>
      <c r="L138" s="2392"/>
      <c r="M138" s="2392"/>
      <c r="O138" s="455" t="s">
        <v>1696</v>
      </c>
      <c r="P138" s="2258" t="s">
        <v>7086</v>
      </c>
      <c r="Q138" s="520"/>
    </row>
    <row r="139" spans="1:17" ht="12" customHeight="1">
      <c r="A139" s="47" t="s">
        <v>2065</v>
      </c>
      <c r="B139" s="52" t="s">
        <v>1234</v>
      </c>
      <c r="D139" s="133"/>
      <c r="E139" s="133"/>
      <c r="F139" s="133"/>
      <c r="G139" s="133"/>
      <c r="H139" s="133"/>
      <c r="I139" s="42"/>
      <c r="J139" s="42"/>
      <c r="K139" s="133"/>
      <c r="L139" s="2392"/>
      <c r="M139" s="2392"/>
      <c r="N139" s="2392"/>
      <c r="O139" s="455" t="s">
        <v>2065</v>
      </c>
    </row>
    <row r="140" spans="1:17" ht="12" customHeight="1">
      <c r="A140" s="47"/>
      <c r="B140" s="145" t="s">
        <v>1694</v>
      </c>
      <c r="C140" s="52" t="s">
        <v>145</v>
      </c>
      <c r="E140" s="133"/>
      <c r="F140" s="133"/>
      <c r="G140" s="133"/>
      <c r="H140" s="133"/>
      <c r="I140" s="42"/>
      <c r="J140" s="42"/>
      <c r="K140" s="133"/>
      <c r="L140" s="2392"/>
      <c r="M140" s="2392"/>
      <c r="O140" s="65" t="s">
        <v>1694</v>
      </c>
      <c r="P140" s="2256" t="s">
        <v>2889</v>
      </c>
      <c r="Q140" s="518"/>
    </row>
    <row r="141" spans="1:17" ht="12" customHeight="1">
      <c r="A141" s="47"/>
      <c r="B141" s="145" t="s">
        <v>1695</v>
      </c>
      <c r="C141" s="52" t="s">
        <v>1235</v>
      </c>
      <c r="E141" s="133"/>
      <c r="F141" s="133"/>
      <c r="G141" s="133"/>
      <c r="H141" s="42"/>
      <c r="I141" s="42"/>
      <c r="J141" s="42"/>
      <c r="K141" s="133"/>
      <c r="L141" s="2392"/>
      <c r="M141" s="2392"/>
      <c r="O141" s="65" t="s">
        <v>1695</v>
      </c>
      <c r="P141" s="2257" t="s">
        <v>2889</v>
      </c>
      <c r="Q141" s="519"/>
    </row>
    <row r="142" spans="1:17" ht="12" customHeight="1">
      <c r="A142" s="47"/>
      <c r="B142" s="145"/>
      <c r="C142" s="52" t="s">
        <v>2562</v>
      </c>
      <c r="E142" s="455" t="s">
        <v>2372</v>
      </c>
      <c r="F142" s="52" t="s">
        <v>2563</v>
      </c>
      <c r="G142" s="42"/>
      <c r="H142" s="52"/>
      <c r="I142" s="42"/>
      <c r="J142" s="42"/>
      <c r="K142" s="133"/>
      <c r="L142" s="2392"/>
      <c r="M142" s="2392"/>
      <c r="O142" s="455" t="s">
        <v>2372</v>
      </c>
      <c r="P142" s="2267"/>
      <c r="Q142" s="828"/>
    </row>
    <row r="143" spans="1:17" ht="12" customHeight="1">
      <c r="A143" s="47"/>
      <c r="B143" s="145"/>
      <c r="E143" s="455" t="s">
        <v>2373</v>
      </c>
      <c r="F143" s="52" t="s">
        <v>2564</v>
      </c>
      <c r="G143" s="42"/>
      <c r="H143" s="52"/>
      <c r="I143" s="42"/>
      <c r="J143" s="42"/>
      <c r="K143" s="133"/>
      <c r="L143" s="2392"/>
      <c r="M143" s="2392"/>
      <c r="O143" s="455" t="s">
        <v>2373</v>
      </c>
      <c r="P143" s="2257"/>
      <c r="Q143" s="519"/>
    </row>
    <row r="144" spans="1:17" ht="12" customHeight="1">
      <c r="A144" s="47"/>
      <c r="B144" s="145"/>
      <c r="E144" s="455" t="s">
        <v>2374</v>
      </c>
      <c r="F144" s="52" t="s">
        <v>2565</v>
      </c>
      <c r="G144" s="42"/>
      <c r="H144" s="52"/>
      <c r="I144" s="42"/>
      <c r="J144" s="42"/>
      <c r="K144" s="133"/>
      <c r="L144" s="2392"/>
      <c r="M144" s="2392"/>
      <c r="O144" s="455" t="s">
        <v>2374</v>
      </c>
      <c r="P144" s="2257"/>
      <c r="Q144" s="519"/>
    </row>
    <row r="145" spans="1:17" ht="12" customHeight="1">
      <c r="A145" s="47"/>
      <c r="B145" s="145" t="s">
        <v>1696</v>
      </c>
      <c r="C145" s="52" t="s">
        <v>1236</v>
      </c>
      <c r="E145" s="133"/>
      <c r="F145" s="133"/>
      <c r="G145" s="133"/>
      <c r="H145" s="52"/>
      <c r="I145" s="42"/>
      <c r="J145" s="42"/>
      <c r="K145" s="133"/>
      <c r="L145" s="2392"/>
      <c r="M145" s="2392"/>
      <c r="O145" s="65" t="s">
        <v>1696</v>
      </c>
      <c r="P145" s="2257" t="s">
        <v>2889</v>
      </c>
      <c r="Q145" s="519"/>
    </row>
    <row r="146" spans="1:17" ht="12" customHeight="1">
      <c r="A146" s="47"/>
      <c r="B146" s="65"/>
      <c r="C146" s="52" t="s">
        <v>2562</v>
      </c>
      <c r="E146" s="455" t="s">
        <v>2372</v>
      </c>
      <c r="F146" s="52" t="s">
        <v>2566</v>
      </c>
      <c r="G146" s="42"/>
      <c r="H146" s="52"/>
      <c r="I146" s="42"/>
      <c r="J146" s="42"/>
      <c r="K146" s="133"/>
      <c r="L146" s="2392"/>
      <c r="O146" s="455" t="s">
        <v>2372</v>
      </c>
      <c r="P146" s="2267"/>
      <c r="Q146" s="828"/>
    </row>
    <row r="147" spans="1:17" ht="12" customHeight="1">
      <c r="A147" s="47"/>
      <c r="B147" s="65"/>
      <c r="E147" s="455" t="s">
        <v>2373</v>
      </c>
      <c r="F147" s="52" t="s">
        <v>2567</v>
      </c>
      <c r="G147" s="42"/>
      <c r="H147" s="52"/>
      <c r="I147" s="42"/>
      <c r="J147" s="42"/>
      <c r="O147" s="455" t="s">
        <v>2373</v>
      </c>
      <c r="P147" s="2257"/>
      <c r="Q147" s="519"/>
    </row>
    <row r="148" spans="1:17" ht="12" customHeight="1">
      <c r="A148" s="47"/>
      <c r="B148" s="65"/>
      <c r="E148" s="455" t="s">
        <v>2374</v>
      </c>
      <c r="F148" s="52" t="s">
        <v>2565</v>
      </c>
      <c r="G148" s="42"/>
      <c r="H148" s="52"/>
      <c r="I148" s="42"/>
      <c r="J148" s="42"/>
      <c r="O148" s="455" t="s">
        <v>2374</v>
      </c>
      <c r="P148" s="2258"/>
      <c r="Q148" s="520"/>
    </row>
    <row r="149" spans="1:17" ht="12" customHeight="1">
      <c r="A149" s="47" t="s">
        <v>1692</v>
      </c>
      <c r="B149" s="145" t="s">
        <v>2352</v>
      </c>
      <c r="D149" s="133"/>
      <c r="E149" s="133"/>
      <c r="F149" s="133"/>
      <c r="G149" s="133"/>
      <c r="H149" s="133"/>
      <c r="I149" s="42"/>
      <c r="J149" s="42"/>
      <c r="K149" s="133"/>
      <c r="L149" s="2392"/>
      <c r="M149" s="2392"/>
      <c r="N149" s="2392"/>
      <c r="O149" s="2392"/>
      <c r="P149" s="2392"/>
      <c r="Q149" s="2392"/>
    </row>
    <row r="150" spans="1:17" ht="12" customHeight="1">
      <c r="B150" s="145" t="s">
        <v>1694</v>
      </c>
      <c r="C150" s="52" t="s">
        <v>2430</v>
      </c>
      <c r="E150" s="133"/>
      <c r="F150" s="2256" t="s">
        <v>2886</v>
      </c>
      <c r="G150" s="518"/>
      <c r="H150" s="455" t="s">
        <v>4405</v>
      </c>
      <c r="I150" s="55" t="s">
        <v>2569</v>
      </c>
      <c r="L150" s="2256" t="s">
        <v>2889</v>
      </c>
      <c r="M150" s="518"/>
      <c r="N150" s="455" t="s">
        <v>4409</v>
      </c>
      <c r="O150" s="52" t="s">
        <v>1519</v>
      </c>
      <c r="P150" s="2256" t="s">
        <v>2889</v>
      </c>
      <c r="Q150" s="518"/>
    </row>
    <row r="151" spans="1:17" ht="12" customHeight="1">
      <c r="A151" s="36"/>
      <c r="B151" s="145" t="s">
        <v>1695</v>
      </c>
      <c r="C151" s="52" t="s">
        <v>2710</v>
      </c>
      <c r="E151" s="133"/>
      <c r="F151" s="2257" t="s">
        <v>2889</v>
      </c>
      <c r="G151" s="519"/>
      <c r="H151" s="455" t="s">
        <v>4406</v>
      </c>
      <c r="I151" s="55" t="s">
        <v>2570</v>
      </c>
      <c r="L151" s="2257" t="s">
        <v>2889</v>
      </c>
      <c r="M151" s="519"/>
      <c r="N151" s="455" t="s">
        <v>4410</v>
      </c>
      <c r="O151" s="52" t="s">
        <v>1518</v>
      </c>
      <c r="P151" s="2257" t="s">
        <v>2889</v>
      </c>
      <c r="Q151" s="519"/>
    </row>
    <row r="152" spans="1:17" ht="12" customHeight="1">
      <c r="A152" s="36"/>
      <c r="B152" s="145" t="s">
        <v>1696</v>
      </c>
      <c r="C152" s="52" t="s">
        <v>2568</v>
      </c>
      <c r="E152" s="133"/>
      <c r="F152" s="2257" t="s">
        <v>2889</v>
      </c>
      <c r="G152" s="519"/>
      <c r="H152" s="455" t="s">
        <v>4407</v>
      </c>
      <c r="I152" s="55" t="s">
        <v>3630</v>
      </c>
      <c r="L152" s="2257" t="s">
        <v>2889</v>
      </c>
      <c r="M152" s="519"/>
      <c r="N152" s="455" t="s">
        <v>4411</v>
      </c>
      <c r="O152" s="52" t="s">
        <v>1520</v>
      </c>
      <c r="P152" s="2258" t="s">
        <v>2889</v>
      </c>
      <c r="Q152" s="520"/>
    </row>
    <row r="153" spans="1:17" ht="12" customHeight="1">
      <c r="A153" s="36"/>
      <c r="B153" s="145" t="s">
        <v>2305</v>
      </c>
      <c r="C153" s="52" t="s">
        <v>2712</v>
      </c>
      <c r="E153" s="133"/>
      <c r="F153" s="2258" t="s">
        <v>2889</v>
      </c>
      <c r="G153" s="520"/>
      <c r="H153" s="455" t="s">
        <v>4408</v>
      </c>
      <c r="I153" s="52" t="s">
        <v>2709</v>
      </c>
      <c r="L153" s="2258" t="s">
        <v>2886</v>
      </c>
      <c r="M153" s="520"/>
      <c r="O153" s="65"/>
    </row>
    <row r="154" spans="1:17" ht="12" customHeight="1">
      <c r="A154" s="36"/>
      <c r="B154" s="40" t="s">
        <v>2792</v>
      </c>
      <c r="C154" s="52" t="s">
        <v>2711</v>
      </c>
      <c r="E154" s="133"/>
      <c r="F154" s="133"/>
      <c r="G154" s="133"/>
      <c r="H154" s="133"/>
      <c r="I154" s="133"/>
      <c r="J154" s="133"/>
      <c r="K154" s="133"/>
      <c r="L154" s="133"/>
      <c r="M154" s="52"/>
      <c r="O154" s="65"/>
      <c r="P154" s="65"/>
    </row>
    <row r="155" spans="1:17" ht="12" customHeight="1">
      <c r="A155" s="36"/>
      <c r="C155" s="2842"/>
      <c r="D155" s="2842"/>
      <c r="E155" s="2842"/>
      <c r="F155" s="2842"/>
      <c r="G155" s="2842"/>
      <c r="H155" s="2842"/>
      <c r="I155" s="2842"/>
      <c r="J155" s="2842"/>
      <c r="K155" s="2842"/>
      <c r="L155" s="2842"/>
      <c r="M155" s="2842"/>
      <c r="N155" s="2842"/>
      <c r="O155" s="2842"/>
      <c r="P155" s="2842"/>
      <c r="Q155" s="2842"/>
    </row>
    <row r="156" spans="1:17" ht="12" customHeight="1">
      <c r="A156" s="47" t="s">
        <v>1693</v>
      </c>
      <c r="B156" s="52" t="s">
        <v>3436</v>
      </c>
      <c r="D156" s="133"/>
      <c r="E156" s="133"/>
      <c r="F156" s="133"/>
      <c r="G156" s="133"/>
      <c r="H156" s="133"/>
      <c r="I156" s="42"/>
      <c r="J156" s="42"/>
      <c r="K156" s="133"/>
      <c r="L156" s="133"/>
      <c r="M156" s="2392"/>
    </row>
    <row r="157" spans="1:17" ht="12" customHeight="1">
      <c r="A157" s="42"/>
      <c r="B157" s="145" t="s">
        <v>1694</v>
      </c>
      <c r="C157" s="52" t="s">
        <v>2713</v>
      </c>
      <c r="E157" s="133"/>
      <c r="F157" s="133"/>
      <c r="G157" s="133"/>
      <c r="H157" s="133"/>
      <c r="O157" s="65" t="s">
        <v>1694</v>
      </c>
      <c r="P157" s="2256"/>
      <c r="Q157" s="518"/>
    </row>
    <row r="158" spans="1:17" ht="12" customHeight="1">
      <c r="A158" s="2397"/>
      <c r="B158" s="145" t="s">
        <v>1695</v>
      </c>
      <c r="C158" s="52" t="s">
        <v>480</v>
      </c>
      <c r="E158" s="52"/>
      <c r="F158" s="52"/>
      <c r="G158" s="52"/>
      <c r="H158" s="52"/>
      <c r="I158" s="42"/>
      <c r="J158" s="42"/>
      <c r="K158" s="52"/>
      <c r="L158" s="52"/>
      <c r="M158" s="52"/>
      <c r="O158" s="65" t="s">
        <v>1695</v>
      </c>
      <c r="P158" s="2257"/>
      <c r="Q158" s="519"/>
    </row>
    <row r="159" spans="1:17" ht="12" customHeight="1">
      <c r="A159" s="2397"/>
      <c r="B159" s="145" t="s">
        <v>1696</v>
      </c>
      <c r="C159" s="52" t="s">
        <v>663</v>
      </c>
      <c r="E159" s="52"/>
      <c r="F159" s="52"/>
      <c r="G159" s="52"/>
      <c r="H159" s="52"/>
      <c r="I159" s="42"/>
      <c r="J159" s="42"/>
      <c r="K159" s="52"/>
      <c r="L159" s="52"/>
      <c r="M159" s="52"/>
      <c r="O159" s="65" t="s">
        <v>1696</v>
      </c>
      <c r="P159" s="2257"/>
      <c r="Q159" s="519"/>
    </row>
    <row r="160" spans="1:17" ht="12" customHeight="1">
      <c r="A160" s="2397"/>
      <c r="B160" s="40" t="s">
        <v>2305</v>
      </c>
      <c r="C160" s="52" t="s">
        <v>4391</v>
      </c>
      <c r="E160" s="52"/>
      <c r="F160" s="52"/>
      <c r="G160" s="52"/>
      <c r="H160" s="52"/>
      <c r="I160" s="42"/>
      <c r="J160" s="42"/>
      <c r="K160" s="52"/>
      <c r="L160" s="52"/>
      <c r="M160" s="52"/>
      <c r="O160" s="455" t="s">
        <v>2305</v>
      </c>
      <c r="P160" s="2258"/>
      <c r="Q160" s="520"/>
    </row>
    <row r="161" spans="1:32" ht="12" customHeight="1">
      <c r="A161" s="407" t="s">
        <v>4560</v>
      </c>
      <c r="C161" s="52"/>
      <c r="D161" s="133"/>
      <c r="E161" s="133"/>
      <c r="F161" s="133"/>
      <c r="G161" s="133"/>
      <c r="H161" s="133"/>
      <c r="I161" s="42"/>
      <c r="J161" s="42"/>
      <c r="K161" s="133"/>
      <c r="L161" s="133"/>
      <c r="M161" s="2392"/>
      <c r="N161" s="2392"/>
      <c r="O161" s="2392"/>
      <c r="P161" s="2392"/>
      <c r="Q161" s="2392"/>
      <c r="R161" s="2392"/>
    </row>
    <row r="162" spans="1:32" s="1" customFormat="1" ht="23.4" customHeight="1">
      <c r="A162" s="47" t="s">
        <v>1900</v>
      </c>
      <c r="B162" s="2696" t="s">
        <v>144</v>
      </c>
      <c r="C162" s="2696"/>
      <c r="D162" s="2696"/>
      <c r="E162" s="2696"/>
      <c r="F162" s="2696"/>
      <c r="G162" s="2696"/>
      <c r="H162" s="2696"/>
      <c r="I162" s="2696"/>
      <c r="J162" s="2696"/>
      <c r="K162" s="2696"/>
      <c r="L162" s="2696"/>
      <c r="M162" s="455" t="s">
        <v>1900</v>
      </c>
      <c r="N162" s="2909" t="s">
        <v>1727</v>
      </c>
      <c r="O162" s="2910"/>
      <c r="P162" s="2911" t="s">
        <v>1727</v>
      </c>
      <c r="Q162" s="2912"/>
      <c r="AE162" s="5"/>
      <c r="AF162" s="5"/>
    </row>
    <row r="163" spans="1:32" ht="11.25" customHeight="1">
      <c r="B163" s="140" t="s">
        <v>3565</v>
      </c>
      <c r="D163" s="140"/>
      <c r="E163" s="140"/>
      <c r="F163" s="140"/>
      <c r="G163" s="140"/>
      <c r="H163" s="40"/>
      <c r="I163" s="2397"/>
      <c r="J163" s="2397"/>
      <c r="K163" s="2397"/>
      <c r="L163" s="2374"/>
      <c r="M163" s="2374"/>
      <c r="N163" s="2374"/>
      <c r="O163" s="2374"/>
      <c r="P163" s="2374"/>
      <c r="Q163" s="855"/>
    </row>
    <row r="164" spans="1:32" ht="80.25" customHeight="1">
      <c r="A164" s="2729" t="s">
        <v>7159</v>
      </c>
      <c r="B164" s="2730"/>
      <c r="C164" s="2730"/>
      <c r="D164" s="2730"/>
      <c r="E164" s="2730"/>
      <c r="F164" s="2730"/>
      <c r="G164" s="2730"/>
      <c r="H164" s="2730"/>
      <c r="I164" s="2730"/>
      <c r="J164" s="2730"/>
      <c r="K164" s="2730"/>
      <c r="L164" s="2730"/>
      <c r="M164" s="2730"/>
      <c r="N164" s="2730"/>
      <c r="O164" s="2730"/>
      <c r="P164" s="2730"/>
      <c r="Q164" s="2731"/>
      <c r="R164" s="441" t="s">
        <v>1228</v>
      </c>
      <c r="S164" s="441"/>
      <c r="U164" s="135"/>
      <c r="V164" s="135"/>
      <c r="W164" s="135"/>
      <c r="X164" s="135"/>
      <c r="Y164" s="135"/>
      <c r="Z164" s="135"/>
      <c r="AA164" s="135"/>
      <c r="AB164" s="135"/>
      <c r="AC164" s="135"/>
      <c r="AD164" s="135"/>
      <c r="AE164" s="457"/>
    </row>
    <row r="165" spans="1:32" s="27" customFormat="1" ht="3" customHeight="1">
      <c r="C165" s="116"/>
      <c r="D165" s="116"/>
      <c r="R165" s="441"/>
      <c r="S165" s="441"/>
      <c r="AE165" s="116"/>
      <c r="AF165" s="116"/>
    </row>
    <row r="166" spans="1:32" ht="11.25" customHeight="1">
      <c r="B166" s="136" t="s">
        <v>1820</v>
      </c>
      <c r="C166" s="137"/>
      <c r="D166" s="2380"/>
      <c r="E166" s="2380"/>
      <c r="F166" s="2380"/>
      <c r="G166" s="2380"/>
      <c r="H166" s="2380"/>
      <c r="I166" s="2380"/>
      <c r="J166" s="2380"/>
      <c r="K166" s="2380"/>
      <c r="L166" s="2380"/>
      <c r="M166" s="2380"/>
      <c r="N166" s="2380"/>
      <c r="O166" s="2380"/>
      <c r="P166" s="2380"/>
      <c r="Q166" s="2380"/>
    </row>
    <row r="167" spans="1:32" ht="45" customHeight="1">
      <c r="A167" s="2848"/>
      <c r="B167" s="2849"/>
      <c r="C167" s="2849"/>
      <c r="D167" s="2849"/>
      <c r="E167" s="2849"/>
      <c r="F167" s="2849"/>
      <c r="G167" s="2849"/>
      <c r="H167" s="2849"/>
      <c r="I167" s="2849"/>
      <c r="J167" s="2849"/>
      <c r="K167" s="2849"/>
      <c r="L167" s="2849"/>
      <c r="M167" s="2849"/>
      <c r="N167" s="2849"/>
      <c r="O167" s="2849"/>
      <c r="P167" s="2849"/>
      <c r="Q167" s="2850"/>
    </row>
    <row r="168" spans="1:32" ht="3" customHeight="1">
      <c r="A168" s="2374"/>
      <c r="B168" s="2397"/>
      <c r="C168" s="2380"/>
      <c r="D168" s="2380"/>
      <c r="E168" s="2380"/>
      <c r="F168" s="2380"/>
      <c r="G168" s="2380"/>
      <c r="H168" s="2380"/>
      <c r="I168" s="2380"/>
      <c r="J168" s="2380"/>
      <c r="K168" s="2380"/>
      <c r="L168" s="2380"/>
      <c r="M168" s="2380"/>
      <c r="N168" s="2380"/>
      <c r="O168" s="2380"/>
      <c r="P168" s="2380"/>
      <c r="Q168" s="2374"/>
    </row>
    <row r="169" spans="1:32" ht="14.1" customHeight="1">
      <c r="A169" s="2372" t="s">
        <v>287</v>
      </c>
      <c r="B169" s="2372" t="s">
        <v>2583</v>
      </c>
      <c r="C169" s="2372"/>
      <c r="D169" s="2380"/>
      <c r="E169" s="2380"/>
      <c r="F169" s="2380"/>
      <c r="G169" s="2380"/>
      <c r="H169" s="2380"/>
      <c r="I169" s="2380"/>
      <c r="J169" s="2380"/>
      <c r="K169" s="2380"/>
      <c r="O169" s="131" t="s">
        <v>1821</v>
      </c>
      <c r="P169" s="2808"/>
      <c r="Q169" s="2809"/>
    </row>
    <row r="170" spans="1:32" ht="12" customHeight="1">
      <c r="A170" s="47" t="s">
        <v>1936</v>
      </c>
      <c r="B170" s="145" t="s">
        <v>1694</v>
      </c>
      <c r="C170" s="52" t="s">
        <v>4743</v>
      </c>
      <c r="D170" s="52"/>
      <c r="E170" s="52"/>
      <c r="F170" s="52"/>
      <c r="G170" s="52"/>
      <c r="K170" s="52" t="s">
        <v>2627</v>
      </c>
      <c r="M170" s="2866">
        <v>44408</v>
      </c>
      <c r="N170" s="2867"/>
      <c r="O170" s="65" t="s">
        <v>1694</v>
      </c>
      <c r="P170" s="2254" t="s">
        <v>2886</v>
      </c>
      <c r="Q170" s="516"/>
    </row>
    <row r="171" spans="1:32" ht="12" customHeight="1">
      <c r="A171" s="47"/>
      <c r="B171" s="145" t="s">
        <v>1695</v>
      </c>
      <c r="C171" s="52" t="s">
        <v>4744</v>
      </c>
      <c r="D171" s="52"/>
      <c r="E171" s="52"/>
      <c r="F171" s="52"/>
      <c r="G171" s="52"/>
      <c r="K171" s="52" t="s">
        <v>2627</v>
      </c>
      <c r="M171" s="2866"/>
      <c r="N171" s="2867"/>
      <c r="O171" s="65" t="s">
        <v>1695</v>
      </c>
      <c r="P171" s="2254"/>
      <c r="Q171" s="516"/>
    </row>
    <row r="172" spans="1:32" ht="12" customHeight="1">
      <c r="A172" s="47" t="s">
        <v>1938</v>
      </c>
      <c r="B172" s="139" t="s">
        <v>146</v>
      </c>
      <c r="D172" s="139"/>
      <c r="E172" s="139"/>
      <c r="F172" s="139" t="str">
        <f>IF(N172="Ground lease/Option","Ground lease/Option:","")</f>
        <v/>
      </c>
      <c r="H172" s="55" t="str">
        <f>IF(N172="Ground lease/Option","Annual Pymt:","")</f>
        <v/>
      </c>
      <c r="I172" s="1499" t="str">
        <f>IF(N172="Ground lease/Option",'Part VI-Revenues &amp; Expenses'!$K$250,"")</f>
        <v/>
      </c>
      <c r="K172" s="438" t="str">
        <f>IF(N172="Ground lease/Option","Term:","")</f>
        <v/>
      </c>
      <c r="L172" s="1498" t="str">
        <f>IF(N172="Ground lease/Option",'Part VI-Revenues &amp; Expenses'!$N$250,"")</f>
        <v/>
      </c>
      <c r="M172" s="455" t="s">
        <v>1938</v>
      </c>
      <c r="N172" s="2868" t="s">
        <v>7097</v>
      </c>
      <c r="O172" s="2869"/>
      <c r="P172" s="2870" t="s">
        <v>1727</v>
      </c>
      <c r="Q172" s="2871"/>
    </row>
    <row r="173" spans="1:32" ht="12" customHeight="1">
      <c r="A173" s="47" t="s">
        <v>731</v>
      </c>
      <c r="B173" s="139" t="s">
        <v>664</v>
      </c>
      <c r="D173" s="139"/>
      <c r="E173" s="139"/>
      <c r="F173" s="139"/>
      <c r="G173" s="139"/>
      <c r="H173" s="139"/>
      <c r="J173" s="455" t="s">
        <v>731</v>
      </c>
      <c r="K173" s="2718" t="s">
        <v>7025</v>
      </c>
      <c r="L173" s="2719"/>
      <c r="M173" s="2719"/>
      <c r="N173" s="2719"/>
      <c r="O173" s="2719"/>
      <c r="P173" s="2720"/>
      <c r="Q173" s="516"/>
    </row>
    <row r="174" spans="1:32" ht="12" customHeight="1">
      <c r="B174" s="140" t="s">
        <v>3565</v>
      </c>
      <c r="D174" s="140"/>
      <c r="E174" s="140"/>
      <c r="F174" s="140"/>
      <c r="G174" s="140"/>
      <c r="H174" s="40"/>
      <c r="I174" s="2397"/>
      <c r="J174" s="2397"/>
      <c r="K174" s="2397"/>
      <c r="L174" s="2374"/>
      <c r="M174" s="2374"/>
      <c r="N174" s="2374"/>
      <c r="O174" s="2374"/>
      <c r="P174" s="2374"/>
      <c r="Q174" s="855"/>
    </row>
    <row r="175" spans="1:32" ht="111.75" customHeight="1">
      <c r="A175" s="2729" t="s">
        <v>7179</v>
      </c>
      <c r="B175" s="2730"/>
      <c r="C175" s="2730"/>
      <c r="D175" s="2730"/>
      <c r="E175" s="2730"/>
      <c r="F175" s="2730"/>
      <c r="G175" s="2730"/>
      <c r="H175" s="2730"/>
      <c r="I175" s="2730"/>
      <c r="J175" s="2730"/>
      <c r="K175" s="2730"/>
      <c r="L175" s="2730"/>
      <c r="M175" s="2730"/>
      <c r="N175" s="2730"/>
      <c r="O175" s="2730"/>
      <c r="P175" s="2730"/>
      <c r="Q175" s="2731"/>
      <c r="U175" s="135"/>
      <c r="V175" s="135"/>
      <c r="W175" s="135"/>
      <c r="X175" s="135"/>
      <c r="Y175" s="135"/>
      <c r="Z175" s="135"/>
      <c r="AA175" s="135"/>
      <c r="AB175" s="135"/>
      <c r="AC175" s="135"/>
      <c r="AD175" s="135"/>
      <c r="AE175" s="457"/>
    </row>
    <row r="176" spans="1:32" ht="12" customHeight="1">
      <c r="B176" s="136" t="s">
        <v>1820</v>
      </c>
      <c r="C176" s="137"/>
      <c r="D176" s="2380"/>
      <c r="E176" s="2380"/>
      <c r="F176" s="2380"/>
      <c r="G176" s="2380"/>
      <c r="H176" s="2380"/>
      <c r="I176" s="2380"/>
      <c r="J176" s="2380"/>
      <c r="K176" s="2380"/>
      <c r="L176" s="2380"/>
      <c r="M176" s="2380"/>
      <c r="N176" s="2380"/>
      <c r="O176" s="2380"/>
      <c r="P176" s="2380"/>
      <c r="Q176" s="2380"/>
    </row>
    <row r="177" spans="1:31" ht="11.4" customHeight="1">
      <c r="A177" s="2848"/>
      <c r="B177" s="2849"/>
      <c r="C177" s="2849"/>
      <c r="D177" s="2849"/>
      <c r="E177" s="2849"/>
      <c r="F177" s="2849"/>
      <c r="G177" s="2849"/>
      <c r="H177" s="2849"/>
      <c r="I177" s="2849"/>
      <c r="J177" s="2849"/>
      <c r="K177" s="2849"/>
      <c r="L177" s="2849"/>
      <c r="M177" s="2849"/>
      <c r="N177" s="2849"/>
      <c r="O177" s="2849"/>
      <c r="P177" s="2849"/>
      <c r="Q177" s="2850"/>
    </row>
    <row r="178" spans="1:31" ht="3" customHeight="1">
      <c r="A178" s="2374"/>
      <c r="B178" s="2397"/>
      <c r="C178" s="2380"/>
      <c r="D178" s="2380"/>
      <c r="E178" s="2380"/>
      <c r="F178" s="2380"/>
      <c r="G178" s="2380"/>
      <c r="H178" s="2380"/>
      <c r="I178" s="2380"/>
      <c r="J178" s="2380"/>
      <c r="K178" s="2380"/>
      <c r="L178" s="2380"/>
      <c r="M178" s="2380"/>
      <c r="Q178" s="2374"/>
    </row>
    <row r="179" spans="1:31" ht="14.1" customHeight="1">
      <c r="A179" s="2372" t="s">
        <v>418</v>
      </c>
      <c r="B179" s="2372" t="s">
        <v>2584</v>
      </c>
      <c r="C179" s="2372"/>
      <c r="D179" s="2380"/>
      <c r="E179" s="2380"/>
      <c r="F179" s="2380"/>
      <c r="G179" s="2380"/>
      <c r="H179" s="2380"/>
      <c r="I179" s="2380"/>
      <c r="J179" s="2380"/>
      <c r="K179" s="2380"/>
      <c r="L179" s="2380"/>
      <c r="M179" s="2380"/>
      <c r="O179" s="131" t="s">
        <v>1821</v>
      </c>
      <c r="P179" s="2808"/>
      <c r="Q179" s="2809"/>
    </row>
    <row r="180" spans="1:31" ht="21.75" customHeight="1">
      <c r="A180" s="141" t="s">
        <v>1936</v>
      </c>
      <c r="B180" s="2696" t="s">
        <v>3556</v>
      </c>
      <c r="C180" s="2696"/>
      <c r="D180" s="2696"/>
      <c r="E180" s="2696"/>
      <c r="F180" s="2696"/>
      <c r="G180" s="2696"/>
      <c r="H180" s="2696"/>
      <c r="I180" s="2696"/>
      <c r="J180" s="2696"/>
      <c r="K180" s="2696"/>
      <c r="L180" s="2696"/>
      <c r="M180" s="2696"/>
      <c r="N180" s="2696"/>
      <c r="O180" s="160" t="s">
        <v>1936</v>
      </c>
      <c r="P180" s="2268" t="s">
        <v>2886</v>
      </c>
      <c r="Q180" s="1088"/>
    </row>
    <row r="181" spans="1:31" ht="22.35" customHeight="1">
      <c r="A181" s="141" t="s">
        <v>1938</v>
      </c>
      <c r="B181" s="2696" t="s">
        <v>4260</v>
      </c>
      <c r="C181" s="2696"/>
      <c r="D181" s="2696"/>
      <c r="E181" s="2696"/>
      <c r="F181" s="2696"/>
      <c r="G181" s="2696"/>
      <c r="H181" s="2696"/>
      <c r="I181" s="2696"/>
      <c r="J181" s="2696"/>
      <c r="K181" s="2696"/>
      <c r="L181" s="2696"/>
      <c r="M181" s="2696"/>
      <c r="N181" s="2696"/>
      <c r="O181" s="160" t="s">
        <v>1938</v>
      </c>
      <c r="P181" s="2386" t="s">
        <v>7086</v>
      </c>
      <c r="Q181" s="2393"/>
    </row>
    <row r="182" spans="1:31" ht="22.35" customHeight="1">
      <c r="A182" s="141" t="s">
        <v>731</v>
      </c>
      <c r="B182" s="2696" t="s">
        <v>3557</v>
      </c>
      <c r="C182" s="2696"/>
      <c r="D182" s="2696"/>
      <c r="E182" s="2696"/>
      <c r="F182" s="2696"/>
      <c r="G182" s="2696"/>
      <c r="H182" s="2696"/>
      <c r="I182" s="2696"/>
      <c r="J182" s="2696"/>
      <c r="K182" s="2696"/>
      <c r="L182" s="2696"/>
      <c r="M182" s="2696"/>
      <c r="N182" s="2696"/>
      <c r="O182" s="160" t="s">
        <v>731</v>
      </c>
      <c r="P182" s="2386" t="s">
        <v>7086</v>
      </c>
      <c r="Q182" s="2393"/>
    </row>
    <row r="183" spans="1:31" ht="21.75" customHeight="1">
      <c r="A183" s="141" t="s">
        <v>2065</v>
      </c>
      <c r="B183" s="2696" t="s">
        <v>4352</v>
      </c>
      <c r="C183" s="2696"/>
      <c r="D183" s="2696"/>
      <c r="E183" s="2696"/>
      <c r="F183" s="2696"/>
      <c r="G183" s="2696"/>
      <c r="H183" s="2696"/>
      <c r="I183" s="2696"/>
      <c r="J183" s="2696"/>
      <c r="K183" s="2696"/>
      <c r="L183" s="2696"/>
      <c r="M183" s="2696"/>
      <c r="N183" s="2696"/>
      <c r="O183" s="160" t="s">
        <v>2065</v>
      </c>
      <c r="P183" s="2387" t="s">
        <v>7086</v>
      </c>
      <c r="Q183" s="2253"/>
    </row>
    <row r="184" spans="1:31" ht="12" customHeight="1">
      <c r="B184" s="140" t="s">
        <v>3565</v>
      </c>
      <c r="D184" s="140"/>
      <c r="E184" s="140"/>
      <c r="F184" s="140"/>
      <c r="G184" s="140"/>
      <c r="H184" s="40"/>
      <c r="I184" s="2397"/>
      <c r="J184" s="2397"/>
      <c r="K184" s="2397"/>
      <c r="L184" s="2374"/>
      <c r="M184" s="2374"/>
      <c r="N184" s="2374"/>
      <c r="O184" s="2374"/>
      <c r="P184" s="2374"/>
      <c r="Q184" s="855"/>
    </row>
    <row r="185" spans="1:31" ht="11.4" customHeight="1">
      <c r="A185" s="2729" t="s">
        <v>7098</v>
      </c>
      <c r="B185" s="2730"/>
      <c r="C185" s="2730"/>
      <c r="D185" s="2730"/>
      <c r="E185" s="2730"/>
      <c r="F185" s="2730"/>
      <c r="G185" s="2730"/>
      <c r="H185" s="2730"/>
      <c r="I185" s="2730"/>
      <c r="J185" s="2730"/>
      <c r="K185" s="2730"/>
      <c r="L185" s="2730"/>
      <c r="M185" s="2730"/>
      <c r="N185" s="2730"/>
      <c r="O185" s="2730"/>
      <c r="P185" s="2730"/>
      <c r="Q185" s="2731"/>
      <c r="U185" s="135"/>
      <c r="V185" s="135"/>
      <c r="W185" s="135"/>
      <c r="X185" s="135"/>
      <c r="Y185" s="135"/>
      <c r="Z185" s="135"/>
      <c r="AA185" s="135"/>
      <c r="AB185" s="135"/>
      <c r="AC185" s="135"/>
      <c r="AD185" s="135"/>
      <c r="AE185" s="457"/>
    </row>
    <row r="186" spans="1:31" ht="12" customHeight="1">
      <c r="B186" s="136" t="s">
        <v>1820</v>
      </c>
      <c r="C186" s="137"/>
      <c r="D186" s="2380"/>
      <c r="E186" s="2380"/>
      <c r="F186" s="2380"/>
      <c r="G186" s="2380"/>
      <c r="H186" s="2380"/>
      <c r="I186" s="2380"/>
      <c r="J186" s="2380"/>
      <c r="K186" s="2380"/>
      <c r="L186" s="2380"/>
      <c r="M186" s="2380"/>
      <c r="N186" s="2380"/>
      <c r="O186" s="2380"/>
      <c r="P186" s="2380"/>
      <c r="Q186" s="2380"/>
    </row>
    <row r="187" spans="1:31" ht="11.4" customHeight="1">
      <c r="A187" s="2848"/>
      <c r="B187" s="2849"/>
      <c r="C187" s="2849"/>
      <c r="D187" s="2849"/>
      <c r="E187" s="2849"/>
      <c r="F187" s="2849"/>
      <c r="G187" s="2849"/>
      <c r="H187" s="2849"/>
      <c r="I187" s="2849"/>
      <c r="J187" s="2849"/>
      <c r="K187" s="2849"/>
      <c r="L187" s="2849"/>
      <c r="M187" s="2849"/>
      <c r="N187" s="2849"/>
      <c r="O187" s="2849"/>
      <c r="P187" s="2849"/>
      <c r="Q187" s="2850"/>
    </row>
    <row r="188" spans="1:31" ht="3" customHeight="1">
      <c r="B188" s="2397"/>
      <c r="C188" s="2380"/>
      <c r="D188" s="2380"/>
      <c r="E188" s="2380"/>
      <c r="F188" s="2380"/>
      <c r="G188" s="2380"/>
      <c r="H188" s="2380"/>
      <c r="I188" s="2380"/>
      <c r="J188" s="2380"/>
      <c r="K188" s="2380"/>
      <c r="L188" s="2380"/>
      <c r="M188" s="2380"/>
      <c r="N188" s="2380"/>
      <c r="O188" s="2380"/>
      <c r="P188" s="2380"/>
      <c r="Q188" s="2374"/>
    </row>
    <row r="189" spans="1:31" ht="14.1" customHeight="1">
      <c r="A189" s="2353" t="s">
        <v>356</v>
      </c>
      <c r="B189" s="2641" t="s">
        <v>2585</v>
      </c>
      <c r="C189" s="2641"/>
      <c r="D189" s="2641"/>
      <c r="O189" s="131" t="s">
        <v>1821</v>
      </c>
      <c r="P189" s="2808"/>
      <c r="Q189" s="2809"/>
    </row>
    <row r="190" spans="1:31" ht="12" customHeight="1">
      <c r="A190" s="141" t="s">
        <v>1936</v>
      </c>
      <c r="B190" s="842" t="s">
        <v>459</v>
      </c>
      <c r="D190" s="842"/>
      <c r="E190" s="842"/>
      <c r="F190" s="842"/>
      <c r="G190" s="842"/>
      <c r="H190" s="842"/>
      <c r="I190" s="842"/>
      <c r="J190" s="842"/>
      <c r="K190" s="842"/>
      <c r="L190" s="842"/>
      <c r="M190" s="842"/>
      <c r="O190" s="160" t="s">
        <v>1936</v>
      </c>
      <c r="P190" s="2256" t="s">
        <v>2886</v>
      </c>
      <c r="Q190" s="518"/>
    </row>
    <row r="191" spans="1:31" ht="12" customHeight="1">
      <c r="A191" s="141" t="s">
        <v>1938</v>
      </c>
      <c r="B191" s="842" t="s">
        <v>2571</v>
      </c>
      <c r="D191" s="842"/>
      <c r="E191" s="842"/>
      <c r="F191" s="842"/>
      <c r="G191" s="842"/>
      <c r="H191" s="842"/>
      <c r="I191" s="842"/>
      <c r="J191" s="842"/>
      <c r="K191" s="842"/>
      <c r="L191" s="842"/>
      <c r="M191" s="842"/>
      <c r="O191" s="160" t="s">
        <v>1938</v>
      </c>
      <c r="P191" s="2257" t="s">
        <v>2886</v>
      </c>
      <c r="Q191" s="519"/>
    </row>
    <row r="192" spans="1:31" ht="12" customHeight="1">
      <c r="A192" s="141" t="s">
        <v>731</v>
      </c>
      <c r="B192" s="842" t="s">
        <v>2572</v>
      </c>
      <c r="D192" s="842"/>
      <c r="E192" s="842"/>
      <c r="F192" s="842"/>
      <c r="G192" s="842"/>
      <c r="H192" s="842"/>
      <c r="I192" s="842"/>
      <c r="J192" s="139" t="s">
        <v>4364</v>
      </c>
      <c r="L192" s="842"/>
      <c r="M192" s="842"/>
      <c r="O192" s="160" t="s">
        <v>731</v>
      </c>
      <c r="P192" s="2257" t="s">
        <v>2886</v>
      </c>
      <c r="Q192" s="519"/>
    </row>
    <row r="193" spans="1:32" ht="12" customHeight="1">
      <c r="B193" s="40" t="s">
        <v>1694</v>
      </c>
      <c r="C193" s="856" t="s">
        <v>2573</v>
      </c>
      <c r="G193" s="842"/>
      <c r="H193" s="842"/>
      <c r="J193" s="842"/>
      <c r="K193" s="842"/>
      <c r="L193" s="842"/>
      <c r="M193" s="842"/>
      <c r="O193" s="438" t="s">
        <v>1694</v>
      </c>
      <c r="P193" s="2257" t="s">
        <v>2886</v>
      </c>
      <c r="Q193" s="519"/>
    </row>
    <row r="194" spans="1:32" ht="12" customHeight="1">
      <c r="A194" s="139"/>
      <c r="B194" s="40" t="s">
        <v>1695</v>
      </c>
      <c r="C194" s="856" t="s">
        <v>2574</v>
      </c>
      <c r="G194" s="842"/>
      <c r="H194" s="842"/>
      <c r="I194" s="842"/>
      <c r="J194" s="842"/>
      <c r="K194" s="842"/>
      <c r="L194" s="842"/>
      <c r="M194" s="842"/>
      <c r="O194" s="438" t="s">
        <v>1695</v>
      </c>
      <c r="P194" s="2257" t="s">
        <v>2886</v>
      </c>
      <c r="Q194" s="519"/>
    </row>
    <row r="195" spans="1:32" s="132" customFormat="1" ht="21.75" customHeight="1">
      <c r="A195" s="141"/>
      <c r="B195" s="468" t="s">
        <v>1696</v>
      </c>
      <c r="C195" s="2696" t="s">
        <v>3558</v>
      </c>
      <c r="D195" s="2696"/>
      <c r="E195" s="2696"/>
      <c r="F195" s="2696"/>
      <c r="G195" s="2696"/>
      <c r="H195" s="2696"/>
      <c r="I195" s="2696"/>
      <c r="J195" s="2696"/>
      <c r="K195" s="2696"/>
      <c r="L195" s="2696"/>
      <c r="M195" s="2696"/>
      <c r="N195" s="2696"/>
      <c r="O195" s="160" t="s">
        <v>1696</v>
      </c>
      <c r="P195" s="2386" t="s">
        <v>2886</v>
      </c>
      <c r="Q195" s="2393"/>
      <c r="AE195" s="458"/>
      <c r="AF195" s="458"/>
    </row>
    <row r="196" spans="1:32" ht="12" customHeight="1">
      <c r="A196" s="141"/>
      <c r="B196" s="40" t="s">
        <v>2305</v>
      </c>
      <c r="C196" s="856" t="s">
        <v>2575</v>
      </c>
      <c r="G196" s="842"/>
      <c r="H196" s="842"/>
      <c r="I196" s="842"/>
      <c r="J196" s="842"/>
      <c r="K196" s="842"/>
      <c r="L196" s="842"/>
      <c r="M196" s="842"/>
      <c r="O196" s="438" t="s">
        <v>2305</v>
      </c>
      <c r="P196" s="2257" t="s">
        <v>2886</v>
      </c>
      <c r="Q196" s="519"/>
    </row>
    <row r="197" spans="1:32" s="132" customFormat="1" ht="21.75" customHeight="1">
      <c r="A197" s="141"/>
      <c r="B197" s="468" t="s">
        <v>1516</v>
      </c>
      <c r="C197" s="2696" t="s">
        <v>2576</v>
      </c>
      <c r="D197" s="2696"/>
      <c r="E197" s="2696"/>
      <c r="F197" s="2696"/>
      <c r="G197" s="2696"/>
      <c r="H197" s="2696"/>
      <c r="I197" s="2696"/>
      <c r="J197" s="2696"/>
      <c r="K197" s="2696"/>
      <c r="L197" s="2696"/>
      <c r="M197" s="2696"/>
      <c r="N197" s="2696"/>
      <c r="O197" s="160" t="s">
        <v>1516</v>
      </c>
      <c r="P197" s="2386" t="s">
        <v>7086</v>
      </c>
      <c r="Q197" s="2393"/>
      <c r="AE197" s="458"/>
      <c r="AF197" s="458"/>
    </row>
    <row r="198" spans="1:32" s="132" customFormat="1" ht="21.75" customHeight="1">
      <c r="A198" s="141"/>
      <c r="B198" s="468" t="s">
        <v>1517</v>
      </c>
      <c r="C198" s="2696" t="s">
        <v>3667</v>
      </c>
      <c r="D198" s="2696"/>
      <c r="E198" s="2696"/>
      <c r="F198" s="2696"/>
      <c r="G198" s="2696"/>
      <c r="H198" s="2696"/>
      <c r="I198" s="2696"/>
      <c r="J198" s="2696"/>
      <c r="K198" s="2696"/>
      <c r="L198" s="2696"/>
      <c r="M198" s="2696"/>
      <c r="N198" s="2696"/>
      <c r="O198" s="160" t="s">
        <v>1517</v>
      </c>
      <c r="P198" s="2386" t="s">
        <v>7086</v>
      </c>
      <c r="Q198" s="2393"/>
      <c r="AE198" s="458"/>
      <c r="AF198" s="458"/>
    </row>
    <row r="199" spans="1:32" ht="21.75" customHeight="1">
      <c r="A199" s="141" t="s">
        <v>2065</v>
      </c>
      <c r="B199" s="2696" t="s">
        <v>2577</v>
      </c>
      <c r="C199" s="2696"/>
      <c r="D199" s="2696"/>
      <c r="E199" s="2696"/>
      <c r="F199" s="2696"/>
      <c r="G199" s="2696"/>
      <c r="H199" s="2696"/>
      <c r="I199" s="2696"/>
      <c r="J199" s="2696"/>
      <c r="K199" s="2696"/>
      <c r="L199" s="2696"/>
      <c r="M199" s="2696"/>
      <c r="N199" s="2696"/>
      <c r="O199" s="160" t="s">
        <v>2065</v>
      </c>
      <c r="P199" s="2386" t="s">
        <v>2886</v>
      </c>
      <c r="Q199" s="2393"/>
    </row>
    <row r="200" spans="1:32" ht="12" customHeight="1">
      <c r="A200" s="141" t="s">
        <v>1692</v>
      </c>
      <c r="B200" s="842" t="s">
        <v>2318</v>
      </c>
      <c r="D200" s="842"/>
      <c r="E200" s="842"/>
      <c r="F200" s="842"/>
      <c r="G200" s="842"/>
      <c r="H200" s="842"/>
      <c r="I200" s="842"/>
      <c r="J200" s="842"/>
      <c r="K200" s="842"/>
      <c r="L200" s="842"/>
      <c r="M200" s="842"/>
      <c r="O200" s="160" t="s">
        <v>1692</v>
      </c>
      <c r="P200" s="2258" t="s">
        <v>2886</v>
      </c>
      <c r="Q200" s="520"/>
    </row>
    <row r="201" spans="1:32" ht="12" customHeight="1">
      <c r="B201" s="140" t="s">
        <v>3565</v>
      </c>
      <c r="D201" s="140"/>
      <c r="E201" s="140"/>
      <c r="F201" s="140"/>
      <c r="G201" s="140"/>
      <c r="H201" s="40"/>
      <c r="I201" s="2397"/>
      <c r="J201" s="2397"/>
      <c r="K201" s="2397"/>
      <c r="L201" s="2374"/>
      <c r="M201" s="2374"/>
      <c r="N201" s="2374"/>
      <c r="O201" s="2374"/>
      <c r="P201" s="2374"/>
      <c r="Q201" s="855"/>
    </row>
    <row r="202" spans="1:32" ht="38.25" customHeight="1">
      <c r="A202" s="2729" t="s">
        <v>7180</v>
      </c>
      <c r="B202" s="2730"/>
      <c r="C202" s="2730"/>
      <c r="D202" s="2730"/>
      <c r="E202" s="2730"/>
      <c r="F202" s="2730"/>
      <c r="G202" s="2730"/>
      <c r="H202" s="2730"/>
      <c r="I202" s="2730"/>
      <c r="J202" s="2730"/>
      <c r="K202" s="2730"/>
      <c r="L202" s="2730"/>
      <c r="M202" s="2730"/>
      <c r="N202" s="2730"/>
      <c r="O202" s="2730"/>
      <c r="P202" s="2730"/>
      <c r="Q202" s="2731"/>
      <c r="U202" s="135"/>
      <c r="V202" s="135"/>
      <c r="W202" s="135"/>
      <c r="X202" s="135"/>
      <c r="Y202" s="135"/>
      <c r="Z202" s="135"/>
      <c r="AA202" s="135"/>
      <c r="AB202" s="135"/>
      <c r="AC202" s="135"/>
      <c r="AD202" s="135"/>
      <c r="AE202" s="457"/>
    </row>
    <row r="203" spans="1:32" ht="12" customHeight="1">
      <c r="B203" s="136" t="s">
        <v>1820</v>
      </c>
      <c r="C203" s="137"/>
      <c r="D203" s="2380"/>
      <c r="E203" s="2380"/>
      <c r="F203" s="2380"/>
      <c r="G203" s="2380"/>
      <c r="H203" s="2380"/>
      <c r="I203" s="2380"/>
      <c r="J203" s="2380"/>
      <c r="K203" s="2380"/>
      <c r="L203" s="2380"/>
      <c r="M203" s="2380"/>
      <c r="N203" s="2380"/>
      <c r="O203" s="2380"/>
      <c r="P203" s="2380"/>
      <c r="Q203" s="2380"/>
    </row>
    <row r="204" spans="1:32" ht="11.4" customHeight="1">
      <c r="A204" s="2848"/>
      <c r="B204" s="2849"/>
      <c r="C204" s="2849"/>
      <c r="D204" s="2849"/>
      <c r="E204" s="2849"/>
      <c r="F204" s="2849"/>
      <c r="G204" s="2849"/>
      <c r="H204" s="2849"/>
      <c r="I204" s="2849"/>
      <c r="J204" s="2849"/>
      <c r="K204" s="2849"/>
      <c r="L204" s="2849"/>
      <c r="M204" s="2849"/>
      <c r="N204" s="2849"/>
      <c r="O204" s="2849"/>
      <c r="P204" s="2849"/>
      <c r="Q204" s="2850"/>
    </row>
    <row r="205" spans="1:32" ht="3" customHeight="1">
      <c r="A205" s="2374"/>
      <c r="B205" s="2397"/>
      <c r="C205" s="2380"/>
      <c r="D205" s="2380"/>
      <c r="E205" s="2380"/>
      <c r="F205" s="2380"/>
      <c r="G205" s="2380"/>
      <c r="H205" s="2380"/>
      <c r="I205" s="2380"/>
      <c r="J205" s="2380"/>
      <c r="K205" s="2380"/>
      <c r="L205" s="2380"/>
      <c r="M205" s="2380"/>
      <c r="N205" s="2380"/>
      <c r="O205" s="2380"/>
      <c r="P205" s="2380"/>
      <c r="Q205" s="2374"/>
    </row>
    <row r="206" spans="1:32" ht="14.1" customHeight="1">
      <c r="A206" s="2372" t="s">
        <v>357</v>
      </c>
      <c r="B206" s="2372" t="s">
        <v>2586</v>
      </c>
      <c r="C206" s="2372"/>
      <c r="D206" s="2380"/>
      <c r="E206" s="146"/>
      <c r="F206" s="146"/>
      <c r="G206" s="2380"/>
      <c r="J206" s="857"/>
      <c r="K206" s="857"/>
      <c r="L206" s="857"/>
      <c r="M206" s="857"/>
      <c r="N206" s="857"/>
      <c r="O206" s="131" t="s">
        <v>1821</v>
      </c>
      <c r="P206" s="2808"/>
      <c r="Q206" s="2809"/>
    </row>
    <row r="207" spans="1:32" ht="22.5" customHeight="1">
      <c r="A207" s="2914" t="s">
        <v>4483</v>
      </c>
      <c r="B207" s="2914"/>
      <c r="C207" s="2914"/>
      <c r="D207" s="2914"/>
      <c r="E207" s="2914"/>
      <c r="F207" s="2914"/>
      <c r="G207" s="2914"/>
      <c r="H207" s="2914"/>
      <c r="I207" s="2914"/>
      <c r="J207" s="2914"/>
      <c r="K207" s="2914"/>
      <c r="L207" s="2914"/>
      <c r="M207" s="2914"/>
      <c r="N207" s="2914"/>
      <c r="O207" s="2914"/>
      <c r="P207" s="2914"/>
      <c r="Q207" s="2914"/>
    </row>
    <row r="208" spans="1:32" ht="11.25" customHeight="1">
      <c r="A208" s="138"/>
      <c r="B208" s="139" t="s">
        <v>95</v>
      </c>
      <c r="D208" s="139"/>
      <c r="E208" s="139"/>
      <c r="F208" s="139"/>
      <c r="G208" s="139"/>
      <c r="H208" s="65" t="s">
        <v>1694</v>
      </c>
      <c r="I208" s="52" t="s">
        <v>148</v>
      </c>
      <c r="J208" s="2725" t="s">
        <v>1797</v>
      </c>
      <c r="K208" s="2726"/>
      <c r="L208" s="2726"/>
      <c r="M208" s="2726"/>
      <c r="N208" s="2727"/>
      <c r="O208" s="65" t="s">
        <v>1694</v>
      </c>
      <c r="P208" s="2256" t="s">
        <v>2889</v>
      </c>
      <c r="Q208" s="518"/>
    </row>
    <row r="209" spans="1:31" ht="11.25" customHeight="1">
      <c r="A209" s="138"/>
      <c r="B209" s="140" t="s">
        <v>3565</v>
      </c>
      <c r="C209" s="104"/>
      <c r="D209" s="104"/>
      <c r="E209" s="104"/>
      <c r="F209" s="104"/>
      <c r="H209" s="65" t="s">
        <v>1695</v>
      </c>
      <c r="I209" s="52" t="s">
        <v>1563</v>
      </c>
      <c r="J209" s="2713" t="s">
        <v>7099</v>
      </c>
      <c r="K209" s="2728"/>
      <c r="L209" s="2728"/>
      <c r="M209" s="2728"/>
      <c r="N209" s="2714"/>
      <c r="O209" s="65" t="s">
        <v>1695</v>
      </c>
      <c r="P209" s="2258" t="s">
        <v>2886</v>
      </c>
      <c r="Q209" s="520"/>
    </row>
    <row r="210" spans="1:31" ht="11.4" customHeight="1">
      <c r="A210" s="2729" t="s">
        <v>7100</v>
      </c>
      <c r="B210" s="2730"/>
      <c r="C210" s="2730"/>
      <c r="D210" s="2730"/>
      <c r="E210" s="2730"/>
      <c r="F210" s="2730"/>
      <c r="G210" s="2730"/>
      <c r="H210" s="2730"/>
      <c r="I210" s="2730"/>
      <c r="J210" s="2730"/>
      <c r="K210" s="2730"/>
      <c r="L210" s="2730"/>
      <c r="M210" s="2730"/>
      <c r="N210" s="2730"/>
      <c r="O210" s="2730"/>
      <c r="P210" s="2730"/>
      <c r="Q210" s="2731"/>
      <c r="U210" s="135"/>
      <c r="V210" s="135"/>
      <c r="W210" s="135"/>
      <c r="X210" s="135"/>
      <c r="Y210" s="135"/>
      <c r="Z210" s="135"/>
      <c r="AA210" s="135"/>
      <c r="AB210" s="135"/>
      <c r="AC210" s="135"/>
      <c r="AD210" s="135"/>
      <c r="AE210" s="457"/>
    </row>
    <row r="211" spans="1:31" ht="11.25" customHeight="1">
      <c r="B211" s="136" t="s">
        <v>1820</v>
      </c>
      <c r="C211" s="137"/>
      <c r="D211" s="2380"/>
      <c r="E211" s="2380"/>
      <c r="F211" s="2380"/>
      <c r="G211" s="2380"/>
      <c r="H211" s="2380"/>
      <c r="I211" s="2380"/>
      <c r="J211" s="2380"/>
      <c r="K211" s="2380"/>
      <c r="L211" s="2380"/>
      <c r="M211" s="2380"/>
      <c r="N211" s="2380"/>
      <c r="O211" s="2380"/>
      <c r="P211" s="2380"/>
      <c r="Q211" s="2380"/>
    </row>
    <row r="212" spans="1:31" ht="11.4" customHeight="1">
      <c r="A212" s="2848"/>
      <c r="B212" s="2849"/>
      <c r="C212" s="2849"/>
      <c r="D212" s="2849"/>
      <c r="E212" s="2849"/>
      <c r="F212" s="2849"/>
      <c r="G212" s="2849"/>
      <c r="H212" s="2849"/>
      <c r="I212" s="2849"/>
      <c r="J212" s="2849"/>
      <c r="K212" s="2849"/>
      <c r="L212" s="2849"/>
      <c r="M212" s="2849"/>
      <c r="N212" s="2849"/>
      <c r="O212" s="2849"/>
      <c r="P212" s="2849"/>
      <c r="Q212" s="2850"/>
    </row>
    <row r="213" spans="1:31" ht="4.3499999999999996" customHeight="1">
      <c r="B213" s="2397"/>
      <c r="C213" s="2380"/>
      <c r="D213" s="2380"/>
      <c r="E213" s="2380"/>
      <c r="F213" s="2380"/>
      <c r="G213" s="2380"/>
      <c r="H213" s="2380"/>
      <c r="I213" s="2380"/>
      <c r="J213" s="2380"/>
      <c r="K213" s="2380"/>
      <c r="L213" s="2380"/>
      <c r="M213" s="2380"/>
      <c r="Q213" s="855"/>
    </row>
    <row r="214" spans="1:31" ht="14.1" customHeight="1">
      <c r="A214" s="2372" t="s">
        <v>358</v>
      </c>
      <c r="B214" s="4" t="s">
        <v>2587</v>
      </c>
      <c r="C214" s="4"/>
      <c r="D214" s="86"/>
      <c r="E214" s="86"/>
      <c r="F214" s="86"/>
      <c r="G214" s="2380"/>
      <c r="H214" s="2380"/>
      <c r="I214" s="2380"/>
      <c r="J214" s="2380"/>
      <c r="K214" s="2380"/>
      <c r="L214" s="2380"/>
      <c r="M214" s="2380"/>
      <c r="O214" s="131" t="s">
        <v>1821</v>
      </c>
      <c r="P214" s="2808"/>
      <c r="Q214" s="2809"/>
    </row>
    <row r="215" spans="1:31" ht="11.4" customHeight="1">
      <c r="A215" s="141" t="s">
        <v>1936</v>
      </c>
      <c r="B215" s="2696" t="s">
        <v>1803</v>
      </c>
      <c r="C215" s="2696"/>
      <c r="D215" s="2696"/>
      <c r="E215" s="2696"/>
      <c r="F215" s="2696"/>
      <c r="G215" s="2696"/>
      <c r="H215" s="65" t="s">
        <v>1694</v>
      </c>
      <c r="I215" s="52" t="s">
        <v>617</v>
      </c>
      <c r="J215" s="2725" t="s">
        <v>7101</v>
      </c>
      <c r="K215" s="2726"/>
      <c r="L215" s="2726"/>
      <c r="M215" s="2726"/>
      <c r="N215" s="2727"/>
      <c r="O215" s="160" t="s">
        <v>1455</v>
      </c>
      <c r="P215" s="2264" t="s">
        <v>2886</v>
      </c>
      <c r="Q215" s="1553"/>
    </row>
    <row r="216" spans="1:31" ht="11.4" customHeight="1">
      <c r="A216" s="149"/>
      <c r="B216" s="2696"/>
      <c r="C216" s="2696"/>
      <c r="D216" s="2696"/>
      <c r="E216" s="2696"/>
      <c r="F216" s="2696"/>
      <c r="G216" s="2696"/>
      <c r="H216" s="65" t="s">
        <v>1695</v>
      </c>
      <c r="I216" s="52" t="s">
        <v>113</v>
      </c>
      <c r="J216" s="2713" t="s">
        <v>7101</v>
      </c>
      <c r="K216" s="2728"/>
      <c r="L216" s="2728"/>
      <c r="M216" s="2728"/>
      <c r="N216" s="2714"/>
      <c r="O216" s="160" t="s">
        <v>1695</v>
      </c>
      <c r="P216" s="2257" t="s">
        <v>2886</v>
      </c>
      <c r="Q216" s="519"/>
    </row>
    <row r="217" spans="1:31" ht="12" customHeight="1">
      <c r="A217" s="141" t="s">
        <v>1938</v>
      </c>
      <c r="B217" s="52" t="s">
        <v>3672</v>
      </c>
      <c r="D217" s="52"/>
      <c r="E217" s="52"/>
      <c r="F217" s="52"/>
      <c r="G217" s="52"/>
      <c r="H217" s="52"/>
      <c r="I217" s="52"/>
      <c r="J217" s="52"/>
      <c r="K217" s="42"/>
      <c r="L217" s="52"/>
      <c r="M217" s="52"/>
      <c r="O217" s="455" t="s">
        <v>1938</v>
      </c>
      <c r="P217" s="2257" t="s">
        <v>2889</v>
      </c>
      <c r="Q217" s="519"/>
    </row>
    <row r="218" spans="1:31" ht="12" customHeight="1">
      <c r="A218" s="47" t="s">
        <v>731</v>
      </c>
      <c r="B218" s="52" t="s">
        <v>3673</v>
      </c>
      <c r="D218" s="52"/>
      <c r="E218" s="52"/>
      <c r="F218" s="52"/>
      <c r="G218" s="52"/>
      <c r="H218" s="52"/>
      <c r="I218" s="52"/>
      <c r="J218" s="52"/>
      <c r="K218" s="42"/>
      <c r="L218" s="52"/>
      <c r="M218" s="52"/>
      <c r="O218" s="455" t="s">
        <v>731</v>
      </c>
      <c r="P218" s="2258" t="s">
        <v>2889</v>
      </c>
      <c r="Q218" s="520"/>
    </row>
    <row r="219" spans="1:31" ht="11.25" customHeight="1">
      <c r="B219" s="140" t="s">
        <v>3565</v>
      </c>
      <c r="D219" s="140"/>
      <c r="E219" s="140"/>
      <c r="F219" s="140"/>
      <c r="G219" s="140"/>
      <c r="H219" s="40"/>
      <c r="I219" s="2397"/>
      <c r="J219" s="2397"/>
      <c r="K219" s="2397"/>
      <c r="L219" s="2374"/>
      <c r="M219" s="2374"/>
      <c r="N219" s="2374"/>
      <c r="O219" s="2374"/>
      <c r="P219" s="2374"/>
      <c r="Q219" s="855"/>
    </row>
    <row r="220" spans="1:31" ht="46.5" customHeight="1">
      <c r="A220" s="2729" t="s">
        <v>7176</v>
      </c>
      <c r="B220" s="2730"/>
      <c r="C220" s="2730"/>
      <c r="D220" s="2730"/>
      <c r="E220" s="2730"/>
      <c r="F220" s="2730"/>
      <c r="G220" s="2730"/>
      <c r="H220" s="2730"/>
      <c r="I220" s="2730"/>
      <c r="J220" s="2730"/>
      <c r="K220" s="2730"/>
      <c r="L220" s="2730"/>
      <c r="M220" s="2730"/>
      <c r="N220" s="2730"/>
      <c r="O220" s="2730"/>
      <c r="P220" s="2730"/>
      <c r="Q220" s="2731"/>
      <c r="U220" s="135"/>
      <c r="V220" s="135"/>
      <c r="W220" s="135"/>
      <c r="X220" s="135"/>
      <c r="Y220" s="135"/>
      <c r="Z220" s="135"/>
      <c r="AA220" s="135"/>
      <c r="AB220" s="135"/>
      <c r="AC220" s="135"/>
      <c r="AD220" s="135"/>
      <c r="AE220" s="457"/>
    </row>
    <row r="221" spans="1:31" ht="11.25" customHeight="1">
      <c r="B221" s="136" t="s">
        <v>1820</v>
      </c>
      <c r="C221" s="137"/>
      <c r="D221" s="2380"/>
      <c r="E221" s="2380"/>
      <c r="F221" s="2380"/>
      <c r="G221" s="2380"/>
      <c r="H221" s="2380"/>
      <c r="I221" s="2380"/>
      <c r="J221" s="2380"/>
      <c r="K221" s="2380"/>
      <c r="L221" s="2380"/>
      <c r="M221" s="2380"/>
      <c r="N221" s="2380"/>
      <c r="O221" s="2380"/>
      <c r="P221" s="2380"/>
      <c r="Q221" s="2380"/>
    </row>
    <row r="222" spans="1:31" ht="11.4" customHeight="1">
      <c r="A222" s="2848"/>
      <c r="B222" s="2849"/>
      <c r="C222" s="2849"/>
      <c r="D222" s="2849"/>
      <c r="E222" s="2849"/>
      <c r="F222" s="2849"/>
      <c r="G222" s="2849"/>
      <c r="H222" s="2849"/>
      <c r="I222" s="2849"/>
      <c r="J222" s="2849"/>
      <c r="K222" s="2849"/>
      <c r="L222" s="2849"/>
      <c r="M222" s="2849"/>
      <c r="N222" s="2849"/>
      <c r="O222" s="2849"/>
      <c r="P222" s="2849"/>
      <c r="Q222" s="2850"/>
    </row>
    <row r="223" spans="1:31" ht="3" customHeight="1">
      <c r="A223" s="2374"/>
      <c r="B223" s="2397"/>
      <c r="C223" s="2380"/>
      <c r="D223" s="2380"/>
      <c r="E223" s="2380"/>
      <c r="F223" s="2380"/>
      <c r="G223" s="2380"/>
      <c r="H223" s="2380"/>
      <c r="I223" s="2380"/>
      <c r="J223" s="2380"/>
      <c r="K223" s="2380"/>
      <c r="L223" s="2380"/>
      <c r="M223" s="2380"/>
      <c r="Q223" s="2374"/>
    </row>
    <row r="224" spans="1:31" ht="14.1" customHeight="1">
      <c r="A224" s="2372" t="s">
        <v>1683</v>
      </c>
      <c r="B224" s="2372" t="s">
        <v>2588</v>
      </c>
      <c r="C224" s="113"/>
      <c r="D224" s="2380"/>
      <c r="E224" s="2380"/>
      <c r="F224" s="2380"/>
      <c r="G224" s="2380"/>
      <c r="H224" s="2380"/>
      <c r="I224" s="2380"/>
      <c r="J224" s="2380"/>
      <c r="K224" s="2380"/>
      <c r="L224" s="2380"/>
      <c r="M224" s="2380"/>
      <c r="O224" s="131" t="s">
        <v>1821</v>
      </c>
      <c r="P224" s="2808"/>
      <c r="Q224" s="2809"/>
    </row>
    <row r="225" spans="1:32" s="27" customFormat="1" ht="11.4" customHeight="1">
      <c r="B225" s="144" t="s">
        <v>1167</v>
      </c>
      <c r="N225" s="120"/>
      <c r="P225" s="2254" t="s">
        <v>2889</v>
      </c>
      <c r="Q225" s="516"/>
      <c r="AE225" s="116"/>
      <c r="AF225" s="116"/>
    </row>
    <row r="226" spans="1:32" ht="12" customHeight="1">
      <c r="A226" s="47" t="s">
        <v>1936</v>
      </c>
      <c r="B226" s="36" t="s">
        <v>4707</v>
      </c>
      <c r="D226" s="42"/>
      <c r="E226" s="42"/>
      <c r="F226" s="42"/>
      <c r="G226" s="42"/>
      <c r="H226" s="42"/>
      <c r="I226" s="42"/>
      <c r="J226" s="42"/>
      <c r="K226" s="42"/>
      <c r="L226" s="42"/>
      <c r="M226" s="42"/>
      <c r="O226" s="455" t="s">
        <v>1936</v>
      </c>
      <c r="P226" s="2254" t="s">
        <v>7084</v>
      </c>
      <c r="Q226" s="518"/>
    </row>
    <row r="227" spans="1:32" ht="11.4" customHeight="1">
      <c r="A227" s="47"/>
      <c r="B227" s="145" t="s">
        <v>1694</v>
      </c>
      <c r="C227" s="52" t="s">
        <v>1884</v>
      </c>
      <c r="E227" s="52"/>
      <c r="F227" s="52"/>
      <c r="G227" s="52"/>
      <c r="H227" s="52"/>
      <c r="I227" s="42"/>
      <c r="J227" s="65" t="s">
        <v>1455</v>
      </c>
      <c r="K227" s="2725" t="s">
        <v>7102</v>
      </c>
      <c r="L227" s="2727"/>
      <c r="Q227" s="519"/>
    </row>
    <row r="228" spans="1:32" ht="11.4" customHeight="1">
      <c r="A228" s="47"/>
      <c r="B228" s="145" t="s">
        <v>1695</v>
      </c>
      <c r="C228" s="856" t="s">
        <v>4245</v>
      </c>
      <c r="E228" s="856"/>
      <c r="F228" s="856"/>
      <c r="G228" s="856"/>
      <c r="H228" s="856"/>
      <c r="I228" s="42"/>
      <c r="J228" s="65" t="s">
        <v>1456</v>
      </c>
      <c r="K228" s="2918" t="s">
        <v>7103</v>
      </c>
      <c r="L228" s="2919"/>
      <c r="M228" s="2915" t="s">
        <v>2642</v>
      </c>
      <c r="N228" s="2916"/>
      <c r="O228" s="2916"/>
      <c r="P228" s="2917"/>
      <c r="Q228" s="519"/>
    </row>
    <row r="229" spans="1:32" ht="11.4" customHeight="1">
      <c r="A229" s="47"/>
      <c r="B229" s="40" t="s">
        <v>1696</v>
      </c>
      <c r="C229" s="856" t="s">
        <v>4248</v>
      </c>
      <c r="D229" s="147"/>
      <c r="E229" s="856"/>
      <c r="F229" s="856"/>
      <c r="G229" s="856"/>
      <c r="H229" s="856"/>
      <c r="I229" s="94"/>
      <c r="J229" s="455" t="s">
        <v>1457</v>
      </c>
      <c r="K229" s="2770" t="s">
        <v>7104</v>
      </c>
      <c r="L229" s="2771"/>
      <c r="M229" s="2771"/>
      <c r="N229" s="2772"/>
      <c r="O229" s="1409"/>
      <c r="P229" s="1107"/>
      <c r="Q229" s="519"/>
      <c r="R229" s="42"/>
    </row>
    <row r="230" spans="1:32" ht="11.4" customHeight="1">
      <c r="A230" s="47"/>
      <c r="B230" s="40" t="s">
        <v>2305</v>
      </c>
      <c r="C230" s="856" t="s">
        <v>4247</v>
      </c>
      <c r="D230" s="147"/>
      <c r="E230" s="856"/>
      <c r="F230" s="856"/>
      <c r="G230" s="856"/>
      <c r="H230" s="856"/>
      <c r="I230" s="94"/>
      <c r="J230" s="455" t="s">
        <v>4246</v>
      </c>
      <c r="K230" s="2713" t="s">
        <v>7105</v>
      </c>
      <c r="L230" s="2728"/>
      <c r="M230" s="2728"/>
      <c r="N230" s="2714"/>
      <c r="O230" s="127"/>
      <c r="P230" s="1408"/>
      <c r="Q230" s="520"/>
      <c r="R230" s="42"/>
    </row>
    <row r="231" spans="1:32" ht="11.25" customHeight="1">
      <c r="A231" s="47" t="s">
        <v>1938</v>
      </c>
      <c r="B231" s="52" t="s">
        <v>4708</v>
      </c>
      <c r="D231" s="52"/>
      <c r="E231" s="52"/>
      <c r="F231" s="52"/>
      <c r="G231" s="52"/>
      <c r="H231" s="52"/>
      <c r="I231" s="52"/>
      <c r="J231" s="52"/>
      <c r="K231" s="42"/>
      <c r="L231" s="42"/>
      <c r="M231" s="42"/>
      <c r="N231" s="42"/>
      <c r="O231" s="455" t="s">
        <v>1938</v>
      </c>
      <c r="P231" s="2254" t="s">
        <v>7084</v>
      </c>
      <c r="Q231" s="516"/>
    </row>
    <row r="232" spans="1:32" ht="11.1" customHeight="1">
      <c r="A232" s="47"/>
      <c r="B232" s="52" t="s">
        <v>4400</v>
      </c>
      <c r="D232" s="52"/>
      <c r="E232" s="52"/>
      <c r="F232" s="52"/>
      <c r="G232" s="52"/>
      <c r="H232" s="52"/>
      <c r="I232" s="52"/>
      <c r="J232" s="52"/>
      <c r="K232" s="42"/>
      <c r="L232" s="42"/>
      <c r="M232" s="42"/>
      <c r="N232" s="455" t="s">
        <v>3451</v>
      </c>
      <c r="O232" s="1495">
        <f>'Part VI-Revenues &amp; Expenses'!$P$67</f>
        <v>72</v>
      </c>
      <c r="P232" s="2773" t="s">
        <v>4402</v>
      </c>
      <c r="Q232" s="2774"/>
    </row>
    <row r="233" spans="1:32" ht="11.1" customHeight="1">
      <c r="A233" s="47"/>
      <c r="B233" s="145" t="s">
        <v>1694</v>
      </c>
      <c r="C233" s="52" t="s">
        <v>4403</v>
      </c>
      <c r="D233" s="52"/>
      <c r="E233" s="52"/>
      <c r="F233" s="52"/>
      <c r="H233" s="455" t="s">
        <v>4404</v>
      </c>
      <c r="I233" s="52" t="s">
        <v>4413</v>
      </c>
      <c r="M233" s="42"/>
      <c r="N233" s="42"/>
      <c r="O233" s="292"/>
      <c r="P233" s="1486" t="s">
        <v>755</v>
      </c>
      <c r="Q233" s="1487" t="s">
        <v>4401</v>
      </c>
    </row>
    <row r="234" spans="1:32" s="43" customFormat="1" ht="11.4" customHeight="1">
      <c r="A234" s="51"/>
      <c r="B234" s="455" t="s">
        <v>2066</v>
      </c>
      <c r="C234" s="2775" t="s">
        <v>4396</v>
      </c>
      <c r="D234" s="2776"/>
      <c r="E234" s="2776"/>
      <c r="F234" s="2776"/>
      <c r="G234" s="2777"/>
      <c r="H234" s="455" t="s">
        <v>2066</v>
      </c>
      <c r="I234" s="2781" t="s">
        <v>3827</v>
      </c>
      <c r="J234" s="2782"/>
      <c r="K234" s="2782"/>
      <c r="L234" s="2782"/>
      <c r="M234" s="2782"/>
      <c r="N234" s="2782"/>
      <c r="O234" s="2783"/>
      <c r="P234" s="518"/>
      <c r="Q234" s="4122"/>
      <c r="AE234" s="54"/>
      <c r="AF234" s="54"/>
    </row>
    <row r="235" spans="1:32" s="43" customFormat="1" ht="11.4" customHeight="1">
      <c r="A235" s="51"/>
      <c r="B235" s="455" t="s">
        <v>2067</v>
      </c>
      <c r="C235" s="2784" t="s">
        <v>4477</v>
      </c>
      <c r="D235" s="2785"/>
      <c r="E235" s="2785"/>
      <c r="F235" s="2785"/>
      <c r="G235" s="2786"/>
      <c r="H235" s="455" t="s">
        <v>2067</v>
      </c>
      <c r="I235" s="2778"/>
      <c r="J235" s="2779"/>
      <c r="K235" s="2779"/>
      <c r="L235" s="2779"/>
      <c r="M235" s="2779"/>
      <c r="N235" s="2779"/>
      <c r="O235" s="2780"/>
      <c r="P235" s="519"/>
      <c r="Q235" s="4123"/>
      <c r="AE235" s="54"/>
      <c r="AF235" s="54"/>
    </row>
    <row r="236" spans="1:32" s="43" customFormat="1" ht="11.4" customHeight="1">
      <c r="A236" s="51"/>
      <c r="B236" s="455" t="s">
        <v>1691</v>
      </c>
      <c r="C236" s="2784" t="s">
        <v>992</v>
      </c>
      <c r="D236" s="2785"/>
      <c r="E236" s="2785"/>
      <c r="F236" s="2785"/>
      <c r="G236" s="2786"/>
      <c r="H236" s="455" t="s">
        <v>1691</v>
      </c>
      <c r="I236" s="2778" t="s">
        <v>3827</v>
      </c>
      <c r="J236" s="2779"/>
      <c r="K236" s="2779"/>
      <c r="L236" s="2779"/>
      <c r="M236" s="2779"/>
      <c r="N236" s="2779"/>
      <c r="O236" s="2780"/>
      <c r="P236" s="519"/>
      <c r="Q236" s="4123"/>
      <c r="AE236" s="54"/>
      <c r="AF236" s="54"/>
    </row>
    <row r="237" spans="1:32" s="43" customFormat="1" ht="11.4" customHeight="1">
      <c r="A237" s="51"/>
      <c r="B237" s="455" t="s">
        <v>4412</v>
      </c>
      <c r="C237" s="2748" t="s">
        <v>992</v>
      </c>
      <c r="D237" s="2749"/>
      <c r="E237" s="2749"/>
      <c r="F237" s="2749"/>
      <c r="G237" s="2750"/>
      <c r="H237" s="455" t="s">
        <v>4412</v>
      </c>
      <c r="I237" s="2754"/>
      <c r="J237" s="2920"/>
      <c r="K237" s="2920"/>
      <c r="L237" s="2920"/>
      <c r="M237" s="2920"/>
      <c r="N237" s="2920"/>
      <c r="O237" s="2921"/>
      <c r="P237" s="520"/>
      <c r="Q237" s="4124"/>
      <c r="AE237" s="54"/>
      <c r="AF237" s="54"/>
    </row>
    <row r="238" spans="1:32" ht="12" customHeight="1">
      <c r="A238" s="47" t="s">
        <v>731</v>
      </c>
      <c r="B238" s="52" t="s">
        <v>1354</v>
      </c>
      <c r="C238" s="52"/>
      <c r="E238" s="52"/>
      <c r="F238" s="52"/>
      <c r="G238" s="52"/>
      <c r="H238" s="52"/>
      <c r="I238" s="52"/>
      <c r="J238" s="52"/>
      <c r="K238" s="42"/>
      <c r="L238" s="52"/>
      <c r="M238" s="52"/>
      <c r="O238" s="455" t="s">
        <v>731</v>
      </c>
      <c r="P238" s="2256" t="s">
        <v>7084</v>
      </c>
      <c r="Q238" s="518"/>
    </row>
    <row r="239" spans="1:32" ht="11.4" customHeight="1">
      <c r="A239" s="47"/>
      <c r="B239" s="145" t="s">
        <v>1694</v>
      </c>
      <c r="C239" s="52" t="s">
        <v>3347</v>
      </c>
      <c r="E239" s="52"/>
      <c r="F239" s="52"/>
      <c r="L239" s="33"/>
      <c r="M239" s="33"/>
      <c r="O239" s="65" t="s">
        <v>1694</v>
      </c>
      <c r="P239" s="2257" t="s">
        <v>2886</v>
      </c>
      <c r="Q239" s="519"/>
    </row>
    <row r="240" spans="1:32" ht="11.4" customHeight="1">
      <c r="B240" s="145" t="s">
        <v>1695</v>
      </c>
      <c r="C240" s="856" t="s">
        <v>2714</v>
      </c>
      <c r="E240" s="856"/>
      <c r="F240" s="856"/>
      <c r="L240" s="33"/>
      <c r="M240" s="33"/>
      <c r="O240" s="65" t="s">
        <v>1695</v>
      </c>
      <c r="P240" s="2257" t="s">
        <v>2886</v>
      </c>
      <c r="Q240" s="519"/>
    </row>
    <row r="241" spans="1:31" ht="11.4" customHeight="1">
      <c r="B241" s="145" t="s">
        <v>1696</v>
      </c>
      <c r="C241" s="856" t="s">
        <v>4562</v>
      </c>
      <c r="E241" s="856"/>
      <c r="F241" s="856"/>
      <c r="G241" s="856"/>
      <c r="H241" s="856"/>
      <c r="I241" s="42"/>
      <c r="J241" s="33"/>
      <c r="K241" s="42"/>
      <c r="L241" s="33"/>
      <c r="M241" s="33"/>
      <c r="O241" s="65" t="s">
        <v>1696</v>
      </c>
      <c r="P241" s="2257" t="s">
        <v>2886</v>
      </c>
      <c r="Q241" s="519"/>
    </row>
    <row r="242" spans="1:31" ht="11.4" customHeight="1">
      <c r="A242" s="47"/>
      <c r="B242" s="145" t="s">
        <v>2305</v>
      </c>
      <c r="C242" s="856" t="s">
        <v>2715</v>
      </c>
      <c r="E242" s="856"/>
      <c r="F242" s="856"/>
      <c r="G242" s="856"/>
      <c r="H242" s="856"/>
      <c r="I242" s="42"/>
      <c r="J242" s="33"/>
      <c r="K242" s="42"/>
      <c r="L242" s="33"/>
      <c r="M242" s="33"/>
      <c r="O242" s="65" t="s">
        <v>2305</v>
      </c>
      <c r="P242" s="2257" t="s">
        <v>2886</v>
      </c>
      <c r="Q242" s="519"/>
    </row>
    <row r="243" spans="1:31" ht="11.4" customHeight="1">
      <c r="A243" s="47"/>
      <c r="B243" s="145" t="s">
        <v>1516</v>
      </c>
      <c r="C243" s="856" t="s">
        <v>2716</v>
      </c>
      <c r="E243" s="856"/>
      <c r="F243" s="856"/>
      <c r="G243" s="856"/>
      <c r="H243" s="856"/>
      <c r="I243" s="42"/>
      <c r="J243" s="33"/>
      <c r="K243" s="42"/>
      <c r="L243" s="33"/>
      <c r="M243" s="33"/>
      <c r="O243" s="65" t="s">
        <v>1516</v>
      </c>
      <c r="P243" s="2257" t="s">
        <v>2886</v>
      </c>
      <c r="Q243" s="519"/>
    </row>
    <row r="244" spans="1:31" ht="11.4" customHeight="1">
      <c r="A244" s="47"/>
      <c r="B244" s="40" t="s">
        <v>1517</v>
      </c>
      <c r="C244" s="52" t="s">
        <v>4638</v>
      </c>
      <c r="E244" s="52"/>
      <c r="F244" s="52"/>
      <c r="G244" s="52"/>
      <c r="H244" s="52"/>
      <c r="I244" s="42"/>
      <c r="J244" s="33"/>
      <c r="K244" s="42"/>
      <c r="L244" s="33"/>
      <c r="M244" s="33"/>
      <c r="O244" s="455" t="s">
        <v>2706</v>
      </c>
      <c r="P244" s="2257" t="s">
        <v>2886</v>
      </c>
      <c r="Q244" s="519"/>
    </row>
    <row r="245" spans="1:31" ht="11.4" customHeight="1">
      <c r="A245" s="47"/>
      <c r="B245" s="65"/>
      <c r="C245" s="52" t="s">
        <v>1458</v>
      </c>
      <c r="E245" s="52"/>
      <c r="F245" s="52"/>
      <c r="G245" s="52"/>
      <c r="H245" s="52"/>
      <c r="I245" s="42"/>
      <c r="J245" s="33"/>
      <c r="K245" s="42"/>
      <c r="L245" s="33"/>
      <c r="M245" s="33"/>
      <c r="O245" s="455" t="s">
        <v>2707</v>
      </c>
      <c r="P245" s="2258" t="s">
        <v>2889</v>
      </c>
      <c r="Q245" s="520"/>
    </row>
    <row r="246" spans="1:31" ht="11.25" customHeight="1">
      <c r="A246" s="47" t="s">
        <v>2065</v>
      </c>
      <c r="B246" s="52" t="s">
        <v>4561</v>
      </c>
      <c r="C246" s="52"/>
      <c r="E246" s="52"/>
      <c r="F246" s="52"/>
      <c r="G246" s="52"/>
      <c r="H246" s="52"/>
      <c r="I246" s="52"/>
      <c r="J246" s="52"/>
      <c r="K246" s="42"/>
      <c r="M246" s="64"/>
      <c r="N246" s="1466" t="str">
        <f>'Part I-Project Information'!$H$82</f>
        <v>HFOP</v>
      </c>
      <c r="O246" s="455" t="s">
        <v>2065</v>
      </c>
      <c r="P246" s="2256" t="s">
        <v>7084</v>
      </c>
      <c r="Q246" s="518"/>
    </row>
    <row r="247" spans="1:31" ht="11.4" customHeight="1">
      <c r="B247" s="145" t="s">
        <v>1694</v>
      </c>
      <c r="C247" s="39" t="s">
        <v>1229</v>
      </c>
      <c r="E247" s="42"/>
      <c r="F247" s="42"/>
      <c r="G247" s="39"/>
      <c r="H247" s="856"/>
      <c r="I247" s="42"/>
      <c r="J247" s="856"/>
      <c r="K247" s="42"/>
      <c r="L247" s="856"/>
      <c r="M247" s="856"/>
      <c r="O247" s="65" t="s">
        <v>1694</v>
      </c>
      <c r="P247" s="2257" t="s">
        <v>2886</v>
      </c>
      <c r="Q247" s="519"/>
    </row>
    <row r="248" spans="1:31" ht="11.4" customHeight="1">
      <c r="B248" s="145" t="s">
        <v>1695</v>
      </c>
      <c r="C248" s="36" t="s">
        <v>4261</v>
      </c>
      <c r="E248" s="42"/>
      <c r="F248" s="42"/>
      <c r="G248" s="856"/>
      <c r="H248" s="856"/>
      <c r="I248" s="42"/>
      <c r="J248" s="856"/>
      <c r="K248" s="42"/>
      <c r="L248" s="856"/>
      <c r="M248" s="856"/>
      <c r="O248" s="65" t="s">
        <v>1695</v>
      </c>
      <c r="P248" s="2258" t="s">
        <v>2886</v>
      </c>
      <c r="Q248" s="520"/>
    </row>
    <row r="249" spans="1:31" ht="11.25" customHeight="1">
      <c r="B249" s="140" t="s">
        <v>3565</v>
      </c>
      <c r="D249" s="140"/>
      <c r="E249" s="140"/>
      <c r="F249" s="140"/>
      <c r="G249" s="140"/>
      <c r="H249" s="40"/>
      <c r="I249" s="2397"/>
      <c r="J249" s="2397"/>
      <c r="K249" s="2397"/>
      <c r="L249" s="2374"/>
      <c r="M249" s="2374"/>
      <c r="N249" s="2374"/>
      <c r="O249" s="2374"/>
      <c r="P249" s="2374"/>
      <c r="Q249" s="855"/>
    </row>
    <row r="250" spans="1:31" ht="39.75" customHeight="1">
      <c r="A250" s="2729" t="s">
        <v>7160</v>
      </c>
      <c r="B250" s="2730"/>
      <c r="C250" s="2730"/>
      <c r="D250" s="2730"/>
      <c r="E250" s="2730"/>
      <c r="F250" s="2730"/>
      <c r="G250" s="2730"/>
      <c r="H250" s="2730"/>
      <c r="I250" s="2730"/>
      <c r="J250" s="2730"/>
      <c r="K250" s="2730"/>
      <c r="L250" s="2730"/>
      <c r="M250" s="2730"/>
      <c r="N250" s="2730"/>
      <c r="O250" s="2730"/>
      <c r="P250" s="2730"/>
      <c r="Q250" s="2731"/>
      <c r="R250" s="440" t="s">
        <v>1228</v>
      </c>
      <c r="S250" s="441"/>
      <c r="U250" s="135"/>
      <c r="V250" s="135"/>
      <c r="W250" s="135"/>
      <c r="X250" s="135"/>
      <c r="Y250" s="135"/>
      <c r="Z250" s="135"/>
      <c r="AA250" s="135"/>
      <c r="AB250" s="135"/>
      <c r="AC250" s="135"/>
      <c r="AD250" s="135"/>
      <c r="AE250" s="457"/>
    </row>
    <row r="251" spans="1:31" ht="11.25" customHeight="1">
      <c r="B251" s="136" t="s">
        <v>1820</v>
      </c>
      <c r="C251" s="137"/>
      <c r="D251" s="2380"/>
      <c r="E251" s="2380"/>
      <c r="F251" s="2380"/>
      <c r="G251" s="2380"/>
      <c r="H251" s="2380"/>
      <c r="I251" s="2380"/>
      <c r="J251" s="2380"/>
      <c r="K251" s="2380"/>
      <c r="L251" s="2380"/>
      <c r="M251" s="2380"/>
      <c r="N251" s="2380"/>
      <c r="O251" s="2380"/>
      <c r="P251" s="2380"/>
      <c r="Q251" s="2380"/>
    </row>
    <row r="252" spans="1:31" ht="11.25" customHeight="1">
      <c r="A252" s="2848"/>
      <c r="B252" s="2849"/>
      <c r="C252" s="2849"/>
      <c r="D252" s="2849"/>
      <c r="E252" s="2849"/>
      <c r="F252" s="2849"/>
      <c r="G252" s="2849"/>
      <c r="H252" s="2849"/>
      <c r="I252" s="2849"/>
      <c r="J252" s="2849"/>
      <c r="K252" s="2849"/>
      <c r="L252" s="2849"/>
      <c r="M252" s="2849"/>
      <c r="N252" s="2849"/>
      <c r="O252" s="2849"/>
      <c r="P252" s="2849"/>
      <c r="Q252" s="2850"/>
    </row>
    <row r="253" spans="1:31" ht="3" customHeight="1">
      <c r="A253" s="2374"/>
      <c r="B253" s="2397"/>
      <c r="C253" s="2380"/>
      <c r="D253" s="2380"/>
      <c r="E253" s="2380"/>
      <c r="F253" s="2380"/>
      <c r="G253" s="2380"/>
      <c r="H253" s="2380"/>
      <c r="I253" s="2380"/>
      <c r="J253" s="2380"/>
      <c r="K253" s="2380"/>
      <c r="L253" s="2380"/>
      <c r="M253" s="2380"/>
      <c r="Q253" s="2374"/>
    </row>
    <row r="254" spans="1:31" ht="14.1" customHeight="1">
      <c r="A254" s="2372" t="s">
        <v>2691</v>
      </c>
      <c r="B254" s="4" t="s">
        <v>4563</v>
      </c>
      <c r="C254" s="4"/>
      <c r="D254" s="86"/>
      <c r="E254" s="86"/>
      <c r="F254" s="86"/>
      <c r="G254" s="86"/>
      <c r="H254" s="2380"/>
      <c r="I254" s="2380"/>
      <c r="J254" s="2380"/>
      <c r="K254" s="2380"/>
      <c r="L254" s="1536"/>
      <c r="M254" s="1537"/>
      <c r="O254" s="131" t="s">
        <v>1821</v>
      </c>
      <c r="P254" s="2808"/>
      <c r="Q254" s="2809"/>
    </row>
    <row r="255" spans="1:31" ht="11.4" customHeight="1">
      <c r="A255" s="47" t="s">
        <v>1936</v>
      </c>
      <c r="B255" s="52" t="s">
        <v>1242</v>
      </c>
      <c r="D255" s="42"/>
      <c r="E255" s="52"/>
      <c r="F255" s="52"/>
      <c r="J255" s="455" t="s">
        <v>1936</v>
      </c>
      <c r="K255" s="2718" t="s">
        <v>1727</v>
      </c>
      <c r="L255" s="2719"/>
      <c r="M255" s="2719"/>
      <c r="N255" s="2719"/>
      <c r="O255" s="2720"/>
      <c r="P255" s="4125" t="s">
        <v>1727</v>
      </c>
      <c r="Q255" s="4126"/>
    </row>
    <row r="256" spans="1:31" ht="11.4" customHeight="1">
      <c r="A256" s="47" t="s">
        <v>1938</v>
      </c>
      <c r="B256" s="52" t="s">
        <v>2717</v>
      </c>
      <c r="D256" s="52"/>
      <c r="E256" s="52"/>
      <c r="F256" s="52"/>
      <c r="J256" s="455" t="s">
        <v>1938</v>
      </c>
      <c r="K256" s="2738"/>
      <c r="L256" s="2739"/>
      <c r="M256" s="2739"/>
      <c r="N256" s="2739"/>
      <c r="O256" s="2740"/>
      <c r="P256" s="4127"/>
      <c r="Q256" s="4128"/>
    </row>
    <row r="257" spans="1:32" s="147" customFormat="1" ht="11.4" customHeight="1">
      <c r="A257" s="47"/>
      <c r="B257" s="52" t="s">
        <v>1898</v>
      </c>
      <c r="D257" s="52"/>
      <c r="E257" s="52"/>
      <c r="F257" s="52"/>
      <c r="K257" s="2713"/>
      <c r="L257" s="2728"/>
      <c r="M257" s="2728"/>
      <c r="N257" s="2728"/>
      <c r="O257" s="2714"/>
      <c r="P257" s="4129"/>
      <c r="Q257" s="4130"/>
      <c r="AE257" s="459"/>
      <c r="AF257" s="459"/>
    </row>
    <row r="258" spans="1:32" s="147" customFormat="1" ht="11.4" customHeight="1">
      <c r="A258" s="47"/>
      <c r="B258" s="52" t="s">
        <v>2477</v>
      </c>
      <c r="D258" s="52"/>
      <c r="E258" s="52"/>
      <c r="F258" s="52"/>
      <c r="G258" s="52"/>
      <c r="H258" s="52"/>
      <c r="I258" s="94"/>
      <c r="J258" s="94"/>
      <c r="M258" s="36"/>
      <c r="N258" s="979"/>
      <c r="O258" s="455"/>
      <c r="P258" s="2257"/>
      <c r="Q258" s="519"/>
      <c r="AE258" s="459"/>
      <c r="AF258" s="459"/>
    </row>
    <row r="259" spans="1:32" s="147" customFormat="1" ht="11.4" customHeight="1">
      <c r="A259" s="47" t="s">
        <v>731</v>
      </c>
      <c r="B259" s="52" t="s">
        <v>4353</v>
      </c>
      <c r="D259" s="52"/>
      <c r="E259" s="52"/>
      <c r="F259" s="52"/>
      <c r="J259" s="455" t="s">
        <v>731</v>
      </c>
      <c r="K259" s="2735"/>
      <c r="L259" s="2736"/>
      <c r="M259" s="2736"/>
      <c r="N259" s="2736"/>
      <c r="O259" s="2737"/>
      <c r="P259" s="4131"/>
      <c r="Q259" s="4132"/>
      <c r="AE259" s="459"/>
      <c r="AF259" s="459"/>
    </row>
    <row r="260" spans="1:32" s="147" customFormat="1" ht="11.4" customHeight="1">
      <c r="A260" s="47"/>
      <c r="B260" s="52" t="s">
        <v>4266</v>
      </c>
      <c r="D260" s="52"/>
      <c r="E260" s="52"/>
      <c r="F260" s="52"/>
      <c r="AE260" s="459"/>
      <c r="AF260" s="459"/>
    </row>
    <row r="261" spans="1:32" s="147" customFormat="1" ht="11.4" customHeight="1">
      <c r="A261" s="47"/>
      <c r="C261" s="52" t="s">
        <v>4264</v>
      </c>
      <c r="D261" s="52"/>
      <c r="E261" s="52"/>
      <c r="F261" s="52"/>
      <c r="K261" s="455" t="s">
        <v>4263</v>
      </c>
      <c r="L261" s="2269"/>
      <c r="M261" s="36"/>
      <c r="N261" s="979"/>
      <c r="O261" s="979"/>
      <c r="P261" s="2256"/>
      <c r="Q261" s="518"/>
      <c r="AE261" s="459"/>
      <c r="AF261" s="459"/>
    </row>
    <row r="262" spans="1:32" s="147" customFormat="1" ht="11.4" customHeight="1">
      <c r="A262" s="47"/>
      <c r="B262" s="52"/>
      <c r="C262" s="55" t="s">
        <v>4486</v>
      </c>
      <c r="D262" s="52"/>
      <c r="E262" s="52"/>
      <c r="F262" s="52"/>
      <c r="K262" s="455" t="s">
        <v>4265</v>
      </c>
      <c r="L262" s="2270"/>
      <c r="M262" s="36"/>
      <c r="N262" s="979"/>
      <c r="O262" s="979"/>
      <c r="P262" s="2258"/>
      <c r="Q262" s="520"/>
      <c r="AE262" s="459"/>
      <c r="AF262" s="459"/>
    </row>
    <row r="263" spans="1:32" s="147" customFormat="1" ht="11.4" customHeight="1">
      <c r="A263" s="47"/>
      <c r="B263" s="52" t="s">
        <v>4262</v>
      </c>
      <c r="D263" s="52"/>
      <c r="E263" s="52"/>
      <c r="F263" s="52"/>
      <c r="K263" s="2718"/>
      <c r="L263" s="2719"/>
      <c r="M263" s="2719"/>
      <c r="N263" s="2719"/>
      <c r="O263" s="2720"/>
      <c r="P263" s="4133"/>
      <c r="Q263" s="4134"/>
      <c r="AE263" s="459"/>
      <c r="AF263" s="459"/>
    </row>
    <row r="264" spans="1:32" s="147" customFormat="1" ht="11.4" customHeight="1">
      <c r="A264" s="47" t="s">
        <v>2065</v>
      </c>
      <c r="B264" s="52" t="s">
        <v>3674</v>
      </c>
      <c r="D264" s="52"/>
      <c r="E264" s="52"/>
      <c r="F264" s="52"/>
      <c r="G264" s="52"/>
      <c r="H264" s="52"/>
      <c r="I264" s="94"/>
      <c r="J264" s="94"/>
      <c r="K264" s="94"/>
      <c r="M264" s="36"/>
      <c r="N264" s="979"/>
      <c r="O264" s="455" t="s">
        <v>2065</v>
      </c>
      <c r="P264" s="2256"/>
      <c r="Q264" s="518"/>
      <c r="AE264" s="459"/>
      <c r="AF264" s="459"/>
    </row>
    <row r="265" spans="1:32" s="147" customFormat="1" ht="11.4" customHeight="1">
      <c r="A265" s="47"/>
      <c r="B265" s="2696" t="s">
        <v>3571</v>
      </c>
      <c r="C265" s="2696"/>
      <c r="D265" s="2696"/>
      <c r="E265" s="2696"/>
      <c r="F265" s="2696"/>
      <c r="G265" s="2696"/>
      <c r="H265" s="427" t="s">
        <v>3796</v>
      </c>
      <c r="K265" s="94"/>
      <c r="M265" s="36"/>
      <c r="N265" s="979"/>
      <c r="O265" s="65" t="s">
        <v>1694</v>
      </c>
      <c r="P265" s="2257"/>
      <c r="Q265" s="519"/>
      <c r="AE265" s="459"/>
      <c r="AF265" s="459"/>
    </row>
    <row r="266" spans="1:32" s="147" customFormat="1" ht="11.4" customHeight="1">
      <c r="A266" s="47"/>
      <c r="B266" s="2696"/>
      <c r="C266" s="2696"/>
      <c r="D266" s="2696"/>
      <c r="E266" s="2696"/>
      <c r="F266" s="2696"/>
      <c r="G266" s="2696"/>
      <c r="H266" s="55" t="s">
        <v>3797</v>
      </c>
      <c r="K266" s="94"/>
      <c r="M266" s="36"/>
      <c r="N266" s="979"/>
      <c r="O266" s="65" t="s">
        <v>1695</v>
      </c>
      <c r="P266" s="2257"/>
      <c r="Q266" s="519"/>
      <c r="AE266" s="459"/>
      <c r="AF266" s="459"/>
    </row>
    <row r="267" spans="1:32" s="147" customFormat="1" ht="11.4" customHeight="1">
      <c r="A267" s="47"/>
      <c r="B267" s="52"/>
      <c r="D267" s="52"/>
      <c r="E267" s="52"/>
      <c r="F267" s="52"/>
      <c r="G267" s="52"/>
      <c r="H267" s="55" t="s">
        <v>3798</v>
      </c>
      <c r="K267" s="94"/>
      <c r="M267" s="36"/>
      <c r="N267" s="979"/>
      <c r="O267" s="65" t="s">
        <v>1696</v>
      </c>
      <c r="P267" s="2257"/>
      <c r="Q267" s="519"/>
      <c r="AE267" s="459"/>
      <c r="AF267" s="459"/>
    </row>
    <row r="268" spans="1:32" s="147" customFormat="1" ht="11.4" customHeight="1">
      <c r="A268" s="47"/>
      <c r="B268" s="52"/>
      <c r="D268" s="52"/>
      <c r="E268" s="52"/>
      <c r="F268" s="52"/>
      <c r="G268" s="52"/>
      <c r="H268" s="55" t="s">
        <v>3799</v>
      </c>
      <c r="K268" s="94"/>
      <c r="M268" s="36"/>
      <c r="N268" s="979"/>
      <c r="O268" s="455" t="s">
        <v>2305</v>
      </c>
      <c r="P268" s="2257"/>
      <c r="Q268" s="519"/>
      <c r="AE268" s="459"/>
      <c r="AF268" s="459"/>
    </row>
    <row r="269" spans="1:32" s="147" customFormat="1" ht="21.75" customHeight="1">
      <c r="B269" s="2696" t="s">
        <v>4709</v>
      </c>
      <c r="C269" s="2696"/>
      <c r="D269" s="2696"/>
      <c r="E269" s="2696"/>
      <c r="F269" s="2696"/>
      <c r="G269" s="2696"/>
      <c r="H269" s="2696"/>
      <c r="I269" s="2696"/>
      <c r="J269" s="2696"/>
      <c r="K269" s="2696"/>
      <c r="L269" s="2696"/>
      <c r="M269" s="2696"/>
      <c r="N269" s="2696"/>
      <c r="O269" s="160" t="s">
        <v>1516</v>
      </c>
      <c r="P269" s="2387"/>
      <c r="Q269" s="2253"/>
      <c r="T269" s="459"/>
      <c r="AE269" s="459"/>
      <c r="AF269" s="459"/>
    </row>
    <row r="270" spans="1:32" ht="11.25" customHeight="1">
      <c r="B270" s="140" t="s">
        <v>3565</v>
      </c>
      <c r="D270" s="140"/>
      <c r="E270" s="140"/>
      <c r="F270" s="140"/>
      <c r="G270" s="140"/>
      <c r="H270" s="40"/>
      <c r="I270" s="2397"/>
      <c r="J270" s="2397"/>
      <c r="K270" s="2397"/>
      <c r="L270" s="2374"/>
      <c r="M270" s="2374"/>
      <c r="N270" s="2374"/>
      <c r="O270" s="2374"/>
      <c r="P270" s="2374"/>
      <c r="Q270" s="855"/>
    </row>
    <row r="271" spans="1:32" ht="13.35" customHeight="1">
      <c r="A271" s="2729" t="s">
        <v>7106</v>
      </c>
      <c r="B271" s="2730"/>
      <c r="C271" s="2730"/>
      <c r="D271" s="2730"/>
      <c r="E271" s="2730"/>
      <c r="F271" s="2730"/>
      <c r="G271" s="2730"/>
      <c r="H271" s="2730"/>
      <c r="I271" s="2730"/>
      <c r="J271" s="2730"/>
      <c r="K271" s="2730"/>
      <c r="L271" s="2730"/>
      <c r="M271" s="2730"/>
      <c r="N271" s="2730"/>
      <c r="O271" s="2730"/>
      <c r="P271" s="2730"/>
      <c r="Q271" s="2731"/>
      <c r="R271" s="440" t="s">
        <v>1228</v>
      </c>
      <c r="S271" s="441"/>
      <c r="U271" s="135"/>
      <c r="V271" s="135"/>
      <c r="W271" s="135"/>
      <c r="X271" s="135"/>
      <c r="Y271" s="135"/>
      <c r="Z271" s="135"/>
      <c r="AA271" s="135"/>
      <c r="AB271" s="135"/>
      <c r="AC271" s="135"/>
      <c r="AD271" s="135"/>
      <c r="AE271" s="457"/>
    </row>
    <row r="272" spans="1:32" ht="11.1" customHeight="1">
      <c r="B272" s="136" t="s">
        <v>1820</v>
      </c>
      <c r="C272" s="137"/>
      <c r="D272" s="2380"/>
      <c r="E272" s="2380"/>
      <c r="F272" s="2380"/>
      <c r="G272" s="2380"/>
      <c r="H272" s="2380"/>
      <c r="I272" s="2380"/>
      <c r="J272" s="2380"/>
      <c r="K272" s="2380"/>
      <c r="L272" s="2380"/>
      <c r="M272" s="2380"/>
      <c r="N272" s="2380"/>
      <c r="O272" s="2380"/>
      <c r="P272" s="2380"/>
      <c r="Q272" s="2380"/>
    </row>
    <row r="273" spans="1:32" ht="13.35" customHeight="1">
      <c r="A273" s="2848"/>
      <c r="B273" s="2849"/>
      <c r="C273" s="2849"/>
      <c r="D273" s="2849"/>
      <c r="E273" s="2849"/>
      <c r="F273" s="2849"/>
      <c r="G273" s="2849"/>
      <c r="H273" s="2849"/>
      <c r="I273" s="2849"/>
      <c r="J273" s="2849"/>
      <c r="K273" s="2849"/>
      <c r="L273" s="2849"/>
      <c r="M273" s="2849"/>
      <c r="N273" s="2849"/>
      <c r="O273" s="2849"/>
      <c r="P273" s="2849"/>
      <c r="Q273" s="2850"/>
    </row>
    <row r="274" spans="1:32" ht="3" customHeight="1">
      <c r="A274" s="2374"/>
      <c r="B274" s="2397"/>
      <c r="C274" s="2380"/>
      <c r="D274" s="2380"/>
      <c r="E274" s="2380"/>
      <c r="F274" s="2380"/>
      <c r="G274" s="2380"/>
      <c r="H274" s="2380"/>
      <c r="I274" s="2380"/>
      <c r="J274" s="2380"/>
      <c r="K274" s="2380"/>
      <c r="L274" s="2380"/>
      <c r="M274" s="2380"/>
      <c r="Q274" s="2374"/>
    </row>
    <row r="275" spans="1:32" ht="14.1" customHeight="1">
      <c r="A275" s="2372" t="s">
        <v>2194</v>
      </c>
      <c r="B275" s="4" t="s">
        <v>2589</v>
      </c>
      <c r="C275" s="4"/>
      <c r="D275" s="86"/>
      <c r="E275" s="86"/>
      <c r="F275" s="86"/>
      <c r="G275" s="86"/>
      <c r="H275" s="2380"/>
      <c r="I275" s="2380"/>
      <c r="J275" s="2380"/>
      <c r="K275" s="2380"/>
      <c r="L275" s="2380"/>
      <c r="M275" s="2380"/>
      <c r="O275" s="131" t="s">
        <v>1821</v>
      </c>
      <c r="P275" s="2808"/>
      <c r="Q275" s="2809"/>
    </row>
    <row r="276" spans="1:32" s="411" customFormat="1" ht="21.75" customHeight="1">
      <c r="A276" s="141" t="s">
        <v>1936</v>
      </c>
      <c r="B276" s="2380" t="s">
        <v>1694</v>
      </c>
      <c r="C276" s="2696" t="s">
        <v>4710</v>
      </c>
      <c r="D276" s="2696"/>
      <c r="E276" s="2696"/>
      <c r="F276" s="2696"/>
      <c r="G276" s="2696"/>
      <c r="H276" s="2696"/>
      <c r="I276" s="2696"/>
      <c r="J276" s="2696"/>
      <c r="K276" s="2696"/>
      <c r="L276" s="2696"/>
      <c r="M276" s="2696"/>
      <c r="N276" s="2696"/>
      <c r="O276" s="1725" t="s">
        <v>1455</v>
      </c>
      <c r="P276" s="2268" t="s">
        <v>2886</v>
      </c>
      <c r="Q276" s="1088"/>
      <c r="AE276" s="460"/>
      <c r="AF276" s="460"/>
    </row>
    <row r="277" spans="1:32" s="147" customFormat="1" ht="11.4" customHeight="1">
      <c r="A277" s="47"/>
      <c r="B277" s="2380" t="s">
        <v>1695</v>
      </c>
      <c r="C277" s="52" t="s">
        <v>3568</v>
      </c>
      <c r="D277" s="52"/>
      <c r="E277" s="52"/>
      <c r="F277" s="52"/>
      <c r="G277" s="52"/>
      <c r="H277" s="52"/>
      <c r="I277" s="52"/>
      <c r="J277" s="52"/>
      <c r="K277" s="52"/>
      <c r="L277" s="52"/>
      <c r="M277" s="52"/>
      <c r="O277" s="1725" t="s">
        <v>1695</v>
      </c>
      <c r="P277" s="2258" t="s">
        <v>2886</v>
      </c>
      <c r="Q277" s="520"/>
      <c r="AE277" s="459"/>
      <c r="AF277" s="459"/>
    </row>
    <row r="278" spans="1:32" s="147" customFormat="1" ht="11.4" customHeight="1">
      <c r="A278" s="47" t="s">
        <v>1938</v>
      </c>
      <c r="B278" s="52" t="s">
        <v>3569</v>
      </c>
      <c r="D278" s="52"/>
      <c r="E278" s="52"/>
      <c r="F278" s="52"/>
      <c r="G278" s="52"/>
      <c r="H278" s="52"/>
      <c r="I278" s="52"/>
      <c r="J278" s="52"/>
      <c r="K278" s="52"/>
      <c r="L278" s="52"/>
      <c r="M278" s="52"/>
      <c r="O278" s="455" t="s">
        <v>1938</v>
      </c>
      <c r="P278" s="2258" t="s">
        <v>2886</v>
      </c>
      <c r="Q278" s="520"/>
      <c r="AE278" s="459"/>
      <c r="AF278" s="459"/>
    </row>
    <row r="279" spans="1:32" s="411" customFormat="1" ht="19.95" customHeight="1">
      <c r="A279" s="141" t="s">
        <v>731</v>
      </c>
      <c r="B279" s="2380" t="s">
        <v>1694</v>
      </c>
      <c r="C279" s="2696" t="s">
        <v>4746</v>
      </c>
      <c r="D279" s="2696"/>
      <c r="E279" s="2696"/>
      <c r="F279" s="2696"/>
      <c r="G279" s="2696"/>
      <c r="H279" s="2696"/>
      <c r="I279" s="2696"/>
      <c r="J279" s="2696"/>
      <c r="K279" s="2696"/>
      <c r="L279" s="2696"/>
      <c r="M279" s="2696"/>
      <c r="N279" s="2696"/>
      <c r="O279" s="1725" t="s">
        <v>4747</v>
      </c>
      <c r="P279" s="2268" t="s">
        <v>2886</v>
      </c>
      <c r="Q279" s="1088"/>
      <c r="AE279" s="460"/>
      <c r="AF279" s="460"/>
    </row>
    <row r="280" spans="1:32" s="147" customFormat="1" ht="11.4" customHeight="1">
      <c r="A280" s="47"/>
      <c r="B280" s="2380" t="s">
        <v>1695</v>
      </c>
      <c r="C280" s="52" t="s">
        <v>3570</v>
      </c>
      <c r="D280" s="52"/>
      <c r="E280" s="52"/>
      <c r="F280" s="52"/>
      <c r="G280" s="52"/>
      <c r="H280" s="52"/>
      <c r="I280" s="52"/>
      <c r="J280" s="52"/>
      <c r="K280" s="52"/>
      <c r="L280" s="52"/>
      <c r="M280" s="52"/>
      <c r="O280" s="1725" t="s">
        <v>1695</v>
      </c>
      <c r="P280" s="2258" t="s">
        <v>2886</v>
      </c>
      <c r="Q280" s="520"/>
      <c r="AE280" s="459"/>
      <c r="AF280" s="459"/>
    </row>
    <row r="281" spans="1:32" s="147" customFormat="1" ht="22.5" customHeight="1">
      <c r="A281" s="141" t="s">
        <v>2065</v>
      </c>
      <c r="B281" s="2696" t="s">
        <v>4748</v>
      </c>
      <c r="C281" s="2696"/>
      <c r="D281" s="2696"/>
      <c r="E281" s="2696"/>
      <c r="F281" s="2696"/>
      <c r="G281" s="2696"/>
      <c r="H281" s="2696"/>
      <c r="I281" s="2696"/>
      <c r="J281" s="2696"/>
      <c r="K281" s="2696"/>
      <c r="L281" s="2696"/>
      <c r="M281" s="2696"/>
      <c r="N281" s="2696"/>
      <c r="O281" s="455" t="s">
        <v>2065</v>
      </c>
      <c r="P281" s="2387" t="s">
        <v>2886</v>
      </c>
      <c r="Q281" s="2253"/>
      <c r="AE281" s="459"/>
      <c r="AF281" s="459"/>
    </row>
    <row r="282" spans="1:32" ht="11.25" customHeight="1">
      <c r="B282" s="140" t="s">
        <v>3565</v>
      </c>
      <c r="D282" s="140"/>
      <c r="E282" s="140"/>
      <c r="F282" s="140"/>
      <c r="G282" s="140"/>
      <c r="H282" s="40"/>
      <c r="I282" s="2397"/>
      <c r="J282" s="2397"/>
      <c r="K282" s="2397"/>
      <c r="L282" s="2374"/>
      <c r="M282" s="2374"/>
      <c r="N282" s="2374"/>
      <c r="O282" s="2374"/>
      <c r="P282" s="2374"/>
      <c r="Q282" s="855"/>
    </row>
    <row r="283" spans="1:32" ht="36" customHeight="1">
      <c r="A283" s="2729" t="s">
        <v>7181</v>
      </c>
      <c r="B283" s="2730"/>
      <c r="C283" s="2730"/>
      <c r="D283" s="2730"/>
      <c r="E283" s="2730"/>
      <c r="F283" s="2730"/>
      <c r="G283" s="2730"/>
      <c r="H283" s="2730"/>
      <c r="I283" s="2730"/>
      <c r="J283" s="2730"/>
      <c r="K283" s="2730"/>
      <c r="L283" s="2730"/>
      <c r="M283" s="2730"/>
      <c r="N283" s="2730"/>
      <c r="O283" s="2730"/>
      <c r="P283" s="2730"/>
      <c r="Q283" s="2731"/>
      <c r="R283" s="440" t="s">
        <v>1228</v>
      </c>
      <c r="S283" s="441"/>
      <c r="U283" s="135"/>
      <c r="V283" s="135"/>
      <c r="W283" s="135"/>
      <c r="X283" s="135"/>
      <c r="Y283" s="135"/>
      <c r="Z283" s="135"/>
      <c r="AA283" s="135"/>
      <c r="AB283" s="135"/>
      <c r="AC283" s="135"/>
      <c r="AD283" s="135"/>
      <c r="AE283" s="457"/>
    </row>
    <row r="284" spans="1:32" ht="11.25" customHeight="1">
      <c r="B284" s="136" t="s">
        <v>1820</v>
      </c>
      <c r="C284" s="137"/>
      <c r="D284" s="2380"/>
      <c r="E284" s="2380"/>
      <c r="F284" s="2380"/>
      <c r="G284" s="2380"/>
      <c r="H284" s="2380"/>
      <c r="I284" s="2380"/>
      <c r="J284" s="2380"/>
      <c r="K284" s="2380"/>
      <c r="L284" s="2380"/>
      <c r="M284" s="2380"/>
      <c r="N284" s="2380"/>
      <c r="O284" s="2380"/>
      <c r="P284" s="2380"/>
      <c r="Q284" s="2380"/>
    </row>
    <row r="285" spans="1:32" ht="13.35" customHeight="1">
      <c r="A285" s="2848"/>
      <c r="B285" s="2849"/>
      <c r="C285" s="2849"/>
      <c r="D285" s="2849"/>
      <c r="E285" s="2849"/>
      <c r="F285" s="2849"/>
      <c r="G285" s="2849"/>
      <c r="H285" s="2849"/>
      <c r="I285" s="2849"/>
      <c r="J285" s="2849"/>
      <c r="K285" s="2849"/>
      <c r="L285" s="2849"/>
      <c r="M285" s="2849"/>
      <c r="N285" s="2849"/>
      <c r="O285" s="2849"/>
      <c r="P285" s="2849"/>
      <c r="Q285" s="2850"/>
    </row>
    <row r="286" spans="1:32" ht="3" customHeight="1"/>
    <row r="287" spans="1:32" ht="14.1" customHeight="1">
      <c r="A287" s="2372" t="s">
        <v>3784</v>
      </c>
      <c r="B287" s="2372" t="s">
        <v>2590</v>
      </c>
      <c r="C287" s="2372"/>
      <c r="D287" s="2380"/>
      <c r="E287" s="2380"/>
      <c r="F287" s="2380"/>
      <c r="G287" s="2380"/>
      <c r="H287" s="2380"/>
      <c r="I287" s="2380"/>
      <c r="J287" s="2380"/>
      <c r="K287" s="2380"/>
      <c r="L287" s="2380"/>
      <c r="M287" s="2380"/>
      <c r="O287" s="131" t="s">
        <v>1821</v>
      </c>
      <c r="P287" s="2808"/>
      <c r="Q287" s="2809"/>
    </row>
    <row r="288" spans="1:32" s="411" customFormat="1" ht="30" customHeight="1">
      <c r="A288" s="141" t="s">
        <v>1936</v>
      </c>
      <c r="B288" s="857" t="s">
        <v>1694</v>
      </c>
      <c r="C288" s="2696" t="s">
        <v>4392</v>
      </c>
      <c r="D288" s="2696"/>
      <c r="E288" s="2696"/>
      <c r="F288" s="2696"/>
      <c r="G288" s="2696"/>
      <c r="H288" s="2696"/>
      <c r="I288" s="2696"/>
      <c r="J288" s="2696"/>
      <c r="K288" s="2696"/>
      <c r="L288" s="2696"/>
      <c r="M288" s="2696"/>
      <c r="N288" s="2696"/>
      <c r="O288" s="160" t="s">
        <v>1936</v>
      </c>
      <c r="P288" s="2268" t="s">
        <v>7084</v>
      </c>
      <c r="Q288" s="1088"/>
      <c r="AE288" s="460"/>
      <c r="AF288" s="460"/>
    </row>
    <row r="289" spans="1:32" s="411" customFormat="1" ht="21.75" customHeight="1">
      <c r="A289" s="141"/>
      <c r="B289" s="857" t="s">
        <v>1695</v>
      </c>
      <c r="C289" s="2696" t="s">
        <v>2718</v>
      </c>
      <c r="D289" s="2696"/>
      <c r="E289" s="2696"/>
      <c r="F289" s="2696"/>
      <c r="G289" s="2696"/>
      <c r="H289" s="2696"/>
      <c r="I289" s="2696"/>
      <c r="J289" s="2696"/>
      <c r="K289" s="2696"/>
      <c r="L289" s="2696"/>
      <c r="M289" s="2696"/>
      <c r="N289" s="2696"/>
      <c r="O289" s="160"/>
      <c r="P289" s="2387" t="s">
        <v>7084</v>
      </c>
      <c r="Q289" s="2253"/>
      <c r="AE289" s="460"/>
      <c r="AF289" s="460"/>
    </row>
    <row r="290" spans="1:32" s="27" customFormat="1" ht="11.4" customHeight="1">
      <c r="A290" s="138" t="s">
        <v>1938</v>
      </c>
      <c r="B290" s="177" t="s">
        <v>305</v>
      </c>
      <c r="C290" s="158"/>
      <c r="D290" s="548"/>
      <c r="E290" s="548"/>
      <c r="F290" s="158"/>
      <c r="H290" s="158"/>
      <c r="I290" s="158"/>
      <c r="R290" s="978"/>
    </row>
    <row r="291" spans="1:32" s="27" customFormat="1" ht="11.4" customHeight="1">
      <c r="A291" s="138"/>
      <c r="B291" s="134" t="s">
        <v>4551</v>
      </c>
      <c r="C291" s="158"/>
      <c r="D291" s="548"/>
      <c r="E291" s="548"/>
      <c r="F291" s="158"/>
      <c r="H291" s="158"/>
      <c r="I291" s="158"/>
      <c r="O291" s="455" t="s">
        <v>1938</v>
      </c>
      <c r="P291" s="2271" t="s">
        <v>7084</v>
      </c>
      <c r="Q291" s="1089"/>
      <c r="R291" s="455"/>
    </row>
    <row r="292" spans="1:32" s="102" customFormat="1" ht="11.4" customHeight="1">
      <c r="A292" s="42"/>
      <c r="B292" s="140" t="s">
        <v>3565</v>
      </c>
      <c r="C292" s="42"/>
      <c r="D292" s="48"/>
      <c r="E292" s="48"/>
      <c r="F292" s="48"/>
      <c r="G292" s="48"/>
      <c r="K292" s="36"/>
      <c r="M292" s="46"/>
      <c r="N292" s="6"/>
      <c r="O292" s="3"/>
      <c r="P292" s="2373"/>
    </row>
    <row r="293" spans="1:32" s="43" customFormat="1" ht="21.75" customHeight="1">
      <c r="A293" s="2729" t="s">
        <v>7165</v>
      </c>
      <c r="B293" s="2730"/>
      <c r="C293" s="2730"/>
      <c r="D293" s="2730"/>
      <c r="E293" s="2730"/>
      <c r="F293" s="2730"/>
      <c r="G293" s="2730"/>
      <c r="H293" s="2730"/>
      <c r="I293" s="2730"/>
      <c r="J293" s="2730"/>
      <c r="K293" s="2730"/>
      <c r="L293" s="2730"/>
      <c r="M293" s="2730"/>
      <c r="N293" s="2730"/>
      <c r="O293" s="2730"/>
      <c r="P293" s="2730"/>
      <c r="Q293" s="2731"/>
      <c r="R293" s="440" t="s">
        <v>1228</v>
      </c>
    </row>
    <row r="294" spans="1:32" s="43" customFormat="1" ht="11.25" customHeight="1">
      <c r="A294" s="35"/>
      <c r="B294" s="136" t="s">
        <v>1820</v>
      </c>
      <c r="C294" s="137"/>
      <c r="D294" s="2380"/>
      <c r="E294" s="2380"/>
      <c r="F294" s="2380"/>
      <c r="G294" s="2380"/>
      <c r="H294" s="2380"/>
      <c r="I294" s="2380"/>
      <c r="J294" s="2380"/>
      <c r="K294" s="2380"/>
      <c r="L294" s="2380"/>
      <c r="M294" s="2380"/>
      <c r="N294" s="2380"/>
      <c r="O294" s="2380"/>
      <c r="P294" s="2380"/>
      <c r="Q294" s="2380"/>
      <c r="R294" s="35"/>
    </row>
    <row r="295" spans="1:32" s="43" customFormat="1" ht="11.25" customHeight="1">
      <c r="A295" s="2848"/>
      <c r="B295" s="2849"/>
      <c r="C295" s="2849"/>
      <c r="D295" s="2849"/>
      <c r="E295" s="2849"/>
      <c r="F295" s="2849"/>
      <c r="G295" s="2849"/>
      <c r="H295" s="2849"/>
      <c r="I295" s="2849"/>
      <c r="J295" s="2849"/>
      <c r="K295" s="2849"/>
      <c r="L295" s="2849"/>
      <c r="M295" s="2849"/>
      <c r="N295" s="2849"/>
      <c r="O295" s="2849"/>
      <c r="P295" s="2849"/>
      <c r="Q295" s="2850"/>
      <c r="R295" s="35"/>
    </row>
    <row r="296" spans="1:32" s="43" customFormat="1" ht="3" customHeight="1">
      <c r="A296" s="42"/>
      <c r="D296" s="39"/>
      <c r="E296" s="36"/>
      <c r="F296" s="846"/>
      <c r="G296" s="846"/>
      <c r="H296" s="846"/>
      <c r="I296" s="846"/>
      <c r="J296" s="856"/>
      <c r="K296" s="856"/>
      <c r="L296" s="856"/>
      <c r="M296" s="60"/>
      <c r="N296" s="846"/>
      <c r="O296" s="2377"/>
      <c r="P296" s="3"/>
    </row>
    <row r="297" spans="1:32" ht="14.1" customHeight="1">
      <c r="A297" s="2372" t="s">
        <v>3785</v>
      </c>
      <c r="B297" s="2372" t="s">
        <v>2591</v>
      </c>
      <c r="C297" s="2376"/>
      <c r="D297" s="2388"/>
      <c r="E297" s="2380"/>
      <c r="F297" s="2380"/>
      <c r="G297" s="2380"/>
      <c r="H297" s="2380"/>
      <c r="I297" s="2380"/>
      <c r="J297" s="2380"/>
      <c r="K297" s="2380"/>
      <c r="L297" s="2380"/>
      <c r="M297" s="2380"/>
      <c r="O297" s="131" t="s">
        <v>1821</v>
      </c>
      <c r="P297" s="2808"/>
      <c r="Q297" s="2809"/>
    </row>
    <row r="298" spans="1:32" ht="12.75" customHeight="1">
      <c r="A298" s="138" t="s">
        <v>1936</v>
      </c>
      <c r="B298" s="179" t="s">
        <v>3800</v>
      </c>
    </row>
    <row r="299" spans="1:32" s="147" customFormat="1" ht="44.25" customHeight="1">
      <c r="A299" s="141"/>
      <c r="B299" s="1488" t="s">
        <v>1694</v>
      </c>
      <c r="C299" s="2696" t="s">
        <v>3676</v>
      </c>
      <c r="D299" s="2696"/>
      <c r="E299" s="2696"/>
      <c r="F299" s="2696"/>
      <c r="G299" s="2696"/>
      <c r="H299" s="2696"/>
      <c r="I299" s="2696"/>
      <c r="J299" s="2696"/>
      <c r="K299" s="2696"/>
      <c r="L299" s="2696"/>
      <c r="M299" s="2696"/>
      <c r="N299" s="2696"/>
      <c r="O299" s="160" t="s">
        <v>2643</v>
      </c>
      <c r="P299" s="2268" t="s">
        <v>2886</v>
      </c>
      <c r="Q299" s="1088"/>
      <c r="AE299" s="459"/>
      <c r="AF299" s="459"/>
    </row>
    <row r="300" spans="1:32" s="411" customFormat="1" ht="12" customHeight="1">
      <c r="A300" s="141"/>
      <c r="B300" s="1488" t="s">
        <v>1695</v>
      </c>
      <c r="C300" s="2696" t="s">
        <v>4745</v>
      </c>
      <c r="D300" s="2696"/>
      <c r="E300" s="2696"/>
      <c r="F300" s="2696"/>
      <c r="G300" s="2696"/>
      <c r="H300" s="2696"/>
      <c r="I300" s="2696"/>
      <c r="J300" s="2696"/>
      <c r="K300" s="2696"/>
      <c r="L300" s="2696"/>
      <c r="M300" s="2696"/>
      <c r="N300" s="2696"/>
      <c r="O300" s="148" t="s">
        <v>1695</v>
      </c>
      <c r="P300" s="2386" t="s">
        <v>2886</v>
      </c>
      <c r="Q300" s="2393"/>
      <c r="AE300" s="460"/>
      <c r="AF300" s="460"/>
    </row>
    <row r="301" spans="1:32" s="411" customFormat="1" ht="21.75" customHeight="1">
      <c r="A301" s="141"/>
      <c r="B301" s="468" t="s">
        <v>1696</v>
      </c>
      <c r="C301" s="2696" t="s">
        <v>3675</v>
      </c>
      <c r="D301" s="2696"/>
      <c r="E301" s="2696"/>
      <c r="F301" s="2696"/>
      <c r="G301" s="2696"/>
      <c r="H301" s="2696"/>
      <c r="I301" s="2696"/>
      <c r="J301" s="2696"/>
      <c r="K301" s="2696"/>
      <c r="L301" s="2696"/>
      <c r="M301" s="2696"/>
      <c r="N301" s="2696"/>
      <c r="O301" s="160" t="s">
        <v>1696</v>
      </c>
      <c r="P301" s="2387" t="s">
        <v>2886</v>
      </c>
      <c r="Q301" s="2253"/>
      <c r="AE301" s="460"/>
      <c r="AF301" s="460"/>
    </row>
    <row r="302" spans="1:32" s="94" customFormat="1" ht="12.75" customHeight="1">
      <c r="A302" s="138" t="s">
        <v>1938</v>
      </c>
      <c r="B302" s="179" t="s">
        <v>3652</v>
      </c>
      <c r="D302" s="1135"/>
      <c r="E302" s="1135"/>
      <c r="F302" s="1135"/>
      <c r="G302" s="1135"/>
      <c r="H302" s="1135"/>
      <c r="I302" s="1135"/>
      <c r="J302" s="1135"/>
      <c r="K302" s="1135"/>
      <c r="L302" s="1135"/>
      <c r="M302" s="1135"/>
      <c r="N302" s="1135"/>
      <c r="O302" s="455"/>
      <c r="P302" s="455"/>
      <c r="Q302" s="455"/>
      <c r="AE302" s="461"/>
    </row>
    <row r="303" spans="1:32" s="94" customFormat="1" ht="11.25" customHeight="1">
      <c r="A303" s="175"/>
      <c r="B303" s="1488" t="s">
        <v>1694</v>
      </c>
      <c r="C303" s="2696" t="s">
        <v>3562</v>
      </c>
      <c r="D303" s="2696"/>
      <c r="E303" s="2696"/>
      <c r="F303" s="2696"/>
      <c r="G303" s="2696"/>
      <c r="H303" s="2696"/>
      <c r="I303" s="139"/>
      <c r="J303" s="2741" t="s">
        <v>3601</v>
      </c>
      <c r="K303" s="2742"/>
      <c r="L303" s="2742"/>
      <c r="M303" s="2745" t="s">
        <v>3573</v>
      </c>
      <c r="N303" s="2745"/>
      <c r="AE303" s="461"/>
      <c r="AF303" s="461"/>
    </row>
    <row r="304" spans="1:32" s="293" customFormat="1" ht="10.5" customHeight="1">
      <c r="A304" s="304"/>
      <c r="B304" s="2348"/>
      <c r="C304" s="2696"/>
      <c r="D304" s="2696"/>
      <c r="E304" s="2696"/>
      <c r="F304" s="2696"/>
      <c r="G304" s="2696"/>
      <c r="H304" s="2696"/>
      <c r="I304" s="2357"/>
      <c r="J304" s="2742"/>
      <c r="K304" s="2742"/>
      <c r="L304" s="2742"/>
      <c r="M304" s="36" t="s">
        <v>3574</v>
      </c>
      <c r="N304" s="2397" t="s">
        <v>3600</v>
      </c>
      <c r="P304" s="302"/>
    </row>
    <row r="305" spans="1:33" s="293" customFormat="1" ht="13.35" customHeight="1">
      <c r="A305" s="304"/>
      <c r="B305" s="2348"/>
      <c r="C305" s="2696"/>
      <c r="D305" s="2696"/>
      <c r="E305" s="2696"/>
      <c r="F305" s="2696"/>
      <c r="G305" s="2696"/>
      <c r="H305" s="2696"/>
      <c r="I305" s="52" t="s">
        <v>3801</v>
      </c>
      <c r="K305" s="2272">
        <v>4</v>
      </c>
      <c r="L305" s="974" t="str">
        <f>IF(K305&lt;M305,"Check!!!","")</f>
        <v/>
      </c>
      <c r="M305" s="975">
        <f>ROUNDUP('Part VI-Revenues &amp; Expenses'!$P$67*'Part VIII-Threshold Criteria'!N305,0)</f>
        <v>4</v>
      </c>
      <c r="N305" s="1465">
        <f>'DCA Underwriting Assumptions'!$Q$154</f>
        <v>0.05</v>
      </c>
      <c r="O305" s="455" t="s">
        <v>3470</v>
      </c>
      <c r="P305" s="2256" t="s">
        <v>2886</v>
      </c>
      <c r="Q305" s="518"/>
      <c r="V305" s="36"/>
      <c r="X305" s="36"/>
      <c r="Z305" s="974" t="str">
        <f>IF(AA305="","",IF(AA305&lt;AC305,"Check!!!",""))</f>
        <v/>
      </c>
      <c r="AA305" s="974" t="str">
        <f t="shared" ref="AA305:AG305" si="0">IF(AB305="","",IF(AB305&lt;AD305,"Check!!!",""))</f>
        <v/>
      </c>
      <c r="AB305" s="974" t="str">
        <f t="shared" si="0"/>
        <v/>
      </c>
      <c r="AC305" s="974" t="str">
        <f t="shared" si="0"/>
        <v/>
      </c>
      <c r="AD305" s="974" t="str">
        <f t="shared" si="0"/>
        <v/>
      </c>
      <c r="AE305" s="974" t="str">
        <f t="shared" si="0"/>
        <v/>
      </c>
      <c r="AF305" s="974" t="str">
        <f t="shared" si="0"/>
        <v/>
      </c>
      <c r="AG305" s="974" t="str">
        <f t="shared" si="0"/>
        <v/>
      </c>
    </row>
    <row r="306" spans="1:33" s="94" customFormat="1" ht="12.75" customHeight="1">
      <c r="A306" s="141"/>
      <c r="B306" s="1488"/>
      <c r="C306" s="2696" t="s">
        <v>3563</v>
      </c>
      <c r="D306" s="2696"/>
      <c r="E306" s="2696"/>
      <c r="F306" s="2696"/>
      <c r="G306" s="2696"/>
      <c r="H306" s="2696"/>
      <c r="I306" s="843" t="s">
        <v>3802</v>
      </c>
      <c r="J306" s="293"/>
      <c r="K306" s="2272">
        <v>2</v>
      </c>
      <c r="L306" s="974" t="str">
        <f>IF(K306&lt;M306,"Check!!!","")</f>
        <v/>
      </c>
      <c r="M306" s="975">
        <f>ROUNDUP(K305*'Part VIII-Threshold Criteria'!N306,0)</f>
        <v>2</v>
      </c>
      <c r="N306" s="1465">
        <f>'DCA Underwriting Assumptions'!$Q$155</f>
        <v>0.4</v>
      </c>
      <c r="O306" s="455" t="s">
        <v>2067</v>
      </c>
      <c r="P306" s="2744" t="s">
        <v>2886</v>
      </c>
      <c r="Q306" s="2743"/>
      <c r="T306" s="139"/>
      <c r="U306" s="139"/>
      <c r="V306" s="139"/>
      <c r="W306" s="139"/>
      <c r="X306" s="139"/>
      <c r="Y306" s="139"/>
      <c r="Z306" s="139"/>
      <c r="AA306" s="139"/>
      <c r="AB306" s="139"/>
      <c r="AC306" s="139"/>
      <c r="AD306" s="139"/>
      <c r="AE306" s="139"/>
      <c r="AF306" s="139"/>
      <c r="AG306" s="139"/>
    </row>
    <row r="307" spans="1:33" s="293" customFormat="1" ht="10.5" customHeight="1">
      <c r="A307" s="304"/>
      <c r="B307" s="2348"/>
      <c r="C307" s="2696"/>
      <c r="D307" s="2696"/>
      <c r="E307" s="2696"/>
      <c r="F307" s="2696"/>
      <c r="G307" s="2696"/>
      <c r="H307" s="2696"/>
      <c r="O307" s="40"/>
      <c r="P307" s="2744"/>
      <c r="Q307" s="2743"/>
      <c r="V307" s="36"/>
      <c r="W307" s="843"/>
      <c r="X307" s="36"/>
      <c r="Z307" s="974" t="str">
        <f>IF(AA307="","",IF(AA307&lt;AC307,"Check!!!",""))</f>
        <v/>
      </c>
      <c r="AA307" s="974" t="str">
        <f t="shared" ref="AA307:AG307" si="1">IF(AB307="","",IF(AB307&lt;AD307,"Check!!!",""))</f>
        <v/>
      </c>
      <c r="AB307" s="974" t="str">
        <f t="shared" si="1"/>
        <v/>
      </c>
      <c r="AC307" s="974" t="str">
        <f t="shared" si="1"/>
        <v/>
      </c>
      <c r="AD307" s="974" t="str">
        <f t="shared" si="1"/>
        <v/>
      </c>
      <c r="AE307" s="974" t="str">
        <f t="shared" si="1"/>
        <v/>
      </c>
      <c r="AF307" s="974" t="str">
        <f t="shared" si="1"/>
        <v/>
      </c>
      <c r="AG307" s="974" t="str">
        <f t="shared" si="1"/>
        <v/>
      </c>
    </row>
    <row r="308" spans="1:33" s="94" customFormat="1" ht="12.75" customHeight="1">
      <c r="A308" s="141"/>
      <c r="B308" s="1488" t="s">
        <v>1695</v>
      </c>
      <c r="C308" s="2696" t="s">
        <v>3564</v>
      </c>
      <c r="D308" s="2696"/>
      <c r="E308" s="2696"/>
      <c r="F308" s="2696"/>
      <c r="G308" s="2696"/>
      <c r="H308" s="2696"/>
      <c r="I308" s="52" t="s">
        <v>3803</v>
      </c>
      <c r="J308" s="293"/>
      <c r="K308" s="2272">
        <v>2</v>
      </c>
      <c r="L308" s="974" t="str">
        <f>IF(K308&lt;M308,"Check!!!","")</f>
        <v/>
      </c>
      <c r="M308" s="975">
        <f>ROUNDUP('Part VI-Revenues &amp; Expenses'!$P$67*'Part VIII-Threshold Criteria'!N308,0)</f>
        <v>2</v>
      </c>
      <c r="N308" s="1465">
        <f>'DCA Underwriting Assumptions'!$Q$156</f>
        <v>0.02</v>
      </c>
      <c r="O308" s="455" t="s">
        <v>1695</v>
      </c>
      <c r="P308" s="2258" t="s">
        <v>2886</v>
      </c>
      <c r="Q308" s="520"/>
      <c r="T308" s="139"/>
      <c r="U308" s="139"/>
      <c r="V308" s="139"/>
      <c r="W308" s="139"/>
      <c r="X308" s="139"/>
      <c r="Y308" s="139"/>
      <c r="Z308" s="139"/>
      <c r="AA308" s="139"/>
      <c r="AB308" s="139"/>
      <c r="AC308" s="139"/>
      <c r="AD308" s="139"/>
      <c r="AE308" s="139"/>
      <c r="AF308" s="139"/>
      <c r="AG308" s="139"/>
    </row>
    <row r="309" spans="1:33" s="293" customFormat="1" ht="3" customHeight="1">
      <c r="A309" s="304"/>
      <c r="C309" s="2696"/>
      <c r="D309" s="2696"/>
      <c r="E309" s="2696"/>
      <c r="F309" s="2696"/>
      <c r="G309" s="2696"/>
      <c r="H309" s="2696"/>
      <c r="J309" s="36"/>
      <c r="K309" s="36"/>
      <c r="L309" s="856"/>
      <c r="M309" s="2384"/>
      <c r="O309" s="36"/>
      <c r="P309" s="2397"/>
      <c r="Q309" s="36"/>
      <c r="T309" s="36"/>
      <c r="U309" s="843"/>
      <c r="V309" s="36"/>
      <c r="W309" s="843"/>
      <c r="X309" s="36"/>
      <c r="Y309" s="36"/>
      <c r="Z309" s="36"/>
      <c r="AA309" s="36"/>
      <c r="AB309" s="36"/>
      <c r="AC309" s="36"/>
      <c r="AD309" s="36"/>
      <c r="AE309" s="36"/>
      <c r="AF309" s="36"/>
      <c r="AG309" s="36"/>
    </row>
    <row r="310" spans="1:33" s="293" customFormat="1" ht="10.5" customHeight="1">
      <c r="A310" s="304"/>
      <c r="C310" s="2696"/>
      <c r="D310" s="2696"/>
      <c r="E310" s="2696"/>
      <c r="F310" s="2696"/>
      <c r="G310" s="2696"/>
      <c r="H310" s="2696"/>
      <c r="O310" s="40"/>
      <c r="P310" s="455"/>
      <c r="V310" s="36"/>
      <c r="W310" s="843"/>
      <c r="X310" s="36"/>
      <c r="Z310" s="974" t="str">
        <f>IF(AA310="","",IF(AA310&lt;AC310,"Check!!!",""))</f>
        <v/>
      </c>
      <c r="AA310" s="974" t="str">
        <f t="shared" ref="AA310:AG310" si="2">IF(AB310="","",IF(AB310&lt;AD310,"Check!!!",""))</f>
        <v/>
      </c>
      <c r="AB310" s="974" t="str">
        <f t="shared" si="2"/>
        <v/>
      </c>
      <c r="AC310" s="974" t="str">
        <f t="shared" si="2"/>
        <v/>
      </c>
      <c r="AD310" s="974" t="str">
        <f t="shared" si="2"/>
        <v/>
      </c>
      <c r="AE310" s="974" t="str">
        <f t="shared" si="2"/>
        <v/>
      </c>
      <c r="AF310" s="974" t="str">
        <f t="shared" si="2"/>
        <v/>
      </c>
      <c r="AG310" s="974" t="str">
        <f t="shared" si="2"/>
        <v/>
      </c>
    </row>
    <row r="311" spans="1:33" s="293" customFormat="1" ht="10.5" customHeight="1">
      <c r="A311" s="138" t="s">
        <v>731</v>
      </c>
      <c r="B311" s="179" t="s">
        <v>3653</v>
      </c>
      <c r="D311" s="2380"/>
      <c r="E311" s="2380"/>
      <c r="F311" s="2380"/>
      <c r="G311" s="2380"/>
      <c r="H311" s="2380"/>
      <c r="O311" s="40"/>
      <c r="P311" s="455"/>
      <c r="V311" s="36"/>
      <c r="W311" s="843"/>
      <c r="X311" s="36"/>
      <c r="Z311" s="974"/>
      <c r="AA311" s="974"/>
      <c r="AB311" s="974"/>
      <c r="AC311" s="974"/>
      <c r="AD311" s="974"/>
      <c r="AE311" s="974"/>
      <c r="AF311" s="974"/>
      <c r="AG311" s="974"/>
    </row>
    <row r="312" spans="1:33" s="94" customFormat="1" ht="21.75" customHeight="1">
      <c r="B312" s="2769" t="s">
        <v>3472</v>
      </c>
      <c r="C312" s="2769"/>
      <c r="D312" s="2769"/>
      <c r="E312" s="2769"/>
      <c r="F312" s="2769"/>
      <c r="G312" s="2769"/>
      <c r="H312" s="2769"/>
      <c r="I312" s="2769"/>
      <c r="J312" s="2769"/>
      <c r="K312" s="2769"/>
      <c r="L312" s="2769"/>
      <c r="M312" s="2769"/>
      <c r="N312" s="2769"/>
      <c r="O312" s="160" t="s">
        <v>731</v>
      </c>
      <c r="P312" s="2271" t="s">
        <v>2886</v>
      </c>
      <c r="Q312" s="1089"/>
      <c r="AE312" s="461"/>
      <c r="AF312" s="461"/>
    </row>
    <row r="313" spans="1:33" s="94" customFormat="1" ht="11.25" customHeight="1">
      <c r="B313" s="389" t="s">
        <v>3473</v>
      </c>
      <c r="D313" s="389"/>
      <c r="E313" s="389"/>
      <c r="F313" s="389"/>
      <c r="G313" s="389"/>
      <c r="H313" s="389"/>
      <c r="I313" s="389" t="s">
        <v>3572</v>
      </c>
      <c r="J313" s="389"/>
      <c r="K313" s="389"/>
      <c r="L313" s="2751" t="s">
        <v>7107</v>
      </c>
      <c r="M313" s="2752"/>
      <c r="N313" s="2752"/>
      <c r="O313" s="2753"/>
      <c r="P313" s="389"/>
      <c r="Q313" s="389"/>
      <c r="R313" s="389"/>
      <c r="AE313" s="461"/>
      <c r="AF313" s="461"/>
    </row>
    <row r="314" spans="1:33" s="411" customFormat="1" ht="44.25" customHeight="1">
      <c r="B314" s="1488" t="s">
        <v>1694</v>
      </c>
      <c r="C314" s="2696" t="s">
        <v>3471</v>
      </c>
      <c r="D314" s="2696"/>
      <c r="E314" s="2696"/>
      <c r="F314" s="2696"/>
      <c r="G314" s="2696"/>
      <c r="H314" s="2696"/>
      <c r="I314" s="2696"/>
      <c r="J314" s="2696"/>
      <c r="K314" s="2696"/>
      <c r="L314" s="2696"/>
      <c r="M314" s="2696"/>
      <c r="N314" s="2696"/>
      <c r="O314" s="160" t="s">
        <v>3476</v>
      </c>
      <c r="P314" s="2268" t="s">
        <v>2886</v>
      </c>
      <c r="Q314" s="1088"/>
      <c r="AE314" s="460"/>
      <c r="AF314" s="460"/>
    </row>
    <row r="315" spans="1:33" s="411" customFormat="1" ht="34.5" customHeight="1">
      <c r="B315" s="1488" t="s">
        <v>1695</v>
      </c>
      <c r="C315" s="2696" t="s">
        <v>4354</v>
      </c>
      <c r="D315" s="2696"/>
      <c r="E315" s="2696"/>
      <c r="F315" s="2696"/>
      <c r="G315" s="2696"/>
      <c r="H315" s="2696"/>
      <c r="I315" s="2696"/>
      <c r="J315" s="2696"/>
      <c r="K315" s="2696"/>
      <c r="L315" s="2696"/>
      <c r="M315" s="2696"/>
      <c r="N315" s="2696"/>
      <c r="O315" s="160" t="s">
        <v>3477</v>
      </c>
      <c r="P315" s="2386" t="s">
        <v>2886</v>
      </c>
      <c r="Q315" s="2393"/>
      <c r="AE315" s="460"/>
      <c r="AF315" s="460"/>
    </row>
    <row r="316" spans="1:33" s="411" customFormat="1" ht="22.5" customHeight="1">
      <c r="B316" s="468" t="s">
        <v>1696</v>
      </c>
      <c r="C316" s="2696" t="s">
        <v>3474</v>
      </c>
      <c r="D316" s="2696"/>
      <c r="E316" s="2696"/>
      <c r="F316" s="2696"/>
      <c r="G316" s="2696"/>
      <c r="H316" s="2696"/>
      <c r="I316" s="2696"/>
      <c r="J316" s="2696"/>
      <c r="K316" s="2696"/>
      <c r="L316" s="2696"/>
      <c r="M316" s="2696"/>
      <c r="N316" s="2696"/>
      <c r="O316" s="160" t="s">
        <v>3478</v>
      </c>
      <c r="P316" s="2386" t="s">
        <v>2886</v>
      </c>
      <c r="Q316" s="2393"/>
      <c r="AE316" s="460"/>
      <c r="AF316" s="460"/>
    </row>
    <row r="317" spans="1:33" s="411" customFormat="1" ht="32.25" customHeight="1">
      <c r="B317" s="468" t="s">
        <v>2305</v>
      </c>
      <c r="C317" s="2696" t="s">
        <v>3475</v>
      </c>
      <c r="D317" s="2696"/>
      <c r="E317" s="2696"/>
      <c r="F317" s="2696"/>
      <c r="G317" s="2696"/>
      <c r="H317" s="2696"/>
      <c r="I317" s="2696"/>
      <c r="J317" s="2696"/>
      <c r="K317" s="2696"/>
      <c r="L317" s="2696"/>
      <c r="M317" s="2696"/>
      <c r="N317" s="2696"/>
      <c r="O317" s="160" t="s">
        <v>3479</v>
      </c>
      <c r="P317" s="2387" t="s">
        <v>2886</v>
      </c>
      <c r="Q317" s="2253"/>
      <c r="AE317" s="460"/>
      <c r="AF317" s="460"/>
    </row>
    <row r="318" spans="1:33" ht="11.25" customHeight="1">
      <c r="B318" s="140" t="s">
        <v>3565</v>
      </c>
      <c r="D318" s="140"/>
      <c r="E318" s="140"/>
      <c r="F318" s="140"/>
      <c r="G318" s="140"/>
      <c r="H318" s="40"/>
      <c r="I318" s="2397"/>
      <c r="J318" s="2397"/>
      <c r="K318" s="2397"/>
      <c r="L318" s="2374"/>
      <c r="M318" s="2374"/>
      <c r="N318" s="2374"/>
      <c r="O318" s="2374"/>
      <c r="P318" s="2374"/>
      <c r="Q318" s="855"/>
    </row>
    <row r="319" spans="1:33" ht="32.25" customHeight="1">
      <c r="A319" s="2729" t="s">
        <v>7108</v>
      </c>
      <c r="B319" s="2730"/>
      <c r="C319" s="2730"/>
      <c r="D319" s="2730"/>
      <c r="E319" s="2730"/>
      <c r="F319" s="2730"/>
      <c r="G319" s="2730"/>
      <c r="H319" s="2730"/>
      <c r="I319" s="2730"/>
      <c r="J319" s="2730"/>
      <c r="K319" s="2730"/>
      <c r="L319" s="2730"/>
      <c r="M319" s="2730"/>
      <c r="N319" s="2730"/>
      <c r="O319" s="2730"/>
      <c r="P319" s="2730"/>
      <c r="Q319" s="2731"/>
      <c r="R319" s="440" t="s">
        <v>1228</v>
      </c>
      <c r="S319" s="441"/>
      <c r="U319" s="135"/>
      <c r="V319" s="135"/>
      <c r="W319" s="135"/>
      <c r="X319" s="135"/>
      <c r="Y319" s="135"/>
      <c r="Z319" s="135"/>
      <c r="AA319" s="135"/>
      <c r="AB319" s="135"/>
      <c r="AC319" s="135"/>
      <c r="AD319" s="135"/>
      <c r="AE319" s="457"/>
    </row>
    <row r="320" spans="1:33" ht="11.25" customHeight="1">
      <c r="B320" s="136" t="s">
        <v>1820</v>
      </c>
      <c r="C320" s="137"/>
      <c r="D320" s="2380"/>
      <c r="E320" s="2380"/>
      <c r="F320" s="2380"/>
      <c r="G320" s="2380"/>
      <c r="H320" s="2380"/>
      <c r="I320" s="2380"/>
      <c r="J320" s="2380"/>
      <c r="K320" s="2380"/>
      <c r="L320" s="2380"/>
      <c r="M320" s="2380"/>
      <c r="N320" s="2380"/>
      <c r="O320" s="2380"/>
      <c r="P320" s="2380"/>
      <c r="Q320" s="2380"/>
    </row>
    <row r="321" spans="1:256 1523:1523" ht="45.75" customHeight="1">
      <c r="A321" s="2757"/>
      <c r="B321" s="2758"/>
      <c r="C321" s="2758"/>
      <c r="D321" s="2758"/>
      <c r="E321" s="2758"/>
      <c r="F321" s="2758"/>
      <c r="G321" s="2758"/>
      <c r="H321" s="2758"/>
      <c r="I321" s="2758"/>
      <c r="J321" s="2758"/>
      <c r="K321" s="2758"/>
      <c r="L321" s="2758"/>
      <c r="M321" s="2758"/>
      <c r="N321" s="2758"/>
      <c r="O321" s="2758"/>
      <c r="P321" s="2758"/>
      <c r="Q321" s="2759"/>
    </row>
    <row r="322" spans="1:256 1523:1523" ht="14.1" customHeight="1">
      <c r="A322" s="2372" t="s">
        <v>3783</v>
      </c>
      <c r="B322" s="10" t="s">
        <v>2592</v>
      </c>
      <c r="C322" s="10"/>
      <c r="D322" s="10"/>
      <c r="E322" s="10"/>
      <c r="F322" s="10"/>
      <c r="G322" s="10"/>
      <c r="H322" s="2380"/>
      <c r="I322" s="2380"/>
      <c r="J322" s="2380"/>
      <c r="K322" s="2380"/>
      <c r="L322" s="2380"/>
      <c r="M322" s="2380"/>
      <c r="O322" s="131" t="s">
        <v>1821</v>
      </c>
      <c r="P322" s="2760"/>
      <c r="Q322" s="2761"/>
    </row>
    <row r="323" spans="1:256 1523:1523" ht="11.4" customHeight="1">
      <c r="B323" s="144" t="s">
        <v>2195</v>
      </c>
      <c r="P323" s="2256" t="s">
        <v>2889</v>
      </c>
      <c r="Q323" s="518"/>
    </row>
    <row r="324" spans="1:256 1523:1523" ht="12" customHeight="1">
      <c r="B324" s="842" t="s">
        <v>2155</v>
      </c>
      <c r="C324" s="842"/>
      <c r="D324" s="842"/>
      <c r="E324" s="842"/>
      <c r="F324" s="842"/>
      <c r="G324" s="842"/>
      <c r="H324" s="842"/>
      <c r="I324" s="842"/>
      <c r="J324" s="842"/>
      <c r="K324" s="842"/>
      <c r="L324" s="842"/>
      <c r="P324" s="2258" t="s">
        <v>2886</v>
      </c>
      <c r="Q324" s="520"/>
    </row>
    <row r="325" spans="1:256 1523:1523" ht="11.4" customHeight="1">
      <c r="A325" s="141" t="s">
        <v>1936</v>
      </c>
      <c r="B325" s="180" t="s">
        <v>450</v>
      </c>
      <c r="D325" s="856"/>
      <c r="E325" s="856"/>
      <c r="F325" s="856"/>
      <c r="G325" s="856"/>
      <c r="H325" s="856"/>
      <c r="I325" s="856"/>
      <c r="J325" s="856"/>
      <c r="K325" s="856"/>
      <c r="L325" s="856"/>
      <c r="M325" s="856"/>
      <c r="N325" s="160"/>
    </row>
    <row r="326" spans="1:256 1523:1523" ht="22.5" customHeight="1">
      <c r="B326" s="2696" t="s">
        <v>2781</v>
      </c>
      <c r="C326" s="2696"/>
      <c r="D326" s="2696"/>
      <c r="E326" s="2696"/>
      <c r="F326" s="2696"/>
      <c r="G326" s="2696"/>
      <c r="H326" s="2696"/>
      <c r="I326" s="2696"/>
      <c r="J326" s="2696"/>
      <c r="K326" s="2696"/>
      <c r="L326" s="2696"/>
      <c r="M326" s="2696"/>
      <c r="N326" s="2696"/>
      <c r="O326" s="160" t="s">
        <v>1936</v>
      </c>
      <c r="P326" s="2273"/>
      <c r="Q326" s="4135"/>
    </row>
    <row r="327" spans="1:256 1523:1523" ht="12.6" customHeight="1">
      <c r="A327" s="141" t="s">
        <v>1938</v>
      </c>
      <c r="B327" s="213" t="s">
        <v>451</v>
      </c>
      <c r="D327" s="213"/>
      <c r="E327" s="213"/>
      <c r="F327" s="213"/>
      <c r="G327" s="213"/>
      <c r="H327" s="213"/>
      <c r="I327" s="213"/>
      <c r="J327" s="213"/>
      <c r="K327" s="213"/>
      <c r="L327" s="213"/>
      <c r="M327" s="213"/>
      <c r="O327" s="160" t="s">
        <v>1938</v>
      </c>
      <c r="P327" s="2374"/>
      <c r="Q327" s="855"/>
    </row>
    <row r="328" spans="1:256 1523:1523" ht="36" customHeight="1">
      <c r="B328" s="842" t="s">
        <v>1694</v>
      </c>
      <c r="C328" s="139" t="s">
        <v>1109</v>
      </c>
      <c r="E328" s="132"/>
      <c r="F328" s="132"/>
      <c r="G328" s="2732" t="s">
        <v>4362</v>
      </c>
      <c r="H328" s="2733"/>
      <c r="I328" s="2733"/>
      <c r="J328" s="2733"/>
      <c r="K328" s="2733"/>
      <c r="L328" s="2733"/>
      <c r="M328" s="2733"/>
      <c r="N328" s="2734"/>
      <c r="O328" s="215" t="s">
        <v>1694</v>
      </c>
      <c r="P328" s="2268" t="s">
        <v>2886</v>
      </c>
      <c r="Q328" s="1088"/>
      <c r="BFO328" s="147" t="s">
        <v>2644</v>
      </c>
    </row>
    <row r="329" spans="1:256 1523:1523" ht="23.25" customHeight="1">
      <c r="B329" s="842" t="s">
        <v>1695</v>
      </c>
      <c r="C329" s="2696" t="s">
        <v>1110</v>
      </c>
      <c r="D329" s="2696"/>
      <c r="E329" s="2696"/>
      <c r="F329" s="2762"/>
      <c r="G329" s="2754" t="s">
        <v>3575</v>
      </c>
      <c r="H329" s="2755"/>
      <c r="I329" s="2755"/>
      <c r="J329" s="2755"/>
      <c r="K329" s="2755"/>
      <c r="L329" s="2755"/>
      <c r="M329" s="2755"/>
      <c r="N329" s="2756"/>
      <c r="O329" s="215" t="s">
        <v>1695</v>
      </c>
      <c r="P329" s="2387" t="s">
        <v>2886</v>
      </c>
      <c r="Q329" s="2253"/>
    </row>
    <row r="330" spans="1:256 1523:1523" ht="3" customHeight="1">
      <c r="A330" s="2374"/>
      <c r="B330" s="1106"/>
      <c r="C330" s="2374"/>
      <c r="D330" s="2374"/>
      <c r="E330" s="2374"/>
      <c r="F330" s="2374"/>
      <c r="G330" s="2374"/>
      <c r="H330" s="2374"/>
      <c r="I330" s="2374"/>
      <c r="J330" s="2374"/>
      <c r="K330" s="2374"/>
      <c r="L330" s="2374"/>
      <c r="M330" s="2374"/>
      <c r="N330" s="2374"/>
      <c r="O330" s="2374"/>
      <c r="P330" s="2374"/>
      <c r="Q330" s="2374"/>
      <c r="R330" s="2374"/>
      <c r="S330" s="2374"/>
      <c r="T330" s="2374"/>
      <c r="U330" s="2374"/>
      <c r="V330" s="2374"/>
      <c r="W330" s="2374"/>
      <c r="X330" s="2374"/>
      <c r="Y330" s="2374"/>
      <c r="Z330" s="2374"/>
      <c r="AA330" s="2374"/>
      <c r="AB330" s="2374"/>
      <c r="AC330" s="2374"/>
      <c r="AD330" s="2374"/>
      <c r="AE330" s="855"/>
      <c r="AF330" s="855"/>
      <c r="AG330" s="2374"/>
      <c r="AH330" s="2374"/>
      <c r="AI330" s="2374"/>
      <c r="AJ330" s="2374"/>
      <c r="AK330" s="2374"/>
      <c r="AL330" s="2374"/>
      <c r="AM330" s="2374"/>
      <c r="AN330" s="2374"/>
      <c r="AO330" s="2374"/>
      <c r="AP330" s="2374"/>
      <c r="AQ330" s="2374"/>
      <c r="AR330" s="2374"/>
      <c r="AS330" s="2374"/>
      <c r="AT330" s="2374"/>
      <c r="AU330" s="2374"/>
      <c r="AV330" s="2374"/>
      <c r="AW330" s="2374"/>
      <c r="AX330" s="2374"/>
      <c r="AY330" s="2374"/>
      <c r="AZ330" s="2374"/>
      <c r="BA330" s="2374"/>
      <c r="BB330" s="2374"/>
      <c r="BC330" s="2374"/>
      <c r="BD330" s="2374"/>
      <c r="BE330" s="2374"/>
      <c r="BF330" s="2374"/>
      <c r="BG330" s="2374"/>
      <c r="BH330" s="2374"/>
      <c r="BI330" s="2374"/>
      <c r="BJ330" s="2374"/>
      <c r="BK330" s="2374"/>
      <c r="BL330" s="2374"/>
      <c r="BM330" s="2374"/>
      <c r="BN330" s="2374"/>
      <c r="BO330" s="2374"/>
      <c r="BP330" s="2374"/>
      <c r="BQ330" s="2374"/>
      <c r="BR330" s="2374"/>
      <c r="BS330" s="2374"/>
      <c r="BT330" s="2374"/>
      <c r="BU330" s="2374"/>
      <c r="BV330" s="2374"/>
      <c r="BW330" s="2374"/>
      <c r="BX330" s="2374"/>
      <c r="BY330" s="2374"/>
      <c r="BZ330" s="2374"/>
      <c r="CA330" s="2374"/>
      <c r="CB330" s="2374"/>
      <c r="CC330" s="2374"/>
      <c r="CD330" s="2374"/>
      <c r="CE330" s="2374"/>
      <c r="CF330" s="2374"/>
      <c r="CG330" s="2374"/>
      <c r="CH330" s="2374"/>
      <c r="CI330" s="2374"/>
      <c r="CJ330" s="2374"/>
      <c r="CK330" s="2374"/>
      <c r="CL330" s="2374"/>
      <c r="CM330" s="2374"/>
      <c r="CN330" s="2374"/>
      <c r="CO330" s="2374"/>
      <c r="CP330" s="2374"/>
      <c r="CQ330" s="2374"/>
      <c r="CR330" s="2374"/>
      <c r="CS330" s="2374"/>
      <c r="CT330" s="2374"/>
      <c r="CU330" s="2374"/>
      <c r="CV330" s="2374"/>
      <c r="CW330" s="2374"/>
      <c r="CX330" s="2374"/>
      <c r="CY330" s="2374"/>
      <c r="CZ330" s="2374"/>
      <c r="DA330" s="2374"/>
      <c r="DB330" s="2374"/>
      <c r="DC330" s="2374"/>
      <c r="DD330" s="2374"/>
      <c r="DE330" s="2374"/>
      <c r="DF330" s="2374"/>
      <c r="DG330" s="2374"/>
      <c r="DH330" s="2374"/>
      <c r="DI330" s="2374"/>
      <c r="DJ330" s="2374"/>
      <c r="DK330" s="2374"/>
      <c r="DL330" s="2374"/>
      <c r="DM330" s="2374"/>
      <c r="DN330" s="2374"/>
      <c r="DO330" s="2374"/>
      <c r="DP330" s="2374"/>
      <c r="DQ330" s="2374"/>
      <c r="DR330" s="2374"/>
      <c r="DS330" s="2374"/>
      <c r="DT330" s="2374"/>
      <c r="DU330" s="2374"/>
      <c r="DV330" s="2374"/>
      <c r="DW330" s="2374"/>
      <c r="DX330" s="2374"/>
      <c r="DY330" s="2374"/>
      <c r="DZ330" s="2374"/>
      <c r="EA330" s="2374"/>
      <c r="EB330" s="2374"/>
      <c r="EC330" s="2374"/>
      <c r="ED330" s="2374"/>
      <c r="EE330" s="2374"/>
      <c r="EF330" s="2374"/>
      <c r="EG330" s="2374"/>
      <c r="EH330" s="2374"/>
      <c r="EI330" s="2374"/>
      <c r="EJ330" s="2374"/>
      <c r="EK330" s="2374"/>
      <c r="EL330" s="2374"/>
      <c r="EM330" s="2374"/>
      <c r="EN330" s="2374"/>
      <c r="EO330" s="2374"/>
      <c r="EP330" s="2374"/>
      <c r="EQ330" s="2374"/>
      <c r="ER330" s="2374"/>
      <c r="ES330" s="2374"/>
      <c r="ET330" s="2374"/>
      <c r="EU330" s="2374"/>
      <c r="EV330" s="2374"/>
      <c r="EW330" s="2374"/>
      <c r="EX330" s="2374"/>
      <c r="EY330" s="2374"/>
      <c r="EZ330" s="2374"/>
      <c r="FA330" s="2374"/>
      <c r="FB330" s="2374"/>
      <c r="FC330" s="2374"/>
      <c r="FD330" s="2374"/>
      <c r="FE330" s="2374"/>
      <c r="FF330" s="2374"/>
      <c r="FG330" s="2374"/>
      <c r="FH330" s="2374"/>
      <c r="FI330" s="2374"/>
      <c r="FJ330" s="2374"/>
      <c r="FK330" s="2374"/>
      <c r="FL330" s="2374"/>
      <c r="FM330" s="2374"/>
      <c r="FN330" s="2374"/>
      <c r="FO330" s="2374"/>
      <c r="FP330" s="2374"/>
      <c r="FQ330" s="2374"/>
      <c r="FR330" s="2374"/>
      <c r="FS330" s="2374"/>
      <c r="FT330" s="2374"/>
      <c r="FU330" s="2374"/>
      <c r="FV330" s="2374"/>
      <c r="FW330" s="2374"/>
      <c r="FX330" s="2374"/>
      <c r="FY330" s="2374"/>
      <c r="FZ330" s="2374"/>
      <c r="GA330" s="2374"/>
      <c r="GB330" s="2374"/>
      <c r="GC330" s="2374"/>
      <c r="GD330" s="2374"/>
      <c r="GE330" s="2374"/>
      <c r="GF330" s="2374"/>
      <c r="GG330" s="2374"/>
      <c r="GH330" s="2374"/>
      <c r="GI330" s="2374"/>
      <c r="GJ330" s="2374"/>
      <c r="GK330" s="2374"/>
      <c r="GL330" s="2374"/>
      <c r="GM330" s="2374"/>
      <c r="GN330" s="2374"/>
      <c r="GO330" s="2374"/>
      <c r="GP330" s="2374"/>
      <c r="GQ330" s="2374"/>
      <c r="GR330" s="2374"/>
      <c r="GS330" s="2374"/>
      <c r="GT330" s="2374"/>
      <c r="GU330" s="2374"/>
      <c r="GV330" s="2374"/>
      <c r="GW330" s="2374"/>
      <c r="GX330" s="2374"/>
      <c r="GY330" s="2374"/>
      <c r="GZ330" s="2374"/>
      <c r="HA330" s="2374"/>
      <c r="HB330" s="2374"/>
      <c r="HC330" s="2374"/>
      <c r="HD330" s="2374"/>
      <c r="HE330" s="2374"/>
      <c r="HF330" s="2374"/>
      <c r="HG330" s="2374"/>
      <c r="HH330" s="2374"/>
      <c r="HI330" s="2374"/>
      <c r="HJ330" s="2374"/>
      <c r="HK330" s="2374"/>
      <c r="HL330" s="2374"/>
      <c r="HM330" s="2374"/>
      <c r="HN330" s="2374"/>
      <c r="HO330" s="2374"/>
      <c r="HP330" s="2374"/>
      <c r="HQ330" s="2374"/>
      <c r="HR330" s="2374"/>
      <c r="HS330" s="2374"/>
      <c r="HT330" s="2374"/>
      <c r="HU330" s="2374"/>
      <c r="HV330" s="2374"/>
      <c r="HW330" s="2374"/>
      <c r="HX330" s="2374"/>
      <c r="HY330" s="2374"/>
      <c r="HZ330" s="2374"/>
      <c r="IA330" s="2374"/>
      <c r="IB330" s="2374"/>
      <c r="IC330" s="2374"/>
      <c r="ID330" s="2374"/>
      <c r="IE330" s="2374"/>
      <c r="IF330" s="2374"/>
      <c r="IG330" s="2374"/>
      <c r="IH330" s="2374"/>
      <c r="II330" s="2374"/>
      <c r="IJ330" s="2374"/>
      <c r="IK330" s="2374"/>
      <c r="IL330" s="2374"/>
      <c r="IM330" s="2374"/>
      <c r="IN330" s="2374"/>
      <c r="IO330" s="2374"/>
      <c r="IP330" s="2374"/>
      <c r="IQ330" s="2374"/>
      <c r="IR330" s="2374"/>
      <c r="IS330" s="2374"/>
      <c r="IT330" s="2374"/>
      <c r="IU330" s="2374"/>
      <c r="IV330" s="2374"/>
    </row>
    <row r="331" spans="1:256 1523:1523" s="132" customFormat="1" ht="22.5" customHeight="1">
      <c r="A331" s="141" t="s">
        <v>731</v>
      </c>
      <c r="B331" s="2747" t="s">
        <v>2596</v>
      </c>
      <c r="C331" s="2747"/>
      <c r="D331" s="2747"/>
      <c r="E331" s="2747"/>
      <c r="F331" s="2747"/>
      <c r="G331" s="2747"/>
      <c r="H331" s="2747"/>
      <c r="I331" s="2747"/>
      <c r="J331" s="2747"/>
      <c r="K331" s="2747"/>
      <c r="L331" s="2747"/>
      <c r="M331" s="2747"/>
      <c r="N331" s="2747"/>
      <c r="O331" s="438" t="s">
        <v>731</v>
      </c>
      <c r="P331" s="2374"/>
      <c r="Q331" s="855"/>
      <c r="AE331" s="458"/>
      <c r="AF331" s="458"/>
    </row>
    <row r="332" spans="1:256 1523:1523" s="132" customFormat="1" ht="11.25" customHeight="1">
      <c r="A332" s="143"/>
      <c r="B332" s="842" t="s">
        <v>1694</v>
      </c>
      <c r="C332" s="2763"/>
      <c r="D332" s="2764"/>
      <c r="E332" s="2764"/>
      <c r="F332" s="2764"/>
      <c r="G332" s="2764"/>
      <c r="H332" s="2764"/>
      <c r="I332" s="2764"/>
      <c r="J332" s="2764"/>
      <c r="K332" s="2764"/>
      <c r="L332" s="2764"/>
      <c r="M332" s="2764"/>
      <c r="N332" s="2765"/>
      <c r="O332" s="215" t="s">
        <v>1694</v>
      </c>
      <c r="P332" s="2268"/>
      <c r="Q332" s="1088"/>
      <c r="AE332" s="458"/>
      <c r="AF332" s="458"/>
    </row>
    <row r="333" spans="1:256 1523:1523" s="132" customFormat="1" ht="11.25" customHeight="1">
      <c r="A333" s="143"/>
      <c r="B333" s="842" t="s">
        <v>1695</v>
      </c>
      <c r="C333" s="2748"/>
      <c r="D333" s="2749"/>
      <c r="E333" s="2749"/>
      <c r="F333" s="2749"/>
      <c r="G333" s="2749"/>
      <c r="H333" s="2749"/>
      <c r="I333" s="2749"/>
      <c r="J333" s="2749"/>
      <c r="K333" s="2749"/>
      <c r="L333" s="2749"/>
      <c r="M333" s="2749"/>
      <c r="N333" s="2750"/>
      <c r="O333" s="215" t="s">
        <v>1695</v>
      </c>
      <c r="P333" s="2387"/>
      <c r="Q333" s="2253"/>
      <c r="AE333" s="458"/>
      <c r="AF333" s="458"/>
    </row>
    <row r="334" spans="1:256 1523:1523" ht="3" customHeight="1">
      <c r="A334" s="2374"/>
      <c r="B334" s="2374"/>
      <c r="C334" s="2374"/>
      <c r="D334" s="2374"/>
      <c r="E334" s="2374"/>
      <c r="F334" s="2374"/>
      <c r="G334" s="2374"/>
      <c r="H334" s="2374"/>
      <c r="I334" s="2374"/>
      <c r="J334" s="2374"/>
      <c r="K334" s="2374"/>
      <c r="L334" s="2374"/>
      <c r="M334" s="2374"/>
      <c r="N334" s="2374"/>
      <c r="O334" s="2374"/>
      <c r="P334" s="2374"/>
      <c r="Q334" s="2374"/>
      <c r="R334" s="2374"/>
      <c r="S334" s="2374"/>
      <c r="T334" s="2374"/>
      <c r="U334" s="2374"/>
      <c r="V334" s="2374"/>
      <c r="W334" s="2374"/>
      <c r="X334" s="2374"/>
      <c r="Y334" s="2374"/>
      <c r="Z334" s="2374"/>
      <c r="AA334" s="2374"/>
      <c r="AB334" s="2374"/>
      <c r="AC334" s="2374"/>
      <c r="AD334" s="2374"/>
      <c r="AE334" s="855"/>
      <c r="AF334" s="855"/>
      <c r="AG334" s="2374"/>
      <c r="AH334" s="2374"/>
      <c r="AI334" s="2374"/>
      <c r="AJ334" s="2374"/>
      <c r="AK334" s="2374"/>
      <c r="AL334" s="2374"/>
      <c r="AM334" s="2374"/>
      <c r="AN334" s="2374"/>
      <c r="AO334" s="2374"/>
      <c r="AP334" s="2374"/>
      <c r="AQ334" s="2374"/>
      <c r="AR334" s="2374"/>
      <c r="AS334" s="2374"/>
      <c r="AT334" s="2374"/>
      <c r="AU334" s="2374"/>
      <c r="AV334" s="2374"/>
      <c r="AW334" s="2374"/>
      <c r="AX334" s="2374"/>
      <c r="AY334" s="2374"/>
      <c r="AZ334" s="2374"/>
      <c r="BA334" s="2374"/>
      <c r="BB334" s="2374"/>
      <c r="BC334" s="2374"/>
      <c r="BD334" s="2374"/>
      <c r="BE334" s="2374"/>
      <c r="BF334" s="2374"/>
      <c r="BG334" s="2374"/>
      <c r="BH334" s="2374"/>
      <c r="BI334" s="2374"/>
      <c r="BJ334" s="2374"/>
      <c r="BK334" s="2374"/>
      <c r="BL334" s="2374"/>
      <c r="BM334" s="2374"/>
      <c r="BN334" s="2374"/>
      <c r="BO334" s="2374"/>
      <c r="BP334" s="2374"/>
      <c r="BQ334" s="2374"/>
      <c r="BR334" s="2374"/>
      <c r="BS334" s="2374"/>
      <c r="BT334" s="2374"/>
      <c r="BU334" s="2374"/>
      <c r="BV334" s="2374"/>
      <c r="BW334" s="2374"/>
      <c r="BX334" s="2374"/>
      <c r="BY334" s="2374"/>
      <c r="BZ334" s="2374"/>
      <c r="CA334" s="2374"/>
      <c r="CB334" s="2374"/>
      <c r="CC334" s="2374"/>
      <c r="CD334" s="2374"/>
      <c r="CE334" s="2374"/>
      <c r="CF334" s="2374"/>
      <c r="CG334" s="2374"/>
      <c r="CH334" s="2374"/>
      <c r="CI334" s="2374"/>
      <c r="CJ334" s="2374"/>
      <c r="CK334" s="2374"/>
      <c r="CL334" s="2374"/>
      <c r="CM334" s="2374"/>
      <c r="CN334" s="2374"/>
      <c r="CO334" s="2374"/>
      <c r="CP334" s="2374"/>
      <c r="CQ334" s="2374"/>
      <c r="CR334" s="2374"/>
      <c r="CS334" s="2374"/>
      <c r="CT334" s="2374"/>
      <c r="CU334" s="2374"/>
      <c r="CV334" s="2374"/>
      <c r="CW334" s="2374"/>
      <c r="CX334" s="2374"/>
      <c r="CY334" s="2374"/>
      <c r="CZ334" s="2374"/>
      <c r="DA334" s="2374"/>
      <c r="DB334" s="2374"/>
      <c r="DC334" s="2374"/>
      <c r="DD334" s="2374"/>
      <c r="DE334" s="2374"/>
      <c r="DF334" s="2374"/>
      <c r="DG334" s="2374"/>
      <c r="DH334" s="2374"/>
      <c r="DI334" s="2374"/>
      <c r="DJ334" s="2374"/>
      <c r="DK334" s="2374"/>
      <c r="DL334" s="2374"/>
      <c r="DM334" s="2374"/>
      <c r="DN334" s="2374"/>
      <c r="DO334" s="2374"/>
      <c r="DP334" s="2374"/>
      <c r="DQ334" s="2374"/>
      <c r="DR334" s="2374"/>
      <c r="DS334" s="2374"/>
      <c r="DT334" s="2374"/>
      <c r="DU334" s="2374"/>
      <c r="DV334" s="2374"/>
      <c r="DW334" s="2374"/>
      <c r="DX334" s="2374"/>
      <c r="DY334" s="2374"/>
      <c r="DZ334" s="2374"/>
      <c r="EA334" s="2374"/>
      <c r="EB334" s="2374"/>
      <c r="EC334" s="2374"/>
      <c r="ED334" s="2374"/>
      <c r="EE334" s="2374"/>
      <c r="EF334" s="2374"/>
      <c r="EG334" s="2374"/>
      <c r="EH334" s="2374"/>
      <c r="EI334" s="2374"/>
      <c r="EJ334" s="2374"/>
      <c r="EK334" s="2374"/>
      <c r="EL334" s="2374"/>
      <c r="EM334" s="2374"/>
      <c r="EN334" s="2374"/>
      <c r="EO334" s="2374"/>
      <c r="EP334" s="2374"/>
      <c r="EQ334" s="2374"/>
      <c r="ER334" s="2374"/>
      <c r="ES334" s="2374"/>
      <c r="ET334" s="2374"/>
      <c r="EU334" s="2374"/>
      <c r="EV334" s="2374"/>
      <c r="EW334" s="2374"/>
      <c r="EX334" s="2374"/>
      <c r="EY334" s="2374"/>
      <c r="EZ334" s="2374"/>
      <c r="FA334" s="2374"/>
      <c r="FB334" s="2374"/>
      <c r="FC334" s="2374"/>
      <c r="FD334" s="2374"/>
      <c r="FE334" s="2374"/>
      <c r="FF334" s="2374"/>
      <c r="FG334" s="2374"/>
      <c r="FH334" s="2374"/>
      <c r="FI334" s="2374"/>
      <c r="FJ334" s="2374"/>
      <c r="FK334" s="2374"/>
      <c r="FL334" s="2374"/>
      <c r="FM334" s="2374"/>
      <c r="FN334" s="2374"/>
      <c r="FO334" s="2374"/>
      <c r="FP334" s="2374"/>
      <c r="FQ334" s="2374"/>
      <c r="FR334" s="2374"/>
      <c r="FS334" s="2374"/>
      <c r="FT334" s="2374"/>
      <c r="FU334" s="2374"/>
      <c r="FV334" s="2374"/>
      <c r="FW334" s="2374"/>
      <c r="FX334" s="2374"/>
      <c r="FY334" s="2374"/>
      <c r="FZ334" s="2374"/>
      <c r="GA334" s="2374"/>
      <c r="GB334" s="2374"/>
      <c r="GC334" s="2374"/>
      <c r="GD334" s="2374"/>
      <c r="GE334" s="2374"/>
      <c r="GF334" s="2374"/>
      <c r="GG334" s="2374"/>
      <c r="GH334" s="2374"/>
      <c r="GI334" s="2374"/>
      <c r="GJ334" s="2374"/>
      <c r="GK334" s="2374"/>
      <c r="GL334" s="2374"/>
      <c r="GM334" s="2374"/>
      <c r="GN334" s="2374"/>
      <c r="GO334" s="2374"/>
      <c r="GP334" s="2374"/>
      <c r="GQ334" s="2374"/>
      <c r="GR334" s="2374"/>
      <c r="GS334" s="2374"/>
      <c r="GT334" s="2374"/>
      <c r="GU334" s="2374"/>
      <c r="GV334" s="2374"/>
      <c r="GW334" s="2374"/>
      <c r="GX334" s="2374"/>
      <c r="GY334" s="2374"/>
      <c r="GZ334" s="2374"/>
      <c r="HA334" s="2374"/>
      <c r="HB334" s="2374"/>
      <c r="HC334" s="2374"/>
      <c r="HD334" s="2374"/>
      <c r="HE334" s="2374"/>
      <c r="HF334" s="2374"/>
      <c r="HG334" s="2374"/>
      <c r="HH334" s="2374"/>
      <c r="HI334" s="2374"/>
      <c r="HJ334" s="2374"/>
      <c r="HK334" s="2374"/>
      <c r="HL334" s="2374"/>
      <c r="HM334" s="2374"/>
      <c r="HN334" s="2374"/>
      <c r="HO334" s="2374"/>
      <c r="HP334" s="2374"/>
      <c r="HQ334" s="2374"/>
      <c r="HR334" s="2374"/>
      <c r="HS334" s="2374"/>
      <c r="HT334" s="2374"/>
      <c r="HU334" s="2374"/>
      <c r="HV334" s="2374"/>
      <c r="HW334" s="2374"/>
      <c r="HX334" s="2374"/>
      <c r="HY334" s="2374"/>
      <c r="HZ334" s="2374"/>
      <c r="IA334" s="2374"/>
      <c r="IB334" s="2374"/>
      <c r="IC334" s="2374"/>
      <c r="ID334" s="2374"/>
      <c r="IE334" s="2374"/>
      <c r="IF334" s="2374"/>
      <c r="IG334" s="2374"/>
      <c r="IH334" s="2374"/>
      <c r="II334" s="2374"/>
      <c r="IJ334" s="2374"/>
      <c r="IK334" s="2374"/>
      <c r="IL334" s="2374"/>
      <c r="IM334" s="2374"/>
      <c r="IN334" s="2374"/>
      <c r="IO334" s="2374"/>
      <c r="IP334" s="2374"/>
      <c r="IQ334" s="2374"/>
      <c r="IR334" s="2374"/>
      <c r="IS334" s="2374"/>
      <c r="IT334" s="2374"/>
      <c r="IU334" s="2374"/>
      <c r="IV334" s="2374"/>
    </row>
    <row r="335" spans="1:256 1523:1523" ht="11.25" customHeight="1">
      <c r="B335" s="140" t="s">
        <v>3565</v>
      </c>
      <c r="D335" s="140"/>
      <c r="E335" s="140"/>
      <c r="F335" s="140"/>
      <c r="G335" s="140"/>
      <c r="H335" s="40"/>
      <c r="I335" s="2397"/>
      <c r="J335" s="2397"/>
      <c r="K335" s="2397"/>
      <c r="L335" s="2374"/>
      <c r="M335" s="2374"/>
      <c r="N335" s="2374"/>
      <c r="O335" s="2374"/>
      <c r="P335" s="2374"/>
      <c r="Q335" s="855"/>
    </row>
    <row r="336" spans="1:256 1523:1523" ht="33.75" customHeight="1">
      <c r="A336" s="2729" t="s">
        <v>7152</v>
      </c>
      <c r="B336" s="2730"/>
      <c r="C336" s="2730"/>
      <c r="D336" s="2730"/>
      <c r="E336" s="2730"/>
      <c r="F336" s="2730"/>
      <c r="G336" s="2730"/>
      <c r="H336" s="2730"/>
      <c r="I336" s="2730"/>
      <c r="J336" s="2730"/>
      <c r="K336" s="2730"/>
      <c r="L336" s="2730"/>
      <c r="M336" s="2730"/>
      <c r="N336" s="2730"/>
      <c r="O336" s="2730"/>
      <c r="P336" s="2730"/>
      <c r="Q336" s="2731"/>
      <c r="R336" s="456" t="s">
        <v>1228</v>
      </c>
      <c r="S336" s="121"/>
      <c r="U336" s="135"/>
      <c r="V336" s="135"/>
      <c r="W336" s="135"/>
      <c r="X336" s="135"/>
      <c r="Y336" s="135"/>
      <c r="Z336" s="135"/>
      <c r="AA336" s="135"/>
      <c r="AB336" s="135"/>
      <c r="AC336" s="135"/>
      <c r="AD336" s="135"/>
      <c r="AE336" s="457"/>
    </row>
    <row r="337" spans="1:31" ht="11.25" customHeight="1">
      <c r="B337" s="136" t="s">
        <v>1820</v>
      </c>
      <c r="C337" s="137"/>
      <c r="D337" s="2380"/>
      <c r="E337" s="2380"/>
      <c r="F337" s="2380"/>
      <c r="G337" s="2380"/>
      <c r="H337" s="2380"/>
      <c r="I337" s="2380"/>
      <c r="J337" s="2380"/>
      <c r="K337" s="2380"/>
      <c r="L337" s="2380"/>
      <c r="M337" s="2380"/>
      <c r="N337" s="2380"/>
      <c r="O337" s="2380"/>
      <c r="P337" s="2380"/>
      <c r="Q337" s="2380"/>
    </row>
    <row r="338" spans="1:31" ht="11.4" customHeight="1">
      <c r="A338" s="2848"/>
      <c r="B338" s="2849"/>
      <c r="C338" s="2849"/>
      <c r="D338" s="2849"/>
      <c r="E338" s="2849"/>
      <c r="F338" s="2849"/>
      <c r="G338" s="2849"/>
      <c r="H338" s="2849"/>
      <c r="I338" s="2849"/>
      <c r="J338" s="2849"/>
      <c r="K338" s="2849"/>
      <c r="L338" s="2849"/>
      <c r="M338" s="2849"/>
      <c r="N338" s="2849"/>
      <c r="O338" s="2849"/>
      <c r="P338" s="2849"/>
      <c r="Q338" s="2850"/>
    </row>
    <row r="339" spans="1:31" ht="14.1" customHeight="1">
      <c r="A339" s="2372" t="s">
        <v>3786</v>
      </c>
      <c r="B339" s="2372" t="s">
        <v>3807</v>
      </c>
      <c r="C339" s="2372"/>
      <c r="D339" s="2380"/>
      <c r="E339" s="2380"/>
      <c r="F339" s="2380"/>
      <c r="G339" s="2380"/>
      <c r="H339" s="2380"/>
      <c r="O339" s="131" t="s">
        <v>1821</v>
      </c>
      <c r="P339" s="2808"/>
      <c r="Q339" s="2809"/>
    </row>
    <row r="340" spans="1:31" ht="11.4" customHeight="1">
      <c r="A340" s="47" t="s">
        <v>1936</v>
      </c>
      <c r="B340" s="55" t="s">
        <v>4711</v>
      </c>
      <c r="O340" s="160" t="s">
        <v>1936</v>
      </c>
      <c r="P340" s="2256" t="s">
        <v>2886</v>
      </c>
      <c r="Q340" s="518"/>
    </row>
    <row r="341" spans="1:31" ht="11.4" customHeight="1">
      <c r="A341" s="141" t="s">
        <v>1938</v>
      </c>
      <c r="B341" s="55" t="s">
        <v>3774</v>
      </c>
      <c r="O341" s="160" t="s">
        <v>1938</v>
      </c>
      <c r="P341" s="2257" t="s">
        <v>2886</v>
      </c>
      <c r="Q341" s="519"/>
    </row>
    <row r="342" spans="1:31" ht="11.4" customHeight="1">
      <c r="A342" s="141" t="s">
        <v>731</v>
      </c>
      <c r="B342" s="144" t="s">
        <v>2291</v>
      </c>
      <c r="O342" s="160" t="s">
        <v>731</v>
      </c>
      <c r="P342" s="2257" t="s">
        <v>2889</v>
      </c>
      <c r="Q342" s="519"/>
    </row>
    <row r="343" spans="1:31" ht="11.4" customHeight="1">
      <c r="A343" s="47" t="s">
        <v>2065</v>
      </c>
      <c r="B343" s="55" t="s">
        <v>3627</v>
      </c>
      <c r="O343" s="455" t="s">
        <v>2065</v>
      </c>
      <c r="P343" s="2258" t="s">
        <v>2889</v>
      </c>
      <c r="Q343" s="520"/>
    </row>
    <row r="344" spans="1:31" ht="11.4" customHeight="1">
      <c r="A344" s="141" t="s">
        <v>1692</v>
      </c>
      <c r="B344" s="55" t="s">
        <v>2782</v>
      </c>
      <c r="N344" s="160" t="s">
        <v>1692</v>
      </c>
      <c r="O344" s="2766" t="s">
        <v>4734</v>
      </c>
      <c r="P344" s="2767"/>
      <c r="Q344" s="2768"/>
    </row>
    <row r="345" spans="1:31" ht="11.4" customHeight="1">
      <c r="A345" s="141" t="s">
        <v>1693</v>
      </c>
      <c r="B345" s="407" t="s">
        <v>2292</v>
      </c>
      <c r="N345" s="160" t="s">
        <v>1693</v>
      </c>
      <c r="O345" s="4136" t="s">
        <v>2783</v>
      </c>
      <c r="P345" s="4137"/>
      <c r="Q345" s="4138"/>
    </row>
    <row r="346" spans="1:31" ht="11.25" customHeight="1">
      <c r="B346" s="140" t="s">
        <v>3565</v>
      </c>
      <c r="D346" s="140"/>
      <c r="E346" s="140"/>
      <c r="F346" s="140"/>
      <c r="G346" s="140"/>
      <c r="H346" s="40"/>
      <c r="I346" s="2397"/>
      <c r="J346" s="2397"/>
      <c r="K346" s="2397"/>
      <c r="L346" s="2374"/>
      <c r="M346" s="2374"/>
      <c r="N346" s="2374"/>
      <c r="O346" s="2374"/>
      <c r="P346" s="2374"/>
      <c r="Q346" s="855"/>
    </row>
    <row r="347" spans="1:31" ht="33.75" customHeight="1">
      <c r="A347" s="2729" t="s">
        <v>7109</v>
      </c>
      <c r="B347" s="2730"/>
      <c r="C347" s="2730"/>
      <c r="D347" s="2730"/>
      <c r="E347" s="2730"/>
      <c r="F347" s="2730"/>
      <c r="G347" s="2730"/>
      <c r="H347" s="2730"/>
      <c r="I347" s="2730"/>
      <c r="J347" s="2730"/>
      <c r="K347" s="2730"/>
      <c r="L347" s="2730"/>
      <c r="M347" s="2730"/>
      <c r="N347" s="2730"/>
      <c r="O347" s="2730"/>
      <c r="P347" s="2730"/>
      <c r="Q347" s="2731"/>
      <c r="R347" s="440" t="s">
        <v>1228</v>
      </c>
      <c r="S347" s="441"/>
      <c r="U347" s="135"/>
      <c r="V347" s="135"/>
      <c r="W347" s="135"/>
      <c r="X347" s="135"/>
      <c r="Y347" s="135"/>
      <c r="Z347" s="135"/>
      <c r="AA347" s="135"/>
      <c r="AB347" s="135"/>
      <c r="AC347" s="135"/>
      <c r="AD347" s="135"/>
      <c r="AE347" s="457"/>
    </row>
    <row r="348" spans="1:31" ht="11.25" customHeight="1">
      <c r="B348" s="136" t="s">
        <v>1820</v>
      </c>
      <c r="C348" s="137"/>
      <c r="D348" s="2380"/>
      <c r="E348" s="2380"/>
      <c r="F348" s="2380"/>
      <c r="G348" s="2380"/>
      <c r="H348" s="2380"/>
      <c r="I348" s="2380"/>
      <c r="J348" s="2380"/>
      <c r="K348" s="2380"/>
      <c r="L348" s="2380"/>
      <c r="M348" s="2380"/>
      <c r="N348" s="2380"/>
      <c r="O348" s="2380"/>
      <c r="P348" s="2380"/>
      <c r="Q348" s="2380"/>
    </row>
    <row r="349" spans="1:31" ht="13.35" customHeight="1">
      <c r="A349" s="2848"/>
      <c r="B349" s="2849"/>
      <c r="C349" s="2849"/>
      <c r="D349" s="2849"/>
      <c r="E349" s="2849"/>
      <c r="F349" s="2849"/>
      <c r="G349" s="2849"/>
      <c r="H349" s="2849"/>
      <c r="I349" s="2849"/>
      <c r="J349" s="2849"/>
      <c r="K349" s="2849"/>
      <c r="L349" s="2849"/>
      <c r="M349" s="2849"/>
      <c r="N349" s="2849"/>
      <c r="O349" s="2849"/>
      <c r="P349" s="2849"/>
      <c r="Q349" s="2850"/>
    </row>
    <row r="350" spans="1:31" ht="2.25" customHeight="1">
      <c r="A350" s="2374"/>
      <c r="B350" s="2397"/>
      <c r="C350" s="2380"/>
      <c r="D350" s="2380"/>
      <c r="E350" s="2380"/>
      <c r="F350" s="2380"/>
      <c r="G350" s="2380"/>
      <c r="H350" s="2380"/>
      <c r="I350" s="2380"/>
      <c r="J350" s="2380"/>
      <c r="K350" s="2380"/>
      <c r="L350" s="2380"/>
      <c r="M350" s="2380"/>
      <c r="N350" s="2380"/>
      <c r="O350" s="2380"/>
      <c r="P350" s="2380"/>
      <c r="Q350" s="855"/>
      <c r="R350" s="8"/>
      <c r="S350" s="8"/>
    </row>
    <row r="351" spans="1:31" ht="14.1" customHeight="1">
      <c r="A351" s="2372" t="s">
        <v>3787</v>
      </c>
      <c r="B351" s="4" t="s">
        <v>3765</v>
      </c>
      <c r="C351" s="4"/>
      <c r="D351" s="4"/>
      <c r="E351" s="4"/>
      <c r="F351" s="4"/>
      <c r="G351" s="4"/>
      <c r="H351" s="2380"/>
      <c r="I351" s="2380"/>
      <c r="J351" s="2380"/>
      <c r="K351" s="2380"/>
      <c r="L351" s="2380"/>
      <c r="M351" s="2380"/>
      <c r="O351" s="131" t="s">
        <v>1821</v>
      </c>
      <c r="P351" s="4139"/>
      <c r="Q351" s="2809"/>
    </row>
    <row r="352" spans="1:31" ht="10.5" customHeight="1">
      <c r="A352" s="47" t="s">
        <v>1936</v>
      </c>
      <c r="B352" s="134" t="s">
        <v>3766</v>
      </c>
      <c r="D352" s="149"/>
      <c r="E352" s="149"/>
      <c r="F352" s="149"/>
      <c r="G352" s="149"/>
      <c r="H352" s="455" t="s">
        <v>1936</v>
      </c>
      <c r="I352" s="2718"/>
      <c r="J352" s="2719"/>
      <c r="K352" s="2719"/>
      <c r="L352" s="2719"/>
      <c r="M352" s="2719"/>
      <c r="N352" s="2719"/>
      <c r="O352" s="2719"/>
      <c r="P352" s="2720"/>
      <c r="Q352" s="516"/>
    </row>
    <row r="353" spans="1:32" ht="10.5" customHeight="1">
      <c r="A353" s="141" t="s">
        <v>1938</v>
      </c>
      <c r="B353" s="134" t="s">
        <v>3767</v>
      </c>
      <c r="D353" s="149"/>
      <c r="E353" s="149"/>
      <c r="F353" s="149"/>
      <c r="G353" s="149"/>
      <c r="H353" s="160" t="s">
        <v>1938</v>
      </c>
      <c r="I353" s="2718"/>
      <c r="J353" s="2719"/>
      <c r="K353" s="2719"/>
      <c r="L353" s="2719"/>
      <c r="M353" s="2719"/>
      <c r="N353" s="2719"/>
      <c r="O353" s="2719"/>
      <c r="P353" s="2720"/>
      <c r="Q353" s="516"/>
    </row>
    <row r="354" spans="1:32" ht="21.75" customHeight="1">
      <c r="A354" s="141" t="s">
        <v>731</v>
      </c>
      <c r="B354" s="2746" t="s">
        <v>3758</v>
      </c>
      <c r="C354" s="2746"/>
      <c r="D354" s="2746"/>
      <c r="E354" s="2746"/>
      <c r="F354" s="2746"/>
      <c r="G354" s="2746"/>
      <c r="H354" s="2746"/>
      <c r="I354" s="2746"/>
      <c r="J354" s="2746"/>
      <c r="K354" s="2746"/>
      <c r="L354" s="2746"/>
      <c r="M354" s="2746"/>
      <c r="N354" s="2746"/>
      <c r="O354" s="160" t="s">
        <v>731</v>
      </c>
      <c r="P354" s="2274"/>
      <c r="Q354" s="1088"/>
    </row>
    <row r="355" spans="1:32" ht="21.75" customHeight="1">
      <c r="A355" s="141" t="s">
        <v>2065</v>
      </c>
      <c r="B355" s="2696" t="s">
        <v>3759</v>
      </c>
      <c r="C355" s="2696"/>
      <c r="D355" s="2696"/>
      <c r="E355" s="2696"/>
      <c r="F355" s="2696"/>
      <c r="G355" s="2696"/>
      <c r="H355" s="2696"/>
      <c r="I355" s="2696"/>
      <c r="J355" s="2696"/>
      <c r="K355" s="2696"/>
      <c r="L355" s="2696"/>
      <c r="M355" s="2696"/>
      <c r="N355" s="2696"/>
      <c r="O355" s="455" t="s">
        <v>2065</v>
      </c>
      <c r="P355" s="2386"/>
      <c r="Q355" s="2393"/>
    </row>
    <row r="356" spans="1:32" ht="10.5" customHeight="1">
      <c r="A356" s="141" t="s">
        <v>1692</v>
      </c>
      <c r="B356" s="52" t="s">
        <v>3760</v>
      </c>
      <c r="D356" s="52"/>
      <c r="E356" s="52"/>
      <c r="F356" s="52"/>
      <c r="G356" s="52"/>
      <c r="H356" s="52"/>
      <c r="I356" s="52"/>
      <c r="J356" s="52"/>
      <c r="K356" s="52"/>
      <c r="L356" s="52"/>
      <c r="M356" s="52"/>
      <c r="O356" s="160" t="s">
        <v>1692</v>
      </c>
      <c r="P356" s="2257"/>
      <c r="Q356" s="519"/>
    </row>
    <row r="357" spans="1:32" s="132" customFormat="1" ht="21.75" customHeight="1">
      <c r="A357" s="141" t="s">
        <v>1693</v>
      </c>
      <c r="B357" s="2696" t="s">
        <v>3761</v>
      </c>
      <c r="C357" s="2696"/>
      <c r="D357" s="2696"/>
      <c r="E357" s="2696"/>
      <c r="F357" s="2696"/>
      <c r="G357" s="2696"/>
      <c r="H357" s="2696"/>
      <c r="I357" s="2696"/>
      <c r="J357" s="2696"/>
      <c r="K357" s="2696"/>
      <c r="L357" s="2696"/>
      <c r="M357" s="2696"/>
      <c r="N357" s="2696"/>
      <c r="O357" s="160" t="s">
        <v>1693</v>
      </c>
      <c r="P357" s="2275"/>
      <c r="Q357" s="4140"/>
      <c r="AE357" s="458"/>
      <c r="AF357" s="458"/>
    </row>
    <row r="358" spans="1:32" s="132" customFormat="1" ht="10.5" customHeight="1">
      <c r="A358" s="141" t="s">
        <v>1900</v>
      </c>
      <c r="B358" s="139" t="s">
        <v>3762</v>
      </c>
      <c r="D358" s="857"/>
      <c r="E358" s="857"/>
      <c r="F358" s="857"/>
      <c r="G358" s="857"/>
      <c r="H358" s="857"/>
      <c r="I358" s="857"/>
      <c r="J358" s="857"/>
      <c r="K358" s="857"/>
      <c r="L358" s="857"/>
      <c r="M358" s="857"/>
      <c r="N358" s="857"/>
      <c r="O358" s="160" t="s">
        <v>1900</v>
      </c>
      <c r="P358" s="2268"/>
      <c r="Q358" s="1088"/>
      <c r="AE358" s="458"/>
      <c r="AF358" s="458"/>
    </row>
    <row r="359" spans="1:32" s="132" customFormat="1" ht="10.5" customHeight="1">
      <c r="C359" s="842" t="s">
        <v>4419</v>
      </c>
      <c r="E359" s="2380"/>
      <c r="F359" s="2380"/>
      <c r="G359" s="2380"/>
      <c r="H359" s="2380"/>
      <c r="I359" s="2380"/>
      <c r="J359" s="2380"/>
      <c r="K359" s="2380"/>
      <c r="L359" s="2380"/>
      <c r="M359" s="2380"/>
      <c r="N359" s="2380"/>
      <c r="P359" s="2387"/>
      <c r="Q359" s="2253"/>
      <c r="AE359" s="458"/>
      <c r="AF359" s="458"/>
    </row>
    <row r="360" spans="1:32" ht="21.75" customHeight="1">
      <c r="A360" s="141" t="s">
        <v>3264</v>
      </c>
      <c r="B360" s="2696" t="s">
        <v>3763</v>
      </c>
      <c r="C360" s="2696"/>
      <c r="D360" s="2696"/>
      <c r="E360" s="2696"/>
      <c r="F360" s="2696"/>
      <c r="G360" s="2696"/>
      <c r="H360" s="2696"/>
      <c r="I360" s="2696"/>
      <c r="J360" s="2696"/>
      <c r="K360" s="2696"/>
      <c r="L360" s="2696"/>
      <c r="M360" s="2696"/>
      <c r="N360" s="2696"/>
      <c r="O360" s="160" t="s">
        <v>3264</v>
      </c>
      <c r="P360" s="2268"/>
      <c r="Q360" s="1088"/>
    </row>
    <row r="361" spans="1:32" ht="33" customHeight="1">
      <c r="A361" s="141" t="s">
        <v>598</v>
      </c>
      <c r="B361" s="2696" t="s">
        <v>3764</v>
      </c>
      <c r="C361" s="2696"/>
      <c r="D361" s="2696"/>
      <c r="E361" s="2696"/>
      <c r="F361" s="2696"/>
      <c r="G361" s="2696"/>
      <c r="H361" s="2696"/>
      <c r="I361" s="2696"/>
      <c r="J361" s="2696"/>
      <c r="K361" s="2696"/>
      <c r="L361" s="2696"/>
      <c r="M361" s="2696"/>
      <c r="N361" s="2696"/>
      <c r="O361" s="160" t="s">
        <v>598</v>
      </c>
      <c r="P361" s="2387"/>
      <c r="Q361" s="2253"/>
    </row>
    <row r="362" spans="1:32" ht="10.5" customHeight="1">
      <c r="B362" s="140" t="s">
        <v>3565</v>
      </c>
      <c r="D362" s="140"/>
      <c r="E362" s="140"/>
      <c r="F362" s="140"/>
      <c r="G362" s="140"/>
      <c r="H362" s="40"/>
      <c r="I362" s="2397"/>
      <c r="J362" s="2397"/>
      <c r="K362" s="2397"/>
      <c r="L362" s="2374"/>
      <c r="M362" s="2374"/>
      <c r="N362" s="2374"/>
      <c r="O362" s="2374"/>
      <c r="P362" s="2374"/>
      <c r="Q362" s="855"/>
    </row>
    <row r="363" spans="1:32" ht="31.5" customHeight="1">
      <c r="A363" s="2729" t="s">
        <v>7110</v>
      </c>
      <c r="B363" s="2730"/>
      <c r="C363" s="2730"/>
      <c r="D363" s="2730"/>
      <c r="E363" s="2730"/>
      <c r="F363" s="2730"/>
      <c r="G363" s="2730"/>
      <c r="H363" s="2730"/>
      <c r="I363" s="2730"/>
      <c r="J363" s="2730"/>
      <c r="K363" s="2730"/>
      <c r="L363" s="2730"/>
      <c r="M363" s="2730"/>
      <c r="N363" s="2730"/>
      <c r="O363" s="2730"/>
      <c r="P363" s="2730"/>
      <c r="Q363" s="2731"/>
      <c r="U363" s="135"/>
      <c r="V363" s="135"/>
      <c r="W363" s="135"/>
      <c r="X363" s="135"/>
      <c r="Y363" s="135"/>
      <c r="Z363" s="135"/>
      <c r="AA363" s="135"/>
      <c r="AB363" s="135"/>
      <c r="AC363" s="135"/>
      <c r="AD363" s="135"/>
      <c r="AE363" s="457"/>
    </row>
    <row r="364" spans="1:32" ht="10.5" customHeight="1">
      <c r="B364" s="136" t="s">
        <v>1820</v>
      </c>
      <c r="C364" s="137"/>
      <c r="D364" s="2380"/>
      <c r="E364" s="2380"/>
      <c r="F364" s="2380"/>
      <c r="G364" s="2380"/>
      <c r="H364" s="2380"/>
      <c r="I364" s="2380"/>
      <c r="J364" s="2380"/>
      <c r="K364" s="2380"/>
      <c r="L364" s="2380"/>
      <c r="M364" s="2380"/>
      <c r="N364" s="2380"/>
      <c r="O364" s="2380"/>
      <c r="P364" s="2380"/>
      <c r="Q364" s="2380"/>
    </row>
    <row r="365" spans="1:32" ht="23.25" customHeight="1">
      <c r="A365" s="2848"/>
      <c r="B365" s="2849"/>
      <c r="C365" s="2849"/>
      <c r="D365" s="2849"/>
      <c r="E365" s="2849"/>
      <c r="F365" s="2849"/>
      <c r="G365" s="2849"/>
      <c r="H365" s="2849"/>
      <c r="I365" s="2849"/>
      <c r="J365" s="2849"/>
      <c r="K365" s="2849"/>
      <c r="L365" s="2849"/>
      <c r="M365" s="2849"/>
      <c r="N365" s="2849"/>
      <c r="O365" s="2849"/>
      <c r="P365" s="2849"/>
      <c r="Q365" s="2850"/>
    </row>
    <row r="366" spans="1:32" ht="3" customHeight="1">
      <c r="A366" s="2374"/>
      <c r="B366" s="2397"/>
      <c r="C366" s="2380"/>
      <c r="D366" s="2380"/>
      <c r="E366" s="2380"/>
      <c r="F366" s="2380"/>
      <c r="G366" s="2380"/>
      <c r="H366" s="2380"/>
      <c r="I366" s="2380"/>
      <c r="J366" s="2380"/>
      <c r="K366" s="2380"/>
      <c r="L366" s="2380"/>
      <c r="M366" s="2380"/>
      <c r="Q366" s="855"/>
    </row>
    <row r="367" spans="1:32" ht="14.1" customHeight="1">
      <c r="A367" s="2372" t="s">
        <v>3790</v>
      </c>
      <c r="B367" s="4" t="s">
        <v>4695</v>
      </c>
      <c r="C367" s="4"/>
      <c r="D367" s="4"/>
      <c r="E367" s="4"/>
      <c r="F367" s="4"/>
      <c r="G367" s="4"/>
      <c r="H367" s="2380"/>
      <c r="I367" s="2380"/>
      <c r="J367" s="2380"/>
      <c r="O367" s="131" t="s">
        <v>1821</v>
      </c>
      <c r="P367" s="2808"/>
      <c r="Q367" s="2809"/>
    </row>
    <row r="368" spans="1:32" s="42" customFormat="1" ht="10.5" customHeight="1">
      <c r="A368" s="47" t="s">
        <v>1936</v>
      </c>
      <c r="B368" s="589" t="s">
        <v>3679</v>
      </c>
      <c r="D368" s="481"/>
      <c r="E368" s="481"/>
      <c r="F368" s="481"/>
      <c r="G368" s="481"/>
      <c r="H368" s="481"/>
      <c r="I368" s="481"/>
      <c r="J368" s="481"/>
      <c r="K368" s="481"/>
      <c r="L368" s="481"/>
      <c r="M368" s="481"/>
      <c r="N368" s="481"/>
      <c r="O368" s="481"/>
      <c r="P368" s="481"/>
      <c r="Q368" s="481"/>
      <c r="R368" s="481"/>
      <c r="AE368" s="50"/>
      <c r="AF368" s="50"/>
    </row>
    <row r="369" spans="1:32" s="42" customFormat="1" ht="11.25" customHeight="1">
      <c r="A369" s="47"/>
      <c r="B369" s="40" t="s">
        <v>1694</v>
      </c>
      <c r="C369" s="2902" t="s">
        <v>4361</v>
      </c>
      <c r="D369" s="2902"/>
      <c r="E369" s="2902"/>
      <c r="F369" s="2902"/>
      <c r="G369" s="50"/>
      <c r="H369" s="36" t="s">
        <v>599</v>
      </c>
      <c r="J369" s="2715"/>
      <c r="K369" s="2716"/>
      <c r="L369" s="2716"/>
      <c r="M369" s="2717"/>
      <c r="N369" s="2701" t="s">
        <v>3678</v>
      </c>
      <c r="O369" s="2702"/>
      <c r="P369" s="2703"/>
      <c r="Q369" s="2704"/>
      <c r="AE369" s="50"/>
      <c r="AF369" s="50"/>
    </row>
    <row r="370" spans="1:32" s="42" customFormat="1" ht="11.25" customHeight="1">
      <c r="B370" s="40"/>
      <c r="C370" s="2385"/>
      <c r="D370" s="2385"/>
      <c r="E370" s="2385"/>
      <c r="F370" s="2385"/>
      <c r="G370" s="2385"/>
      <c r="H370" s="40" t="s">
        <v>4487</v>
      </c>
      <c r="I370" s="2385"/>
      <c r="J370" s="2718"/>
      <c r="K370" s="2719"/>
      <c r="L370" s="2719"/>
      <c r="M370" s="2719"/>
      <c r="N370" s="2719"/>
      <c r="O370" s="2719"/>
      <c r="P370" s="2719"/>
      <c r="Q370" s="2720"/>
      <c r="AE370" s="50"/>
      <c r="AF370" s="50"/>
    </row>
    <row r="371" spans="1:32" s="42" customFormat="1" ht="11.25" customHeight="1">
      <c r="B371" s="40" t="s">
        <v>1695</v>
      </c>
      <c r="C371" s="52" t="s">
        <v>3680</v>
      </c>
      <c r="J371" s="2707"/>
      <c r="K371" s="2708"/>
      <c r="O371" s="455"/>
      <c r="AE371" s="50"/>
      <c r="AF371" s="50"/>
    </row>
    <row r="372" spans="1:32" s="42" customFormat="1" ht="11.25" customHeight="1">
      <c r="A372" s="47"/>
      <c r="B372" s="40" t="s">
        <v>1696</v>
      </c>
      <c r="C372" s="52" t="s">
        <v>3681</v>
      </c>
      <c r="D372" s="46"/>
      <c r="E372" s="133"/>
      <c r="I372" s="133"/>
      <c r="J372" s="2721" t="str">
        <f>'Part I-Project Information'!K40</f>
        <v>Urban</v>
      </c>
      <c r="K372" s="2722"/>
      <c r="L372" s="2392" t="s">
        <v>3682</v>
      </c>
      <c r="M372" s="133"/>
      <c r="N372" s="133"/>
      <c r="O372" s="455" t="s">
        <v>1696</v>
      </c>
      <c r="P372" s="2259"/>
      <c r="Q372" s="517"/>
      <c r="AE372" s="50"/>
      <c r="AF372" s="50"/>
    </row>
    <row r="373" spans="1:32" s="42" customFormat="1" ht="11.25" customHeight="1">
      <c r="A373" s="47"/>
      <c r="B373" s="40" t="s">
        <v>2305</v>
      </c>
      <c r="C373" s="52" t="s">
        <v>4355</v>
      </c>
      <c r="E373" s="133"/>
      <c r="F373" s="133"/>
      <c r="G373" s="133"/>
      <c r="H373" s="52" t="s">
        <v>4356</v>
      </c>
      <c r="I373" s="133"/>
      <c r="J373" s="2705"/>
      <c r="K373" s="2706"/>
      <c r="L373" s="4141"/>
      <c r="M373" s="4142"/>
      <c r="O373" s="455"/>
      <c r="AE373" s="50"/>
      <c r="AF373" s="50"/>
    </row>
    <row r="374" spans="1:32" s="42" customFormat="1" ht="11.25" customHeight="1">
      <c r="A374" s="47"/>
      <c r="B374" s="40"/>
      <c r="C374" s="52"/>
      <c r="E374" s="133"/>
      <c r="F374" s="133"/>
      <c r="G374" s="133"/>
      <c r="H374" s="52" t="s">
        <v>4357</v>
      </c>
      <c r="I374" s="133"/>
      <c r="J374" s="2713"/>
      <c r="K374" s="2714"/>
      <c r="L374" s="4143"/>
      <c r="M374" s="4144"/>
      <c r="N374" s="52"/>
      <c r="O374" s="455"/>
      <c r="AE374" s="50"/>
      <c r="AF374" s="50"/>
    </row>
    <row r="375" spans="1:32" s="42" customFormat="1" ht="11.25" customHeight="1">
      <c r="A375" s="47"/>
      <c r="B375" s="40" t="s">
        <v>1516</v>
      </c>
      <c r="C375" s="52" t="s">
        <v>3683</v>
      </c>
      <c r="E375" s="52"/>
      <c r="F375" s="2709">
        <f>'Part IV-A-Uses of Funds'!J182</f>
        <v>844755</v>
      </c>
      <c r="G375" s="2710"/>
      <c r="H375" s="52" t="s">
        <v>3684</v>
      </c>
      <c r="I375" s="52"/>
      <c r="J375" s="1466" t="str">
        <f>IF(F375&gt;'DCA Underwriting Assumptions'!$Q$146, "Request exceeds DCA per project maximum for set aside!!!","")</f>
        <v>Request exceeds DCA per project maximum for set aside!!!</v>
      </c>
      <c r="K375" s="856"/>
      <c r="L375" s="52"/>
      <c r="O375" s="455" t="s">
        <v>1516</v>
      </c>
      <c r="P375" s="2259"/>
      <c r="Q375" s="517"/>
      <c r="AE375" s="50"/>
      <c r="AF375" s="50"/>
    </row>
    <row r="376" spans="1:32" s="42" customFormat="1" ht="11.25" customHeight="1">
      <c r="A376" s="47"/>
      <c r="B376" s="40" t="s">
        <v>1517</v>
      </c>
      <c r="C376" s="52" t="s">
        <v>4564</v>
      </c>
      <c r="E376" s="52"/>
      <c r="F376" s="52"/>
      <c r="G376" s="52"/>
      <c r="H376" s="52" t="s">
        <v>4358</v>
      </c>
      <c r="I376" s="52"/>
      <c r="J376" s="2723"/>
      <c r="K376" s="2724"/>
      <c r="L376" s="4145"/>
      <c r="M376" s="4146"/>
      <c r="AE376" s="50"/>
      <c r="AF376" s="50"/>
    </row>
    <row r="377" spans="1:32" s="42" customFormat="1" ht="11.25" customHeight="1">
      <c r="B377" s="40" t="s">
        <v>96</v>
      </c>
      <c r="C377" s="52" t="s">
        <v>3685</v>
      </c>
      <c r="E377" s="133"/>
      <c r="F377" s="133"/>
      <c r="G377" s="133"/>
      <c r="H377" s="133"/>
      <c r="I377" s="133"/>
      <c r="J377" s="133"/>
      <c r="K377" s="133"/>
      <c r="L377" s="133"/>
      <c r="O377" s="455" t="s">
        <v>96</v>
      </c>
      <c r="P377" s="2259"/>
      <c r="Q377" s="517"/>
      <c r="AE377" s="50"/>
      <c r="AF377" s="50"/>
    </row>
    <row r="378" spans="1:32" s="42" customFormat="1" ht="11.25" customHeight="1">
      <c r="A378" s="47" t="s">
        <v>1938</v>
      </c>
      <c r="B378" s="589" t="s">
        <v>3686</v>
      </c>
      <c r="D378" s="133"/>
      <c r="E378" s="133"/>
      <c r="F378" s="133"/>
      <c r="G378" s="133"/>
      <c r="H378" s="133"/>
      <c r="P378" s="133"/>
      <c r="Q378" s="133"/>
      <c r="R378" s="133"/>
      <c r="AE378" s="50"/>
      <c r="AF378" s="50"/>
    </row>
    <row r="379" spans="1:32" s="42" customFormat="1" ht="11.25" customHeight="1">
      <c r="B379" s="40" t="s">
        <v>1694</v>
      </c>
      <c r="C379" s="856" t="s">
        <v>4393</v>
      </c>
      <c r="E379" s="2392"/>
      <c r="F379" s="2392"/>
      <c r="G379" s="2392"/>
      <c r="H379" s="2392"/>
      <c r="P379" s="2259"/>
      <c r="Q379" s="517"/>
      <c r="AE379" s="50"/>
      <c r="AF379" s="50"/>
    </row>
    <row r="380" spans="1:32" s="42" customFormat="1" ht="11.25" customHeight="1">
      <c r="B380" s="40"/>
      <c r="C380" s="856"/>
      <c r="E380" s="2392"/>
      <c r="F380" s="2392"/>
      <c r="G380" s="2392"/>
      <c r="H380" s="2392"/>
      <c r="J380" s="2901" t="s">
        <v>3690</v>
      </c>
      <c r="K380" s="2901"/>
      <c r="L380" s="2901"/>
      <c r="M380" s="2901"/>
      <c r="N380" s="2803" t="s">
        <v>3688</v>
      </c>
      <c r="O380" s="2803"/>
      <c r="AE380" s="50"/>
      <c r="AF380" s="50"/>
    </row>
    <row r="381" spans="1:32" s="42" customFormat="1" ht="11.25" customHeight="1">
      <c r="A381" s="1476"/>
      <c r="B381" s="40" t="s">
        <v>1695</v>
      </c>
      <c r="C381" s="856" t="s">
        <v>3687</v>
      </c>
      <c r="E381" s="133"/>
      <c r="F381" s="133"/>
      <c r="G381" s="133"/>
      <c r="H381" s="133"/>
      <c r="I381" s="455" t="s">
        <v>1695</v>
      </c>
      <c r="J381" s="2711"/>
      <c r="K381" s="2712"/>
      <c r="L381" s="4147"/>
      <c r="M381" s="4148"/>
      <c r="N381" s="1056" t="str">
        <f>IF(J381="","",(J381-J373)/J381)</f>
        <v/>
      </c>
      <c r="O381" s="1057" t="str">
        <f>IF(L381="","",(L381-L373)/L381)</f>
        <v/>
      </c>
      <c r="P381" s="2264"/>
      <c r="Q381" s="1553"/>
      <c r="AE381" s="50"/>
      <c r="AF381" s="50"/>
    </row>
    <row r="382" spans="1:32" s="42" customFormat="1" ht="11.25" customHeight="1">
      <c r="A382" s="1476"/>
      <c r="B382" s="40" t="s">
        <v>1696</v>
      </c>
      <c r="C382" s="52" t="s">
        <v>3689</v>
      </c>
      <c r="E382" s="133"/>
      <c r="F382" s="133"/>
      <c r="G382" s="133"/>
      <c r="H382" s="133"/>
      <c r="N382" s="133"/>
      <c r="O382" s="455" t="s">
        <v>1696</v>
      </c>
      <c r="P382" s="2276"/>
      <c r="Q382" s="4149"/>
      <c r="AE382" s="50"/>
      <c r="AF382" s="50"/>
    </row>
    <row r="383" spans="1:32" s="42" customFormat="1" ht="11.25" customHeight="1">
      <c r="B383" s="40" t="s">
        <v>2305</v>
      </c>
      <c r="C383" s="52" t="s">
        <v>3691</v>
      </c>
      <c r="E383" s="133"/>
      <c r="F383" s="133"/>
      <c r="G383" s="133"/>
      <c r="H383" s="133"/>
      <c r="M383" s="133"/>
      <c r="N383" s="133"/>
      <c r="O383" s="455" t="s">
        <v>2305</v>
      </c>
      <c r="P383" s="2258"/>
      <c r="Q383" s="520"/>
      <c r="AE383" s="50"/>
      <c r="AF383" s="50"/>
    </row>
    <row r="384" spans="1:32" ht="10.5" customHeight="1">
      <c r="B384" s="140" t="s">
        <v>3565</v>
      </c>
      <c r="D384" s="140"/>
      <c r="E384" s="140"/>
      <c r="F384" s="140"/>
      <c r="G384" s="140"/>
      <c r="H384" s="40"/>
      <c r="I384" s="2397"/>
      <c r="J384" s="2397"/>
      <c r="K384" s="2397"/>
      <c r="L384" s="2374"/>
      <c r="M384" s="2374"/>
      <c r="N384" s="2374"/>
      <c r="O384" s="2374"/>
      <c r="P384" s="2374"/>
      <c r="Q384" s="855"/>
    </row>
    <row r="385" spans="1:31" ht="31.5" customHeight="1">
      <c r="A385" s="2729" t="s">
        <v>7111</v>
      </c>
      <c r="B385" s="2730"/>
      <c r="C385" s="2730"/>
      <c r="D385" s="2730"/>
      <c r="E385" s="2730"/>
      <c r="F385" s="2730"/>
      <c r="G385" s="2730"/>
      <c r="H385" s="2730"/>
      <c r="I385" s="2730"/>
      <c r="J385" s="2730"/>
      <c r="K385" s="2730"/>
      <c r="L385" s="2730"/>
      <c r="M385" s="2730"/>
      <c r="N385" s="2730"/>
      <c r="O385" s="2730"/>
      <c r="P385" s="2730"/>
      <c r="Q385" s="2731"/>
      <c r="U385" s="135"/>
      <c r="V385" s="135"/>
      <c r="W385" s="135"/>
      <c r="X385" s="135"/>
      <c r="Y385" s="135"/>
      <c r="Z385" s="135"/>
      <c r="AA385" s="135"/>
      <c r="AB385" s="135"/>
      <c r="AC385" s="135"/>
      <c r="AD385" s="135"/>
      <c r="AE385" s="457"/>
    </row>
    <row r="386" spans="1:31" ht="11.25" customHeight="1">
      <c r="B386" s="136" t="s">
        <v>1820</v>
      </c>
      <c r="C386" s="137"/>
      <c r="D386" s="2380"/>
      <c r="E386" s="2380"/>
      <c r="F386" s="2380"/>
      <c r="G386" s="2380"/>
      <c r="H386" s="2380"/>
      <c r="I386" s="2380"/>
      <c r="J386" s="2380"/>
      <c r="K386" s="2380"/>
      <c r="L386" s="2380"/>
      <c r="M386" s="2380"/>
      <c r="N386" s="2380"/>
      <c r="O386" s="2380"/>
      <c r="P386" s="2380"/>
      <c r="Q386" s="2380"/>
    </row>
    <row r="387" spans="1:31" ht="23.25" customHeight="1">
      <c r="A387" s="2848"/>
      <c r="B387" s="2849"/>
      <c r="C387" s="2849"/>
      <c r="D387" s="2849"/>
      <c r="E387" s="2849"/>
      <c r="F387" s="2849"/>
      <c r="G387" s="2849"/>
      <c r="H387" s="2849"/>
      <c r="I387" s="2849"/>
      <c r="J387" s="2849"/>
      <c r="K387" s="2849"/>
      <c r="L387" s="2849"/>
      <c r="M387" s="2849"/>
      <c r="N387" s="2849"/>
      <c r="O387" s="2849"/>
      <c r="P387" s="2849"/>
      <c r="Q387" s="2850"/>
    </row>
    <row r="388" spans="1:31" ht="3.6" customHeight="1">
      <c r="A388" s="2374"/>
      <c r="B388" s="2397"/>
      <c r="C388" s="2380"/>
      <c r="D388" s="2380"/>
      <c r="E388" s="2380"/>
      <c r="F388" s="2380"/>
      <c r="G388" s="2380"/>
      <c r="H388" s="2380"/>
      <c r="I388" s="2380"/>
      <c r="J388" s="2380"/>
      <c r="K388" s="2380"/>
      <c r="L388" s="2380"/>
      <c r="M388" s="2380"/>
      <c r="Q388" s="855"/>
    </row>
    <row r="389" spans="1:31" ht="3" customHeight="1">
      <c r="A389" s="2374"/>
      <c r="B389" s="2397"/>
      <c r="C389" s="2380"/>
      <c r="D389" s="2380"/>
      <c r="E389" s="2380"/>
      <c r="F389" s="2380"/>
      <c r="G389" s="2380"/>
      <c r="H389" s="2380"/>
      <c r="I389" s="2380"/>
      <c r="J389" s="2380"/>
      <c r="K389" s="2380"/>
      <c r="L389" s="2380"/>
      <c r="M389" s="2380"/>
      <c r="Q389" s="855"/>
    </row>
    <row r="390" spans="1:31" ht="14.1" customHeight="1">
      <c r="A390" s="2372" t="s">
        <v>3791</v>
      </c>
      <c r="B390" s="4" t="s">
        <v>2608</v>
      </c>
      <c r="C390" s="4"/>
      <c r="D390" s="4"/>
      <c r="E390" s="4"/>
      <c r="F390" s="4"/>
      <c r="G390" s="4"/>
      <c r="H390" s="2380"/>
      <c r="I390" s="2380"/>
      <c r="J390" s="2380"/>
      <c r="O390" s="131" t="s">
        <v>1821</v>
      </c>
      <c r="P390" s="2808"/>
      <c r="Q390" s="2809"/>
    </row>
    <row r="391" spans="1:31" ht="11.4" customHeight="1">
      <c r="A391" s="47" t="s">
        <v>1936</v>
      </c>
      <c r="B391" s="117" t="s">
        <v>1012</v>
      </c>
      <c r="E391" s="2880"/>
      <c r="F391" s="2881"/>
      <c r="G391" s="2881"/>
      <c r="H391" s="2881"/>
      <c r="I391" s="2882"/>
      <c r="J391" s="2883" t="s">
        <v>2595</v>
      </c>
      <c r="K391" s="2884"/>
      <c r="L391" s="2702"/>
      <c r="M391" s="2880"/>
      <c r="N391" s="2881"/>
      <c r="O391" s="2881"/>
      <c r="P391" s="2881"/>
      <c r="Q391" s="2882"/>
    </row>
    <row r="392" spans="1:31" ht="11.4" customHeight="1">
      <c r="A392" s="47" t="s">
        <v>1938</v>
      </c>
      <c r="B392" s="52" t="s">
        <v>3346</v>
      </c>
      <c r="D392" s="52"/>
      <c r="E392" s="52"/>
      <c r="F392" s="52"/>
      <c r="G392" s="52"/>
      <c r="H392" s="52"/>
      <c r="I392" s="52"/>
      <c r="J392" s="52"/>
      <c r="K392" s="52"/>
      <c r="L392" s="856"/>
      <c r="M392" s="856"/>
      <c r="O392" s="455" t="s">
        <v>1938</v>
      </c>
      <c r="P392" s="2256"/>
      <c r="Q392" s="518"/>
    </row>
    <row r="393" spans="1:31" ht="22.5" customHeight="1">
      <c r="A393" s="141" t="s">
        <v>731</v>
      </c>
      <c r="B393" s="2696" t="s">
        <v>3355</v>
      </c>
      <c r="C393" s="2696"/>
      <c r="D393" s="2696"/>
      <c r="E393" s="2696"/>
      <c r="F393" s="2696"/>
      <c r="G393" s="2696"/>
      <c r="H393" s="2696"/>
      <c r="I393" s="2696"/>
      <c r="J393" s="2696"/>
      <c r="K393" s="2696"/>
      <c r="L393" s="2696"/>
      <c r="M393" s="2696"/>
      <c r="N393" s="2696"/>
      <c r="O393" s="160" t="s">
        <v>731</v>
      </c>
      <c r="P393" s="2386"/>
      <c r="Q393" s="2393"/>
    </row>
    <row r="394" spans="1:31">
      <c r="A394" s="47" t="s">
        <v>2065</v>
      </c>
      <c r="B394" s="55" t="s">
        <v>3518</v>
      </c>
      <c r="G394" s="2392"/>
      <c r="H394" s="2392"/>
      <c r="I394" s="2392"/>
      <c r="J394" s="856" t="s">
        <v>3519</v>
      </c>
      <c r="L394" s="2392"/>
      <c r="M394" s="2885">
        <f>'Part III-Sources of Funds'!H5</f>
        <v>0</v>
      </c>
      <c r="N394" s="2886"/>
      <c r="O394" s="455" t="s">
        <v>2065</v>
      </c>
      <c r="P394" s="2258"/>
      <c r="Q394" s="520"/>
    </row>
    <row r="395" spans="1:31" ht="11.25" customHeight="1">
      <c r="B395" s="140" t="s">
        <v>3565</v>
      </c>
      <c r="D395" s="140"/>
      <c r="E395" s="140"/>
      <c r="F395" s="140"/>
      <c r="G395" s="140"/>
      <c r="H395" s="40"/>
      <c r="I395" s="2397"/>
      <c r="J395" s="2397"/>
      <c r="K395" s="2397"/>
      <c r="L395" s="2374"/>
      <c r="M395" s="2374"/>
      <c r="N395" s="2374"/>
      <c r="O395" s="2374"/>
      <c r="P395" s="2374"/>
      <c r="Q395" s="855"/>
    </row>
    <row r="396" spans="1:31" ht="11.4" customHeight="1">
      <c r="A396" s="2729" t="s">
        <v>7112</v>
      </c>
      <c r="B396" s="2730"/>
      <c r="C396" s="2730"/>
      <c r="D396" s="2730"/>
      <c r="E396" s="2730"/>
      <c r="F396" s="2730"/>
      <c r="G396" s="2730"/>
      <c r="H396" s="2730"/>
      <c r="I396" s="2730"/>
      <c r="J396" s="2730"/>
      <c r="K396" s="2730"/>
      <c r="L396" s="2730"/>
      <c r="M396" s="2730"/>
      <c r="N396" s="2730"/>
      <c r="O396" s="2730"/>
      <c r="P396" s="2730"/>
      <c r="Q396" s="2731"/>
      <c r="U396" s="135"/>
      <c r="V396" s="135"/>
      <c r="W396" s="135"/>
      <c r="X396" s="135"/>
      <c r="Y396" s="135"/>
      <c r="Z396" s="135"/>
      <c r="AA396" s="135"/>
      <c r="AB396" s="135"/>
      <c r="AC396" s="135"/>
      <c r="AD396" s="135"/>
      <c r="AE396" s="457"/>
    </row>
    <row r="397" spans="1:31" ht="11.25" customHeight="1">
      <c r="B397" s="136" t="s">
        <v>1820</v>
      </c>
      <c r="C397" s="137"/>
      <c r="D397" s="2380"/>
      <c r="E397" s="2380"/>
      <c r="F397" s="2380"/>
      <c r="G397" s="2380"/>
      <c r="H397" s="2380"/>
      <c r="I397" s="2380"/>
      <c r="J397" s="2380"/>
      <c r="K397" s="2380"/>
      <c r="L397" s="2380"/>
      <c r="M397" s="2380"/>
      <c r="N397" s="2380"/>
      <c r="O397" s="2380"/>
      <c r="P397" s="2380"/>
      <c r="Q397" s="2380"/>
    </row>
    <row r="398" spans="1:31" ht="11.4" customHeight="1">
      <c r="A398" s="2848"/>
      <c r="B398" s="2849"/>
      <c r="C398" s="2849"/>
      <c r="D398" s="2849"/>
      <c r="E398" s="2849"/>
      <c r="F398" s="2849"/>
      <c r="G398" s="2849"/>
      <c r="H398" s="2849"/>
      <c r="I398" s="2849"/>
      <c r="J398" s="2849"/>
      <c r="K398" s="2849"/>
      <c r="L398" s="2849"/>
      <c r="M398" s="2849"/>
      <c r="N398" s="2849"/>
      <c r="O398" s="2849"/>
      <c r="P398" s="2849"/>
      <c r="Q398" s="2850"/>
    </row>
    <row r="399" spans="1:31" ht="3.6" customHeight="1">
      <c r="A399" s="2374"/>
      <c r="B399" s="2397"/>
      <c r="C399" s="2380"/>
      <c r="D399" s="2380"/>
      <c r="E399" s="2380"/>
      <c r="F399" s="2380"/>
      <c r="G399" s="2380"/>
      <c r="H399" s="2380"/>
      <c r="I399" s="2380"/>
      <c r="J399" s="2380"/>
      <c r="K399" s="2380"/>
      <c r="L399" s="2380"/>
      <c r="M399" s="2380"/>
      <c r="Q399" s="855"/>
    </row>
    <row r="400" spans="1:31" ht="14.1" customHeight="1">
      <c r="A400" s="2372" t="s">
        <v>3792</v>
      </c>
      <c r="B400" s="4" t="s">
        <v>2593</v>
      </c>
      <c r="C400" s="4"/>
      <c r="D400" s="4"/>
      <c r="E400" s="2380"/>
      <c r="G400" s="139" t="s">
        <v>683</v>
      </c>
      <c r="H400" s="2380"/>
      <c r="I400" s="2380"/>
      <c r="J400" s="2380"/>
      <c r="K400" s="2380"/>
      <c r="L400" s="2380"/>
      <c r="M400" s="2380"/>
      <c r="O400" s="131" t="s">
        <v>1821</v>
      </c>
      <c r="P400" s="2808"/>
      <c r="Q400" s="4150"/>
    </row>
    <row r="401" spans="1:31" ht="12" customHeight="1">
      <c r="A401" s="47" t="s">
        <v>1936</v>
      </c>
      <c r="B401" s="52" t="s">
        <v>2597</v>
      </c>
      <c r="D401" s="857"/>
      <c r="E401" s="857"/>
      <c r="O401" s="455" t="s">
        <v>1936</v>
      </c>
      <c r="P401" s="2256"/>
      <c r="Q401" s="518"/>
    </row>
    <row r="402" spans="1:31" ht="12" customHeight="1">
      <c r="A402" s="47" t="s">
        <v>1938</v>
      </c>
      <c r="B402" s="52" t="s">
        <v>3442</v>
      </c>
      <c r="D402" s="857"/>
      <c r="E402" s="857"/>
      <c r="O402" s="455" t="s">
        <v>1938</v>
      </c>
      <c r="P402" s="2257"/>
      <c r="Q402" s="519"/>
    </row>
    <row r="403" spans="1:31" ht="12" customHeight="1">
      <c r="A403" s="47" t="s">
        <v>731</v>
      </c>
      <c r="B403" s="52" t="s">
        <v>4712</v>
      </c>
      <c r="D403" s="857"/>
      <c r="E403" s="857"/>
      <c r="O403" s="455" t="s">
        <v>731</v>
      </c>
      <c r="P403" s="2257"/>
      <c r="Q403" s="519"/>
    </row>
    <row r="404" spans="1:31" ht="12" customHeight="1">
      <c r="A404" s="47" t="s">
        <v>2065</v>
      </c>
      <c r="B404" s="52" t="s">
        <v>3443</v>
      </c>
      <c r="E404" s="139"/>
      <c r="O404" s="455" t="s">
        <v>2065</v>
      </c>
      <c r="P404" s="2257"/>
      <c r="Q404" s="519"/>
    </row>
    <row r="405" spans="1:31" ht="12" customHeight="1">
      <c r="A405" s="47" t="s">
        <v>1692</v>
      </c>
      <c r="B405" s="52" t="s">
        <v>2031</v>
      </c>
      <c r="E405" s="139"/>
      <c r="G405" s="455" t="s">
        <v>1692</v>
      </c>
      <c r="H405" s="2903"/>
      <c r="I405" s="2904"/>
      <c r="J405" s="2904"/>
      <c r="K405" s="2904"/>
      <c r="L405" s="2904"/>
      <c r="M405" s="2904"/>
      <c r="N405" s="2904"/>
      <c r="O405" s="2905"/>
      <c r="P405" s="2258"/>
      <c r="Q405" s="520"/>
    </row>
    <row r="406" spans="1:31" ht="11.25" customHeight="1">
      <c r="B406" s="140" t="s">
        <v>3565</v>
      </c>
      <c r="D406" s="140"/>
      <c r="E406" s="140"/>
      <c r="F406" s="140"/>
      <c r="G406" s="140"/>
      <c r="H406" s="40"/>
      <c r="I406" s="2397"/>
      <c r="J406" s="2397"/>
      <c r="K406" s="2397"/>
      <c r="L406" s="2374"/>
      <c r="M406" s="2374"/>
      <c r="N406" s="2374"/>
      <c r="O406" s="2374"/>
      <c r="P406" s="2374"/>
      <c r="Q406" s="855"/>
    </row>
    <row r="407" spans="1:31" ht="11.4" customHeight="1">
      <c r="A407" s="2729" t="s">
        <v>7113</v>
      </c>
      <c r="B407" s="2730"/>
      <c r="C407" s="2730"/>
      <c r="D407" s="2730"/>
      <c r="E407" s="2730"/>
      <c r="F407" s="2730"/>
      <c r="G407" s="2730"/>
      <c r="H407" s="2730"/>
      <c r="I407" s="2730"/>
      <c r="J407" s="2730"/>
      <c r="K407" s="2730"/>
      <c r="L407" s="2730"/>
      <c r="M407" s="2730"/>
      <c r="N407" s="2730"/>
      <c r="O407" s="2730"/>
      <c r="P407" s="2730"/>
      <c r="Q407" s="2731"/>
      <c r="U407" s="135"/>
      <c r="V407" s="135"/>
      <c r="W407" s="135"/>
      <c r="X407" s="135"/>
      <c r="Y407" s="135"/>
      <c r="Z407" s="135"/>
      <c r="AA407" s="135"/>
      <c r="AB407" s="135"/>
      <c r="AC407" s="135"/>
      <c r="AD407" s="135"/>
      <c r="AE407" s="457"/>
    </row>
    <row r="408" spans="1:31" ht="11.25" customHeight="1">
      <c r="B408" s="136" t="s">
        <v>1820</v>
      </c>
      <c r="C408" s="137"/>
      <c r="D408" s="2380"/>
      <c r="E408" s="2380"/>
      <c r="F408" s="2380"/>
      <c r="G408" s="2380"/>
      <c r="H408" s="2380"/>
      <c r="I408" s="2380"/>
      <c r="J408" s="2380"/>
      <c r="K408" s="2380"/>
      <c r="L408" s="2380"/>
      <c r="M408" s="2380"/>
      <c r="N408" s="2380"/>
      <c r="O408" s="2380"/>
      <c r="P408" s="2380"/>
      <c r="Q408" s="2380"/>
    </row>
    <row r="409" spans="1:31" ht="11.4" customHeight="1">
      <c r="A409" s="2848"/>
      <c r="B409" s="2849"/>
      <c r="C409" s="2849"/>
      <c r="D409" s="2849"/>
      <c r="E409" s="2849"/>
      <c r="F409" s="2849"/>
      <c r="G409" s="2849"/>
      <c r="H409" s="2849"/>
      <c r="I409" s="2849"/>
      <c r="J409" s="2849"/>
      <c r="K409" s="2849"/>
      <c r="L409" s="2849"/>
      <c r="M409" s="2849"/>
      <c r="N409" s="2849"/>
      <c r="O409" s="2849"/>
      <c r="P409" s="2849"/>
      <c r="Q409" s="2850"/>
    </row>
    <row r="410" spans="1:31" ht="3" customHeight="1">
      <c r="A410" s="2374"/>
      <c r="B410" s="2397"/>
      <c r="C410" s="2380"/>
      <c r="D410" s="2380"/>
      <c r="E410" s="2380"/>
      <c r="F410" s="2380"/>
      <c r="G410" s="2380"/>
      <c r="H410" s="2380"/>
      <c r="I410" s="2380"/>
      <c r="J410" s="2380"/>
      <c r="K410" s="2380"/>
      <c r="L410" s="2380"/>
      <c r="M410" s="2380"/>
      <c r="N410" s="2380"/>
      <c r="O410" s="2380"/>
      <c r="P410" s="2380"/>
      <c r="Q410" s="2374"/>
    </row>
    <row r="411" spans="1:31" ht="14.1" customHeight="1">
      <c r="A411" s="2372" t="s">
        <v>3793</v>
      </c>
      <c r="B411" s="4" t="s">
        <v>4534</v>
      </c>
      <c r="C411" s="4"/>
      <c r="D411" s="4"/>
      <c r="E411" s="4"/>
      <c r="F411" s="4"/>
      <c r="G411" s="4"/>
      <c r="H411" s="2380"/>
      <c r="I411" s="2380"/>
      <c r="J411" s="2380"/>
      <c r="K411" s="2380"/>
      <c r="L411" s="2380"/>
      <c r="M411" s="2380"/>
      <c r="O411" s="131" t="s">
        <v>1821</v>
      </c>
      <c r="P411" s="4151"/>
      <c r="Q411" s="4152"/>
    </row>
    <row r="412" spans="1:31" ht="12" customHeight="1">
      <c r="A412" s="47" t="s">
        <v>1936</v>
      </c>
      <c r="B412" s="86" t="s">
        <v>4533</v>
      </c>
      <c r="D412" s="42"/>
      <c r="E412" s="42"/>
      <c r="F412" s="42"/>
      <c r="G412" s="42"/>
      <c r="H412" s="42"/>
      <c r="I412" s="42"/>
      <c r="J412" s="42"/>
      <c r="K412" s="42"/>
      <c r="L412" s="42"/>
      <c r="M412" s="42"/>
      <c r="N412" s="42"/>
      <c r="O412" s="42"/>
      <c r="P412" s="42"/>
      <c r="Q412" s="42"/>
    </row>
    <row r="413" spans="1:31" ht="12" customHeight="1">
      <c r="A413" s="47"/>
      <c r="B413" s="1593" t="s">
        <v>1939</v>
      </c>
      <c r="C413" s="55" t="s">
        <v>734</v>
      </c>
      <c r="D413" s="42"/>
      <c r="E413" s="42"/>
      <c r="F413" s="42"/>
      <c r="G413" s="42"/>
      <c r="H413" s="42"/>
      <c r="I413" s="42"/>
      <c r="J413" s="42"/>
      <c r="K413" s="42"/>
      <c r="L413" s="42"/>
      <c r="M413" s="42"/>
      <c r="N413" s="42"/>
      <c r="O413" s="455">
        <v>1</v>
      </c>
      <c r="P413" s="2256" t="s">
        <v>2889</v>
      </c>
      <c r="Q413" s="518"/>
    </row>
    <row r="414" spans="1:31" ht="12" customHeight="1">
      <c r="C414" s="36" t="s">
        <v>4713</v>
      </c>
      <c r="D414" s="55" t="s">
        <v>4714</v>
      </c>
      <c r="E414" s="42"/>
      <c r="F414" s="42"/>
      <c r="G414" s="42"/>
      <c r="H414" s="42"/>
      <c r="I414" s="42"/>
      <c r="J414" s="42"/>
      <c r="K414" s="42"/>
      <c r="L414" s="42"/>
      <c r="M414" s="42"/>
      <c r="N414" s="42"/>
      <c r="O414" s="455" t="s">
        <v>2372</v>
      </c>
      <c r="P414" s="2257"/>
      <c r="Q414" s="519"/>
    </row>
    <row r="415" spans="1:31" ht="12" customHeight="1">
      <c r="B415" s="52"/>
      <c r="C415" s="52" t="s">
        <v>2373</v>
      </c>
      <c r="D415" s="55" t="s">
        <v>4715</v>
      </c>
      <c r="E415" s="42"/>
      <c r="F415" s="42"/>
      <c r="G415" s="42"/>
      <c r="H415" s="42"/>
      <c r="I415" s="42"/>
      <c r="J415" s="42"/>
      <c r="K415" s="42"/>
      <c r="L415" s="42"/>
      <c r="M415" s="42"/>
      <c r="N415" s="42"/>
      <c r="O415" s="64" t="s">
        <v>2373</v>
      </c>
      <c r="P415" s="2258"/>
      <c r="Q415" s="520"/>
    </row>
    <row r="416" spans="1:31" ht="12" customHeight="1">
      <c r="A416" s="47"/>
      <c r="D416" s="52" t="s">
        <v>1452</v>
      </c>
      <c r="E416" s="52"/>
      <c r="F416" s="52"/>
      <c r="G416" s="52"/>
      <c r="H416" s="52"/>
      <c r="I416" s="52"/>
      <c r="J416" s="52"/>
      <c r="K416" s="52"/>
      <c r="L416" s="52"/>
      <c r="M416" s="52"/>
      <c r="N416" s="42"/>
      <c r="O416" s="1714"/>
    </row>
    <row r="417" spans="1:32" ht="12" customHeight="1">
      <c r="C417" s="52" t="s">
        <v>4541</v>
      </c>
      <c r="D417" s="52" t="s">
        <v>3356</v>
      </c>
      <c r="E417" s="52"/>
      <c r="F417" s="52"/>
      <c r="G417" s="52"/>
      <c r="H417" s="52"/>
      <c r="I417" s="52"/>
      <c r="J417" s="52"/>
      <c r="K417" s="52"/>
      <c r="L417" s="52"/>
      <c r="M417" s="52"/>
      <c r="N417" s="42"/>
      <c r="O417" s="64" t="s">
        <v>2374</v>
      </c>
      <c r="P417" s="2256"/>
      <c r="Q417" s="518"/>
    </row>
    <row r="418" spans="1:32" s="147" customFormat="1" ht="12" customHeight="1">
      <c r="A418" s="47"/>
      <c r="C418" s="64" t="s">
        <v>2375</v>
      </c>
      <c r="D418" s="52" t="s">
        <v>3437</v>
      </c>
      <c r="E418" s="52"/>
      <c r="F418" s="52"/>
      <c r="G418" s="52"/>
      <c r="H418" s="52"/>
      <c r="I418" s="52"/>
      <c r="J418" s="52"/>
      <c r="K418" s="52"/>
      <c r="L418" s="52"/>
      <c r="M418" s="52"/>
      <c r="N418" s="94"/>
      <c r="O418" s="64" t="s">
        <v>2375</v>
      </c>
      <c r="P418" s="2257"/>
      <c r="Q418" s="519"/>
      <c r="AE418" s="459"/>
      <c r="AF418" s="459"/>
    </row>
    <row r="419" spans="1:32" ht="12" customHeight="1">
      <c r="A419" s="47"/>
      <c r="B419" s="1593" t="s">
        <v>1941</v>
      </c>
      <c r="C419" s="52" t="s">
        <v>2151</v>
      </c>
      <c r="E419" s="52"/>
      <c r="F419" s="52"/>
      <c r="G419" s="52"/>
      <c r="H419" s="52"/>
      <c r="I419" s="52"/>
      <c r="J419" s="52"/>
      <c r="K419" s="52"/>
      <c r="L419" s="52"/>
      <c r="M419" s="52"/>
      <c r="N419" s="52"/>
      <c r="O419" s="455">
        <v>2</v>
      </c>
      <c r="P419" s="2257"/>
      <c r="Q419" s="519"/>
    </row>
    <row r="420" spans="1:32" ht="12" customHeight="1">
      <c r="A420" s="47"/>
      <c r="B420" s="1593" t="s">
        <v>2468</v>
      </c>
      <c r="C420" s="2696" t="s">
        <v>2719</v>
      </c>
      <c r="D420" s="2696"/>
      <c r="E420" s="2696"/>
      <c r="F420" s="2696"/>
      <c r="G420" s="134" t="s">
        <v>4542</v>
      </c>
      <c r="J420" s="2277"/>
      <c r="K420" s="4153"/>
      <c r="M420" s="134" t="s">
        <v>4543</v>
      </c>
      <c r="P420" s="2278"/>
      <c r="Q420" s="4154"/>
    </row>
    <row r="421" spans="1:32" ht="12" customHeight="1">
      <c r="A421" s="47"/>
      <c r="C421" s="2696"/>
      <c r="D421" s="2696"/>
      <c r="E421" s="2696"/>
      <c r="F421" s="2696"/>
      <c r="G421" s="134" t="s">
        <v>4544</v>
      </c>
      <c r="J421" s="2278"/>
      <c r="K421" s="4154"/>
      <c r="M421" s="134" t="s">
        <v>4545</v>
      </c>
      <c r="P421" s="2279"/>
      <c r="Q421" s="4155"/>
    </row>
    <row r="422" spans="1:32" ht="12" customHeight="1">
      <c r="A422" s="47"/>
      <c r="C422" s="2696"/>
      <c r="D422" s="2696"/>
      <c r="E422" s="2696"/>
      <c r="F422" s="2696"/>
      <c r="G422" s="134" t="s">
        <v>4546</v>
      </c>
      <c r="J422" s="2279"/>
      <c r="K422" s="4155"/>
      <c r="L422" s="856"/>
      <c r="M422" s="42"/>
      <c r="N422" s="455"/>
    </row>
    <row r="423" spans="1:32" ht="12" customHeight="1">
      <c r="A423" s="47"/>
      <c r="B423" s="1593" t="s">
        <v>1198</v>
      </c>
      <c r="C423" s="856" t="s">
        <v>4367</v>
      </c>
      <c r="E423" s="856"/>
      <c r="F423" s="856"/>
      <c r="G423" s="856"/>
      <c r="J423" s="42"/>
      <c r="K423" s="856"/>
      <c r="L423" s="856"/>
      <c r="M423" s="42"/>
      <c r="N423" s="455"/>
      <c r="P423" s="455"/>
      <c r="Q423" s="455"/>
    </row>
    <row r="424" spans="1:32" ht="12" customHeight="1">
      <c r="A424" s="47"/>
      <c r="B424" s="427"/>
      <c r="C424" s="856" t="s">
        <v>4547</v>
      </c>
      <c r="E424" s="856"/>
      <c r="G424" s="427" t="s">
        <v>4535</v>
      </c>
      <c r="H424" s="856"/>
      <c r="I424" s="856"/>
      <c r="J424" s="2256"/>
      <c r="K424" s="518"/>
      <c r="L424" s="856"/>
      <c r="M424" s="427" t="s">
        <v>4540</v>
      </c>
    </row>
    <row r="425" spans="1:32" ht="12" customHeight="1">
      <c r="A425" s="42"/>
      <c r="G425" s="427" t="s">
        <v>4536</v>
      </c>
      <c r="H425" s="856"/>
      <c r="I425" s="856"/>
      <c r="J425" s="2257"/>
      <c r="K425" s="519"/>
      <c r="M425" s="2889"/>
      <c r="N425" s="2890"/>
      <c r="O425" s="2890"/>
      <c r="P425" s="2890"/>
      <c r="Q425" s="2891"/>
    </row>
    <row r="426" spans="1:32" ht="12" customHeight="1">
      <c r="A426" s="42"/>
      <c r="G426" s="427" t="s">
        <v>4537</v>
      </c>
      <c r="H426" s="856"/>
      <c r="J426" s="2258"/>
      <c r="K426" s="520"/>
      <c r="M426" s="2892"/>
      <c r="N426" s="2893"/>
      <c r="O426" s="2893"/>
      <c r="P426" s="2893"/>
      <c r="Q426" s="2894"/>
    </row>
    <row r="427" spans="1:32" ht="12" customHeight="1">
      <c r="A427" s="47"/>
      <c r="B427" s="427"/>
      <c r="C427" s="856" t="s">
        <v>4548</v>
      </c>
      <c r="D427" s="147"/>
      <c r="E427" s="856"/>
      <c r="F427" s="856"/>
      <c r="L427" s="856"/>
      <c r="M427" s="856"/>
      <c r="O427" s="455" t="s">
        <v>1695</v>
      </c>
      <c r="P427" s="2259" t="s">
        <v>1727</v>
      </c>
      <c r="Q427" s="517" t="s">
        <v>1727</v>
      </c>
    </row>
    <row r="428" spans="1:32" ht="12" customHeight="1">
      <c r="A428" s="42"/>
      <c r="B428" s="147"/>
      <c r="D428" s="1438" t="s">
        <v>2395</v>
      </c>
      <c r="E428" s="427" t="s">
        <v>3644</v>
      </c>
      <c r="F428" s="856"/>
      <c r="G428" s="2698"/>
      <c r="H428" s="2699"/>
      <c r="I428" s="2699"/>
      <c r="J428" s="2699"/>
      <c r="K428" s="2700"/>
      <c r="L428" s="1438"/>
    </row>
    <row r="429" spans="1:32" ht="12" customHeight="1">
      <c r="B429" s="147"/>
      <c r="D429" s="1438" t="s">
        <v>4538</v>
      </c>
      <c r="E429" s="427" t="s">
        <v>4539</v>
      </c>
      <c r="F429" s="1438"/>
      <c r="G429" s="2877" t="s">
        <v>3521</v>
      </c>
      <c r="H429" s="2878"/>
      <c r="I429" s="2879"/>
      <c r="J429" s="427" t="s">
        <v>4275</v>
      </c>
      <c r="K429" s="147"/>
      <c r="M429" s="2698"/>
      <c r="N429" s="2699"/>
      <c r="O429" s="2699"/>
      <c r="P429" s="2699"/>
      <c r="Q429" s="2700"/>
    </row>
    <row r="430" spans="1:32" ht="12" customHeight="1">
      <c r="A430" s="42"/>
      <c r="B430" s="147"/>
      <c r="C430" s="427" t="s">
        <v>4414</v>
      </c>
      <c r="D430" s="147"/>
      <c r="E430" s="856"/>
      <c r="F430" s="856"/>
      <c r="G430" s="856"/>
      <c r="H430" s="856"/>
      <c r="I430" s="856"/>
      <c r="J430" s="856"/>
      <c r="K430" s="856"/>
      <c r="L430" s="856"/>
      <c r="M430" s="856"/>
      <c r="N430" s="856"/>
      <c r="O430" s="856"/>
      <c r="P430" s="856"/>
      <c r="Q430" s="856"/>
    </row>
    <row r="431" spans="1:32" ht="44.4" customHeight="1">
      <c r="B431" s="2906"/>
      <c r="C431" s="2907"/>
      <c r="D431" s="2907"/>
      <c r="E431" s="2907"/>
      <c r="F431" s="2907"/>
      <c r="G431" s="2907"/>
      <c r="H431" s="2907"/>
      <c r="I431" s="2907"/>
      <c r="J431" s="2907"/>
      <c r="K431" s="2907"/>
      <c r="L431" s="2907"/>
      <c r="M431" s="2907"/>
      <c r="N431" s="2907"/>
      <c r="O431" s="2907"/>
      <c r="P431" s="2907"/>
      <c r="Q431" s="2908"/>
      <c r="R431" s="440" t="s">
        <v>4270</v>
      </c>
      <c r="U431" s="135"/>
      <c r="V431" s="135"/>
      <c r="W431" s="135"/>
      <c r="X431" s="135"/>
      <c r="Y431" s="135"/>
      <c r="Z431" s="135"/>
      <c r="AA431" s="135"/>
      <c r="AB431" s="135"/>
      <c r="AC431" s="135"/>
      <c r="AD431" s="135"/>
      <c r="AE431" s="457"/>
    </row>
    <row r="432" spans="1:32" s="147" customFormat="1" ht="3" customHeight="1">
      <c r="A432" s="594"/>
      <c r="B432" s="594"/>
      <c r="C432" s="594"/>
      <c r="D432" s="594"/>
      <c r="E432" s="594"/>
      <c r="F432" s="594"/>
      <c r="G432" s="594"/>
      <c r="H432" s="594"/>
      <c r="I432" s="594"/>
      <c r="J432" s="594"/>
      <c r="K432" s="594"/>
      <c r="L432" s="594"/>
      <c r="M432" s="594"/>
      <c r="N432" s="594"/>
      <c r="O432" s="594"/>
      <c r="P432" s="594"/>
      <c r="Q432" s="594"/>
      <c r="AE432" s="459"/>
      <c r="AF432" s="459"/>
    </row>
    <row r="433" spans="1:32" s="147" customFormat="1">
      <c r="A433" s="141" t="s">
        <v>1938</v>
      </c>
      <c r="B433" s="2747" t="s">
        <v>4716</v>
      </c>
      <c r="C433" s="2696"/>
      <c r="D433" s="2696"/>
      <c r="E433" s="2696"/>
      <c r="F433" s="2696"/>
      <c r="G433" s="2696"/>
      <c r="H433" s="2696"/>
      <c r="I433" s="2696"/>
      <c r="J433" s="2696"/>
      <c r="K433" s="2696"/>
      <c r="L433" s="2696"/>
      <c r="M433" s="2696"/>
      <c r="N433" s="2696"/>
      <c r="T433" s="459"/>
      <c r="AE433" s="459"/>
      <c r="AF433" s="459"/>
    </row>
    <row r="434" spans="1:32" s="147" customFormat="1" ht="12" customHeight="1">
      <c r="A434" s="141"/>
      <c r="B434" s="842" t="s">
        <v>4549</v>
      </c>
      <c r="C434" s="2380"/>
      <c r="D434" s="2380"/>
      <c r="E434" s="2380"/>
      <c r="F434" s="2380"/>
      <c r="G434" s="2380"/>
      <c r="H434" s="2380"/>
      <c r="I434" s="2380"/>
      <c r="J434" s="2380"/>
      <c r="K434" s="2380"/>
      <c r="L434" s="2380"/>
      <c r="M434" s="2380"/>
      <c r="N434" s="2380"/>
      <c r="T434" s="459"/>
      <c r="AE434" s="459"/>
      <c r="AF434" s="459"/>
    </row>
    <row r="435" spans="1:32" s="147" customFormat="1" ht="48" customHeight="1">
      <c r="B435" s="2696" t="s">
        <v>4550</v>
      </c>
      <c r="C435" s="2696"/>
      <c r="D435" s="2696"/>
      <c r="E435" s="2696"/>
      <c r="F435" s="2696"/>
      <c r="G435" s="2696"/>
      <c r="H435" s="2696"/>
      <c r="I435" s="2696"/>
      <c r="J435" s="2696"/>
      <c r="K435" s="2696"/>
      <c r="L435" s="2696"/>
      <c r="M435" s="2696"/>
      <c r="N435" s="2696"/>
      <c r="O435" s="160" t="s">
        <v>1938</v>
      </c>
      <c r="P435" s="2280"/>
      <c r="Q435" s="4156"/>
      <c r="T435" s="459"/>
      <c r="AE435" s="459"/>
      <c r="AF435" s="459"/>
    </row>
    <row r="436" spans="1:32" ht="12" customHeight="1">
      <c r="B436" s="140" t="s">
        <v>3565</v>
      </c>
      <c r="D436" s="140"/>
      <c r="E436" s="140"/>
      <c r="F436" s="140"/>
      <c r="G436" s="140"/>
      <c r="H436" s="40"/>
      <c r="I436" s="2397"/>
      <c r="J436" s="2397"/>
      <c r="K436" s="2397"/>
    </row>
    <row r="437" spans="1:32" ht="33.6" customHeight="1">
      <c r="A437" s="2729" t="s">
        <v>7114</v>
      </c>
      <c r="B437" s="2730"/>
      <c r="C437" s="2730"/>
      <c r="D437" s="2730"/>
      <c r="E437" s="2730"/>
      <c r="F437" s="2730"/>
      <c r="G437" s="2730"/>
      <c r="H437" s="2730"/>
      <c r="I437" s="2730"/>
      <c r="J437" s="2730"/>
      <c r="K437" s="2730"/>
      <c r="L437" s="2730"/>
      <c r="M437" s="2730"/>
      <c r="N437" s="2730"/>
      <c r="O437" s="2730"/>
      <c r="P437" s="2730"/>
      <c r="Q437" s="2731"/>
      <c r="U437" s="135"/>
      <c r="V437" s="135"/>
      <c r="W437" s="135"/>
      <c r="X437" s="135"/>
      <c r="Y437" s="135"/>
      <c r="Z437" s="135"/>
      <c r="AA437" s="135"/>
      <c r="AB437" s="135"/>
      <c r="AC437" s="135"/>
      <c r="AD437" s="135"/>
      <c r="AE437" s="457"/>
    </row>
    <row r="438" spans="1:32" ht="12" customHeight="1">
      <c r="B438" s="136" t="s">
        <v>1820</v>
      </c>
      <c r="C438" s="137"/>
      <c r="D438" s="2380"/>
      <c r="E438" s="2380"/>
      <c r="F438" s="2380"/>
      <c r="G438" s="2380"/>
      <c r="H438" s="2380"/>
      <c r="I438" s="2380"/>
      <c r="J438" s="2380"/>
      <c r="K438" s="2380"/>
      <c r="L438" s="2380"/>
      <c r="M438" s="2380"/>
      <c r="N438" s="2380"/>
      <c r="O438" s="2380"/>
      <c r="P438" s="2380"/>
      <c r="Q438" s="2380"/>
    </row>
    <row r="439" spans="1:32" ht="33.6" customHeight="1">
      <c r="A439" s="2848"/>
      <c r="B439" s="2849"/>
      <c r="C439" s="2849"/>
      <c r="D439" s="2849"/>
      <c r="E439" s="2849"/>
      <c r="F439" s="2849"/>
      <c r="G439" s="2849"/>
      <c r="H439" s="2849"/>
      <c r="I439" s="2849"/>
      <c r="J439" s="2849"/>
      <c r="K439" s="2849"/>
      <c r="L439" s="2849"/>
      <c r="M439" s="2849"/>
      <c r="N439" s="2849"/>
      <c r="O439" s="2849"/>
      <c r="P439" s="2849"/>
      <c r="Q439" s="2850"/>
    </row>
    <row r="440" spans="1:32" ht="3" customHeight="1">
      <c r="A440" s="2374"/>
      <c r="B440" s="2397"/>
      <c r="C440" s="2380"/>
      <c r="D440" s="2380"/>
      <c r="E440" s="2380"/>
      <c r="F440" s="2380"/>
      <c r="G440" s="2380"/>
      <c r="H440" s="2380"/>
      <c r="I440" s="2380"/>
      <c r="J440" s="2380"/>
      <c r="K440" s="2380"/>
      <c r="L440" s="2380"/>
      <c r="M440" s="2380"/>
      <c r="Q440" s="855"/>
    </row>
    <row r="441" spans="1:32" ht="14.1" customHeight="1">
      <c r="A441" s="2372" t="s">
        <v>3794</v>
      </c>
      <c r="B441" s="4" t="s">
        <v>2720</v>
      </c>
      <c r="C441" s="4"/>
      <c r="D441" s="86"/>
      <c r="E441" s="2380"/>
      <c r="F441" s="2380"/>
      <c r="G441" s="2380"/>
      <c r="H441" s="2380"/>
      <c r="O441" s="131" t="s">
        <v>1821</v>
      </c>
      <c r="P441" s="2808"/>
      <c r="Q441" s="2809"/>
    </row>
    <row r="442" spans="1:32" ht="14.1" customHeight="1">
      <c r="B442" s="86" t="s">
        <v>4459</v>
      </c>
      <c r="C442" s="4"/>
      <c r="D442" s="86"/>
      <c r="E442" s="2380"/>
      <c r="F442" s="2380"/>
      <c r="G442" s="2380"/>
      <c r="H442" s="2380"/>
    </row>
    <row r="443" spans="1:32" s="132" customFormat="1" ht="21.75" customHeight="1">
      <c r="A443" s="141" t="s">
        <v>1936</v>
      </c>
      <c r="B443" s="2769" t="s">
        <v>3693</v>
      </c>
      <c r="C443" s="2769"/>
      <c r="D443" s="2769"/>
      <c r="E443" s="2769"/>
      <c r="F443" s="2769"/>
      <c r="G443" s="2769"/>
      <c r="H443" s="2769"/>
      <c r="I443" s="2769"/>
      <c r="J443" s="2769"/>
      <c r="K443" s="2769"/>
      <c r="L443" s="2769"/>
      <c r="M443" s="2769"/>
      <c r="N443" s="2769"/>
      <c r="O443" s="160" t="s">
        <v>1936</v>
      </c>
      <c r="P443" s="2268" t="s">
        <v>7084</v>
      </c>
      <c r="Q443" s="1088"/>
      <c r="AE443" s="458"/>
      <c r="AF443" s="458"/>
    </row>
    <row r="444" spans="1:32" s="132" customFormat="1" ht="22.5" customHeight="1">
      <c r="A444" s="141" t="s">
        <v>1938</v>
      </c>
      <c r="B444" s="2769" t="s">
        <v>3692</v>
      </c>
      <c r="C444" s="2769"/>
      <c r="D444" s="2769"/>
      <c r="E444" s="2769"/>
      <c r="F444" s="2769"/>
      <c r="G444" s="2769"/>
      <c r="H444" s="2769"/>
      <c r="I444" s="2769"/>
      <c r="J444" s="2769"/>
      <c r="K444" s="2769"/>
      <c r="L444" s="2769"/>
      <c r="M444" s="2769"/>
      <c r="N444" s="2769"/>
      <c r="O444" s="160" t="s">
        <v>1938</v>
      </c>
      <c r="P444" s="2386" t="s">
        <v>7084</v>
      </c>
      <c r="Q444" s="2393"/>
      <c r="AE444" s="458"/>
      <c r="AF444" s="458"/>
    </row>
    <row r="445" spans="1:32" s="132" customFormat="1" ht="22.5" customHeight="1">
      <c r="B445" s="1488" t="s">
        <v>1694</v>
      </c>
      <c r="C445" s="2769" t="s">
        <v>4415</v>
      </c>
      <c r="D445" s="2769"/>
      <c r="E445" s="2769"/>
      <c r="F445" s="2769"/>
      <c r="G445" s="2769"/>
      <c r="H445" s="2769"/>
      <c r="I445" s="2769"/>
      <c r="J445" s="2769"/>
      <c r="K445" s="2769"/>
      <c r="L445" s="2769"/>
      <c r="M445" s="2769"/>
      <c r="N445" s="2769"/>
      <c r="O445" s="160" t="s">
        <v>1694</v>
      </c>
      <c r="P445" s="2386" t="s">
        <v>7084</v>
      </c>
      <c r="Q445" s="2393"/>
      <c r="AE445" s="458"/>
      <c r="AF445" s="458"/>
    </row>
    <row r="446" spans="1:32" s="42" customFormat="1" ht="12" customHeight="1">
      <c r="B446" s="1488" t="s">
        <v>1695</v>
      </c>
      <c r="C446" s="36" t="s">
        <v>4416</v>
      </c>
      <c r="D446" s="1065"/>
      <c r="E446" s="1065"/>
      <c r="F446" s="1065"/>
      <c r="G446" s="1065"/>
      <c r="H446" s="1065"/>
      <c r="I446" s="1065"/>
      <c r="J446" s="1065"/>
      <c r="K446" s="1065"/>
      <c r="L446" s="1065"/>
      <c r="M446" s="1065"/>
      <c r="N446" s="1065"/>
      <c r="O446" s="455" t="s">
        <v>1695</v>
      </c>
      <c r="P446" s="2257" t="s">
        <v>7084</v>
      </c>
      <c r="Q446" s="519"/>
      <c r="AE446" s="50"/>
      <c r="AF446" s="50"/>
    </row>
    <row r="447" spans="1:32" s="132" customFormat="1" ht="33" customHeight="1">
      <c r="B447" s="468" t="s">
        <v>1696</v>
      </c>
      <c r="C447" s="2769" t="s">
        <v>4417</v>
      </c>
      <c r="D447" s="2769"/>
      <c r="E447" s="2769"/>
      <c r="F447" s="2769"/>
      <c r="G447" s="2769"/>
      <c r="H447" s="2769"/>
      <c r="I447" s="2769"/>
      <c r="J447" s="2769"/>
      <c r="K447" s="2769"/>
      <c r="L447" s="2769"/>
      <c r="M447" s="2769"/>
      <c r="N447" s="2769"/>
      <c r="O447" s="160" t="s">
        <v>1696</v>
      </c>
      <c r="P447" s="2386" t="s">
        <v>7084</v>
      </c>
      <c r="Q447" s="2393"/>
      <c r="AE447" s="458"/>
      <c r="AF447" s="458"/>
    </row>
    <row r="448" spans="1:32" s="132" customFormat="1" ht="22.5" customHeight="1">
      <c r="B448" s="468" t="s">
        <v>2305</v>
      </c>
      <c r="C448" s="2769" t="s">
        <v>4418</v>
      </c>
      <c r="D448" s="2769"/>
      <c r="E448" s="2769"/>
      <c r="F448" s="2769"/>
      <c r="G448" s="2769"/>
      <c r="H448" s="2769"/>
      <c r="I448" s="2769"/>
      <c r="J448" s="2769"/>
      <c r="K448" s="2769"/>
      <c r="L448" s="2769"/>
      <c r="M448" s="2769"/>
      <c r="N448" s="2769"/>
      <c r="O448" s="160" t="s">
        <v>2305</v>
      </c>
      <c r="P448" s="2386" t="s">
        <v>7084</v>
      </c>
      <c r="Q448" s="2393"/>
      <c r="AE448" s="458"/>
      <c r="AF448" s="458"/>
    </row>
    <row r="449" spans="1:32" s="132" customFormat="1" ht="22.5" customHeight="1">
      <c r="A449" s="141" t="s">
        <v>731</v>
      </c>
      <c r="B449" s="2769" t="s">
        <v>3694</v>
      </c>
      <c r="C449" s="2769"/>
      <c r="D449" s="2769"/>
      <c r="E449" s="2769"/>
      <c r="F449" s="2769"/>
      <c r="G449" s="2769"/>
      <c r="H449" s="2769"/>
      <c r="I449" s="2769"/>
      <c r="J449" s="2769"/>
      <c r="K449" s="2769"/>
      <c r="L449" s="2769"/>
      <c r="M449" s="2769"/>
      <c r="N449" s="2769"/>
      <c r="O449" s="160" t="s">
        <v>731</v>
      </c>
      <c r="P449" s="2386" t="s">
        <v>7084</v>
      </c>
      <c r="Q449" s="2393"/>
      <c r="AE449" s="458"/>
      <c r="AF449" s="458"/>
    </row>
    <row r="450" spans="1:32" s="132" customFormat="1" ht="22.5" customHeight="1">
      <c r="A450" s="141" t="s">
        <v>2065</v>
      </c>
      <c r="B450" s="2769" t="s">
        <v>4501</v>
      </c>
      <c r="C450" s="2769"/>
      <c r="D450" s="2769"/>
      <c r="E450" s="2769"/>
      <c r="F450" s="2769"/>
      <c r="G450" s="2769"/>
      <c r="H450" s="2769"/>
      <c r="I450" s="2769"/>
      <c r="J450" s="2769"/>
      <c r="K450" s="2769"/>
      <c r="L450" s="2769"/>
      <c r="M450" s="2769"/>
      <c r="N450" s="2769"/>
      <c r="O450" s="160" t="s">
        <v>2065</v>
      </c>
      <c r="P450" s="2386" t="s">
        <v>7084</v>
      </c>
      <c r="Q450" s="2393"/>
      <c r="AE450" s="458"/>
      <c r="AF450" s="458"/>
    </row>
    <row r="451" spans="1:32" s="132" customFormat="1" ht="21.75" customHeight="1">
      <c r="A451" s="141" t="s">
        <v>1692</v>
      </c>
      <c r="B451" s="2769" t="s">
        <v>4502</v>
      </c>
      <c r="C451" s="2769"/>
      <c r="D451" s="2769"/>
      <c r="E451" s="2769"/>
      <c r="F451" s="2769"/>
      <c r="G451" s="2769"/>
      <c r="H451" s="2769"/>
      <c r="I451" s="2769"/>
      <c r="J451" s="2769"/>
      <c r="K451" s="2769"/>
      <c r="L451" s="2769"/>
      <c r="M451" s="2769"/>
      <c r="N451" s="2769"/>
      <c r="O451" s="160" t="s">
        <v>1692</v>
      </c>
      <c r="P451" s="2386" t="s">
        <v>7084</v>
      </c>
      <c r="Q451" s="2393"/>
      <c r="AE451" s="458"/>
      <c r="AF451" s="458"/>
    </row>
    <row r="452" spans="1:32" s="411" customFormat="1" ht="21.75" customHeight="1">
      <c r="A452" s="141" t="s">
        <v>1693</v>
      </c>
      <c r="B452" s="2769" t="s">
        <v>4565</v>
      </c>
      <c r="C452" s="2769"/>
      <c r="D452" s="2769"/>
      <c r="E452" s="2769"/>
      <c r="F452" s="2769"/>
      <c r="G452" s="2769"/>
      <c r="H452" s="2769"/>
      <c r="I452" s="2769"/>
      <c r="J452" s="2769"/>
      <c r="K452" s="2769"/>
      <c r="L452" s="2769"/>
      <c r="M452" s="2769"/>
      <c r="N452" s="2769"/>
      <c r="O452" s="160" t="s">
        <v>1693</v>
      </c>
      <c r="P452" s="2387" t="s">
        <v>7084</v>
      </c>
      <c r="Q452" s="2253"/>
      <c r="AE452" s="460"/>
      <c r="AF452" s="460"/>
    </row>
    <row r="453" spans="1:32" ht="11.25" customHeight="1">
      <c r="B453" s="140" t="s">
        <v>3565</v>
      </c>
      <c r="D453" s="140"/>
      <c r="E453" s="140"/>
      <c r="F453" s="140"/>
      <c r="G453" s="140"/>
      <c r="H453" s="40"/>
      <c r="I453" s="2397"/>
      <c r="J453" s="2397"/>
      <c r="K453" s="2397"/>
      <c r="L453" s="2374"/>
      <c r="M453" s="2374"/>
      <c r="N453" s="2374"/>
      <c r="O453" s="2374"/>
      <c r="P453" s="2374"/>
      <c r="Q453" s="855"/>
    </row>
    <row r="454" spans="1:32" ht="33.6" customHeight="1">
      <c r="A454" s="2729" t="s">
        <v>7115</v>
      </c>
      <c r="B454" s="2730"/>
      <c r="C454" s="2730"/>
      <c r="D454" s="2730"/>
      <c r="E454" s="2730"/>
      <c r="F454" s="2730"/>
      <c r="G454" s="2730"/>
      <c r="H454" s="2730"/>
      <c r="I454" s="2730"/>
      <c r="J454" s="2730"/>
      <c r="K454" s="2730"/>
      <c r="L454" s="2730"/>
      <c r="M454" s="2730"/>
      <c r="N454" s="2730"/>
      <c r="O454" s="2730"/>
      <c r="P454" s="2730"/>
      <c r="Q454" s="2731"/>
      <c r="R454" s="440" t="s">
        <v>1228</v>
      </c>
      <c r="S454" s="441"/>
      <c r="U454" s="135"/>
      <c r="V454" s="135"/>
      <c r="W454" s="135"/>
      <c r="X454" s="135"/>
      <c r="Y454" s="135"/>
      <c r="Z454" s="135"/>
      <c r="AA454" s="135"/>
      <c r="AB454" s="135"/>
      <c r="AC454" s="135"/>
      <c r="AD454" s="135"/>
      <c r="AE454" s="457"/>
    </row>
    <row r="455" spans="1:32" ht="11.25" customHeight="1">
      <c r="B455" s="136" t="s">
        <v>1820</v>
      </c>
      <c r="C455" s="137"/>
      <c r="D455" s="2380"/>
      <c r="E455" s="2380"/>
      <c r="F455" s="2380"/>
      <c r="G455" s="2380"/>
      <c r="H455" s="2380"/>
      <c r="I455" s="2380"/>
      <c r="J455" s="2380"/>
      <c r="K455" s="2380"/>
      <c r="L455" s="2380"/>
      <c r="M455" s="2380"/>
      <c r="N455" s="2380"/>
      <c r="O455" s="2380"/>
      <c r="P455" s="2380"/>
      <c r="Q455" s="2380"/>
    </row>
    <row r="456" spans="1:32" ht="33.6" customHeight="1">
      <c r="A456" s="2848"/>
      <c r="B456" s="2849"/>
      <c r="C456" s="2849"/>
      <c r="D456" s="2849"/>
      <c r="E456" s="2849"/>
      <c r="F456" s="2849"/>
      <c r="G456" s="2849"/>
      <c r="H456" s="2849"/>
      <c r="I456" s="2849"/>
      <c r="J456" s="2849"/>
      <c r="K456" s="2849"/>
      <c r="L456" s="2849"/>
      <c r="M456" s="2849"/>
      <c r="N456" s="2849"/>
      <c r="O456" s="2849"/>
      <c r="P456" s="2849"/>
      <c r="Q456" s="2850"/>
    </row>
    <row r="457" spans="1:32" ht="3" customHeight="1">
      <c r="A457" s="2374"/>
      <c r="B457" s="2397"/>
      <c r="C457" s="2380"/>
      <c r="D457" s="2380"/>
      <c r="E457" s="2380"/>
      <c r="F457" s="2380"/>
      <c r="G457" s="2380"/>
      <c r="H457" s="2380"/>
      <c r="I457" s="2380"/>
      <c r="J457" s="2380"/>
      <c r="K457" s="2380"/>
      <c r="L457" s="2380"/>
      <c r="M457" s="2380"/>
      <c r="Q457" s="855"/>
    </row>
    <row r="458" spans="1:32" s="43" customFormat="1" ht="12.75" customHeight="1" thickBot="1">
      <c r="A458" s="2372" t="s">
        <v>3795</v>
      </c>
      <c r="C458" s="10" t="s">
        <v>2639</v>
      </c>
      <c r="D458" s="58"/>
      <c r="E458" s="52"/>
      <c r="J458" s="61"/>
      <c r="M458" s="2373"/>
      <c r="N458" s="6"/>
      <c r="O458" s="131" t="s">
        <v>1821</v>
      </c>
      <c r="P458" s="2808"/>
      <c r="Q458" s="2809"/>
    </row>
    <row r="459" spans="1:32" s="409" customFormat="1" ht="15" customHeight="1" thickBot="1">
      <c r="A459" s="141" t="s">
        <v>1936</v>
      </c>
      <c r="B459" s="2769" t="s">
        <v>4585</v>
      </c>
      <c r="C459" s="2769"/>
      <c r="D459" s="2769"/>
      <c r="E459" s="2769"/>
      <c r="F459" s="2769"/>
      <c r="G459" s="2769"/>
      <c r="H459" s="2769"/>
      <c r="I459" s="2769"/>
      <c r="J459" s="2741" t="s">
        <v>4455</v>
      </c>
      <c r="K459" s="2899"/>
      <c r="L459" s="1599" t="s">
        <v>4587</v>
      </c>
      <c r="M459" s="1517"/>
      <c r="N459" s="1513">
        <f>ROUNDUP('Part VI-Revenues &amp; Expenses'!$P$63*0.1,0)</f>
        <v>8</v>
      </c>
      <c r="O459" s="388" t="s">
        <v>1936</v>
      </c>
      <c r="P459" s="2888" t="s">
        <v>7084</v>
      </c>
      <c r="Q459" s="4157"/>
      <c r="R459" s="1512"/>
      <c r="S459" s="1512"/>
    </row>
    <row r="460" spans="1:32" s="409" customFormat="1" ht="15" customHeight="1">
      <c r="B460" s="2769"/>
      <c r="C460" s="2769"/>
      <c r="D460" s="2769"/>
      <c r="E460" s="2769"/>
      <c r="F460" s="2769"/>
      <c r="G460" s="2769"/>
      <c r="H460" s="2769"/>
      <c r="I460" s="2769"/>
      <c r="J460" s="2900">
        <f>'Part VI-Revenues &amp; Expenses'!$P$100</f>
        <v>0</v>
      </c>
      <c r="K460" s="2900"/>
      <c r="L460" s="1597" t="s">
        <v>4456</v>
      </c>
      <c r="M460" s="92"/>
      <c r="N460" s="1600">
        <f>'Part VI-Revenues &amp; Expenses'!$P$63</f>
        <v>72</v>
      </c>
      <c r="P460" s="2744"/>
      <c r="Q460" s="2743"/>
      <c r="R460" s="1512"/>
      <c r="S460" s="1512"/>
    </row>
    <row r="461" spans="1:32" s="409" customFormat="1" ht="15" customHeight="1">
      <c r="A461" s="141"/>
      <c r="B461" s="2769"/>
      <c r="C461" s="2769"/>
      <c r="D461" s="2769"/>
      <c r="E461" s="2769"/>
      <c r="F461" s="2769"/>
      <c r="G461" s="2769"/>
      <c r="H461" s="2769"/>
      <c r="I461" s="2769"/>
      <c r="J461" s="563"/>
      <c r="L461" s="856" t="s">
        <v>1749</v>
      </c>
      <c r="M461" s="92"/>
      <c r="N461" s="1602">
        <f>'Part VI-Revenues &amp; Expenses'!$P$67</f>
        <v>72</v>
      </c>
      <c r="P461" s="2744"/>
      <c r="Q461" s="2743"/>
    </row>
    <row r="462" spans="1:32" s="431" customFormat="1" ht="22.5" customHeight="1">
      <c r="A462" s="141" t="s">
        <v>1938</v>
      </c>
      <c r="B462" s="2769" t="s">
        <v>4591</v>
      </c>
      <c r="C462" s="2769"/>
      <c r="D462" s="2769"/>
      <c r="E462" s="2769"/>
      <c r="F462" s="2769"/>
      <c r="G462" s="2769"/>
      <c r="H462" s="2769"/>
      <c r="I462" s="2769"/>
      <c r="J462" s="2898" t="s">
        <v>4586</v>
      </c>
      <c r="K462" s="2803"/>
      <c r="L462" s="2895"/>
      <c r="M462" s="2896"/>
      <c r="N462" s="2897"/>
      <c r="O462" s="388" t="s">
        <v>1938</v>
      </c>
      <c r="P462" s="2386" t="s">
        <v>2886</v>
      </c>
      <c r="Q462" s="2393"/>
    </row>
    <row r="463" spans="1:32" s="431" customFormat="1" ht="12" customHeight="1" thickBot="1">
      <c r="A463" s="141" t="s">
        <v>731</v>
      </c>
      <c r="B463" s="2769" t="s">
        <v>4359</v>
      </c>
      <c r="C463" s="2769"/>
      <c r="D463" s="2769"/>
      <c r="E463" s="2769"/>
      <c r="F463" s="2769"/>
      <c r="G463" s="2769"/>
      <c r="H463" s="2769"/>
      <c r="I463" s="2769"/>
      <c r="J463" s="1065" t="s">
        <v>4279</v>
      </c>
      <c r="K463" s="1467">
        <f>'Part VI-Revenues &amp; Expenses'!$P$115</f>
        <v>72</v>
      </c>
      <c r="L463" s="1598" t="s">
        <v>4278</v>
      </c>
      <c r="M463" s="92"/>
      <c r="N463" s="1601">
        <f>ROUNDUP(N461*0.1,0)</f>
        <v>8</v>
      </c>
      <c r="O463" s="388" t="s">
        <v>731</v>
      </c>
      <c r="P463" s="2744" t="s">
        <v>2886</v>
      </c>
      <c r="Q463" s="2743"/>
      <c r="R463" s="1512"/>
      <c r="S463" s="1512"/>
    </row>
    <row r="464" spans="1:32" s="431" customFormat="1" ht="12" customHeight="1" thickBot="1">
      <c r="B464" s="2769"/>
      <c r="C464" s="2769"/>
      <c r="D464" s="2769"/>
      <c r="E464" s="2769"/>
      <c r="F464" s="2769"/>
      <c r="G464" s="2769"/>
      <c r="H464" s="2769"/>
      <c r="I464" s="2769"/>
      <c r="J464" s="1065" t="s">
        <v>4280</v>
      </c>
      <c r="K464" s="1468">
        <f>IF(N461=0,"",K463/N461)</f>
        <v>1</v>
      </c>
      <c r="L464" s="1515" t="s">
        <v>4454</v>
      </c>
      <c r="M464" s="1516"/>
      <c r="N464" s="1514">
        <f>'Part VI-Revenues &amp; Expenses'!$L$67/'Part VI-Revenues &amp; Expenses'!$P$67</f>
        <v>0.27777777777777779</v>
      </c>
      <c r="O464" s="388" t="str">
        <f>IF(AND(N464&lt;0.1,P463="Yes"), "Check!","")</f>
        <v/>
      </c>
      <c r="P464" s="2887"/>
      <c r="Q464" s="4158"/>
      <c r="R464" s="1512"/>
      <c r="S464" s="1512"/>
    </row>
    <row r="465" spans="1:32" s="94" customFormat="1" ht="12" customHeight="1">
      <c r="A465" s="47" t="s">
        <v>2065</v>
      </c>
      <c r="B465" s="554" t="s">
        <v>1939</v>
      </c>
      <c r="C465" s="1596" t="s">
        <v>4281</v>
      </c>
      <c r="D465" s="1596"/>
      <c r="E465" s="1596"/>
      <c r="F465" s="1596"/>
      <c r="G465" s="1596"/>
      <c r="H465" s="1596"/>
      <c r="I465" s="1596"/>
      <c r="J465" s="1596"/>
      <c r="K465" s="1596"/>
      <c r="L465" s="1596"/>
      <c r="M465" s="1596"/>
      <c r="N465" s="1596"/>
      <c r="O465" s="1603" t="s">
        <v>4588</v>
      </c>
      <c r="P465" s="2256" t="s">
        <v>2889</v>
      </c>
      <c r="Q465" s="518"/>
      <c r="AE465" s="461"/>
      <c r="AF465" s="461"/>
    </row>
    <row r="466" spans="1:32" s="94" customFormat="1">
      <c r="B466" s="554" t="s">
        <v>1941</v>
      </c>
      <c r="C466" s="1596" t="s">
        <v>4589</v>
      </c>
      <c r="D466" s="1596"/>
      <c r="E466" s="1596"/>
      <c r="F466" s="1596"/>
      <c r="G466" s="1596"/>
      <c r="H466" s="1596"/>
      <c r="I466" s="1596"/>
      <c r="J466" s="1596"/>
      <c r="K466" s="1596"/>
      <c r="L466" s="1596"/>
      <c r="M466" s="1596"/>
      <c r="N466" s="1596"/>
      <c r="O466" s="1603" t="s">
        <v>4590</v>
      </c>
      <c r="P466" s="2258" t="s">
        <v>7011</v>
      </c>
      <c r="Q466" s="520"/>
      <c r="AE466" s="461"/>
      <c r="AF466" s="461"/>
    </row>
    <row r="467" spans="1:32" s="43" customFormat="1" ht="11.25" customHeight="1">
      <c r="A467" s="42"/>
      <c r="B467" s="95" t="s">
        <v>3565</v>
      </c>
      <c r="C467" s="42"/>
      <c r="D467" s="48"/>
      <c r="E467" s="48"/>
      <c r="F467" s="48"/>
      <c r="G467" s="48"/>
      <c r="H467" s="36"/>
      <c r="I467" s="36"/>
      <c r="J467" s="36"/>
      <c r="K467" s="36"/>
      <c r="M467" s="46"/>
      <c r="N467" s="62"/>
      <c r="O467" s="3"/>
      <c r="P467" s="2377"/>
    </row>
    <row r="468" spans="1:32" s="43" customFormat="1" ht="21.75" customHeight="1">
      <c r="A468" s="2729" t="s">
        <v>7116</v>
      </c>
      <c r="B468" s="2730"/>
      <c r="C468" s="2730"/>
      <c r="D468" s="2730"/>
      <c r="E468" s="2730"/>
      <c r="F468" s="2730"/>
      <c r="G468" s="2730"/>
      <c r="H468" s="2730"/>
      <c r="I468" s="2730"/>
      <c r="J468" s="2730"/>
      <c r="K468" s="2730"/>
      <c r="L468" s="2730"/>
      <c r="M468" s="2730"/>
      <c r="N468" s="2730"/>
      <c r="O468" s="2730"/>
      <c r="P468" s="2730"/>
      <c r="Q468" s="2731"/>
      <c r="R468" s="1027" t="s">
        <v>1228</v>
      </c>
    </row>
    <row r="469" spans="1:32" s="43" customFormat="1" ht="10.5" customHeight="1">
      <c r="B469" s="85" t="s">
        <v>1820</v>
      </c>
      <c r="C469" s="98"/>
      <c r="D469" s="85"/>
      <c r="E469" s="99"/>
      <c r="F469" s="2380"/>
      <c r="G469" s="2380"/>
      <c r="H469" s="2380"/>
      <c r="I469" s="2380"/>
      <c r="J469" s="2380"/>
      <c r="K469" s="2380"/>
      <c r="L469" s="2380"/>
      <c r="M469" s="2380"/>
      <c r="N469" s="74"/>
      <c r="O469" s="70"/>
      <c r="P469" s="2373"/>
      <c r="Q469" s="422"/>
    </row>
    <row r="470" spans="1:32" s="43" customFormat="1" ht="11.25" customHeight="1">
      <c r="A470" s="2848"/>
      <c r="B470" s="2849"/>
      <c r="C470" s="2849"/>
      <c r="D470" s="2849"/>
      <c r="E470" s="2849"/>
      <c r="F470" s="2849"/>
      <c r="G470" s="2849"/>
      <c r="H470" s="2849"/>
      <c r="I470" s="2849"/>
      <c r="J470" s="2849"/>
      <c r="K470" s="2849"/>
      <c r="L470" s="2849"/>
      <c r="M470" s="2849"/>
      <c r="N470" s="2849"/>
      <c r="O470" s="2849"/>
      <c r="P470" s="2849"/>
      <c r="Q470" s="2850"/>
    </row>
    <row r="471" spans="1:32" ht="3" customHeight="1">
      <c r="A471" s="2374"/>
      <c r="B471" s="2397"/>
      <c r="C471" s="2380"/>
      <c r="D471" s="2380"/>
      <c r="E471" s="2380"/>
      <c r="F471" s="2380"/>
      <c r="G471" s="2380"/>
      <c r="H471" s="2380"/>
      <c r="I471" s="2380"/>
      <c r="J471" s="2380"/>
      <c r="K471" s="2380"/>
      <c r="L471" s="2380"/>
      <c r="M471" s="2380"/>
      <c r="N471" s="2380"/>
      <c r="O471" s="2380"/>
      <c r="P471" s="2380"/>
      <c r="Q471" s="2374"/>
    </row>
    <row r="472" spans="1:32" ht="14.1" customHeight="1">
      <c r="A472" s="2372" t="s">
        <v>4276</v>
      </c>
      <c r="B472" s="4"/>
      <c r="C472" s="4" t="s">
        <v>2594</v>
      </c>
      <c r="D472" s="86"/>
      <c r="E472" s="2380"/>
      <c r="F472" s="2380"/>
      <c r="G472" s="2380"/>
      <c r="H472" s="2380"/>
      <c r="J472" s="2380"/>
      <c r="K472" s="2380"/>
      <c r="L472" s="2380"/>
      <c r="M472" s="2380"/>
      <c r="O472" s="131" t="s">
        <v>1821</v>
      </c>
      <c r="P472" s="2808"/>
      <c r="Q472" s="2809"/>
    </row>
    <row r="473" spans="1:32" ht="11.25" customHeight="1">
      <c r="A473" s="2372"/>
      <c r="B473" s="140" t="s">
        <v>3565</v>
      </c>
      <c r="D473" s="140"/>
      <c r="E473" s="140"/>
      <c r="F473" s="140"/>
      <c r="G473" s="140"/>
      <c r="H473" s="40"/>
      <c r="I473" s="2397"/>
      <c r="J473" s="2397"/>
      <c r="K473" s="2397"/>
      <c r="L473" s="2374"/>
      <c r="M473" s="2374"/>
      <c r="N473" s="2374"/>
      <c r="O473" s="2374"/>
      <c r="P473" s="2374"/>
      <c r="Q473" s="855"/>
    </row>
    <row r="474" spans="1:32" ht="39" customHeight="1">
      <c r="A474" s="2729" t="s">
        <v>7117</v>
      </c>
      <c r="B474" s="2730"/>
      <c r="C474" s="2730"/>
      <c r="D474" s="2730"/>
      <c r="E474" s="2730"/>
      <c r="F474" s="2730"/>
      <c r="G474" s="2730"/>
      <c r="H474" s="2730"/>
      <c r="I474" s="2730"/>
      <c r="J474" s="2730"/>
      <c r="K474" s="2730"/>
      <c r="L474" s="2730"/>
      <c r="M474" s="2730"/>
      <c r="N474" s="2730"/>
      <c r="O474" s="2730"/>
      <c r="P474" s="2730"/>
      <c r="Q474" s="2731"/>
      <c r="R474" s="440" t="s">
        <v>1228</v>
      </c>
      <c r="S474" s="441"/>
      <c r="U474" s="135"/>
      <c r="V474" s="135"/>
      <c r="W474" s="135"/>
      <c r="X474" s="135"/>
      <c r="Y474" s="135"/>
      <c r="Z474" s="135"/>
      <c r="AA474" s="135"/>
      <c r="AB474" s="135"/>
      <c r="AC474" s="135"/>
      <c r="AD474" s="135"/>
      <c r="AE474" s="457"/>
    </row>
    <row r="475" spans="1:32" ht="11.25" customHeight="1">
      <c r="B475" s="136" t="s">
        <v>1820</v>
      </c>
      <c r="C475" s="137"/>
      <c r="D475" s="2380"/>
      <c r="E475" s="2380"/>
      <c r="F475" s="2380"/>
      <c r="G475" s="2380"/>
      <c r="H475" s="2380"/>
      <c r="I475" s="2380"/>
      <c r="J475" s="2380"/>
      <c r="K475" s="2380"/>
      <c r="L475" s="2380"/>
      <c r="M475" s="2380"/>
      <c r="N475" s="2380"/>
      <c r="O475" s="2380"/>
      <c r="P475" s="2380"/>
      <c r="Q475" s="2380"/>
    </row>
    <row r="476" spans="1:32" ht="22.5" customHeight="1">
      <c r="A476" s="2848"/>
      <c r="B476" s="2849"/>
      <c r="C476" s="2849"/>
      <c r="D476" s="2849"/>
      <c r="E476" s="2849"/>
      <c r="F476" s="2849"/>
      <c r="G476" s="2849"/>
      <c r="H476" s="2849"/>
      <c r="I476" s="2849"/>
      <c r="J476" s="2849"/>
      <c r="K476" s="2849"/>
      <c r="L476" s="2849"/>
      <c r="M476" s="2849"/>
      <c r="N476" s="2849"/>
      <c r="O476" s="2849"/>
      <c r="P476" s="2849"/>
      <c r="Q476" s="2850"/>
    </row>
    <row r="477" spans="1:32" ht="3" customHeight="1">
      <c r="A477" s="2374"/>
      <c r="B477" s="2397"/>
      <c r="C477" s="2380"/>
      <c r="D477" s="2380"/>
      <c r="E477" s="2380"/>
      <c r="F477" s="2380"/>
      <c r="G477" s="2380"/>
      <c r="H477" s="2380"/>
      <c r="I477" s="2380"/>
      <c r="J477" s="2380"/>
      <c r="K477" s="2380"/>
      <c r="L477" s="2380"/>
      <c r="M477" s="2380"/>
      <c r="N477" s="2380"/>
      <c r="O477" s="2380"/>
      <c r="P477" s="2380"/>
      <c r="Q477" s="2374"/>
    </row>
    <row r="478" spans="1:32" ht="3" customHeight="1">
      <c r="A478" s="2374"/>
      <c r="B478" s="2397"/>
      <c r="C478" s="2380"/>
      <c r="D478" s="2380"/>
      <c r="E478" s="2380"/>
      <c r="F478" s="2380"/>
      <c r="G478" s="2380"/>
      <c r="H478" s="2380"/>
      <c r="I478" s="2380"/>
      <c r="J478" s="2380"/>
      <c r="K478" s="2380"/>
      <c r="L478" s="2380"/>
      <c r="M478" s="2380"/>
      <c r="N478" s="2380"/>
      <c r="O478" s="2380"/>
      <c r="P478" s="2380"/>
      <c r="Q478" s="2374"/>
    </row>
    <row r="479" spans="1:32" ht="14.1" customHeight="1">
      <c r="A479" s="2372" t="s">
        <v>4277</v>
      </c>
      <c r="B479" s="4"/>
      <c r="C479" s="4" t="s">
        <v>4696</v>
      </c>
      <c r="D479" s="86"/>
      <c r="E479" s="2380"/>
      <c r="F479" s="2380"/>
      <c r="G479" s="2380"/>
      <c r="H479" s="2380"/>
      <c r="I479" s="2380"/>
      <c r="J479" s="2380"/>
      <c r="K479" s="2380"/>
      <c r="L479" s="2380"/>
      <c r="M479" s="2380"/>
      <c r="O479" s="131" t="s">
        <v>1821</v>
      </c>
      <c r="P479" s="2808"/>
      <c r="Q479" s="2809"/>
    </row>
    <row r="480" spans="1:32" s="102" customFormat="1" ht="11.25" customHeight="1">
      <c r="B480" s="179" t="s">
        <v>4282</v>
      </c>
      <c r="D480" s="61"/>
      <c r="E480" s="61"/>
      <c r="F480" s="44"/>
      <c r="G480" s="27"/>
      <c r="L480" s="374"/>
      <c r="M480" s="374"/>
      <c r="N480" s="374"/>
      <c r="O480" s="374"/>
      <c r="P480" s="374"/>
      <c r="Q480" s="374"/>
      <c r="R480" s="374"/>
      <c r="T480" s="1023"/>
      <c r="U480" s="1023"/>
    </row>
    <row r="481" spans="1:32" s="102" customFormat="1" ht="10.5" customHeight="1">
      <c r="A481" s="138"/>
      <c r="B481" s="40" t="s">
        <v>4360</v>
      </c>
      <c r="D481" s="61"/>
      <c r="E481" s="61"/>
      <c r="F481" s="44"/>
      <c r="G481" s="27"/>
      <c r="K481" s="455"/>
      <c r="M481" s="7"/>
      <c r="N481" s="455"/>
      <c r="P481" s="2259" t="s">
        <v>948</v>
      </c>
      <c r="Q481" s="517"/>
      <c r="R481" s="387"/>
      <c r="T481" s="1023"/>
      <c r="U481" s="1023"/>
    </row>
    <row r="482" spans="1:32" s="147" customFormat="1" ht="12" customHeight="1">
      <c r="A482" s="594"/>
      <c r="B482" s="594"/>
      <c r="C482" s="594"/>
      <c r="D482" s="594"/>
      <c r="E482" s="594"/>
      <c r="F482" s="594"/>
      <c r="G482" s="594"/>
      <c r="H482" s="594"/>
      <c r="I482" s="594"/>
      <c r="J482" s="594"/>
      <c r="K482" s="594"/>
      <c r="L482" s="594"/>
      <c r="M482" s="594"/>
      <c r="N482" s="594"/>
      <c r="O482" s="594"/>
      <c r="P482" s="594"/>
      <c r="Q482" s="594"/>
      <c r="AE482" s="459"/>
      <c r="AF482" s="459"/>
    </row>
    <row r="483" spans="1:32" s="998" customFormat="1" ht="10.199999999999999">
      <c r="C483" s="998" t="s">
        <v>1727</v>
      </c>
      <c r="D483" s="997"/>
      <c r="E483" s="997"/>
      <c r="F483" s="997"/>
      <c r="G483" s="997"/>
      <c r="H483" s="997"/>
      <c r="I483" s="997"/>
      <c r="J483" s="1469" t="s">
        <v>1619</v>
      </c>
      <c r="K483" s="997"/>
      <c r="N483" s="999"/>
      <c r="O483" s="1469" t="s">
        <v>4732</v>
      </c>
      <c r="P483" s="1000"/>
      <c r="AE483" s="1721"/>
      <c r="AF483" s="1721"/>
    </row>
    <row r="484" spans="1:32" s="998" customFormat="1" ht="10.199999999999999">
      <c r="C484" s="1001" t="s">
        <v>1363</v>
      </c>
      <c r="D484" s="997"/>
      <c r="E484" s="997"/>
      <c r="F484" s="997"/>
      <c r="G484" s="997"/>
      <c r="H484" s="997"/>
      <c r="I484" s="997"/>
      <c r="J484" s="1469" t="s">
        <v>2056</v>
      </c>
      <c r="K484" s="997"/>
      <c r="N484" s="999"/>
      <c r="O484" s="1469" t="s">
        <v>4733</v>
      </c>
      <c r="P484" s="1000"/>
      <c r="AE484" s="1721"/>
      <c r="AF484" s="1721"/>
    </row>
    <row r="485" spans="1:32" s="998" customFormat="1" ht="10.199999999999999">
      <c r="C485" s="1001" t="s">
        <v>1364</v>
      </c>
      <c r="D485" s="997"/>
      <c r="E485" s="997"/>
      <c r="F485" s="997"/>
      <c r="G485" s="997"/>
      <c r="H485" s="997"/>
      <c r="I485" s="997"/>
      <c r="J485" s="1469" t="s">
        <v>1612</v>
      </c>
      <c r="K485" s="997"/>
      <c r="N485" s="999"/>
      <c r="O485" s="1469" t="s">
        <v>4734</v>
      </c>
      <c r="P485" s="1000"/>
      <c r="AE485" s="1721"/>
      <c r="AF485" s="1721"/>
    </row>
    <row r="486" spans="1:32" s="998" customFormat="1" ht="10.199999999999999">
      <c r="C486" s="1470" t="s">
        <v>2083</v>
      </c>
      <c r="D486" s="997"/>
      <c r="E486" s="997"/>
      <c r="F486" s="997"/>
      <c r="G486" s="997"/>
      <c r="H486" s="997"/>
      <c r="I486" s="997"/>
      <c r="J486" s="1469" t="s">
        <v>1168</v>
      </c>
      <c r="K486" s="997"/>
      <c r="N486" s="999"/>
      <c r="O486" s="1469" t="s">
        <v>4738</v>
      </c>
      <c r="P486" s="1000"/>
      <c r="AE486" s="1721"/>
      <c r="AF486" s="1721"/>
    </row>
    <row r="487" spans="1:32" s="998" customFormat="1" ht="10.199999999999999">
      <c r="C487" s="1470" t="s">
        <v>1360</v>
      </c>
      <c r="D487" s="997"/>
      <c r="E487" s="997"/>
      <c r="F487" s="997"/>
      <c r="G487" s="997"/>
      <c r="H487" s="997"/>
      <c r="I487" s="997"/>
      <c r="J487" s="1469" t="s">
        <v>574</v>
      </c>
      <c r="K487" s="997"/>
      <c r="N487" s="999"/>
      <c r="O487" s="1469" t="s">
        <v>4735</v>
      </c>
      <c r="P487" s="1000"/>
      <c r="AE487" s="1721"/>
      <c r="AF487" s="1721"/>
    </row>
    <row r="488" spans="1:32" s="998" customFormat="1" ht="10.199999999999999">
      <c r="C488" s="1470" t="s">
        <v>1361</v>
      </c>
      <c r="D488" s="997"/>
      <c r="E488" s="997"/>
      <c r="F488" s="997"/>
      <c r="G488" s="997"/>
      <c r="H488" s="997"/>
      <c r="I488" s="997"/>
      <c r="J488" s="1469" t="s">
        <v>1618</v>
      </c>
      <c r="K488" s="997"/>
      <c r="N488" s="999"/>
      <c r="O488" s="1469" t="s">
        <v>4736</v>
      </c>
      <c r="P488" s="1000"/>
      <c r="AE488" s="1721"/>
      <c r="AF488" s="1721"/>
    </row>
    <row r="489" spans="1:32" s="998" customFormat="1" ht="10.199999999999999">
      <c r="C489" s="1001" t="s">
        <v>2078</v>
      </c>
      <c r="D489" s="997"/>
      <c r="E489" s="997"/>
      <c r="F489" s="997"/>
      <c r="G489" s="997"/>
      <c r="H489" s="997"/>
      <c r="I489" s="997"/>
      <c r="J489" s="1469" t="s">
        <v>1163</v>
      </c>
      <c r="K489" s="997"/>
      <c r="N489" s="999"/>
      <c r="O489" s="1469" t="s">
        <v>4737</v>
      </c>
      <c r="P489" s="1000"/>
      <c r="AE489" s="1721"/>
      <c r="AF489" s="1721"/>
    </row>
    <row r="490" spans="1:32" s="998" customFormat="1" ht="10.199999999999999">
      <c r="C490" s="1001" t="s">
        <v>2079</v>
      </c>
      <c r="D490" s="997"/>
      <c r="E490" s="997"/>
      <c r="F490" s="997"/>
      <c r="G490" s="997"/>
      <c r="H490" s="997"/>
      <c r="I490" s="997"/>
      <c r="J490" s="1469" t="s">
        <v>1162</v>
      </c>
      <c r="N490" s="999"/>
      <c r="O490" s="998" t="s">
        <v>3625</v>
      </c>
      <c r="P490" s="1000"/>
      <c r="AE490" s="1721"/>
      <c r="AF490" s="1721"/>
    </row>
    <row r="491" spans="1:32" s="998" customFormat="1" ht="10.199999999999999">
      <c r="C491" s="1001" t="s">
        <v>2080</v>
      </c>
      <c r="J491" s="1469" t="s">
        <v>1682</v>
      </c>
      <c r="N491" s="999"/>
      <c r="O491" s="998" t="s">
        <v>3626</v>
      </c>
      <c r="P491" s="1000"/>
      <c r="AE491" s="1721"/>
      <c r="AF491" s="1721"/>
    </row>
    <row r="492" spans="1:32" s="998" customFormat="1" ht="10.199999999999999">
      <c r="C492" s="1001" t="s">
        <v>2081</v>
      </c>
      <c r="J492" s="1469" t="s">
        <v>1621</v>
      </c>
      <c r="N492" s="999"/>
      <c r="O492" s="1469"/>
      <c r="P492" s="1000"/>
      <c r="AE492" s="1721"/>
      <c r="AF492" s="1721"/>
    </row>
    <row r="493" spans="1:32" s="998" customFormat="1" ht="10.199999999999999">
      <c r="C493" s="1001" t="s">
        <v>2082</v>
      </c>
      <c r="J493" s="1469" t="s">
        <v>1613</v>
      </c>
      <c r="N493" s="999"/>
      <c r="O493" s="1000"/>
      <c r="P493" s="1000"/>
      <c r="AE493" s="1721"/>
      <c r="AF493" s="1721"/>
    </row>
    <row r="494" spans="1:32" s="998" customFormat="1" ht="10.199999999999999">
      <c r="C494" s="1001" t="s">
        <v>1362</v>
      </c>
      <c r="J494" s="1469" t="s">
        <v>2055</v>
      </c>
      <c r="N494" s="999"/>
      <c r="O494" s="1469"/>
      <c r="P494" s="1000"/>
      <c r="AE494" s="1721"/>
      <c r="AF494" s="1721"/>
    </row>
    <row r="495" spans="1:32" s="998" customFormat="1" ht="10.199999999999999">
      <c r="C495" s="1001" t="s">
        <v>2224</v>
      </c>
      <c r="N495" s="999"/>
      <c r="O495" s="1000"/>
      <c r="P495" s="1000"/>
      <c r="AE495" s="1721"/>
      <c r="AF495" s="1721"/>
    </row>
    <row r="496" spans="1:32" s="998" customFormat="1" ht="10.199999999999999">
      <c r="N496" s="999"/>
      <c r="O496" s="1000"/>
      <c r="P496" s="1000"/>
      <c r="AE496" s="1721"/>
      <c r="AF496" s="1721"/>
    </row>
    <row r="497" spans="3:32" s="997" customFormat="1" ht="10.199999999999999">
      <c r="C497" s="1003" t="s">
        <v>1556</v>
      </c>
      <c r="J497" s="1003" t="s">
        <v>3587</v>
      </c>
      <c r="O497" s="1000"/>
      <c r="AE497" s="1006"/>
      <c r="AF497" s="1006"/>
    </row>
    <row r="498" spans="3:32" s="997" customFormat="1" ht="10.199999999999999">
      <c r="C498" s="997" t="s">
        <v>1727</v>
      </c>
      <c r="J498" s="997" t="s">
        <v>4269</v>
      </c>
      <c r="AE498" s="1006"/>
      <c r="AF498" s="1006"/>
    </row>
    <row r="499" spans="3:32" s="997" customFormat="1" ht="10.199999999999999">
      <c r="C499" s="997" t="s">
        <v>2041</v>
      </c>
      <c r="E499" s="998"/>
      <c r="F499" s="998"/>
      <c r="G499" s="998"/>
      <c r="H499" s="998"/>
      <c r="I499" s="998"/>
      <c r="J499" s="998" t="s">
        <v>3580</v>
      </c>
      <c r="K499" s="998"/>
      <c r="L499" s="998"/>
      <c r="M499" s="998"/>
      <c r="AE499" s="1006"/>
      <c r="AF499" s="1006"/>
    </row>
    <row r="500" spans="3:32" s="997" customFormat="1" ht="10.199999999999999">
      <c r="C500" s="997" t="s">
        <v>2478</v>
      </c>
      <c r="D500" s="998"/>
      <c r="E500" s="998"/>
      <c r="F500" s="998"/>
      <c r="G500" s="998"/>
      <c r="I500" s="998"/>
      <c r="J500" s="998" t="s">
        <v>3581</v>
      </c>
      <c r="K500" s="998"/>
      <c r="L500" s="998"/>
      <c r="M500" s="998"/>
      <c r="AE500" s="1006"/>
      <c r="AF500" s="1006"/>
    </row>
    <row r="501" spans="3:32" s="997" customFormat="1" ht="10.199999999999999">
      <c r="C501" s="997" t="s">
        <v>2042</v>
      </c>
      <c r="D501" s="998"/>
      <c r="E501" s="998"/>
      <c r="F501" s="998"/>
      <c r="G501" s="998"/>
      <c r="H501" s="998"/>
      <c r="I501" s="998"/>
      <c r="J501" s="998" t="s">
        <v>4267</v>
      </c>
      <c r="K501" s="998"/>
      <c r="L501" s="998"/>
      <c r="M501" s="998"/>
      <c r="AE501" s="1006"/>
      <c r="AF501" s="1006"/>
    </row>
    <row r="502" spans="3:32" s="997" customFormat="1" ht="10.199999999999999">
      <c r="C502" s="997" t="s">
        <v>1611</v>
      </c>
      <c r="D502" s="998"/>
      <c r="E502" s="998"/>
      <c r="F502" s="998"/>
      <c r="G502" s="998"/>
      <c r="I502" s="998"/>
      <c r="J502" s="997" t="s">
        <v>3721</v>
      </c>
      <c r="K502" s="998"/>
      <c r="L502" s="998"/>
      <c r="M502" s="998"/>
      <c r="AE502" s="1006"/>
      <c r="AF502" s="1006"/>
    </row>
    <row r="503" spans="3:32" s="997" customFormat="1" ht="10.199999999999999">
      <c r="C503" s="1005" t="s">
        <v>1964</v>
      </c>
      <c r="D503" s="998"/>
      <c r="E503" s="998"/>
      <c r="F503" s="998"/>
      <c r="G503" s="998"/>
      <c r="I503" s="998"/>
      <c r="J503" s="998" t="s">
        <v>4268</v>
      </c>
      <c r="K503" s="998"/>
      <c r="L503" s="998"/>
      <c r="M503" s="998"/>
      <c r="AE503" s="1006"/>
      <c r="AF503" s="1006"/>
    </row>
    <row r="504" spans="3:32" s="997" customFormat="1" ht="10.199999999999999">
      <c r="C504" s="997" t="s">
        <v>225</v>
      </c>
      <c r="D504" s="998"/>
      <c r="E504" s="998"/>
      <c r="F504" s="998"/>
      <c r="G504" s="998"/>
      <c r="I504" s="998"/>
      <c r="J504" s="998" t="s">
        <v>3722</v>
      </c>
      <c r="K504" s="998"/>
      <c r="L504" s="998"/>
      <c r="M504" s="998"/>
      <c r="AE504" s="1006"/>
      <c r="AF504" s="1006"/>
    </row>
    <row r="505" spans="3:32" s="997" customFormat="1" ht="10.199999999999999">
      <c r="C505" s="997" t="s">
        <v>1612</v>
      </c>
      <c r="D505" s="998"/>
      <c r="E505" s="998"/>
      <c r="F505" s="998"/>
      <c r="G505" s="998"/>
      <c r="I505" s="998"/>
      <c r="J505" s="998"/>
      <c r="K505" s="998"/>
      <c r="L505" s="998"/>
      <c r="M505" s="998"/>
      <c r="AE505" s="1006"/>
      <c r="AF505" s="1006"/>
    </row>
    <row r="506" spans="3:32" s="997" customFormat="1" ht="10.199999999999999">
      <c r="C506" s="997" t="s">
        <v>1613</v>
      </c>
      <c r="D506" s="998"/>
      <c r="E506" s="998"/>
      <c r="F506" s="998"/>
      <c r="G506" s="998"/>
      <c r="I506" s="998"/>
      <c r="J506" s="998"/>
      <c r="K506" s="998"/>
      <c r="L506" s="998"/>
      <c r="M506" s="998"/>
      <c r="AE506" s="1006"/>
      <c r="AF506" s="1006"/>
    </row>
    <row r="507" spans="3:32" s="997" customFormat="1" ht="10.199999999999999">
      <c r="C507" s="997" t="s">
        <v>2440</v>
      </c>
      <c r="D507" s="998"/>
      <c r="E507" s="998"/>
      <c r="F507" s="998"/>
      <c r="G507" s="998"/>
      <c r="H507" s="998"/>
      <c r="I507" s="998"/>
      <c r="J507" s="998"/>
      <c r="K507" s="998"/>
      <c r="L507" s="998"/>
      <c r="M507" s="998"/>
      <c r="AE507" s="1006"/>
      <c r="AF507" s="1006"/>
    </row>
    <row r="508" spans="3:32" s="997" customFormat="1" ht="10.199999999999999">
      <c r="C508" s="997" t="s">
        <v>1557</v>
      </c>
      <c r="D508" s="998"/>
      <c r="E508" s="998"/>
      <c r="F508" s="998"/>
      <c r="G508" s="998"/>
      <c r="H508" s="998"/>
      <c r="I508" s="998"/>
      <c r="K508" s="998"/>
      <c r="L508" s="998"/>
      <c r="M508" s="998"/>
      <c r="AE508" s="1006"/>
      <c r="AF508" s="1006"/>
    </row>
    <row r="509" spans="3:32" s="997" customFormat="1" ht="10.199999999999999">
      <c r="C509" s="997" t="s">
        <v>1615</v>
      </c>
      <c r="D509" s="998"/>
      <c r="E509" s="998"/>
      <c r="F509" s="998"/>
      <c r="G509" s="998"/>
      <c r="H509" s="998"/>
      <c r="I509" s="998"/>
      <c r="K509" s="998"/>
      <c r="L509" s="998"/>
      <c r="M509" s="998"/>
      <c r="AE509" s="1006"/>
      <c r="AF509" s="1006"/>
    </row>
    <row r="510" spans="3:32" s="997" customFormat="1" ht="10.199999999999999">
      <c r="C510" s="997" t="s">
        <v>2442</v>
      </c>
      <c r="D510" s="998"/>
      <c r="E510" s="998"/>
      <c r="F510" s="998"/>
      <c r="G510" s="998"/>
      <c r="H510" s="998"/>
      <c r="I510" s="998"/>
      <c r="K510" s="998"/>
      <c r="L510" s="998"/>
      <c r="M510" s="998"/>
      <c r="AE510" s="1006"/>
      <c r="AF510" s="1006"/>
    </row>
    <row r="511" spans="3:32" s="997" customFormat="1" ht="10.199999999999999">
      <c r="C511" s="997" t="s">
        <v>1617</v>
      </c>
      <c r="D511" s="998"/>
      <c r="E511" s="998"/>
      <c r="F511" s="998"/>
      <c r="G511" s="998"/>
      <c r="H511" s="998"/>
      <c r="I511" s="998"/>
      <c r="K511" s="998"/>
      <c r="L511" s="998"/>
      <c r="M511" s="998"/>
      <c r="N511" s="997" t="s">
        <v>2441</v>
      </c>
      <c r="AE511" s="1006"/>
      <c r="AF511" s="1006"/>
    </row>
    <row r="512" spans="3:32" s="997" customFormat="1" ht="10.199999999999999">
      <c r="C512" s="997" t="s">
        <v>1618</v>
      </c>
      <c r="D512" s="998"/>
      <c r="E512" s="998"/>
      <c r="F512" s="998"/>
      <c r="G512" s="998"/>
      <c r="H512" s="998"/>
      <c r="I512" s="998"/>
      <c r="J512" s="998"/>
      <c r="K512" s="998"/>
      <c r="L512" s="998"/>
      <c r="M512" s="998"/>
      <c r="AE512" s="1006"/>
      <c r="AF512" s="1006"/>
    </row>
    <row r="513" spans="3:32" s="997" customFormat="1" ht="10.199999999999999">
      <c r="C513" s="997" t="s">
        <v>1619</v>
      </c>
      <c r="D513" s="998"/>
      <c r="E513" s="998"/>
      <c r="F513" s="998"/>
      <c r="G513" s="998"/>
      <c r="H513" s="998"/>
      <c r="I513" s="998"/>
      <c r="J513" s="998"/>
      <c r="K513" s="998"/>
      <c r="L513" s="998"/>
      <c r="M513" s="998"/>
      <c r="AE513" s="1006"/>
      <c r="AF513" s="1006"/>
    </row>
    <row r="514" spans="3:32" s="997" customFormat="1" ht="10.199999999999999">
      <c r="C514" s="997" t="s">
        <v>574</v>
      </c>
      <c r="D514" s="998"/>
      <c r="E514" s="998"/>
      <c r="F514" s="998"/>
      <c r="G514" s="998"/>
      <c r="H514" s="998"/>
      <c r="I514" s="998"/>
      <c r="J514" s="998"/>
      <c r="K514" s="998"/>
      <c r="L514" s="998"/>
      <c r="M514" s="998"/>
      <c r="AE514" s="1006"/>
      <c r="AF514" s="1006"/>
    </row>
    <row r="515" spans="3:32" s="997" customFormat="1" ht="10.199999999999999">
      <c r="C515" s="997" t="s">
        <v>1620</v>
      </c>
      <c r="D515" s="998"/>
      <c r="E515" s="998"/>
      <c r="F515" s="998"/>
      <c r="G515" s="998"/>
      <c r="H515" s="998"/>
      <c r="I515" s="998"/>
      <c r="J515" s="998"/>
      <c r="K515" s="998"/>
      <c r="L515" s="998"/>
      <c r="M515" s="998"/>
      <c r="AE515" s="1006"/>
      <c r="AF515" s="1006"/>
    </row>
    <row r="516" spans="3:32" s="997" customFormat="1" ht="10.199999999999999">
      <c r="C516" s="997" t="s">
        <v>1828</v>
      </c>
      <c r="D516" s="998"/>
      <c r="E516" s="998"/>
      <c r="F516" s="998"/>
      <c r="G516" s="998"/>
      <c r="H516" s="998"/>
      <c r="I516" s="998"/>
      <c r="J516" s="998"/>
      <c r="K516" s="998"/>
      <c r="L516" s="998"/>
      <c r="M516" s="998"/>
      <c r="AE516" s="1006"/>
      <c r="AF516" s="1006"/>
    </row>
    <row r="517" spans="3:32" s="997" customFormat="1" ht="10.199999999999999">
      <c r="C517" s="997" t="s">
        <v>224</v>
      </c>
      <c r="D517" s="998"/>
      <c r="E517" s="998"/>
      <c r="F517" s="998"/>
      <c r="G517" s="998"/>
      <c r="H517" s="998"/>
      <c r="I517" s="998"/>
      <c r="K517" s="998"/>
      <c r="L517" s="998"/>
      <c r="M517" s="998"/>
      <c r="AE517" s="1006"/>
      <c r="AF517" s="1006"/>
    </row>
    <row r="518" spans="3:32" s="997" customFormat="1" ht="10.199999999999999">
      <c r="AE518" s="1006"/>
      <c r="AF518" s="1006"/>
    </row>
    <row r="519" spans="3:32" s="997" customFormat="1" ht="10.199999999999999">
      <c r="C519" s="1003" t="s">
        <v>1745</v>
      </c>
      <c r="AE519" s="1006"/>
      <c r="AF519" s="1006"/>
    </row>
    <row r="520" spans="3:32" s="997" customFormat="1" ht="10.199999999999999">
      <c r="C520" s="997" t="s">
        <v>906</v>
      </c>
      <c r="AE520" s="1006"/>
      <c r="AF520" s="1006"/>
    </row>
    <row r="521" spans="3:32" s="997" customFormat="1" ht="10.199999999999999">
      <c r="C521" s="1001" t="s">
        <v>1596</v>
      </c>
      <c r="AE521" s="1006"/>
      <c r="AF521" s="1006"/>
    </row>
    <row r="522" spans="3:32" s="997" customFormat="1" ht="10.199999999999999">
      <c r="C522" s="1001" t="s">
        <v>701</v>
      </c>
      <c r="L522" s="1001"/>
      <c r="AE522" s="1006"/>
      <c r="AF522" s="1006"/>
    </row>
    <row r="523" spans="3:32" s="997" customFormat="1" ht="10.199999999999999">
      <c r="C523" s="1001" t="s">
        <v>702</v>
      </c>
      <c r="L523" s="1001"/>
      <c r="AE523" s="1006"/>
      <c r="AF523" s="1006"/>
    </row>
    <row r="524" spans="3:32" s="997" customFormat="1" ht="10.199999999999999">
      <c r="C524" s="1001" t="s">
        <v>2106</v>
      </c>
      <c r="L524" s="1001"/>
      <c r="AE524" s="1006"/>
      <c r="AF524" s="1006"/>
    </row>
    <row r="525" spans="3:32" s="997" customFormat="1" ht="10.199999999999999">
      <c r="C525" s="1001" t="s">
        <v>123</v>
      </c>
      <c r="L525" s="1001"/>
      <c r="AE525" s="1006"/>
      <c r="AF525" s="1006"/>
    </row>
    <row r="526" spans="3:32" s="997" customFormat="1" ht="10.199999999999999">
      <c r="C526" s="1006" t="s">
        <v>121</v>
      </c>
      <c r="L526" s="1001"/>
      <c r="AE526" s="1006"/>
      <c r="AF526" s="1006"/>
    </row>
    <row r="527" spans="3:32" s="997" customFormat="1" ht="10.199999999999999">
      <c r="C527" s="1006" t="s">
        <v>1833</v>
      </c>
      <c r="AE527" s="1006"/>
      <c r="AF527" s="1006"/>
    </row>
    <row r="528" spans="3:32" s="997" customFormat="1" ht="10.199999999999999">
      <c r="C528" s="1001" t="s">
        <v>925</v>
      </c>
      <c r="L528" s="1001"/>
      <c r="AE528" s="1006"/>
      <c r="AF528" s="1006"/>
    </row>
    <row r="529" spans="3:32" s="997" customFormat="1" ht="10.199999999999999">
      <c r="C529" s="1006" t="s">
        <v>122</v>
      </c>
      <c r="L529" s="1001"/>
      <c r="AE529" s="1006"/>
      <c r="AF529" s="1006"/>
    </row>
    <row r="530" spans="3:32" s="997" customFormat="1" ht="10.199999999999999">
      <c r="C530" s="1006" t="s">
        <v>123</v>
      </c>
      <c r="L530" s="1001"/>
      <c r="AE530" s="1006"/>
      <c r="AF530" s="1006"/>
    </row>
    <row r="531" spans="3:32" s="997" customFormat="1" ht="10.199999999999999">
      <c r="C531" s="1006" t="s">
        <v>124</v>
      </c>
      <c r="L531" s="1001"/>
      <c r="AE531" s="1006"/>
      <c r="AF531" s="1006"/>
    </row>
    <row r="532" spans="3:32" s="997" customFormat="1" ht="10.199999999999999">
      <c r="C532" s="1006" t="s">
        <v>2598</v>
      </c>
      <c r="AE532" s="1006"/>
      <c r="AF532" s="1006"/>
    </row>
    <row r="533" spans="3:32" s="997" customFormat="1" ht="10.199999999999999">
      <c r="C533" s="1001" t="s">
        <v>1963</v>
      </c>
      <c r="L533" s="1001"/>
      <c r="AE533" s="1006"/>
      <c r="AF533" s="1006"/>
    </row>
    <row r="534" spans="3:32" s="997" customFormat="1" ht="10.199999999999999">
      <c r="C534" s="1006" t="s">
        <v>2599</v>
      </c>
      <c r="L534" s="1001"/>
      <c r="AE534" s="1006"/>
      <c r="AF534" s="1006"/>
    </row>
    <row r="535" spans="3:32" s="997" customFormat="1" ht="10.199999999999999">
      <c r="C535" s="1006" t="s">
        <v>1355</v>
      </c>
      <c r="L535" s="1001"/>
      <c r="AE535" s="1006"/>
      <c r="AF535" s="1006"/>
    </row>
    <row r="536" spans="3:32" s="997" customFormat="1" ht="10.199999999999999">
      <c r="C536" s="1006" t="s">
        <v>1555</v>
      </c>
      <c r="K536" s="1002" t="s">
        <v>452</v>
      </c>
      <c r="L536" s="1001"/>
      <c r="AE536" s="1006"/>
      <c r="AF536" s="1006"/>
    </row>
    <row r="537" spans="3:32" s="997" customFormat="1" ht="10.199999999999999">
      <c r="C537" s="1006" t="s">
        <v>2600</v>
      </c>
      <c r="K537" s="997" t="s">
        <v>1061</v>
      </c>
      <c r="L537" s="1001"/>
      <c r="AE537" s="1006"/>
      <c r="AF537" s="1006"/>
    </row>
    <row r="538" spans="3:32" s="997" customFormat="1" ht="10.199999999999999">
      <c r="C538" s="1006" t="s">
        <v>2601</v>
      </c>
      <c r="K538" s="997" t="s">
        <v>3575</v>
      </c>
      <c r="AE538" s="1006"/>
      <c r="AF538" s="1006"/>
    </row>
    <row r="539" spans="3:32" s="997" customFormat="1" ht="10.199999999999999">
      <c r="C539" s="1001" t="s">
        <v>1178</v>
      </c>
      <c r="K539" s="997" t="s">
        <v>2578</v>
      </c>
      <c r="AE539" s="1006"/>
      <c r="AF539" s="1006"/>
    </row>
    <row r="540" spans="3:32" s="997" customFormat="1" ht="10.199999999999999">
      <c r="AE540" s="1006"/>
      <c r="AF540" s="1006"/>
    </row>
    <row r="541" spans="3:32" s="997" customFormat="1" ht="10.199999999999999">
      <c r="C541" s="1003" t="s">
        <v>250</v>
      </c>
      <c r="K541" s="1002" t="s">
        <v>2184</v>
      </c>
      <c r="AE541" s="1006"/>
      <c r="AF541" s="1006"/>
    </row>
    <row r="542" spans="3:32" s="997" customFormat="1" ht="10.199999999999999">
      <c r="C542" s="997" t="s">
        <v>1062</v>
      </c>
      <c r="K542" s="997" t="s">
        <v>2268</v>
      </c>
      <c r="AE542" s="1006"/>
      <c r="AF542" s="1006"/>
    </row>
    <row r="543" spans="3:32" s="997" customFormat="1" ht="10.199999999999999">
      <c r="C543" s="997" t="s">
        <v>166</v>
      </c>
      <c r="K543" s="1471" t="s">
        <v>4362</v>
      </c>
      <c r="AE543" s="1006"/>
      <c r="AF543" s="1006"/>
    </row>
    <row r="544" spans="3:32" s="997" customFormat="1" ht="10.199999999999999">
      <c r="C544" s="997" t="s">
        <v>1494</v>
      </c>
      <c r="K544" s="997" t="s">
        <v>3677</v>
      </c>
      <c r="AE544" s="1006"/>
      <c r="AF544" s="1006"/>
    </row>
    <row r="545" spans="3:32" s="997" customFormat="1" ht="10.199999999999999">
      <c r="C545" s="997" t="s">
        <v>2068</v>
      </c>
      <c r="K545" s="997" t="s">
        <v>4363</v>
      </c>
      <c r="AE545" s="1006"/>
      <c r="AF545" s="1006"/>
    </row>
    <row r="546" spans="3:32" s="997" customFormat="1" ht="10.199999999999999">
      <c r="C546" s="997" t="s">
        <v>165</v>
      </c>
      <c r="K546" s="997" t="s">
        <v>2645</v>
      </c>
      <c r="AE546" s="1006"/>
      <c r="AF546" s="1006"/>
    </row>
    <row r="547" spans="3:32" s="997" customFormat="1" ht="10.199999999999999">
      <c r="K547" s="1002" t="s">
        <v>1901</v>
      </c>
      <c r="AE547" s="1006"/>
      <c r="AF547" s="1006"/>
    </row>
    <row r="548" spans="3:32" s="997" customFormat="1" ht="10.199999999999999">
      <c r="K548" s="997" t="s">
        <v>1060</v>
      </c>
      <c r="AE548" s="1006"/>
      <c r="AF548" s="1006"/>
    </row>
    <row r="549" spans="3:32" s="997" customFormat="1" ht="10.199999999999999">
      <c r="K549" s="997" t="s">
        <v>1708</v>
      </c>
      <c r="AE549" s="1006"/>
      <c r="AF549" s="1006"/>
    </row>
    <row r="550" spans="3:32" s="997" customFormat="1" ht="10.199999999999999">
      <c r="K550" s="997" t="s">
        <v>1111</v>
      </c>
      <c r="AE550" s="1006"/>
      <c r="AF550" s="1006"/>
    </row>
    <row r="551" spans="3:32" s="997" customFormat="1" ht="10.199999999999999">
      <c r="K551" s="997" t="s">
        <v>1709</v>
      </c>
      <c r="AE551" s="1006"/>
      <c r="AF551" s="1006"/>
    </row>
    <row r="552" spans="3:32" s="997" customFormat="1" ht="10.199999999999999">
      <c r="K552" s="997" t="s">
        <v>2308</v>
      </c>
      <c r="AE552" s="1006"/>
      <c r="AF552" s="1006"/>
    </row>
    <row r="553" spans="3:32" s="997" customFormat="1" ht="10.199999999999999">
      <c r="AE553" s="1006"/>
      <c r="AF553" s="1006"/>
    </row>
    <row r="554" spans="3:32" s="997" customFormat="1" ht="10.199999999999999">
      <c r="C554" s="1003" t="s">
        <v>993</v>
      </c>
      <c r="M554" s="1003" t="s">
        <v>4399</v>
      </c>
      <c r="AE554" s="1006"/>
      <c r="AF554" s="1006"/>
    </row>
    <row r="555" spans="3:32" s="997" customFormat="1" ht="10.199999999999999">
      <c r="C555" s="997" t="s">
        <v>992</v>
      </c>
      <c r="M555" s="997" t="s">
        <v>992</v>
      </c>
      <c r="AE555" s="1006"/>
      <c r="AF555" s="1006"/>
    </row>
    <row r="556" spans="3:32" s="997" customFormat="1" ht="10.199999999999999">
      <c r="C556" s="997" t="s">
        <v>2041</v>
      </c>
      <c r="M556" s="997" t="s">
        <v>4396</v>
      </c>
      <c r="AE556" s="1006"/>
      <c r="AF556" s="1006"/>
    </row>
    <row r="557" spans="3:32" s="997" customFormat="1" ht="10.199999999999999">
      <c r="C557" s="997" t="s">
        <v>2478</v>
      </c>
      <c r="M557" s="997" t="s">
        <v>4431</v>
      </c>
      <c r="AE557" s="1006"/>
      <c r="AF557" s="1006"/>
    </row>
    <row r="558" spans="3:32" s="997" customFormat="1" ht="10.199999999999999">
      <c r="C558" s="997" t="s">
        <v>2042</v>
      </c>
      <c r="M558" s="997" t="s">
        <v>1615</v>
      </c>
      <c r="AE558" s="1006"/>
      <c r="AF558" s="1006"/>
    </row>
    <row r="559" spans="3:32" s="997" customFormat="1" ht="10.199999999999999">
      <c r="C559" s="997" t="s">
        <v>1902</v>
      </c>
      <c r="M559" s="997" t="s">
        <v>4397</v>
      </c>
      <c r="AE559" s="1006"/>
      <c r="AF559" s="1006"/>
    </row>
    <row r="560" spans="3:32" s="997" customFormat="1" ht="10.199999999999999">
      <c r="C560" s="997" t="s">
        <v>573</v>
      </c>
      <c r="M560" s="1471" t="s">
        <v>4476</v>
      </c>
      <c r="AE560" s="1006"/>
      <c r="AF560" s="1006"/>
    </row>
    <row r="561" spans="3:32" s="997" customFormat="1" ht="10.199999999999999">
      <c r="C561" s="997" t="s">
        <v>2145</v>
      </c>
      <c r="M561" s="1471" t="s">
        <v>4477</v>
      </c>
      <c r="AE561" s="1006"/>
      <c r="AF561" s="1006"/>
    </row>
    <row r="562" spans="3:32" s="997" customFormat="1" ht="10.199999999999999">
      <c r="C562" s="1005" t="s">
        <v>31</v>
      </c>
      <c r="M562" s="997" t="s">
        <v>4398</v>
      </c>
      <c r="AE562" s="1006"/>
      <c r="AF562" s="1006"/>
    </row>
    <row r="563" spans="3:32" s="997" customFormat="1" ht="10.199999999999999">
      <c r="M563" s="998" t="s">
        <v>2055</v>
      </c>
      <c r="AE563" s="1006"/>
      <c r="AF563" s="1006"/>
    </row>
    <row r="564" spans="3:32" s="997" customFormat="1" ht="10.199999999999999">
      <c r="AE564" s="1006"/>
      <c r="AF564" s="1006"/>
    </row>
    <row r="565" spans="3:32" s="997" customFormat="1" ht="10.199999999999999">
      <c r="AE565" s="1006"/>
      <c r="AF565" s="1006"/>
    </row>
    <row r="566" spans="3:32" s="997" customFormat="1" ht="10.199999999999999">
      <c r="AE566" s="1006"/>
      <c r="AF566" s="1006"/>
    </row>
    <row r="567" spans="3:32" s="997" customFormat="1" ht="10.199999999999999">
      <c r="AE567" s="1006"/>
      <c r="AF567" s="1006"/>
    </row>
    <row r="568" spans="3:32" s="997" customFormat="1" ht="10.199999999999999">
      <c r="AE568" s="1006"/>
      <c r="AF568" s="1006"/>
    </row>
    <row r="569" spans="3:32" s="997" customFormat="1" ht="10.199999999999999">
      <c r="AE569" s="1006"/>
      <c r="AF569" s="1006"/>
    </row>
    <row r="570" spans="3:32" s="997" customFormat="1" ht="10.199999999999999">
      <c r="AE570" s="1006"/>
      <c r="AF570" s="1006"/>
    </row>
    <row r="571" spans="3:32" s="997" customFormat="1" ht="10.199999999999999">
      <c r="D571" s="1004" t="s">
        <v>1989</v>
      </c>
      <c r="AE571" s="1006"/>
      <c r="AF571" s="1006"/>
    </row>
    <row r="572" spans="3:32" s="997" customFormat="1">
      <c r="J572" s="443"/>
      <c r="AE572" s="1006"/>
      <c r="AF572" s="1006"/>
    </row>
    <row r="573" spans="3:32" s="443" customFormat="1">
      <c r="O573" s="997"/>
      <c r="AE573" s="608"/>
      <c r="AF573" s="608"/>
    </row>
    <row r="574" spans="3:32" s="443" customFormat="1">
      <c r="AE574" s="608"/>
      <c r="AF574" s="608"/>
    </row>
    <row r="575" spans="3:32" s="443" customFormat="1">
      <c r="AE575" s="608"/>
      <c r="AF575" s="608"/>
    </row>
    <row r="576" spans="3:32" s="443" customFormat="1">
      <c r="AE576" s="608"/>
      <c r="AF576" s="608"/>
    </row>
    <row r="577" spans="1:32" s="443" customFormat="1">
      <c r="AE577" s="608"/>
      <c r="AF577" s="608"/>
    </row>
    <row r="578" spans="1:32" s="443" customFormat="1">
      <c r="AE578" s="608"/>
      <c r="AF578" s="608"/>
    </row>
    <row r="579" spans="1:32" s="443" customFormat="1">
      <c r="AE579" s="608"/>
      <c r="AF579" s="608"/>
    </row>
    <row r="580" spans="1:32" s="443" customFormat="1">
      <c r="AE580" s="608"/>
      <c r="AF580" s="608"/>
    </row>
    <row r="581" spans="1:32" s="443" customFormat="1">
      <c r="AE581" s="608"/>
      <c r="AF581" s="608"/>
    </row>
    <row r="582" spans="1:32" s="443" customFormat="1">
      <c r="AE582" s="608"/>
      <c r="AF582" s="608"/>
    </row>
    <row r="583" spans="1:32" s="443" customFormat="1">
      <c r="AE583" s="608"/>
      <c r="AF583" s="608"/>
    </row>
    <row r="584" spans="1:32" s="443" customFormat="1">
      <c r="AE584" s="608"/>
      <c r="AF584" s="608"/>
    </row>
    <row r="585" spans="1:32" s="443" customFormat="1">
      <c r="AE585" s="608"/>
      <c r="AF585" s="608"/>
    </row>
    <row r="586" spans="1:32" s="443" customFormat="1">
      <c r="AE586" s="608"/>
      <c r="AF586" s="608"/>
    </row>
    <row r="587" spans="1:32">
      <c r="A587" s="147"/>
      <c r="B587" s="147"/>
      <c r="C587" s="147"/>
      <c r="D587" s="147"/>
      <c r="E587" s="147"/>
      <c r="F587" s="147"/>
      <c r="G587" s="147"/>
      <c r="H587" s="147"/>
      <c r="I587" s="147"/>
      <c r="J587" s="147"/>
      <c r="K587" s="147"/>
      <c r="L587" s="147"/>
      <c r="M587" s="147"/>
      <c r="N587" s="147"/>
      <c r="O587" s="147"/>
      <c r="P587" s="147"/>
      <c r="Q587" s="147"/>
      <c r="R587" s="147"/>
      <c r="S587" s="147"/>
      <c r="T587" s="147"/>
      <c r="U587" s="147"/>
      <c r="V587" s="147"/>
    </row>
    <row r="588" spans="1:32">
      <c r="A588" s="147"/>
      <c r="B588" s="147"/>
      <c r="C588" s="147"/>
      <c r="D588" s="147"/>
      <c r="E588" s="147"/>
      <c r="F588" s="147"/>
      <c r="G588" s="147"/>
      <c r="H588" s="147"/>
      <c r="I588" s="147"/>
      <c r="J588" s="147"/>
      <c r="K588" s="147"/>
      <c r="L588" s="147"/>
      <c r="M588" s="147"/>
      <c r="N588" s="147"/>
      <c r="O588" s="147"/>
      <c r="P588" s="147"/>
      <c r="Q588" s="147"/>
      <c r="R588" s="147"/>
      <c r="S588" s="147"/>
      <c r="T588" s="147"/>
      <c r="U588" s="147"/>
      <c r="V588" s="147"/>
    </row>
    <row r="589" spans="1:32">
      <c r="A589" s="147"/>
      <c r="B589" s="147"/>
      <c r="C589" s="147"/>
      <c r="D589" s="147"/>
      <c r="E589" s="147"/>
      <c r="F589" s="147"/>
      <c r="G589" s="147"/>
      <c r="H589" s="147"/>
      <c r="I589" s="147"/>
      <c r="J589" s="147"/>
      <c r="K589" s="147"/>
      <c r="L589" s="147"/>
      <c r="M589" s="147"/>
      <c r="N589" s="147"/>
      <c r="O589" s="147"/>
      <c r="P589" s="147"/>
      <c r="Q589" s="147"/>
      <c r="R589" s="147"/>
      <c r="S589" s="147"/>
      <c r="T589" s="147"/>
      <c r="U589" s="147"/>
      <c r="V589" s="147"/>
    </row>
    <row r="590" spans="1:32">
      <c r="A590" s="147"/>
      <c r="B590" s="147"/>
      <c r="C590" s="147"/>
      <c r="D590" s="147"/>
      <c r="E590" s="147"/>
      <c r="F590" s="147"/>
      <c r="G590" s="147"/>
      <c r="H590" s="147"/>
      <c r="I590" s="147"/>
      <c r="J590" s="147"/>
      <c r="K590" s="147"/>
      <c r="L590" s="147"/>
      <c r="M590" s="147"/>
      <c r="N590" s="147"/>
      <c r="O590" s="147"/>
      <c r="P590" s="147"/>
      <c r="Q590" s="147"/>
      <c r="R590" s="147"/>
      <c r="S590" s="147"/>
      <c r="T590" s="147"/>
      <c r="U590" s="147"/>
      <c r="V590" s="147"/>
    </row>
    <row r="591" spans="1:32">
      <c r="A591" s="147"/>
      <c r="B591" s="147"/>
      <c r="C591" s="147"/>
      <c r="D591" s="147"/>
      <c r="E591" s="147"/>
      <c r="F591" s="147"/>
      <c r="G591" s="147"/>
      <c r="H591" s="147"/>
      <c r="I591" s="147"/>
      <c r="J591" s="147"/>
      <c r="K591" s="147"/>
      <c r="L591" s="147"/>
      <c r="M591" s="147"/>
      <c r="N591" s="147"/>
      <c r="O591" s="147"/>
      <c r="P591" s="147"/>
      <c r="Q591" s="147"/>
      <c r="R591" s="147"/>
      <c r="S591" s="147"/>
      <c r="T591" s="147"/>
      <c r="U591" s="147"/>
      <c r="V591" s="147"/>
    </row>
    <row r="592" spans="1:32">
      <c r="A592" s="147"/>
      <c r="B592" s="147"/>
      <c r="C592" s="147"/>
      <c r="D592" s="147"/>
      <c r="E592" s="147"/>
      <c r="F592" s="147"/>
      <c r="G592" s="147"/>
      <c r="H592" s="147"/>
      <c r="I592" s="147"/>
      <c r="J592" s="147"/>
      <c r="K592" s="147"/>
      <c r="L592" s="147"/>
      <c r="M592" s="147"/>
      <c r="N592" s="147"/>
      <c r="O592" s="147"/>
      <c r="P592" s="147"/>
      <c r="Q592" s="147"/>
      <c r="R592" s="147"/>
      <c r="S592" s="147"/>
      <c r="T592" s="147"/>
      <c r="U592" s="147"/>
      <c r="V592" s="147"/>
    </row>
    <row r="593" spans="1:22">
      <c r="A593" s="147"/>
      <c r="B593" s="147"/>
      <c r="C593" s="147"/>
      <c r="D593" s="147"/>
      <c r="E593" s="147"/>
      <c r="F593" s="147"/>
      <c r="G593" s="147"/>
      <c r="H593" s="147"/>
      <c r="I593" s="147"/>
      <c r="J593" s="147"/>
      <c r="K593" s="147"/>
      <c r="L593" s="147"/>
      <c r="M593" s="147"/>
      <c r="N593" s="147"/>
      <c r="O593" s="147"/>
      <c r="P593" s="147"/>
      <c r="Q593" s="147"/>
      <c r="R593" s="147"/>
      <c r="S593" s="147"/>
      <c r="T593" s="147"/>
      <c r="U593" s="147"/>
      <c r="V593" s="147"/>
    </row>
    <row r="594" spans="1:22">
      <c r="A594" s="147"/>
      <c r="B594" s="147"/>
      <c r="C594" s="147"/>
      <c r="D594" s="147"/>
      <c r="E594" s="147"/>
      <c r="F594" s="147"/>
      <c r="G594" s="147"/>
      <c r="H594" s="147"/>
      <c r="I594" s="147"/>
      <c r="J594" s="147"/>
      <c r="K594" s="147"/>
      <c r="L594" s="147"/>
      <c r="M594" s="147"/>
      <c r="N594" s="147"/>
      <c r="O594" s="147"/>
      <c r="P594" s="147"/>
      <c r="Q594" s="147"/>
      <c r="R594" s="147"/>
      <c r="S594" s="147"/>
      <c r="T594" s="147"/>
      <c r="U594" s="147"/>
      <c r="V594" s="147"/>
    </row>
    <row r="595" spans="1:22">
      <c r="A595" s="147"/>
      <c r="B595" s="147"/>
      <c r="C595" s="147"/>
      <c r="D595" s="147"/>
      <c r="E595" s="147"/>
      <c r="F595" s="147"/>
      <c r="G595" s="147"/>
      <c r="H595" s="147"/>
      <c r="I595" s="147"/>
      <c r="J595" s="147"/>
      <c r="K595" s="147"/>
      <c r="L595" s="147"/>
      <c r="M595" s="147"/>
      <c r="N595" s="147"/>
      <c r="O595" s="147"/>
      <c r="P595" s="147"/>
      <c r="Q595" s="147"/>
      <c r="R595" s="147"/>
      <c r="S595" s="147"/>
      <c r="T595" s="147"/>
      <c r="U595" s="147"/>
      <c r="V595" s="147"/>
    </row>
    <row r="596" spans="1:22">
      <c r="A596" s="147"/>
      <c r="B596" s="147"/>
      <c r="C596" s="147"/>
      <c r="D596" s="147"/>
      <c r="E596" s="147"/>
      <c r="F596" s="147"/>
      <c r="G596" s="147"/>
      <c r="H596" s="147"/>
      <c r="I596" s="147"/>
      <c r="J596" s="147"/>
      <c r="K596" s="147"/>
      <c r="L596" s="147"/>
      <c r="M596" s="147"/>
      <c r="N596" s="147"/>
      <c r="O596" s="147"/>
      <c r="P596" s="147"/>
      <c r="Q596" s="147"/>
      <c r="R596" s="147"/>
      <c r="S596" s="147"/>
      <c r="T596" s="147"/>
      <c r="U596" s="147"/>
      <c r="V596" s="147"/>
    </row>
    <row r="597" spans="1:22">
      <c r="A597" s="147"/>
      <c r="B597" s="147"/>
      <c r="C597" s="147"/>
      <c r="D597" s="147"/>
      <c r="E597" s="147"/>
      <c r="F597" s="147"/>
      <c r="G597" s="147"/>
      <c r="H597" s="147"/>
      <c r="I597" s="147"/>
      <c r="J597" s="147"/>
      <c r="K597" s="147"/>
      <c r="L597" s="147"/>
      <c r="M597" s="147"/>
      <c r="N597" s="147"/>
      <c r="O597" s="147"/>
      <c r="P597" s="147"/>
      <c r="Q597" s="147"/>
      <c r="R597" s="147"/>
      <c r="S597" s="147"/>
      <c r="T597" s="147"/>
      <c r="U597" s="147"/>
      <c r="V597" s="147"/>
    </row>
    <row r="598" spans="1:22">
      <c r="A598" s="147"/>
      <c r="B598" s="147"/>
      <c r="C598" s="147"/>
      <c r="D598" s="147"/>
      <c r="E598" s="147"/>
      <c r="F598" s="147"/>
      <c r="G598" s="147"/>
      <c r="H598" s="147"/>
      <c r="I598" s="147"/>
      <c r="J598" s="147"/>
      <c r="K598" s="147"/>
      <c r="L598" s="147"/>
      <c r="M598" s="147"/>
      <c r="N598" s="147"/>
      <c r="O598" s="147"/>
      <c r="P598" s="147"/>
      <c r="Q598" s="147"/>
      <c r="R598" s="147"/>
      <c r="S598" s="147"/>
      <c r="T598" s="147"/>
      <c r="U598" s="147"/>
      <c r="V598" s="147"/>
    </row>
    <row r="599" spans="1:22">
      <c r="A599" s="147"/>
      <c r="B599" s="147"/>
      <c r="C599" s="147"/>
      <c r="D599" s="147"/>
      <c r="E599" s="147"/>
      <c r="F599" s="147"/>
      <c r="G599" s="147"/>
      <c r="H599" s="147"/>
      <c r="I599" s="147"/>
      <c r="J599" s="147"/>
      <c r="K599" s="147"/>
      <c r="L599" s="147"/>
      <c r="M599" s="147"/>
      <c r="N599" s="147"/>
      <c r="O599" s="147"/>
      <c r="P599" s="147"/>
      <c r="Q599" s="147"/>
      <c r="R599" s="147"/>
      <c r="S599" s="147"/>
      <c r="T599" s="147"/>
      <c r="U599" s="147"/>
      <c r="V599" s="147"/>
    </row>
    <row r="600" spans="1:22">
      <c r="A600" s="147"/>
      <c r="B600" s="147"/>
      <c r="C600" s="147"/>
      <c r="D600" s="147"/>
      <c r="E600" s="147"/>
      <c r="F600" s="147"/>
      <c r="G600" s="147"/>
      <c r="H600" s="147"/>
      <c r="I600" s="147"/>
      <c r="J600" s="147"/>
      <c r="K600" s="147"/>
      <c r="L600" s="147"/>
      <c r="M600" s="147"/>
      <c r="N600" s="147"/>
      <c r="O600" s="147"/>
      <c r="P600" s="147"/>
      <c r="Q600" s="147"/>
      <c r="R600" s="147"/>
      <c r="S600" s="147"/>
      <c r="T600" s="147"/>
      <c r="U600" s="147"/>
      <c r="V600" s="147"/>
    </row>
    <row r="601" spans="1:22">
      <c r="A601" s="147"/>
      <c r="B601" s="147"/>
      <c r="C601" s="147"/>
      <c r="D601" s="147"/>
      <c r="E601" s="147"/>
      <c r="F601" s="147"/>
      <c r="G601" s="147"/>
      <c r="H601" s="147"/>
      <c r="I601" s="147"/>
      <c r="J601" s="147"/>
      <c r="K601" s="147"/>
      <c r="L601" s="147"/>
      <c r="M601" s="147"/>
      <c r="N601" s="147"/>
      <c r="O601" s="147"/>
      <c r="P601" s="147"/>
      <c r="Q601" s="147"/>
      <c r="R601" s="147"/>
      <c r="S601" s="147"/>
      <c r="T601" s="147"/>
      <c r="U601" s="147"/>
      <c r="V601" s="147"/>
    </row>
    <row r="602" spans="1:22">
      <c r="A602" s="147"/>
      <c r="B602" s="147"/>
      <c r="C602" s="147"/>
      <c r="D602" s="147"/>
      <c r="E602" s="147"/>
      <c r="F602" s="147"/>
      <c r="G602" s="147"/>
      <c r="H602" s="147"/>
      <c r="I602" s="147"/>
      <c r="J602" s="147"/>
      <c r="K602" s="147"/>
      <c r="L602" s="147"/>
      <c r="M602" s="147"/>
      <c r="N602" s="147"/>
      <c r="O602" s="147"/>
      <c r="P602" s="147"/>
      <c r="Q602" s="147"/>
      <c r="R602" s="147"/>
      <c r="S602" s="147"/>
      <c r="T602" s="147"/>
      <c r="U602" s="147"/>
      <c r="V602" s="147"/>
    </row>
    <row r="603" spans="1:22">
      <c r="A603" s="147"/>
      <c r="B603" s="147"/>
      <c r="C603" s="147"/>
      <c r="D603" s="147"/>
      <c r="E603" s="147"/>
      <c r="F603" s="147"/>
      <c r="G603" s="147"/>
      <c r="H603" s="147"/>
      <c r="I603" s="147"/>
      <c r="J603" s="147"/>
      <c r="K603" s="147"/>
      <c r="L603" s="147"/>
      <c r="M603" s="147"/>
      <c r="N603" s="147"/>
      <c r="O603" s="147"/>
      <c r="P603" s="147"/>
      <c r="Q603" s="147"/>
      <c r="R603" s="147"/>
      <c r="S603" s="147"/>
      <c r="T603" s="147"/>
      <c r="U603" s="147"/>
      <c r="V603" s="147"/>
    </row>
    <row r="604" spans="1:22">
      <c r="A604" s="147"/>
      <c r="B604" s="147"/>
      <c r="C604" s="147"/>
      <c r="D604" s="147"/>
      <c r="E604" s="147"/>
      <c r="F604" s="147"/>
      <c r="G604" s="147"/>
      <c r="H604" s="147"/>
      <c r="I604" s="147"/>
      <c r="J604" s="147"/>
      <c r="K604" s="147"/>
      <c r="L604" s="147"/>
      <c r="M604" s="147"/>
      <c r="N604" s="147"/>
      <c r="O604" s="147"/>
      <c r="P604" s="147"/>
      <c r="Q604" s="147"/>
      <c r="R604" s="147"/>
      <c r="S604" s="147"/>
      <c r="T604" s="147"/>
      <c r="U604" s="147"/>
      <c r="V604" s="147"/>
    </row>
    <row r="605" spans="1:22">
      <c r="A605" s="147"/>
      <c r="B605" s="147"/>
      <c r="C605" s="147"/>
      <c r="D605" s="147"/>
      <c r="E605" s="147"/>
      <c r="F605" s="147"/>
      <c r="G605" s="147"/>
      <c r="H605" s="147"/>
      <c r="I605" s="147"/>
      <c r="J605" s="147"/>
      <c r="K605" s="147"/>
      <c r="L605" s="147"/>
      <c r="M605" s="147"/>
      <c r="N605" s="147"/>
      <c r="O605" s="147"/>
      <c r="P605" s="147"/>
      <c r="Q605" s="147"/>
      <c r="R605" s="147"/>
      <c r="S605" s="147"/>
      <c r="T605" s="147"/>
      <c r="U605" s="147"/>
      <c r="V605" s="147"/>
    </row>
    <row r="606" spans="1:22">
      <c r="A606" s="147"/>
      <c r="B606" s="147"/>
      <c r="C606" s="147"/>
      <c r="D606" s="147"/>
      <c r="E606" s="147"/>
      <c r="F606" s="147"/>
      <c r="G606" s="147"/>
      <c r="H606" s="147"/>
      <c r="I606" s="147"/>
      <c r="J606" s="147"/>
      <c r="K606" s="147"/>
      <c r="L606" s="147"/>
      <c r="M606" s="147"/>
      <c r="N606" s="147"/>
      <c r="O606" s="147"/>
      <c r="P606" s="147"/>
      <c r="Q606" s="147"/>
      <c r="R606" s="147"/>
      <c r="S606" s="147"/>
      <c r="T606" s="147"/>
      <c r="U606" s="147"/>
      <c r="V606" s="147"/>
    </row>
    <row r="607" spans="1:22">
      <c r="A607" s="147"/>
      <c r="B607" s="147"/>
      <c r="C607" s="147"/>
      <c r="D607" s="147"/>
      <c r="E607" s="147"/>
      <c r="F607" s="147"/>
      <c r="G607" s="147"/>
      <c r="H607" s="147"/>
      <c r="I607" s="147"/>
      <c r="J607" s="147"/>
      <c r="K607" s="147"/>
      <c r="L607" s="147"/>
      <c r="M607" s="147"/>
      <c r="N607" s="147"/>
      <c r="O607" s="147"/>
      <c r="P607" s="147"/>
      <c r="Q607" s="147"/>
      <c r="R607" s="147"/>
      <c r="S607" s="147"/>
      <c r="T607" s="147"/>
      <c r="U607" s="147"/>
      <c r="V607" s="147"/>
    </row>
    <row r="608" spans="1:22">
      <c r="A608" s="147"/>
      <c r="B608" s="147"/>
      <c r="C608" s="147"/>
      <c r="D608" s="147"/>
      <c r="E608" s="147"/>
      <c r="F608" s="147"/>
      <c r="G608" s="147"/>
      <c r="H608" s="147"/>
      <c r="I608" s="147"/>
      <c r="J608" s="147"/>
      <c r="K608" s="147"/>
      <c r="L608" s="147"/>
      <c r="M608" s="147"/>
      <c r="N608" s="147"/>
      <c r="O608" s="147"/>
      <c r="P608" s="147"/>
      <c r="Q608" s="147"/>
      <c r="R608" s="147"/>
      <c r="S608" s="147"/>
      <c r="T608" s="147"/>
      <c r="U608" s="147"/>
      <c r="V608" s="147"/>
    </row>
    <row r="609" spans="1:22">
      <c r="A609" s="147"/>
      <c r="B609" s="147"/>
      <c r="C609" s="147"/>
      <c r="D609" s="147"/>
      <c r="E609" s="147"/>
      <c r="F609" s="147"/>
      <c r="G609" s="147"/>
      <c r="H609" s="147"/>
      <c r="I609" s="147"/>
      <c r="J609" s="147"/>
      <c r="K609" s="147"/>
      <c r="L609" s="147"/>
      <c r="M609" s="147"/>
      <c r="N609" s="147"/>
      <c r="O609" s="147"/>
      <c r="P609" s="147"/>
      <c r="Q609" s="147"/>
      <c r="R609" s="147"/>
      <c r="S609" s="147"/>
      <c r="T609" s="147"/>
      <c r="U609" s="147"/>
      <c r="V609" s="147"/>
    </row>
    <row r="610" spans="1:22">
      <c r="A610" s="147"/>
      <c r="B610" s="147"/>
      <c r="C610" s="147"/>
      <c r="D610" s="147"/>
      <c r="E610" s="147"/>
      <c r="F610" s="147"/>
      <c r="G610" s="147"/>
      <c r="H610" s="147"/>
      <c r="I610" s="147"/>
      <c r="J610" s="147"/>
      <c r="K610" s="147"/>
      <c r="L610" s="147"/>
      <c r="M610" s="147"/>
      <c r="N610" s="147"/>
      <c r="O610" s="147"/>
      <c r="P610" s="147"/>
      <c r="Q610" s="147"/>
      <c r="R610" s="147"/>
      <c r="S610" s="147"/>
      <c r="T610" s="147"/>
      <c r="U610" s="147"/>
      <c r="V610" s="147"/>
    </row>
    <row r="611" spans="1:22">
      <c r="A611" s="147"/>
      <c r="B611" s="147"/>
      <c r="C611" s="147"/>
      <c r="D611" s="147"/>
      <c r="E611" s="147"/>
      <c r="F611" s="147"/>
      <c r="G611" s="147"/>
      <c r="H611" s="147"/>
      <c r="I611" s="147"/>
      <c r="J611" s="147"/>
      <c r="K611" s="147"/>
      <c r="L611" s="147"/>
      <c r="M611" s="147"/>
      <c r="N611" s="147"/>
      <c r="O611" s="147"/>
      <c r="P611" s="147"/>
      <c r="Q611" s="147"/>
      <c r="R611" s="147"/>
      <c r="S611" s="147"/>
      <c r="T611" s="147"/>
      <c r="U611" s="147"/>
      <c r="V611" s="147"/>
    </row>
    <row r="612" spans="1:22">
      <c r="A612" s="147"/>
      <c r="B612" s="147"/>
      <c r="C612" s="147"/>
      <c r="D612" s="147"/>
      <c r="E612" s="147"/>
      <c r="F612" s="147"/>
      <c r="G612" s="147"/>
      <c r="H612" s="147"/>
      <c r="I612" s="147"/>
      <c r="J612" s="147"/>
      <c r="K612" s="147"/>
      <c r="L612" s="147"/>
      <c r="M612" s="147"/>
      <c r="N612" s="147"/>
      <c r="O612" s="147"/>
      <c r="P612" s="147"/>
      <c r="Q612" s="147"/>
      <c r="R612" s="147"/>
      <c r="S612" s="147"/>
      <c r="T612" s="147"/>
      <c r="U612" s="147"/>
      <c r="V612" s="147"/>
    </row>
    <row r="613" spans="1:22">
      <c r="A613" s="147"/>
      <c r="B613" s="147"/>
      <c r="C613" s="147"/>
      <c r="D613" s="147"/>
      <c r="E613" s="147"/>
      <c r="F613" s="147"/>
      <c r="G613" s="147"/>
      <c r="H613" s="147"/>
      <c r="I613" s="147"/>
      <c r="J613" s="147"/>
      <c r="K613" s="147"/>
      <c r="L613" s="147"/>
      <c r="M613" s="147"/>
      <c r="N613" s="147"/>
      <c r="O613" s="147"/>
      <c r="P613" s="147"/>
      <c r="Q613" s="147"/>
      <c r="R613" s="147"/>
      <c r="S613" s="147"/>
      <c r="T613" s="147"/>
      <c r="U613" s="147"/>
      <c r="V613" s="147"/>
    </row>
    <row r="614" spans="1:22">
      <c r="A614" s="147"/>
      <c r="B614" s="147"/>
      <c r="C614" s="147"/>
      <c r="D614" s="147"/>
      <c r="E614" s="147"/>
      <c r="F614" s="147"/>
      <c r="G614" s="147"/>
      <c r="H614" s="147"/>
      <c r="I614" s="147"/>
      <c r="J614" s="147"/>
      <c r="K614" s="147"/>
      <c r="L614" s="147"/>
      <c r="M614" s="147"/>
      <c r="N614" s="147"/>
      <c r="O614" s="147"/>
      <c r="P614" s="147"/>
      <c r="Q614" s="147"/>
      <c r="R614" s="147"/>
      <c r="S614" s="147"/>
      <c r="T614" s="147"/>
      <c r="U614" s="147"/>
      <c r="V614" s="147"/>
    </row>
    <row r="615" spans="1:22">
      <c r="A615" s="147"/>
      <c r="B615" s="147"/>
      <c r="C615" s="147"/>
      <c r="D615" s="147"/>
      <c r="E615" s="147"/>
      <c r="F615" s="147"/>
      <c r="G615" s="147"/>
      <c r="H615" s="147"/>
      <c r="I615" s="147"/>
      <c r="J615" s="147"/>
      <c r="K615" s="147"/>
      <c r="L615" s="147"/>
      <c r="M615" s="147"/>
      <c r="N615" s="147"/>
      <c r="O615" s="147"/>
      <c r="P615" s="147"/>
      <c r="Q615" s="147"/>
      <c r="R615" s="147"/>
      <c r="S615" s="147"/>
      <c r="T615" s="147"/>
      <c r="U615" s="147"/>
      <c r="V615" s="147"/>
    </row>
    <row r="616" spans="1:22">
      <c r="A616" s="147"/>
      <c r="B616" s="147"/>
      <c r="C616" s="147"/>
      <c r="D616" s="147"/>
      <c r="E616" s="147"/>
      <c r="F616" s="147"/>
      <c r="G616" s="147"/>
      <c r="H616" s="147"/>
      <c r="I616" s="147"/>
      <c r="J616" s="147"/>
      <c r="K616" s="147"/>
      <c r="L616" s="147"/>
      <c r="M616" s="147"/>
      <c r="N616" s="147"/>
      <c r="O616" s="147"/>
      <c r="P616" s="147"/>
      <c r="Q616" s="147"/>
      <c r="R616" s="147"/>
      <c r="S616" s="147"/>
      <c r="T616" s="147"/>
      <c r="U616" s="147"/>
      <c r="V616" s="147"/>
    </row>
    <row r="617" spans="1:22">
      <c r="A617" s="147"/>
      <c r="B617" s="147"/>
      <c r="C617" s="147"/>
      <c r="D617" s="147"/>
      <c r="E617" s="147"/>
      <c r="F617" s="147"/>
      <c r="G617" s="147"/>
      <c r="H617" s="147"/>
      <c r="I617" s="147"/>
      <c r="J617" s="147"/>
      <c r="K617" s="147"/>
      <c r="L617" s="147"/>
      <c r="M617" s="147"/>
      <c r="N617" s="147"/>
      <c r="O617" s="147"/>
      <c r="P617" s="147"/>
      <c r="Q617" s="147"/>
      <c r="R617" s="147"/>
      <c r="S617" s="147"/>
      <c r="T617" s="147"/>
      <c r="U617" s="147"/>
      <c r="V617" s="147"/>
    </row>
    <row r="618" spans="1:22">
      <c r="A618" s="147"/>
      <c r="B618" s="147"/>
      <c r="C618" s="147"/>
      <c r="D618" s="147"/>
      <c r="E618" s="147"/>
      <c r="F618" s="147"/>
      <c r="G618" s="147"/>
      <c r="H618" s="147"/>
      <c r="I618" s="147"/>
      <c r="J618" s="147"/>
      <c r="K618" s="147"/>
      <c r="L618" s="147"/>
      <c r="M618" s="147"/>
      <c r="N618" s="147"/>
      <c r="O618" s="147"/>
      <c r="P618" s="147"/>
      <c r="Q618" s="147"/>
      <c r="R618" s="147"/>
      <c r="S618" s="147"/>
      <c r="T618" s="147"/>
      <c r="U618" s="147"/>
      <c r="V618" s="147"/>
    </row>
    <row r="619" spans="1:22">
      <c r="A619" s="147"/>
      <c r="B619" s="147"/>
      <c r="C619" s="147"/>
      <c r="D619" s="147"/>
      <c r="E619" s="147"/>
      <c r="F619" s="147"/>
      <c r="G619" s="147"/>
      <c r="H619" s="147"/>
      <c r="I619" s="147"/>
      <c r="J619" s="147"/>
      <c r="K619" s="147"/>
      <c r="L619" s="147"/>
      <c r="M619" s="147"/>
      <c r="N619" s="147"/>
      <c r="O619" s="147"/>
      <c r="P619" s="147"/>
      <c r="Q619" s="147"/>
      <c r="R619" s="147"/>
      <c r="S619" s="147"/>
      <c r="T619" s="147"/>
      <c r="U619" s="147"/>
      <c r="V619" s="147"/>
    </row>
    <row r="620" spans="1:22">
      <c r="A620" s="147"/>
      <c r="B620" s="147"/>
      <c r="C620" s="147"/>
      <c r="D620" s="147"/>
      <c r="E620" s="147"/>
      <c r="F620" s="147"/>
      <c r="G620" s="147"/>
      <c r="H620" s="147"/>
      <c r="I620" s="147"/>
      <c r="J620" s="147"/>
      <c r="K620" s="147"/>
      <c r="L620" s="147"/>
      <c r="M620" s="147"/>
      <c r="N620" s="147"/>
      <c r="O620" s="147"/>
      <c r="P620" s="147"/>
      <c r="Q620" s="147"/>
      <c r="R620" s="147"/>
      <c r="S620" s="147"/>
      <c r="T620" s="147"/>
      <c r="U620" s="147"/>
      <c r="V620" s="147"/>
    </row>
    <row r="621" spans="1:22">
      <c r="A621" s="147"/>
      <c r="B621" s="147"/>
      <c r="C621" s="147"/>
      <c r="D621" s="147"/>
      <c r="E621" s="147"/>
      <c r="F621" s="147"/>
      <c r="G621" s="147"/>
      <c r="H621" s="147"/>
      <c r="I621" s="147"/>
      <c r="J621" s="147"/>
      <c r="K621" s="147"/>
      <c r="L621" s="147"/>
      <c r="M621" s="147"/>
      <c r="N621" s="147"/>
      <c r="O621" s="147"/>
      <c r="P621" s="147"/>
      <c r="Q621" s="147"/>
      <c r="R621" s="147"/>
      <c r="S621" s="147"/>
      <c r="T621" s="147"/>
      <c r="U621" s="147"/>
      <c r="V621" s="147"/>
    </row>
    <row r="622" spans="1:22">
      <c r="A622" s="147"/>
      <c r="B622" s="147"/>
      <c r="C622" s="147"/>
      <c r="D622" s="147"/>
      <c r="E622" s="147"/>
      <c r="F622" s="147"/>
      <c r="G622" s="147"/>
      <c r="H622" s="147"/>
      <c r="I622" s="147"/>
      <c r="J622" s="147"/>
      <c r="K622" s="147"/>
      <c r="L622" s="147"/>
      <c r="M622" s="147"/>
      <c r="N622" s="147"/>
      <c r="O622" s="147"/>
      <c r="P622" s="147"/>
      <c r="Q622" s="147"/>
      <c r="R622" s="147"/>
      <c r="S622" s="147"/>
      <c r="T622" s="147"/>
      <c r="U622" s="147"/>
      <c r="V622" s="147"/>
    </row>
    <row r="623" spans="1:22">
      <c r="A623" s="147"/>
      <c r="B623" s="147"/>
      <c r="C623" s="147"/>
      <c r="D623" s="147"/>
      <c r="E623" s="147"/>
      <c r="F623" s="147"/>
      <c r="G623" s="147"/>
      <c r="H623" s="147"/>
      <c r="I623" s="147"/>
      <c r="J623" s="147"/>
      <c r="K623" s="147"/>
      <c r="L623" s="147"/>
      <c r="M623" s="147"/>
      <c r="N623" s="147"/>
      <c r="O623" s="147"/>
      <c r="P623" s="147"/>
      <c r="Q623" s="147"/>
      <c r="R623" s="147"/>
      <c r="S623" s="147"/>
      <c r="T623" s="147"/>
      <c r="U623" s="147"/>
      <c r="V623" s="147"/>
    </row>
    <row r="624" spans="1:22">
      <c r="A624" s="147"/>
      <c r="B624" s="147"/>
      <c r="C624" s="147"/>
      <c r="D624" s="147"/>
      <c r="E624" s="147"/>
      <c r="F624" s="147"/>
      <c r="G624" s="147"/>
      <c r="H624" s="147"/>
      <c r="I624" s="147"/>
      <c r="J624" s="147"/>
      <c r="K624" s="147"/>
      <c r="L624" s="147"/>
      <c r="M624" s="147"/>
      <c r="N624" s="147"/>
      <c r="O624" s="147"/>
      <c r="P624" s="147"/>
      <c r="Q624" s="147"/>
      <c r="R624" s="147"/>
      <c r="S624" s="147"/>
      <c r="T624" s="147"/>
      <c r="U624" s="147"/>
      <c r="V624" s="147"/>
    </row>
    <row r="625" spans="1:22">
      <c r="A625" s="147"/>
      <c r="B625" s="147"/>
      <c r="C625" s="147"/>
      <c r="D625" s="147"/>
      <c r="E625" s="147"/>
      <c r="F625" s="147"/>
      <c r="G625" s="147"/>
      <c r="H625" s="147"/>
      <c r="I625" s="147"/>
      <c r="J625" s="147"/>
      <c r="K625" s="147"/>
      <c r="L625" s="147"/>
      <c r="M625" s="147"/>
      <c r="N625" s="147"/>
      <c r="O625" s="147"/>
      <c r="P625" s="147"/>
      <c r="Q625" s="147"/>
      <c r="R625" s="147"/>
      <c r="S625" s="147"/>
      <c r="T625" s="147"/>
      <c r="U625" s="147"/>
      <c r="V625" s="147"/>
    </row>
    <row r="626" spans="1:22">
      <c r="A626" s="147"/>
      <c r="B626" s="147"/>
      <c r="C626" s="147"/>
      <c r="D626" s="147"/>
      <c r="E626" s="147"/>
      <c r="F626" s="147"/>
      <c r="G626" s="147"/>
      <c r="H626" s="147"/>
      <c r="I626" s="147"/>
      <c r="J626" s="147"/>
      <c r="K626" s="147"/>
      <c r="L626" s="147"/>
      <c r="M626" s="147"/>
      <c r="N626" s="147"/>
      <c r="O626" s="147"/>
      <c r="P626" s="147"/>
      <c r="Q626" s="147"/>
      <c r="R626" s="147"/>
      <c r="S626" s="147"/>
      <c r="T626" s="147"/>
      <c r="U626" s="147"/>
      <c r="V626" s="147"/>
    </row>
    <row r="627" spans="1:22">
      <c r="A627" s="147"/>
      <c r="B627" s="147"/>
      <c r="C627" s="147"/>
      <c r="D627" s="147"/>
      <c r="E627" s="147"/>
      <c r="F627" s="147"/>
      <c r="G627" s="147"/>
      <c r="H627" s="147"/>
      <c r="I627" s="147"/>
      <c r="J627" s="147"/>
      <c r="K627" s="147"/>
      <c r="L627" s="147"/>
      <c r="M627" s="147"/>
      <c r="N627" s="147"/>
      <c r="O627" s="147"/>
      <c r="P627" s="147"/>
      <c r="Q627" s="147"/>
      <c r="R627" s="147"/>
      <c r="S627" s="147"/>
      <c r="T627" s="147"/>
      <c r="U627" s="147"/>
      <c r="V627" s="147"/>
    </row>
    <row r="628" spans="1:22">
      <c r="A628" s="147"/>
      <c r="B628" s="147"/>
      <c r="C628" s="147"/>
      <c r="D628" s="147"/>
      <c r="E628" s="147"/>
      <c r="F628" s="147"/>
      <c r="G628" s="147"/>
      <c r="H628" s="147"/>
      <c r="I628" s="147"/>
      <c r="J628" s="147"/>
      <c r="K628" s="147"/>
      <c r="L628" s="147"/>
      <c r="M628" s="147"/>
      <c r="N628" s="147"/>
      <c r="O628" s="147"/>
      <c r="P628" s="147"/>
      <c r="Q628" s="147"/>
      <c r="R628" s="147"/>
      <c r="S628" s="147"/>
      <c r="T628" s="147"/>
      <c r="U628" s="147"/>
      <c r="V628" s="147"/>
    </row>
    <row r="629" spans="1:22">
      <c r="A629" s="147"/>
      <c r="B629" s="147"/>
      <c r="C629" s="147"/>
      <c r="D629" s="147"/>
      <c r="E629" s="147"/>
      <c r="F629" s="147"/>
      <c r="G629" s="147"/>
      <c r="H629" s="147"/>
      <c r="I629" s="147"/>
      <c r="J629" s="147"/>
      <c r="K629" s="147"/>
      <c r="L629" s="147"/>
      <c r="M629" s="147"/>
      <c r="N629" s="147"/>
      <c r="O629" s="147"/>
      <c r="P629" s="147"/>
      <c r="Q629" s="147"/>
      <c r="R629" s="147"/>
      <c r="S629" s="147"/>
      <c r="T629" s="147"/>
      <c r="U629" s="147"/>
      <c r="V629" s="147"/>
    </row>
    <row r="630" spans="1:22">
      <c r="A630" s="147"/>
      <c r="B630" s="147"/>
      <c r="C630" s="147"/>
      <c r="D630" s="147"/>
      <c r="E630" s="147"/>
      <c r="F630" s="147"/>
      <c r="G630" s="147"/>
      <c r="H630" s="147"/>
      <c r="I630" s="147"/>
      <c r="J630" s="147"/>
      <c r="K630" s="147"/>
      <c r="L630" s="147"/>
      <c r="M630" s="147"/>
      <c r="N630" s="147"/>
      <c r="O630" s="147"/>
      <c r="P630" s="147"/>
      <c r="Q630" s="147"/>
      <c r="R630" s="147"/>
      <c r="S630" s="147"/>
      <c r="T630" s="147"/>
      <c r="U630" s="147"/>
      <c r="V630" s="147"/>
    </row>
    <row r="631" spans="1:22">
      <c r="A631" s="147"/>
      <c r="B631" s="147"/>
      <c r="C631" s="147"/>
      <c r="D631" s="147"/>
      <c r="E631" s="147"/>
      <c r="F631" s="147"/>
      <c r="G631" s="147"/>
      <c r="H631" s="147"/>
      <c r="I631" s="147"/>
      <c r="J631" s="147"/>
      <c r="K631" s="147"/>
      <c r="L631" s="147"/>
      <c r="M631" s="147"/>
      <c r="N631" s="147"/>
      <c r="O631" s="147"/>
      <c r="P631" s="147"/>
      <c r="Q631" s="147"/>
      <c r="R631" s="147"/>
      <c r="S631" s="147"/>
      <c r="T631" s="147"/>
      <c r="U631" s="147"/>
      <c r="V631" s="147"/>
    </row>
    <row r="632" spans="1:22">
      <c r="A632" s="147"/>
      <c r="B632" s="147"/>
      <c r="C632" s="147"/>
      <c r="D632" s="147"/>
      <c r="E632" s="147"/>
      <c r="F632" s="147"/>
      <c r="G632" s="147"/>
      <c r="H632" s="147"/>
      <c r="I632" s="147"/>
      <c r="J632" s="147"/>
      <c r="K632" s="147"/>
      <c r="L632" s="147"/>
      <c r="M632" s="147"/>
      <c r="N632" s="147"/>
      <c r="O632" s="147"/>
      <c r="P632" s="147"/>
      <c r="Q632" s="147"/>
      <c r="R632" s="147"/>
      <c r="S632" s="147"/>
      <c r="T632" s="147"/>
      <c r="U632" s="147"/>
      <c r="V632" s="147"/>
    </row>
    <row r="633" spans="1:22">
      <c r="A633" s="147"/>
      <c r="B633" s="147"/>
      <c r="C633" s="147"/>
      <c r="D633" s="147"/>
      <c r="E633" s="147"/>
      <c r="F633" s="147"/>
      <c r="G633" s="147"/>
      <c r="H633" s="147"/>
      <c r="I633" s="147"/>
      <c r="J633" s="147"/>
      <c r="K633" s="147"/>
      <c r="L633" s="147"/>
      <c r="M633" s="147"/>
      <c r="N633" s="147"/>
      <c r="O633" s="147"/>
      <c r="P633" s="147"/>
      <c r="Q633" s="147"/>
      <c r="R633" s="147"/>
      <c r="S633" s="147"/>
      <c r="T633" s="147"/>
      <c r="U633" s="147"/>
      <c r="V633" s="147"/>
    </row>
    <row r="634" spans="1:22">
      <c r="A634" s="147"/>
      <c r="B634" s="147"/>
      <c r="C634" s="147"/>
      <c r="D634" s="147"/>
      <c r="E634" s="147"/>
      <c r="F634" s="147"/>
      <c r="G634" s="147"/>
      <c r="H634" s="147"/>
      <c r="I634" s="147"/>
      <c r="J634" s="147"/>
      <c r="K634" s="147"/>
      <c r="L634" s="147"/>
      <c r="M634" s="147"/>
      <c r="N634" s="147"/>
      <c r="O634" s="147"/>
      <c r="P634" s="147"/>
      <c r="Q634" s="147"/>
      <c r="R634" s="147"/>
      <c r="S634" s="147"/>
      <c r="T634" s="147"/>
      <c r="U634" s="147"/>
      <c r="V634" s="147"/>
    </row>
    <row r="635" spans="1:22">
      <c r="A635" s="147"/>
      <c r="B635" s="147"/>
      <c r="C635" s="147"/>
      <c r="D635" s="147"/>
      <c r="E635" s="147"/>
      <c r="F635" s="147"/>
      <c r="G635" s="147"/>
      <c r="H635" s="147"/>
      <c r="I635" s="147"/>
      <c r="J635" s="147"/>
      <c r="K635" s="147"/>
      <c r="L635" s="147"/>
      <c r="M635" s="147"/>
      <c r="N635" s="147"/>
      <c r="O635" s="147"/>
      <c r="P635" s="147"/>
      <c r="Q635" s="147"/>
      <c r="R635" s="147"/>
      <c r="S635" s="147"/>
      <c r="T635" s="147"/>
      <c r="U635" s="147"/>
      <c r="V635" s="147"/>
    </row>
    <row r="636" spans="1:22">
      <c r="A636" s="147"/>
      <c r="B636" s="147"/>
      <c r="C636" s="147"/>
      <c r="D636" s="147"/>
      <c r="E636" s="147"/>
      <c r="F636" s="147"/>
      <c r="G636" s="147"/>
      <c r="H636" s="147"/>
      <c r="I636" s="147"/>
      <c r="J636" s="147"/>
      <c r="K636" s="147"/>
      <c r="L636" s="147"/>
      <c r="M636" s="147"/>
      <c r="N636" s="147"/>
      <c r="O636" s="147"/>
      <c r="P636" s="147"/>
      <c r="Q636" s="147"/>
      <c r="R636" s="147"/>
      <c r="S636" s="147"/>
      <c r="T636" s="147"/>
      <c r="U636" s="147"/>
      <c r="V636" s="147"/>
    </row>
    <row r="637" spans="1:22">
      <c r="A637" s="147"/>
      <c r="B637" s="147"/>
      <c r="C637" s="147"/>
      <c r="D637" s="147"/>
      <c r="E637" s="147"/>
      <c r="F637" s="147"/>
      <c r="G637" s="147"/>
      <c r="H637" s="147"/>
      <c r="I637" s="147"/>
      <c r="J637" s="147"/>
      <c r="K637" s="147"/>
      <c r="L637" s="147"/>
      <c r="M637" s="147"/>
      <c r="N637" s="147"/>
      <c r="O637" s="147"/>
      <c r="P637" s="147"/>
      <c r="Q637" s="147"/>
      <c r="R637" s="147"/>
      <c r="S637" s="147"/>
      <c r="T637" s="147"/>
      <c r="U637" s="147"/>
      <c r="V637" s="147"/>
    </row>
    <row r="638" spans="1:22">
      <c r="A638" s="147"/>
      <c r="B638" s="147"/>
      <c r="C638" s="147"/>
      <c r="D638" s="147"/>
      <c r="E638" s="147"/>
      <c r="F638" s="147"/>
      <c r="G638" s="147"/>
      <c r="H638" s="147"/>
      <c r="I638" s="147"/>
      <c r="J638" s="147"/>
      <c r="K638" s="147"/>
      <c r="L638" s="147"/>
      <c r="M638" s="147"/>
      <c r="N638" s="147"/>
      <c r="O638" s="147"/>
      <c r="P638" s="147"/>
      <c r="Q638" s="147"/>
      <c r="R638" s="147"/>
      <c r="S638" s="147"/>
      <c r="T638" s="147"/>
      <c r="U638" s="147"/>
      <c r="V638" s="147"/>
    </row>
    <row r="639" spans="1:22">
      <c r="A639" s="147"/>
      <c r="B639" s="147"/>
      <c r="C639" s="147"/>
      <c r="D639" s="147"/>
      <c r="E639" s="147"/>
      <c r="F639" s="147"/>
      <c r="G639" s="147"/>
      <c r="H639" s="147"/>
      <c r="I639" s="147"/>
      <c r="J639" s="147"/>
      <c r="K639" s="147"/>
      <c r="L639" s="147"/>
      <c r="M639" s="147"/>
      <c r="N639" s="147"/>
      <c r="O639" s="147"/>
      <c r="P639" s="147"/>
      <c r="Q639" s="147"/>
      <c r="R639" s="147"/>
      <c r="S639" s="147"/>
      <c r="T639" s="147"/>
      <c r="U639" s="147"/>
      <c r="V639" s="147"/>
    </row>
    <row r="640" spans="1:22">
      <c r="A640" s="147"/>
      <c r="B640" s="147"/>
      <c r="C640" s="147"/>
      <c r="D640" s="147"/>
      <c r="E640" s="147"/>
      <c r="F640" s="147"/>
      <c r="G640" s="147"/>
      <c r="H640" s="147"/>
      <c r="I640" s="147"/>
      <c r="J640" s="147"/>
      <c r="K640" s="147"/>
      <c r="L640" s="147"/>
      <c r="M640" s="147"/>
      <c r="N640" s="147"/>
      <c r="O640" s="147"/>
      <c r="P640" s="147"/>
      <c r="Q640" s="147"/>
      <c r="R640" s="147"/>
      <c r="S640" s="147"/>
      <c r="T640" s="147"/>
      <c r="U640" s="147"/>
      <c r="V640" s="147"/>
    </row>
    <row r="641" spans="1:22">
      <c r="A641" s="147"/>
      <c r="B641" s="147"/>
      <c r="C641" s="147"/>
      <c r="D641" s="147"/>
      <c r="E641" s="147"/>
      <c r="F641" s="147"/>
      <c r="G641" s="147"/>
      <c r="H641" s="147"/>
      <c r="I641" s="147"/>
      <c r="J641" s="147"/>
      <c r="K641" s="147"/>
      <c r="L641" s="147"/>
      <c r="M641" s="147"/>
      <c r="N641" s="147"/>
      <c r="O641" s="147"/>
      <c r="P641" s="147"/>
      <c r="Q641" s="147"/>
      <c r="R641" s="147"/>
      <c r="S641" s="147"/>
      <c r="T641" s="147"/>
      <c r="U641" s="147"/>
      <c r="V641" s="147"/>
    </row>
    <row r="642" spans="1:22">
      <c r="A642" s="147"/>
      <c r="B642" s="147"/>
      <c r="C642" s="147"/>
      <c r="D642" s="147"/>
      <c r="E642" s="147"/>
      <c r="F642" s="147"/>
      <c r="G642" s="147"/>
      <c r="H642" s="147"/>
      <c r="I642" s="147"/>
      <c r="J642" s="147"/>
      <c r="K642" s="147"/>
      <c r="L642" s="147"/>
      <c r="M642" s="147"/>
      <c r="N642" s="147"/>
      <c r="O642" s="147"/>
      <c r="P642" s="147"/>
      <c r="Q642" s="147"/>
      <c r="R642" s="147"/>
      <c r="S642" s="147"/>
      <c r="T642" s="147"/>
      <c r="U642" s="147"/>
      <c r="V642" s="147"/>
    </row>
    <row r="643" spans="1:22">
      <c r="A643" s="147"/>
      <c r="B643" s="147"/>
      <c r="C643" s="147"/>
      <c r="D643" s="147"/>
      <c r="E643" s="147"/>
      <c r="F643" s="147"/>
      <c r="G643" s="147"/>
      <c r="H643" s="147"/>
      <c r="I643" s="147"/>
      <c r="J643" s="147"/>
      <c r="K643" s="147"/>
      <c r="L643" s="147"/>
      <c r="M643" s="147"/>
      <c r="N643" s="147"/>
      <c r="O643" s="147"/>
      <c r="P643" s="147"/>
      <c r="Q643" s="147"/>
      <c r="R643" s="147"/>
      <c r="S643" s="147"/>
      <c r="T643" s="147"/>
      <c r="U643" s="147"/>
      <c r="V643" s="147"/>
    </row>
    <row r="644" spans="1:22">
      <c r="A644" s="147"/>
      <c r="B644" s="147"/>
      <c r="C644" s="147"/>
      <c r="D644" s="147"/>
      <c r="E644" s="147"/>
      <c r="F644" s="147"/>
      <c r="G644" s="147"/>
      <c r="H644" s="147"/>
      <c r="I644" s="147"/>
      <c r="J644" s="147"/>
      <c r="K644" s="147"/>
      <c r="L644" s="147"/>
      <c r="M644" s="147"/>
      <c r="N644" s="147"/>
      <c r="O644" s="147"/>
      <c r="P644" s="147"/>
      <c r="Q644" s="147"/>
      <c r="R644" s="147"/>
      <c r="S644" s="147"/>
      <c r="T644" s="147"/>
      <c r="U644" s="147"/>
      <c r="V644" s="147"/>
    </row>
    <row r="645" spans="1:22">
      <c r="A645" s="147"/>
      <c r="B645" s="147"/>
      <c r="C645" s="147"/>
      <c r="D645" s="147"/>
      <c r="E645" s="147"/>
      <c r="F645" s="147"/>
      <c r="G645" s="147"/>
      <c r="H645" s="147"/>
      <c r="I645" s="147"/>
      <c r="J645" s="147"/>
      <c r="K645" s="147"/>
      <c r="L645" s="147"/>
      <c r="M645" s="147"/>
      <c r="N645" s="147"/>
      <c r="O645" s="147"/>
      <c r="P645" s="147"/>
      <c r="Q645" s="147"/>
      <c r="R645" s="147"/>
      <c r="S645" s="147"/>
      <c r="T645" s="147"/>
      <c r="U645" s="147"/>
      <c r="V645" s="147"/>
    </row>
    <row r="646" spans="1:22">
      <c r="A646" s="147"/>
      <c r="B646" s="147"/>
      <c r="C646" s="147"/>
      <c r="D646" s="147"/>
      <c r="E646" s="147"/>
      <c r="F646" s="147"/>
      <c r="G646" s="147"/>
      <c r="H646" s="147"/>
      <c r="I646" s="147"/>
      <c r="J646" s="147"/>
      <c r="K646" s="147"/>
      <c r="L646" s="147"/>
      <c r="M646" s="147"/>
      <c r="N646" s="147"/>
      <c r="O646" s="147"/>
      <c r="P646" s="147"/>
      <c r="Q646" s="147"/>
      <c r="R646" s="147"/>
      <c r="S646" s="147"/>
      <c r="T646" s="147"/>
      <c r="U646" s="147"/>
      <c r="V646" s="147"/>
    </row>
    <row r="647" spans="1:22">
      <c r="A647" s="147"/>
      <c r="B647" s="147"/>
      <c r="C647" s="147"/>
      <c r="D647" s="147"/>
      <c r="E647" s="147"/>
      <c r="F647" s="147"/>
      <c r="G647" s="147"/>
      <c r="H647" s="147"/>
      <c r="I647" s="147"/>
      <c r="J647" s="147"/>
      <c r="K647" s="147"/>
      <c r="L647" s="147"/>
      <c r="M647" s="147"/>
      <c r="N647" s="147"/>
      <c r="O647" s="147"/>
      <c r="P647" s="147"/>
      <c r="Q647" s="147"/>
      <c r="R647" s="147"/>
      <c r="S647" s="147"/>
      <c r="T647" s="147"/>
      <c r="U647" s="147"/>
      <c r="V647" s="147"/>
    </row>
    <row r="648" spans="1:22">
      <c r="A648" s="147"/>
      <c r="B648" s="147"/>
      <c r="C648" s="147"/>
      <c r="D648" s="147"/>
      <c r="E648" s="147"/>
      <c r="F648" s="147"/>
      <c r="G648" s="147"/>
      <c r="H648" s="147"/>
      <c r="I648" s="147"/>
      <c r="J648" s="147"/>
      <c r="K648" s="147"/>
      <c r="L648" s="147"/>
      <c r="M648" s="147"/>
      <c r="N648" s="147"/>
      <c r="O648" s="147"/>
      <c r="P648" s="147"/>
      <c r="Q648" s="147"/>
      <c r="R648" s="147"/>
      <c r="S648" s="147"/>
      <c r="T648" s="147"/>
      <c r="U648" s="147"/>
      <c r="V648" s="147"/>
    </row>
    <row r="649" spans="1:22">
      <c r="A649" s="147"/>
      <c r="B649" s="147"/>
      <c r="C649" s="147"/>
      <c r="D649" s="147"/>
      <c r="E649" s="147"/>
      <c r="F649" s="147"/>
      <c r="G649" s="147"/>
      <c r="H649" s="147"/>
      <c r="I649" s="147"/>
      <c r="J649" s="147"/>
      <c r="K649" s="147"/>
      <c r="L649" s="147"/>
      <c r="M649" s="147"/>
      <c r="N649" s="147"/>
      <c r="O649" s="147"/>
      <c r="P649" s="147"/>
      <c r="Q649" s="147"/>
      <c r="R649" s="147"/>
      <c r="S649" s="147"/>
      <c r="T649" s="147"/>
      <c r="U649" s="147"/>
      <c r="V649" s="147"/>
    </row>
    <row r="650" spans="1:22">
      <c r="A650" s="147"/>
      <c r="B650" s="147"/>
      <c r="C650" s="147"/>
      <c r="D650" s="147"/>
      <c r="E650" s="147"/>
      <c r="F650" s="147"/>
      <c r="G650" s="147"/>
      <c r="H650" s="147"/>
      <c r="I650" s="147"/>
      <c r="J650" s="147"/>
      <c r="K650" s="147"/>
      <c r="L650" s="147"/>
      <c r="M650" s="147"/>
      <c r="N650" s="147"/>
      <c r="O650" s="147"/>
      <c r="P650" s="147"/>
      <c r="Q650" s="147"/>
      <c r="R650" s="147"/>
      <c r="S650" s="147"/>
      <c r="T650" s="147"/>
      <c r="U650" s="147"/>
      <c r="V650" s="147"/>
    </row>
    <row r="651" spans="1:22">
      <c r="A651" s="147"/>
      <c r="B651" s="147"/>
      <c r="C651" s="147"/>
      <c r="D651" s="147"/>
      <c r="E651" s="147"/>
      <c r="F651" s="147"/>
      <c r="G651" s="147"/>
      <c r="H651" s="147"/>
      <c r="I651" s="147"/>
      <c r="J651" s="147"/>
      <c r="K651" s="147"/>
      <c r="L651" s="147"/>
      <c r="M651" s="147"/>
      <c r="N651" s="147"/>
      <c r="O651" s="147"/>
      <c r="P651" s="147"/>
      <c r="Q651" s="147"/>
      <c r="R651" s="147"/>
      <c r="S651" s="147"/>
      <c r="T651" s="147"/>
      <c r="U651" s="147"/>
      <c r="V651" s="147"/>
    </row>
    <row r="652" spans="1:22">
      <c r="A652" s="147"/>
      <c r="B652" s="147"/>
      <c r="C652" s="147"/>
      <c r="D652" s="147"/>
      <c r="E652" s="147"/>
      <c r="F652" s="147"/>
      <c r="G652" s="147"/>
      <c r="H652" s="147"/>
      <c r="I652" s="147"/>
      <c r="J652" s="147"/>
      <c r="K652" s="147"/>
      <c r="L652" s="147"/>
      <c r="M652" s="147"/>
      <c r="N652" s="147"/>
      <c r="O652" s="147"/>
      <c r="P652" s="147"/>
      <c r="Q652" s="147"/>
      <c r="R652" s="147"/>
      <c r="S652" s="147"/>
      <c r="T652" s="147"/>
      <c r="U652" s="147"/>
      <c r="V652" s="147"/>
    </row>
    <row r="653" spans="1:22">
      <c r="A653" s="147"/>
      <c r="B653" s="147"/>
      <c r="C653" s="147"/>
      <c r="D653" s="147"/>
      <c r="E653" s="147"/>
      <c r="F653" s="147"/>
      <c r="G653" s="147"/>
      <c r="H653" s="147"/>
      <c r="I653" s="147"/>
      <c r="J653" s="147"/>
      <c r="K653" s="147"/>
      <c r="L653" s="147"/>
      <c r="M653" s="147"/>
      <c r="N653" s="147"/>
      <c r="O653" s="147"/>
      <c r="P653" s="147"/>
      <c r="Q653" s="147"/>
      <c r="R653" s="147"/>
      <c r="S653" s="147"/>
      <c r="T653" s="147"/>
      <c r="U653" s="147"/>
      <c r="V653" s="147"/>
    </row>
    <row r="654" spans="1:22">
      <c r="A654" s="147"/>
      <c r="B654" s="147"/>
      <c r="C654" s="147"/>
      <c r="D654" s="147"/>
      <c r="E654" s="147"/>
      <c r="F654" s="147"/>
      <c r="G654" s="147"/>
      <c r="H654" s="147"/>
      <c r="I654" s="147"/>
      <c r="J654" s="147"/>
      <c r="K654" s="147"/>
      <c r="L654" s="147"/>
      <c r="M654" s="147"/>
      <c r="N654" s="147"/>
      <c r="O654" s="147"/>
      <c r="P654" s="147"/>
      <c r="Q654" s="147"/>
      <c r="R654" s="147"/>
      <c r="S654" s="147"/>
      <c r="T654" s="147"/>
      <c r="U654" s="147"/>
      <c r="V654" s="147"/>
    </row>
    <row r="655" spans="1:22">
      <c r="A655" s="147"/>
      <c r="B655" s="147"/>
      <c r="C655" s="147"/>
      <c r="D655" s="147"/>
      <c r="E655" s="147"/>
      <c r="F655" s="147"/>
      <c r="G655" s="147"/>
      <c r="H655" s="147"/>
      <c r="I655" s="147"/>
      <c r="J655" s="147"/>
      <c r="K655" s="147"/>
      <c r="L655" s="147"/>
      <c r="M655" s="147"/>
      <c r="N655" s="147"/>
      <c r="O655" s="147"/>
      <c r="P655" s="147"/>
      <c r="Q655" s="147"/>
      <c r="R655" s="147"/>
      <c r="S655" s="147"/>
      <c r="T655" s="147"/>
      <c r="U655" s="147"/>
      <c r="V655" s="147"/>
    </row>
    <row r="656" spans="1:22">
      <c r="A656" s="147"/>
      <c r="B656" s="147"/>
      <c r="C656" s="147"/>
      <c r="D656" s="147"/>
      <c r="E656" s="147"/>
      <c r="F656" s="147"/>
      <c r="G656" s="147"/>
      <c r="H656" s="147"/>
      <c r="I656" s="147"/>
      <c r="J656" s="147"/>
      <c r="K656" s="147"/>
      <c r="L656" s="147"/>
      <c r="M656" s="147"/>
      <c r="N656" s="147"/>
      <c r="O656" s="147"/>
      <c r="P656" s="147"/>
      <c r="Q656" s="147"/>
      <c r="R656" s="147"/>
      <c r="S656" s="147"/>
      <c r="T656" s="147"/>
      <c r="U656" s="147"/>
      <c r="V656" s="147"/>
    </row>
    <row r="657" spans="1:22">
      <c r="A657" s="147"/>
      <c r="B657" s="147"/>
      <c r="C657" s="147"/>
      <c r="D657" s="147"/>
      <c r="E657" s="147"/>
      <c r="F657" s="147"/>
      <c r="G657" s="147"/>
      <c r="H657" s="147"/>
      <c r="I657" s="147"/>
      <c r="J657" s="147"/>
      <c r="K657" s="147"/>
      <c r="L657" s="147"/>
      <c r="M657" s="147"/>
      <c r="N657" s="147"/>
      <c r="O657" s="147"/>
      <c r="P657" s="147"/>
      <c r="Q657" s="147"/>
      <c r="R657" s="147"/>
      <c r="S657" s="147"/>
      <c r="T657" s="147"/>
      <c r="U657" s="147"/>
      <c r="V657" s="147"/>
    </row>
    <row r="658" spans="1:22">
      <c r="A658" s="147"/>
      <c r="B658" s="147"/>
      <c r="C658" s="147"/>
      <c r="D658" s="147"/>
      <c r="E658" s="147"/>
      <c r="F658" s="147"/>
      <c r="G658" s="147"/>
      <c r="H658" s="147"/>
      <c r="I658" s="147"/>
      <c r="J658" s="147"/>
      <c r="K658" s="147"/>
      <c r="L658" s="147"/>
      <c r="M658" s="147"/>
      <c r="N658" s="147"/>
      <c r="O658" s="147"/>
      <c r="P658" s="147"/>
      <c r="Q658" s="147"/>
      <c r="R658" s="147"/>
      <c r="S658" s="147"/>
      <c r="T658" s="147"/>
      <c r="U658" s="147"/>
      <c r="V658" s="147"/>
    </row>
    <row r="659" spans="1:22">
      <c r="A659" s="147"/>
      <c r="B659" s="147"/>
      <c r="C659" s="147"/>
      <c r="D659" s="147"/>
      <c r="E659" s="147"/>
      <c r="F659" s="147"/>
      <c r="G659" s="147"/>
      <c r="H659" s="147"/>
      <c r="I659" s="147"/>
      <c r="J659" s="147"/>
      <c r="K659" s="147"/>
      <c r="L659" s="147"/>
      <c r="M659" s="147"/>
      <c r="N659" s="147"/>
      <c r="O659" s="147"/>
      <c r="P659" s="147"/>
      <c r="Q659" s="147"/>
      <c r="R659" s="147"/>
      <c r="S659" s="147"/>
      <c r="T659" s="147"/>
      <c r="U659" s="147"/>
      <c r="V659" s="147"/>
    </row>
    <row r="660" spans="1:22">
      <c r="A660" s="147"/>
      <c r="B660" s="147"/>
      <c r="C660" s="147"/>
      <c r="D660" s="147"/>
      <c r="E660" s="147"/>
      <c r="F660" s="147"/>
      <c r="G660" s="147"/>
      <c r="H660" s="147"/>
      <c r="I660" s="147"/>
      <c r="J660" s="147"/>
      <c r="K660" s="147"/>
      <c r="L660" s="147"/>
      <c r="M660" s="147"/>
      <c r="N660" s="147"/>
      <c r="O660" s="147"/>
      <c r="P660" s="147"/>
      <c r="Q660" s="147"/>
      <c r="R660" s="147"/>
      <c r="S660" s="147"/>
      <c r="T660" s="147"/>
      <c r="U660" s="147"/>
      <c r="V660" s="147"/>
    </row>
    <row r="661" spans="1:22">
      <c r="A661" s="147"/>
      <c r="B661" s="147"/>
      <c r="C661" s="147"/>
      <c r="D661" s="147"/>
      <c r="E661" s="147"/>
      <c r="F661" s="147"/>
      <c r="G661" s="147"/>
      <c r="H661" s="147"/>
      <c r="I661" s="147"/>
      <c r="J661" s="147"/>
      <c r="K661" s="147"/>
      <c r="L661" s="147"/>
      <c r="M661" s="147"/>
      <c r="N661" s="147"/>
      <c r="O661" s="147"/>
      <c r="P661" s="147"/>
      <c r="Q661" s="147"/>
      <c r="R661" s="147"/>
      <c r="S661" s="147"/>
      <c r="T661" s="147"/>
      <c r="U661" s="147"/>
      <c r="V661" s="147"/>
    </row>
    <row r="662" spans="1:22">
      <c r="A662" s="147"/>
      <c r="B662" s="147"/>
      <c r="C662" s="147"/>
      <c r="D662" s="147"/>
      <c r="E662" s="147"/>
      <c r="F662" s="147"/>
      <c r="G662" s="147"/>
      <c r="H662" s="147"/>
      <c r="I662" s="147"/>
      <c r="J662" s="147"/>
      <c r="K662" s="147"/>
      <c r="L662" s="147"/>
      <c r="M662" s="147"/>
      <c r="N662" s="147"/>
      <c r="O662" s="147"/>
      <c r="P662" s="147"/>
      <c r="Q662" s="147"/>
      <c r="R662" s="147"/>
      <c r="S662" s="147"/>
      <c r="T662" s="147"/>
      <c r="U662" s="147"/>
      <c r="V662" s="147"/>
    </row>
    <row r="663" spans="1:22">
      <c r="A663" s="147"/>
      <c r="B663" s="147"/>
      <c r="C663" s="147"/>
      <c r="D663" s="147"/>
      <c r="E663" s="147"/>
      <c r="F663" s="147"/>
      <c r="G663" s="147"/>
      <c r="H663" s="147"/>
      <c r="I663" s="147"/>
      <c r="J663" s="147"/>
      <c r="K663" s="147"/>
      <c r="L663" s="147"/>
      <c r="M663" s="147"/>
      <c r="N663" s="147"/>
      <c r="O663" s="147"/>
      <c r="P663" s="147"/>
      <c r="Q663" s="147"/>
      <c r="R663" s="147"/>
      <c r="S663" s="147"/>
      <c r="T663" s="147"/>
      <c r="U663" s="147"/>
      <c r="V663" s="147"/>
    </row>
    <row r="664" spans="1:22">
      <c r="A664" s="147"/>
      <c r="B664" s="147"/>
      <c r="C664" s="147"/>
      <c r="D664" s="147"/>
      <c r="E664" s="147"/>
      <c r="F664" s="147"/>
      <c r="G664" s="147"/>
      <c r="H664" s="147"/>
      <c r="I664" s="147"/>
      <c r="J664" s="147"/>
      <c r="K664" s="147"/>
      <c r="L664" s="147"/>
      <c r="M664" s="147"/>
      <c r="N664" s="147"/>
      <c r="O664" s="147"/>
      <c r="P664" s="147"/>
      <c r="Q664" s="147"/>
      <c r="R664" s="147"/>
      <c r="S664" s="147"/>
      <c r="T664" s="147"/>
      <c r="U664" s="147"/>
      <c r="V664" s="147"/>
    </row>
    <row r="665" spans="1:22">
      <c r="A665" s="147"/>
      <c r="B665" s="147"/>
      <c r="C665" s="147"/>
      <c r="D665" s="147"/>
      <c r="E665" s="147"/>
      <c r="F665" s="147"/>
      <c r="G665" s="147"/>
      <c r="H665" s="147"/>
      <c r="I665" s="147"/>
      <c r="J665" s="147"/>
      <c r="K665" s="147"/>
      <c r="L665" s="147"/>
      <c r="M665" s="147"/>
      <c r="N665" s="147"/>
      <c r="O665" s="147"/>
      <c r="P665" s="147"/>
      <c r="Q665" s="147"/>
      <c r="R665" s="147"/>
      <c r="S665" s="147"/>
      <c r="T665" s="147"/>
      <c r="U665" s="147"/>
      <c r="V665" s="147"/>
    </row>
    <row r="666" spans="1:22">
      <c r="A666" s="147"/>
      <c r="B666" s="147"/>
      <c r="C666" s="147"/>
      <c r="D666" s="147"/>
      <c r="E666" s="147"/>
      <c r="F666" s="147"/>
      <c r="G666" s="147"/>
      <c r="H666" s="147"/>
      <c r="I666" s="147"/>
      <c r="J666" s="147"/>
      <c r="K666" s="147"/>
      <c r="L666" s="147"/>
      <c r="M666" s="147"/>
      <c r="N666" s="147"/>
      <c r="O666" s="147"/>
      <c r="P666" s="147"/>
      <c r="Q666" s="147"/>
      <c r="R666" s="147"/>
      <c r="S666" s="147"/>
      <c r="T666" s="147"/>
      <c r="U666" s="147"/>
      <c r="V666" s="147"/>
    </row>
    <row r="667" spans="1:22">
      <c r="A667" s="147"/>
      <c r="B667" s="147"/>
      <c r="C667" s="147"/>
      <c r="D667" s="147"/>
      <c r="E667" s="147"/>
      <c r="F667" s="147"/>
      <c r="G667" s="147"/>
      <c r="H667" s="147"/>
      <c r="I667" s="147"/>
      <c r="J667" s="147"/>
      <c r="K667" s="147"/>
      <c r="L667" s="147"/>
      <c r="M667" s="147"/>
      <c r="N667" s="147"/>
      <c r="O667" s="147"/>
      <c r="P667" s="147"/>
      <c r="Q667" s="147"/>
      <c r="R667" s="147"/>
      <c r="S667" s="147"/>
      <c r="T667" s="147"/>
      <c r="U667" s="147"/>
      <c r="V667" s="147"/>
    </row>
    <row r="668" spans="1:22">
      <c r="A668" s="147"/>
      <c r="B668" s="147"/>
      <c r="C668" s="147"/>
      <c r="D668" s="147"/>
      <c r="E668" s="147"/>
      <c r="F668" s="147"/>
      <c r="G668" s="147"/>
      <c r="H668" s="147"/>
      <c r="I668" s="147"/>
      <c r="J668" s="147"/>
      <c r="K668" s="147"/>
      <c r="L668" s="147"/>
      <c r="M668" s="147"/>
      <c r="N668" s="147"/>
      <c r="O668" s="147"/>
      <c r="P668" s="147"/>
      <c r="Q668" s="147"/>
      <c r="R668" s="147"/>
      <c r="S668" s="147"/>
      <c r="T668" s="147"/>
      <c r="U668" s="147"/>
      <c r="V668" s="147"/>
    </row>
    <row r="669" spans="1:22">
      <c r="A669" s="147"/>
      <c r="B669" s="147"/>
      <c r="C669" s="147"/>
      <c r="D669" s="147"/>
      <c r="E669" s="147"/>
      <c r="F669" s="147"/>
      <c r="G669" s="147"/>
      <c r="H669" s="147"/>
      <c r="I669" s="147"/>
      <c r="J669" s="147"/>
      <c r="K669" s="147"/>
      <c r="L669" s="147"/>
      <c r="M669" s="147"/>
      <c r="N669" s="147"/>
      <c r="O669" s="147"/>
      <c r="P669" s="147"/>
      <c r="Q669" s="147"/>
      <c r="R669" s="147"/>
      <c r="S669" s="147"/>
      <c r="T669" s="147"/>
      <c r="U669" s="147"/>
      <c r="V669" s="147"/>
    </row>
    <row r="670" spans="1:22">
      <c r="A670" s="147"/>
      <c r="B670" s="147"/>
      <c r="C670" s="147"/>
      <c r="D670" s="147"/>
      <c r="E670" s="147"/>
      <c r="F670" s="147"/>
      <c r="G670" s="147"/>
      <c r="H670" s="147"/>
      <c r="I670" s="147"/>
      <c r="J670" s="147"/>
      <c r="K670" s="147"/>
      <c r="L670" s="147"/>
      <c r="M670" s="147"/>
      <c r="N670" s="147"/>
      <c r="O670" s="147"/>
      <c r="P670" s="147"/>
      <c r="Q670" s="147"/>
      <c r="R670" s="147"/>
      <c r="S670" s="147"/>
      <c r="T670" s="147"/>
      <c r="U670" s="147"/>
      <c r="V670" s="147"/>
    </row>
    <row r="671" spans="1:22">
      <c r="A671" s="147"/>
      <c r="B671" s="147"/>
      <c r="C671" s="147"/>
      <c r="D671" s="147"/>
      <c r="E671" s="147"/>
      <c r="F671" s="147"/>
      <c r="G671" s="147"/>
      <c r="H671" s="147"/>
      <c r="I671" s="147"/>
      <c r="J671" s="147"/>
      <c r="K671" s="147"/>
      <c r="L671" s="147"/>
      <c r="M671" s="147"/>
      <c r="N671" s="147"/>
      <c r="O671" s="147"/>
      <c r="P671" s="147"/>
      <c r="Q671" s="147"/>
      <c r="R671" s="147"/>
      <c r="S671" s="147"/>
      <c r="T671" s="147"/>
      <c r="U671" s="147"/>
      <c r="V671" s="147"/>
    </row>
    <row r="672" spans="1:22">
      <c r="A672" s="147"/>
      <c r="B672" s="147"/>
      <c r="C672" s="147"/>
      <c r="D672" s="147"/>
      <c r="E672" s="147"/>
      <c r="F672" s="147"/>
      <c r="G672" s="147"/>
      <c r="H672" s="147"/>
      <c r="I672" s="147"/>
      <c r="J672" s="147"/>
      <c r="K672" s="147"/>
      <c r="L672" s="147"/>
      <c r="M672" s="147"/>
      <c r="N672" s="147"/>
      <c r="O672" s="147"/>
      <c r="P672" s="147"/>
      <c r="Q672" s="147"/>
      <c r="R672" s="147"/>
      <c r="S672" s="147"/>
      <c r="T672" s="147"/>
      <c r="U672" s="147"/>
      <c r="V672" s="147"/>
    </row>
    <row r="673" spans="1:22">
      <c r="A673" s="147"/>
      <c r="B673" s="147"/>
      <c r="C673" s="147"/>
      <c r="D673" s="147"/>
      <c r="E673" s="147"/>
      <c r="F673" s="147"/>
      <c r="G673" s="147"/>
      <c r="H673" s="147"/>
      <c r="I673" s="147"/>
      <c r="J673" s="147"/>
      <c r="K673" s="147"/>
      <c r="L673" s="147"/>
      <c r="M673" s="147"/>
      <c r="N673" s="147"/>
      <c r="O673" s="147"/>
      <c r="P673" s="147"/>
      <c r="Q673" s="147"/>
      <c r="R673" s="147"/>
      <c r="S673" s="147"/>
      <c r="T673" s="147"/>
      <c r="U673" s="147"/>
      <c r="V673" s="147"/>
    </row>
    <row r="674" spans="1:22">
      <c r="A674" s="147"/>
      <c r="B674" s="147"/>
      <c r="C674" s="147"/>
      <c r="D674" s="147"/>
      <c r="E674" s="147"/>
      <c r="F674" s="147"/>
      <c r="G674" s="147"/>
      <c r="H674" s="147"/>
      <c r="I674" s="147"/>
      <c r="J674" s="147"/>
      <c r="K674" s="147"/>
      <c r="L674" s="147"/>
      <c r="M674" s="147"/>
      <c r="N674" s="147"/>
      <c r="O674" s="147"/>
      <c r="P674" s="147"/>
      <c r="Q674" s="147"/>
      <c r="R674" s="147"/>
      <c r="S674" s="147"/>
      <c r="T674" s="147"/>
      <c r="U674" s="147"/>
      <c r="V674" s="147"/>
    </row>
    <row r="675" spans="1:22">
      <c r="A675" s="147"/>
      <c r="B675" s="147"/>
      <c r="C675" s="147"/>
      <c r="D675" s="147"/>
      <c r="E675" s="147"/>
      <c r="F675" s="147"/>
      <c r="G675" s="147"/>
      <c r="H675" s="147"/>
      <c r="I675" s="147"/>
      <c r="J675" s="147"/>
      <c r="K675" s="147"/>
      <c r="L675" s="147"/>
      <c r="M675" s="147"/>
      <c r="N675" s="147"/>
      <c r="O675" s="147"/>
      <c r="P675" s="147"/>
      <c r="Q675" s="147"/>
      <c r="R675" s="147"/>
      <c r="S675" s="147"/>
      <c r="T675" s="147"/>
      <c r="U675" s="147"/>
      <c r="V675" s="147"/>
    </row>
    <row r="676" spans="1:22">
      <c r="A676" s="147"/>
      <c r="B676" s="147"/>
      <c r="C676" s="147"/>
      <c r="D676" s="147"/>
      <c r="E676" s="147"/>
      <c r="F676" s="147"/>
      <c r="G676" s="147"/>
      <c r="H676" s="147"/>
      <c r="I676" s="147"/>
      <c r="J676" s="147"/>
      <c r="K676" s="147"/>
      <c r="L676" s="147"/>
      <c r="M676" s="147"/>
      <c r="N676" s="147"/>
      <c r="O676" s="147"/>
      <c r="P676" s="147"/>
      <c r="Q676" s="147"/>
      <c r="R676" s="147"/>
      <c r="S676" s="147"/>
      <c r="T676" s="147"/>
      <c r="U676" s="147"/>
      <c r="V676" s="147"/>
    </row>
    <row r="677" spans="1:22">
      <c r="A677" s="147"/>
      <c r="B677" s="147"/>
      <c r="C677" s="147"/>
      <c r="D677" s="147"/>
      <c r="E677" s="147"/>
      <c r="F677" s="147"/>
      <c r="G677" s="147"/>
      <c r="H677" s="147"/>
      <c r="I677" s="147"/>
      <c r="J677" s="147"/>
      <c r="K677" s="147"/>
      <c r="L677" s="147"/>
      <c r="M677" s="147"/>
      <c r="N677" s="147"/>
      <c r="O677" s="147"/>
      <c r="P677" s="147"/>
      <c r="Q677" s="147"/>
      <c r="R677" s="147"/>
      <c r="S677" s="147"/>
      <c r="T677" s="147"/>
      <c r="U677" s="147"/>
      <c r="V677" s="147"/>
    </row>
    <row r="678" spans="1:22">
      <c r="A678" s="147"/>
      <c r="B678" s="147"/>
      <c r="C678" s="147"/>
      <c r="D678" s="147"/>
      <c r="E678" s="147"/>
      <c r="F678" s="147"/>
      <c r="G678" s="147"/>
      <c r="H678" s="147"/>
      <c r="I678" s="147"/>
      <c r="J678" s="147"/>
      <c r="K678" s="147"/>
      <c r="L678" s="147"/>
      <c r="M678" s="147"/>
      <c r="N678" s="147"/>
      <c r="O678" s="147"/>
      <c r="P678" s="147"/>
      <c r="Q678" s="147"/>
      <c r="R678" s="147"/>
      <c r="S678" s="147"/>
      <c r="T678" s="147"/>
      <c r="U678" s="147"/>
      <c r="V678" s="147"/>
    </row>
    <row r="679" spans="1:22">
      <c r="A679" s="147"/>
      <c r="B679" s="147"/>
      <c r="C679" s="147"/>
      <c r="D679" s="147"/>
      <c r="E679" s="147"/>
      <c r="F679" s="147"/>
      <c r="G679" s="147"/>
      <c r="H679" s="147"/>
      <c r="I679" s="147"/>
      <c r="J679" s="147"/>
      <c r="K679" s="147"/>
      <c r="L679" s="147"/>
      <c r="M679" s="147"/>
      <c r="N679" s="147"/>
      <c r="O679" s="147"/>
      <c r="P679" s="147"/>
      <c r="Q679" s="147"/>
      <c r="R679" s="147"/>
      <c r="S679" s="147"/>
      <c r="T679" s="147"/>
      <c r="U679" s="147"/>
      <c r="V679" s="147"/>
    </row>
    <row r="680" spans="1:22">
      <c r="A680" s="147"/>
      <c r="B680" s="147"/>
      <c r="C680" s="147"/>
      <c r="D680" s="147"/>
      <c r="E680" s="147"/>
      <c r="F680" s="147"/>
      <c r="G680" s="147"/>
      <c r="H680" s="147"/>
      <c r="I680" s="147"/>
      <c r="J680" s="147"/>
      <c r="K680" s="147"/>
      <c r="L680" s="147"/>
      <c r="M680" s="147"/>
      <c r="N680" s="147"/>
      <c r="O680" s="147"/>
      <c r="P680" s="147"/>
      <c r="Q680" s="147"/>
      <c r="R680" s="147"/>
      <c r="S680" s="147"/>
      <c r="T680" s="147"/>
      <c r="U680" s="147"/>
      <c r="V680" s="147"/>
    </row>
    <row r="681" spans="1:22">
      <c r="A681" s="147"/>
      <c r="B681" s="147"/>
      <c r="C681" s="147"/>
      <c r="D681" s="147"/>
      <c r="E681" s="147"/>
      <c r="F681" s="147"/>
      <c r="G681" s="147"/>
      <c r="H681" s="147"/>
      <c r="I681" s="147"/>
      <c r="J681" s="147"/>
      <c r="K681" s="147"/>
      <c r="L681" s="147"/>
      <c r="M681" s="147"/>
      <c r="N681" s="147"/>
      <c r="O681" s="147"/>
      <c r="P681" s="147"/>
      <c r="Q681" s="147"/>
      <c r="R681" s="147"/>
      <c r="S681" s="147"/>
      <c r="T681" s="147"/>
      <c r="U681" s="147"/>
      <c r="V681" s="147"/>
    </row>
    <row r="682" spans="1:22">
      <c r="A682" s="147"/>
      <c r="B682" s="147"/>
      <c r="C682" s="147"/>
      <c r="D682" s="147"/>
      <c r="E682" s="147"/>
      <c r="F682" s="147"/>
      <c r="G682" s="147"/>
      <c r="H682" s="147"/>
      <c r="I682" s="147"/>
      <c r="J682" s="147"/>
      <c r="K682" s="147"/>
      <c r="L682" s="147"/>
      <c r="M682" s="147"/>
      <c r="N682" s="147"/>
      <c r="O682" s="147"/>
      <c r="P682" s="147"/>
      <c r="Q682" s="147"/>
      <c r="R682" s="147"/>
      <c r="S682" s="147"/>
      <c r="T682" s="147"/>
      <c r="U682" s="147"/>
      <c r="V682" s="147"/>
    </row>
    <row r="683" spans="1:22">
      <c r="A683" s="147"/>
      <c r="B683" s="147"/>
      <c r="C683" s="147"/>
      <c r="D683" s="147"/>
      <c r="E683" s="147"/>
      <c r="F683" s="147"/>
      <c r="G683" s="147"/>
      <c r="H683" s="147"/>
      <c r="I683" s="147"/>
      <c r="J683" s="147"/>
      <c r="K683" s="147"/>
      <c r="L683" s="147"/>
      <c r="M683" s="147"/>
      <c r="N683" s="147"/>
      <c r="O683" s="147"/>
      <c r="P683" s="147"/>
      <c r="Q683" s="147"/>
      <c r="R683" s="147"/>
      <c r="S683" s="147"/>
      <c r="T683" s="147"/>
      <c r="U683" s="147"/>
      <c r="V683" s="147"/>
    </row>
    <row r="684" spans="1:22">
      <c r="A684" s="147"/>
      <c r="B684" s="147"/>
      <c r="C684" s="147"/>
      <c r="D684" s="147"/>
      <c r="E684" s="147"/>
      <c r="F684" s="147"/>
      <c r="G684" s="147"/>
      <c r="H684" s="147"/>
      <c r="I684" s="147"/>
      <c r="J684" s="147"/>
      <c r="K684" s="147"/>
      <c r="L684" s="147"/>
      <c r="M684" s="147"/>
      <c r="N684" s="147"/>
      <c r="O684" s="147"/>
      <c r="P684" s="147"/>
      <c r="Q684" s="147"/>
      <c r="R684" s="147"/>
      <c r="S684" s="147"/>
      <c r="T684" s="147"/>
      <c r="U684" s="147"/>
      <c r="V684" s="147"/>
    </row>
    <row r="685" spans="1:22">
      <c r="A685" s="147"/>
      <c r="B685" s="147"/>
      <c r="C685" s="147"/>
      <c r="D685" s="147"/>
      <c r="E685" s="147"/>
      <c r="F685" s="147"/>
      <c r="G685" s="147"/>
      <c r="H685" s="147"/>
      <c r="I685" s="147"/>
      <c r="J685" s="147"/>
      <c r="K685" s="147"/>
      <c r="L685" s="147"/>
      <c r="M685" s="147"/>
      <c r="N685" s="147"/>
      <c r="O685" s="147"/>
      <c r="P685" s="147"/>
      <c r="Q685" s="147"/>
      <c r="R685" s="147"/>
      <c r="S685" s="147"/>
      <c r="T685" s="147"/>
      <c r="U685" s="147"/>
      <c r="V685" s="147"/>
    </row>
    <row r="686" spans="1:22">
      <c r="A686" s="147"/>
      <c r="B686" s="147"/>
      <c r="C686" s="147"/>
      <c r="D686" s="147"/>
      <c r="E686" s="147"/>
      <c r="F686" s="147"/>
      <c r="G686" s="147"/>
      <c r="H686" s="147"/>
      <c r="I686" s="147"/>
      <c r="J686" s="147"/>
      <c r="K686" s="147"/>
      <c r="L686" s="147"/>
      <c r="M686" s="147"/>
      <c r="N686" s="147"/>
      <c r="O686" s="147"/>
      <c r="P686" s="147"/>
      <c r="Q686" s="147"/>
      <c r="R686" s="147"/>
      <c r="S686" s="147"/>
      <c r="T686" s="147"/>
      <c r="U686" s="147"/>
      <c r="V686" s="147"/>
    </row>
    <row r="687" spans="1:22">
      <c r="A687" s="147"/>
      <c r="B687" s="147"/>
      <c r="C687" s="147"/>
      <c r="D687" s="147"/>
      <c r="E687" s="147"/>
      <c r="F687" s="147"/>
      <c r="G687" s="147"/>
      <c r="H687" s="147"/>
      <c r="I687" s="147"/>
      <c r="J687" s="147"/>
      <c r="K687" s="147"/>
      <c r="L687" s="147"/>
      <c r="M687" s="147"/>
      <c r="N687" s="147"/>
      <c r="O687" s="147"/>
      <c r="P687" s="147"/>
      <c r="Q687" s="147"/>
      <c r="R687" s="147"/>
      <c r="S687" s="147"/>
      <c r="T687" s="147"/>
      <c r="U687" s="147"/>
      <c r="V687" s="147"/>
    </row>
    <row r="688" spans="1:22">
      <c r="A688" s="147"/>
      <c r="B688" s="147"/>
      <c r="C688" s="147"/>
      <c r="D688" s="147"/>
      <c r="E688" s="147"/>
      <c r="F688" s="147"/>
      <c r="G688" s="147"/>
      <c r="H688" s="147"/>
      <c r="I688" s="147"/>
      <c r="J688" s="147"/>
      <c r="K688" s="147"/>
      <c r="L688" s="147"/>
      <c r="M688" s="147"/>
      <c r="N688" s="147"/>
      <c r="O688" s="147"/>
      <c r="P688" s="147"/>
      <c r="Q688" s="147"/>
      <c r="R688" s="147"/>
      <c r="S688" s="147"/>
      <c r="T688" s="147"/>
      <c r="U688" s="147"/>
      <c r="V688" s="147"/>
    </row>
    <row r="689" spans="1:22">
      <c r="A689" s="147"/>
      <c r="B689" s="147"/>
      <c r="C689" s="147"/>
      <c r="D689" s="147"/>
      <c r="E689" s="147"/>
      <c r="F689" s="147"/>
      <c r="G689" s="147"/>
      <c r="H689" s="147"/>
      <c r="I689" s="147"/>
      <c r="J689" s="147"/>
      <c r="K689" s="147"/>
      <c r="L689" s="147"/>
      <c r="M689" s="147"/>
      <c r="N689" s="147"/>
      <c r="O689" s="147"/>
      <c r="P689" s="147"/>
      <c r="Q689" s="147"/>
      <c r="R689" s="147"/>
      <c r="S689" s="147"/>
      <c r="T689" s="147"/>
      <c r="U689" s="147"/>
      <c r="V689" s="147"/>
    </row>
    <row r="690" spans="1:22">
      <c r="A690" s="147"/>
      <c r="B690" s="147"/>
      <c r="C690" s="147"/>
      <c r="D690" s="147"/>
      <c r="E690" s="147"/>
      <c r="F690" s="147"/>
      <c r="G690" s="147"/>
      <c r="H690" s="147"/>
      <c r="I690" s="147"/>
      <c r="J690" s="147"/>
      <c r="K690" s="147"/>
      <c r="L690" s="147"/>
      <c r="M690" s="147"/>
      <c r="N690" s="147"/>
      <c r="O690" s="147"/>
      <c r="P690" s="147"/>
      <c r="Q690" s="147"/>
      <c r="R690" s="147"/>
      <c r="S690" s="147"/>
      <c r="T690" s="147"/>
      <c r="U690" s="147"/>
      <c r="V690" s="147"/>
    </row>
    <row r="691" spans="1:22">
      <c r="A691" s="147"/>
      <c r="B691" s="147"/>
      <c r="C691" s="147"/>
      <c r="D691" s="147"/>
      <c r="E691" s="147"/>
      <c r="F691" s="147"/>
      <c r="G691" s="147"/>
      <c r="H691" s="147"/>
      <c r="I691" s="147"/>
      <c r="J691" s="147"/>
      <c r="K691" s="147"/>
      <c r="L691" s="147"/>
      <c r="M691" s="147"/>
      <c r="N691" s="147"/>
      <c r="O691" s="147"/>
      <c r="P691" s="147"/>
      <c r="Q691" s="147"/>
      <c r="R691" s="147"/>
      <c r="S691" s="147"/>
      <c r="T691" s="147"/>
      <c r="U691" s="147"/>
      <c r="V691" s="147"/>
    </row>
    <row r="692" spans="1:22">
      <c r="A692" s="147"/>
      <c r="B692" s="147"/>
      <c r="C692" s="147"/>
      <c r="D692" s="147"/>
      <c r="E692" s="147"/>
      <c r="F692" s="147"/>
      <c r="G692" s="147"/>
      <c r="H692" s="147"/>
      <c r="I692" s="147"/>
      <c r="J692" s="147"/>
      <c r="K692" s="147"/>
      <c r="L692" s="147"/>
      <c r="M692" s="147"/>
      <c r="N692" s="147"/>
      <c r="O692" s="147"/>
      <c r="P692" s="147"/>
      <c r="Q692" s="147"/>
      <c r="R692" s="147"/>
      <c r="S692" s="147"/>
      <c r="T692" s="147"/>
      <c r="U692" s="147"/>
      <c r="V692" s="147"/>
    </row>
    <row r="693" spans="1:22">
      <c r="A693" s="147"/>
      <c r="B693" s="147"/>
      <c r="C693" s="147"/>
      <c r="D693" s="147"/>
      <c r="E693" s="147"/>
      <c r="F693" s="147"/>
      <c r="G693" s="147"/>
      <c r="H693" s="147"/>
      <c r="I693" s="147"/>
      <c r="J693" s="147"/>
      <c r="K693" s="147"/>
      <c r="L693" s="147"/>
      <c r="M693" s="147"/>
      <c r="N693" s="147"/>
      <c r="O693" s="147"/>
      <c r="P693" s="147"/>
      <c r="Q693" s="147"/>
      <c r="R693" s="147"/>
      <c r="S693" s="147"/>
      <c r="T693" s="147"/>
      <c r="U693" s="147"/>
      <c r="V693" s="147"/>
    </row>
    <row r="694" spans="1:22">
      <c r="A694" s="147"/>
      <c r="B694" s="147"/>
      <c r="C694" s="147"/>
      <c r="D694" s="147"/>
      <c r="E694" s="147"/>
      <c r="F694" s="147"/>
      <c r="G694" s="147"/>
      <c r="H694" s="147"/>
      <c r="I694" s="147"/>
      <c r="J694" s="147"/>
      <c r="K694" s="147"/>
      <c r="L694" s="147"/>
      <c r="M694" s="147"/>
      <c r="N694" s="147"/>
      <c r="O694" s="147"/>
      <c r="P694" s="147"/>
      <c r="Q694" s="147"/>
      <c r="R694" s="147"/>
      <c r="S694" s="147"/>
      <c r="T694" s="147"/>
      <c r="U694" s="147"/>
      <c r="V694" s="147"/>
    </row>
    <row r="695" spans="1:22">
      <c r="A695" s="147"/>
      <c r="B695" s="147"/>
      <c r="C695" s="147"/>
      <c r="D695" s="147"/>
      <c r="E695" s="147"/>
      <c r="F695" s="147"/>
      <c r="G695" s="147"/>
      <c r="H695" s="147"/>
      <c r="I695" s="147"/>
      <c r="J695" s="147"/>
      <c r="K695" s="147"/>
      <c r="L695" s="147"/>
      <c r="M695" s="147"/>
      <c r="N695" s="147"/>
      <c r="O695" s="147"/>
      <c r="P695" s="147"/>
      <c r="Q695" s="147"/>
      <c r="R695" s="147"/>
      <c r="S695" s="147"/>
      <c r="T695" s="147"/>
      <c r="U695" s="147"/>
      <c r="V695" s="147"/>
    </row>
    <row r="696" spans="1:22">
      <c r="A696" s="147"/>
      <c r="B696" s="147"/>
      <c r="C696" s="147"/>
      <c r="D696" s="147"/>
      <c r="E696" s="147"/>
      <c r="F696" s="147"/>
      <c r="G696" s="147"/>
      <c r="H696" s="147"/>
      <c r="I696" s="147"/>
      <c r="J696" s="147"/>
      <c r="K696" s="147"/>
      <c r="L696" s="147"/>
      <c r="M696" s="147"/>
      <c r="N696" s="147"/>
      <c r="O696" s="147"/>
      <c r="P696" s="147"/>
      <c r="Q696" s="147"/>
      <c r="R696" s="147"/>
      <c r="S696" s="147"/>
      <c r="T696" s="147"/>
      <c r="U696" s="147"/>
      <c r="V696" s="147"/>
    </row>
    <row r="697" spans="1:22">
      <c r="A697" s="147"/>
      <c r="B697" s="147"/>
      <c r="C697" s="147"/>
      <c r="D697" s="147"/>
      <c r="E697" s="147"/>
      <c r="F697" s="147"/>
      <c r="G697" s="147"/>
      <c r="H697" s="147"/>
      <c r="I697" s="147"/>
      <c r="J697" s="147"/>
      <c r="K697" s="147"/>
      <c r="L697" s="147"/>
      <c r="M697" s="147"/>
      <c r="N697" s="147"/>
      <c r="O697" s="147"/>
      <c r="P697" s="147"/>
      <c r="Q697" s="147"/>
      <c r="R697" s="147"/>
      <c r="S697" s="147"/>
      <c r="T697" s="147"/>
      <c r="U697" s="147"/>
      <c r="V697" s="147"/>
    </row>
    <row r="698" spans="1:22">
      <c r="A698" s="147"/>
      <c r="B698" s="147"/>
      <c r="C698" s="147"/>
      <c r="D698" s="147"/>
      <c r="E698" s="147"/>
      <c r="F698" s="147"/>
      <c r="G698" s="147"/>
      <c r="H698" s="147"/>
      <c r="I698" s="147"/>
      <c r="J698" s="147"/>
      <c r="K698" s="147"/>
      <c r="L698" s="147"/>
      <c r="M698" s="147"/>
      <c r="N698" s="147"/>
      <c r="O698" s="147"/>
      <c r="P698" s="147"/>
      <c r="Q698" s="147"/>
      <c r="R698" s="147"/>
      <c r="S698" s="147"/>
      <c r="T698" s="147"/>
      <c r="U698" s="147"/>
      <c r="V698" s="147"/>
    </row>
    <row r="699" spans="1:22">
      <c r="A699" s="147"/>
      <c r="B699" s="147"/>
      <c r="C699" s="147"/>
      <c r="D699" s="147"/>
      <c r="E699" s="147"/>
      <c r="F699" s="147"/>
      <c r="G699" s="147"/>
      <c r="H699" s="147"/>
      <c r="I699" s="147"/>
      <c r="J699" s="147"/>
      <c r="K699" s="147"/>
      <c r="L699" s="147"/>
      <c r="M699" s="147"/>
      <c r="N699" s="147"/>
      <c r="O699" s="147"/>
      <c r="P699" s="147"/>
      <c r="Q699" s="147"/>
      <c r="R699" s="147"/>
      <c r="S699" s="147"/>
      <c r="T699" s="147"/>
      <c r="U699" s="147"/>
      <c r="V699" s="147"/>
    </row>
    <row r="700" spans="1:22">
      <c r="A700" s="147"/>
      <c r="B700" s="147"/>
      <c r="C700" s="147"/>
      <c r="D700" s="147"/>
      <c r="E700" s="147"/>
      <c r="F700" s="147"/>
      <c r="G700" s="147"/>
      <c r="H700" s="147"/>
      <c r="I700" s="147"/>
      <c r="J700" s="147"/>
      <c r="K700" s="147"/>
      <c r="L700" s="147"/>
      <c r="M700" s="147"/>
      <c r="N700" s="147"/>
      <c r="O700" s="147"/>
      <c r="P700" s="147"/>
      <c r="Q700" s="147"/>
      <c r="R700" s="147"/>
      <c r="S700" s="147"/>
      <c r="T700" s="147"/>
      <c r="U700" s="147"/>
      <c r="V700" s="147"/>
    </row>
    <row r="701" spans="1:22">
      <c r="A701" s="147"/>
      <c r="B701" s="147"/>
      <c r="C701" s="147"/>
      <c r="D701" s="147"/>
      <c r="E701" s="147"/>
      <c r="F701" s="147"/>
      <c r="G701" s="147"/>
      <c r="H701" s="147"/>
      <c r="I701" s="147"/>
      <c r="J701" s="147"/>
      <c r="K701" s="147"/>
      <c r="L701" s="147"/>
      <c r="M701" s="147"/>
      <c r="N701" s="147"/>
      <c r="O701" s="147"/>
      <c r="P701" s="147"/>
      <c r="Q701" s="147"/>
      <c r="R701" s="147"/>
      <c r="S701" s="147"/>
      <c r="T701" s="147"/>
      <c r="U701" s="147"/>
      <c r="V701" s="147"/>
    </row>
    <row r="702" spans="1:22">
      <c r="A702" s="147"/>
      <c r="B702" s="147"/>
      <c r="C702" s="147"/>
      <c r="D702" s="147"/>
      <c r="E702" s="147"/>
      <c r="F702" s="147"/>
      <c r="G702" s="147"/>
      <c r="H702" s="147"/>
      <c r="I702" s="147"/>
      <c r="J702" s="147"/>
      <c r="K702" s="147"/>
      <c r="L702" s="147"/>
      <c r="M702" s="147"/>
      <c r="N702" s="147"/>
      <c r="O702" s="147"/>
      <c r="P702" s="147"/>
      <c r="Q702" s="147"/>
      <c r="R702" s="147"/>
      <c r="S702" s="147"/>
      <c r="T702" s="147"/>
      <c r="U702" s="147"/>
      <c r="V702" s="147"/>
    </row>
    <row r="703" spans="1:22">
      <c r="A703" s="147"/>
      <c r="B703" s="147"/>
      <c r="C703" s="147"/>
      <c r="D703" s="147"/>
      <c r="E703" s="147"/>
      <c r="F703" s="147"/>
      <c r="G703" s="147"/>
      <c r="H703" s="147"/>
      <c r="I703" s="147"/>
      <c r="J703" s="147"/>
      <c r="K703" s="147"/>
      <c r="L703" s="147"/>
      <c r="M703" s="147"/>
      <c r="N703" s="147"/>
      <c r="O703" s="147"/>
      <c r="P703" s="147"/>
      <c r="Q703" s="147"/>
      <c r="R703" s="147"/>
      <c r="S703" s="147"/>
      <c r="T703" s="147"/>
      <c r="U703" s="147"/>
      <c r="V703" s="147"/>
    </row>
    <row r="704" spans="1:22">
      <c r="A704" s="147"/>
      <c r="B704" s="147"/>
      <c r="C704" s="147"/>
      <c r="D704" s="147"/>
      <c r="E704" s="147"/>
      <c r="F704" s="147"/>
      <c r="G704" s="147"/>
      <c r="H704" s="147"/>
      <c r="I704" s="147"/>
      <c r="J704" s="147"/>
      <c r="K704" s="147"/>
      <c r="L704" s="147"/>
      <c r="M704" s="147"/>
      <c r="N704" s="147"/>
      <c r="O704" s="147"/>
      <c r="P704" s="147"/>
      <c r="Q704" s="147"/>
      <c r="R704" s="147"/>
      <c r="S704" s="147"/>
      <c r="T704" s="147"/>
      <c r="U704" s="147"/>
      <c r="V704" s="147"/>
    </row>
    <row r="705" spans="1:22">
      <c r="A705" s="147"/>
      <c r="B705" s="147"/>
      <c r="C705" s="147"/>
      <c r="D705" s="147"/>
      <c r="E705" s="147"/>
      <c r="F705" s="147"/>
      <c r="G705" s="147"/>
      <c r="H705" s="147"/>
      <c r="I705" s="147"/>
      <c r="J705" s="147"/>
      <c r="K705" s="147"/>
      <c r="L705" s="147"/>
      <c r="M705" s="147"/>
      <c r="N705" s="147"/>
      <c r="O705" s="147"/>
      <c r="P705" s="147"/>
      <c r="Q705" s="147"/>
      <c r="R705" s="147"/>
      <c r="S705" s="147"/>
      <c r="T705" s="147"/>
      <c r="U705" s="147"/>
      <c r="V705" s="147"/>
    </row>
    <row r="706" spans="1:22">
      <c r="A706" s="147"/>
      <c r="B706" s="147"/>
      <c r="C706" s="147"/>
      <c r="D706" s="147"/>
      <c r="E706" s="147"/>
      <c r="F706" s="147"/>
      <c r="G706" s="147"/>
      <c r="H706" s="147"/>
      <c r="I706" s="147"/>
      <c r="J706" s="147"/>
      <c r="K706" s="147"/>
      <c r="L706" s="147"/>
      <c r="M706" s="147"/>
      <c r="N706" s="147"/>
      <c r="O706" s="147"/>
      <c r="P706" s="147"/>
      <c r="Q706" s="147"/>
      <c r="R706" s="147"/>
      <c r="S706" s="147"/>
      <c r="T706" s="147"/>
      <c r="U706" s="147"/>
      <c r="V706" s="147"/>
    </row>
    <row r="707" spans="1:22">
      <c r="A707" s="147"/>
      <c r="B707" s="147"/>
      <c r="C707" s="147"/>
      <c r="D707" s="147"/>
      <c r="E707" s="147"/>
      <c r="F707" s="147"/>
      <c r="G707" s="147"/>
      <c r="H707" s="147"/>
      <c r="I707" s="147"/>
      <c r="J707" s="147"/>
      <c r="K707" s="147"/>
      <c r="L707" s="147"/>
      <c r="M707" s="147"/>
      <c r="N707" s="147"/>
      <c r="O707" s="147"/>
      <c r="P707" s="147"/>
      <c r="Q707" s="147"/>
      <c r="R707" s="147"/>
      <c r="S707" s="147"/>
      <c r="T707" s="147"/>
      <c r="U707" s="147"/>
      <c r="V707" s="147"/>
    </row>
    <row r="708" spans="1:22">
      <c r="A708" s="147"/>
      <c r="B708" s="147"/>
      <c r="C708" s="147"/>
      <c r="D708" s="147"/>
      <c r="E708" s="147"/>
      <c r="F708" s="147"/>
      <c r="G708" s="147"/>
      <c r="H708" s="147"/>
      <c r="I708" s="147"/>
      <c r="J708" s="147"/>
      <c r="K708" s="147"/>
      <c r="L708" s="147"/>
      <c r="M708" s="147"/>
      <c r="N708" s="147"/>
      <c r="O708" s="147"/>
      <c r="P708" s="147"/>
      <c r="Q708" s="147"/>
      <c r="R708" s="147"/>
      <c r="S708" s="147"/>
      <c r="T708" s="147"/>
      <c r="U708" s="147"/>
      <c r="V708" s="147"/>
    </row>
    <row r="709" spans="1:22">
      <c r="A709" s="147"/>
      <c r="B709" s="147"/>
      <c r="C709" s="147"/>
      <c r="D709" s="147"/>
      <c r="E709" s="147"/>
      <c r="F709" s="147"/>
      <c r="G709" s="147"/>
      <c r="H709" s="147"/>
      <c r="I709" s="147"/>
      <c r="J709" s="147"/>
      <c r="K709" s="147"/>
      <c r="L709" s="147"/>
      <c r="M709" s="147"/>
      <c r="N709" s="147"/>
      <c r="O709" s="147"/>
      <c r="P709" s="147"/>
      <c r="Q709" s="147"/>
      <c r="R709" s="147"/>
      <c r="S709" s="147"/>
      <c r="T709" s="147"/>
      <c r="U709" s="147"/>
      <c r="V709" s="147"/>
    </row>
    <row r="710" spans="1:22">
      <c r="A710" s="147"/>
      <c r="B710" s="147"/>
      <c r="C710" s="147"/>
      <c r="D710" s="147"/>
      <c r="E710" s="147"/>
      <c r="F710" s="147"/>
      <c r="G710" s="147"/>
      <c r="H710" s="147"/>
      <c r="I710" s="147"/>
      <c r="J710" s="147"/>
      <c r="K710" s="147"/>
      <c r="L710" s="147"/>
      <c r="M710" s="147"/>
      <c r="N710" s="147"/>
      <c r="O710" s="147"/>
      <c r="P710" s="147"/>
      <c r="Q710" s="147"/>
      <c r="R710" s="147"/>
      <c r="S710" s="147"/>
      <c r="T710" s="147"/>
      <c r="U710" s="147"/>
      <c r="V710" s="147"/>
    </row>
    <row r="711" spans="1:22">
      <c r="A711" s="147"/>
      <c r="B711" s="147"/>
      <c r="C711" s="147"/>
      <c r="D711" s="147"/>
      <c r="E711" s="147"/>
      <c r="F711" s="147"/>
      <c r="G711" s="147"/>
      <c r="H711" s="147"/>
      <c r="I711" s="147"/>
      <c r="J711" s="147"/>
      <c r="K711" s="147"/>
      <c r="L711" s="147"/>
      <c r="M711" s="147"/>
      <c r="N711" s="147"/>
      <c r="O711" s="147"/>
      <c r="P711" s="147"/>
      <c r="Q711" s="147"/>
      <c r="R711" s="147"/>
      <c r="S711" s="147"/>
      <c r="T711" s="147"/>
      <c r="U711" s="147"/>
      <c r="V711" s="147"/>
    </row>
    <row r="712" spans="1:22">
      <c r="A712" s="147"/>
      <c r="B712" s="147"/>
      <c r="C712" s="147"/>
      <c r="D712" s="147"/>
      <c r="E712" s="147"/>
      <c r="F712" s="147"/>
      <c r="G712" s="147"/>
      <c r="H712" s="147"/>
      <c r="I712" s="147"/>
      <c r="J712" s="147"/>
      <c r="K712" s="147"/>
      <c r="L712" s="147"/>
      <c r="M712" s="147"/>
      <c r="N712" s="147"/>
      <c r="O712" s="147"/>
      <c r="P712" s="147"/>
      <c r="Q712" s="147"/>
      <c r="R712" s="147"/>
      <c r="S712" s="147"/>
      <c r="T712" s="147"/>
      <c r="U712" s="147"/>
      <c r="V712" s="147"/>
    </row>
    <row r="713" spans="1:22">
      <c r="A713" s="147"/>
      <c r="B713" s="147"/>
      <c r="C713" s="147"/>
      <c r="D713" s="147"/>
      <c r="E713" s="147"/>
      <c r="F713" s="147"/>
      <c r="G713" s="147"/>
      <c r="H713" s="147"/>
      <c r="I713" s="147"/>
      <c r="J713" s="147"/>
      <c r="K713" s="147"/>
      <c r="L713" s="147"/>
      <c r="M713" s="147"/>
      <c r="N713" s="147"/>
      <c r="O713" s="147"/>
      <c r="P713" s="147"/>
      <c r="Q713" s="147"/>
      <c r="R713" s="147"/>
      <c r="S713" s="147"/>
      <c r="T713" s="147"/>
      <c r="U713" s="147"/>
      <c r="V713" s="147"/>
    </row>
    <row r="714" spans="1:22">
      <c r="A714" s="147"/>
      <c r="B714" s="147"/>
      <c r="C714" s="147"/>
      <c r="D714" s="147"/>
      <c r="E714" s="147"/>
      <c r="F714" s="147"/>
      <c r="G714" s="147"/>
      <c r="H714" s="147"/>
      <c r="I714" s="147"/>
      <c r="J714" s="147"/>
      <c r="K714" s="147"/>
      <c r="L714" s="147"/>
      <c r="M714" s="147"/>
      <c r="N714" s="147"/>
      <c r="O714" s="147"/>
      <c r="P714" s="147"/>
      <c r="Q714" s="147"/>
      <c r="R714" s="147"/>
      <c r="S714" s="147"/>
      <c r="T714" s="147"/>
      <c r="U714" s="147"/>
      <c r="V714" s="147"/>
    </row>
    <row r="715" spans="1:22">
      <c r="A715" s="147"/>
      <c r="B715" s="147"/>
      <c r="C715" s="147"/>
      <c r="D715" s="147"/>
      <c r="E715" s="147"/>
      <c r="F715" s="147"/>
      <c r="G715" s="147"/>
      <c r="H715" s="147"/>
      <c r="I715" s="147"/>
      <c r="J715" s="147"/>
      <c r="K715" s="147"/>
      <c r="L715" s="147"/>
      <c r="M715" s="147"/>
      <c r="N715" s="147"/>
      <c r="O715" s="147"/>
      <c r="P715" s="147"/>
      <c r="Q715" s="147"/>
      <c r="R715" s="147"/>
      <c r="S715" s="147"/>
      <c r="T715" s="147"/>
      <c r="U715" s="147"/>
      <c r="V715" s="147"/>
    </row>
    <row r="716" spans="1:22">
      <c r="A716" s="147"/>
      <c r="B716" s="147"/>
      <c r="C716" s="147"/>
      <c r="D716" s="147"/>
      <c r="E716" s="147"/>
      <c r="F716" s="147"/>
      <c r="G716" s="147"/>
      <c r="H716" s="147"/>
      <c r="I716" s="147"/>
      <c r="J716" s="147"/>
      <c r="K716" s="147"/>
      <c r="L716" s="147"/>
      <c r="M716" s="147"/>
      <c r="N716" s="147"/>
      <c r="O716" s="147"/>
      <c r="P716" s="147"/>
      <c r="Q716" s="147"/>
      <c r="R716" s="147"/>
      <c r="S716" s="147"/>
      <c r="T716" s="147"/>
      <c r="U716" s="147"/>
      <c r="V716" s="147"/>
    </row>
    <row r="717" spans="1:22">
      <c r="A717" s="147"/>
      <c r="B717" s="147"/>
      <c r="C717" s="147"/>
      <c r="D717" s="147"/>
      <c r="E717" s="147"/>
      <c r="F717" s="147"/>
      <c r="G717" s="147"/>
      <c r="H717" s="147"/>
      <c r="I717" s="147"/>
      <c r="J717" s="147"/>
      <c r="K717" s="147"/>
      <c r="L717" s="147"/>
      <c r="M717" s="147"/>
      <c r="N717" s="147"/>
      <c r="O717" s="147"/>
      <c r="P717" s="147"/>
      <c r="Q717" s="147"/>
      <c r="R717" s="147"/>
      <c r="S717" s="147"/>
      <c r="T717" s="147"/>
      <c r="U717" s="147"/>
      <c r="V717" s="147"/>
    </row>
    <row r="718" spans="1:22">
      <c r="A718" s="147"/>
      <c r="B718" s="147"/>
      <c r="C718" s="147"/>
      <c r="D718" s="147"/>
      <c r="E718" s="147"/>
      <c r="F718" s="147"/>
      <c r="G718" s="147"/>
      <c r="H718" s="147"/>
      <c r="I718" s="147"/>
      <c r="J718" s="147"/>
      <c r="K718" s="147"/>
      <c r="L718" s="147"/>
      <c r="M718" s="147"/>
      <c r="N718" s="147"/>
      <c r="O718" s="147"/>
      <c r="P718" s="147"/>
      <c r="Q718" s="147"/>
      <c r="R718" s="147"/>
      <c r="S718" s="147"/>
      <c r="T718" s="147"/>
      <c r="U718" s="147"/>
      <c r="V718" s="147"/>
    </row>
    <row r="719" spans="1:22">
      <c r="A719" s="147"/>
      <c r="B719" s="147"/>
      <c r="C719" s="147"/>
      <c r="D719" s="147"/>
      <c r="E719" s="147"/>
      <c r="F719" s="147"/>
      <c r="G719" s="147"/>
      <c r="H719" s="147"/>
      <c r="I719" s="147"/>
      <c r="J719" s="147"/>
      <c r="K719" s="147"/>
      <c r="L719" s="147"/>
      <c r="M719" s="147"/>
      <c r="N719" s="147"/>
      <c r="O719" s="147"/>
      <c r="P719" s="147"/>
      <c r="Q719" s="147"/>
      <c r="R719" s="147"/>
      <c r="S719" s="147"/>
      <c r="T719" s="147"/>
      <c r="U719" s="147"/>
      <c r="V719" s="147"/>
    </row>
    <row r="720" spans="1:22">
      <c r="A720" s="147"/>
      <c r="B720" s="147"/>
      <c r="C720" s="147"/>
      <c r="D720" s="147"/>
      <c r="E720" s="147"/>
      <c r="F720" s="147"/>
      <c r="G720" s="147"/>
      <c r="H720" s="147"/>
      <c r="I720" s="147"/>
      <c r="J720" s="147"/>
      <c r="K720" s="147"/>
      <c r="L720" s="147"/>
      <c r="M720" s="147"/>
      <c r="N720" s="147"/>
      <c r="O720" s="147"/>
      <c r="P720" s="147"/>
      <c r="Q720" s="147"/>
      <c r="R720" s="147"/>
      <c r="S720" s="147"/>
      <c r="T720" s="147"/>
      <c r="U720" s="147"/>
      <c r="V720" s="147"/>
    </row>
    <row r="721" spans="1:32">
      <c r="A721" s="147"/>
      <c r="B721" s="147"/>
      <c r="C721" s="147"/>
      <c r="D721" s="147"/>
      <c r="E721" s="147"/>
      <c r="F721" s="147"/>
      <c r="G721" s="147"/>
      <c r="H721" s="147"/>
      <c r="I721" s="147"/>
      <c r="J721" s="147"/>
      <c r="K721" s="147"/>
      <c r="L721" s="147"/>
      <c r="M721" s="147"/>
      <c r="N721" s="147"/>
      <c r="O721" s="147"/>
      <c r="P721" s="147"/>
      <c r="Q721" s="147"/>
      <c r="R721" s="147"/>
      <c r="S721" s="147"/>
      <c r="T721" s="147"/>
      <c r="U721" s="147"/>
      <c r="V721" s="147"/>
    </row>
    <row r="722" spans="1:32">
      <c r="A722" s="147"/>
      <c r="B722" s="147"/>
      <c r="C722" s="147"/>
      <c r="D722" s="147"/>
      <c r="E722" s="147"/>
      <c r="F722" s="147"/>
      <c r="G722" s="147"/>
      <c r="H722" s="147"/>
      <c r="I722" s="147"/>
      <c r="J722" s="147"/>
      <c r="K722" s="147"/>
      <c r="L722" s="147"/>
      <c r="M722" s="147"/>
      <c r="N722" s="147"/>
      <c r="O722" s="147"/>
      <c r="P722" s="147"/>
      <c r="Q722" s="147"/>
      <c r="R722" s="147"/>
      <c r="S722" s="147"/>
      <c r="T722" s="147"/>
      <c r="U722" s="147"/>
      <c r="V722" s="147"/>
    </row>
    <row r="723" spans="1:32">
      <c r="A723" s="147"/>
      <c r="B723" s="147"/>
      <c r="C723" s="147"/>
      <c r="D723" s="147"/>
      <c r="E723" s="147"/>
      <c r="F723" s="147"/>
      <c r="G723" s="147"/>
      <c r="H723" s="147"/>
      <c r="I723" s="147"/>
      <c r="J723" s="147"/>
      <c r="K723" s="147"/>
      <c r="L723" s="147"/>
      <c r="M723" s="147"/>
      <c r="N723" s="147"/>
      <c r="O723" s="147"/>
      <c r="P723" s="147"/>
      <c r="Q723" s="147"/>
      <c r="R723" s="147"/>
      <c r="S723" s="147"/>
      <c r="T723" s="147"/>
      <c r="U723" s="147"/>
      <c r="V723" s="147"/>
    </row>
    <row r="724" spans="1:32">
      <c r="A724" s="147"/>
      <c r="B724" s="147"/>
      <c r="C724" s="147"/>
      <c r="D724" s="147"/>
      <c r="E724" s="147"/>
      <c r="F724" s="147"/>
      <c r="G724" s="147"/>
      <c r="H724" s="147"/>
      <c r="I724" s="147"/>
      <c r="J724" s="147"/>
      <c r="K724" s="147"/>
      <c r="L724" s="147"/>
      <c r="M724" s="147"/>
      <c r="N724" s="147"/>
      <c r="O724" s="147"/>
      <c r="P724" s="147"/>
      <c r="Q724" s="147"/>
      <c r="R724" s="147"/>
      <c r="S724" s="147"/>
      <c r="T724" s="147"/>
      <c r="U724" s="147"/>
      <c r="V724" s="147"/>
    </row>
    <row r="725" spans="1:32">
      <c r="A725" s="147"/>
      <c r="B725" s="147"/>
      <c r="C725" s="147"/>
      <c r="D725" s="147"/>
      <c r="E725" s="147"/>
      <c r="F725" s="147"/>
      <c r="G725" s="147"/>
      <c r="H725" s="147"/>
      <c r="I725" s="147"/>
      <c r="J725" s="147"/>
      <c r="K725" s="147"/>
      <c r="L725" s="147"/>
      <c r="M725" s="147"/>
      <c r="N725" s="147"/>
      <c r="O725" s="147"/>
      <c r="P725" s="147"/>
      <c r="Q725" s="147"/>
      <c r="R725" s="147"/>
      <c r="S725" s="147"/>
      <c r="T725" s="147"/>
      <c r="U725" s="147"/>
      <c r="V725" s="147"/>
    </row>
    <row r="726" spans="1:32">
      <c r="A726" s="147"/>
      <c r="B726" s="147"/>
      <c r="C726" s="147"/>
      <c r="D726" s="147"/>
      <c r="E726" s="147"/>
      <c r="F726" s="147"/>
      <c r="G726" s="147"/>
      <c r="H726" s="147"/>
      <c r="I726" s="147"/>
      <c r="J726" s="147"/>
      <c r="K726" s="147"/>
      <c r="L726" s="147"/>
      <c r="M726" s="147"/>
      <c r="N726" s="147"/>
      <c r="O726" s="147"/>
      <c r="P726" s="147"/>
      <c r="Q726" s="147"/>
      <c r="R726" s="147"/>
      <c r="S726" s="147"/>
      <c r="T726" s="147"/>
      <c r="U726" s="147"/>
      <c r="V726" s="147"/>
    </row>
    <row r="727" spans="1:32">
      <c r="A727" s="147"/>
      <c r="B727" s="147"/>
      <c r="C727" s="147"/>
      <c r="D727" s="147"/>
      <c r="E727" s="147"/>
      <c r="F727" s="147"/>
      <c r="G727" s="147"/>
      <c r="H727" s="147"/>
      <c r="I727" s="147"/>
      <c r="J727" s="147"/>
      <c r="K727" s="147"/>
      <c r="L727" s="147"/>
      <c r="M727" s="147"/>
      <c r="N727" s="147"/>
      <c r="O727" s="147"/>
      <c r="P727" s="147"/>
      <c r="Q727" s="147"/>
      <c r="R727" s="147"/>
      <c r="S727" s="147"/>
      <c r="T727" s="147"/>
      <c r="U727" s="147"/>
      <c r="V727" s="147"/>
    </row>
    <row r="728" spans="1:32">
      <c r="A728" s="147"/>
      <c r="B728" s="147"/>
      <c r="C728" s="147"/>
      <c r="D728" s="147"/>
      <c r="E728" s="147"/>
      <c r="F728" s="147"/>
      <c r="G728" s="147"/>
      <c r="H728" s="147"/>
      <c r="I728" s="147"/>
      <c r="J728" s="147"/>
      <c r="K728" s="147"/>
      <c r="L728" s="147"/>
      <c r="M728" s="147"/>
      <c r="N728" s="147"/>
      <c r="O728" s="147"/>
      <c r="P728" s="147"/>
      <c r="Q728" s="147"/>
      <c r="R728" s="147"/>
      <c r="S728" s="147"/>
      <c r="T728" s="147"/>
      <c r="U728" s="147"/>
      <c r="V728" s="147"/>
    </row>
    <row r="729" spans="1:32">
      <c r="A729" s="147"/>
      <c r="B729" s="147"/>
      <c r="C729" s="147"/>
      <c r="D729" s="147"/>
      <c r="E729" s="147"/>
      <c r="F729" s="147"/>
      <c r="G729" s="147"/>
      <c r="H729" s="147"/>
      <c r="I729" s="147"/>
      <c r="J729" s="147"/>
      <c r="K729" s="147"/>
      <c r="L729" s="147"/>
      <c r="M729" s="147"/>
      <c r="N729" s="147"/>
      <c r="O729" s="147"/>
      <c r="P729" s="147"/>
      <c r="Q729" s="147"/>
      <c r="R729" s="147"/>
      <c r="S729" s="147"/>
      <c r="T729" s="147"/>
      <c r="U729" s="147"/>
      <c r="V729" s="147"/>
    </row>
    <row r="730" spans="1:32">
      <c r="A730" s="147"/>
      <c r="B730" s="147"/>
      <c r="C730" s="147"/>
      <c r="D730" s="147"/>
      <c r="E730" s="147"/>
      <c r="F730" s="147"/>
      <c r="G730" s="147"/>
      <c r="H730" s="147"/>
      <c r="I730" s="147"/>
      <c r="J730" s="147"/>
      <c r="K730" s="147"/>
      <c r="L730" s="147"/>
      <c r="M730" s="147"/>
      <c r="N730" s="147"/>
      <c r="O730" s="147"/>
      <c r="P730" s="147"/>
      <c r="Q730" s="147"/>
      <c r="R730" s="147"/>
      <c r="S730" s="147"/>
      <c r="T730" s="147"/>
      <c r="U730" s="147"/>
      <c r="V730" s="147"/>
    </row>
    <row r="731" spans="1:32">
      <c r="A731" s="147"/>
      <c r="B731" s="147"/>
      <c r="C731" s="147"/>
      <c r="D731" s="147"/>
      <c r="E731" s="147"/>
      <c r="F731" s="147"/>
      <c r="G731" s="147"/>
      <c r="H731" s="147"/>
      <c r="I731" s="147"/>
      <c r="J731" s="147"/>
      <c r="K731" s="147"/>
      <c r="L731" s="147"/>
      <c r="M731" s="147"/>
      <c r="N731" s="147"/>
      <c r="O731" s="147"/>
      <c r="P731" s="147"/>
      <c r="Q731" s="147"/>
      <c r="R731" s="147"/>
      <c r="S731" s="147"/>
      <c r="T731" s="147"/>
      <c r="U731" s="147"/>
      <c r="V731" s="147"/>
    </row>
    <row r="732" spans="1:32">
      <c r="A732" s="147"/>
      <c r="B732" s="147"/>
      <c r="C732" s="147"/>
      <c r="D732" s="147"/>
      <c r="E732" s="147"/>
      <c r="F732" s="147"/>
      <c r="G732" s="147"/>
      <c r="H732" s="147"/>
      <c r="I732" s="147"/>
      <c r="J732" s="147"/>
      <c r="K732" s="147"/>
      <c r="L732" s="147"/>
      <c r="M732" s="147"/>
      <c r="N732" s="147"/>
      <c r="O732" s="147"/>
      <c r="P732" s="147"/>
      <c r="Q732" s="147"/>
      <c r="R732" s="147"/>
      <c r="S732" s="147"/>
      <c r="T732" s="147"/>
      <c r="U732" s="147"/>
      <c r="V732" s="147"/>
    </row>
    <row r="733" spans="1:32">
      <c r="A733" s="147"/>
      <c r="B733" s="147"/>
      <c r="C733" s="147"/>
      <c r="D733" s="147"/>
      <c r="E733" s="147"/>
      <c r="F733" s="147"/>
      <c r="G733" s="147"/>
      <c r="H733" s="147"/>
      <c r="I733" s="147"/>
      <c r="J733" s="40"/>
      <c r="K733" s="147"/>
      <c r="L733" s="147"/>
      <c r="M733" s="147"/>
      <c r="N733" s="147"/>
      <c r="O733" s="147"/>
      <c r="P733" s="147"/>
      <c r="Q733" s="147"/>
      <c r="R733" s="147"/>
      <c r="S733" s="147"/>
      <c r="T733" s="147"/>
      <c r="U733" s="147"/>
      <c r="V733" s="147"/>
    </row>
    <row r="734" spans="1:32" s="42" customFormat="1" ht="11.25" customHeight="1">
      <c r="A734" s="69"/>
      <c r="B734" s="69"/>
      <c r="C734" s="69"/>
      <c r="D734" s="147"/>
      <c r="E734" s="147"/>
      <c r="F734" s="147"/>
      <c r="G734" s="40"/>
      <c r="H734" s="40"/>
      <c r="I734" s="40"/>
      <c r="J734" s="40"/>
      <c r="K734" s="69"/>
      <c r="L734" s="69"/>
      <c r="M734" s="69"/>
      <c r="N734" s="147"/>
      <c r="O734" s="147"/>
      <c r="P734" s="40"/>
      <c r="Q734" s="69"/>
      <c r="R734" s="94"/>
      <c r="S734" s="94"/>
      <c r="T734" s="94"/>
      <c r="U734" s="94"/>
      <c r="V734" s="94"/>
      <c r="AE734" s="50"/>
      <c r="AF734" s="50"/>
    </row>
    <row r="735" spans="1:32" s="42" customFormat="1" ht="11.25" customHeight="1">
      <c r="A735" s="40"/>
      <c r="B735" s="40"/>
      <c r="C735" s="40"/>
      <c r="D735" s="147"/>
      <c r="E735" s="147"/>
      <c r="F735" s="147"/>
      <c r="G735" s="40"/>
      <c r="H735" s="40"/>
      <c r="I735" s="40"/>
      <c r="J735" s="40"/>
      <c r="K735" s="40"/>
      <c r="L735" s="40"/>
      <c r="M735" s="40"/>
      <c r="N735" s="147"/>
      <c r="O735" s="40"/>
      <c r="P735" s="40"/>
      <c r="Q735" s="40"/>
      <c r="R735" s="94"/>
      <c r="S735" s="94"/>
      <c r="T735" s="94"/>
      <c r="U735" s="94"/>
      <c r="V735" s="94"/>
      <c r="AE735" s="50"/>
      <c r="AF735" s="50"/>
    </row>
    <row r="736" spans="1:32" s="42" customFormat="1" ht="11.25" customHeight="1">
      <c r="A736" s="40"/>
      <c r="B736" s="40"/>
      <c r="C736" s="40"/>
      <c r="D736" s="147"/>
      <c r="E736" s="147"/>
      <c r="F736" s="147"/>
      <c r="G736" s="40"/>
      <c r="H736" s="40"/>
      <c r="I736" s="40"/>
      <c r="J736" s="40"/>
      <c r="K736" s="40"/>
      <c r="L736" s="40"/>
      <c r="M736" s="40"/>
      <c r="N736" s="147"/>
      <c r="O736" s="40"/>
      <c r="P736" s="40"/>
      <c r="Q736" s="40"/>
      <c r="R736" s="94"/>
      <c r="S736" s="94"/>
      <c r="T736" s="94"/>
      <c r="U736" s="94"/>
      <c r="V736" s="94"/>
      <c r="AE736" s="50"/>
      <c r="AF736" s="50"/>
    </row>
    <row r="737" spans="1:32" s="42" customFormat="1" ht="11.25" customHeight="1">
      <c r="A737" s="40"/>
      <c r="B737" s="40"/>
      <c r="C737" s="40"/>
      <c r="D737" s="147"/>
      <c r="E737" s="147"/>
      <c r="F737" s="147"/>
      <c r="G737" s="40"/>
      <c r="H737" s="40"/>
      <c r="I737" s="40"/>
      <c r="J737" s="40"/>
      <c r="K737" s="40"/>
      <c r="L737" s="40"/>
      <c r="M737" s="40"/>
      <c r="N737" s="147"/>
      <c r="O737" s="40"/>
      <c r="P737" s="40"/>
      <c r="Q737" s="40"/>
      <c r="R737" s="94"/>
      <c r="S737" s="94"/>
      <c r="T737" s="94"/>
      <c r="U737" s="94"/>
      <c r="V737" s="94"/>
      <c r="AE737" s="50"/>
      <c r="AF737" s="50"/>
    </row>
    <row r="738" spans="1:32" s="42" customFormat="1" ht="11.25" customHeight="1">
      <c r="A738" s="40"/>
      <c r="B738" s="40"/>
      <c r="C738" s="40"/>
      <c r="D738" s="35"/>
      <c r="E738" s="35"/>
      <c r="F738" s="35"/>
      <c r="G738" s="35"/>
      <c r="H738" s="35"/>
      <c r="I738" s="40"/>
      <c r="J738" s="35"/>
      <c r="K738" s="40"/>
      <c r="L738" s="40"/>
      <c r="M738" s="40"/>
      <c r="N738" s="35"/>
      <c r="O738" s="40"/>
      <c r="P738" s="35"/>
      <c r="Q738" s="40"/>
      <c r="AE738" s="50"/>
      <c r="AF738" s="50"/>
    </row>
    <row r="739" spans="1:32">
      <c r="A739" s="40"/>
      <c r="B739" s="40"/>
      <c r="C739" s="40"/>
      <c r="K739" s="40"/>
      <c r="L739" s="40"/>
      <c r="M739" s="40"/>
      <c r="O739" s="40"/>
      <c r="Q739" s="40"/>
    </row>
  </sheetData>
  <sheetProtection algorithmName="SHA-512" hashValue="ezSJhOs9ziuB927Kp9xKz3zimj2OuN7aXkfopWlFnat9MNQnd88dmCi69jB4wdzc2AM++uZIclXAc4OmPitDMw==" saltValue="fiWbvSqRAMGTdrhUVSTZig==" spinCount="100000" sheet="1" objects="1" scenarios="1" selectLockedCells="1" selectUnlockedCells="1"/>
  <mergeCells count="299">
    <mergeCell ref="R46:T46"/>
    <mergeCell ref="L381:M381"/>
    <mergeCell ref="N380:O380"/>
    <mergeCell ref="P351:Q351"/>
    <mergeCell ref="I353:P353"/>
    <mergeCell ref="I352:P352"/>
    <mergeCell ref="A130:Q130"/>
    <mergeCell ref="L133:P133"/>
    <mergeCell ref="Q79:Q80"/>
    <mergeCell ref="A210:Q210"/>
    <mergeCell ref="A212:Q212"/>
    <mergeCell ref="P214:Q214"/>
    <mergeCell ref="A202:Q202"/>
    <mergeCell ref="A204:Q204"/>
    <mergeCell ref="P206:Q206"/>
    <mergeCell ref="A185:Q185"/>
    <mergeCell ref="A187:Q187"/>
    <mergeCell ref="B189:D189"/>
    <mergeCell ref="P189:Q189"/>
    <mergeCell ref="B199:N199"/>
    <mergeCell ref="J209:N209"/>
    <mergeCell ref="A175:Q175"/>
    <mergeCell ref="A177:Q177"/>
    <mergeCell ref="B162:L162"/>
    <mergeCell ref="N162:O162"/>
    <mergeCell ref="P162:Q162"/>
    <mergeCell ref="P131:Q131"/>
    <mergeCell ref="L136:P136"/>
    <mergeCell ref="B444:N444"/>
    <mergeCell ref="B443:N443"/>
    <mergeCell ref="B182:N182"/>
    <mergeCell ref="B181:N181"/>
    <mergeCell ref="B180:N180"/>
    <mergeCell ref="M171:N171"/>
    <mergeCell ref="C276:N276"/>
    <mergeCell ref="C279:N279"/>
    <mergeCell ref="C198:N198"/>
    <mergeCell ref="C197:N197"/>
    <mergeCell ref="C195:N195"/>
    <mergeCell ref="A207:Q207"/>
    <mergeCell ref="P224:Q224"/>
    <mergeCell ref="M228:P228"/>
    <mergeCell ref="K227:L227"/>
    <mergeCell ref="K228:L228"/>
    <mergeCell ref="C237:G237"/>
    <mergeCell ref="I237:O237"/>
    <mergeCell ref="I236:O236"/>
    <mergeCell ref="K230:N230"/>
    <mergeCell ref="J459:K459"/>
    <mergeCell ref="J460:K460"/>
    <mergeCell ref="B450:N450"/>
    <mergeCell ref="B449:N449"/>
    <mergeCell ref="J380:M380"/>
    <mergeCell ref="C369:F369"/>
    <mergeCell ref="A363:Q363"/>
    <mergeCell ref="A365:Q365"/>
    <mergeCell ref="P400:Q400"/>
    <mergeCell ref="H405:O405"/>
    <mergeCell ref="B431:Q431"/>
    <mergeCell ref="Q463:Q464"/>
    <mergeCell ref="M394:N394"/>
    <mergeCell ref="A396:Q396"/>
    <mergeCell ref="C420:F422"/>
    <mergeCell ref="A398:Q398"/>
    <mergeCell ref="P463:P464"/>
    <mergeCell ref="A409:Q409"/>
    <mergeCell ref="Q459:Q461"/>
    <mergeCell ref="P459:P461"/>
    <mergeCell ref="C448:N448"/>
    <mergeCell ref="C447:N447"/>
    <mergeCell ref="M425:Q426"/>
    <mergeCell ref="B451:N451"/>
    <mergeCell ref="A454:Q454"/>
    <mergeCell ref="A456:Q456"/>
    <mergeCell ref="C445:N445"/>
    <mergeCell ref="B435:N435"/>
    <mergeCell ref="B433:N433"/>
    <mergeCell ref="P411:Q411"/>
    <mergeCell ref="B459:I461"/>
    <mergeCell ref="B462:I462"/>
    <mergeCell ref="B463:I464"/>
    <mergeCell ref="L462:N462"/>
    <mergeCell ref="J462:K462"/>
    <mergeCell ref="A106:Q106"/>
    <mergeCell ref="A108:Q108"/>
    <mergeCell ref="P109:Q109"/>
    <mergeCell ref="M112:P112"/>
    <mergeCell ref="P479:Q479"/>
    <mergeCell ref="A468:Q468"/>
    <mergeCell ref="A470:Q470"/>
    <mergeCell ref="M429:Q429"/>
    <mergeCell ref="G429:I429"/>
    <mergeCell ref="P458:Q458"/>
    <mergeCell ref="E391:I391"/>
    <mergeCell ref="J391:L391"/>
    <mergeCell ref="M391:Q391"/>
    <mergeCell ref="P472:Q472"/>
    <mergeCell ref="A474:Q474"/>
    <mergeCell ref="A476:Q476"/>
    <mergeCell ref="A437:Q437"/>
    <mergeCell ref="A439:Q439"/>
    <mergeCell ref="P441:Q441"/>
    <mergeCell ref="B452:N452"/>
    <mergeCell ref="B183:N183"/>
    <mergeCell ref="A319:Q319"/>
    <mergeCell ref="A220:Q220"/>
    <mergeCell ref="A222:Q222"/>
    <mergeCell ref="P46:Q46"/>
    <mergeCell ref="P45:Q45"/>
    <mergeCell ref="P48:Q48"/>
    <mergeCell ref="P39:Q41"/>
    <mergeCell ref="A407:Q407"/>
    <mergeCell ref="C87:L88"/>
    <mergeCell ref="L86:Q86"/>
    <mergeCell ref="B79:J80"/>
    <mergeCell ref="P179:Q179"/>
    <mergeCell ref="A164:Q164"/>
    <mergeCell ref="A167:Q167"/>
    <mergeCell ref="P169:Q169"/>
    <mergeCell ref="M170:N170"/>
    <mergeCell ref="N172:O172"/>
    <mergeCell ref="P172:Q172"/>
    <mergeCell ref="K173:P173"/>
    <mergeCell ref="A90:J90"/>
    <mergeCell ref="K90:Q90"/>
    <mergeCell ref="P92:Q92"/>
    <mergeCell ref="M94:P94"/>
    <mergeCell ref="M95:P95"/>
    <mergeCell ref="C119:N119"/>
    <mergeCell ref="J208:N208"/>
    <mergeCell ref="J100:L100"/>
    <mergeCell ref="S50:V62"/>
    <mergeCell ref="M96:P96"/>
    <mergeCell ref="C155:Q155"/>
    <mergeCell ref="P65:Q70"/>
    <mergeCell ref="H69:J69"/>
    <mergeCell ref="M69:O69"/>
    <mergeCell ref="P52:Q52"/>
    <mergeCell ref="P56:Q56"/>
    <mergeCell ref="P77:Q77"/>
    <mergeCell ref="A71:J71"/>
    <mergeCell ref="K71:Q71"/>
    <mergeCell ref="J73:L73"/>
    <mergeCell ref="P73:Q73"/>
    <mergeCell ref="A75:J75"/>
    <mergeCell ref="K75:Q75"/>
    <mergeCell ref="O100:Q100"/>
    <mergeCell ref="P79:P80"/>
    <mergeCell ref="E101:G101"/>
    <mergeCell ref="J101:L101"/>
    <mergeCell ref="O101:Q101"/>
    <mergeCell ref="A128:Q128"/>
    <mergeCell ref="P59:Q62"/>
    <mergeCell ref="P63:Q64"/>
    <mergeCell ref="E100:G100"/>
    <mergeCell ref="R1:S6"/>
    <mergeCell ref="P44:Q44"/>
    <mergeCell ref="A48:C50"/>
    <mergeCell ref="R22:S27"/>
    <mergeCell ref="A23:Q23"/>
    <mergeCell ref="A24:Q24"/>
    <mergeCell ref="A25:Q25"/>
    <mergeCell ref="A26:Q26"/>
    <mergeCell ref="A27:Q27"/>
    <mergeCell ref="P29:Q29"/>
    <mergeCell ref="A32:Q32"/>
    <mergeCell ref="A34:Q34"/>
    <mergeCell ref="P36:Q36"/>
    <mergeCell ref="G37:H37"/>
    <mergeCell ref="K37:N37"/>
    <mergeCell ref="G38:H38"/>
    <mergeCell ref="K38:N38"/>
    <mergeCell ref="K39:N39"/>
    <mergeCell ref="G40:I40"/>
    <mergeCell ref="L40:N40"/>
    <mergeCell ref="A41:C44"/>
    <mergeCell ref="P42:Q43"/>
    <mergeCell ref="P49:Q49"/>
    <mergeCell ref="P50:Q51"/>
    <mergeCell ref="A1:Q1"/>
    <mergeCell ref="A3:G3"/>
    <mergeCell ref="H3:N3"/>
    <mergeCell ref="O3:P3"/>
    <mergeCell ref="B4:D4"/>
    <mergeCell ref="P6:Q6"/>
    <mergeCell ref="J6:O6"/>
    <mergeCell ref="A8:Q8"/>
    <mergeCell ref="A21:Q21"/>
    <mergeCell ref="A22:Q22"/>
    <mergeCell ref="R8:S11"/>
    <mergeCell ref="A9:Q9"/>
    <mergeCell ref="A10:Q10"/>
    <mergeCell ref="A11:Q11"/>
    <mergeCell ref="A12:Q12"/>
    <mergeCell ref="A13:Q13"/>
    <mergeCell ref="A14:Q14"/>
    <mergeCell ref="A15:Q15"/>
    <mergeCell ref="R15:S20"/>
    <mergeCell ref="A16:Q16"/>
    <mergeCell ref="A17:Q17"/>
    <mergeCell ref="A18:Q18"/>
    <mergeCell ref="A19:Q19"/>
    <mergeCell ref="A20:Q20"/>
    <mergeCell ref="K229:N229"/>
    <mergeCell ref="P232:Q232"/>
    <mergeCell ref="C234:G234"/>
    <mergeCell ref="I235:O235"/>
    <mergeCell ref="I234:O234"/>
    <mergeCell ref="C236:G236"/>
    <mergeCell ref="K255:O255"/>
    <mergeCell ref="C235:G235"/>
    <mergeCell ref="A250:Q250"/>
    <mergeCell ref="A252:Q252"/>
    <mergeCell ref="K263:O263"/>
    <mergeCell ref="P255:Q255"/>
    <mergeCell ref="P339:Q339"/>
    <mergeCell ref="B361:N361"/>
    <mergeCell ref="B360:N360"/>
    <mergeCell ref="B393:N393"/>
    <mergeCell ref="B357:N357"/>
    <mergeCell ref="P390:Q390"/>
    <mergeCell ref="A321:Q321"/>
    <mergeCell ref="P322:Q322"/>
    <mergeCell ref="B326:N326"/>
    <mergeCell ref="C329:F329"/>
    <mergeCell ref="C332:N332"/>
    <mergeCell ref="A385:Q385"/>
    <mergeCell ref="C303:H305"/>
    <mergeCell ref="A336:Q336"/>
    <mergeCell ref="A338:Q338"/>
    <mergeCell ref="O344:Q344"/>
    <mergeCell ref="C314:N314"/>
    <mergeCell ref="B312:N312"/>
    <mergeCell ref="A271:Q271"/>
    <mergeCell ref="A273:Q273"/>
    <mergeCell ref="B281:N281"/>
    <mergeCell ref="A293:Q293"/>
    <mergeCell ref="C288:N288"/>
    <mergeCell ref="M303:N303"/>
    <mergeCell ref="C301:N301"/>
    <mergeCell ref="C317:N317"/>
    <mergeCell ref="C316:N316"/>
    <mergeCell ref="C315:N315"/>
    <mergeCell ref="P367:Q367"/>
    <mergeCell ref="A349:Q349"/>
    <mergeCell ref="B355:N355"/>
    <mergeCell ref="B354:N354"/>
    <mergeCell ref="B331:N331"/>
    <mergeCell ref="C333:N333"/>
    <mergeCell ref="L313:O313"/>
    <mergeCell ref="G329:N329"/>
    <mergeCell ref="K257:O257"/>
    <mergeCell ref="C289:N289"/>
    <mergeCell ref="P254:Q254"/>
    <mergeCell ref="P297:Q297"/>
    <mergeCell ref="P275:Q275"/>
    <mergeCell ref="C308:H310"/>
    <mergeCell ref="P256:Q256"/>
    <mergeCell ref="P257:Q257"/>
    <mergeCell ref="K259:O259"/>
    <mergeCell ref="P259:Q259"/>
    <mergeCell ref="K256:O256"/>
    <mergeCell ref="J303:L304"/>
    <mergeCell ref="A283:Q283"/>
    <mergeCell ref="Q306:Q307"/>
    <mergeCell ref="P306:P307"/>
    <mergeCell ref="A285:Q285"/>
    <mergeCell ref="P287:Q287"/>
    <mergeCell ref="C300:N300"/>
    <mergeCell ref="C299:N299"/>
    <mergeCell ref="C306:H307"/>
    <mergeCell ref="B269:N269"/>
    <mergeCell ref="B265:G266"/>
    <mergeCell ref="P263:Q263"/>
    <mergeCell ref="A295:Q295"/>
    <mergeCell ref="B103:N103"/>
    <mergeCell ref="A37:E38"/>
    <mergeCell ref="G428:K428"/>
    <mergeCell ref="A387:Q387"/>
    <mergeCell ref="N369:O369"/>
    <mergeCell ref="P369:Q369"/>
    <mergeCell ref="J373:K373"/>
    <mergeCell ref="J371:K371"/>
    <mergeCell ref="F375:G375"/>
    <mergeCell ref="J381:K381"/>
    <mergeCell ref="J374:K374"/>
    <mergeCell ref="L374:M374"/>
    <mergeCell ref="J369:M369"/>
    <mergeCell ref="J370:Q370"/>
    <mergeCell ref="J372:K372"/>
    <mergeCell ref="J376:K376"/>
    <mergeCell ref="L376:M376"/>
    <mergeCell ref="L373:M373"/>
    <mergeCell ref="J215:N215"/>
    <mergeCell ref="J216:N216"/>
    <mergeCell ref="B215:G216"/>
    <mergeCell ref="O345:Q345"/>
    <mergeCell ref="A347:Q347"/>
    <mergeCell ref="G328:N328"/>
  </mergeCells>
  <conditionalFormatting sqref="R68:S69 R47 R61:R62 R53:R55 R50 R65:R67">
    <cfRule type="cellIs" dxfId="138" priority="5" stopIfTrue="1" operator="greaterThan">
      <formula>0</formula>
    </cfRule>
  </conditionalFormatting>
  <conditionalFormatting sqref="R40:R42">
    <cfRule type="cellIs" dxfId="137" priority="4" stopIfTrue="1" operator="greaterThan">
      <formula>0</formula>
    </cfRule>
  </conditionalFormatting>
  <conditionalFormatting sqref="L480:R480">
    <cfRule type="cellIs" dxfId="136" priority="1" stopIfTrue="1" operator="equal">
      <formula>"* * Check Score! * *"</formula>
    </cfRule>
  </conditionalFormatting>
  <dataValidations count="27">
    <dataValidation type="list" allowBlank="1" showInputMessage="1" showErrorMessage="1" sqref="K255 P255:Q255" xr:uid="{00000000-0002-0000-0B00-000000000000}">
      <formula1>"&lt;&lt;Select&gt;&gt;, Substantial Gut Rehab, Historic Preservation, Pre-Application Waiver"</formula1>
    </dataValidation>
    <dataValidation type="list" allowBlank="1" showInputMessage="1" showErrorMessage="1" sqref="P246" xr:uid="{00000000-0002-0000-0B00-000001000000}">
      <formula1>"Agree, Disagree, N/A"</formula1>
    </dataValidation>
    <dataValidation type="list" allowBlank="1" showInputMessage="1" showErrorMessage="1" sqref="P197:P198 P138:Q138 Q82 Q85" xr:uid="{00000000-0002-0000-0B00-000002000000}">
      <formula1>"Yes, No, N/Ap"</formula1>
    </dataValidation>
    <dataValidation type="list" allowBlank="1" showInputMessage="1" showErrorMessage="1" sqref="P6:Q6" xr:uid="{00000000-0002-0000-0B00-000003000000}">
      <formula1>"PASS, FAIL, W/DRWN"</formula1>
    </dataValidation>
    <dataValidation type="list" allowBlank="1" showInputMessage="1" showErrorMessage="1" sqref="N172:O172" xr:uid="{00000000-0002-0000-0B00-000004000000}">
      <formula1>"&lt;&lt;Select&gt;&gt;, Warranty Deed, Purchase Contract, Ground lease/Option, RFP Selection, Other (see comments)"</formula1>
    </dataValidation>
    <dataValidation type="list" allowBlank="1" showInputMessage="1" showErrorMessage="1" sqref="P172:Q172" xr:uid="{00000000-0002-0000-0B00-000005000000}">
      <formula1>"&lt;&lt;Select&gt;&gt;, Warranty Deed, Contract/Option, Ground lease, No site control, Other (see comments)"</formula1>
    </dataValidation>
    <dataValidation type="list" allowBlank="1" showInputMessage="1" showErrorMessage="1" sqref="Q234:Q237" xr:uid="{00000000-0002-0000-0B00-000006000000}">
      <formula1>"Yes, No, N/A"</formula1>
    </dataValidation>
    <dataValidation type="list" allowBlank="1" showInputMessage="1" showErrorMessage="1" sqref="K228" xr:uid="{00000000-0002-0000-0B00-000007000000}">
      <formula1>"&lt;&lt;Select&gt;&gt;, Gazebo, Covered Porch, Other - explain:"</formula1>
    </dataValidation>
    <dataValidation type="list" allowBlank="1" showInputMessage="1" showErrorMessage="1" sqref="K227" xr:uid="{00000000-0002-0000-0B00-000008000000}">
      <formula1>"&lt;&lt;Select&gt;&gt;, Room, Building"</formula1>
    </dataValidation>
    <dataValidation type="list" allowBlank="1" showInputMessage="1" showErrorMessage="1" sqref="G328:N328" xr:uid="{00000000-0002-0000-0B00-000009000000}">
      <formula1>$K$542:$K$546</formula1>
    </dataValidation>
    <dataValidation type="list" allowBlank="1" showInputMessage="1" showErrorMessage="1" sqref="G329:N329" xr:uid="{00000000-0002-0000-0B00-00000A000000}">
      <formula1>$K$537:$K$539</formula1>
    </dataValidation>
    <dataValidation type="list" allowBlank="1" showInputMessage="1" showErrorMessage="1" sqref="N162:Q162" xr:uid="{00000000-0002-0000-0B00-00000B000000}">
      <formula1>"&lt;&lt;Select&gt;&gt;, Minority concentration, Racially mixed, Non-minority"</formula1>
    </dataValidation>
    <dataValidation type="list" allowBlank="1" showInputMessage="1" showErrorMessage="1" sqref="P226:Q226 P443:Q452 Q227:Q230 P87 P231:Q231 P238:Q238 Q246 P79:Q79 P288:Q289 P459:Q459 P269:Q269 P435:Q435 P291:Q291 P83:P84" xr:uid="{00000000-0002-0000-0B00-00000C000000}">
      <formula1>"Agree, Disagree"</formula1>
    </dataValidation>
    <dataValidation type="list" allowBlank="1" showInputMessage="1" showErrorMessage="1" sqref="P472 P390 P400 P206 P322 P36 P287 P297 P254 P224 P214 P479 P77 P92 P109 P131 P169 P179 P189 P73 P29 P441 P339 P351 P275 P367 P458 P411" xr:uid="{00000000-0002-0000-0B00-00000D000000}">
      <formula1>"Conditional Pass, Pass, Fail, N/A, TBD"</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89:C494 C484:C485" xr:uid="{00000000-0002-0000-0B00-00000E000000}"/>
    <dataValidation type="list" allowBlank="1" showInputMessage="1" showErrorMessage="1" sqref="Q38 P102:Q104 P261:Q262 Q399 P482:Q482 P392:Q394 P111:Q111 J424:K426 Q352:Q361 P150:Q152 F150:G153 Q173 L150:M153 P323:Q324 P326:Q326 P401:Q405 P134:P135 Q133:Q136 P234:P237 P225:Q225 P157:Q160 P247:Q248 Q213 P208:Q209 P180 P199:P200 Q94:Q97 P383:Q383 P124:Q126 P170:Q171 Q87 P143:Q145 P140:Q141 P147:Q148 Q457:Q459 Q112:Q113 P314:Q317 P332:Q333 P328:Q329 P354:P361 P417:Q419 Q388:Q389 P340:Q343 Q190:Q200 P299:Q301 P190:P196 P312:Q312 P308:Q308 P264:Q268 P276:Q281 P305:Q306 Q180:Q183 Q366 P377:Q377 P239:Q245 P413:Q415 P258:Q258 Q440 Q469 P372:Q372 J374 P375:Q375 L374 P379:Q379 Q462:Q463 P215:Q218 P381:Q381 Q432 Q435 Q465:Q467 P115:Q121 P113:Q113 Q83:Q84" xr:uid="{00000000-0002-0000-0B00-00000F000000}">
      <formula1>"Yes, No"</formula1>
    </dataValidation>
    <dataValidation type="list" allowBlank="1" showInputMessage="1" showErrorMessage="1" sqref="P181:P183" xr:uid="{00000000-0002-0000-0B00-000010000000}">
      <formula1>"Yes, No,N/Av,N/Ap"</formula1>
    </dataValidation>
    <dataValidation type="list" allowBlank="1" showInputMessage="1" showErrorMessage="1" sqref="P465:Q466 P462:Q463 Q481 P122:Q122" xr:uid="{00000000-0002-0000-0B00-000011000000}">
      <formula1>"Yes, No, N/a"</formula1>
    </dataValidation>
    <dataValidation type="list" allowBlank="1" showInputMessage="1" showErrorMessage="1" sqref="G429" xr:uid="{00000000-0002-0000-0B00-000012000000}">
      <formula1>"&lt;&lt; Select &gt;&gt;, Non-profit, Advocacy group, Non-profit advocacy group, Relocation specialist, Local Government, Other (explain in box at right--&gt;)"</formula1>
    </dataValidation>
    <dataValidation type="list" allowBlank="1" showInputMessage="1" showErrorMessage="1" sqref="P427:Q427" xr:uid="{00000000-0002-0000-0B00-000013000000}">
      <formula1>"&lt;&lt;Select&gt;&gt;, Applicant, Third-party"</formula1>
    </dataValidation>
    <dataValidation type="list" allowBlank="1" showInputMessage="1" showErrorMessage="1" sqref="K229" xr:uid="{00000000-0002-0000-0B00-000014000000}">
      <formula1>"&lt;&lt;Select&gt;&gt;, N/A - no NC involved, Yes - W&amp;D hookups installed in each unit"</formula1>
    </dataValidation>
    <dataValidation type="list" allowBlank="1" showInputMessage="1" showErrorMessage="1" sqref="K230:N230" xr:uid="{00000000-0002-0000-0B00-000015000000}">
      <formula1>"&lt;&lt;Select&gt;&gt;, On-site laundry, W&amp;D installed in each unit, Both options"</formula1>
    </dataValidation>
    <dataValidation type="list" allowBlank="1" showInputMessage="1" showErrorMessage="1" sqref="P481" xr:uid="{00000000-0002-0000-0B00-000016000000}">
      <formula1>"Yes, N/A"</formula1>
    </dataValidation>
    <dataValidation type="list" allowBlank="1" showInputMessage="1" showErrorMessage="1" sqref="C234:G237" xr:uid="{00000000-0002-0000-0B00-000017000000}">
      <formula1>$M$555:$M$563</formula1>
    </dataValidation>
    <dataValidation type="list" allowBlank="1" showInputMessage="1" showErrorMessage="1" sqref="O344:Q345" xr:uid="{00000000-0002-0000-0B00-000018000000}">
      <formula1>$O$483:$O$491</formula1>
    </dataValidation>
    <dataValidation type="list" allowBlank="1" showInputMessage="1" showErrorMessage="1" sqref="P82" xr:uid="{00000000-0002-0000-0B00-000019000000}">
      <formula1>"Agree, Disagree, N/ap"</formula1>
    </dataValidation>
    <dataValidation type="list" allowBlank="1" showInputMessage="1" showErrorMessage="1" sqref="P85" xr:uid="{00000000-0002-0000-0B00-00001A000000}">
      <formula1>"Agree, Disagree, N/Ap"</formula1>
    </dataValidation>
  </dataValidations>
  <printOptions horizontalCentered="1"/>
  <pageMargins left="0.35" right="0.35" top="0.5" bottom="0.4" header="0.3" footer="0.25"/>
  <pageSetup scale="10" fitToHeight="0" orientation="landscape" r:id="rId1"/>
  <headerFooter>
    <oddHeader>&amp;LGeorgia Department of Community Affairs&amp;C2020 Funding Application&amp;RHousing Finance and Development Division</oddHeader>
    <oddFooter>&amp;L&amp;G &amp;F&amp;C&amp;A&amp;R&amp;P of &amp;N</oddFooter>
  </headerFooter>
  <rowBreaks count="10" manualBreakCount="10">
    <brk id="35" max="16383" man="1"/>
    <brk id="91" max="16383" man="1"/>
    <brk id="130" max="16383" man="1"/>
    <brk id="168" max="16383" man="1"/>
    <brk id="205" max="16383" man="1"/>
    <brk id="286" max="16383" man="1"/>
    <brk id="317" max="16383" man="1"/>
    <brk id="350" max="16383" man="1"/>
    <brk id="432" max="16383" man="1"/>
    <brk id="457" max="16383" man="1"/>
  </rowBreaks>
  <legacyDrawingHF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37">
    <pageSetUpPr fitToPage="1"/>
  </sheetPr>
  <dimension ref="A1:AJ574"/>
  <sheetViews>
    <sheetView showGridLines="0" topLeftCell="A425" zoomScaleNormal="100" workbookViewId="0">
      <selection activeCell="A425" sqref="A1:XFD1048576"/>
    </sheetView>
  </sheetViews>
  <sheetFormatPr defaultColWidth="9.109375" defaultRowHeight="13.2"/>
  <cols>
    <col min="1" max="1" width="4.109375" style="27" customWidth="1"/>
    <col min="2" max="2" width="3.44140625" style="27" customWidth="1"/>
    <col min="3" max="3" width="10.5546875" style="27" customWidth="1"/>
    <col min="4" max="4" width="10.109375" style="27" customWidth="1"/>
    <col min="5" max="5" width="6.109375" style="27" customWidth="1"/>
    <col min="6" max="6" width="9.109375" style="27" customWidth="1"/>
    <col min="7" max="9" width="11.5546875" style="27" customWidth="1"/>
    <col min="10" max="10" width="9.109375" style="27" customWidth="1"/>
    <col min="11" max="11" width="11.88671875" style="27" customWidth="1"/>
    <col min="12" max="12" width="14.88671875" style="27" customWidth="1"/>
    <col min="13" max="13" width="6.88671875" style="27" customWidth="1"/>
    <col min="14" max="14" width="2.88671875" style="75" customWidth="1"/>
    <col min="15" max="16" width="5.88671875" style="2370" customWidth="1"/>
    <col min="17" max="17" width="6" style="27" customWidth="1"/>
    <col min="18" max="21" width="9.109375" style="27" customWidth="1"/>
    <col min="22" max="22" width="8.88671875" style="27" customWidth="1"/>
    <col min="23" max="16384" width="9.109375" style="27"/>
  </cols>
  <sheetData>
    <row r="1" spans="1:22" s="35" customFormat="1" ht="14.1" customHeight="1">
      <c r="A1" s="2526" t="str">
        <f>CONCATENATE("PART NINE - SCORING CRITERIA","  -  ",'Part I-Project Information'!$O$6," ",'Part I-Project Information'!$F$34,", ",'Part I-Project Information'!F38,", ",'Part I-Project Information'!J39," County")</f>
        <v>PART NINE - SCORING CRITERIA  -  2020-074 Harper Woods II, Columbus, Muscogee County</v>
      </c>
      <c r="B1" s="2527"/>
      <c r="C1" s="2527"/>
      <c r="D1" s="2527"/>
      <c r="E1" s="2527"/>
      <c r="F1" s="2527"/>
      <c r="G1" s="2527"/>
      <c r="H1" s="2527"/>
      <c r="I1" s="2527"/>
      <c r="J1" s="2527"/>
      <c r="K1" s="2527"/>
      <c r="L1" s="2527"/>
      <c r="M1" s="2527"/>
      <c r="N1" s="2527"/>
      <c r="O1" s="2527"/>
      <c r="P1" s="2528"/>
      <c r="Q1" s="1485"/>
      <c r="R1" s="1485"/>
      <c r="S1" s="1485"/>
    </row>
    <row r="2" spans="1:22" s="35" customFormat="1" ht="4.3499999999999996" customHeight="1">
      <c r="A2" s="36"/>
      <c r="B2" s="36"/>
      <c r="C2" s="37"/>
      <c r="D2" s="36"/>
      <c r="E2" s="36"/>
      <c r="F2" s="36"/>
      <c r="G2" s="36"/>
      <c r="H2" s="36"/>
      <c r="I2" s="36"/>
      <c r="J2" s="36"/>
      <c r="K2" s="36"/>
      <c r="L2" s="36"/>
      <c r="M2" s="38"/>
      <c r="N2" s="72"/>
      <c r="O2" s="2373"/>
      <c r="P2" s="2373"/>
      <c r="Q2" s="1485"/>
      <c r="R2" s="1485"/>
      <c r="S2" s="1485"/>
    </row>
    <row r="3" spans="1:22" s="42" customFormat="1" ht="12" customHeight="1">
      <c r="A3" s="3089" t="s">
        <v>4379</v>
      </c>
      <c r="B3" s="3089"/>
      <c r="C3" s="3089"/>
      <c r="D3" s="3089"/>
      <c r="E3" s="3089"/>
      <c r="F3" s="3089"/>
      <c r="G3" s="3089"/>
      <c r="H3" s="3089"/>
      <c r="I3" s="3089"/>
      <c r="J3" s="3089"/>
      <c r="K3" s="3089"/>
      <c r="L3" s="3089"/>
      <c r="M3" s="1096" t="s">
        <v>2163</v>
      </c>
      <c r="N3" s="73"/>
      <c r="O3" s="83" t="s">
        <v>2162</v>
      </c>
      <c r="P3" s="1097" t="s">
        <v>251</v>
      </c>
      <c r="Q3" s="1485"/>
      <c r="R3" s="1485"/>
      <c r="S3" s="1485"/>
    </row>
    <row r="4" spans="1:22" s="44" customFormat="1" ht="12" customHeight="1">
      <c r="A4" s="3089"/>
      <c r="B4" s="3089"/>
      <c r="C4" s="3089"/>
      <c r="D4" s="3089"/>
      <c r="E4" s="3089"/>
      <c r="F4" s="3089"/>
      <c r="G4" s="3089"/>
      <c r="H4" s="3089"/>
      <c r="I4" s="3089"/>
      <c r="J4" s="3089"/>
      <c r="K4" s="3089"/>
      <c r="L4" s="3089"/>
      <c r="M4" s="1098" t="s">
        <v>91</v>
      </c>
      <c r="N4" s="84"/>
      <c r="O4" s="173" t="s">
        <v>2163</v>
      </c>
      <c r="P4" s="173" t="s">
        <v>2163</v>
      </c>
      <c r="Q4" s="1485"/>
      <c r="R4" s="1485"/>
      <c r="S4" s="1485"/>
      <c r="T4" s="42"/>
      <c r="U4" s="42"/>
      <c r="V4" s="42"/>
    </row>
    <row r="5" spans="1:22" s="44" customFormat="1" ht="3" customHeight="1" thickBot="1">
      <c r="A5" s="42"/>
      <c r="B5" s="42"/>
      <c r="C5" s="42"/>
      <c r="D5" s="42"/>
      <c r="E5" s="42"/>
      <c r="F5" s="42"/>
      <c r="G5" s="42"/>
      <c r="H5" s="42"/>
      <c r="I5" s="42"/>
      <c r="J5" s="42"/>
      <c r="K5" s="42"/>
      <c r="M5" s="91"/>
      <c r="N5" s="10"/>
      <c r="O5" s="846"/>
      <c r="P5" s="30"/>
      <c r="Q5" s="1485"/>
      <c r="R5" s="1485"/>
      <c r="S5" s="1485"/>
    </row>
    <row r="6" spans="1:22" s="44" customFormat="1" ht="12.75" customHeight="1" thickTop="1" thickBot="1">
      <c r="A6" s="42"/>
      <c r="B6" s="3072" t="str">
        <f>'Part I-Project Information'!$B$6</f>
        <v>May 26, 2020 Version</v>
      </c>
      <c r="C6" s="3072"/>
      <c r="D6" s="3072"/>
      <c r="E6" s="3072"/>
      <c r="F6" s="3072"/>
      <c r="G6" s="461"/>
      <c r="H6" s="42"/>
      <c r="I6" s="42"/>
      <c r="J6" s="42"/>
      <c r="L6" s="69" t="s">
        <v>1200</v>
      </c>
      <c r="M6" s="267">
        <f>M443</f>
        <v>95</v>
      </c>
      <c r="N6" s="9"/>
      <c r="O6" s="1084">
        <f>O443</f>
        <v>53</v>
      </c>
      <c r="P6" s="1084">
        <f>P443</f>
        <v>20</v>
      </c>
      <c r="Q6" s="1485"/>
      <c r="R6" s="1485"/>
      <c r="S6" s="1485"/>
    </row>
    <row r="7" spans="1:22" s="43" customFormat="1" ht="3.6" customHeight="1" thickTop="1" thickBot="1">
      <c r="A7" s="42"/>
      <c r="B7" s="63"/>
      <c r="C7" s="36"/>
      <c r="D7" s="48"/>
      <c r="E7" s="48"/>
      <c r="F7" s="53"/>
      <c r="G7" s="48"/>
      <c r="H7" s="48"/>
      <c r="I7" s="48"/>
      <c r="J7" s="48"/>
      <c r="K7" s="48"/>
      <c r="L7" s="42"/>
      <c r="M7" s="46"/>
      <c r="N7" s="62"/>
      <c r="O7" s="3"/>
      <c r="P7" s="846"/>
      <c r="R7" s="42"/>
      <c r="S7" s="42"/>
    </row>
    <row r="8" spans="1:22" s="42" customFormat="1" ht="12" customHeight="1" thickBot="1">
      <c r="A8" s="1435" t="s">
        <v>4291</v>
      </c>
      <c r="D8" s="52"/>
      <c r="E8" s="52"/>
      <c r="F8" s="52"/>
      <c r="G8" s="66"/>
      <c r="H8" s="172" t="s">
        <v>4350</v>
      </c>
      <c r="I8" s="66"/>
      <c r="J8" s="66"/>
      <c r="K8" s="66"/>
      <c r="L8" s="66"/>
      <c r="M8" s="1426" t="s">
        <v>4349</v>
      </c>
      <c r="N8" s="66"/>
      <c r="O8" s="2281"/>
      <c r="P8" s="1424">
        <f>IF(P10&lt;2,0,IF(AND(P10&gt;1,P10&lt;5),1,IF(P10&gt;4,P10-3)))</f>
        <v>0</v>
      </c>
      <c r="Q8" s="36" t="s">
        <v>4351</v>
      </c>
      <c r="R8" s="442"/>
      <c r="S8" s="157"/>
    </row>
    <row r="9" spans="1:22" s="43" customFormat="1" ht="3.6" customHeight="1">
      <c r="A9" s="42"/>
      <c r="B9" s="63"/>
      <c r="C9" s="36"/>
      <c r="D9" s="48"/>
      <c r="E9" s="48"/>
      <c r="F9" s="53"/>
      <c r="G9" s="48"/>
      <c r="H9" s="48"/>
      <c r="I9" s="48"/>
      <c r="J9" s="48"/>
      <c r="K9" s="48"/>
      <c r="L9" s="42"/>
      <c r="M9" s="46"/>
      <c r="N9" s="62"/>
      <c r="O9" s="3"/>
      <c r="P9" s="846"/>
      <c r="R9" s="42"/>
      <c r="S9" s="42"/>
    </row>
    <row r="10" spans="1:22" s="42" customFormat="1" ht="10.5" customHeight="1">
      <c r="A10" s="1460" t="s">
        <v>3810</v>
      </c>
      <c r="B10" s="1460" t="s">
        <v>3811</v>
      </c>
      <c r="C10" s="1130"/>
      <c r="D10" s="1130"/>
      <c r="E10" s="922" t="s">
        <v>3826</v>
      </c>
      <c r="F10" s="3107" t="s">
        <v>3825</v>
      </c>
      <c r="G10" s="3107"/>
      <c r="H10" s="3107"/>
      <c r="I10" s="3107"/>
      <c r="J10" s="3107"/>
      <c r="K10" s="3107"/>
      <c r="L10" s="3107"/>
      <c r="M10" s="3107"/>
      <c r="N10" s="3107"/>
      <c r="O10" s="1461" t="s">
        <v>4289</v>
      </c>
      <c r="P10" s="1462">
        <f>SUM(P11:P23)</f>
        <v>0</v>
      </c>
      <c r="Q10" s="3145" t="s">
        <v>4440</v>
      </c>
      <c r="R10" s="3145"/>
      <c r="S10" s="3145"/>
      <c r="T10" s="3145"/>
      <c r="U10" s="3145"/>
      <c r="V10" s="3145"/>
    </row>
    <row r="11" spans="1:22" s="42" customFormat="1" ht="11.25" customHeight="1">
      <c r="A11" s="1113" t="s">
        <v>724</v>
      </c>
      <c r="B11" s="1114" t="s">
        <v>3812</v>
      </c>
      <c r="C11" s="1115"/>
      <c r="D11" s="1116"/>
      <c r="E11" s="1452">
        <f>$O$64</f>
        <v>10</v>
      </c>
      <c r="F11" s="3108" t="str">
        <f>$A$70</f>
        <v xml:space="preserve">Applicant claims 10 points in this category for the following desirable activities/characteristics that are within a 1.5 mile walking/driving distance from the site: Family Dollar, Walmart and Walmart Pharmacy, Trevioli Kitchen, Piedmont Urgent Care, Generations Knowledge &amp; Care, Blackmon Road Middle School, Flat Rock Park and Solid Rock Assembly of God.  See TAB 27 for the Desirable/Undesirable Certification Form and required maps.    There are no undesirable activities/characteristics located within  1/4th mile radius from the site.    </v>
      </c>
      <c r="G11" s="3109"/>
      <c r="H11" s="3109"/>
      <c r="I11" s="3109"/>
      <c r="J11" s="3109"/>
      <c r="K11" s="3109"/>
      <c r="L11" s="3109"/>
      <c r="M11" s="3109"/>
      <c r="N11" s="3109"/>
      <c r="O11" s="3109"/>
      <c r="P11" s="4159"/>
      <c r="Q11" s="3145"/>
      <c r="R11" s="3145"/>
      <c r="S11" s="3145"/>
      <c r="T11" s="3145"/>
      <c r="U11" s="3145"/>
      <c r="V11" s="3145"/>
    </row>
    <row r="12" spans="1:22" s="42" customFormat="1" ht="11.25" customHeight="1">
      <c r="A12" s="1117" t="s">
        <v>1748</v>
      </c>
      <c r="B12" s="923" t="s">
        <v>4720</v>
      </c>
      <c r="C12" s="1036"/>
      <c r="D12" s="1118"/>
      <c r="E12" s="1453">
        <f>$O$74</f>
        <v>3</v>
      </c>
      <c r="F12" s="3073" t="str">
        <f>$A$107</f>
        <v xml:space="preserve">Applicant is taking three points because the site is within a 0.25 mile walking/driving distance of an established public transportation stop.   There is a bus stop .1 miles from the site that is on METRA's Route 6, Columbus State/Milgen Road line.  This bus stop  is located on Warm Springs Road and is .1 miles from the site's  vehicular entrances.  See TAB 28 for schedule, fares and route.
Applicant notes that the propsed transit stop's latitude is 32.548440, however, the cell does not populate the "0" at the end of this coordinate. </v>
      </c>
      <c r="G12" s="3074"/>
      <c r="H12" s="3074"/>
      <c r="I12" s="3074"/>
      <c r="J12" s="3074"/>
      <c r="K12" s="3074"/>
      <c r="L12" s="3074"/>
      <c r="M12" s="3074"/>
      <c r="N12" s="3074"/>
      <c r="O12" s="3075"/>
      <c r="P12" s="4160"/>
      <c r="Q12" s="3152" t="str">
        <f>IF(OR($A$70="",$A$107="",$A$146="",$A$189="",$A$228="",$A$261="",$A$281="",$A$297="",$A$312="",$A$329="",$A$375="",$A$411="",$A$431=""),"Some Applicant Scoring Justification boxes are empty! Check to see if points claimed.","")</f>
        <v/>
      </c>
      <c r="R12" s="3153"/>
      <c r="S12" s="3153"/>
    </row>
    <row r="13" spans="1:22" s="42" customFormat="1" ht="11.25" customHeight="1">
      <c r="A13" s="1117" t="s">
        <v>1750</v>
      </c>
      <c r="B13" s="923" t="s">
        <v>4721</v>
      </c>
      <c r="C13" s="1036"/>
      <c r="D13" s="1118"/>
      <c r="E13" s="1453">
        <f>$O$112</f>
        <v>4</v>
      </c>
      <c r="F13" s="3073" t="str">
        <f>$A$146</f>
        <v xml:space="preserve">Applicant is claiming points in this section for Preventative Health Care (3 points) and Healthy Eating Initiative (1 point).  Applicant has committed to promote and measure residents' positive health outcomes with these initiatives.  Blood Pressure Screenings and  resident education are two ways Harper Woods II intends to carry out its Healthy Way program.  Through a partnership with Piedmont Columbus Regional, on-site, monthly blood pressure screenings, will be offered to tenants by their Mobile Unit.  The results of these screenings may be used to identify potential cardiovascular issues such as hypertension, hypotension, heart disease or other conditions.   Another service offered by the Mobile Unit is Ask A Nurse. Through this program, tenants will have the opportunity to talk to a registered nurse about important health issues and will receive referrals based on these conversations.   The convenience of monthly onsite visits from the Mobile Unit will promote early intervention and referrals as necessary.   As the next step, Healthy Way will work to improve participants’ knowledge about what those numbers mean, associated health implications and risks, and how to work on certain behaviors to improve their numbers and manage their blood pressure.  Participants will receive informational pamphlets from the staff of the Mobile Unit which detail the health topics discussed and offer information on health resources.   Residents will be encouraged to utilize Empowered to Serve, an online resource offering health lessons, work out videos and numerous articles relating to a healthy lifestyle.  
Tenants will also enjoy free monthly healthy eating newsletter and free online healthy eating resources.  The project will have a community garden accessible to all residents. This garden is noted on the CSP1. and CSP3. in TAB 15.  The Applicant will ensure that the basic organization and managment of the garden is maintained.      Harper Woods II will track outcomes of tenants' progress and provide DCA with an annual report regarding the biometric screenings and other required performance measurements.  See TAB 29 for required documentation.  Applicant is claiming a total of 4 points in this category.  </v>
      </c>
      <c r="G13" s="3074"/>
      <c r="H13" s="3074"/>
      <c r="I13" s="3074"/>
      <c r="J13" s="3074"/>
      <c r="K13" s="3074"/>
      <c r="L13" s="3074"/>
      <c r="M13" s="3074"/>
      <c r="N13" s="3074"/>
      <c r="O13" s="3075"/>
      <c r="P13" s="4160"/>
      <c r="Q13" s="3152"/>
      <c r="R13" s="3153"/>
      <c r="S13" s="3153"/>
    </row>
    <row r="14" spans="1:22" s="42" customFormat="1" ht="11.25" customHeight="1">
      <c r="A14" s="1117" t="s">
        <v>516</v>
      </c>
      <c r="B14" s="923" t="s">
        <v>3813</v>
      </c>
      <c r="C14" s="1036"/>
      <c r="D14" s="1118"/>
      <c r="E14" s="1453">
        <f>$O$150</f>
        <v>1</v>
      </c>
      <c r="F14" s="3073" t="str">
        <f>$A$189</f>
        <v xml:space="preserve">Applicant is taking points because Harper Woods II is located in the attendance zone of Midland Academy  High Performing School in Muscogee County according to Georgia's performance evaluation system (CCRPI). Harper Woods II is also within the attendance zone of Midland Middle School with "Beating the Odds Designation" for 2019. See Tab 30 for attendance zone maps and data from CCRPI and BTO.  </v>
      </c>
      <c r="G14" s="3074"/>
      <c r="H14" s="3074"/>
      <c r="I14" s="3074"/>
      <c r="J14" s="3074"/>
      <c r="K14" s="3074"/>
      <c r="L14" s="3074"/>
      <c r="M14" s="3074"/>
      <c r="N14" s="3074"/>
      <c r="O14" s="3075"/>
      <c r="P14" s="4160"/>
      <c r="Q14" s="3152"/>
      <c r="R14" s="3153"/>
      <c r="S14" s="3153"/>
    </row>
    <row r="15" spans="1:22" s="42" customFormat="1" ht="11.25" customHeight="1">
      <c r="A15" s="1117" t="s">
        <v>754</v>
      </c>
      <c r="B15" s="923" t="s">
        <v>3814</v>
      </c>
      <c r="C15" s="1036"/>
      <c r="D15" s="1118"/>
      <c r="E15" s="1454">
        <f>$O$193</f>
        <v>0</v>
      </c>
      <c r="F15" s="3073" t="str">
        <f>$A$228</f>
        <v xml:space="preserve">Applicant is not claiming points in this category. </v>
      </c>
      <c r="G15" s="3074"/>
      <c r="H15" s="3074"/>
      <c r="I15" s="3074"/>
      <c r="J15" s="3074"/>
      <c r="K15" s="3074"/>
      <c r="L15" s="3074"/>
      <c r="M15" s="3074"/>
      <c r="N15" s="3074"/>
      <c r="O15" s="3075"/>
      <c r="P15" s="4160"/>
      <c r="Q15" s="3152"/>
      <c r="R15" s="3153"/>
      <c r="S15" s="3153"/>
    </row>
    <row r="16" spans="1:22" s="42" customFormat="1" ht="11.25" customHeight="1">
      <c r="A16" s="1123" t="s">
        <v>287</v>
      </c>
      <c r="B16" s="1124" t="s">
        <v>3815</v>
      </c>
      <c r="C16" s="1125"/>
      <c r="D16" s="1126"/>
      <c r="E16" s="1455" t="s">
        <v>1690</v>
      </c>
      <c r="F16" s="3126" t="str">
        <f>$A$261</f>
        <v xml:space="preserve">Applicant is not claiming points in this category. </v>
      </c>
      <c r="G16" s="3127"/>
      <c r="H16" s="3127"/>
      <c r="I16" s="3127"/>
      <c r="J16" s="3127"/>
      <c r="K16" s="3127"/>
      <c r="L16" s="3127"/>
      <c r="M16" s="3127"/>
      <c r="N16" s="3127"/>
      <c r="O16" s="3128"/>
      <c r="P16" s="4160"/>
      <c r="Q16" s="3152"/>
      <c r="R16" s="3153"/>
      <c r="S16" s="3153"/>
    </row>
    <row r="17" spans="1:19" s="42" customFormat="1" ht="11.25" customHeight="1">
      <c r="A17" s="1117" t="s">
        <v>418</v>
      </c>
      <c r="B17" s="923" t="s">
        <v>4722</v>
      </c>
      <c r="C17" s="1036"/>
      <c r="D17" s="1118"/>
      <c r="E17" s="1453">
        <f>$O$265</f>
        <v>3</v>
      </c>
      <c r="F17" s="3073" t="str">
        <f>$A$281</f>
        <v xml:space="preserve">Applicant qualifies for 3 points in this category.  Applicant is taking two points in this category because our site is located within 1/4 mile of a census tract having less than 5% below poverty level and is designated Upper Income level.  Our site is in census tract 101.06 and the census tract that meets the requirements for these points is 101.07. Census tract 101.07 is adjacent to our site.   The most recent FFIEC Census Report demonstrating the project meets these requirements can be found in TAB 33. We are also taking 1 point under Enterprise Community Partners Opportunity 360 for receiving a State percentile of 60% or greater in Health and well-being. </v>
      </c>
      <c r="G17" s="3074"/>
      <c r="H17" s="3074"/>
      <c r="I17" s="3074"/>
      <c r="J17" s="3074"/>
      <c r="K17" s="3074"/>
      <c r="L17" s="3074"/>
      <c r="M17" s="3074"/>
      <c r="N17" s="3074"/>
      <c r="O17" s="3075"/>
      <c r="P17" s="4160"/>
      <c r="Q17" s="3152"/>
      <c r="R17" s="3153"/>
      <c r="S17" s="3153"/>
    </row>
    <row r="18" spans="1:19" s="42" customFormat="1" ht="11.25" customHeight="1">
      <c r="A18" s="1117" t="s">
        <v>4345</v>
      </c>
      <c r="B18" s="923" t="s">
        <v>3597</v>
      </c>
      <c r="C18" s="1036"/>
      <c r="D18" s="1118"/>
      <c r="E18" s="1453">
        <f>$O$293</f>
        <v>0</v>
      </c>
      <c r="F18" s="3073" t="str">
        <f>$A$297</f>
        <v>Applicant Is not claiming points in this category.</v>
      </c>
      <c r="G18" s="3074"/>
      <c r="H18" s="3074"/>
      <c r="I18" s="3074"/>
      <c r="J18" s="3074"/>
      <c r="K18" s="3074"/>
      <c r="L18" s="3074"/>
      <c r="M18" s="3074"/>
      <c r="N18" s="3074"/>
      <c r="O18" s="3075"/>
      <c r="P18" s="4160"/>
      <c r="Q18" s="3152"/>
      <c r="R18" s="3153"/>
      <c r="S18" s="3153"/>
    </row>
    <row r="19" spans="1:19" s="42" customFormat="1" ht="11.25" customHeight="1">
      <c r="A19" s="1117" t="s">
        <v>4724</v>
      </c>
      <c r="B19" s="923" t="s">
        <v>4725</v>
      </c>
      <c r="C19" s="1036"/>
      <c r="D19" s="1118"/>
      <c r="E19" s="1455">
        <f>$O$301</f>
        <v>3</v>
      </c>
      <c r="F19" s="3073" t="str">
        <f>$A$312</f>
        <v xml:space="preserve">The Applicant is claiming 3 points in this category because Harper Woods II is the second phase of this multi-phased development. Harper Woods 2019-006 was funded by DCA in the 2019 Competitive Application Round, and is under construction.  See TAB 36 for documentation that site control was established for all phases when the initial phase was closed.  This includes the Purchase &amp; Sale Agreement of the larger parcel, the deed of the larger parcel, the deed for phase I, a copy of the land disturbance permit, the construction contract and the notice of commencement for the first phase. </v>
      </c>
      <c r="G19" s="3074"/>
      <c r="H19" s="3074"/>
      <c r="I19" s="3074"/>
      <c r="J19" s="3074"/>
      <c r="K19" s="3074"/>
      <c r="L19" s="3074"/>
      <c r="M19" s="3074"/>
      <c r="N19" s="3074"/>
      <c r="O19" s="3075"/>
      <c r="P19" s="4160"/>
      <c r="Q19" s="3152"/>
      <c r="R19" s="3153"/>
      <c r="S19" s="3153"/>
    </row>
    <row r="20" spans="1:19" s="42" customFormat="1" ht="11.25" customHeight="1">
      <c r="A20" s="1117" t="s">
        <v>4739</v>
      </c>
      <c r="B20" s="923" t="s">
        <v>4726</v>
      </c>
      <c r="C20" s="1036"/>
      <c r="D20" s="1118"/>
      <c r="E20" s="1453">
        <f>$O$316</f>
        <v>0</v>
      </c>
      <c r="F20" s="3121" t="str">
        <f>$A$329</f>
        <v xml:space="preserve">Applicant is not claiming points in this category. </v>
      </c>
      <c r="G20" s="3122"/>
      <c r="H20" s="3122"/>
      <c r="I20" s="3122"/>
      <c r="J20" s="3122"/>
      <c r="K20" s="3122"/>
      <c r="L20" s="3122"/>
      <c r="M20" s="3122"/>
      <c r="N20" s="3122"/>
      <c r="O20" s="3123"/>
      <c r="P20" s="4160"/>
      <c r="Q20" s="3152"/>
      <c r="R20" s="3153"/>
      <c r="S20" s="3153"/>
    </row>
    <row r="21" spans="1:19" s="42" customFormat="1" ht="11.25" customHeight="1">
      <c r="A21" s="1123" t="s">
        <v>3784</v>
      </c>
      <c r="B21" s="1124" t="s">
        <v>3816</v>
      </c>
      <c r="C21" s="1125"/>
      <c r="D21" s="1126"/>
      <c r="E21" s="1456">
        <f>$O$364</f>
        <v>0</v>
      </c>
      <c r="F21" s="3073" t="str">
        <f>$A$375</f>
        <v xml:space="preserve">Applicant is not claiming points in this section. </v>
      </c>
      <c r="G21" s="3074"/>
      <c r="H21" s="3074"/>
      <c r="I21" s="3074"/>
      <c r="J21" s="3074"/>
      <c r="K21" s="3074"/>
      <c r="L21" s="3074"/>
      <c r="M21" s="3074"/>
      <c r="N21" s="3074"/>
      <c r="O21" s="3075"/>
      <c r="P21" s="4160"/>
      <c r="Q21" s="3152"/>
      <c r="R21" s="3153"/>
      <c r="S21" s="3153"/>
    </row>
    <row r="22" spans="1:19" s="42" customFormat="1" ht="11.25" customHeight="1">
      <c r="A22" s="1117" t="s">
        <v>3785</v>
      </c>
      <c r="B22" s="923" t="s">
        <v>3817</v>
      </c>
      <c r="C22" s="1036"/>
      <c r="D22" s="1118"/>
      <c r="E22" s="1453">
        <f>$O$379</f>
        <v>2</v>
      </c>
      <c r="F22" s="3073" t="str">
        <f>$A$411</f>
        <v xml:space="preserve">The applicant meets threshold in this section because Harper Woods II is receiving a HOME Loan from the City of Columbus for $625,000. This loan is at least 5% of the Total Development Cost. This loan is for the construction and permanent financing of Harper Woods II. </v>
      </c>
      <c r="G22" s="3074"/>
      <c r="H22" s="3074"/>
      <c r="I22" s="3074"/>
      <c r="J22" s="3074"/>
      <c r="K22" s="3074"/>
      <c r="L22" s="3074"/>
      <c r="M22" s="3074"/>
      <c r="N22" s="3074"/>
      <c r="O22" s="3075"/>
      <c r="P22" s="4160"/>
      <c r="Q22" s="3152"/>
      <c r="R22" s="3153"/>
      <c r="S22" s="3153"/>
    </row>
    <row r="23" spans="1:19" s="42" customFormat="1" ht="11.25" customHeight="1">
      <c r="A23" s="1119" t="s">
        <v>3783</v>
      </c>
      <c r="B23" s="1120" t="s">
        <v>3818</v>
      </c>
      <c r="C23" s="1121"/>
      <c r="D23" s="1122"/>
      <c r="E23" s="1457">
        <f>$O$415</f>
        <v>0</v>
      </c>
      <c r="F23" s="3104" t="str">
        <f>$A$431</f>
        <v xml:space="preserve">Applicant is not claiming points in this category. </v>
      </c>
      <c r="G23" s="3105"/>
      <c r="H23" s="3105"/>
      <c r="I23" s="3105"/>
      <c r="J23" s="3105"/>
      <c r="K23" s="3105"/>
      <c r="L23" s="3105"/>
      <c r="M23" s="3105"/>
      <c r="N23" s="3105"/>
      <c r="O23" s="3106"/>
      <c r="P23" s="4161"/>
      <c r="Q23" s="3152"/>
      <c r="R23" s="3153"/>
      <c r="S23" s="3153"/>
    </row>
    <row r="24" spans="1:19" s="43" customFormat="1" ht="3.6" customHeight="1" thickBot="1">
      <c r="A24" s="42"/>
      <c r="B24" s="63"/>
      <c r="C24" s="36"/>
      <c r="D24" s="48"/>
      <c r="E24" s="48"/>
      <c r="F24" s="53"/>
      <c r="G24" s="48"/>
      <c r="H24" s="48"/>
      <c r="I24" s="48"/>
      <c r="J24" s="48"/>
      <c r="K24" s="48"/>
      <c r="L24" s="42"/>
      <c r="M24" s="46"/>
      <c r="N24" s="62"/>
      <c r="O24" s="3"/>
      <c r="P24" s="846"/>
      <c r="R24" s="42"/>
      <c r="S24" s="42"/>
    </row>
    <row r="25" spans="1:19" s="42" customFormat="1" ht="12.6" customHeight="1" thickBot="1">
      <c r="A25" s="152" t="s">
        <v>598</v>
      </c>
      <c r="B25" s="106" t="s">
        <v>2693</v>
      </c>
      <c r="C25" s="4"/>
      <c r="D25" s="4"/>
      <c r="E25" s="4"/>
      <c r="F25" s="2384"/>
      <c r="H25" s="172" t="s">
        <v>4348</v>
      </c>
      <c r="M25" s="2373">
        <v>10</v>
      </c>
      <c r="N25" s="107"/>
      <c r="O25" s="1041">
        <f>MIN($M25, $M25-O28-O29-O30-O33)</f>
        <v>10</v>
      </c>
      <c r="P25" s="1041">
        <f>MIN($M25, $M25-P28-P33-P29)</f>
        <v>10</v>
      </c>
      <c r="Q25" s="109" t="s">
        <v>433</v>
      </c>
    </row>
    <row r="26" spans="1:19" s="43" customFormat="1" ht="3.6" customHeight="1">
      <c r="A26" s="42"/>
      <c r="B26" s="63"/>
      <c r="C26" s="36"/>
      <c r="D26" s="48"/>
      <c r="E26" s="48"/>
      <c r="F26" s="53"/>
      <c r="G26" s="48"/>
      <c r="H26" s="48"/>
      <c r="I26" s="48"/>
      <c r="J26" s="48"/>
      <c r="K26" s="48"/>
      <c r="L26" s="42"/>
      <c r="M26" s="46"/>
      <c r="N26" s="62"/>
      <c r="O26" s="3"/>
      <c r="P26" s="846"/>
      <c r="R26" s="42"/>
      <c r="S26" s="42"/>
    </row>
    <row r="27" spans="1:19" s="42" customFormat="1" ht="11.25" customHeight="1">
      <c r="A27" s="178" t="s">
        <v>1936</v>
      </c>
      <c r="B27" s="165" t="s">
        <v>4284</v>
      </c>
      <c r="D27" s="48"/>
      <c r="E27" s="48"/>
      <c r="F27" s="2384"/>
      <c r="M27" s="6"/>
      <c r="N27" s="64" t="s">
        <v>1936</v>
      </c>
    </row>
    <row r="28" spans="1:19" s="43" customFormat="1" ht="11.25" customHeight="1">
      <c r="A28" s="178"/>
      <c r="B28" s="1429" t="s">
        <v>1939</v>
      </c>
      <c r="C28" s="110" t="s">
        <v>4287</v>
      </c>
      <c r="D28" s="48"/>
      <c r="E28" s="48"/>
      <c r="F28" s="2384"/>
      <c r="H28" s="172" t="s">
        <v>3480</v>
      </c>
      <c r="J28" s="49"/>
      <c r="M28" s="6"/>
      <c r="N28" s="388" t="s">
        <v>1939</v>
      </c>
      <c r="O28" s="2282"/>
      <c r="P28" s="1085">
        <f>F36</f>
        <v>0</v>
      </c>
    </row>
    <row r="29" spans="1:19" s="43" customFormat="1" ht="11.25" customHeight="1">
      <c r="A29" s="178"/>
      <c r="B29" s="1429" t="s">
        <v>1941</v>
      </c>
      <c r="C29" s="110" t="s">
        <v>4484</v>
      </c>
      <c r="D29" s="48"/>
      <c r="E29" s="48"/>
      <c r="F29" s="2384"/>
      <c r="H29" s="172" t="s">
        <v>4285</v>
      </c>
      <c r="J29" s="49"/>
      <c r="M29" s="6"/>
      <c r="N29" s="388" t="s">
        <v>1941</v>
      </c>
      <c r="O29" s="2283"/>
      <c r="P29" s="1422">
        <f>J36</f>
        <v>0</v>
      </c>
    </row>
    <row r="30" spans="1:19" s="43" customFormat="1" ht="11.25" customHeight="1">
      <c r="A30" s="178"/>
      <c r="B30" s="1429" t="s">
        <v>2468</v>
      </c>
      <c r="C30" s="110" t="s">
        <v>4286</v>
      </c>
      <c r="D30" s="48"/>
      <c r="E30" s="48"/>
      <c r="F30" s="2384"/>
      <c r="H30" s="172" t="s">
        <v>4290</v>
      </c>
      <c r="J30" s="49"/>
      <c r="M30" s="6"/>
      <c r="N30" s="388" t="s">
        <v>2468</v>
      </c>
      <c r="O30" s="2284"/>
      <c r="P30" s="4162"/>
    </row>
    <row r="31" spans="1:19" s="43" customFormat="1" ht="11.25" customHeight="1">
      <c r="C31" s="4163" t="s">
        <v>4457</v>
      </c>
      <c r="D31" s="4164"/>
      <c r="E31" s="4164"/>
      <c r="F31" s="4164"/>
      <c r="G31" s="4164"/>
      <c r="H31" s="4164"/>
      <c r="I31" s="4164"/>
      <c r="J31" s="4164"/>
      <c r="K31" s="4164"/>
      <c r="L31" s="4164"/>
      <c r="M31" s="4164"/>
      <c r="N31" s="4164"/>
      <c r="O31" s="4164"/>
      <c r="P31" s="4165"/>
      <c r="Q31" s="1027"/>
      <c r="R31" s="441"/>
    </row>
    <row r="32" spans="1:19" s="422" customFormat="1" ht="3" customHeight="1">
      <c r="A32" s="560"/>
      <c r="B32" s="554"/>
      <c r="C32" s="555"/>
      <c r="D32" s="139"/>
      <c r="K32" s="863"/>
      <c r="L32" s="863"/>
      <c r="M32" s="995"/>
      <c r="N32" s="388"/>
      <c r="O32" s="868"/>
      <c r="P32" s="868"/>
    </row>
    <row r="33" spans="1:20" s="42" customFormat="1" ht="11.25" customHeight="1">
      <c r="A33" s="178" t="s">
        <v>1938</v>
      </c>
      <c r="B33" s="165" t="s">
        <v>708</v>
      </c>
      <c r="D33" s="48"/>
      <c r="E33" s="48"/>
      <c r="F33" s="2384"/>
      <c r="H33" s="172" t="s">
        <v>2646</v>
      </c>
      <c r="J33" s="49"/>
      <c r="M33" s="6"/>
      <c r="N33" s="64" t="s">
        <v>1938</v>
      </c>
      <c r="O33" s="2285">
        <v>0</v>
      </c>
      <c r="P33" s="1425">
        <f>O36</f>
        <v>0</v>
      </c>
    </row>
    <row r="34" spans="1:20" s="422" customFormat="1" ht="3" customHeight="1">
      <c r="A34" s="560"/>
      <c r="B34" s="554"/>
      <c r="C34" s="555"/>
      <c r="D34" s="139"/>
      <c r="K34" s="863"/>
      <c r="L34" s="863"/>
      <c r="M34" s="995"/>
      <c r="N34" s="388"/>
      <c r="O34" s="868"/>
      <c r="P34" s="868"/>
    </row>
    <row r="35" spans="1:20" s="42" customFormat="1" ht="11.1" customHeight="1">
      <c r="A35" s="2864" t="s">
        <v>6982</v>
      </c>
      <c r="B35" s="2864"/>
      <c r="C35" s="2864"/>
      <c r="D35" s="2864"/>
      <c r="E35" s="2864"/>
      <c r="F35" s="1420" t="s">
        <v>3809</v>
      </c>
      <c r="G35" s="3097" t="s">
        <v>6984</v>
      </c>
      <c r="H35" s="3097"/>
      <c r="I35" s="3097"/>
      <c r="J35" s="1420" t="s">
        <v>3809</v>
      </c>
      <c r="K35" s="3100" t="s">
        <v>6983</v>
      </c>
      <c r="L35" s="3100"/>
      <c r="M35" s="3100"/>
      <c r="N35" s="3100"/>
      <c r="O35" s="3095" t="s">
        <v>3809</v>
      </c>
      <c r="P35" s="3096"/>
      <c r="R35" s="442"/>
      <c r="S35" s="157"/>
    </row>
    <row r="36" spans="1:20" s="42" customFormat="1" ht="11.25" customHeight="1">
      <c r="A36" s="3094"/>
      <c r="B36" s="3094"/>
      <c r="C36" s="3094"/>
      <c r="D36" s="3094"/>
      <c r="E36" s="3094"/>
      <c r="F36" s="76">
        <f>SUM(F37:F48)</f>
        <v>0</v>
      </c>
      <c r="G36" s="3098"/>
      <c r="H36" s="2998"/>
      <c r="I36" s="3099"/>
      <c r="J36" s="76">
        <f>SUM(J37:J48)</f>
        <v>0</v>
      </c>
      <c r="K36" s="3101"/>
      <c r="L36" s="3102"/>
      <c r="M36" s="3102"/>
      <c r="N36" s="3103"/>
      <c r="O36" s="3090">
        <f>SUM(O37:O48)</f>
        <v>0</v>
      </c>
      <c r="P36" s="3091"/>
      <c r="Q36" s="442"/>
      <c r="R36" s="157"/>
    </row>
    <row r="37" spans="1:20" s="42" customFormat="1" ht="24.75" customHeight="1">
      <c r="A37" s="4166">
        <v>1</v>
      </c>
      <c r="B37" s="4167"/>
      <c r="C37" s="4167"/>
      <c r="D37" s="4167"/>
      <c r="E37" s="4168"/>
      <c r="F37" s="4169"/>
      <c r="G37" s="4166">
        <v>1</v>
      </c>
      <c r="H37" s="4167"/>
      <c r="I37" s="4168"/>
      <c r="J37" s="844" t="s">
        <v>1690</v>
      </c>
      <c r="K37" s="4170">
        <v>1</v>
      </c>
      <c r="L37" s="4171"/>
      <c r="M37" s="4171"/>
      <c r="N37" s="4171"/>
      <c r="O37" s="3092" t="s">
        <v>1690</v>
      </c>
      <c r="P37" s="3093"/>
      <c r="Q37" s="440" t="s">
        <v>1228</v>
      </c>
      <c r="R37" s="157"/>
    </row>
    <row r="38" spans="1:20" s="42" customFormat="1" ht="24.75" customHeight="1">
      <c r="A38" s="4172">
        <v>2</v>
      </c>
      <c r="B38" s="4173"/>
      <c r="C38" s="4173"/>
      <c r="D38" s="4173"/>
      <c r="E38" s="4174"/>
      <c r="F38" s="4175"/>
      <c r="G38" s="4172">
        <v>2</v>
      </c>
      <c r="H38" s="4173"/>
      <c r="I38" s="4174"/>
      <c r="J38" s="4175"/>
      <c r="K38" s="4176">
        <v>2</v>
      </c>
      <c r="L38" s="4177"/>
      <c r="M38" s="4177"/>
      <c r="N38" s="4177"/>
      <c r="O38" s="4178"/>
      <c r="P38" s="4179"/>
      <c r="Q38" s="441"/>
      <c r="R38" s="157"/>
    </row>
    <row r="39" spans="1:20" s="42" customFormat="1" ht="24.75" customHeight="1">
      <c r="A39" s="4172">
        <v>3</v>
      </c>
      <c r="B39" s="4173"/>
      <c r="C39" s="4173"/>
      <c r="D39" s="4173"/>
      <c r="E39" s="4174"/>
      <c r="F39" s="4175"/>
      <c r="G39" s="4172">
        <v>3</v>
      </c>
      <c r="H39" s="4173"/>
      <c r="I39" s="4174"/>
      <c r="J39" s="1127" t="s">
        <v>2802</v>
      </c>
      <c r="K39" s="4176">
        <v>3</v>
      </c>
      <c r="L39" s="4177"/>
      <c r="M39" s="4177"/>
      <c r="N39" s="4177"/>
      <c r="O39" s="3084" t="s">
        <v>2802</v>
      </c>
      <c r="P39" s="3085"/>
      <c r="Q39" s="2991" t="s">
        <v>4288</v>
      </c>
      <c r="R39" s="2992"/>
      <c r="S39" s="1423"/>
      <c r="T39" s="1423"/>
    </row>
    <row r="40" spans="1:20" s="42" customFormat="1" ht="24.75" customHeight="1">
      <c r="A40" s="4172">
        <v>4</v>
      </c>
      <c r="B40" s="4173"/>
      <c r="C40" s="4173"/>
      <c r="D40" s="4173"/>
      <c r="E40" s="4174"/>
      <c r="F40" s="4175"/>
      <c r="G40" s="4172">
        <v>4</v>
      </c>
      <c r="H40" s="4173"/>
      <c r="I40" s="4174"/>
      <c r="J40" s="4175"/>
      <c r="K40" s="4176">
        <v>4</v>
      </c>
      <c r="L40" s="4177"/>
      <c r="M40" s="4177"/>
      <c r="N40" s="4177"/>
      <c r="O40" s="3084" t="s">
        <v>2802</v>
      </c>
      <c r="P40" s="3085"/>
      <c r="Q40" s="2991"/>
      <c r="R40" s="2992"/>
      <c r="S40" s="1423"/>
      <c r="T40" s="1423"/>
    </row>
    <row r="41" spans="1:20" s="42" customFormat="1" ht="24.75" customHeight="1">
      <c r="A41" s="4172">
        <v>5</v>
      </c>
      <c r="B41" s="4173"/>
      <c r="C41" s="4173"/>
      <c r="D41" s="4173"/>
      <c r="E41" s="4174"/>
      <c r="F41" s="4175"/>
      <c r="G41" s="4172">
        <v>5</v>
      </c>
      <c r="H41" s="4173"/>
      <c r="I41" s="4174"/>
      <c r="J41" s="1127" t="s">
        <v>3444</v>
      </c>
      <c r="K41" s="4176">
        <v>5</v>
      </c>
      <c r="L41" s="4177"/>
      <c r="M41" s="4177"/>
      <c r="N41" s="4177"/>
      <c r="O41" s="4178"/>
      <c r="P41" s="4179"/>
      <c r="Q41" s="2991"/>
      <c r="R41" s="2992"/>
      <c r="S41" s="1423"/>
      <c r="T41" s="1423"/>
    </row>
    <row r="42" spans="1:20" s="42" customFormat="1" ht="24" customHeight="1">
      <c r="A42" s="4172">
        <v>6</v>
      </c>
      <c r="B42" s="4173"/>
      <c r="C42" s="4173"/>
      <c r="D42" s="4173"/>
      <c r="E42" s="4174"/>
      <c r="F42" s="4175"/>
      <c r="G42" s="4172">
        <v>6</v>
      </c>
      <c r="H42" s="4173"/>
      <c r="I42" s="4174"/>
      <c r="J42" s="4175"/>
      <c r="K42" s="4176">
        <v>6</v>
      </c>
      <c r="L42" s="4177"/>
      <c r="M42" s="4177"/>
      <c r="N42" s="4177"/>
      <c r="O42" s="4178"/>
      <c r="P42" s="4179"/>
      <c r="Q42" s="2991"/>
      <c r="R42" s="2992"/>
    </row>
    <row r="43" spans="1:20" s="42" customFormat="1" ht="10.5" customHeight="1">
      <c r="A43" s="4172">
        <v>7</v>
      </c>
      <c r="B43" s="4173"/>
      <c r="C43" s="4173"/>
      <c r="D43" s="4173"/>
      <c r="E43" s="4174"/>
      <c r="F43" s="4175"/>
      <c r="G43" s="4172">
        <v>7</v>
      </c>
      <c r="H43" s="4173"/>
      <c r="I43" s="4174"/>
      <c r="J43" s="1127" t="s">
        <v>3445</v>
      </c>
      <c r="K43" s="4176">
        <v>7</v>
      </c>
      <c r="L43" s="4177"/>
      <c r="M43" s="4177"/>
      <c r="N43" s="4177"/>
      <c r="O43" s="4178"/>
      <c r="P43" s="4179"/>
      <c r="Q43" s="157"/>
      <c r="R43" s="157"/>
    </row>
    <row r="44" spans="1:20" s="42" customFormat="1" ht="10.5" customHeight="1">
      <c r="A44" s="4172">
        <v>8</v>
      </c>
      <c r="B44" s="4173"/>
      <c r="C44" s="4173"/>
      <c r="D44" s="4173"/>
      <c r="E44" s="4174"/>
      <c r="F44" s="4175"/>
      <c r="G44" s="4172">
        <v>8</v>
      </c>
      <c r="H44" s="4173"/>
      <c r="I44" s="4174"/>
      <c r="J44" s="4175"/>
      <c r="K44" s="4176">
        <v>8</v>
      </c>
      <c r="L44" s="4177"/>
      <c r="M44" s="4177"/>
      <c r="N44" s="4177"/>
      <c r="O44" s="4178"/>
      <c r="P44" s="4179"/>
      <c r="Q44" s="157"/>
      <c r="R44" s="157"/>
    </row>
    <row r="45" spans="1:20" s="42" customFormat="1" ht="11.25" customHeight="1">
      <c r="A45" s="4172">
        <v>9</v>
      </c>
      <c r="B45" s="4173"/>
      <c r="C45" s="4173"/>
      <c r="D45" s="4173"/>
      <c r="E45" s="4174"/>
      <c r="F45" s="4175"/>
      <c r="G45" s="4172">
        <v>9</v>
      </c>
      <c r="H45" s="4173"/>
      <c r="I45" s="4174"/>
      <c r="J45" s="1127" t="s">
        <v>3446</v>
      </c>
      <c r="K45" s="4176">
        <v>9</v>
      </c>
      <c r="L45" s="4177"/>
      <c r="M45" s="4177"/>
      <c r="N45" s="4177"/>
      <c r="O45" s="4178"/>
      <c r="P45" s="4179"/>
      <c r="Q45" s="157"/>
      <c r="R45" s="157"/>
    </row>
    <row r="46" spans="1:20" s="42" customFormat="1" ht="11.25" customHeight="1">
      <c r="A46" s="4172">
        <v>10</v>
      </c>
      <c r="B46" s="4173"/>
      <c r="C46" s="4173"/>
      <c r="D46" s="4173"/>
      <c r="E46" s="4174"/>
      <c r="F46" s="4175"/>
      <c r="G46" s="4172">
        <v>10</v>
      </c>
      <c r="H46" s="4173"/>
      <c r="I46" s="4174"/>
      <c r="J46" s="4175"/>
      <c r="K46" s="4176">
        <v>10</v>
      </c>
      <c r="L46" s="4177"/>
      <c r="M46" s="4177"/>
      <c r="N46" s="4177"/>
      <c r="O46" s="4178"/>
      <c r="P46" s="4179"/>
      <c r="Q46" s="157"/>
    </row>
    <row r="47" spans="1:20" s="42" customFormat="1" ht="11.25" customHeight="1">
      <c r="A47" s="4172">
        <v>11</v>
      </c>
      <c r="B47" s="4173"/>
      <c r="C47" s="4173"/>
      <c r="D47" s="4173"/>
      <c r="E47" s="4174"/>
      <c r="F47" s="4175"/>
      <c r="G47" s="4172">
        <v>11</v>
      </c>
      <c r="H47" s="4173"/>
      <c r="I47" s="4174"/>
      <c r="J47" s="1127" t="s">
        <v>3447</v>
      </c>
      <c r="K47" s="4172">
        <v>11</v>
      </c>
      <c r="L47" s="4173"/>
      <c r="M47" s="4173"/>
      <c r="N47" s="4174"/>
      <c r="O47" s="4178"/>
      <c r="P47" s="4179"/>
      <c r="Q47" s="157"/>
      <c r="R47" s="157"/>
    </row>
    <row r="48" spans="1:20" s="42" customFormat="1" ht="11.25" customHeight="1">
      <c r="A48" s="4180">
        <v>12</v>
      </c>
      <c r="B48" s="4181"/>
      <c r="C48" s="4181"/>
      <c r="D48" s="4181"/>
      <c r="E48" s="4182"/>
      <c r="F48" s="4183"/>
      <c r="G48" s="4180">
        <v>12</v>
      </c>
      <c r="H48" s="4181"/>
      <c r="I48" s="4182"/>
      <c r="J48" s="4183"/>
      <c r="K48" s="4180">
        <v>12</v>
      </c>
      <c r="L48" s="4181"/>
      <c r="M48" s="4181"/>
      <c r="N48" s="4182"/>
      <c r="O48" s="4184"/>
      <c r="P48" s="4185"/>
    </row>
    <row r="49" spans="1:18" s="43" customFormat="1" ht="3" customHeight="1" thickBot="1">
      <c r="D49" s="39"/>
      <c r="E49" s="36"/>
      <c r="F49" s="846"/>
      <c r="G49" s="846"/>
      <c r="H49" s="846"/>
      <c r="I49" s="846"/>
      <c r="J49" s="856"/>
      <c r="K49" s="856"/>
      <c r="L49" s="856"/>
      <c r="M49" s="60"/>
      <c r="N49" s="846"/>
      <c r="O49" s="2377"/>
      <c r="P49" s="3"/>
    </row>
    <row r="50" spans="1:18" s="102" customFormat="1" ht="12" customHeight="1" thickBot="1">
      <c r="A50" s="152" t="s">
        <v>722</v>
      </c>
      <c r="B50" s="106" t="s">
        <v>3448</v>
      </c>
      <c r="E50" s="57"/>
      <c r="G50" s="213"/>
      <c r="H50" s="52"/>
      <c r="I50" s="45" t="s">
        <v>3365</v>
      </c>
      <c r="M50" s="846">
        <v>3</v>
      </c>
      <c r="N50" s="7"/>
      <c r="O50" s="1041">
        <f>IF(AND(O54&gt;0,O58&gt;0),"AorB?",MIN($M$50,O54+O58))</f>
        <v>2</v>
      </c>
      <c r="P50" s="1041">
        <f>IF(AND(P54&gt;0,P58&gt;0),"AorB?",MIN($M$50,P54+P58))</f>
        <v>0</v>
      </c>
      <c r="Q50" s="109" t="s">
        <v>433</v>
      </c>
      <c r="R50" s="374" t="str">
        <f>IF(OR($O50=$M50,$O50=0,$O50=""),"","* * Check Score! * *")</f>
        <v>* * Check Score! * *</v>
      </c>
    </row>
    <row r="51" spans="1:18" s="43" customFormat="1" ht="2.25" customHeight="1">
      <c r="A51" s="436"/>
      <c r="B51" s="112"/>
      <c r="E51" s="57"/>
      <c r="F51" s="43" t="s">
        <v>4298</v>
      </c>
      <c r="G51" s="87"/>
      <c r="H51" s="52"/>
      <c r="I51" s="45"/>
      <c r="K51" s="509"/>
      <c r="L51" s="845"/>
      <c r="M51" s="846"/>
      <c r="N51" s="7"/>
      <c r="O51" s="3"/>
      <c r="P51" s="3"/>
      <c r="Q51" s="109"/>
      <c r="R51" s="374"/>
    </row>
    <row r="52" spans="1:18" s="43" customFormat="1" ht="13.5" customHeight="1">
      <c r="A52" s="138" t="s">
        <v>1936</v>
      </c>
      <c r="B52" s="864" t="s">
        <v>2557</v>
      </c>
      <c r="E52" s="57"/>
      <c r="G52" s="87"/>
      <c r="H52" s="55" t="s">
        <v>4438</v>
      </c>
      <c r="J52" s="1500"/>
      <c r="K52" s="1500" t="str">
        <f>'Part I-Project Information'!$K$94</f>
        <v>Income Averaging</v>
      </c>
      <c r="M52" s="846"/>
      <c r="N52" s="7"/>
      <c r="Q52" s="7"/>
      <c r="R52" s="374"/>
    </row>
    <row r="53" spans="1:18" s="102" customFormat="1" ht="9" customHeight="1">
      <c r="A53" s="138"/>
      <c r="B53" s="2993" t="s">
        <v>4292</v>
      </c>
      <c r="C53" s="2993"/>
      <c r="D53" s="2993"/>
      <c r="E53" s="2993"/>
      <c r="F53" s="2993"/>
      <c r="G53" s="2993"/>
      <c r="H53" s="2993"/>
      <c r="I53" s="2993"/>
      <c r="J53" s="2993"/>
      <c r="K53" s="2993"/>
      <c r="L53" s="2993"/>
      <c r="M53" s="846"/>
      <c r="N53" s="7"/>
      <c r="Q53" s="7"/>
      <c r="R53" s="374"/>
    </row>
    <row r="54" spans="1:18" s="102" customFormat="1" ht="13.5" customHeight="1">
      <c r="B54" s="2993"/>
      <c r="C54" s="2993"/>
      <c r="D54" s="2993"/>
      <c r="E54" s="2993"/>
      <c r="F54" s="2993"/>
      <c r="G54" s="2993"/>
      <c r="H54" s="2993"/>
      <c r="I54" s="2993"/>
      <c r="J54" s="2993"/>
      <c r="K54" s="2993"/>
      <c r="L54" s="2993"/>
      <c r="M54" s="855">
        <v>2</v>
      </c>
      <c r="N54" s="388" t="s">
        <v>1936</v>
      </c>
      <c r="O54" s="869">
        <f>MIN($M54, O55+O56)</f>
        <v>2</v>
      </c>
      <c r="P54" s="869">
        <f>MIN($M54, P55+P56)</f>
        <v>0</v>
      </c>
    </row>
    <row r="55" spans="1:18" s="102" customFormat="1" ht="13.5" customHeight="1">
      <c r="A55" s="138"/>
      <c r="B55" s="1145" t="s">
        <v>1939</v>
      </c>
      <c r="C55" s="1430" t="s">
        <v>4293</v>
      </c>
      <c r="D55" s="52"/>
      <c r="H55" s="52" t="s">
        <v>4294</v>
      </c>
      <c r="I55" s="1427"/>
      <c r="K55" s="1502">
        <f>'Part VI-Revenues &amp; Expenses'!B49</f>
        <v>57.222222222222221</v>
      </c>
      <c r="L55" s="3088" t="str">
        <f>IF(AND(O55&gt;0,O56&gt;0), "CHOOSE EITHER A OR B, NOT BOTH!", "")</f>
        <v/>
      </c>
      <c r="M55" s="995">
        <v>2</v>
      </c>
      <c r="N55" s="174" t="s">
        <v>1939</v>
      </c>
      <c r="O55" s="2286">
        <v>2</v>
      </c>
      <c r="P55" s="4186"/>
      <c r="Q55" s="1477" t="str">
        <f>IF(OR($O55=$M55,$O55=0,$O55=""),"","*CHECK!*")</f>
        <v/>
      </c>
      <c r="R55" s="974" t="s">
        <v>4767</v>
      </c>
    </row>
    <row r="56" spans="1:18" s="102" customFormat="1" ht="13.5" customHeight="1">
      <c r="A56" s="1428" t="s">
        <v>3238</v>
      </c>
      <c r="B56" s="1145" t="s">
        <v>1941</v>
      </c>
      <c r="C56" s="1430" t="s">
        <v>4295</v>
      </c>
      <c r="D56" s="52"/>
      <c r="I56" s="1427"/>
      <c r="K56" s="52"/>
      <c r="L56" s="3088"/>
      <c r="M56" s="995">
        <v>2</v>
      </c>
      <c r="N56" s="174" t="s">
        <v>1941</v>
      </c>
      <c r="O56" s="2287"/>
      <c r="P56" s="4187"/>
      <c r="Q56" s="1477" t="str">
        <f>IF(OR($O56=$M56,$O56=0,$O56=""),"","*CHECK!*")</f>
        <v/>
      </c>
      <c r="R56" s="974" t="s">
        <v>4767</v>
      </c>
    </row>
    <row r="57" spans="1:18" s="422" customFormat="1" ht="6.75" customHeight="1">
      <c r="A57" s="560"/>
      <c r="B57" s="554"/>
      <c r="C57" s="555"/>
      <c r="D57" s="139"/>
      <c r="K57" s="863"/>
      <c r="L57" s="863"/>
      <c r="M57" s="995"/>
      <c r="N57" s="388"/>
      <c r="O57" s="868"/>
      <c r="P57" s="868"/>
    </row>
    <row r="58" spans="1:18" s="422" customFormat="1" ht="13.5" customHeight="1">
      <c r="A58" s="138" t="s">
        <v>1938</v>
      </c>
      <c r="B58" s="864" t="s">
        <v>3481</v>
      </c>
      <c r="E58" s="423"/>
      <c r="H58" s="3086" t="s">
        <v>4296</v>
      </c>
      <c r="I58" s="3087"/>
      <c r="J58" s="1433" t="s">
        <v>4297</v>
      </c>
      <c r="M58" s="855">
        <v>3</v>
      </c>
      <c r="N58" s="160" t="s">
        <v>1938</v>
      </c>
      <c r="O58" s="869">
        <f>IF(AND(O59="Yes", O60="Yes"),$M$58,0)</f>
        <v>0</v>
      </c>
      <c r="P58" s="869">
        <f>IF(AND(P59="Yes", P60="Yes"),$M$58,0)</f>
        <v>0</v>
      </c>
    </row>
    <row r="59" spans="1:18" s="422" customFormat="1" ht="13.5" customHeight="1">
      <c r="A59" s="421"/>
      <c r="B59" s="1145" t="s">
        <v>1939</v>
      </c>
      <c r="C59" s="1431">
        <v>0.3</v>
      </c>
      <c r="D59" s="923" t="s">
        <v>3482</v>
      </c>
      <c r="E59" s="423"/>
      <c r="F59" s="843"/>
      <c r="H59" s="2288"/>
      <c r="I59" s="4188"/>
      <c r="J59" s="1432">
        <f>'Part VI-Revenues &amp; Expenses'!P65</f>
        <v>72</v>
      </c>
      <c r="K59" s="885">
        <f>IF(OR('Part VI-Revenues &amp; Expenses'!$P$65="", 'Part VI-Revenues &amp; Expenses'!$P$65=0),0,H59/'Part VI-Revenues &amp; Expenses'!$P$65)</f>
        <v>0</v>
      </c>
      <c r="L59" s="885">
        <f>IF(OR('Part VI-Revenues &amp; Expenses'!$P$65="", 'Part VI-Revenues &amp; Expenses'!$P$65=0),0,I59/'Part VI-Revenues &amp; Expenses'!$P$65)</f>
        <v>0</v>
      </c>
      <c r="M59" s="995"/>
      <c r="N59" s="388" t="s">
        <v>1939</v>
      </c>
      <c r="O59" s="865" t="str">
        <f>IF(AND(K59 &gt;= $C$59,O60="Yes"),"Yes","No")</f>
        <v>No</v>
      </c>
      <c r="P59" s="865" t="str">
        <f>IF(AND(L59 &gt;= $C$59,P60="Yes"),"Yes","No")</f>
        <v>No</v>
      </c>
    </row>
    <row r="60" spans="1:18" s="422" customFormat="1" ht="13.5" customHeight="1">
      <c r="A60" s="560"/>
      <c r="B60" s="1145" t="s">
        <v>1941</v>
      </c>
      <c r="C60" s="889" t="s">
        <v>3706</v>
      </c>
      <c r="E60" s="899"/>
      <c r="F60" s="843"/>
      <c r="I60" s="867"/>
      <c r="J60" s="867"/>
      <c r="K60" s="867"/>
      <c r="L60" s="867"/>
      <c r="M60" s="867"/>
      <c r="N60" s="388" t="s">
        <v>1941</v>
      </c>
      <c r="O60" s="2258"/>
      <c r="P60" s="520"/>
    </row>
    <row r="61" spans="1:18" s="43" customFormat="1" ht="10.5" customHeight="1">
      <c r="A61" s="42"/>
      <c r="B61" s="97" t="s">
        <v>1820</v>
      </c>
      <c r="C61" s="422"/>
      <c r="D61" s="85"/>
      <c r="E61" s="2380"/>
      <c r="F61" s="2380"/>
      <c r="G61" s="2380"/>
      <c r="H61" s="2380"/>
      <c r="I61" s="2380"/>
      <c r="J61" s="2380"/>
      <c r="K61" s="2380"/>
      <c r="L61" s="2380"/>
      <c r="M61" s="2380"/>
      <c r="N61" s="74"/>
      <c r="O61" s="70"/>
      <c r="P61" s="2373"/>
      <c r="Q61" s="422"/>
    </row>
    <row r="62" spans="1:18" s="43" customFormat="1" ht="22.5" customHeight="1">
      <c r="A62" s="2848"/>
      <c r="B62" s="2849"/>
      <c r="C62" s="2849"/>
      <c r="D62" s="2849"/>
      <c r="E62" s="2849"/>
      <c r="F62" s="2849"/>
      <c r="G62" s="2849"/>
      <c r="H62" s="2849"/>
      <c r="I62" s="2849"/>
      <c r="J62" s="2849"/>
      <c r="K62" s="2849"/>
      <c r="L62" s="2849"/>
      <c r="M62" s="2849"/>
      <c r="N62" s="2849"/>
      <c r="O62" s="2849"/>
      <c r="P62" s="2850"/>
      <c r="Q62" s="440"/>
    </row>
    <row r="63" spans="1:18" ht="7.5" customHeight="1" thickBot="1"/>
    <row r="64" spans="1:18" s="43" customFormat="1" ht="12.6" customHeight="1" thickBot="1">
      <c r="A64" s="152" t="s">
        <v>724</v>
      </c>
      <c r="B64" s="105" t="s">
        <v>3780</v>
      </c>
      <c r="D64" s="41"/>
      <c r="I64" s="2613" t="s">
        <v>3579</v>
      </c>
      <c r="J64" s="2613"/>
      <c r="K64" s="2613"/>
      <c r="L64" s="980"/>
      <c r="M64" s="2373">
        <v>10</v>
      </c>
      <c r="N64" s="455"/>
      <c r="O64" s="1041">
        <f>IF(OR($M67-O68&lt;0,O67-O68&lt;0),0,IF(O67&lt;=$M67,O67-O68,IF(O67&gt;$M67,$M67-O68,0)))</f>
        <v>10</v>
      </c>
      <c r="P64" s="1041">
        <f>IF(OR($M67-P68&lt;0,P67-P68&lt;0),0,IF(P67&lt;=$M67,P67-P68,IF(P67&gt;$M67,$M67-P68,0)))</f>
        <v>0</v>
      </c>
      <c r="Q64" s="109" t="s">
        <v>433</v>
      </c>
    </row>
    <row r="65" spans="1:21" s="43" customFormat="1" ht="3" customHeight="1">
      <c r="A65" s="42"/>
      <c r="D65" s="39"/>
      <c r="E65" s="36"/>
      <c r="F65" s="846"/>
      <c r="G65" s="846"/>
      <c r="H65" s="980"/>
      <c r="I65" s="980"/>
      <c r="J65" s="980"/>
      <c r="K65" s="980"/>
      <c r="L65" s="980"/>
      <c r="M65" s="60"/>
      <c r="N65" s="846"/>
      <c r="O65" s="2377"/>
      <c r="P65" s="3"/>
    </row>
    <row r="66" spans="1:21" s="102" customFormat="1" ht="12" customHeight="1">
      <c r="A66" s="138"/>
      <c r="B66" s="36" t="s">
        <v>3636</v>
      </c>
      <c r="D66" s="33"/>
      <c r="N66" s="455"/>
      <c r="O66" s="2256" t="s">
        <v>2886</v>
      </c>
      <c r="P66" s="518"/>
    </row>
    <row r="67" spans="1:21" s="102" customFormat="1" ht="12" customHeight="1">
      <c r="A67" s="138" t="s">
        <v>1936</v>
      </c>
      <c r="B67" s="165" t="s">
        <v>1827</v>
      </c>
      <c r="C67" s="4"/>
      <c r="D67" s="4"/>
      <c r="F67" s="295"/>
      <c r="H67" s="821" t="s">
        <v>2638</v>
      </c>
      <c r="I67" s="3111" t="s">
        <v>4727</v>
      </c>
      <c r="J67" s="3112"/>
      <c r="K67" s="3112"/>
      <c r="L67" s="3113"/>
      <c r="M67" s="72">
        <v>10</v>
      </c>
      <c r="N67" s="174" t="s">
        <v>1936</v>
      </c>
      <c r="O67" s="2286">
        <v>10</v>
      </c>
      <c r="P67" s="4186"/>
      <c r="Q67" s="1477" t="str">
        <f>IF(OR($O67=$M67,$O67=0,$O67=""),"","*CHECK!*")</f>
        <v/>
      </c>
      <c r="R67" s="974" t="s">
        <v>4767</v>
      </c>
    </row>
    <row r="68" spans="1:21" s="102" customFormat="1" ht="12.6" customHeight="1">
      <c r="A68" s="138" t="s">
        <v>1938</v>
      </c>
      <c r="B68" s="165" t="s">
        <v>3628</v>
      </c>
      <c r="D68" s="1063"/>
      <c r="F68" s="1501"/>
      <c r="H68" s="821" t="s">
        <v>3728</v>
      </c>
      <c r="I68" s="3114"/>
      <c r="J68" s="3115"/>
      <c r="K68" s="3115"/>
      <c r="L68" s="3116"/>
      <c r="M68" s="2397" t="s">
        <v>1212</v>
      </c>
      <c r="N68" s="455" t="s">
        <v>1938</v>
      </c>
      <c r="O68" s="2287"/>
      <c r="P68" s="4187"/>
      <c r="R68" s="974" t="s">
        <v>4767</v>
      </c>
    </row>
    <row r="69" spans="1:21" s="43" customFormat="1" ht="11.25" customHeight="1" thickBot="1">
      <c r="A69" s="42"/>
      <c r="B69" s="1132" t="s">
        <v>3566</v>
      </c>
      <c r="C69" s="42"/>
      <c r="D69" s="48"/>
      <c r="E69" s="48"/>
      <c r="F69" s="48"/>
      <c r="G69" s="48"/>
      <c r="H69" s="36"/>
      <c r="I69" s="3117"/>
      <c r="J69" s="3118"/>
      <c r="K69" s="3118"/>
      <c r="L69" s="3119"/>
      <c r="M69" s="46"/>
      <c r="N69" s="62"/>
      <c r="O69" s="3"/>
      <c r="P69" s="2377"/>
    </row>
    <row r="70" spans="1:21" s="43" customFormat="1" ht="90" customHeight="1" thickTop="1" thickBot="1">
      <c r="A70" s="2986" t="s">
        <v>7153</v>
      </c>
      <c r="B70" s="2987"/>
      <c r="C70" s="2987"/>
      <c r="D70" s="2987"/>
      <c r="E70" s="2987"/>
      <c r="F70" s="2987"/>
      <c r="G70" s="2987"/>
      <c r="H70" s="2987"/>
      <c r="I70" s="2987"/>
      <c r="J70" s="2987"/>
      <c r="K70" s="2987"/>
      <c r="L70" s="2987"/>
      <c r="M70" s="2987"/>
      <c r="N70" s="2987"/>
      <c r="O70" s="2987"/>
      <c r="P70" s="2988"/>
      <c r="Q70" s="1027" t="s">
        <v>1228</v>
      </c>
      <c r="R70" s="441"/>
    </row>
    <row r="71" spans="1:21" s="43" customFormat="1" ht="11.4" customHeight="1" thickTop="1">
      <c r="A71" s="42"/>
      <c r="B71" s="66" t="s">
        <v>1820</v>
      </c>
      <c r="C71" s="42"/>
      <c r="D71" s="136"/>
      <c r="E71" s="2380"/>
      <c r="F71" s="2380"/>
      <c r="G71" s="2380"/>
      <c r="H71" s="2380"/>
      <c r="I71" s="2380"/>
      <c r="J71" s="2380"/>
      <c r="K71" s="2380"/>
      <c r="L71" s="2380"/>
      <c r="M71" s="2380"/>
      <c r="N71" s="74"/>
      <c r="O71" s="70"/>
      <c r="P71" s="2373"/>
      <c r="Q71" s="422"/>
      <c r="R71" s="422"/>
    </row>
    <row r="72" spans="1:21" s="43" customFormat="1" ht="90" customHeight="1">
      <c r="A72" s="2848"/>
      <c r="B72" s="2849"/>
      <c r="C72" s="2849"/>
      <c r="D72" s="2849"/>
      <c r="E72" s="2849"/>
      <c r="F72" s="2849"/>
      <c r="G72" s="2849"/>
      <c r="H72" s="2849"/>
      <c r="I72" s="2849"/>
      <c r="J72" s="2849"/>
      <c r="K72" s="2849"/>
      <c r="L72" s="2849"/>
      <c r="M72" s="2849"/>
      <c r="N72" s="2849"/>
      <c r="O72" s="2849"/>
      <c r="P72" s="2850"/>
      <c r="Q72" s="440"/>
      <c r="R72" s="441"/>
    </row>
    <row r="73" spans="1:21" ht="7.5" customHeight="1" thickBot="1">
      <c r="M73" s="33"/>
      <c r="N73" s="114"/>
      <c r="O73" s="150"/>
      <c r="P73" s="150"/>
    </row>
    <row r="74" spans="1:21" s="43" customFormat="1" ht="12.6" customHeight="1" thickBot="1">
      <c r="A74" s="152" t="s">
        <v>1748</v>
      </c>
      <c r="B74" s="105" t="s">
        <v>2561</v>
      </c>
      <c r="D74" s="41"/>
      <c r="K74" s="977" t="s">
        <v>1832</v>
      </c>
      <c r="M74" s="2373">
        <v>6</v>
      </c>
      <c r="N74" s="455"/>
      <c r="O74" s="1041">
        <f>IF($J$75="Flexible",MIN($M74,MAX(O89,O95)),IF(AND($J$75="Rural",O103&gt;0),MIN($M103,O103),0))</f>
        <v>3</v>
      </c>
      <c r="P74" s="1041">
        <f>IF($J$75="Flexible",MIN($M74,MAX(P89,P95)),IF(AND($J$75="Rural",P103&gt;0),MIN($M103,P103),0))</f>
        <v>0</v>
      </c>
      <c r="Q74" s="109" t="s">
        <v>433</v>
      </c>
      <c r="R74" s="3146" t="s">
        <v>4520</v>
      </c>
      <c r="S74" s="3146"/>
      <c r="T74" s="3146"/>
      <c r="U74" s="3146"/>
    </row>
    <row r="75" spans="1:21" s="43" customFormat="1" ht="17.25" customHeight="1">
      <c r="A75" s="152"/>
      <c r="B75" s="110" t="s">
        <v>3707</v>
      </c>
      <c r="D75" s="41"/>
      <c r="H75" s="165" t="s">
        <v>2703</v>
      </c>
      <c r="I75" s="505"/>
      <c r="J75" s="503" t="str">
        <f>'Part I-Project Information'!$H$105</f>
        <v>Flexible</v>
      </c>
      <c r="K75" s="48"/>
      <c r="M75" s="2373"/>
      <c r="N75" s="455"/>
      <c r="O75" s="973" t="s">
        <v>3449</v>
      </c>
      <c r="P75" s="973" t="s">
        <v>3450</v>
      </c>
      <c r="Q75" s="109"/>
      <c r="R75" s="3146"/>
      <c r="S75" s="3146"/>
      <c r="T75" s="3146"/>
      <c r="U75" s="3146"/>
    </row>
    <row r="76" spans="1:21" s="43" customFormat="1" ht="11.25" customHeight="1">
      <c r="A76" s="152"/>
      <c r="B76" s="372" t="s">
        <v>1939</v>
      </c>
      <c r="C76" s="36" t="s">
        <v>4303</v>
      </c>
      <c r="D76" s="1063"/>
      <c r="E76" s="102"/>
      <c r="F76" s="102"/>
      <c r="G76" s="102"/>
      <c r="H76" s="45"/>
      <c r="I76" s="49"/>
      <c r="J76" s="48"/>
      <c r="K76" s="48"/>
      <c r="L76" s="102"/>
      <c r="M76" s="2373"/>
      <c r="N76" s="455"/>
      <c r="O76" s="2256" t="s">
        <v>2886</v>
      </c>
      <c r="P76" s="518"/>
      <c r="Q76" s="109"/>
      <c r="R76" s="3146"/>
      <c r="S76" s="3146"/>
      <c r="T76" s="3146"/>
      <c r="U76" s="3146"/>
    </row>
    <row r="77" spans="1:21" s="43" customFormat="1" ht="11.25" customHeight="1">
      <c r="A77" s="152"/>
      <c r="B77" s="372" t="s">
        <v>1941</v>
      </c>
      <c r="C77" s="36" t="s">
        <v>4304</v>
      </c>
      <c r="D77" s="1063"/>
      <c r="E77" s="102"/>
      <c r="F77" s="102"/>
      <c r="G77" s="102"/>
      <c r="H77" s="45"/>
      <c r="I77" s="49"/>
      <c r="J77" s="48"/>
      <c r="K77" s="48"/>
      <c r="L77" s="102"/>
      <c r="M77" s="102"/>
      <c r="N77" s="455"/>
      <c r="O77" s="2257" t="s">
        <v>2886</v>
      </c>
      <c r="P77" s="519"/>
      <c r="Q77" s="109"/>
      <c r="R77" s="3146"/>
      <c r="S77" s="3146"/>
      <c r="T77" s="3146"/>
      <c r="U77" s="3146"/>
    </row>
    <row r="78" spans="1:21" s="43" customFormat="1" ht="11.25" customHeight="1">
      <c r="A78" s="152"/>
      <c r="B78" s="372" t="s">
        <v>2468</v>
      </c>
      <c r="C78" s="36" t="s">
        <v>4305</v>
      </c>
      <c r="D78" s="1063"/>
      <c r="E78" s="102"/>
      <c r="F78" s="102"/>
      <c r="G78" s="102"/>
      <c r="H78" s="45"/>
      <c r="I78" s="49"/>
      <c r="J78" s="48"/>
      <c r="K78" s="48"/>
      <c r="L78" s="102"/>
      <c r="M78" s="102"/>
      <c r="N78" s="455"/>
      <c r="O78" s="2257" t="s">
        <v>2886</v>
      </c>
      <c r="P78" s="519"/>
      <c r="Q78" s="109"/>
      <c r="R78" s="3146"/>
      <c r="S78" s="3146"/>
      <c r="T78" s="3146"/>
      <c r="U78" s="3146"/>
    </row>
    <row r="79" spans="1:21" s="43" customFormat="1" ht="11.25" customHeight="1">
      <c r="A79" s="152"/>
      <c r="B79" s="372" t="s">
        <v>1198</v>
      </c>
      <c r="C79" s="36" t="s">
        <v>4299</v>
      </c>
      <c r="D79" s="1063"/>
      <c r="E79" s="102"/>
      <c r="F79" s="102"/>
      <c r="G79" s="102"/>
      <c r="H79" s="45"/>
      <c r="I79" s="49"/>
      <c r="J79" s="48"/>
      <c r="K79" s="48"/>
      <c r="L79" s="102"/>
      <c r="M79" s="102"/>
      <c r="N79" s="455"/>
      <c r="O79" s="2258" t="s">
        <v>2886</v>
      </c>
      <c r="P79" s="520"/>
      <c r="Q79" s="109"/>
      <c r="R79" s="3146"/>
      <c r="S79" s="3146"/>
      <c r="T79" s="3146"/>
      <c r="U79" s="3146"/>
    </row>
    <row r="80" spans="1:21" s="43" customFormat="1" ht="3" customHeight="1">
      <c r="A80" s="152"/>
      <c r="B80" s="105"/>
      <c r="D80" s="41"/>
      <c r="H80" s="45"/>
      <c r="I80" s="49"/>
      <c r="J80" s="48"/>
      <c r="K80" s="48"/>
      <c r="M80" s="2373"/>
      <c r="N80" s="455"/>
      <c r="O80" s="3"/>
      <c r="P80" s="3"/>
      <c r="Q80" s="109"/>
      <c r="R80" s="3146"/>
      <c r="S80" s="3146"/>
      <c r="T80" s="3146"/>
      <c r="U80" s="3146"/>
    </row>
    <row r="81" spans="1:21" s="43" customFormat="1" ht="13.5" customHeight="1">
      <c r="A81" s="152"/>
      <c r="B81" s="110" t="s">
        <v>3713</v>
      </c>
      <c r="D81" s="41"/>
      <c r="F81" s="3129" t="s">
        <v>3535</v>
      </c>
      <c r="G81" s="3129"/>
      <c r="H81" s="3129"/>
      <c r="I81" s="3129"/>
      <c r="J81" s="3129" t="s">
        <v>3536</v>
      </c>
      <c r="K81" s="3129"/>
      <c r="L81" s="3129"/>
      <c r="M81" s="3129"/>
      <c r="N81" s="455"/>
      <c r="O81" s="3130" t="s">
        <v>4439</v>
      </c>
      <c r="P81" s="3131"/>
      <c r="Q81" s="109"/>
      <c r="R81" s="3146"/>
      <c r="S81" s="3146"/>
      <c r="T81" s="3146"/>
      <c r="U81" s="3146"/>
    </row>
    <row r="82" spans="1:21" s="43" customFormat="1" ht="12.75" customHeight="1">
      <c r="A82" s="152"/>
      <c r="C82" s="480" t="s">
        <v>3712</v>
      </c>
      <c r="D82" s="582"/>
      <c r="E82" s="268"/>
      <c r="F82" s="3132">
        <v>32.547725999999997</v>
      </c>
      <c r="G82" s="3133"/>
      <c r="H82" s="4189"/>
      <c r="I82" s="4190"/>
      <c r="J82" s="3132">
        <v>-84.888351</v>
      </c>
      <c r="K82" s="3133"/>
      <c r="L82" s="4189"/>
      <c r="M82" s="4190"/>
      <c r="N82" s="455"/>
      <c r="Q82" s="109"/>
      <c r="R82" s="3146"/>
      <c r="S82" s="3146"/>
      <c r="T82" s="3146"/>
      <c r="U82" s="3146"/>
    </row>
    <row r="83" spans="1:21" s="43" customFormat="1" ht="12.75" customHeight="1">
      <c r="A83" s="3020" t="s">
        <v>3808</v>
      </c>
      <c r="B83" s="3020"/>
      <c r="D83" s="1099" t="s">
        <v>3714</v>
      </c>
      <c r="E83" s="268"/>
      <c r="F83" s="3007">
        <v>32.548439999999999</v>
      </c>
      <c r="G83" s="3008"/>
      <c r="H83" s="4191"/>
      <c r="I83" s="4192"/>
      <c r="J83" s="3007">
        <v>-84.886694000000006</v>
      </c>
      <c r="K83" s="3008"/>
      <c r="L83" s="4191"/>
      <c r="M83" s="4192"/>
      <c r="N83" s="455"/>
      <c r="O83" s="2289">
        <v>0.1</v>
      </c>
      <c r="P83" s="4193"/>
      <c r="Q83" s="109"/>
      <c r="R83" s="3146"/>
      <c r="S83" s="3146"/>
      <c r="T83" s="3146"/>
      <c r="U83" s="3146"/>
    </row>
    <row r="84" spans="1:21" s="43" customFormat="1" ht="12.75" customHeight="1">
      <c r="A84" s="3020"/>
      <c r="B84" s="3020"/>
      <c r="C84" s="480" t="s">
        <v>3778</v>
      </c>
      <c r="D84" s="582"/>
      <c r="E84" s="268"/>
      <c r="F84" s="3150"/>
      <c r="G84" s="3151"/>
      <c r="H84" s="4194"/>
      <c r="I84" s="4195"/>
      <c r="J84" s="3150"/>
      <c r="K84" s="3151"/>
      <c r="L84" s="4194"/>
      <c r="M84" s="4195"/>
      <c r="N84" s="455"/>
      <c r="O84" s="455"/>
      <c r="P84" s="455"/>
      <c r="Q84" s="109"/>
      <c r="R84" s="3146"/>
      <c r="S84" s="3146"/>
      <c r="T84" s="3146"/>
      <c r="U84" s="3146"/>
    </row>
    <row r="85" spans="1:21" s="43" customFormat="1" ht="12.75" customHeight="1">
      <c r="A85" s="3020"/>
      <c r="B85" s="3020"/>
      <c r="E85" s="1410" t="s">
        <v>3777</v>
      </c>
      <c r="F85" s="3007"/>
      <c r="G85" s="3008"/>
      <c r="H85" s="4196"/>
      <c r="I85" s="4197"/>
      <c r="J85" s="3154"/>
      <c r="K85" s="3155"/>
      <c r="L85" s="4196"/>
      <c r="M85" s="4197"/>
      <c r="N85" s="455"/>
      <c r="O85" s="2289"/>
      <c r="P85" s="4193"/>
      <c r="Q85" s="109"/>
      <c r="R85" s="3146"/>
      <c r="S85" s="3146"/>
      <c r="T85" s="3146"/>
      <c r="U85" s="3146"/>
    </row>
    <row r="86" spans="1:21" s="43" customFormat="1" ht="9" customHeight="1">
      <c r="A86" s="152"/>
      <c r="B86" s="105"/>
      <c r="D86" s="41"/>
      <c r="H86" s="45"/>
      <c r="I86" s="49"/>
      <c r="J86" s="48"/>
      <c r="K86" s="48"/>
      <c r="M86" s="2373"/>
      <c r="N86" s="455"/>
      <c r="O86" s="3"/>
      <c r="P86" s="3"/>
      <c r="Q86" s="109"/>
      <c r="R86" s="1062"/>
      <c r="S86" s="1062"/>
      <c r="T86" s="1062"/>
      <c r="U86" s="1062"/>
    </row>
    <row r="87" spans="1:21" s="43" customFormat="1" ht="12.6" customHeight="1">
      <c r="A87" s="504" t="s">
        <v>2694</v>
      </c>
      <c r="B87" s="105"/>
      <c r="D87" s="41"/>
      <c r="F87" s="61" t="s">
        <v>3567</v>
      </c>
      <c r="M87" s="2373"/>
      <c r="N87" s="2373"/>
      <c r="O87" s="2373"/>
      <c r="P87" s="2373"/>
      <c r="Q87" s="109"/>
      <c r="R87" s="1062"/>
      <c r="S87" s="1062"/>
      <c r="T87" s="1062"/>
      <c r="U87" s="1062"/>
    </row>
    <row r="88" spans="1:21" s="43" customFormat="1" ht="2.25" customHeight="1">
      <c r="A88" s="504"/>
      <c r="B88" s="105"/>
      <c r="D88" s="41"/>
      <c r="F88" s="61"/>
      <c r="M88" s="2373"/>
      <c r="N88" s="2373"/>
      <c r="O88" s="2373"/>
      <c r="P88" s="2373"/>
      <c r="Q88" s="109"/>
      <c r="R88" s="1062"/>
      <c r="S88" s="1062"/>
      <c r="T88" s="1062"/>
      <c r="U88" s="1062"/>
    </row>
    <row r="89" spans="1:21" s="43" customFormat="1" ht="12.6" customHeight="1">
      <c r="A89" s="143" t="s">
        <v>1936</v>
      </c>
      <c r="B89" s="165" t="s">
        <v>3559</v>
      </c>
      <c r="D89" s="41"/>
      <c r="F89" s="45" t="s">
        <v>3638</v>
      </c>
      <c r="M89" s="2373">
        <v>6</v>
      </c>
      <c r="N89" s="388" t="s">
        <v>1936</v>
      </c>
      <c r="O89" s="976">
        <f>IF($J$75="Flexible",MIN($M89,O90+O91+O92),0)</f>
        <v>0</v>
      </c>
      <c r="P89" s="976">
        <f>IF($J$75="Flexible",MIN($M89,P90+P91+P92),0)</f>
        <v>0</v>
      </c>
      <c r="Q89" s="109"/>
    </row>
    <row r="90" spans="1:21" s="409" customFormat="1" ht="23.25" customHeight="1">
      <c r="B90" s="435" t="s">
        <v>1939</v>
      </c>
      <c r="C90" s="2769" t="s">
        <v>4300</v>
      </c>
      <c r="D90" s="2769"/>
      <c r="E90" s="2769"/>
      <c r="F90" s="2769"/>
      <c r="G90" s="2769"/>
      <c r="H90" s="2769"/>
      <c r="I90" s="3023" t="s">
        <v>3775</v>
      </c>
      <c r="J90" s="3024"/>
      <c r="K90" s="3024"/>
      <c r="L90" s="3025"/>
      <c r="M90" s="500">
        <v>5</v>
      </c>
      <c r="N90" s="469" t="s">
        <v>1939</v>
      </c>
      <c r="O90" s="2290"/>
      <c r="P90" s="4198"/>
      <c r="Q90" s="1477" t="str">
        <f>IF(OR($O90=$M90,$O90=0,$O90=""),"","*CHECK!*")</f>
        <v/>
      </c>
      <c r="R90" s="974" t="s">
        <v>4767</v>
      </c>
    </row>
    <row r="91" spans="1:21" s="409" customFormat="1" ht="12" customHeight="1">
      <c r="A91" s="560" t="s">
        <v>1326</v>
      </c>
      <c r="B91" s="435" t="s">
        <v>1941</v>
      </c>
      <c r="C91" s="389" t="s">
        <v>3708</v>
      </c>
      <c r="D91" s="389"/>
      <c r="E91" s="389"/>
      <c r="F91" s="389"/>
      <c r="G91" s="389"/>
      <c r="H91" s="2397" t="str">
        <f>IF(AND(O91&gt;0,O90&gt;0),"Pick A1 or A2!","")</f>
        <v/>
      </c>
      <c r="I91" s="3026"/>
      <c r="J91" s="3027"/>
      <c r="K91" s="3027"/>
      <c r="L91" s="3028"/>
      <c r="M91" s="72">
        <v>4</v>
      </c>
      <c r="N91" s="430" t="s">
        <v>1941</v>
      </c>
      <c r="O91" s="2286"/>
      <c r="P91" s="4186"/>
      <c r="Q91" s="1477" t="str">
        <f>IF(OR($O91=$M91,$O91=0,$O91=""),"","*CHECK!*")</f>
        <v/>
      </c>
      <c r="R91" s="974" t="s">
        <v>4767</v>
      </c>
    </row>
    <row r="92" spans="1:21" s="409" customFormat="1" ht="12" customHeight="1">
      <c r="B92" s="435" t="s">
        <v>2468</v>
      </c>
      <c r="C92" s="389" t="s">
        <v>3560</v>
      </c>
      <c r="D92" s="389"/>
      <c r="E92" s="389"/>
      <c r="F92" s="389"/>
      <c r="I92" s="3026"/>
      <c r="J92" s="3027"/>
      <c r="K92" s="3027"/>
      <c r="L92" s="3028"/>
      <c r="M92" s="72">
        <v>1</v>
      </c>
      <c r="N92" s="430" t="s">
        <v>2468</v>
      </c>
      <c r="O92" s="2287"/>
      <c r="P92" s="4187"/>
      <c r="Q92" s="1477" t="str">
        <f>IF(OR($O92=$M92,$O92=0,$O92=""),"","*CHECK!*")</f>
        <v/>
      </c>
      <c r="R92" s="974" t="s">
        <v>4767</v>
      </c>
    </row>
    <row r="93" spans="1:21" s="409" customFormat="1" ht="12" customHeight="1">
      <c r="B93" s="435"/>
      <c r="C93" s="821" t="s">
        <v>3776</v>
      </c>
      <c r="D93" s="389"/>
      <c r="E93" s="389"/>
      <c r="F93" s="1434" t="str">
        <f>'Part I-Project Information'!$H$82</f>
        <v>HFOP</v>
      </c>
      <c r="G93" s="821"/>
      <c r="H93" s="1434"/>
      <c r="I93" s="3026"/>
      <c r="J93" s="3027"/>
      <c r="K93" s="3027"/>
      <c r="L93" s="3028"/>
      <c r="M93" s="102"/>
      <c r="N93" s="102"/>
      <c r="O93" s="102"/>
      <c r="P93" s="102"/>
      <c r="Q93" s="978"/>
      <c r="R93" s="1079"/>
    </row>
    <row r="94" spans="1:21" s="409" customFormat="1" ht="12" customHeight="1">
      <c r="B94" s="435"/>
      <c r="C94" s="821"/>
      <c r="D94" s="389"/>
      <c r="E94" s="389"/>
      <c r="F94" s="1434"/>
      <c r="G94" s="821"/>
      <c r="H94" s="1434"/>
      <c r="I94" s="3029"/>
      <c r="J94" s="3030"/>
      <c r="K94" s="3030"/>
      <c r="L94" s="3031"/>
      <c r="M94" s="102"/>
      <c r="N94" s="102"/>
      <c r="O94" s="102"/>
      <c r="P94" s="102"/>
      <c r="Q94" s="978"/>
      <c r="R94" s="1079"/>
    </row>
    <row r="95" spans="1:21" s="409" customFormat="1" ht="12" customHeight="1">
      <c r="A95" s="143" t="s">
        <v>1938</v>
      </c>
      <c r="B95" s="1078" t="s">
        <v>3561</v>
      </c>
      <c r="C95" s="603"/>
      <c r="D95" s="603"/>
      <c r="E95" s="603"/>
      <c r="F95" s="1060" t="s">
        <v>3637</v>
      </c>
      <c r="I95" s="3032" t="s">
        <v>7120</v>
      </c>
      <c r="J95" s="3033"/>
      <c r="K95" s="3033"/>
      <c r="L95" s="3124">
        <v>7062254581</v>
      </c>
      <c r="M95" s="2373">
        <v>3</v>
      </c>
      <c r="N95" s="455" t="s">
        <v>1938</v>
      </c>
      <c r="O95" s="976">
        <f>IF($J$75="Flexible",MIN($M95,O98+O99+O100),0)</f>
        <v>3</v>
      </c>
      <c r="P95" s="976">
        <f>IF($J$75="Flexible",MIN($M95,P98+P99+P100),0)</f>
        <v>0</v>
      </c>
      <c r="Q95" s="501"/>
      <c r="R95" s="387"/>
    </row>
    <row r="96" spans="1:21" s="43" customFormat="1" ht="11.25" customHeight="1">
      <c r="A96" s="152"/>
      <c r="B96" s="385" t="s">
        <v>3589</v>
      </c>
      <c r="C96" s="172" t="s">
        <v>4302</v>
      </c>
      <c r="D96" s="1063"/>
      <c r="E96" s="102"/>
      <c r="F96" s="102"/>
      <c r="G96" s="102"/>
      <c r="H96" s="45"/>
      <c r="I96" s="3034"/>
      <c r="J96" s="3035"/>
      <c r="K96" s="3035"/>
      <c r="L96" s="3125"/>
      <c r="M96" s="102"/>
      <c r="N96" s="385" t="s">
        <v>3589</v>
      </c>
      <c r="O96" s="2266" t="s">
        <v>2886</v>
      </c>
      <c r="P96" s="898"/>
      <c r="Q96" s="109"/>
      <c r="R96" s="387"/>
      <c r="S96" s="409"/>
      <c r="T96" s="409"/>
      <c r="U96" s="409"/>
    </row>
    <row r="97" spans="1:21" s="43" customFormat="1" ht="11.25" customHeight="1">
      <c r="A97" s="152"/>
      <c r="B97" s="385" t="s">
        <v>3590</v>
      </c>
      <c r="C97" s="172" t="s">
        <v>4301</v>
      </c>
      <c r="D97" s="1063"/>
      <c r="E97" s="102"/>
      <c r="F97" s="102"/>
      <c r="G97" s="102"/>
      <c r="H97" s="45"/>
      <c r="I97" s="3039" t="s">
        <v>7119</v>
      </c>
      <c r="J97" s="3040"/>
      <c r="K97" s="3040"/>
      <c r="L97" s="3041"/>
      <c r="M97" s="102"/>
      <c r="N97" s="385" t="s">
        <v>3590</v>
      </c>
      <c r="O97" s="2258" t="s">
        <v>2886</v>
      </c>
      <c r="P97" s="520"/>
      <c r="Q97" s="109"/>
      <c r="R97" s="387"/>
      <c r="S97" s="409"/>
      <c r="T97" s="409"/>
      <c r="U97" s="409"/>
    </row>
    <row r="98" spans="1:21" s="409" customFormat="1" ht="12" customHeight="1">
      <c r="A98" s="138"/>
      <c r="B98" s="1503" t="s">
        <v>1939</v>
      </c>
      <c r="C98" s="2914" t="s">
        <v>3709</v>
      </c>
      <c r="D98" s="2914"/>
      <c r="E98" s="2914"/>
      <c r="F98" s="2914"/>
      <c r="G98" s="2914"/>
      <c r="H98" s="3110"/>
      <c r="I98" s="2967"/>
      <c r="J98" s="2968"/>
      <c r="K98" s="2968"/>
      <c r="L98" s="2969"/>
      <c r="M98" s="72">
        <v>3</v>
      </c>
      <c r="N98" s="430" t="s">
        <v>1939</v>
      </c>
      <c r="O98" s="2286">
        <v>3</v>
      </c>
      <c r="P98" s="4199"/>
      <c r="Q98" s="978" t="str">
        <f>IF(OR($O98=$M98,$O98=0,$O98=""),"","*CHECK!*")</f>
        <v/>
      </c>
      <c r="R98" s="974" t="s">
        <v>4767</v>
      </c>
    </row>
    <row r="99" spans="1:21" s="43" customFormat="1" ht="12" customHeight="1">
      <c r="A99" s="560" t="s">
        <v>1326</v>
      </c>
      <c r="B99" s="1503" t="s">
        <v>1941</v>
      </c>
      <c r="C99" s="2914" t="s">
        <v>3710</v>
      </c>
      <c r="D99" s="2914"/>
      <c r="E99" s="2914"/>
      <c r="F99" s="2914"/>
      <c r="G99" s="2914"/>
      <c r="H99" s="3110"/>
      <c r="I99" s="3039" t="s">
        <v>7118</v>
      </c>
      <c r="J99" s="3040"/>
      <c r="K99" s="3040"/>
      <c r="L99" s="3041"/>
      <c r="M99" s="72">
        <v>2</v>
      </c>
      <c r="N99" s="430" t="s">
        <v>1941</v>
      </c>
      <c r="O99" s="2286"/>
      <c r="P99" s="4186"/>
      <c r="Q99" s="978" t="str">
        <f>IF(OR($O99=$M99,$O99=0,$O99=""),"","*CHECK!*")</f>
        <v/>
      </c>
      <c r="R99" s="974" t="s">
        <v>4767</v>
      </c>
    </row>
    <row r="100" spans="1:21" s="43" customFormat="1" ht="14.25" customHeight="1">
      <c r="A100" s="560" t="s">
        <v>1326</v>
      </c>
      <c r="B100" s="1503" t="s">
        <v>2468</v>
      </c>
      <c r="C100" s="2914" t="s">
        <v>3711</v>
      </c>
      <c r="D100" s="2914"/>
      <c r="E100" s="2914"/>
      <c r="F100" s="2914"/>
      <c r="G100" s="2914"/>
      <c r="H100" s="3110"/>
      <c r="I100" s="2967"/>
      <c r="J100" s="2968"/>
      <c r="K100" s="2968"/>
      <c r="L100" s="2969"/>
      <c r="M100" s="72">
        <v>1</v>
      </c>
      <c r="N100" s="430" t="s">
        <v>2468</v>
      </c>
      <c r="O100" s="2287"/>
      <c r="P100" s="4187"/>
      <c r="Q100" s="978" t="str">
        <f>IF(OR($O100=$M100,$O100=0,$O100=""),"","*CHECK!*")</f>
        <v/>
      </c>
      <c r="R100" s="974" t="s">
        <v>4767</v>
      </c>
    </row>
    <row r="101" spans="1:21" s="43" customFormat="1" ht="14.25" customHeight="1">
      <c r="A101" s="1061"/>
      <c r="B101" s="1421"/>
      <c r="C101" s="2381"/>
      <c r="D101" s="2381"/>
      <c r="E101" s="2381"/>
      <c r="F101" s="3021" t="str">
        <f>IF(OR(AND(O98&gt;0,O99&gt;0,O100&gt;0),AND(O98&gt;0,O99&gt;0),AND(O98&gt;0,O100&gt;0),AND(O99&gt;0,O100&gt;0)),"Choose only one option: B1 or B2 or B3!","")</f>
        <v/>
      </c>
      <c r="G101" s="3021"/>
      <c r="H101" s="3022"/>
      <c r="I101" s="3039" t="s">
        <v>7118</v>
      </c>
      <c r="J101" s="3040"/>
      <c r="K101" s="3040"/>
      <c r="L101" s="3041"/>
      <c r="M101" s="102"/>
      <c r="N101" s="102"/>
      <c r="O101" s="102"/>
      <c r="P101" s="102"/>
      <c r="Q101" s="978"/>
      <c r="R101" s="1079"/>
    </row>
    <row r="102" spans="1:21" s="43" customFormat="1" ht="12.6" customHeight="1">
      <c r="A102" s="504" t="s">
        <v>2696</v>
      </c>
      <c r="B102" s="165"/>
      <c r="E102" s="41"/>
      <c r="I102" s="2964"/>
      <c r="J102" s="2965"/>
      <c r="K102" s="2965"/>
      <c r="L102" s="2966"/>
      <c r="M102" s="72"/>
      <c r="N102" s="72"/>
      <c r="O102" s="72"/>
      <c r="P102" s="72"/>
      <c r="Q102" s="374"/>
      <c r="R102" s="374"/>
    </row>
    <row r="103" spans="1:21" s="102" customFormat="1" ht="12" customHeight="1">
      <c r="A103" s="138"/>
      <c r="B103" s="435" t="s">
        <v>1198</v>
      </c>
      <c r="C103" s="3120" t="s">
        <v>4366</v>
      </c>
      <c r="D103" s="3120"/>
      <c r="E103" s="3120"/>
      <c r="F103" s="3120"/>
      <c r="G103" s="3120"/>
      <c r="H103" s="3120"/>
      <c r="I103" s="165"/>
      <c r="J103" s="165"/>
      <c r="K103" s="165"/>
      <c r="L103" s="165"/>
      <c r="M103" s="72">
        <v>1</v>
      </c>
      <c r="N103" s="430" t="s">
        <v>1198</v>
      </c>
      <c r="O103" s="2291"/>
      <c r="P103" s="4200"/>
      <c r="Q103" s="978" t="str">
        <f>IF(OR($O103=$M103,$O103=0,$O103=""),"","*CHECK!*")</f>
        <v/>
      </c>
      <c r="R103" s="974" t="s">
        <v>4767</v>
      </c>
    </row>
    <row r="104" spans="1:21" s="102" customFormat="1" ht="12" customHeight="1">
      <c r="A104" s="138"/>
      <c r="B104" s="435"/>
      <c r="C104" s="3120"/>
      <c r="D104" s="3120"/>
      <c r="E104" s="3120"/>
      <c r="F104" s="3120"/>
      <c r="G104" s="3120"/>
      <c r="H104" s="3120"/>
      <c r="I104" s="165"/>
      <c r="J104" s="165"/>
      <c r="K104" s="165"/>
      <c r="L104" s="165"/>
      <c r="M104" s="165"/>
      <c r="N104" s="165"/>
      <c r="O104" s="165"/>
      <c r="P104" s="165"/>
      <c r="Q104" s="978"/>
      <c r="R104" s="1079"/>
    </row>
    <row r="105" spans="1:21" s="43" customFormat="1" ht="12.6" customHeight="1">
      <c r="A105" s="36" t="s">
        <v>3779</v>
      </c>
      <c r="B105" s="165"/>
      <c r="E105" s="41"/>
      <c r="K105" s="48"/>
      <c r="M105" s="72"/>
      <c r="N105" s="72"/>
      <c r="O105" s="72"/>
      <c r="P105" s="72"/>
      <c r="Q105" s="374"/>
      <c r="R105" s="374"/>
    </row>
    <row r="106" spans="1:21" s="43" customFormat="1" ht="11.25" customHeight="1" thickBot="1">
      <c r="A106" s="42"/>
      <c r="B106" s="1132" t="s">
        <v>3566</v>
      </c>
      <c r="C106" s="42"/>
      <c r="D106" s="48"/>
      <c r="E106" s="48"/>
      <c r="F106" s="48"/>
      <c r="G106" s="48"/>
      <c r="H106" s="36"/>
      <c r="K106" s="48"/>
      <c r="M106" s="46"/>
      <c r="N106" s="62"/>
      <c r="O106" s="3"/>
      <c r="P106" s="2377"/>
    </row>
    <row r="107" spans="1:21" s="43" customFormat="1" ht="53.25" customHeight="1" thickTop="1" thickBot="1">
      <c r="A107" s="2986" t="s">
        <v>7166</v>
      </c>
      <c r="B107" s="2987"/>
      <c r="C107" s="2987"/>
      <c r="D107" s="2987"/>
      <c r="E107" s="2987"/>
      <c r="F107" s="2987"/>
      <c r="G107" s="2987"/>
      <c r="H107" s="2987"/>
      <c r="I107" s="2987"/>
      <c r="J107" s="2987"/>
      <c r="K107" s="2987"/>
      <c r="L107" s="2987"/>
      <c r="M107" s="2987"/>
      <c r="N107" s="2987"/>
      <c r="O107" s="2987"/>
      <c r="P107" s="2988"/>
      <c r="Q107" s="1027" t="s">
        <v>1228</v>
      </c>
      <c r="R107" s="441"/>
    </row>
    <row r="108" spans="1:21" s="102" customFormat="1" ht="11.4" customHeight="1" thickTop="1">
      <c r="A108" s="42"/>
      <c r="B108" s="97" t="s">
        <v>1820</v>
      </c>
      <c r="C108" s="42"/>
      <c r="D108" s="97"/>
      <c r="E108" s="2392"/>
      <c r="F108" s="2392"/>
      <c r="G108" s="2392"/>
      <c r="H108" s="2392"/>
      <c r="I108" s="2392"/>
      <c r="J108" s="2392"/>
      <c r="K108" s="2392"/>
      <c r="L108" s="2392"/>
      <c r="M108" s="2392"/>
      <c r="N108" s="93"/>
      <c r="O108" s="836"/>
      <c r="P108" s="2373"/>
      <c r="Q108" s="422"/>
    </row>
    <row r="109" spans="1:21" s="43" customFormat="1" ht="11.25" customHeight="1">
      <c r="A109" s="2848"/>
      <c r="B109" s="2849"/>
      <c r="C109" s="2849"/>
      <c r="D109" s="2849"/>
      <c r="E109" s="2849"/>
      <c r="F109" s="2849"/>
      <c r="G109" s="2849"/>
      <c r="H109" s="2849"/>
      <c r="I109" s="2849"/>
      <c r="J109" s="2849"/>
      <c r="K109" s="2849"/>
      <c r="L109" s="2849"/>
      <c r="M109" s="2849"/>
      <c r="N109" s="2849"/>
      <c r="O109" s="2849"/>
      <c r="P109" s="2850"/>
      <c r="Q109" s="440"/>
    </row>
    <row r="110" spans="1:21" ht="3" customHeight="1">
      <c r="B110" s="116"/>
      <c r="C110" s="116"/>
      <c r="D110" s="116"/>
      <c r="E110" s="116"/>
      <c r="R110" s="43"/>
    </row>
    <row r="111" spans="1:21" s="43" customFormat="1" ht="3" customHeight="1" thickBot="1">
      <c r="A111" s="42"/>
      <c r="D111" s="39"/>
      <c r="E111" s="36"/>
      <c r="F111" s="846"/>
      <c r="G111" s="846"/>
      <c r="H111" s="846"/>
      <c r="I111" s="846"/>
      <c r="J111" s="856"/>
      <c r="K111" s="856"/>
      <c r="L111" s="856"/>
      <c r="M111" s="60"/>
      <c r="N111" s="846"/>
      <c r="O111" s="2377"/>
      <c r="P111" s="3"/>
    </row>
    <row r="112" spans="1:21" s="43" customFormat="1" ht="12.75" customHeight="1" thickBot="1">
      <c r="A112" s="152" t="s">
        <v>1750</v>
      </c>
      <c r="B112" s="106" t="s">
        <v>3726</v>
      </c>
      <c r="D112" s="39"/>
      <c r="E112" s="36"/>
      <c r="F112" s="846"/>
      <c r="G112" s="846"/>
      <c r="H112" s="846"/>
      <c r="I112" s="61" t="s">
        <v>3567</v>
      </c>
      <c r="J112" s="856"/>
      <c r="K112" s="856"/>
      <c r="L112" s="856"/>
      <c r="M112" s="2373">
        <v>4</v>
      </c>
      <c r="N112" s="846"/>
      <c r="O112" s="1041">
        <f>IF(AND(O114&gt;0,O119&gt;0),"AorB?",MIN($M$112,O114+O119+O131))</f>
        <v>4</v>
      </c>
      <c r="P112" s="1041">
        <f>IF(AND(P114&gt;0,P119&gt;0),"AorB?",MIN($M$112,P114+P119+P131))</f>
        <v>0</v>
      </c>
      <c r="Q112" s="109" t="s">
        <v>433</v>
      </c>
    </row>
    <row r="113" spans="1:20" s="43" customFormat="1" ht="1.5" customHeight="1" thickBot="1">
      <c r="A113" s="42"/>
      <c r="D113" s="39"/>
      <c r="E113" s="36"/>
      <c r="F113" s="846"/>
      <c r="G113" s="846"/>
      <c r="H113" s="846"/>
      <c r="I113" s="846"/>
      <c r="J113" s="856"/>
      <c r="K113" s="856"/>
      <c r="L113" s="856"/>
      <c r="M113" s="60"/>
      <c r="N113" s="846"/>
      <c r="O113" s="2377"/>
      <c r="P113" s="3"/>
    </row>
    <row r="114" spans="1:20" s="102" customFormat="1" ht="12.75" customHeight="1" thickBot="1">
      <c r="A114" s="178" t="s">
        <v>1936</v>
      </c>
      <c r="B114" s="833" t="s">
        <v>3727</v>
      </c>
      <c r="C114" s="92"/>
      <c r="D114" s="1038"/>
      <c r="E114" s="52" t="s">
        <v>3782</v>
      </c>
      <c r="G114" s="113"/>
      <c r="I114" s="455" t="s">
        <v>3776</v>
      </c>
      <c r="J114" s="1105" t="str">
        <f>'Part I-Project Information'!$H$82</f>
        <v>HFOP</v>
      </c>
      <c r="K114" s="1063"/>
      <c r="L114" s="374" t="str">
        <f>IF(OR($O114=$M114,$O114=0,$O114=""),"","* * Check Score! * *")</f>
        <v/>
      </c>
      <c r="M114" s="72">
        <v>3</v>
      </c>
      <c r="N114" s="455" t="s">
        <v>1936</v>
      </c>
      <c r="O114" s="2292"/>
      <c r="P114" s="4201"/>
      <c r="Q114" s="1477" t="str">
        <f>IF(OR($O114=$M114,$O114=0,$O114=""),"","*CHECK!*")</f>
        <v/>
      </c>
      <c r="R114" s="974" t="s">
        <v>4767</v>
      </c>
    </row>
    <row r="115" spans="1:20" s="43" customFormat="1" ht="11.25" customHeight="1">
      <c r="A115" s="42"/>
      <c r="B115" s="55" t="s">
        <v>4592</v>
      </c>
      <c r="D115" s="39"/>
      <c r="E115" s="36"/>
      <c r="F115" s="846"/>
      <c r="G115" s="846"/>
      <c r="H115" s="846"/>
      <c r="I115" s="846"/>
      <c r="J115" s="856"/>
      <c r="K115" s="856"/>
      <c r="L115" s="856"/>
      <c r="M115" s="60"/>
      <c r="N115" s="846"/>
      <c r="O115" s="2293"/>
      <c r="P115" s="4202"/>
    </row>
    <row r="116" spans="1:20" s="36" customFormat="1" ht="21.6" customHeight="1">
      <c r="A116" s="63"/>
      <c r="B116" s="2769" t="s">
        <v>4728</v>
      </c>
      <c r="C116" s="2769"/>
      <c r="D116" s="3014" t="s">
        <v>238</v>
      </c>
      <c r="E116" s="3014"/>
      <c r="F116" s="3014"/>
      <c r="G116" s="3014"/>
      <c r="H116" s="3014"/>
      <c r="I116" s="3014"/>
      <c r="J116" s="3014"/>
      <c r="K116" s="3014"/>
      <c r="L116" s="3014"/>
      <c r="M116" s="3014"/>
      <c r="N116" s="3014"/>
      <c r="O116" s="3014"/>
      <c r="P116" s="3014"/>
      <c r="Q116" s="1023"/>
      <c r="R116" s="1023"/>
      <c r="S116" s="1023"/>
      <c r="T116" s="1023"/>
    </row>
    <row r="117" spans="1:20" s="102" customFormat="1" ht="21.6" customHeight="1">
      <c r="A117" s="178"/>
      <c r="B117" s="2696" t="s">
        <v>4306</v>
      </c>
      <c r="C117" s="2696"/>
      <c r="D117" s="2696"/>
      <c r="E117" s="3015"/>
      <c r="F117" s="3015"/>
      <c r="G117" s="3015"/>
      <c r="H117" s="3015"/>
      <c r="I117" s="3015"/>
      <c r="J117" s="3015"/>
      <c r="K117" s="3015"/>
      <c r="L117" s="3015"/>
      <c r="M117" s="3015"/>
      <c r="N117" s="3015"/>
      <c r="O117" s="3015"/>
      <c r="P117" s="3015"/>
      <c r="Q117" s="1023"/>
      <c r="R117" s="1023"/>
      <c r="S117" s="1023"/>
      <c r="T117" s="1023"/>
    </row>
    <row r="118" spans="1:20" s="43" customFormat="1" ht="2.25" customHeight="1" thickBot="1">
      <c r="A118" s="42"/>
      <c r="D118" s="39"/>
      <c r="E118" s="36"/>
      <c r="F118" s="846"/>
      <c r="G118" s="846"/>
      <c r="H118" s="846"/>
      <c r="I118" s="846"/>
      <c r="J118" s="856"/>
      <c r="K118" s="856"/>
      <c r="L118" s="856"/>
      <c r="M118" s="60"/>
      <c r="N118" s="846"/>
      <c r="O118" s="2377"/>
      <c r="P118" s="3"/>
    </row>
    <row r="119" spans="1:20" s="102" customFormat="1" ht="12.75" customHeight="1" thickBot="1">
      <c r="A119" s="178" t="s">
        <v>1938</v>
      </c>
      <c r="B119" s="165" t="s">
        <v>3729</v>
      </c>
      <c r="D119" s="92"/>
      <c r="I119" s="92"/>
      <c r="J119" s="92"/>
      <c r="L119" s="374" t="str">
        <f>IF(OR($O119=$M119,$O119=0,$O119=""),"","* * Check Score! * *")</f>
        <v/>
      </c>
      <c r="M119" s="995">
        <v>3</v>
      </c>
      <c r="N119" s="455" t="s">
        <v>1938</v>
      </c>
      <c r="O119" s="2292">
        <v>3</v>
      </c>
      <c r="P119" s="4201"/>
      <c r="Q119" s="1477" t="str">
        <f>IF(OR($O119=$M119,$O119=0,$O119=""),"","*CHECK!*")</f>
        <v/>
      </c>
      <c r="R119" s="974" t="s">
        <v>4767</v>
      </c>
      <c r="S119" s="1023"/>
      <c r="T119" s="1023"/>
    </row>
    <row r="120" spans="1:20" s="102" customFormat="1" ht="10.5" customHeight="1">
      <c r="A120" s="178"/>
      <c r="B120" s="52" t="s">
        <v>4503</v>
      </c>
      <c r="D120" s="92"/>
      <c r="E120" s="52"/>
      <c r="F120" s="52"/>
      <c r="G120" s="52"/>
      <c r="H120" s="92"/>
      <c r="I120" s="92"/>
      <c r="J120" s="92"/>
      <c r="K120" s="92"/>
      <c r="L120" s="92"/>
      <c r="M120" s="995"/>
      <c r="N120" s="995"/>
      <c r="O120" s="2390" t="s">
        <v>2886</v>
      </c>
      <c r="P120" s="2379"/>
      <c r="Q120" s="1023"/>
      <c r="R120" s="1023"/>
      <c r="S120" s="1023"/>
      <c r="T120" s="1023"/>
    </row>
    <row r="121" spans="1:20" s="409" customFormat="1" ht="21" customHeight="1">
      <c r="A121" s="1780"/>
      <c r="B121" s="1421" t="s">
        <v>1939</v>
      </c>
      <c r="C121" s="136" t="s">
        <v>4612</v>
      </c>
      <c r="D121" s="3016" t="s">
        <v>4306</v>
      </c>
      <c r="E121" s="3016"/>
      <c r="F121" s="3016"/>
      <c r="G121" s="3014" t="s">
        <v>7121</v>
      </c>
      <c r="H121" s="3014"/>
      <c r="I121" s="3014"/>
      <c r="J121" s="3014"/>
      <c r="K121" s="3014"/>
      <c r="L121" s="3014"/>
      <c r="M121" s="3014"/>
      <c r="N121" s="3014"/>
      <c r="O121" s="3014"/>
      <c r="P121" s="3014"/>
      <c r="Q121" s="1729"/>
      <c r="R121" s="1729"/>
      <c r="S121" s="1729"/>
      <c r="T121" s="1729"/>
    </row>
    <row r="122" spans="1:20" s="102" customFormat="1" ht="10.5" customHeight="1">
      <c r="A122" s="178"/>
      <c r="B122" s="52"/>
      <c r="C122" s="36" t="s">
        <v>4616</v>
      </c>
      <c r="D122" s="92"/>
      <c r="E122" s="52"/>
      <c r="F122" s="52"/>
      <c r="G122" s="52"/>
      <c r="H122" s="92"/>
      <c r="I122" s="92"/>
      <c r="J122" s="92"/>
      <c r="K122" s="92"/>
      <c r="L122" s="92"/>
      <c r="M122" s="426"/>
      <c r="N122" s="986" t="s">
        <v>4808</v>
      </c>
      <c r="O122" s="2266" t="s">
        <v>2886</v>
      </c>
      <c r="P122" s="898"/>
      <c r="Q122" s="1023"/>
      <c r="R122" s="1023"/>
      <c r="S122" s="1023"/>
      <c r="T122" s="1023"/>
    </row>
    <row r="123" spans="1:20" s="36" customFormat="1" ht="10.5" customHeight="1">
      <c r="A123" s="63"/>
      <c r="B123" s="372"/>
      <c r="C123" s="36" t="s">
        <v>4617</v>
      </c>
      <c r="D123" s="52"/>
      <c r="E123" s="52"/>
      <c r="F123" s="52"/>
      <c r="G123" s="52"/>
      <c r="H123" s="52"/>
      <c r="I123" s="52"/>
      <c r="J123" s="52"/>
      <c r="K123" s="52"/>
      <c r="L123" s="52"/>
      <c r="M123" s="2384"/>
      <c r="N123" s="385" t="s">
        <v>2373</v>
      </c>
      <c r="O123" s="2257" t="s">
        <v>2886</v>
      </c>
      <c r="P123" s="519"/>
      <c r="Q123" s="1023"/>
      <c r="R123" s="1023"/>
      <c r="S123" s="1023"/>
      <c r="T123" s="1023"/>
    </row>
    <row r="124" spans="1:20" s="55" customFormat="1" ht="10.5" customHeight="1">
      <c r="A124" s="63"/>
      <c r="C124" s="55" t="s">
        <v>3804</v>
      </c>
      <c r="D124" s="412"/>
      <c r="E124" s="52"/>
      <c r="F124" s="52"/>
      <c r="G124" s="52"/>
      <c r="H124" s="412"/>
      <c r="J124" s="412"/>
      <c r="L124" s="2742" t="s">
        <v>3616</v>
      </c>
      <c r="M124" s="2742"/>
      <c r="N124" s="2742"/>
      <c r="O124" s="3042" t="s">
        <v>3615</v>
      </c>
      <c r="P124" s="3042"/>
      <c r="Q124" s="52"/>
    </row>
    <row r="125" spans="1:20" s="55" customFormat="1" ht="10.95" customHeight="1">
      <c r="A125" s="63"/>
      <c r="B125" s="373"/>
      <c r="C125" s="3009" t="s">
        <v>7122</v>
      </c>
      <c r="D125" s="3010"/>
      <c r="E125" s="3010"/>
      <c r="F125" s="3010"/>
      <c r="G125" s="3010"/>
      <c r="H125" s="3010"/>
      <c r="I125" s="3010"/>
      <c r="J125" s="3010"/>
      <c r="K125" s="3011"/>
      <c r="L125" s="3148" t="s">
        <v>7124</v>
      </c>
      <c r="M125" s="3148"/>
      <c r="N125" s="3148"/>
      <c r="O125" s="3149">
        <v>0</v>
      </c>
      <c r="P125" s="3149"/>
      <c r="Q125" s="1055" t="str">
        <f>IF(O125&gt;15, "Too much!","")</f>
        <v/>
      </c>
    </row>
    <row r="126" spans="1:20" s="55" customFormat="1" ht="10.95" customHeight="1">
      <c r="A126" s="63"/>
      <c r="B126" s="386"/>
      <c r="C126" s="2967" t="s">
        <v>7123</v>
      </c>
      <c r="D126" s="2968"/>
      <c r="E126" s="2968"/>
      <c r="F126" s="2968"/>
      <c r="G126" s="2968"/>
      <c r="H126" s="2968"/>
      <c r="I126" s="2968"/>
      <c r="J126" s="2968"/>
      <c r="K126" s="2969"/>
      <c r="L126" s="3012" t="s">
        <v>7124</v>
      </c>
      <c r="M126" s="3012"/>
      <c r="N126" s="3012"/>
      <c r="O126" s="3017">
        <v>0</v>
      </c>
      <c r="P126" s="3017"/>
      <c r="Q126" s="1055" t="str">
        <f>IF(O126&gt;15, "Too much!","")</f>
        <v/>
      </c>
    </row>
    <row r="127" spans="1:20" s="55" customFormat="1" ht="10.95" customHeight="1">
      <c r="A127" s="63"/>
      <c r="B127" s="373"/>
      <c r="C127" s="2967"/>
      <c r="D127" s="2968"/>
      <c r="E127" s="2968"/>
      <c r="F127" s="2968"/>
      <c r="G127" s="2968"/>
      <c r="H127" s="2968"/>
      <c r="I127" s="2968"/>
      <c r="J127" s="2968"/>
      <c r="K127" s="2969"/>
      <c r="L127" s="3012" t="s">
        <v>3521</v>
      </c>
      <c r="M127" s="3012"/>
      <c r="N127" s="3012"/>
      <c r="O127" s="3017"/>
      <c r="P127" s="3017"/>
      <c r="Q127" s="1055" t="str">
        <f>IF(O127&gt;15, "Too much!","")</f>
        <v/>
      </c>
    </row>
    <row r="128" spans="1:20" s="55" customFormat="1" ht="10.95" customHeight="1">
      <c r="A128" s="63"/>
      <c r="B128" s="385"/>
      <c r="C128" s="2964"/>
      <c r="D128" s="2965"/>
      <c r="E128" s="2965"/>
      <c r="F128" s="2965"/>
      <c r="G128" s="2965"/>
      <c r="H128" s="2965"/>
      <c r="I128" s="2965"/>
      <c r="J128" s="2965"/>
      <c r="K128" s="2966"/>
      <c r="L128" s="3013" t="s">
        <v>3521</v>
      </c>
      <c r="M128" s="3013"/>
      <c r="N128" s="3013"/>
      <c r="O128" s="3147"/>
      <c r="P128" s="3147"/>
      <c r="Q128" s="1055" t="str">
        <f>IF(O128&gt;15, "Too much!","")</f>
        <v/>
      </c>
    </row>
    <row r="129" spans="1:21" s="102" customFormat="1" ht="10.5" customHeight="1">
      <c r="B129" s="1503" t="s">
        <v>1941</v>
      </c>
      <c r="C129" s="66" t="s">
        <v>4613</v>
      </c>
      <c r="D129" s="36" t="s">
        <v>4618</v>
      </c>
      <c r="E129" s="52"/>
      <c r="F129" s="52"/>
      <c r="G129" s="52"/>
      <c r="H129" s="92"/>
      <c r="I129" s="92"/>
      <c r="J129" s="92"/>
      <c r="K129" s="92"/>
      <c r="L129" s="92"/>
      <c r="M129" s="92"/>
      <c r="N129" s="986" t="s">
        <v>4809</v>
      </c>
      <c r="O129" s="2256" t="s">
        <v>2886</v>
      </c>
      <c r="P129" s="518"/>
      <c r="Q129" s="483"/>
      <c r="R129" s="55"/>
      <c r="S129" s="55"/>
      <c r="T129" s="55"/>
      <c r="U129" s="55"/>
    </row>
    <row r="130" spans="1:21" s="102" customFormat="1" ht="10.5" customHeight="1" thickBot="1">
      <c r="A130" s="178"/>
      <c r="B130" s="52"/>
      <c r="D130" s="36" t="s">
        <v>4619</v>
      </c>
      <c r="E130" s="52"/>
      <c r="F130" s="52"/>
      <c r="G130" s="52"/>
      <c r="H130" s="92"/>
      <c r="I130" s="92"/>
      <c r="J130" s="92"/>
      <c r="K130" s="92"/>
      <c r="L130" s="92"/>
      <c r="M130" s="426"/>
      <c r="N130" s="385" t="s">
        <v>2373</v>
      </c>
      <c r="O130" s="2258" t="s">
        <v>2886</v>
      </c>
      <c r="P130" s="520"/>
      <c r="Q130" s="483"/>
      <c r="R130" s="55"/>
      <c r="S130" s="55"/>
      <c r="T130" s="55"/>
      <c r="U130" s="55"/>
    </row>
    <row r="131" spans="1:21" s="102" customFormat="1" ht="12.75" customHeight="1" thickBot="1">
      <c r="A131" s="178" t="s">
        <v>731</v>
      </c>
      <c r="B131" s="833" t="s">
        <v>3617</v>
      </c>
      <c r="D131" s="52"/>
      <c r="F131" s="52"/>
      <c r="G131" s="52"/>
      <c r="H131" s="52"/>
      <c r="I131" s="52"/>
      <c r="J131" s="52"/>
      <c r="K131" s="52"/>
      <c r="L131" s="374" t="str">
        <f>IF(OR($O131=$M131,$O131=0,$O131=""),"","* * Check Score! * *")</f>
        <v/>
      </c>
      <c r="M131" s="995">
        <v>1</v>
      </c>
      <c r="N131" s="1037" t="s">
        <v>731</v>
      </c>
      <c r="O131" s="2292">
        <v>1</v>
      </c>
      <c r="P131" s="4201"/>
      <c r="Q131" s="1477" t="str">
        <f>IF(OR($O131=$M131,$O131=0,$O131=""),"","*CHECK!*")</f>
        <v/>
      </c>
      <c r="R131" s="974" t="s">
        <v>4767</v>
      </c>
      <c r="S131" s="1023"/>
      <c r="T131" s="1023"/>
      <c r="U131" s="1023"/>
    </row>
    <row r="132" spans="1:21" s="36" customFormat="1" ht="10.5" customHeight="1">
      <c r="A132" s="63"/>
      <c r="C132" s="52" t="s">
        <v>4807</v>
      </c>
      <c r="D132" s="1135"/>
      <c r="E132" s="1135"/>
      <c r="F132" s="1135"/>
      <c r="G132" s="1135"/>
      <c r="H132" s="1135"/>
      <c r="I132" s="1135"/>
      <c r="J132" s="1135"/>
      <c r="K132" s="1135"/>
      <c r="L132" s="1135"/>
      <c r="M132" s="2384"/>
      <c r="N132" s="52"/>
      <c r="O132" s="2390" t="s">
        <v>7084</v>
      </c>
      <c r="P132" s="2379"/>
      <c r="Q132" s="52"/>
      <c r="R132" s="1023"/>
      <c r="S132" s="1023"/>
      <c r="T132" s="1023"/>
      <c r="U132" s="1023"/>
    </row>
    <row r="133" spans="1:21" s="36" customFormat="1" ht="10.5" customHeight="1">
      <c r="A133" s="63"/>
      <c r="B133" s="1503" t="s">
        <v>1939</v>
      </c>
      <c r="C133" s="2696" t="s">
        <v>4614</v>
      </c>
      <c r="D133" s="2696"/>
      <c r="E133" s="2696"/>
      <c r="F133" s="1135"/>
      <c r="G133" s="856" t="s">
        <v>4813</v>
      </c>
      <c r="I133" s="1135"/>
      <c r="J133" s="1135"/>
      <c r="K133" s="1135"/>
      <c r="L133" s="1135"/>
      <c r="M133" s="64"/>
      <c r="N133" s="986" t="s">
        <v>4808</v>
      </c>
      <c r="O133" s="2266" t="s">
        <v>2886</v>
      </c>
      <c r="P133" s="898"/>
      <c r="Q133" s="52"/>
      <c r="R133" s="1023"/>
      <c r="S133" s="1023"/>
      <c r="T133" s="1023"/>
      <c r="U133" s="1023"/>
    </row>
    <row r="134" spans="1:21" s="36" customFormat="1" ht="10.5" customHeight="1">
      <c r="A134" s="63"/>
      <c r="B134" s="372"/>
      <c r="C134" s="2696"/>
      <c r="D134" s="2696"/>
      <c r="E134" s="2696"/>
      <c r="F134" s="1135"/>
      <c r="G134" s="856" t="s">
        <v>4810</v>
      </c>
      <c r="I134" s="1135"/>
      <c r="J134" s="1135"/>
      <c r="K134" s="1135"/>
      <c r="L134" s="1135"/>
      <c r="M134" s="2384"/>
      <c r="N134" s="385" t="s">
        <v>2373</v>
      </c>
      <c r="O134" s="2257" t="s">
        <v>2886</v>
      </c>
      <c r="P134" s="519"/>
      <c r="Q134" s="52"/>
      <c r="R134" s="1023"/>
      <c r="S134" s="1023"/>
      <c r="T134" s="1023"/>
      <c r="U134" s="1023"/>
    </row>
    <row r="135" spans="1:21" s="36" customFormat="1" ht="10.5" customHeight="1">
      <c r="A135" s="64"/>
      <c r="B135" s="372"/>
      <c r="C135" s="2696"/>
      <c r="D135" s="2696"/>
      <c r="E135" s="2696"/>
      <c r="F135" s="1135"/>
      <c r="G135" s="856" t="s">
        <v>4811</v>
      </c>
      <c r="I135" s="1135"/>
      <c r="J135" s="1135"/>
      <c r="K135" s="1135"/>
      <c r="L135" s="1135"/>
      <c r="M135" s="2384"/>
      <c r="N135" s="385" t="s">
        <v>2374</v>
      </c>
      <c r="O135" s="2257" t="s">
        <v>2886</v>
      </c>
      <c r="P135" s="519"/>
      <c r="Q135" s="52"/>
      <c r="R135" s="1023"/>
      <c r="S135" s="1023"/>
      <c r="T135" s="1023"/>
      <c r="U135" s="1023"/>
    </row>
    <row r="136" spans="1:21" s="36" customFormat="1" ht="10.5" customHeight="1">
      <c r="A136" s="63"/>
      <c r="B136" s="372"/>
      <c r="D136" s="1135"/>
      <c r="E136" s="1135"/>
      <c r="F136" s="1135"/>
      <c r="G136" s="856" t="s">
        <v>4812</v>
      </c>
      <c r="I136" s="1135"/>
      <c r="J136" s="1135"/>
      <c r="K136" s="1135"/>
      <c r="L136" s="1135"/>
      <c r="M136" s="2384"/>
      <c r="N136" s="385" t="s">
        <v>2375</v>
      </c>
      <c r="O136" s="2257" t="s">
        <v>2886</v>
      </c>
      <c r="P136" s="519"/>
      <c r="Q136" s="52"/>
      <c r="R136" s="1023"/>
      <c r="S136" s="1023"/>
      <c r="T136" s="1023"/>
      <c r="U136" s="1023"/>
    </row>
    <row r="137" spans="1:21" s="36" customFormat="1" ht="10.5" customHeight="1">
      <c r="A137" s="63"/>
      <c r="B137" s="372"/>
      <c r="D137" s="1135"/>
      <c r="E137" s="1135"/>
      <c r="F137" s="1135"/>
      <c r="G137" s="856" t="s">
        <v>4814</v>
      </c>
      <c r="I137" s="1135"/>
      <c r="J137" s="1135"/>
      <c r="K137" s="1135"/>
      <c r="L137" s="1135"/>
      <c r="M137" s="2384"/>
      <c r="N137" s="385" t="s">
        <v>2376</v>
      </c>
      <c r="O137" s="2258" t="s">
        <v>2886</v>
      </c>
      <c r="P137" s="520"/>
      <c r="Q137" s="52"/>
    </row>
    <row r="138" spans="1:21" s="36" customFormat="1" ht="10.5" customHeight="1">
      <c r="A138" s="63"/>
      <c r="C138" s="52" t="s">
        <v>4815</v>
      </c>
      <c r="D138" s="1135"/>
      <c r="E138" s="1135"/>
      <c r="F138" s="1135"/>
      <c r="G138" s="1135"/>
      <c r="H138" s="1135"/>
      <c r="I138" s="1135"/>
      <c r="J138" s="1135"/>
      <c r="K138" s="1135"/>
      <c r="L138" s="1135"/>
      <c r="M138" s="2384"/>
      <c r="N138" s="52"/>
      <c r="O138" s="2390" t="s">
        <v>7084</v>
      </c>
      <c r="P138" s="2379"/>
      <c r="Q138" s="52"/>
      <c r="R138" s="1023"/>
      <c r="S138" s="1023"/>
      <c r="T138" s="1023"/>
      <c r="U138" s="1023"/>
    </row>
    <row r="139" spans="1:21" s="36" customFormat="1" ht="10.5" customHeight="1">
      <c r="A139" s="63"/>
      <c r="B139" s="1503" t="s">
        <v>1941</v>
      </c>
      <c r="C139" s="856" t="s">
        <v>4615</v>
      </c>
      <c r="D139" s="1135"/>
      <c r="E139" s="1135"/>
      <c r="F139" s="1135"/>
      <c r="G139" s="1135"/>
      <c r="H139" s="1135"/>
      <c r="I139" s="1135"/>
      <c r="J139" s="1135"/>
      <c r="K139" s="1135"/>
      <c r="L139" s="1135"/>
      <c r="M139" s="64"/>
      <c r="N139" s="1037" t="s">
        <v>1941</v>
      </c>
      <c r="O139" s="2259" t="s">
        <v>2886</v>
      </c>
      <c r="P139" s="517"/>
      <c r="Q139" s="52"/>
    </row>
    <row r="140" spans="1:21" s="55" customFormat="1" ht="10.5" customHeight="1">
      <c r="A140" s="63"/>
      <c r="B140" s="435"/>
      <c r="C140" s="55" t="s">
        <v>3624</v>
      </c>
      <c r="D140" s="412"/>
      <c r="E140" s="52"/>
      <c r="F140" s="52"/>
      <c r="G140" s="55" t="s">
        <v>3806</v>
      </c>
      <c r="H140" s="412"/>
      <c r="M140" s="58"/>
      <c r="N140" s="58"/>
      <c r="O140" s="58"/>
      <c r="P140" s="58"/>
      <c r="Q140" s="52"/>
    </row>
    <row r="141" spans="1:21" s="55" customFormat="1" ht="33.75" customHeight="1">
      <c r="B141" s="373"/>
      <c r="C141" s="3009" t="s">
        <v>7128</v>
      </c>
      <c r="D141" s="3010"/>
      <c r="E141" s="3010"/>
      <c r="F141" s="3011"/>
      <c r="G141" s="3036" t="s">
        <v>7125</v>
      </c>
      <c r="H141" s="3037"/>
      <c r="I141" s="3037"/>
      <c r="J141" s="3037"/>
      <c r="K141" s="3037"/>
      <c r="L141" s="3037"/>
      <c r="M141" s="3037"/>
      <c r="N141" s="3037"/>
      <c r="O141" s="3037"/>
      <c r="P141" s="3038"/>
      <c r="Q141" s="52"/>
    </row>
    <row r="142" spans="1:21" s="55" customFormat="1" ht="30.75" customHeight="1">
      <c r="A142" s="63"/>
      <c r="B142" s="386"/>
      <c r="C142" s="2967" t="s">
        <v>7129</v>
      </c>
      <c r="D142" s="2968"/>
      <c r="E142" s="2968"/>
      <c r="F142" s="2969"/>
      <c r="G142" s="2967" t="s">
        <v>7126</v>
      </c>
      <c r="H142" s="2968"/>
      <c r="I142" s="2968"/>
      <c r="J142" s="2968"/>
      <c r="K142" s="2968"/>
      <c r="L142" s="2968"/>
      <c r="M142" s="2968"/>
      <c r="N142" s="2968"/>
      <c r="O142" s="2968"/>
      <c r="P142" s="2969"/>
      <c r="Q142" s="52"/>
    </row>
    <row r="143" spans="1:21" s="55" customFormat="1" ht="28.5" customHeight="1">
      <c r="B143" s="1604"/>
      <c r="C143" s="2967" t="s">
        <v>7130</v>
      </c>
      <c r="D143" s="2968"/>
      <c r="E143" s="2968"/>
      <c r="F143" s="2969"/>
      <c r="G143" s="2967" t="s">
        <v>7127</v>
      </c>
      <c r="H143" s="2968"/>
      <c r="I143" s="2968"/>
      <c r="J143" s="2968"/>
      <c r="K143" s="2968"/>
      <c r="L143" s="2968"/>
      <c r="M143" s="2968"/>
      <c r="N143" s="2968"/>
      <c r="O143" s="2968"/>
      <c r="P143" s="2969"/>
      <c r="Q143" s="52"/>
    </row>
    <row r="144" spans="1:21" s="55" customFormat="1" ht="21" customHeight="1">
      <c r="A144" s="1604"/>
      <c r="B144" s="1604"/>
      <c r="C144" s="2964"/>
      <c r="D144" s="2965"/>
      <c r="E144" s="2965"/>
      <c r="F144" s="2966"/>
      <c r="G144" s="2964"/>
      <c r="H144" s="2965"/>
      <c r="I144" s="2965"/>
      <c r="J144" s="2965"/>
      <c r="K144" s="2965"/>
      <c r="L144" s="2965"/>
      <c r="M144" s="2965"/>
      <c r="N144" s="2965"/>
      <c r="O144" s="2965"/>
      <c r="P144" s="2966"/>
      <c r="Q144" s="52"/>
    </row>
    <row r="145" spans="1:27" s="43" customFormat="1" ht="11.25" customHeight="1" thickBot="1">
      <c r="A145" s="42"/>
      <c r="B145" s="1132" t="s">
        <v>3566</v>
      </c>
      <c r="C145" s="42"/>
      <c r="D145" s="48"/>
      <c r="E145" s="48"/>
      <c r="F145" s="48"/>
      <c r="G145" s="48"/>
      <c r="H145" s="36"/>
      <c r="K145" s="48"/>
      <c r="M145" s="46"/>
      <c r="N145" s="62"/>
      <c r="O145" s="3"/>
      <c r="P145" s="2377"/>
    </row>
    <row r="146" spans="1:27" s="43" customFormat="1" ht="153" customHeight="1" thickTop="1" thickBot="1">
      <c r="A146" s="2986" t="s">
        <v>7131</v>
      </c>
      <c r="B146" s="2987"/>
      <c r="C146" s="2987"/>
      <c r="D146" s="2987"/>
      <c r="E146" s="2987"/>
      <c r="F146" s="2987"/>
      <c r="G146" s="2987"/>
      <c r="H146" s="2987"/>
      <c r="I146" s="2987"/>
      <c r="J146" s="2987"/>
      <c r="K146" s="2987"/>
      <c r="L146" s="2987"/>
      <c r="M146" s="2987"/>
      <c r="N146" s="2987"/>
      <c r="O146" s="2987"/>
      <c r="P146" s="2988"/>
      <c r="Q146" s="1027" t="s">
        <v>1228</v>
      </c>
      <c r="R146" s="441"/>
    </row>
    <row r="147" spans="1:27" s="43" customFormat="1" ht="10.199999999999999" customHeight="1" thickTop="1">
      <c r="B147" s="1605" t="s">
        <v>3819</v>
      </c>
      <c r="C147" s="98"/>
      <c r="D147" s="85"/>
      <c r="E147" s="99"/>
      <c r="F147" s="2380"/>
      <c r="G147" s="2380"/>
      <c r="H147" s="2380"/>
      <c r="I147" s="2380"/>
      <c r="J147" s="2380"/>
      <c r="K147" s="2380"/>
      <c r="L147" s="2380"/>
      <c r="M147" s="2380"/>
      <c r="N147" s="74"/>
      <c r="O147" s="70"/>
      <c r="P147" s="2373"/>
      <c r="Q147" s="422"/>
    </row>
    <row r="148" spans="1:27" s="43" customFormat="1" ht="11.25" customHeight="1">
      <c r="A148" s="2757"/>
      <c r="B148" s="2758"/>
      <c r="C148" s="2758"/>
      <c r="D148" s="2758"/>
      <c r="E148" s="2758"/>
      <c r="F148" s="2758"/>
      <c r="G148" s="2758"/>
      <c r="H148" s="2758"/>
      <c r="I148" s="2758"/>
      <c r="J148" s="2758"/>
      <c r="K148" s="2758"/>
      <c r="L148" s="2758"/>
      <c r="M148" s="2758"/>
      <c r="N148" s="2758"/>
      <c r="O148" s="2758"/>
      <c r="P148" s="2759"/>
      <c r="Q148" s="440"/>
    </row>
    <row r="149" spans="1:27" s="43" customFormat="1" ht="3" customHeight="1" thickBot="1">
      <c r="A149" s="42"/>
      <c r="C149" s="2380"/>
      <c r="D149" s="2380"/>
      <c r="E149" s="2380"/>
      <c r="F149" s="2380"/>
      <c r="G149" s="2380"/>
      <c r="H149" s="2380"/>
      <c r="I149" s="2380"/>
      <c r="J149" s="2380"/>
      <c r="K149" s="2380"/>
      <c r="L149" s="2380"/>
      <c r="M149" s="2380"/>
      <c r="N149" s="74"/>
      <c r="O149" s="70"/>
      <c r="P149" s="846"/>
    </row>
    <row r="150" spans="1:27" s="43" customFormat="1" ht="13.5" customHeight="1" thickBot="1">
      <c r="A150" s="152" t="s">
        <v>516</v>
      </c>
      <c r="B150" s="106" t="s">
        <v>3715</v>
      </c>
      <c r="C150" s="2380"/>
      <c r="D150" s="2380"/>
      <c r="E150" s="2380"/>
      <c r="F150" s="2380"/>
      <c r="G150" s="2380"/>
      <c r="H150" s="2380"/>
      <c r="I150" s="2380"/>
      <c r="J150" s="2380"/>
      <c r="K150" s="2380"/>
      <c r="L150" s="2380"/>
      <c r="M150" s="846">
        <v>5</v>
      </c>
      <c r="N150" s="74"/>
      <c r="O150" s="1041">
        <f>O152+O175</f>
        <v>1</v>
      </c>
      <c r="P150" s="1041">
        <f>P152+P175</f>
        <v>0</v>
      </c>
      <c r="Q150" s="109" t="s">
        <v>433</v>
      </c>
      <c r="S150" s="1734">
        <f>IF(NOT(R163=T163),0,IF(OR('Part VI-Revenues &amp; Expenses'!$P$67=0,$V$163=0),0,IF(AND($F$157="Family",$V$163=$T$163),3,IF($V$163=$T$163,2,IF(OR($V$163=2,$V$163=1),1,0)))))</f>
        <v>1</v>
      </c>
    </row>
    <row r="151" spans="1:27" s="43" customFormat="1" ht="3.75" customHeight="1">
      <c r="A151" s="42"/>
      <c r="C151" s="2380"/>
      <c r="D151" s="2380"/>
      <c r="E151" s="2380"/>
      <c r="F151" s="2380"/>
      <c r="G151" s="2380"/>
      <c r="H151" s="2380"/>
      <c r="I151" s="2380"/>
      <c r="J151" s="2380"/>
      <c r="K151" s="2380"/>
      <c r="L151" s="2380"/>
      <c r="M151" s="2380"/>
      <c r="N151" s="74"/>
      <c r="O151" s="70"/>
      <c r="P151" s="846"/>
    </row>
    <row r="152" spans="1:27" s="102" customFormat="1" ht="13.5" customHeight="1">
      <c r="A152" s="178" t="s">
        <v>1936</v>
      </c>
      <c r="B152" s="10" t="s">
        <v>3730</v>
      </c>
      <c r="C152" s="92"/>
      <c r="D152" s="1038"/>
      <c r="E152" s="1038"/>
      <c r="G152" s="1063"/>
      <c r="H152" s="1063"/>
      <c r="I152" s="1063"/>
      <c r="J152" s="1063"/>
      <c r="K152" s="1063"/>
      <c r="L152" s="1063"/>
      <c r="M152" s="426">
        <v>3</v>
      </c>
      <c r="N152" s="174"/>
      <c r="O152" s="2294">
        <v>1</v>
      </c>
      <c r="P152" s="4203"/>
      <c r="Q152" s="1477" t="str">
        <f>IF(OR($O152=$M152,$O152=0,$O152=""),"","*CHECK!*")</f>
        <v>*CHECK!*</v>
      </c>
      <c r="R152" s="974" t="s">
        <v>4767</v>
      </c>
    </row>
    <row r="153" spans="1:27" s="43" customFormat="1" ht="12" customHeight="1">
      <c r="B153" s="40" t="s">
        <v>3620</v>
      </c>
      <c r="C153" s="424"/>
      <c r="D153" s="424"/>
      <c r="E153" s="424"/>
      <c r="F153" s="424"/>
      <c r="G153" s="424"/>
      <c r="H153" s="424"/>
      <c r="I153" s="424"/>
      <c r="J153" s="424"/>
      <c r="K153" s="424"/>
      <c r="L153" s="424"/>
      <c r="M153" s="424"/>
      <c r="N153" s="424"/>
      <c r="O153" s="2254" t="s">
        <v>2886</v>
      </c>
      <c r="P153" s="516"/>
      <c r="Q153" s="2952" t="s">
        <v>4593</v>
      </c>
      <c r="R153" s="2952"/>
      <c r="S153" s="2952"/>
      <c r="T153" s="2952"/>
      <c r="U153" s="2952"/>
      <c r="V153" s="2952"/>
      <c r="W153" s="1731"/>
    </row>
    <row r="154" spans="1:27" s="43" customFormat="1" ht="3" customHeight="1">
      <c r="A154" s="138"/>
      <c r="B154" s="515"/>
      <c r="C154" s="515"/>
      <c r="D154" s="515"/>
      <c r="E154" s="515"/>
      <c r="F154" s="515"/>
      <c r="G154" s="515"/>
      <c r="H154" s="515"/>
      <c r="I154" s="515"/>
      <c r="J154" s="515"/>
      <c r="K154" s="515"/>
      <c r="L154" s="515"/>
      <c r="M154" s="515"/>
      <c r="O154" s="1129"/>
      <c r="P154" s="1129"/>
      <c r="Q154" s="2952"/>
      <c r="R154" s="2952"/>
      <c r="S154" s="2952"/>
      <c r="T154" s="2952"/>
      <c r="U154" s="2952"/>
      <c r="V154" s="2952"/>
      <c r="W154" s="1731"/>
    </row>
    <row r="155" spans="1:27" s="43" customFormat="1" ht="11.25" customHeight="1">
      <c r="A155" s="138"/>
      <c r="B155" s="2929" t="s">
        <v>4504</v>
      </c>
      <c r="C155" s="2929"/>
      <c r="D155" s="2929"/>
      <c r="E155" s="52" t="s">
        <v>3619</v>
      </c>
      <c r="F155" s="102"/>
      <c r="G155" s="52"/>
      <c r="H155" s="102"/>
      <c r="I155" s="2895" t="s">
        <v>7132</v>
      </c>
      <c r="J155" s="2896"/>
      <c r="K155" s="2896"/>
      <c r="L155" s="2897"/>
      <c r="Q155" s="2952"/>
      <c r="R155" s="2952"/>
      <c r="S155" s="2952"/>
      <c r="T155" s="2952"/>
      <c r="U155" s="2952"/>
      <c r="V155" s="2952"/>
      <c r="W155" s="1731"/>
    </row>
    <row r="156" spans="1:27" s="43" customFormat="1" ht="11.25" customHeight="1">
      <c r="A156" s="138"/>
      <c r="B156" s="2929"/>
      <c r="C156" s="2929"/>
      <c r="D156" s="2929"/>
      <c r="E156" s="40" t="s">
        <v>4308</v>
      </c>
      <c r="F156" s="374"/>
      <c r="G156" s="102"/>
      <c r="H156" s="102"/>
      <c r="I156" s="40"/>
      <c r="J156" s="2382"/>
      <c r="K156" s="2382"/>
      <c r="L156" s="2382"/>
      <c r="M156" s="102"/>
      <c r="N156" s="1065"/>
      <c r="O156" s="2254" t="s">
        <v>7011</v>
      </c>
      <c r="P156" s="516"/>
      <c r="Q156" s="2952"/>
      <c r="R156" s="2952"/>
      <c r="S156" s="2952"/>
      <c r="T156" s="2952"/>
      <c r="U156" s="2952"/>
      <c r="V156" s="2952"/>
      <c r="W156" s="1731"/>
    </row>
    <row r="157" spans="1:27" s="43" customFormat="1" ht="12" customHeight="1">
      <c r="A157" s="42"/>
      <c r="C157" s="2380"/>
      <c r="D157" s="2380"/>
      <c r="E157" s="52" t="s">
        <v>4309</v>
      </c>
      <c r="F157" s="1506" t="str">
        <f>'Part I-Project Information'!$H$82</f>
        <v>HFOP</v>
      </c>
      <c r="H157" s="1505"/>
      <c r="I157" s="2380"/>
      <c r="J157" s="2380"/>
      <c r="M157" s="2380"/>
      <c r="N157" s="74"/>
      <c r="O157" s="2996" t="s">
        <v>4762</v>
      </c>
      <c r="P157" s="2996"/>
      <c r="Q157" s="2952"/>
      <c r="R157" s="2952"/>
      <c r="S157" s="2952"/>
      <c r="T157" s="2952"/>
      <c r="U157" s="2952"/>
      <c r="V157" s="2952"/>
      <c r="W157" s="1731"/>
    </row>
    <row r="158" spans="1:27" s="55" customFormat="1" ht="3" customHeight="1">
      <c r="A158" s="861"/>
      <c r="B158" s="424"/>
      <c r="O158" s="2997"/>
      <c r="P158" s="2997"/>
      <c r="Q158" s="2952"/>
      <c r="R158" s="2952"/>
      <c r="S158" s="2952"/>
      <c r="T158" s="2952"/>
      <c r="U158" s="2952"/>
      <c r="V158" s="2952"/>
      <c r="W158" s="1731"/>
    </row>
    <row r="159" spans="1:27" s="43" customFormat="1" ht="12" customHeight="1">
      <c r="A159" s="373" t="s">
        <v>2372</v>
      </c>
      <c r="B159" s="110" t="s">
        <v>4505</v>
      </c>
      <c r="C159" s="2380"/>
      <c r="D159" s="2380"/>
      <c r="E159" s="52"/>
      <c r="F159" s="1419"/>
      <c r="G159" s="1419"/>
      <c r="I159" s="2380"/>
      <c r="J159" s="2380"/>
      <c r="K159" s="2380"/>
      <c r="L159" s="2380"/>
      <c r="M159" s="2973" t="s">
        <v>4307</v>
      </c>
      <c r="N159" s="74"/>
      <c r="O159" s="2997"/>
      <c r="P159" s="2997"/>
      <c r="Q159" s="2952"/>
      <c r="R159" s="2952"/>
      <c r="S159" s="2952"/>
      <c r="T159" s="2952"/>
      <c r="U159" s="2952"/>
      <c r="V159" s="2952"/>
      <c r="Y159" s="2951" t="s">
        <v>4783</v>
      </c>
      <c r="Z159" s="2951"/>
      <c r="AA159" s="2951"/>
    </row>
    <row r="160" spans="1:27" s="55" customFormat="1" ht="3" customHeight="1">
      <c r="A160" s="861"/>
      <c r="B160" s="424"/>
      <c r="M160" s="2973"/>
      <c r="O160" s="2997"/>
      <c r="P160" s="2997"/>
      <c r="R160" s="1730"/>
      <c r="S160" s="412"/>
      <c r="T160" s="1730"/>
      <c r="U160" s="412"/>
      <c r="V160" s="43"/>
      <c r="W160" s="43"/>
    </row>
    <row r="161" spans="1:36" s="43" customFormat="1" ht="13.5" customHeight="1">
      <c r="A161" s="2959" t="s">
        <v>4763</v>
      </c>
      <c r="B161" s="2959"/>
      <c r="C161" s="2959"/>
      <c r="D161" s="2959"/>
      <c r="E161" s="2959"/>
      <c r="F161" s="2959"/>
      <c r="G161" s="2960"/>
      <c r="H161" s="2970" t="s">
        <v>3647</v>
      </c>
      <c r="I161" s="2971"/>
      <c r="J161" s="2972"/>
      <c r="K161" s="2973" t="s">
        <v>3618</v>
      </c>
      <c r="L161" s="2803" t="s">
        <v>4754</v>
      </c>
      <c r="M161" s="2973"/>
      <c r="N161" s="1436"/>
      <c r="O161" s="2997"/>
      <c r="P161" s="2997"/>
      <c r="Q161" s="2953" t="s">
        <v>4750</v>
      </c>
      <c r="R161" s="2953" t="s">
        <v>4753</v>
      </c>
      <c r="S161" s="2953" t="s">
        <v>4751</v>
      </c>
      <c r="T161" s="2953" t="s">
        <v>4752</v>
      </c>
      <c r="U161" s="2953" t="s">
        <v>4469</v>
      </c>
      <c r="V161" s="2953" t="s">
        <v>4468</v>
      </c>
      <c r="X161" s="102"/>
      <c r="Y161" s="1742" t="s">
        <v>4782</v>
      </c>
      <c r="Z161" s="1743" t="s">
        <v>4784</v>
      </c>
      <c r="AA161" s="1743" t="s">
        <v>4785</v>
      </c>
    </row>
    <row r="162" spans="1:36" s="43" customFormat="1" ht="15" customHeight="1">
      <c r="B162" s="481" t="s">
        <v>4786</v>
      </c>
      <c r="C162" s="2382"/>
      <c r="E162" s="1744" t="s">
        <v>4787</v>
      </c>
      <c r="F162" s="1726" t="s">
        <v>4761</v>
      </c>
      <c r="G162" s="1726" t="s">
        <v>3284</v>
      </c>
      <c r="H162" s="2391">
        <v>2017</v>
      </c>
      <c r="I162" s="2391">
        <v>2018</v>
      </c>
      <c r="J162" s="2391">
        <v>2019</v>
      </c>
      <c r="K162" s="2469"/>
      <c r="L162" s="2955"/>
      <c r="M162" s="2469"/>
      <c r="N162" s="1436"/>
      <c r="O162" s="2998"/>
      <c r="P162" s="2998"/>
      <c r="Q162" s="2953"/>
      <c r="R162" s="2953"/>
      <c r="S162" s="2953"/>
      <c r="T162" s="2953"/>
      <c r="U162" s="2953"/>
      <c r="V162" s="2953"/>
      <c r="X162" s="1742" t="s">
        <v>4780</v>
      </c>
      <c r="Y162" s="1128">
        <v>75.930000000000007</v>
      </c>
      <c r="Z162" s="1128">
        <v>73.77</v>
      </c>
      <c r="AA162" s="1128">
        <v>76.430000000000007</v>
      </c>
      <c r="AB162" s="2399"/>
      <c r="AD162" s="2399"/>
      <c r="AE162" s="2399"/>
      <c r="AF162" s="2399"/>
      <c r="AG162" s="2399"/>
      <c r="AH162" s="2399"/>
      <c r="AI162" s="2399"/>
      <c r="AJ162" s="2399"/>
    </row>
    <row r="163" spans="1:36" s="43" customFormat="1" ht="12" customHeight="1">
      <c r="A163" s="1733" t="str">
        <f>IF(OR(M163="Yes", O163="Yes", AND(B163="",F163="",G163="",H163="",I163="",J163="",L163="",O163="")),"", IF(AND(NOT(B163=""),OR(O163="",O163="No",O163="N/a"),OR(F163="",G163=""),AND(H163="",I163="",J163=""),L163=""),"Finish!","Check"))</f>
        <v/>
      </c>
      <c r="B163" s="2956" t="s">
        <v>7133</v>
      </c>
      <c r="C163" s="2957"/>
      <c r="D163" s="2958"/>
      <c r="E163" s="2295" t="s">
        <v>1568</v>
      </c>
      <c r="F163" s="2296" t="s">
        <v>2889</v>
      </c>
      <c r="G163" s="2297" t="s">
        <v>4782</v>
      </c>
      <c r="H163" s="2298">
        <v>75.5</v>
      </c>
      <c r="I163" s="2299">
        <v>75.599999999999994</v>
      </c>
      <c r="J163" s="2299">
        <v>80.7</v>
      </c>
      <c r="K163" s="1609">
        <f t="shared" ref="K163:K172" si="0">IF(H163+I163+J163=0,"",AVERAGE(H163,I163,J163))</f>
        <v>77.266666666666666</v>
      </c>
      <c r="L163" s="2300">
        <v>75.930000000000007</v>
      </c>
      <c r="M163" s="1606" t="str">
        <f>IF(OR(K163="",L163=""),"",IF(K163&gt;L163,"Yes",IF(K163&lt;L163,"No","")))</f>
        <v>Yes</v>
      </c>
      <c r="O163" s="2256" t="s">
        <v>2889</v>
      </c>
      <c r="P163" s="518"/>
      <c r="Q163" s="447">
        <f>IF(AND(B163="",F163="",G163="",H163="",I163="",J163="",L163="",O163=""),0,1)</f>
        <v>1</v>
      </c>
      <c r="R163" s="2954">
        <f>SUM(Q163:Q172)</f>
        <v>3</v>
      </c>
      <c r="S163" s="1732">
        <f t="shared" ref="S163:S172" si="1">IF(AND(M163="",NOT(O163="Yes")),0,1)</f>
        <v>1</v>
      </c>
      <c r="T163" s="2954">
        <f>SUM(S163:S172)</f>
        <v>3</v>
      </c>
      <c r="U163" s="1732">
        <f t="shared" ref="U163:U172" si="2">IF(OR(M163="Yes",O163="Yes"),1,0)</f>
        <v>1</v>
      </c>
      <c r="V163" s="2954">
        <f>SUM(U163:U172)</f>
        <v>2</v>
      </c>
      <c r="X163" s="1742" t="s">
        <v>4781</v>
      </c>
      <c r="Y163" s="1128">
        <v>77.45</v>
      </c>
      <c r="Z163" s="1128">
        <v>74.150000000000006</v>
      </c>
      <c r="AA163" s="1128">
        <v>76.150000000000006</v>
      </c>
      <c r="AB163" s="2399"/>
      <c r="AD163" s="2399"/>
      <c r="AE163" s="2399"/>
      <c r="AF163" s="2399"/>
      <c r="AG163" s="2399"/>
      <c r="AH163" s="2399"/>
      <c r="AI163" s="2399"/>
      <c r="AJ163" s="2399"/>
    </row>
    <row r="164" spans="1:36" s="43" customFormat="1" ht="12" customHeight="1">
      <c r="A164" s="1733" t="str">
        <f t="shared" ref="A164:A172" si="3">IF(OR(M164="Yes", O164="Yes", AND(B164="",F164="",G164="",H164="",I164="",J164="",L164="",O164="")),"", IF(AND(NOT(B164=""),OR(O164="",O164="No",O164="N/a"),OR(F164="",G164=""),AND(H164="",I164="",J164=""),L164=""),"Finish!","Check"))</f>
        <v/>
      </c>
      <c r="B164" s="2926" t="s">
        <v>7134</v>
      </c>
      <c r="C164" s="2927"/>
      <c r="D164" s="2928"/>
      <c r="E164" s="2301" t="s">
        <v>1568</v>
      </c>
      <c r="F164" s="2302" t="s">
        <v>2889</v>
      </c>
      <c r="G164" s="2303" t="s">
        <v>4784</v>
      </c>
      <c r="H164" s="2304">
        <v>73.7</v>
      </c>
      <c r="I164" s="2305">
        <v>73.099999999999994</v>
      </c>
      <c r="J164" s="2305">
        <v>78</v>
      </c>
      <c r="K164" s="1610">
        <f t="shared" si="0"/>
        <v>74.933333333333337</v>
      </c>
      <c r="L164" s="2306">
        <v>73.77</v>
      </c>
      <c r="M164" s="1607" t="str">
        <f>IF(L164="","",IF(K164&gt;L164,"Yes",IF(K164&lt;L164,"No","")))</f>
        <v>Yes</v>
      </c>
      <c r="O164" s="2257" t="s">
        <v>2886</v>
      </c>
      <c r="P164" s="519"/>
      <c r="Q164" s="447">
        <f t="shared" ref="Q164:Q172" si="4">IF(AND(B164="",F164="",G164="",H164="",I164="",J164="",L164="",O164=""),0,1)</f>
        <v>1</v>
      </c>
      <c r="R164" s="2954"/>
      <c r="S164" s="1732">
        <f t="shared" si="1"/>
        <v>1</v>
      </c>
      <c r="T164" s="2954"/>
      <c r="U164" s="1732">
        <f t="shared" si="2"/>
        <v>1</v>
      </c>
      <c r="V164" s="2954"/>
      <c r="X164" s="1742">
        <v>2019</v>
      </c>
      <c r="Y164" s="1128">
        <v>77.099999999999994</v>
      </c>
      <c r="Z164" s="1128">
        <v>72.099999999999994</v>
      </c>
      <c r="AA164" s="1128">
        <v>77</v>
      </c>
      <c r="AB164" s="2399"/>
      <c r="AC164" s="2399"/>
      <c r="AD164" s="2399"/>
      <c r="AE164" s="2399"/>
      <c r="AF164" s="2399"/>
      <c r="AG164" s="2399"/>
      <c r="AH164" s="2399"/>
      <c r="AI164" s="2399"/>
      <c r="AJ164" s="2399"/>
    </row>
    <row r="165" spans="1:36" s="43" customFormat="1" ht="12" customHeight="1">
      <c r="A165" s="1733" t="str">
        <f t="shared" si="3"/>
        <v>Check</v>
      </c>
      <c r="B165" s="2926" t="s">
        <v>7135</v>
      </c>
      <c r="C165" s="2927"/>
      <c r="D165" s="2928"/>
      <c r="E165" s="2301" t="s">
        <v>1568</v>
      </c>
      <c r="F165" s="2302" t="s">
        <v>2889</v>
      </c>
      <c r="G165" s="2303" t="s">
        <v>4785</v>
      </c>
      <c r="H165" s="2304">
        <v>75.400000000000006</v>
      </c>
      <c r="I165" s="2305">
        <v>72.7</v>
      </c>
      <c r="J165" s="2305">
        <v>69.3</v>
      </c>
      <c r="K165" s="1610">
        <f t="shared" si="0"/>
        <v>72.466666666666683</v>
      </c>
      <c r="L165" s="2306">
        <v>76.430000000000007</v>
      </c>
      <c r="M165" s="1607" t="str">
        <f t="shared" ref="M165:M172" si="5">IF(L165="","",IF(K165&gt;L165,"Yes",IF(K165&lt;L165,"No","")))</f>
        <v>No</v>
      </c>
      <c r="O165" s="2257" t="s">
        <v>2889</v>
      </c>
      <c r="P165" s="519"/>
      <c r="Q165" s="447">
        <f t="shared" si="4"/>
        <v>1</v>
      </c>
      <c r="R165" s="2954"/>
      <c r="S165" s="1732">
        <f t="shared" si="1"/>
        <v>1</v>
      </c>
      <c r="T165" s="2954"/>
      <c r="U165" s="1732">
        <f t="shared" si="2"/>
        <v>0</v>
      </c>
      <c r="V165" s="2954"/>
      <c r="Y165" s="2399"/>
      <c r="Z165" s="2399"/>
      <c r="AA165" s="2399"/>
      <c r="AB165" s="2399"/>
      <c r="AC165" s="2399"/>
      <c r="AD165" s="2399"/>
      <c r="AE165" s="2399"/>
      <c r="AF165" s="2399"/>
      <c r="AG165" s="2399"/>
      <c r="AH165" s="2399"/>
      <c r="AI165" s="2399"/>
      <c r="AJ165" s="2399"/>
    </row>
    <row r="166" spans="1:36" s="43" customFormat="1" ht="12" customHeight="1">
      <c r="A166" s="1733" t="str">
        <f t="shared" si="3"/>
        <v/>
      </c>
      <c r="B166" s="2926"/>
      <c r="C166" s="2927"/>
      <c r="D166" s="2928"/>
      <c r="E166" s="2301" t="s">
        <v>4377</v>
      </c>
      <c r="F166" s="2302"/>
      <c r="G166" s="2303"/>
      <c r="H166" s="2304"/>
      <c r="I166" s="2305"/>
      <c r="J166" s="2305"/>
      <c r="K166" s="1610" t="str">
        <f t="shared" si="0"/>
        <v/>
      </c>
      <c r="L166" s="2306"/>
      <c r="M166" s="1607" t="str">
        <f t="shared" si="5"/>
        <v/>
      </c>
      <c r="O166" s="2257"/>
      <c r="P166" s="519"/>
      <c r="Q166" s="447">
        <f t="shared" si="4"/>
        <v>0</v>
      </c>
      <c r="R166" s="2954"/>
      <c r="S166" s="1732">
        <f t="shared" si="1"/>
        <v>0</v>
      </c>
      <c r="T166" s="2954"/>
      <c r="U166" s="1732">
        <f t="shared" si="2"/>
        <v>0</v>
      </c>
      <c r="V166" s="2954"/>
      <c r="Y166" s="2399"/>
      <c r="Z166" s="2399"/>
      <c r="AA166" s="2399"/>
      <c r="AB166" s="2399"/>
      <c r="AC166" s="2399"/>
      <c r="AD166" s="2399"/>
      <c r="AE166" s="2399"/>
      <c r="AF166" s="2399"/>
      <c r="AG166" s="2399"/>
      <c r="AH166" s="2399"/>
      <c r="AI166" s="2399"/>
      <c r="AJ166" s="2399"/>
    </row>
    <row r="167" spans="1:36" s="43" customFormat="1" ht="12" customHeight="1">
      <c r="A167" s="1733" t="str">
        <f t="shared" si="3"/>
        <v/>
      </c>
      <c r="B167" s="2926"/>
      <c r="C167" s="2927"/>
      <c r="D167" s="2928"/>
      <c r="E167" s="2301" t="s">
        <v>4377</v>
      </c>
      <c r="F167" s="2302"/>
      <c r="G167" s="2303"/>
      <c r="H167" s="2304"/>
      <c r="I167" s="2305"/>
      <c r="J167" s="2305"/>
      <c r="K167" s="1610" t="str">
        <f t="shared" si="0"/>
        <v/>
      </c>
      <c r="L167" s="2306"/>
      <c r="M167" s="1607" t="str">
        <f t="shared" si="5"/>
        <v/>
      </c>
      <c r="O167" s="2257"/>
      <c r="P167" s="519"/>
      <c r="Q167" s="447">
        <f t="shared" si="4"/>
        <v>0</v>
      </c>
      <c r="R167" s="2954"/>
      <c r="S167" s="1732">
        <f t="shared" si="1"/>
        <v>0</v>
      </c>
      <c r="T167" s="2954"/>
      <c r="U167" s="1732">
        <f t="shared" si="2"/>
        <v>0</v>
      </c>
      <c r="V167" s="2954"/>
      <c r="Y167" s="2399"/>
      <c r="Z167" s="2399"/>
      <c r="AA167" s="2399"/>
      <c r="AB167" s="2399"/>
      <c r="AC167" s="2399"/>
      <c r="AD167" s="2399"/>
      <c r="AE167" s="2399"/>
      <c r="AF167" s="2399"/>
      <c r="AG167" s="2399"/>
      <c r="AH167" s="2399"/>
      <c r="AI167" s="2399"/>
      <c r="AJ167" s="2399"/>
    </row>
    <row r="168" spans="1:36" s="43" customFormat="1" ht="12" customHeight="1">
      <c r="A168" s="1733" t="str">
        <f t="shared" si="3"/>
        <v/>
      </c>
      <c r="B168" s="2926"/>
      <c r="C168" s="2927"/>
      <c r="D168" s="2928"/>
      <c r="E168" s="2301" t="s">
        <v>4377</v>
      </c>
      <c r="F168" s="2302"/>
      <c r="G168" s="2303"/>
      <c r="H168" s="2304"/>
      <c r="I168" s="2305"/>
      <c r="J168" s="2305"/>
      <c r="K168" s="1610" t="str">
        <f t="shared" si="0"/>
        <v/>
      </c>
      <c r="L168" s="2306"/>
      <c r="M168" s="1607" t="str">
        <f t="shared" si="5"/>
        <v/>
      </c>
      <c r="O168" s="2257"/>
      <c r="P168" s="519"/>
      <c r="Q168" s="447">
        <f t="shared" si="4"/>
        <v>0</v>
      </c>
      <c r="R168" s="2954"/>
      <c r="S168" s="1732">
        <f t="shared" si="1"/>
        <v>0</v>
      </c>
      <c r="T168" s="2954"/>
      <c r="U168" s="1732">
        <f t="shared" si="2"/>
        <v>0</v>
      </c>
      <c r="V168" s="2954"/>
      <c r="Y168" s="2399"/>
      <c r="Z168" s="2399"/>
      <c r="AA168" s="2399"/>
      <c r="AB168" s="2399"/>
      <c r="AC168" s="2399"/>
      <c r="AD168" s="2399"/>
      <c r="AE168" s="2399"/>
      <c r="AF168" s="2399"/>
      <c r="AG168" s="2399"/>
      <c r="AH168" s="2399"/>
      <c r="AI168" s="2399"/>
      <c r="AJ168" s="2399"/>
    </row>
    <row r="169" spans="1:36" s="43" customFormat="1" ht="12" customHeight="1">
      <c r="A169" s="1733" t="str">
        <f t="shared" ref="A169:A170" si="6">IF(OR(M169="Yes", O169="Yes", AND(B169="",F169="",G169="",H169="",I169="",J169="",L169="",O169="")),"", IF(AND(NOT(B169=""),OR(O169="",O169="No",O169="N/a"),OR(F169="",G169=""),AND(H169="",I169="",J169=""),L169=""),"Finish!","Check"))</f>
        <v/>
      </c>
      <c r="B169" s="2926"/>
      <c r="C169" s="2927"/>
      <c r="D169" s="2928"/>
      <c r="E169" s="2301" t="s">
        <v>4377</v>
      </c>
      <c r="F169" s="2302"/>
      <c r="G169" s="2303"/>
      <c r="H169" s="2304"/>
      <c r="I169" s="2305"/>
      <c r="J169" s="2305"/>
      <c r="K169" s="1610" t="str">
        <f t="shared" ref="K169:K170" si="7">IF(H169+I169+J169=0,"",AVERAGE(H169,I169,J169))</f>
        <v/>
      </c>
      <c r="L169" s="2306"/>
      <c r="M169" s="1607" t="str">
        <f t="shared" ref="M169:M170" si="8">IF(L169="","",IF(K169&gt;L169,"Yes",IF(K169&lt;L169,"No","")))</f>
        <v/>
      </c>
      <c r="O169" s="2257"/>
      <c r="P169" s="519"/>
      <c r="Q169" s="447">
        <f t="shared" ref="Q169:Q170" si="9">IF(AND(B169="",F169="",G169="",H169="",I169="",J169="",L169="",O169=""),0,1)</f>
        <v>0</v>
      </c>
      <c r="R169" s="2954"/>
      <c r="S169" s="1732">
        <f t="shared" ref="S169:S170" si="10">IF(AND(M169="",NOT(O169="Yes")),0,1)</f>
        <v>0</v>
      </c>
      <c r="T169" s="2954"/>
      <c r="U169" s="1732">
        <f t="shared" ref="U169:U170" si="11">IF(OR(M169="Yes",O169="Yes"),1,0)</f>
        <v>0</v>
      </c>
      <c r="V169" s="2954"/>
    </row>
    <row r="170" spans="1:36" s="43" customFormat="1" ht="12" customHeight="1">
      <c r="A170" s="1733" t="str">
        <f t="shared" si="6"/>
        <v/>
      </c>
      <c r="B170" s="2926"/>
      <c r="C170" s="2927"/>
      <c r="D170" s="2928"/>
      <c r="E170" s="2301" t="s">
        <v>4377</v>
      </c>
      <c r="F170" s="2302"/>
      <c r="G170" s="2303"/>
      <c r="H170" s="2304"/>
      <c r="I170" s="2305"/>
      <c r="J170" s="2305"/>
      <c r="K170" s="1610" t="str">
        <f t="shared" si="7"/>
        <v/>
      </c>
      <c r="L170" s="2306"/>
      <c r="M170" s="1607" t="str">
        <f t="shared" si="8"/>
        <v/>
      </c>
      <c r="O170" s="2257"/>
      <c r="P170" s="519"/>
      <c r="Q170" s="447">
        <f t="shared" si="9"/>
        <v>0</v>
      </c>
      <c r="R170" s="2954"/>
      <c r="S170" s="1732">
        <f t="shared" si="10"/>
        <v>0</v>
      </c>
      <c r="T170" s="2954"/>
      <c r="U170" s="1732">
        <f t="shared" si="11"/>
        <v>0</v>
      </c>
      <c r="V170" s="2954"/>
    </row>
    <row r="171" spans="1:36" s="43" customFormat="1" ht="12" customHeight="1">
      <c r="A171" s="1733" t="str">
        <f t="shared" ref="A171" si="12">IF(OR(M171="Yes", O171="Yes", AND(B171="",F171="",G171="",H171="",I171="",J171="",L171="",O171="")),"", IF(AND(NOT(B171=""),OR(O171="",O171="No",O171="N/a"),OR(F171="",G171=""),AND(H171="",I171="",J171=""),L171=""),"Finish!","Check"))</f>
        <v/>
      </c>
      <c r="B171" s="2926"/>
      <c r="C171" s="2927"/>
      <c r="D171" s="2928"/>
      <c r="E171" s="2301" t="s">
        <v>4377</v>
      </c>
      <c r="F171" s="2302"/>
      <c r="G171" s="2303"/>
      <c r="H171" s="2304"/>
      <c r="I171" s="2305"/>
      <c r="J171" s="2305"/>
      <c r="K171" s="1610" t="str">
        <f t="shared" ref="K171" si="13">IF(H171+I171+J171=0,"",AVERAGE(H171,I171,J171))</f>
        <v/>
      </c>
      <c r="L171" s="2306"/>
      <c r="M171" s="1607" t="str">
        <f t="shared" ref="M171" si="14">IF(L171="","",IF(K171&gt;L171,"Yes",IF(K171&lt;L171,"No","")))</f>
        <v/>
      </c>
      <c r="O171" s="2257"/>
      <c r="P171" s="519"/>
      <c r="Q171" s="447">
        <f t="shared" ref="Q171" si="15">IF(AND(B171="",F171="",G171="",H171="",I171="",J171="",L171="",O171=""),0,1)</f>
        <v>0</v>
      </c>
      <c r="R171" s="2954"/>
      <c r="S171" s="1732">
        <f t="shared" ref="S171" si="16">IF(AND(M171="",NOT(O171="Yes")),0,1)</f>
        <v>0</v>
      </c>
      <c r="T171" s="2954"/>
      <c r="U171" s="1732">
        <f t="shared" ref="U171" si="17">IF(OR(M171="Yes",O171="Yes"),1,0)</f>
        <v>0</v>
      </c>
      <c r="V171" s="2954"/>
    </row>
    <row r="172" spans="1:36" s="43" customFormat="1" ht="12" customHeight="1">
      <c r="A172" s="1733" t="str">
        <f t="shared" si="3"/>
        <v/>
      </c>
      <c r="B172" s="2961"/>
      <c r="C172" s="2962"/>
      <c r="D172" s="2963"/>
      <c r="E172" s="2307" t="s">
        <v>4377</v>
      </c>
      <c r="F172" s="2308"/>
      <c r="G172" s="2309"/>
      <c r="H172" s="2310"/>
      <c r="I172" s="2311"/>
      <c r="J172" s="2311"/>
      <c r="K172" s="1611" t="str">
        <f t="shared" si="0"/>
        <v/>
      </c>
      <c r="L172" s="2312"/>
      <c r="M172" s="1608" t="str">
        <f t="shared" si="5"/>
        <v/>
      </c>
      <c r="O172" s="2258"/>
      <c r="P172" s="520"/>
      <c r="Q172" s="447">
        <f t="shared" si="4"/>
        <v>0</v>
      </c>
      <c r="R172" s="2954"/>
      <c r="S172" s="1732">
        <f t="shared" si="1"/>
        <v>0</v>
      </c>
      <c r="T172" s="2954"/>
      <c r="U172" s="1732">
        <f t="shared" si="2"/>
        <v>0</v>
      </c>
      <c r="V172" s="2954"/>
    </row>
    <row r="173" spans="1:36" s="43" customFormat="1" ht="1.5" customHeight="1">
      <c r="A173" s="373"/>
      <c r="B173" s="564"/>
      <c r="L173" s="2399"/>
    </row>
    <row r="174" spans="1:36" s="55" customFormat="1" ht="6" customHeight="1" thickBot="1">
      <c r="A174" s="861"/>
      <c r="B174" s="424"/>
    </row>
    <row r="175" spans="1:36" s="102" customFormat="1" ht="13.5" customHeight="1" thickBot="1">
      <c r="A175" s="178" t="s">
        <v>1938</v>
      </c>
      <c r="B175" s="10" t="s">
        <v>3731</v>
      </c>
      <c r="C175" s="92"/>
      <c r="D175" s="1038"/>
      <c r="E175" s="1038"/>
      <c r="F175" s="61"/>
      <c r="H175" s="40" t="s">
        <v>4566</v>
      </c>
      <c r="M175" s="426">
        <v>2</v>
      </c>
      <c r="N175" s="174"/>
      <c r="O175" s="1041">
        <f>IF(AND(I184="Yes",I185="Yes"),$H$185,IF(AND(I184="Yes",I185="No"),$H$184,0))</f>
        <v>0</v>
      </c>
      <c r="P175" s="1041">
        <f>IF(AND(J184="Yes",J185="Yes"),$H$185,IF(AND(J184="Yes",J185="No"),$H$184,0))</f>
        <v>0</v>
      </c>
      <c r="Q175" s="2373"/>
      <c r="R175" s="1723"/>
    </row>
    <row r="176" spans="1:36" s="55" customFormat="1" ht="12.75" customHeight="1">
      <c r="E176" s="2984" t="s">
        <v>3821</v>
      </c>
      <c r="F176" s="2984" t="s">
        <v>3486</v>
      </c>
      <c r="G176" s="3005" t="s">
        <v>3285</v>
      </c>
      <c r="H176" s="3005"/>
      <c r="I176" s="3005"/>
      <c r="J176" s="3005"/>
      <c r="K176" s="3005"/>
      <c r="L176" s="3005"/>
      <c r="M176" s="3005"/>
      <c r="N176" s="3005"/>
      <c r="P176" s="1066"/>
      <c r="R176" s="52" t="s">
        <v>2735</v>
      </c>
      <c r="S176" s="36"/>
      <c r="T176" s="3177" t="str">
        <f>'Part I-Project Information'!$F$38</f>
        <v>Columbus</v>
      </c>
      <c r="U176" s="3178"/>
      <c r="V176" s="3178"/>
      <c r="W176" s="3178"/>
      <c r="X176" s="3179"/>
    </row>
    <row r="177" spans="1:24" s="55" customFormat="1" ht="13.5" customHeight="1">
      <c r="A177" s="47"/>
      <c r="B177" s="3182" t="s">
        <v>3734</v>
      </c>
      <c r="C177" s="3182"/>
      <c r="D177" s="3182"/>
      <c r="E177" s="2990"/>
      <c r="F177" s="2990"/>
      <c r="G177" s="2989" t="s">
        <v>3733</v>
      </c>
      <c r="H177" s="2989"/>
      <c r="I177" s="2989"/>
      <c r="J177" s="2989"/>
      <c r="K177" s="2989"/>
      <c r="L177" s="2989"/>
      <c r="M177" s="2989"/>
      <c r="N177" s="2989"/>
      <c r="O177" s="2984" t="s">
        <v>3487</v>
      </c>
      <c r="P177" s="2984"/>
      <c r="R177" s="52" t="s">
        <v>2736</v>
      </c>
      <c r="S177" s="36"/>
      <c r="T177" s="3171" t="str">
        <f>'Part I-Project Information'!$J$39</f>
        <v>Muscogee</v>
      </c>
      <c r="U177" s="3172"/>
      <c r="V177" s="3172"/>
      <c r="W177" s="3172"/>
      <c r="X177" s="3173"/>
    </row>
    <row r="178" spans="1:24" s="55" customFormat="1" ht="13.5" customHeight="1">
      <c r="A178" s="47"/>
      <c r="B178" s="2999" t="s">
        <v>3621</v>
      </c>
      <c r="C178" s="3000"/>
      <c r="D178" s="3001"/>
      <c r="E178" s="2398">
        <v>3000</v>
      </c>
      <c r="F178" s="2398">
        <v>6000</v>
      </c>
      <c r="G178" s="2983">
        <v>15000</v>
      </c>
      <c r="H178" s="2983"/>
      <c r="I178" s="2983"/>
      <c r="J178" s="2983"/>
      <c r="K178" s="2983"/>
      <c r="L178" s="2983"/>
      <c r="M178" s="2983"/>
      <c r="N178" s="2983"/>
      <c r="O178" s="2983">
        <v>20000</v>
      </c>
      <c r="P178" s="2983"/>
      <c r="R178" s="40" t="s">
        <v>2737</v>
      </c>
      <c r="S178" s="36"/>
      <c r="T178" s="3171" t="str">
        <f>'Part I-Project Information'!$O$40</f>
        <v>Columbus</v>
      </c>
      <c r="U178" s="3172"/>
      <c r="V178" s="3172"/>
      <c r="W178" s="3172"/>
      <c r="X178" s="3173"/>
    </row>
    <row r="179" spans="1:24" s="36" customFormat="1" ht="13.5" customHeight="1">
      <c r="A179" s="47"/>
      <c r="B179" s="3134" t="s">
        <v>3732</v>
      </c>
      <c r="C179" s="3135"/>
      <c r="D179" s="3136"/>
      <c r="E179" s="2394">
        <v>4500</v>
      </c>
      <c r="F179" s="2394">
        <v>9000</v>
      </c>
      <c r="G179" s="2985">
        <v>22500</v>
      </c>
      <c r="H179" s="2985"/>
      <c r="I179" s="2985"/>
      <c r="J179" s="2985"/>
      <c r="K179" s="2985"/>
      <c r="L179" s="2985"/>
      <c r="M179" s="2985"/>
      <c r="N179" s="2985"/>
      <c r="O179" s="2985">
        <v>30000</v>
      </c>
      <c r="P179" s="2985"/>
      <c r="R179" s="40" t="s">
        <v>3643</v>
      </c>
      <c r="T179" s="3171" t="str">
        <f>VLOOKUP('Part I-Project Information'!$J$39,'DCA Underwriting Assumptions'!$G$173:$J$332,4)</f>
        <v>MSA</v>
      </c>
      <c r="U179" s="3172"/>
      <c r="V179" s="3172"/>
      <c r="W179" s="3172"/>
      <c r="X179" s="3173"/>
    </row>
    <row r="180" spans="1:24" s="55" customFormat="1" ht="4.5" customHeight="1">
      <c r="A180" s="47"/>
      <c r="B180" s="47"/>
      <c r="C180" s="412"/>
      <c r="K180" s="2391"/>
      <c r="L180" s="2391"/>
    </row>
    <row r="181" spans="1:24" s="55" customFormat="1" ht="12" customHeight="1">
      <c r="B181" s="859" t="s">
        <v>4799</v>
      </c>
      <c r="E181" s="858"/>
      <c r="F181" s="858"/>
      <c r="G181" s="858"/>
      <c r="I181" s="2313"/>
      <c r="J181" s="4204"/>
      <c r="K181" s="1779" t="str">
        <f>IF(I181="","",IF(I181&lt;E178,"Minimum Jobs Threshold entered is below lowest in chart!",""))</f>
        <v/>
      </c>
      <c r="R181" s="36" t="s">
        <v>3460</v>
      </c>
      <c r="S181" s="36"/>
      <c r="T181" s="3174" t="str">
        <f>'Part I-Project Information'!$K$40</f>
        <v>Urban</v>
      </c>
      <c r="U181" s="3175"/>
      <c r="V181" s="3175"/>
      <c r="W181" s="3175"/>
      <c r="X181" s="3176"/>
    </row>
    <row r="182" spans="1:24" s="55" customFormat="1" ht="12" customHeight="1">
      <c r="A182" s="861"/>
      <c r="B182" s="424" t="s">
        <v>3459</v>
      </c>
      <c r="H182" s="860" t="str">
        <f>IF(I182&lt;I181,"Threshold not met!","")</f>
        <v/>
      </c>
      <c r="I182" s="2314"/>
      <c r="J182" s="4205"/>
      <c r="K182" s="1068" t="str">
        <f>IF(J182&lt;J181,"Threshold not met!","")</f>
        <v/>
      </c>
    </row>
    <row r="183" spans="1:24" s="55" customFormat="1" ht="3" customHeight="1">
      <c r="A183" s="861"/>
      <c r="B183" s="424"/>
    </row>
    <row r="184" spans="1:24" s="55" customFormat="1" ht="11.25" customHeight="1">
      <c r="B184" s="554" t="s">
        <v>1939</v>
      </c>
      <c r="C184" s="36" t="s">
        <v>3820</v>
      </c>
      <c r="D184" s="1013"/>
      <c r="E184" s="1013"/>
      <c r="F184" s="1013"/>
      <c r="G184" s="1013"/>
      <c r="H184" s="1103">
        <v>1</v>
      </c>
      <c r="I184" s="1100" t="str">
        <f>IF(OR(I181="",I182=""),"",IF(I182&gt;=I181,"Yes","No"))</f>
        <v/>
      </c>
      <c r="J184" s="1100" t="str">
        <f>IF(OR(J181="",J182=""),"",IF(J182&gt;=J181,"Yes","No"))</f>
        <v/>
      </c>
    </row>
    <row r="185" spans="1:24" s="55" customFormat="1" ht="11.25" customHeight="1">
      <c r="A185" s="1014" t="s">
        <v>1326</v>
      </c>
      <c r="B185" s="554" t="s">
        <v>1941</v>
      </c>
      <c r="C185" s="36" t="s">
        <v>3735</v>
      </c>
      <c r="D185" s="1137"/>
      <c r="E185" s="1137"/>
      <c r="F185" s="1137"/>
      <c r="H185" s="1103">
        <v>2</v>
      </c>
      <c r="I185" s="1101" t="str">
        <f>IF(OR(I181="",I182=""),"",IF(I182&gt;=HLOOKUP(I181,$E$178:$P$179,2),"Yes","No"))</f>
        <v/>
      </c>
      <c r="J185" s="1101" t="str">
        <f>IF(OR(J181="",J182=""),"",IF(J182&gt;=HLOOKUP(J181,$E$178:$P$179,2),"Yes","No"))</f>
        <v/>
      </c>
    </row>
    <row r="186" spans="1:24" s="55" customFormat="1" ht="11.25" customHeight="1">
      <c r="B186" s="138"/>
      <c r="C186" s="424" t="s">
        <v>3659</v>
      </c>
      <c r="D186" s="1137"/>
      <c r="E186" s="1137"/>
      <c r="F186" s="1137"/>
      <c r="G186" s="1067"/>
      <c r="I186" s="1102">
        <f>IF(I182="",0,(I182/I181) - 1)</f>
        <v>0</v>
      </c>
      <c r="J186" s="1102">
        <f>IF(J182="",0,(J182/J181) - 1)</f>
        <v>0</v>
      </c>
      <c r="M186" s="2391"/>
    </row>
    <row r="187" spans="1:24" s="55" customFormat="1" ht="3" customHeight="1">
      <c r="A187" s="47"/>
      <c r="B187" s="47"/>
      <c r="C187" s="412"/>
      <c r="F187" s="2397"/>
      <c r="K187" s="2391"/>
      <c r="L187" s="2391"/>
    </row>
    <row r="188" spans="1:24" s="43" customFormat="1" ht="10.5" customHeight="1" thickBot="1">
      <c r="A188" s="42"/>
      <c r="B188" s="1132" t="s">
        <v>3566</v>
      </c>
      <c r="C188" s="42"/>
      <c r="D188" s="48"/>
      <c r="E188" s="48"/>
      <c r="F188" s="48"/>
      <c r="G188" s="48"/>
      <c r="H188" s="36"/>
      <c r="I188" s="36"/>
      <c r="J188" s="36"/>
      <c r="K188" s="36"/>
      <c r="M188" s="46"/>
      <c r="N188" s="62"/>
      <c r="O188" s="3"/>
      <c r="P188" s="2377"/>
    </row>
    <row r="189" spans="1:24" s="43" customFormat="1" ht="44.25" customHeight="1" thickTop="1" thickBot="1">
      <c r="A189" s="2986" t="s">
        <v>7161</v>
      </c>
      <c r="B189" s="2987"/>
      <c r="C189" s="2987"/>
      <c r="D189" s="2987"/>
      <c r="E189" s="2987"/>
      <c r="F189" s="2987"/>
      <c r="G189" s="2987"/>
      <c r="H189" s="2987"/>
      <c r="I189" s="2987"/>
      <c r="J189" s="2987"/>
      <c r="K189" s="2987"/>
      <c r="L189" s="2987"/>
      <c r="M189" s="2987"/>
      <c r="N189" s="2987"/>
      <c r="O189" s="2987"/>
      <c r="P189" s="2988"/>
      <c r="Q189" s="1027" t="s">
        <v>1228</v>
      </c>
    </row>
    <row r="190" spans="1:24" s="43" customFormat="1" ht="10.5" customHeight="1" thickTop="1">
      <c r="A190" s="42"/>
      <c r="B190" s="85" t="s">
        <v>1820</v>
      </c>
      <c r="C190" s="98"/>
      <c r="D190" s="85"/>
      <c r="E190" s="99"/>
      <c r="F190" s="2380"/>
      <c r="G190" s="2380"/>
      <c r="H190" s="2380"/>
      <c r="I190" s="2380"/>
      <c r="J190" s="2380"/>
      <c r="K190" s="2380"/>
      <c r="L190" s="2380"/>
      <c r="M190" s="2380"/>
      <c r="N190" s="74"/>
      <c r="O190" s="70"/>
      <c r="P190" s="2373"/>
      <c r="Q190" s="422"/>
    </row>
    <row r="191" spans="1:24" s="43" customFormat="1" ht="11.25" customHeight="1">
      <c r="A191" s="2757"/>
      <c r="B191" s="2758"/>
      <c r="C191" s="2758"/>
      <c r="D191" s="2758"/>
      <c r="E191" s="2758"/>
      <c r="F191" s="2758"/>
      <c r="G191" s="2758"/>
      <c r="H191" s="2758"/>
      <c r="I191" s="2758"/>
      <c r="J191" s="2758"/>
      <c r="K191" s="2758"/>
      <c r="L191" s="2758"/>
      <c r="M191" s="2758"/>
      <c r="N191" s="2758"/>
      <c r="O191" s="2758"/>
      <c r="P191" s="2759"/>
      <c r="Q191" s="440"/>
      <c r="U191" s="1437"/>
    </row>
    <row r="192" spans="1:24" s="43" customFormat="1" ht="3" customHeight="1" thickBot="1">
      <c r="A192" s="42"/>
      <c r="C192" s="2380"/>
      <c r="D192" s="2380"/>
      <c r="E192" s="2380"/>
      <c r="F192" s="2380"/>
      <c r="G192" s="2380"/>
      <c r="H192" s="2380"/>
      <c r="I192" s="2380"/>
      <c r="J192" s="2380"/>
      <c r="K192" s="2380"/>
      <c r="L192" s="2380"/>
      <c r="M192" s="2380"/>
      <c r="N192" s="74"/>
      <c r="O192" s="70"/>
      <c r="P192" s="846"/>
    </row>
    <row r="193" spans="1:26" s="102" customFormat="1" ht="12.6" customHeight="1" thickBot="1">
      <c r="A193" s="152" t="s">
        <v>754</v>
      </c>
      <c r="B193" s="106" t="s">
        <v>3736</v>
      </c>
      <c r="C193" s="92"/>
      <c r="D193" s="59"/>
      <c r="E193" s="59"/>
      <c r="I193" s="1015"/>
      <c r="J193" s="1015"/>
      <c r="K193" s="556"/>
      <c r="L193" s="556"/>
      <c r="M193" s="2373">
        <v>7</v>
      </c>
      <c r="N193" s="7"/>
      <c r="O193" s="1040">
        <f>IF(OR(O$150&gt;0,O$265&gt;0,AND(NOT(K199="Yes"),NOT(K201="Yes"),NOT(K202="Yes"),NOT(K203="Yes"))),0,MIN($M$193,O196+O214))</f>
        <v>0</v>
      </c>
      <c r="P193" s="1040">
        <f>IF(OR(P$150&gt;0,P$265&gt;0,AND(NOT(L199="Yes"),NOT(L201="Yes"),NOT(L202="Yes"),NOT(L203="Yes"))),0,MIN($M$193,P196+P214))</f>
        <v>0</v>
      </c>
      <c r="Q193" s="109" t="s">
        <v>433</v>
      </c>
      <c r="R193" s="3189" t="s">
        <v>4568</v>
      </c>
      <c r="S193" s="3190"/>
      <c r="T193" s="3190"/>
      <c r="U193" s="3191"/>
    </row>
    <row r="194" spans="1:26" s="43" customFormat="1" ht="2.25" customHeight="1">
      <c r="A194" s="425"/>
      <c r="C194" s="165"/>
      <c r="D194" s="165"/>
      <c r="E194" s="172"/>
      <c r="F194" s="165"/>
      <c r="G194" s="165"/>
      <c r="H194" s="165"/>
      <c r="I194" s="165"/>
      <c r="J194" s="165"/>
      <c r="K194" s="165"/>
      <c r="L194" s="165"/>
      <c r="M194" s="165"/>
      <c r="N194" s="165"/>
      <c r="O194" s="165"/>
      <c r="P194" s="165"/>
      <c r="R194" s="3152"/>
      <c r="S194" s="3153"/>
      <c r="T194" s="3153"/>
      <c r="U194" s="3192"/>
    </row>
    <row r="195" spans="1:26" s="43" customFormat="1" ht="23.25" customHeight="1">
      <c r="A195" s="425"/>
      <c r="B195" s="2914" t="s">
        <v>4729</v>
      </c>
      <c r="C195" s="2914"/>
      <c r="D195" s="2914"/>
      <c r="E195" s="2914"/>
      <c r="F195" s="2914"/>
      <c r="G195" s="2914"/>
      <c r="H195" s="2914"/>
      <c r="I195" s="2914"/>
      <c r="J195" s="2914"/>
      <c r="K195" s="2914"/>
      <c r="L195" s="2914"/>
      <c r="M195" s="2914"/>
      <c r="N195" s="2914"/>
      <c r="O195" s="2914"/>
      <c r="P195" s="2914"/>
      <c r="R195" s="3152"/>
      <c r="S195" s="3153"/>
      <c r="T195" s="3153"/>
      <c r="U195" s="3192"/>
    </row>
    <row r="196" spans="1:26" s="43" customFormat="1" ht="12" customHeight="1">
      <c r="A196" s="138" t="s">
        <v>1936</v>
      </c>
      <c r="B196" s="177" t="s">
        <v>4600</v>
      </c>
      <c r="C196" s="165"/>
      <c r="D196" s="165"/>
      <c r="E196" s="165"/>
      <c r="F196" s="165"/>
      <c r="G196" s="165" t="s">
        <v>4595</v>
      </c>
      <c r="H196" s="165"/>
      <c r="I196" s="165"/>
      <c r="J196" s="165"/>
      <c r="K196" s="1111" t="s">
        <v>4755</v>
      </c>
      <c r="L196" s="1111" t="s">
        <v>4755</v>
      </c>
      <c r="M196" s="426">
        <v>5</v>
      </c>
      <c r="N196" s="47" t="s">
        <v>1936</v>
      </c>
      <c r="O196" s="521">
        <f>IF(O210=0,0,MIN($M$196,SUM(O210:O211)))</f>
        <v>0</v>
      </c>
      <c r="P196" s="521">
        <f>IF(SUM(P210:P211)=$M$211,0,MIN($M$196,SUM(P210:P211)))</f>
        <v>0</v>
      </c>
      <c r="R196" s="3152"/>
      <c r="S196" s="3153"/>
      <c r="T196" s="3153"/>
      <c r="U196" s="3192"/>
    </row>
    <row r="197" spans="1:26" s="33" customFormat="1" ht="11.25" customHeight="1">
      <c r="B197" s="1735" t="s">
        <v>4599</v>
      </c>
      <c r="D197" s="1735"/>
      <c r="E197" s="1735"/>
      <c r="F197" s="1735"/>
      <c r="G197" s="1735"/>
      <c r="H197" s="1735"/>
      <c r="I197" s="1735"/>
      <c r="J197" s="385"/>
      <c r="K197" s="2315"/>
      <c r="L197" s="4206"/>
      <c r="R197" s="3152"/>
      <c r="S197" s="3153"/>
      <c r="T197" s="3153"/>
      <c r="U197" s="3192"/>
      <c r="V197" s="548"/>
      <c r="W197" s="548"/>
      <c r="X197" s="548"/>
      <c r="Y197" s="548"/>
      <c r="Z197" s="548"/>
    </row>
    <row r="198" spans="1:26" s="43" customFormat="1" ht="12" customHeight="1">
      <c r="A198" s="425"/>
      <c r="B198" s="49" t="s">
        <v>4596</v>
      </c>
      <c r="C198" s="165"/>
      <c r="D198" s="165"/>
      <c r="E198" s="165"/>
      <c r="F198" s="165"/>
      <c r="G198" s="165"/>
      <c r="H198" s="165"/>
      <c r="I198" s="165"/>
      <c r="J198" s="165"/>
      <c r="K198" s="1111" t="s">
        <v>2444</v>
      </c>
      <c r="L198" s="1112" t="s">
        <v>2444</v>
      </c>
      <c r="N198" s="1133"/>
      <c r="P198" s="1134"/>
      <c r="R198" s="3152"/>
      <c r="S198" s="3153"/>
      <c r="T198" s="3153"/>
      <c r="U198" s="3192"/>
    </row>
    <row r="199" spans="1:26" s="390" customFormat="1" ht="11.25" customHeight="1">
      <c r="B199" s="986" t="s">
        <v>2372</v>
      </c>
      <c r="C199" s="2939" t="s">
        <v>4381</v>
      </c>
      <c r="D199" s="2939"/>
      <c r="E199" s="2939"/>
      <c r="F199" s="2939"/>
      <c r="G199" s="2939"/>
      <c r="H199" s="2939"/>
      <c r="I199" s="2939"/>
      <c r="J199" s="986" t="s">
        <v>2372</v>
      </c>
      <c r="K199" s="2315"/>
      <c r="L199" s="4206"/>
      <c r="M199" s="2977" t="s">
        <v>3639</v>
      </c>
      <c r="N199" s="2978"/>
      <c r="O199" s="2978"/>
      <c r="P199" s="2979"/>
      <c r="R199" s="3152"/>
      <c r="S199" s="3153"/>
      <c r="T199" s="3153"/>
      <c r="U199" s="3192"/>
      <c r="V199" s="1626"/>
      <c r="W199" s="1626"/>
      <c r="X199" s="1626"/>
      <c r="Y199" s="1626"/>
      <c r="Z199" s="1626"/>
    </row>
    <row r="200" spans="1:26" s="43" customFormat="1" ht="11.25" customHeight="1">
      <c r="A200" s="371"/>
      <c r="B200" s="373"/>
      <c r="C200" s="2939"/>
      <c r="D200" s="2939"/>
      <c r="E200" s="2939"/>
      <c r="F200" s="2939"/>
      <c r="G200" s="2939"/>
      <c r="H200" s="2939"/>
      <c r="I200" s="2939"/>
      <c r="J200" s="373"/>
      <c r="K200" s="1128"/>
      <c r="L200" s="1128"/>
      <c r="R200" s="3152"/>
      <c r="S200" s="3153"/>
      <c r="T200" s="3153"/>
      <c r="U200" s="3192"/>
    </row>
    <row r="201" spans="1:26" s="33" customFormat="1" ht="11.25" customHeight="1">
      <c r="B201" s="373" t="s">
        <v>2373</v>
      </c>
      <c r="C201" s="134" t="s">
        <v>4601</v>
      </c>
      <c r="D201" s="481"/>
      <c r="E201" s="481"/>
      <c r="F201" s="481"/>
      <c r="G201" s="481"/>
      <c r="H201" s="481"/>
      <c r="J201" s="373" t="s">
        <v>2373</v>
      </c>
      <c r="K201" s="2316"/>
      <c r="L201" s="4122"/>
      <c r="M201" s="2977" t="s">
        <v>3639</v>
      </c>
      <c r="N201" s="2978"/>
      <c r="O201" s="2978"/>
      <c r="P201" s="2979"/>
      <c r="R201" s="3152"/>
      <c r="S201" s="3153"/>
      <c r="T201" s="3153"/>
      <c r="U201" s="3192"/>
      <c r="V201" s="548"/>
      <c r="W201" s="548"/>
      <c r="X201" s="548"/>
      <c r="Y201" s="548"/>
      <c r="Z201" s="548"/>
    </row>
    <row r="202" spans="1:26" s="33" customFormat="1" ht="11.25" customHeight="1">
      <c r="B202" s="373" t="s">
        <v>2374</v>
      </c>
      <c r="C202" s="481" t="s">
        <v>4598</v>
      </c>
      <c r="D202" s="481"/>
      <c r="E202" s="481"/>
      <c r="F202" s="481"/>
      <c r="G202" s="481"/>
      <c r="H202" s="481"/>
      <c r="I202" s="481"/>
      <c r="J202" s="373" t="s">
        <v>2374</v>
      </c>
      <c r="K202" s="2317"/>
      <c r="L202" s="4207"/>
      <c r="R202" s="3152"/>
      <c r="S202" s="3153"/>
      <c r="T202" s="3153"/>
      <c r="U202" s="3192"/>
      <c r="V202" s="548"/>
      <c r="W202" s="548"/>
      <c r="X202" s="548"/>
      <c r="Y202" s="548"/>
      <c r="Z202" s="548"/>
    </row>
    <row r="203" spans="1:26" s="43" customFormat="1" ht="11.25" customHeight="1">
      <c r="A203" s="371"/>
      <c r="C203" s="373" t="s">
        <v>2375</v>
      </c>
      <c r="D203" s="428" t="s">
        <v>4380</v>
      </c>
      <c r="E203" s="1478"/>
      <c r="F203" s="1478"/>
      <c r="G203" s="1478"/>
      <c r="H203" s="1478"/>
      <c r="I203" s="1478"/>
      <c r="J203" s="373" t="s">
        <v>2375</v>
      </c>
      <c r="K203" s="2318"/>
      <c r="L203" s="4208"/>
      <c r="M203" s="481"/>
      <c r="N203" s="481"/>
      <c r="O203" s="481"/>
      <c r="P203" s="481"/>
      <c r="R203" s="3152"/>
      <c r="S203" s="3153"/>
      <c r="T203" s="3153"/>
      <c r="U203" s="3192"/>
    </row>
    <row r="204" spans="1:26" s="43" customFormat="1" ht="12" customHeight="1">
      <c r="A204" s="425"/>
      <c r="B204" s="49" t="s">
        <v>4597</v>
      </c>
      <c r="C204" s="165"/>
      <c r="D204" s="165"/>
      <c r="E204" s="165"/>
      <c r="F204" s="165"/>
      <c r="G204" s="165"/>
      <c r="H204" s="165"/>
      <c r="I204" s="165"/>
      <c r="J204" s="165"/>
      <c r="K204" s="1111" t="s">
        <v>2444</v>
      </c>
      <c r="L204" s="1112" t="s">
        <v>2444</v>
      </c>
      <c r="N204" s="1133"/>
      <c r="P204" s="1134"/>
      <c r="R204" s="3152"/>
      <c r="S204" s="3153"/>
      <c r="T204" s="3153"/>
      <c r="U204" s="3192"/>
    </row>
    <row r="205" spans="1:26" s="102" customFormat="1" ht="11.25" customHeight="1">
      <c r="A205" s="425"/>
      <c r="B205" s="373" t="s">
        <v>2376</v>
      </c>
      <c r="C205" s="2946" t="s">
        <v>4567</v>
      </c>
      <c r="D205" s="2946"/>
      <c r="E205" s="2946"/>
      <c r="F205" s="2946"/>
      <c r="G205" s="2946"/>
      <c r="J205" s="373" t="s">
        <v>2376</v>
      </c>
      <c r="K205" s="2319"/>
      <c r="L205" s="4122"/>
      <c r="M205" s="3002" t="s">
        <v>3639</v>
      </c>
      <c r="N205" s="3003"/>
      <c r="O205" s="3003"/>
      <c r="P205" s="3004"/>
      <c r="Q205" s="1612">
        <f>IF(K205="Yes",1,0)</f>
        <v>0</v>
      </c>
      <c r="R205" s="3152"/>
      <c r="S205" s="3153"/>
      <c r="T205" s="3153"/>
      <c r="U205" s="3192"/>
      <c r="V205" s="1612">
        <f>IF(L205="Yes",1,0)</f>
        <v>0</v>
      </c>
    </row>
    <row r="206" spans="1:26" s="33" customFormat="1" ht="11.25" customHeight="1">
      <c r="B206" s="385" t="s">
        <v>2392</v>
      </c>
      <c r="C206" s="481" t="s">
        <v>4310</v>
      </c>
      <c r="D206" s="481"/>
      <c r="E206" s="481"/>
      <c r="F206" s="481"/>
      <c r="G206" s="481"/>
      <c r="H206" s="481"/>
      <c r="J206" s="385" t="s">
        <v>2392</v>
      </c>
      <c r="K206" s="2320"/>
      <c r="L206" s="4123"/>
      <c r="M206" s="2980" t="s">
        <v>3639</v>
      </c>
      <c r="N206" s="2981"/>
      <c r="O206" s="2981"/>
      <c r="P206" s="2982"/>
      <c r="Q206" s="1612">
        <f t="shared" ref="Q206:Q207" si="18">IF(K206="Yes",1,0)</f>
        <v>0</v>
      </c>
      <c r="R206" s="3152"/>
      <c r="S206" s="3153"/>
      <c r="T206" s="3153"/>
      <c r="U206" s="3192"/>
      <c r="V206" s="1612">
        <f>IF(L206="Yes",1,0)</f>
        <v>0</v>
      </c>
      <c r="W206" s="548"/>
      <c r="X206" s="548"/>
      <c r="Y206" s="548"/>
      <c r="Z206" s="548"/>
    </row>
    <row r="207" spans="1:26" s="33" customFormat="1" ht="10.95" customHeight="1">
      <c r="B207" s="385" t="s">
        <v>2393</v>
      </c>
      <c r="C207" s="52" t="s">
        <v>4594</v>
      </c>
      <c r="D207" s="481"/>
      <c r="E207" s="481"/>
      <c r="F207" s="481"/>
      <c r="G207" s="481"/>
      <c r="J207" s="385" t="s">
        <v>2393</v>
      </c>
      <c r="K207" s="2321"/>
      <c r="L207" s="4124"/>
      <c r="M207" s="3183" t="s">
        <v>3639</v>
      </c>
      <c r="N207" s="3184"/>
      <c r="O207" s="3184"/>
      <c r="P207" s="3185"/>
      <c r="Q207" s="1612">
        <f t="shared" si="18"/>
        <v>0</v>
      </c>
      <c r="R207" s="3152"/>
      <c r="S207" s="3153"/>
      <c r="T207" s="3153"/>
      <c r="U207" s="3192"/>
      <c r="V207" s="1612">
        <f>IF(L207="Yes",1,0)</f>
        <v>0</v>
      </c>
      <c r="W207" s="548"/>
      <c r="X207" s="548"/>
      <c r="Y207" s="548"/>
      <c r="Z207" s="548"/>
    </row>
    <row r="208" spans="1:26" s="43" customFormat="1" ht="4.2" customHeight="1">
      <c r="A208" s="371"/>
      <c r="B208" s="373"/>
      <c r="C208" s="1735"/>
      <c r="D208" s="1735"/>
      <c r="E208" s="1735"/>
      <c r="F208" s="1735"/>
      <c r="G208" s="1735"/>
      <c r="H208" s="1735"/>
      <c r="I208" s="1735"/>
      <c r="K208" s="1128"/>
      <c r="L208" s="1128"/>
      <c r="R208" s="3193"/>
      <c r="S208" s="3194"/>
      <c r="T208" s="3194"/>
      <c r="U208" s="3195"/>
    </row>
    <row r="209" spans="1:26" ht="11.25" customHeight="1">
      <c r="B209" s="1715" t="s">
        <v>4311</v>
      </c>
      <c r="H209" s="158"/>
      <c r="N209" s="27"/>
      <c r="O209" s="27"/>
      <c r="P209" s="27"/>
      <c r="Q209" s="983"/>
      <c r="U209" s="158"/>
      <c r="V209" s="158"/>
      <c r="W209" s="158"/>
      <c r="X209" s="2370"/>
      <c r="Y209" s="385"/>
      <c r="Z209" s="158"/>
    </row>
    <row r="210" spans="1:26" ht="22.5" customHeight="1">
      <c r="A210" s="498"/>
      <c r="B210" s="562" t="s">
        <v>1939</v>
      </c>
      <c r="C210" s="2929" t="s">
        <v>4369</v>
      </c>
      <c r="D210" s="2929"/>
      <c r="E210" s="2929"/>
      <c r="F210" s="2929"/>
      <c r="G210" s="2929"/>
      <c r="H210" s="2929"/>
      <c r="I210" s="2929"/>
      <c r="J210" s="2929"/>
      <c r="K210" s="2929"/>
      <c r="L210" s="2929"/>
      <c r="M210" s="1077">
        <v>3</v>
      </c>
      <c r="N210" s="469" t="s">
        <v>1939</v>
      </c>
      <c r="O210" s="1625">
        <f>IF(AND(K199="Yes",K201="Yes",K202="Yes",K197="Agree"),SUM(Q205:Q207),0)</f>
        <v>0</v>
      </c>
      <c r="P210" s="1625">
        <f>IF(AND(L197="Agree",L199="Yes",L201="Yes",L202="Yes"),SUM(V205:V207),0)</f>
        <v>0</v>
      </c>
      <c r="Q210" s="1477"/>
      <c r="R210" s="974"/>
    </row>
    <row r="211" spans="1:26" ht="12" customHeight="1">
      <c r="A211" s="498"/>
      <c r="B211" s="562" t="s">
        <v>1941</v>
      </c>
      <c r="C211" s="985" t="s">
        <v>4368</v>
      </c>
      <c r="D211" s="985"/>
      <c r="E211" s="985"/>
      <c r="F211" s="985"/>
      <c r="G211" s="985"/>
      <c r="H211" s="985"/>
      <c r="I211" s="985"/>
      <c r="J211" s="428" t="s">
        <v>3588</v>
      </c>
      <c r="K211" s="33"/>
      <c r="L211" s="1473" t="str">
        <f>'Part I-Project Information'!$N$39</f>
        <v>No</v>
      </c>
      <c r="M211" s="2389">
        <v>2</v>
      </c>
      <c r="N211" s="430" t="s">
        <v>1941</v>
      </c>
      <c r="O211" s="2322"/>
      <c r="P211" s="4209"/>
      <c r="Q211" s="1477" t="str">
        <f>IF(OR($O211=$M211,$O211=0,$O211=""),"","*CHECK!*")</f>
        <v/>
      </c>
      <c r="R211" s="974" t="s">
        <v>4767</v>
      </c>
    </row>
    <row r="212" spans="1:26" ht="12" customHeight="1">
      <c r="A212" s="498"/>
      <c r="B212" s="562"/>
      <c r="C212" s="2946" t="s">
        <v>4569</v>
      </c>
      <c r="D212" s="2946"/>
      <c r="E212" s="2946"/>
      <c r="F212" s="2946"/>
      <c r="G212" s="2946"/>
      <c r="H212" s="2946"/>
      <c r="I212" s="1448"/>
      <c r="J212" s="428" t="s">
        <v>3438</v>
      </c>
      <c r="K212" s="1475"/>
      <c r="L212" s="1474" t="str">
        <f>'Part I-Project Information'!$O$38</f>
        <v>101.06</v>
      </c>
      <c r="M212" s="1449"/>
      <c r="N212" s="1077"/>
      <c r="O212" s="1077"/>
      <c r="P212" s="1077"/>
      <c r="Q212" s="978"/>
      <c r="R212" s="974"/>
    </row>
    <row r="213" spans="1:26" ht="12" customHeight="1">
      <c r="A213" s="498"/>
      <c r="B213" s="465"/>
      <c r="C213" s="2946"/>
      <c r="D213" s="2946"/>
      <c r="E213" s="2946"/>
      <c r="F213" s="2946"/>
      <c r="G213" s="2946"/>
      <c r="H213" s="2946"/>
      <c r="J213" s="428" t="s">
        <v>3265</v>
      </c>
      <c r="K213" s="33"/>
      <c r="L213" s="1472" t="str">
        <f>'Part IV-A-Uses of Funds'!$H$152</f>
        <v>&lt;&lt;Select&gt;&gt;</v>
      </c>
      <c r="M213" s="1472"/>
      <c r="N213" s="27"/>
      <c r="O213" s="27"/>
      <c r="P213" s="27"/>
      <c r="R213" s="158"/>
    </row>
    <row r="214" spans="1:26" ht="12" customHeight="1">
      <c r="A214" s="138" t="s">
        <v>1938</v>
      </c>
      <c r="B214" s="177" t="s">
        <v>4312</v>
      </c>
      <c r="D214" s="33"/>
      <c r="F214" s="1443"/>
      <c r="K214" s="1104"/>
      <c r="L214" s="374" t="str">
        <f>IF(OR($O214=$M214,$O214=0,$O214=""),"","* * Check Score! * *")</f>
        <v/>
      </c>
      <c r="M214" s="426">
        <v>2</v>
      </c>
      <c r="N214" s="63" t="s">
        <v>1938</v>
      </c>
      <c r="O214" s="2291"/>
      <c r="P214" s="4210"/>
      <c r="Q214" s="978" t="str">
        <f>IF(OR($O214=$M214,$O214=0,$O214=""),"","*CHECK!*")</f>
        <v/>
      </c>
      <c r="R214" s="974" t="s">
        <v>4767</v>
      </c>
    </row>
    <row r="215" spans="1:26" s="43" customFormat="1" ht="9.75" customHeight="1">
      <c r="A215" s="138"/>
      <c r="B215" s="102"/>
      <c r="C215" s="36" t="s">
        <v>2703</v>
      </c>
      <c r="D215" s="39"/>
      <c r="E215" s="36"/>
      <c r="F215" s="846"/>
      <c r="G215" s="102"/>
      <c r="H215" s="134"/>
      <c r="I215" s="102"/>
      <c r="J215" s="587" t="str">
        <f>'Part I-Project Information'!$H$105</f>
        <v>Flexible</v>
      </c>
      <c r="K215" s="856"/>
      <c r="L215" s="102"/>
      <c r="M215" s="102"/>
      <c r="N215" s="102"/>
      <c r="O215" s="102"/>
      <c r="P215" s="102"/>
      <c r="T215" s="374" t="str">
        <f>IF(OR($O214=$M214,$O214=0,$O214=""),"","* * Check Score! * *")</f>
        <v/>
      </c>
      <c r="V215" s="1023"/>
      <c r="W215" s="1023"/>
    </row>
    <row r="216" spans="1:26" s="43" customFormat="1" ht="11.25" customHeight="1">
      <c r="A216" s="175"/>
      <c r="B216" s="174" t="s">
        <v>3589</v>
      </c>
      <c r="C216" s="36" t="s">
        <v>3640</v>
      </c>
      <c r="D216" s="102"/>
      <c r="E216" s="102"/>
      <c r="F216" s="102"/>
      <c r="G216" s="102"/>
      <c r="H216" s="102"/>
      <c r="I216" s="102"/>
      <c r="J216" s="2974"/>
      <c r="K216" s="2975"/>
      <c r="L216" s="2975"/>
      <c r="M216" s="2975"/>
      <c r="N216" s="2975"/>
      <c r="O216" s="2975"/>
      <c r="P216" s="2976"/>
      <c r="V216" s="1023"/>
      <c r="W216" s="1023"/>
    </row>
    <row r="217" spans="1:26" s="43" customFormat="1" ht="11.25" customHeight="1">
      <c r="A217" s="175"/>
      <c r="B217" s="455" t="s">
        <v>3590</v>
      </c>
      <c r="C217" s="428" t="s">
        <v>3641</v>
      </c>
      <c r="D217" s="102"/>
      <c r="E217" s="102"/>
      <c r="F217" s="102"/>
      <c r="G217" s="102"/>
      <c r="H217" s="102"/>
      <c r="I217" s="1412" t="str">
        <f>IF($J$217="Government", "Additional documentation required - see QAP.","")</f>
        <v/>
      </c>
      <c r="J217" s="2877" t="s">
        <v>2731</v>
      </c>
      <c r="K217" s="3143"/>
      <c r="L217" s="3144"/>
      <c r="M217" s="102"/>
      <c r="N217" s="102"/>
      <c r="O217" s="102"/>
      <c r="P217" s="102"/>
      <c r="V217" s="1023"/>
      <c r="W217" s="1023"/>
    </row>
    <row r="218" spans="1:26" ht="11.25" customHeight="1">
      <c r="A218" s="176"/>
      <c r="B218" s="455" t="s">
        <v>3591</v>
      </c>
      <c r="C218" s="428" t="s">
        <v>4570</v>
      </c>
      <c r="D218" s="33"/>
      <c r="E218" s="33"/>
      <c r="F218" s="561"/>
      <c r="G218" s="561"/>
      <c r="H218" s="561"/>
      <c r="I218" s="33"/>
      <c r="J218" s="2256"/>
      <c r="K218" s="3139" t="s">
        <v>4314</v>
      </c>
      <c r="L218" s="3140"/>
      <c r="M218" s="3140"/>
      <c r="N218" s="3140"/>
      <c r="O218" s="1439"/>
      <c r="P218" s="92"/>
      <c r="V218" s="1023"/>
      <c r="W218" s="1023"/>
    </row>
    <row r="219" spans="1:26" ht="11.25" customHeight="1">
      <c r="A219" s="176"/>
      <c r="B219" s="385" t="s">
        <v>3593</v>
      </c>
      <c r="C219" s="428" t="s">
        <v>4313</v>
      </c>
      <c r="D219" s="33"/>
      <c r="E219" s="33"/>
      <c r="F219" s="561"/>
      <c r="G219" s="561"/>
      <c r="H219" s="561"/>
      <c r="I219" s="33"/>
      <c r="J219" s="2257"/>
      <c r="K219" s="3139"/>
      <c r="L219" s="3140"/>
      <c r="M219" s="3140"/>
      <c r="N219" s="3140"/>
      <c r="O219" s="2323"/>
      <c r="P219" s="1440" t="s">
        <v>3596</v>
      </c>
      <c r="V219" s="1023"/>
      <c r="W219" s="1023"/>
    </row>
    <row r="220" spans="1:26" ht="11.25" customHeight="1">
      <c r="A220" s="176"/>
      <c r="B220" s="385" t="s">
        <v>3594</v>
      </c>
      <c r="C220" s="428" t="s">
        <v>4316</v>
      </c>
      <c r="D220" s="33"/>
      <c r="E220" s="33"/>
      <c r="F220" s="561"/>
      <c r="G220" s="561"/>
      <c r="H220" s="561"/>
      <c r="I220" s="33"/>
      <c r="J220" s="2258"/>
      <c r="L220" s="1441" t="s">
        <v>4315</v>
      </c>
      <c r="N220" s="1442"/>
      <c r="O220" s="3141"/>
      <c r="P220" s="3142"/>
      <c r="V220" s="1023"/>
      <c r="W220" s="1023"/>
    </row>
    <row r="221" spans="1:26" ht="2.25" customHeight="1">
      <c r="A221" s="176"/>
      <c r="G221" s="389"/>
      <c r="L221" s="1086"/>
      <c r="V221" s="1023"/>
      <c r="W221" s="1023"/>
    </row>
    <row r="222" spans="1:26" ht="21.75" customHeight="1">
      <c r="A222" s="3168" t="s">
        <v>3824</v>
      </c>
      <c r="B222" s="3166" t="s">
        <v>3822</v>
      </c>
      <c r="C222" s="3167"/>
      <c r="D222" s="2781"/>
      <c r="E222" s="2782"/>
      <c r="F222" s="2782"/>
      <c r="G222" s="2782"/>
      <c r="H222" s="2782"/>
      <c r="I222" s="2782"/>
      <c r="J222" s="2782"/>
      <c r="K222" s="2782"/>
      <c r="L222" s="2782"/>
      <c r="M222" s="2782"/>
      <c r="N222" s="2782"/>
      <c r="O222" s="2782"/>
      <c r="P222" s="2783"/>
      <c r="Q222" s="440"/>
      <c r="V222" s="1023"/>
      <c r="W222" s="1023"/>
    </row>
    <row r="223" spans="1:26" ht="22.5" customHeight="1">
      <c r="A223" s="3169"/>
      <c r="B223" s="3137" t="s">
        <v>3823</v>
      </c>
      <c r="C223" s="3138"/>
      <c r="D223" s="2778"/>
      <c r="E223" s="2779"/>
      <c r="F223" s="2779"/>
      <c r="G223" s="2779"/>
      <c r="H223" s="2779"/>
      <c r="I223" s="2779"/>
      <c r="J223" s="2779"/>
      <c r="K223" s="2779"/>
      <c r="L223" s="2779"/>
      <c r="M223" s="2779"/>
      <c r="N223" s="2779"/>
      <c r="O223" s="2779"/>
      <c r="P223" s="2780"/>
      <c r="Q223" s="440"/>
      <c r="V223" s="1023"/>
      <c r="W223" s="1023"/>
    </row>
    <row r="224" spans="1:26" ht="22.5" customHeight="1">
      <c r="A224" s="3170"/>
      <c r="B224" s="3196" t="s">
        <v>4365</v>
      </c>
      <c r="C224" s="3197"/>
      <c r="D224" s="2754"/>
      <c r="E224" s="2920"/>
      <c r="F224" s="2920"/>
      <c r="G224" s="2920"/>
      <c r="H224" s="2920"/>
      <c r="I224" s="2920"/>
      <c r="J224" s="2920"/>
      <c r="K224" s="2920"/>
      <c r="L224" s="2920"/>
      <c r="M224" s="2920"/>
      <c r="N224" s="2920"/>
      <c r="O224" s="2920"/>
      <c r="P224" s="2921"/>
      <c r="Q224" s="440"/>
      <c r="V224" s="1023"/>
      <c r="W224" s="1023"/>
    </row>
    <row r="225" spans="1:23" ht="11.25" customHeight="1">
      <c r="B225" s="36" t="s">
        <v>3338</v>
      </c>
      <c r="G225" s="2945" t="s">
        <v>2560</v>
      </c>
      <c r="H225" s="2945"/>
      <c r="J225" s="2943"/>
      <c r="K225" s="2944"/>
      <c r="L225" s="4211"/>
      <c r="M225" s="4212"/>
      <c r="V225" s="1023"/>
      <c r="W225" s="1023"/>
    </row>
    <row r="226" spans="1:23" s="43" customFormat="1" ht="11.25" customHeight="1">
      <c r="C226" s="36" t="s">
        <v>3339</v>
      </c>
      <c r="D226" s="2380"/>
      <c r="G226" s="3208">
        <f>'Part IV-A-Uses of Funds'!$G$132</f>
        <v>12452350</v>
      </c>
      <c r="H226" s="3209"/>
      <c r="J226" s="3206">
        <f>IF($J225=0,0,$J225/$G$226)</f>
        <v>0</v>
      </c>
      <c r="K226" s="3207"/>
      <c r="L226" s="3206">
        <f>IF($L225=0,0,$L225/$G$226)</f>
        <v>0</v>
      </c>
      <c r="M226" s="3207"/>
      <c r="V226" s="1023"/>
      <c r="W226" s="1023"/>
    </row>
    <row r="227" spans="1:23" s="102" customFormat="1" ht="10.5" customHeight="1" thickBot="1">
      <c r="A227" s="42"/>
      <c r="B227" s="1132" t="s">
        <v>3566</v>
      </c>
      <c r="C227" s="42"/>
      <c r="D227" s="48"/>
      <c r="E227" s="48"/>
      <c r="F227" s="48"/>
      <c r="G227" s="48"/>
      <c r="H227" s="36"/>
      <c r="I227" s="36"/>
      <c r="J227" s="36"/>
      <c r="K227" s="36"/>
      <c r="M227" s="46"/>
      <c r="N227" s="6"/>
      <c r="O227" s="3"/>
      <c r="P227" s="2373"/>
    </row>
    <row r="228" spans="1:23" s="43" customFormat="1" ht="21.75" customHeight="1" thickTop="1" thickBot="1">
      <c r="A228" s="2986" t="s">
        <v>7136</v>
      </c>
      <c r="B228" s="2987"/>
      <c r="C228" s="2987"/>
      <c r="D228" s="2987"/>
      <c r="E228" s="2987"/>
      <c r="F228" s="2987"/>
      <c r="G228" s="2987"/>
      <c r="H228" s="2987"/>
      <c r="I228" s="2987"/>
      <c r="J228" s="2987"/>
      <c r="K228" s="2987"/>
      <c r="L228" s="2987"/>
      <c r="M228" s="2987"/>
      <c r="N228" s="2987"/>
      <c r="O228" s="2987"/>
      <c r="P228" s="2988"/>
      <c r="Q228" s="1027" t="s">
        <v>1228</v>
      </c>
    </row>
    <row r="229" spans="1:23" s="102" customFormat="1" ht="11.4" customHeight="1" thickTop="1">
      <c r="A229" s="42"/>
      <c r="B229" s="97" t="s">
        <v>1820</v>
      </c>
      <c r="C229" s="42"/>
      <c r="D229" s="97"/>
      <c r="E229" s="2392"/>
      <c r="F229" s="2392"/>
      <c r="G229" s="2392"/>
      <c r="H229" s="2392"/>
      <c r="I229" s="2392"/>
      <c r="J229" s="2392"/>
      <c r="K229" s="2392"/>
      <c r="L229" s="2392"/>
      <c r="M229" s="2392"/>
      <c r="N229" s="93"/>
      <c r="O229" s="836"/>
      <c r="P229" s="2373"/>
      <c r="Q229" s="422"/>
    </row>
    <row r="230" spans="1:23" s="43" customFormat="1" ht="11.25" customHeight="1">
      <c r="A230" s="2757"/>
      <c r="B230" s="2758"/>
      <c r="C230" s="2758"/>
      <c r="D230" s="2758"/>
      <c r="E230" s="2758"/>
      <c r="F230" s="2758"/>
      <c r="G230" s="2758"/>
      <c r="H230" s="2758"/>
      <c r="I230" s="2758"/>
      <c r="J230" s="2758"/>
      <c r="K230" s="2758"/>
      <c r="L230" s="2758"/>
      <c r="M230" s="2758"/>
      <c r="N230" s="2758"/>
      <c r="O230" s="2758"/>
      <c r="P230" s="2759"/>
      <c r="Q230" s="440"/>
    </row>
    <row r="231" spans="1:23" s="43" customFormat="1" ht="3" customHeight="1" thickBot="1">
      <c r="A231" s="42"/>
      <c r="C231" s="2380"/>
      <c r="D231" s="2380"/>
      <c r="E231" s="2380"/>
      <c r="F231" s="2380"/>
      <c r="G231" s="2380"/>
      <c r="H231" s="2380"/>
      <c r="I231" s="2380"/>
      <c r="J231" s="2380"/>
      <c r="K231" s="2380"/>
      <c r="L231" s="2380"/>
      <c r="M231" s="2380"/>
      <c r="N231" s="74"/>
      <c r="O231" s="70"/>
      <c r="P231" s="846"/>
    </row>
    <row r="232" spans="1:23" s="43" customFormat="1" ht="13.5" customHeight="1" thickBot="1">
      <c r="A232" s="152" t="s">
        <v>287</v>
      </c>
      <c r="B232" s="106" t="s">
        <v>3737</v>
      </c>
      <c r="C232" s="2380"/>
      <c r="D232" s="2380"/>
      <c r="E232" s="2380"/>
      <c r="F232" s="2380"/>
      <c r="G232" s="2380"/>
      <c r="H232" s="2380"/>
      <c r="I232" s="2380"/>
      <c r="J232" s="2380"/>
      <c r="M232" s="846">
        <v>3</v>
      </c>
      <c r="N232" s="74"/>
      <c r="O232" s="70"/>
      <c r="P232" s="4201"/>
      <c r="Q232" s="109" t="s">
        <v>433</v>
      </c>
      <c r="R232" s="974" t="s">
        <v>2626</v>
      </c>
    </row>
    <row r="233" spans="1:23" s="43" customFormat="1" ht="13.5" customHeight="1">
      <c r="A233" s="152"/>
      <c r="B233" s="103" t="s">
        <v>4117</v>
      </c>
      <c r="C233" s="2380"/>
      <c r="D233" s="2380"/>
      <c r="E233" s="2380"/>
      <c r="F233" s="2380"/>
      <c r="G233" s="2380"/>
      <c r="H233" s="2380"/>
      <c r="I233" s="2380"/>
      <c r="J233" s="2380"/>
      <c r="K233" s="2378"/>
      <c r="L233" s="1444" t="str">
        <f>IF(OR(O$150&gt;0,O$265&gt;0),"Applicant is ineligible for points in this section!  Points claimed in VI or IX.","")</f>
        <v>Applicant is ineligible for points in this section!  Points claimed in VI or IX.</v>
      </c>
      <c r="M233" s="846"/>
      <c r="N233" s="74"/>
      <c r="O233" s="2259"/>
      <c r="P233" s="4213"/>
      <c r="Q233" s="109"/>
      <c r="R233" s="3202" t="s">
        <v>4766</v>
      </c>
      <c r="S233" s="3202"/>
      <c r="T233" s="3202"/>
      <c r="U233" s="3202"/>
    </row>
    <row r="234" spans="1:23" s="43" customFormat="1" ht="13.5" customHeight="1">
      <c r="A234" s="152"/>
      <c r="B234" s="113" t="s">
        <v>3738</v>
      </c>
      <c r="C234" s="2380"/>
      <c r="D234" s="2380"/>
      <c r="E234" s="2380"/>
      <c r="F234" s="2380"/>
      <c r="G234" s="2380"/>
      <c r="H234" s="2380"/>
      <c r="I234" s="2380"/>
      <c r="J234" s="2380"/>
      <c r="K234" s="2378" t="s">
        <v>3141</v>
      </c>
      <c r="L234" s="2378" t="s">
        <v>251</v>
      </c>
      <c r="M234" s="846"/>
      <c r="N234" s="74"/>
      <c r="O234" s="70"/>
      <c r="P234" s="70"/>
      <c r="Q234" s="109"/>
      <c r="R234" s="3202"/>
      <c r="S234" s="3202"/>
      <c r="T234" s="3202"/>
      <c r="U234" s="3202"/>
    </row>
    <row r="235" spans="1:23" s="43" customFormat="1" ht="11.25" customHeight="1">
      <c r="A235" s="138"/>
      <c r="C235" s="55" t="s">
        <v>4571</v>
      </c>
      <c r="K235" s="1108">
        <f>$O$193</f>
        <v>0</v>
      </c>
      <c r="L235" s="1109">
        <f>$P$193</f>
        <v>0</v>
      </c>
      <c r="N235" s="455" t="s">
        <v>2372</v>
      </c>
      <c r="O235" s="2256"/>
      <c r="P235" s="518"/>
      <c r="R235" s="3202"/>
      <c r="S235" s="3202"/>
      <c r="T235" s="3202"/>
      <c r="U235" s="3202"/>
    </row>
    <row r="236" spans="1:23" s="43" customFormat="1" ht="11.25" customHeight="1">
      <c r="A236" s="138"/>
      <c r="C236" s="55" t="s">
        <v>4756</v>
      </c>
      <c r="K236" s="1108">
        <f>$O$112</f>
        <v>4</v>
      </c>
      <c r="L236" s="1109">
        <f>$P$112</f>
        <v>0</v>
      </c>
      <c r="N236" s="455" t="s">
        <v>2373</v>
      </c>
      <c r="O236" s="2257"/>
      <c r="P236" s="519"/>
      <c r="R236" s="3202"/>
      <c r="S236" s="3202"/>
      <c r="T236" s="3202"/>
      <c r="U236" s="3202"/>
    </row>
    <row r="237" spans="1:23" s="43" customFormat="1" ht="11.25" customHeight="1">
      <c r="C237" s="55" t="s">
        <v>4572</v>
      </c>
      <c r="N237" s="455" t="s">
        <v>2374</v>
      </c>
      <c r="O237" s="2258"/>
      <c r="P237" s="519"/>
      <c r="R237" s="3202"/>
      <c r="S237" s="3202"/>
      <c r="T237" s="3202"/>
      <c r="U237" s="3202"/>
    </row>
    <row r="238" spans="1:23" s="43" customFormat="1" ht="11.25" customHeight="1">
      <c r="A238" s="138"/>
      <c r="C238" s="55" t="s">
        <v>4757</v>
      </c>
      <c r="K238" s="1433" t="str">
        <f>'Part I-Project Information'!F38</f>
        <v>Columbus</v>
      </c>
      <c r="L238" s="2399"/>
      <c r="N238" s="455" t="s">
        <v>2375</v>
      </c>
      <c r="O238" s="455"/>
      <c r="P238" s="519"/>
      <c r="R238" s="3202"/>
      <c r="S238" s="3202"/>
      <c r="T238" s="3202"/>
      <c r="U238" s="3202"/>
    </row>
    <row r="239" spans="1:23" s="43" customFormat="1" ht="11.25" customHeight="1">
      <c r="A239" s="138"/>
      <c r="C239" s="55" t="s">
        <v>4758</v>
      </c>
      <c r="K239" s="1108">
        <f>$O$150</f>
        <v>1</v>
      </c>
      <c r="L239" s="1109">
        <f>$P$150</f>
        <v>0</v>
      </c>
      <c r="N239" s="455" t="s">
        <v>2376</v>
      </c>
      <c r="O239" s="2256"/>
      <c r="P239" s="519"/>
      <c r="R239" s="3202"/>
      <c r="S239" s="3202"/>
      <c r="T239" s="3202"/>
      <c r="U239" s="3202"/>
    </row>
    <row r="240" spans="1:23" s="43" customFormat="1" ht="11.25" customHeight="1">
      <c r="A240" s="138"/>
      <c r="C240" s="55" t="s">
        <v>4759</v>
      </c>
      <c r="K240" s="1108">
        <f>$O$265</f>
        <v>3</v>
      </c>
      <c r="L240" s="1109">
        <f>$P$265</f>
        <v>0</v>
      </c>
      <c r="N240" s="455" t="s">
        <v>2375</v>
      </c>
      <c r="O240" s="2258"/>
      <c r="P240" s="520"/>
      <c r="R240" s="3202"/>
      <c r="S240" s="3202"/>
      <c r="T240" s="3202"/>
      <c r="U240" s="3202"/>
    </row>
    <row r="241" spans="1:23" s="43" customFormat="1" ht="3" customHeight="1">
      <c r="A241" s="42"/>
      <c r="C241" s="2380"/>
      <c r="D241" s="2380"/>
      <c r="E241" s="2380"/>
      <c r="F241" s="2380"/>
      <c r="G241" s="2380"/>
      <c r="H241" s="2380"/>
      <c r="I241" s="2380"/>
      <c r="J241" s="2380"/>
      <c r="K241" s="2380"/>
      <c r="L241" s="2380"/>
      <c r="M241" s="2380"/>
      <c r="N241" s="74"/>
      <c r="O241" s="70"/>
      <c r="P241" s="846"/>
      <c r="R241" s="3202"/>
      <c r="S241" s="3202"/>
      <c r="T241" s="3202"/>
      <c r="U241" s="3202"/>
    </row>
    <row r="242" spans="1:23" ht="11.25" customHeight="1">
      <c r="A242" s="138" t="s">
        <v>1936</v>
      </c>
      <c r="B242" s="177" t="s">
        <v>3740</v>
      </c>
      <c r="D242" s="33"/>
      <c r="G242" s="465" t="s">
        <v>3592</v>
      </c>
      <c r="N242" s="27"/>
      <c r="O242" s="27"/>
      <c r="P242" s="27"/>
      <c r="Q242" s="983"/>
      <c r="R242" s="3202"/>
      <c r="S242" s="3202"/>
      <c r="T242" s="3202"/>
      <c r="U242" s="3202"/>
    </row>
    <row r="243" spans="1:23" s="33" customFormat="1" ht="11.25" customHeight="1">
      <c r="A243" s="498"/>
      <c r="C243" s="134" t="s">
        <v>3644</v>
      </c>
      <c r="E243" s="3212"/>
      <c r="F243" s="3213"/>
      <c r="G243" s="3213"/>
      <c r="H243" s="3213"/>
      <c r="I243" s="3214"/>
      <c r="J243" s="2385" t="s">
        <v>2625</v>
      </c>
      <c r="K243" s="3186"/>
      <c r="L243" s="3187"/>
      <c r="M243" s="3187"/>
      <c r="N243" s="3187"/>
      <c r="O243" s="3188"/>
      <c r="P243" s="548"/>
      <c r="Q243" s="983"/>
      <c r="R243" s="3202"/>
      <c r="S243" s="3202"/>
      <c r="T243" s="3202"/>
      <c r="U243" s="3202"/>
    </row>
    <row r="244" spans="1:23" s="33" customFormat="1" ht="11.25" customHeight="1">
      <c r="A244" s="498"/>
      <c r="C244" s="134" t="s">
        <v>2144</v>
      </c>
      <c r="E244" s="3203"/>
      <c r="F244" s="3204"/>
      <c r="G244" s="3205"/>
      <c r="H244" s="1716" t="s">
        <v>1679</v>
      </c>
      <c r="I244" s="2324"/>
      <c r="J244" s="428" t="s">
        <v>1755</v>
      </c>
      <c r="K244" s="3203"/>
      <c r="L244" s="3204"/>
      <c r="M244" s="3204"/>
      <c r="N244" s="3204"/>
      <c r="O244" s="3205"/>
      <c r="Q244" s="983"/>
      <c r="R244" s="3202"/>
      <c r="S244" s="3202"/>
      <c r="T244" s="3202"/>
      <c r="U244" s="3202"/>
      <c r="V244" s="1023"/>
      <c r="W244" s="1023"/>
    </row>
    <row r="245" spans="1:23" ht="3" customHeight="1">
      <c r="A245" s="498"/>
      <c r="C245" s="985"/>
      <c r="D245" s="985"/>
      <c r="E245" s="985"/>
      <c r="F245" s="985"/>
      <c r="G245" s="985"/>
      <c r="H245" s="985"/>
      <c r="I245" s="985"/>
      <c r="J245" s="985"/>
      <c r="K245" s="985"/>
      <c r="L245" s="985"/>
      <c r="N245" s="27"/>
      <c r="O245" s="27"/>
      <c r="P245" s="27"/>
      <c r="Q245" s="983"/>
      <c r="R245" s="3202"/>
      <c r="S245" s="3202"/>
      <c r="T245" s="3202"/>
      <c r="U245" s="3202"/>
    </row>
    <row r="246" spans="1:23" ht="10.5" customHeight="1">
      <c r="A246" s="498"/>
      <c r="B246" s="562" t="s">
        <v>1939</v>
      </c>
      <c r="C246" s="985" t="s">
        <v>3739</v>
      </c>
      <c r="D246" s="981"/>
      <c r="E246" s="981"/>
      <c r="F246" s="981"/>
      <c r="G246" s="981"/>
      <c r="H246" s="981"/>
      <c r="I246" s="981"/>
      <c r="J246" s="981"/>
      <c r="K246" s="981"/>
      <c r="L246" s="981"/>
      <c r="M246" s="981"/>
      <c r="N246" s="981"/>
      <c r="O246" s="506" t="s">
        <v>2444</v>
      </c>
      <c r="P246" s="506" t="s">
        <v>2444</v>
      </c>
      <c r="Q246" s="981"/>
      <c r="R246" s="3202"/>
      <c r="S246" s="3202"/>
      <c r="T246" s="3202"/>
      <c r="U246" s="3202"/>
    </row>
    <row r="247" spans="1:23" s="33" customFormat="1" ht="21.75" customHeight="1">
      <c r="A247" s="2389"/>
      <c r="B247" s="588"/>
      <c r="C247" s="2946" t="s">
        <v>4760</v>
      </c>
      <c r="D247" s="2946"/>
      <c r="E247" s="2946"/>
      <c r="F247" s="2946"/>
      <c r="G247" s="2946"/>
      <c r="H247" s="2946"/>
      <c r="I247" s="2946"/>
      <c r="J247" s="2946"/>
      <c r="K247" s="2946"/>
      <c r="L247" s="2946"/>
      <c r="M247" s="2946"/>
      <c r="N247" s="388" t="s">
        <v>1939</v>
      </c>
      <c r="O247" s="2271"/>
      <c r="P247" s="1089"/>
      <c r="Q247" s="981"/>
      <c r="V247" s="1023"/>
      <c r="W247" s="1023"/>
    </row>
    <row r="248" spans="1:23" ht="11.25" customHeight="1">
      <c r="A248" s="498"/>
      <c r="B248" s="562" t="s">
        <v>1941</v>
      </c>
      <c r="C248" s="985" t="s">
        <v>3741</v>
      </c>
      <c r="D248" s="981"/>
      <c r="E248" s="981"/>
      <c r="F248" s="981"/>
      <c r="G248" s="465" t="s">
        <v>3592</v>
      </c>
      <c r="H248" s="981"/>
      <c r="I248" s="981"/>
      <c r="J248" s="981"/>
      <c r="K248" s="981"/>
      <c r="L248" s="981"/>
      <c r="M248" s="981"/>
      <c r="N248" s="981"/>
      <c r="O248" s="506" t="s">
        <v>2444</v>
      </c>
      <c r="P248" s="506" t="s">
        <v>2444</v>
      </c>
      <c r="Q248" s="981"/>
    </row>
    <row r="249" spans="1:23" ht="21" customHeight="1">
      <c r="A249" s="498"/>
      <c r="B249" s="987"/>
      <c r="C249" s="2939" t="s">
        <v>4573</v>
      </c>
      <c r="D249" s="2939"/>
      <c r="E249" s="2939"/>
      <c r="F249" s="2939"/>
      <c r="G249" s="2939"/>
      <c r="H249" s="2939"/>
      <c r="I249" s="2939"/>
      <c r="J249" s="2939"/>
      <c r="K249" s="2939"/>
      <c r="L249" s="2939"/>
      <c r="M249" s="2939"/>
      <c r="N249" s="388" t="s">
        <v>1941</v>
      </c>
      <c r="O249" s="2271"/>
      <c r="P249" s="1089"/>
      <c r="Q249" s="984"/>
      <c r="V249" s="1023"/>
      <c r="W249" s="1023"/>
    </row>
    <row r="250" spans="1:23" ht="11.25" customHeight="1">
      <c r="A250" s="138"/>
      <c r="B250" s="847" t="s">
        <v>2468</v>
      </c>
      <c r="C250" s="559" t="s">
        <v>3595</v>
      </c>
      <c r="D250" s="33"/>
      <c r="N250" s="27"/>
      <c r="O250" s="27"/>
      <c r="P250" s="27"/>
      <c r="Q250" s="114"/>
    </row>
    <row r="251" spans="1:23" s="33" customFormat="1" ht="21.75" customHeight="1">
      <c r="A251" s="498"/>
      <c r="B251" s="988"/>
      <c r="C251" s="2929" t="s">
        <v>3743</v>
      </c>
      <c r="D251" s="2929"/>
      <c r="E251" s="2929"/>
      <c r="F251" s="2929"/>
      <c r="G251" s="2929"/>
      <c r="H251" s="2929"/>
      <c r="I251" s="2929"/>
      <c r="J251" s="2929"/>
      <c r="K251" s="2929"/>
      <c r="L251" s="2929"/>
      <c r="M251" s="2929"/>
      <c r="N251" s="388" t="s">
        <v>2468</v>
      </c>
      <c r="O251" s="2271"/>
      <c r="P251" s="1089"/>
      <c r="Q251" s="984"/>
      <c r="V251" s="1023"/>
      <c r="W251" s="1023"/>
    </row>
    <row r="252" spans="1:23" s="33" customFormat="1" ht="10.5" customHeight="1">
      <c r="A252" s="498"/>
      <c r="B252" s="988"/>
      <c r="C252" s="2395"/>
      <c r="D252" s="2395"/>
      <c r="E252" s="2395"/>
      <c r="F252" s="2395"/>
      <c r="G252" s="588" t="s">
        <v>4382</v>
      </c>
      <c r="H252" s="2395"/>
      <c r="J252" s="2931"/>
      <c r="K252" s="2932"/>
      <c r="L252" s="2395"/>
      <c r="M252" s="2395"/>
      <c r="N252" s="2395"/>
      <c r="O252" s="2395"/>
      <c r="P252" s="2395"/>
      <c r="Q252" s="984"/>
      <c r="V252" s="1023"/>
      <c r="W252" s="1023"/>
    </row>
    <row r="253" spans="1:23" s="390" customFormat="1" ht="21" customHeight="1">
      <c r="A253" s="1727"/>
      <c r="B253" s="986" t="s">
        <v>2372</v>
      </c>
      <c r="C253" s="2929" t="s">
        <v>3744</v>
      </c>
      <c r="D253" s="2929"/>
      <c r="E253" s="2929"/>
      <c r="F253" s="2929"/>
      <c r="G253" s="2929"/>
      <c r="H253" s="2929"/>
      <c r="I253" s="2929"/>
      <c r="J253" s="2929"/>
      <c r="K253" s="2929"/>
      <c r="L253" s="2929"/>
      <c r="M253" s="2929"/>
      <c r="N253" s="986" t="s">
        <v>2372</v>
      </c>
      <c r="O253" s="2268"/>
      <c r="P253" s="1088"/>
      <c r="Q253" s="1728"/>
      <c r="V253" s="1729"/>
      <c r="W253" s="1729"/>
    </row>
    <row r="254" spans="1:23" s="33" customFormat="1" ht="11.25" customHeight="1">
      <c r="A254" s="498"/>
      <c r="B254" s="385" t="s">
        <v>2373</v>
      </c>
      <c r="C254" s="2946" t="s">
        <v>4317</v>
      </c>
      <c r="D254" s="2946"/>
      <c r="E254" s="2946"/>
      <c r="F254" s="2946"/>
      <c r="G254" s="2946"/>
      <c r="H254" s="2946"/>
      <c r="I254" s="2946"/>
      <c r="J254" s="2946"/>
      <c r="K254" s="2946"/>
      <c r="L254" s="2946"/>
      <c r="M254" s="2946"/>
      <c r="N254" s="385" t="s">
        <v>2373</v>
      </c>
      <c r="O254" s="2258"/>
      <c r="P254" s="520"/>
      <c r="Q254" s="984"/>
      <c r="V254" s="1023"/>
      <c r="W254" s="1023"/>
    </row>
    <row r="255" spans="1:23" ht="11.25" customHeight="1">
      <c r="A255" s="138"/>
      <c r="B255" s="847" t="s">
        <v>1198</v>
      </c>
      <c r="C255" s="559" t="s">
        <v>4318</v>
      </c>
      <c r="D255" s="33"/>
      <c r="N255" s="27"/>
      <c r="O255" s="27"/>
      <c r="P255" s="27"/>
      <c r="Q255" s="114"/>
    </row>
    <row r="256" spans="1:23" s="33" customFormat="1" ht="11.25" customHeight="1">
      <c r="A256" s="498"/>
      <c r="B256" s="385"/>
      <c r="C256" s="134" t="s">
        <v>4602</v>
      </c>
      <c r="D256" s="134"/>
      <c r="E256" s="134"/>
      <c r="F256" s="134"/>
      <c r="G256" s="134"/>
      <c r="H256" s="134"/>
      <c r="I256" s="134"/>
      <c r="J256" s="134"/>
      <c r="K256" s="134"/>
      <c r="L256" s="134"/>
      <c r="M256" s="134"/>
      <c r="N256" s="388" t="s">
        <v>1198</v>
      </c>
      <c r="O256" s="2259"/>
      <c r="P256" s="517"/>
      <c r="Q256" s="984"/>
      <c r="V256" s="1023"/>
      <c r="W256" s="1023"/>
    </row>
    <row r="257" spans="1:24" ht="11.4" customHeight="1">
      <c r="A257" s="138" t="s">
        <v>1938</v>
      </c>
      <c r="B257" s="177" t="s">
        <v>3742</v>
      </c>
      <c r="D257" s="33"/>
      <c r="G257" s="465" t="s">
        <v>3592</v>
      </c>
      <c r="N257" s="27"/>
      <c r="O257" s="506" t="s">
        <v>2444</v>
      </c>
      <c r="P257" s="506" t="s">
        <v>2444</v>
      </c>
      <c r="Q257" s="983"/>
    </row>
    <row r="258" spans="1:24" ht="22.5" customHeight="1">
      <c r="B258" s="562" t="s">
        <v>1939</v>
      </c>
      <c r="C258" s="3006" t="s">
        <v>4574</v>
      </c>
      <c r="D258" s="3006"/>
      <c r="E258" s="3006"/>
      <c r="F258" s="3006"/>
      <c r="G258" s="3006"/>
      <c r="H258" s="3006"/>
      <c r="I258" s="3006"/>
      <c r="J258" s="3006"/>
      <c r="K258" s="3006"/>
      <c r="L258" s="3006"/>
      <c r="M258" s="1070" t="s">
        <v>1938</v>
      </c>
      <c r="N258" s="388" t="s">
        <v>1939</v>
      </c>
      <c r="O258" s="2268"/>
      <c r="P258" s="1088"/>
      <c r="Q258" s="983"/>
      <c r="V258" s="1023"/>
      <c r="W258" s="1023"/>
    </row>
    <row r="259" spans="1:24" s="33" customFormat="1" ht="11.25" customHeight="1">
      <c r="A259" s="498"/>
      <c r="B259" s="562" t="s">
        <v>1941</v>
      </c>
      <c r="C259" s="428" t="s">
        <v>4575</v>
      </c>
      <c r="D259" s="930"/>
      <c r="E259" s="930"/>
      <c r="F259" s="930"/>
      <c r="G259" s="930"/>
      <c r="H259" s="930"/>
      <c r="I259" s="930"/>
      <c r="J259" s="930"/>
      <c r="K259" s="930"/>
      <c r="L259" s="930"/>
      <c r="M259" s="930"/>
      <c r="N259" s="388" t="s">
        <v>1941</v>
      </c>
      <c r="O259" s="2258"/>
      <c r="P259" s="520"/>
      <c r="Q259" s="984"/>
      <c r="V259" s="1136"/>
      <c r="W259" s="1136"/>
    </row>
    <row r="260" spans="1:24" s="43" customFormat="1" ht="12" customHeight="1" thickBot="1">
      <c r="A260" s="42"/>
      <c r="B260" s="1132" t="s">
        <v>3566</v>
      </c>
      <c r="C260" s="42"/>
      <c r="D260" s="48"/>
      <c r="E260" s="48"/>
      <c r="F260" s="48"/>
      <c r="G260" s="48"/>
      <c r="H260" s="36"/>
      <c r="I260" s="134"/>
      <c r="M260" s="46"/>
      <c r="N260" s="62"/>
      <c r="O260" s="3"/>
      <c r="P260" s="2377"/>
    </row>
    <row r="261" spans="1:24" s="43" customFormat="1" ht="45.6" customHeight="1" thickTop="1" thickBot="1">
      <c r="A261" s="2940" t="s">
        <v>7136</v>
      </c>
      <c r="B261" s="2941"/>
      <c r="C261" s="2941"/>
      <c r="D261" s="2941"/>
      <c r="E261" s="2941"/>
      <c r="F261" s="2941"/>
      <c r="G261" s="2941"/>
      <c r="H261" s="2941"/>
      <c r="I261" s="2941"/>
      <c r="J261" s="2941"/>
      <c r="K261" s="2941"/>
      <c r="L261" s="2941"/>
      <c r="M261" s="2941"/>
      <c r="N261" s="2941"/>
      <c r="O261" s="2941"/>
      <c r="P261" s="2942"/>
      <c r="Q261" s="1027" t="s">
        <v>1228</v>
      </c>
    </row>
    <row r="262" spans="1:24" s="43" customFormat="1" ht="10.5" customHeight="1" thickTop="1">
      <c r="A262" s="42"/>
      <c r="B262" s="85" t="s">
        <v>1820</v>
      </c>
      <c r="C262" s="42"/>
      <c r="D262" s="85"/>
      <c r="E262" s="2380"/>
      <c r="F262" s="2380"/>
      <c r="G262" s="2380"/>
      <c r="H262" s="2380"/>
      <c r="I262" s="2380"/>
      <c r="J262" s="2380"/>
      <c r="K262" s="2380"/>
      <c r="L262" s="2380"/>
      <c r="M262" s="2380"/>
      <c r="N262" s="74"/>
      <c r="O262" s="70"/>
      <c r="P262" s="2373"/>
      <c r="Q262" s="422"/>
    </row>
    <row r="263" spans="1:24" s="43" customFormat="1" ht="22.2" customHeight="1">
      <c r="A263" s="4163"/>
      <c r="B263" s="4164"/>
      <c r="C263" s="4164"/>
      <c r="D263" s="4164"/>
      <c r="E263" s="4164"/>
      <c r="F263" s="4164"/>
      <c r="G263" s="4164"/>
      <c r="H263" s="4164"/>
      <c r="I263" s="4164"/>
      <c r="J263" s="4164"/>
      <c r="K263" s="4164"/>
      <c r="L263" s="4164"/>
      <c r="M263" s="4164"/>
      <c r="N263" s="4164"/>
      <c r="O263" s="4164"/>
      <c r="P263" s="4165"/>
      <c r="Q263" s="440"/>
    </row>
    <row r="264" spans="1:24" ht="3.6" customHeight="1" thickBot="1">
      <c r="B264" s="116"/>
      <c r="C264" s="116"/>
      <c r="D264" s="116"/>
      <c r="E264" s="116"/>
      <c r="V264" s="43"/>
      <c r="W264" s="43"/>
      <c r="X264" s="43"/>
    </row>
    <row r="265" spans="1:24" s="102" customFormat="1" ht="12.6" customHeight="1" thickBot="1">
      <c r="A265" s="152" t="s">
        <v>418</v>
      </c>
      <c r="B265" s="106" t="s">
        <v>2695</v>
      </c>
      <c r="C265" s="92"/>
      <c r="D265" s="59"/>
      <c r="E265" s="59"/>
      <c r="G265" s="172" t="s">
        <v>4749</v>
      </c>
      <c r="M265" s="2373">
        <v>5</v>
      </c>
      <c r="N265" s="7"/>
      <c r="O265" s="1083">
        <f>O267+O276</f>
        <v>3</v>
      </c>
      <c r="P265" s="1083">
        <f>P267+P276</f>
        <v>0</v>
      </c>
      <c r="Q265" s="109" t="s">
        <v>433</v>
      </c>
      <c r="S265" s="3157" t="s">
        <v>4593</v>
      </c>
      <c r="T265" s="3158"/>
      <c r="U265" s="3159"/>
      <c r="V265" s="43"/>
      <c r="W265" s="43"/>
      <c r="X265" s="43"/>
    </row>
    <row r="266" spans="1:24" s="102" customFormat="1" ht="1.5" customHeight="1">
      <c r="A266" s="152"/>
      <c r="B266" s="106"/>
      <c r="C266" s="92"/>
      <c r="D266" s="59"/>
      <c r="E266" s="59"/>
      <c r="G266" s="172"/>
      <c r="M266" s="560"/>
      <c r="Q266" s="109"/>
      <c r="S266" s="3160"/>
      <c r="T266" s="3161"/>
      <c r="U266" s="3162"/>
      <c r="V266" s="43"/>
      <c r="W266" s="43"/>
      <c r="X266" s="43"/>
    </row>
    <row r="267" spans="1:24" s="102" customFormat="1" ht="11.25" customHeight="1">
      <c r="A267" s="2933" t="s">
        <v>1936</v>
      </c>
      <c r="B267" s="833" t="s">
        <v>4319</v>
      </c>
      <c r="C267" s="92"/>
      <c r="D267" s="59"/>
      <c r="E267" s="59"/>
      <c r="G267" s="465" t="s">
        <v>4730</v>
      </c>
      <c r="I267" s="1719" t="str">
        <f>'Part I-Project Information'!$O$38</f>
        <v>101.06</v>
      </c>
      <c r="K267" s="1617"/>
      <c r="M267" s="1073">
        <v>3</v>
      </c>
      <c r="N267" s="1445"/>
      <c r="O267" s="849">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2</v>
      </c>
      <c r="P267" s="4214"/>
      <c r="Q267" s="109"/>
      <c r="S267" s="3160"/>
      <c r="T267" s="3161"/>
      <c r="U267" s="3162"/>
      <c r="V267" s="43"/>
      <c r="W267" s="43"/>
      <c r="X267" s="43"/>
    </row>
    <row r="268" spans="1:24" ht="11.4" customHeight="1">
      <c r="A268" s="2933"/>
      <c r="B268" s="110" t="s">
        <v>2703</v>
      </c>
      <c r="C268" s="502"/>
      <c r="D268" s="502"/>
      <c r="G268" s="503" t="str">
        <f>'Part I-Project Information'!$H$105</f>
        <v>Flexible</v>
      </c>
      <c r="N268" s="1438" t="s">
        <v>1936</v>
      </c>
      <c r="O268" s="1112" t="s">
        <v>2444</v>
      </c>
      <c r="P268" s="1112" t="s">
        <v>2444</v>
      </c>
      <c r="S268" s="3160"/>
      <c r="T268" s="3161"/>
      <c r="U268" s="3162"/>
      <c r="V268" s="43"/>
      <c r="W268" s="43"/>
      <c r="X268" s="43"/>
    </row>
    <row r="269" spans="1:24" ht="11.4" customHeight="1">
      <c r="A269" s="2933"/>
      <c r="B269" s="847" t="s">
        <v>1939</v>
      </c>
      <c r="C269" s="433" t="s">
        <v>2609</v>
      </c>
      <c r="E269" s="116"/>
      <c r="M269" s="80"/>
      <c r="N269" s="174" t="s">
        <v>1939</v>
      </c>
      <c r="O269" s="2256" t="s">
        <v>2889</v>
      </c>
      <c r="P269" s="518"/>
      <c r="Q269" s="3211" t="str">
        <f>IF(AND(O269="Yes",O272="Yes"),"Only 1 or 4 can be 'Yes'!","")</f>
        <v/>
      </c>
      <c r="R269" s="3211"/>
      <c r="S269" s="3160"/>
      <c r="T269" s="3161"/>
      <c r="U269" s="3162"/>
    </row>
    <row r="270" spans="1:24" ht="11.4" customHeight="1">
      <c r="B270" s="847" t="s">
        <v>1941</v>
      </c>
      <c r="C270" s="433" t="s">
        <v>2654</v>
      </c>
      <c r="G270" s="100" t="s">
        <v>2327</v>
      </c>
      <c r="I270" s="2325">
        <v>0.05</v>
      </c>
      <c r="J270" s="433" t="s">
        <v>2655</v>
      </c>
      <c r="L270" s="134" t="s">
        <v>2653</v>
      </c>
      <c r="M270" s="848" t="str">
        <f>IF(O270&gt;I270,"CHECK ACTUAL PERCENT!!!","")</f>
        <v/>
      </c>
      <c r="N270" s="174" t="s">
        <v>1941</v>
      </c>
      <c r="O270" s="2326">
        <v>2.3E-2</v>
      </c>
      <c r="P270" s="4215"/>
      <c r="Q270" s="3211"/>
      <c r="R270" s="3211"/>
      <c r="S270" s="3160"/>
      <c r="T270" s="3161"/>
      <c r="U270" s="3162"/>
    </row>
    <row r="271" spans="1:24" ht="11.4" customHeight="1">
      <c r="B271" s="847" t="s">
        <v>2468</v>
      </c>
      <c r="C271" s="412" t="s">
        <v>2328</v>
      </c>
      <c r="E271" s="116"/>
      <c r="G271" s="100" t="s">
        <v>2329</v>
      </c>
      <c r="J271" s="2947" t="s">
        <v>4470</v>
      </c>
      <c r="L271" s="428" t="s">
        <v>2648</v>
      </c>
      <c r="M271" s="33"/>
      <c r="N271" s="174" t="s">
        <v>2468</v>
      </c>
      <c r="O271" s="2327" t="s">
        <v>7137</v>
      </c>
      <c r="P271" s="4216" t="s">
        <v>197</v>
      </c>
      <c r="Q271" s="3211"/>
      <c r="R271" s="3211"/>
      <c r="S271" s="3160"/>
      <c r="T271" s="3161"/>
      <c r="U271" s="3162"/>
    </row>
    <row r="272" spans="1:24" s="390" customFormat="1" ht="11.4" customHeight="1">
      <c r="B272" s="562" t="s">
        <v>1198</v>
      </c>
      <c r="C272" s="2939" t="s">
        <v>4576</v>
      </c>
      <c r="D272" s="2939"/>
      <c r="E272" s="2939"/>
      <c r="F272" s="2939"/>
      <c r="G272" s="2939"/>
      <c r="H272" s="2939"/>
      <c r="I272" s="2939"/>
      <c r="J272" s="2948"/>
      <c r="K272" s="2947" t="s">
        <v>3745</v>
      </c>
      <c r="M272" s="1074">
        <v>2</v>
      </c>
      <c r="N272" s="174" t="s">
        <v>1198</v>
      </c>
      <c r="O272" s="2387" t="s">
        <v>2886</v>
      </c>
      <c r="P272" s="2253"/>
      <c r="Q272" s="3211"/>
      <c r="R272" s="3211"/>
      <c r="S272" s="3160"/>
      <c r="T272" s="3161"/>
      <c r="U272" s="3162"/>
    </row>
    <row r="273" spans="1:21" ht="11.4" customHeight="1">
      <c r="B273" s="372"/>
      <c r="C273" s="2939"/>
      <c r="D273" s="2939"/>
      <c r="E273" s="2939"/>
      <c r="F273" s="2939"/>
      <c r="G273" s="2939"/>
      <c r="H273" s="2939"/>
      <c r="I273" s="2939"/>
      <c r="J273" s="2949"/>
      <c r="K273" s="2949"/>
      <c r="L273" s="2994" t="s">
        <v>3781</v>
      </c>
      <c r="M273" s="2995"/>
      <c r="N273" s="116"/>
      <c r="S273" s="3160"/>
      <c r="T273" s="3161"/>
      <c r="U273" s="3162"/>
    </row>
    <row r="274" spans="1:21" ht="23.25" customHeight="1">
      <c r="B274" s="372"/>
      <c r="C274" s="2939"/>
      <c r="D274" s="2939"/>
      <c r="E274" s="2939"/>
      <c r="F274" s="2939"/>
      <c r="G274" s="2939"/>
      <c r="H274" s="2939"/>
      <c r="I274" s="2939"/>
      <c r="J274" s="2328" t="s">
        <v>7138</v>
      </c>
      <c r="K274" s="2329">
        <v>0.01</v>
      </c>
      <c r="L274" s="1071">
        <f>O64</f>
        <v>10</v>
      </c>
      <c r="M274" s="1072">
        <f>P64</f>
        <v>0</v>
      </c>
      <c r="N274" s="27"/>
      <c r="S274" s="3163"/>
      <c r="T274" s="3164"/>
      <c r="U274" s="3165"/>
    </row>
    <row r="275" spans="1:21" ht="2.25" customHeight="1">
      <c r="A275" s="505"/>
      <c r="B275" s="847"/>
      <c r="C275" s="412"/>
      <c r="E275" s="116"/>
      <c r="M275" s="1073"/>
      <c r="N275" s="1069"/>
      <c r="O275" s="846"/>
      <c r="P275" s="846"/>
      <c r="S275" s="1808"/>
      <c r="T275" s="1809"/>
      <c r="U275" s="1810"/>
    </row>
    <row r="276" spans="1:21" ht="11.4" customHeight="1">
      <c r="A276" s="1614" t="s">
        <v>1938</v>
      </c>
      <c r="B276" s="847" t="s">
        <v>4320</v>
      </c>
      <c r="C276" s="412"/>
      <c r="E276" s="116"/>
      <c r="G276" s="465" t="s">
        <v>6800</v>
      </c>
      <c r="I276" s="2330">
        <v>2019</v>
      </c>
      <c r="K276" s="1438" t="s">
        <v>4611</v>
      </c>
      <c r="L276" s="2331">
        <v>13215010106</v>
      </c>
      <c r="M276" s="1073">
        <v>2</v>
      </c>
      <c r="N276" s="1075" t="s">
        <v>1938</v>
      </c>
      <c r="O276" s="2291">
        <v>1</v>
      </c>
      <c r="P276" s="4210"/>
      <c r="Q276" s="978" t="str">
        <f>IF(O276&lt;=M276,"","*CHECK!*")</f>
        <v/>
      </c>
      <c r="R276" s="974" t="s">
        <v>4767</v>
      </c>
      <c r="S276" s="1811"/>
      <c r="T276" s="1807"/>
      <c r="U276" s="1812"/>
    </row>
    <row r="277" spans="1:21" ht="11.4" customHeight="1">
      <c r="A277" s="505"/>
      <c r="B277" s="847" t="s">
        <v>1939</v>
      </c>
      <c r="C277" s="134" t="s">
        <v>4466</v>
      </c>
      <c r="D277" s="134"/>
      <c r="E277" s="1717"/>
      <c r="F277" s="1720"/>
      <c r="G277" s="134" t="s">
        <v>4321</v>
      </c>
      <c r="H277" s="930"/>
      <c r="I277" s="930"/>
      <c r="J277" s="33"/>
      <c r="K277" s="33"/>
      <c r="L277" s="170" t="s">
        <v>6801</v>
      </c>
      <c r="M277" s="72"/>
      <c r="N277" s="174" t="s">
        <v>1939</v>
      </c>
      <c r="O277" s="2268" t="s">
        <v>2886</v>
      </c>
      <c r="P277" s="1088"/>
      <c r="Q277" s="978"/>
      <c r="R277" s="974"/>
      <c r="S277" s="1807"/>
      <c r="T277" s="1807"/>
      <c r="U277" s="1807"/>
    </row>
    <row r="278" spans="1:21" ht="11.4" customHeight="1">
      <c r="A278" s="505"/>
      <c r="B278" s="847" t="s">
        <v>1941</v>
      </c>
      <c r="C278" s="134" t="s">
        <v>4467</v>
      </c>
      <c r="D278" s="134"/>
      <c r="E278" s="1717"/>
      <c r="F278" s="1718"/>
      <c r="G278" s="134" t="s">
        <v>4322</v>
      </c>
      <c r="H278" s="930"/>
      <c r="I278" s="930"/>
      <c r="J278" s="33"/>
      <c r="K278" s="33"/>
      <c r="L278" s="170" t="s">
        <v>6801</v>
      </c>
      <c r="M278" s="80"/>
      <c r="N278" s="174" t="s">
        <v>1941</v>
      </c>
      <c r="O278" s="2258" t="s">
        <v>2889</v>
      </c>
      <c r="P278" s="520"/>
      <c r="Q278" s="978"/>
      <c r="R278" s="974"/>
      <c r="S278" s="1807"/>
      <c r="T278" s="1807"/>
      <c r="U278" s="1807"/>
    </row>
    <row r="279" spans="1:21" ht="2.25" customHeight="1">
      <c r="A279" s="505"/>
      <c r="B279" s="847"/>
      <c r="C279" s="412"/>
      <c r="E279" s="116"/>
      <c r="M279" s="1073"/>
      <c r="N279" s="1069"/>
      <c r="O279" s="846"/>
      <c r="P279" s="846"/>
    </row>
    <row r="280" spans="1:21" s="43" customFormat="1" ht="10.5" customHeight="1" thickBot="1">
      <c r="A280" s="42"/>
      <c r="B280" s="1132" t="s">
        <v>3566</v>
      </c>
      <c r="C280" s="42"/>
      <c r="D280" s="48"/>
      <c r="E280" s="48"/>
      <c r="F280" s="48"/>
      <c r="G280" s="48"/>
      <c r="H280" s="36"/>
      <c r="I280" s="36"/>
      <c r="J280" s="36"/>
      <c r="K280" s="36"/>
      <c r="M280" s="46"/>
      <c r="N280" s="62"/>
      <c r="O280" s="3"/>
      <c r="P280" s="2377"/>
    </row>
    <row r="281" spans="1:21" s="43" customFormat="1" ht="52.5" customHeight="1" thickTop="1" thickBot="1">
      <c r="A281" s="2986" t="s">
        <v>7139</v>
      </c>
      <c r="B281" s="2987"/>
      <c r="C281" s="2987"/>
      <c r="D281" s="2987"/>
      <c r="E281" s="2987"/>
      <c r="F281" s="2987"/>
      <c r="G281" s="2987"/>
      <c r="H281" s="2987"/>
      <c r="I281" s="2987"/>
      <c r="J281" s="2987"/>
      <c r="K281" s="2987"/>
      <c r="L281" s="2987"/>
      <c r="M281" s="2987"/>
      <c r="N281" s="2987"/>
      <c r="O281" s="2987"/>
      <c r="P281" s="2988"/>
      <c r="Q281" s="1027" t="s">
        <v>1228</v>
      </c>
    </row>
    <row r="282" spans="1:21" ht="2.25" customHeight="1" thickTop="1">
      <c r="A282" s="505"/>
      <c r="B282" s="847"/>
      <c r="C282" s="412"/>
      <c r="E282" s="116"/>
      <c r="M282" s="1073"/>
      <c r="N282" s="1069"/>
      <c r="O282" s="846"/>
      <c r="P282" s="846"/>
    </row>
    <row r="283" spans="1:21" s="43" customFormat="1" ht="10.5" customHeight="1">
      <c r="A283" s="42"/>
      <c r="B283" s="85" t="s">
        <v>1820</v>
      </c>
      <c r="C283" s="42"/>
      <c r="D283" s="85"/>
      <c r="E283" s="2380"/>
      <c r="F283" s="2380"/>
      <c r="G283" s="2380"/>
      <c r="H283" s="2380"/>
      <c r="I283" s="2380"/>
      <c r="J283" s="2380"/>
      <c r="K283" s="2380"/>
      <c r="L283" s="2380"/>
      <c r="M283" s="2380"/>
      <c r="N283" s="74"/>
      <c r="O283" s="70"/>
      <c r="P283" s="2373"/>
      <c r="Q283" s="422"/>
    </row>
    <row r="284" spans="1:21" s="43" customFormat="1" ht="11.25" customHeight="1">
      <c r="A284" s="4163"/>
      <c r="B284" s="4164"/>
      <c r="C284" s="4164"/>
      <c r="D284" s="4164"/>
      <c r="E284" s="4164"/>
      <c r="F284" s="4164"/>
      <c r="G284" s="4164"/>
      <c r="H284" s="4164"/>
      <c r="I284" s="4164"/>
      <c r="J284" s="4164"/>
      <c r="K284" s="4164"/>
      <c r="L284" s="4164"/>
      <c r="M284" s="4164"/>
      <c r="N284" s="4164"/>
      <c r="O284" s="4164"/>
      <c r="P284" s="4165"/>
      <c r="Q284" s="440"/>
    </row>
    <row r="285" spans="1:21" s="43" customFormat="1" ht="10.199999999999999" customHeight="1" thickBot="1">
      <c r="A285" s="42"/>
      <c r="D285" s="39"/>
      <c r="E285" s="36"/>
      <c r="F285" s="846"/>
      <c r="G285" s="846"/>
      <c r="H285" s="846"/>
      <c r="I285" s="846"/>
      <c r="J285" s="856"/>
      <c r="K285" s="856"/>
      <c r="L285" s="856"/>
      <c r="M285" s="60"/>
      <c r="N285" s="846"/>
      <c r="O285" s="2377"/>
      <c r="P285" s="3"/>
    </row>
    <row r="286" spans="1:21" ht="13.8" thickBot="1">
      <c r="A286" s="152" t="s">
        <v>356</v>
      </c>
      <c r="B286" s="1613" t="s">
        <v>4717</v>
      </c>
      <c r="C286" s="412"/>
      <c r="E286" s="116"/>
      <c r="G286" s="1616" t="s">
        <v>3605</v>
      </c>
      <c r="H286" s="2389" t="s">
        <v>3452</v>
      </c>
      <c r="I286" s="1446">
        <f>IF('Part VI-Revenues &amp; Expenses'!$P$67=0,0,'Part VI-Revenues &amp; Expenses'!$P$64/'Part VI-Revenues &amp; Expenses'!$P$67)</f>
        <v>0</v>
      </c>
      <c r="J286" s="1438" t="s">
        <v>4605</v>
      </c>
      <c r="K286" s="3180" t="str">
        <f>'Part I-Project Information'!$K$94</f>
        <v>Income Averaging</v>
      </c>
      <c r="L286" s="3181"/>
      <c r="M286" s="150">
        <v>1</v>
      </c>
      <c r="N286" s="1069"/>
      <c r="O286" s="1041">
        <f>MIN($M$286,SUM(O287:O288))</f>
        <v>1</v>
      </c>
      <c r="P286" s="1041">
        <f>MIN($M$286,SUM(P287:P288))</f>
        <v>0</v>
      </c>
      <c r="Q286" s="109" t="s">
        <v>433</v>
      </c>
    </row>
    <row r="287" spans="1:21" ht="13.8">
      <c r="A287" s="2374" t="s">
        <v>1936</v>
      </c>
      <c r="B287" s="1615" t="s">
        <v>4603</v>
      </c>
      <c r="C287" s="412"/>
      <c r="D287" s="427" t="s">
        <v>4604</v>
      </c>
      <c r="M287" s="72">
        <v>1</v>
      </c>
      <c r="N287" s="455" t="s">
        <v>1936</v>
      </c>
      <c r="O287" s="2332"/>
      <c r="P287" s="4217"/>
      <c r="Q287" s="978" t="str">
        <f>IF(OR($O287=$M287,$O287=0,$O287=""),"","*CHECK!*")</f>
        <v/>
      </c>
      <c r="R287" s="974" t="s">
        <v>4767</v>
      </c>
    </row>
    <row r="288" spans="1:21" ht="13.8">
      <c r="A288" s="2374" t="s">
        <v>1938</v>
      </c>
      <c r="B288" s="1615" t="s">
        <v>4293</v>
      </c>
      <c r="C288" s="412"/>
      <c r="D288" s="427" t="s">
        <v>4723</v>
      </c>
      <c r="M288" s="80">
        <v>1</v>
      </c>
      <c r="N288" s="455" t="s">
        <v>1938</v>
      </c>
      <c r="O288" s="2287">
        <v>1</v>
      </c>
      <c r="P288" s="4187"/>
      <c r="Q288" s="978" t="str">
        <f>IF(OR($O288=$M288,$O288=0,$O288=""),"","*CHECK!*")</f>
        <v/>
      </c>
      <c r="R288" s="974" t="s">
        <v>4767</v>
      </c>
    </row>
    <row r="289" spans="1:27" ht="2.25" customHeight="1">
      <c r="A289" s="505"/>
      <c r="B289" s="847"/>
      <c r="C289" s="412"/>
      <c r="E289" s="116"/>
      <c r="M289" s="1073"/>
      <c r="N289" s="1069"/>
      <c r="O289" s="846"/>
      <c r="P289" s="846"/>
    </row>
    <row r="290" spans="1:27" s="43" customFormat="1" ht="14.4">
      <c r="A290" s="42"/>
      <c r="B290" s="85" t="s">
        <v>1820</v>
      </c>
      <c r="C290" s="42"/>
      <c r="D290" s="85"/>
      <c r="E290" s="2380"/>
      <c r="F290" s="2380"/>
      <c r="G290" s="2380"/>
      <c r="H290" s="2380"/>
      <c r="I290" s="2380"/>
      <c r="J290" s="2380"/>
      <c r="K290" s="2380"/>
      <c r="L290" s="2380"/>
      <c r="M290" s="2380"/>
      <c r="N290" s="74"/>
      <c r="O290" s="70"/>
      <c r="P290" s="2373"/>
      <c r="Q290" s="422"/>
    </row>
    <row r="291" spans="1:27" s="43" customFormat="1" ht="11.25" customHeight="1">
      <c r="A291" s="4163"/>
      <c r="B291" s="4164"/>
      <c r="C291" s="4164"/>
      <c r="D291" s="4164"/>
      <c r="E291" s="4164"/>
      <c r="F291" s="4164"/>
      <c r="G291" s="4164"/>
      <c r="H291" s="4164"/>
      <c r="I291" s="4164"/>
      <c r="J291" s="4164"/>
      <c r="K291" s="4164"/>
      <c r="L291" s="4164"/>
      <c r="M291" s="4164"/>
      <c r="N291" s="4164"/>
      <c r="O291" s="4164"/>
      <c r="P291" s="4165"/>
      <c r="Q291" s="440"/>
    </row>
    <row r="292" spans="1:27" s="43" customFormat="1" ht="10.199999999999999" customHeight="1" thickBot="1">
      <c r="A292" s="42"/>
      <c r="D292" s="39"/>
      <c r="E292" s="36"/>
      <c r="F292" s="846"/>
      <c r="G292" s="846"/>
      <c r="H292" s="846"/>
      <c r="I292" s="846"/>
      <c r="J292" s="856"/>
      <c r="K292" s="856"/>
      <c r="L292" s="856"/>
      <c r="M292" s="60"/>
      <c r="N292" s="846"/>
      <c r="O292" s="2377"/>
      <c r="P292" s="3"/>
    </row>
    <row r="293" spans="1:27" s="102" customFormat="1" ht="12.6" customHeight="1" thickBot="1">
      <c r="A293" s="152" t="s">
        <v>357</v>
      </c>
      <c r="B293" s="106" t="s">
        <v>3746</v>
      </c>
      <c r="C293" s="92"/>
      <c r="D293" s="59"/>
      <c r="E293" s="59"/>
      <c r="H293" s="172"/>
      <c r="I293" s="1616" t="s">
        <v>3605</v>
      </c>
      <c r="M293" s="2373">
        <v>10</v>
      </c>
      <c r="N293" s="7"/>
      <c r="O293" s="1041">
        <f>IF(OR(O193&gt;0,O265&gt;0),0,IF(OR(O294="Yes",O295="Yes"),$M$293,0))</f>
        <v>0</v>
      </c>
      <c r="P293" s="1041">
        <f>IF(OR(P193&gt;0,P265&gt;0),0,IF(OR(P294="Yes",P295="Yes"),$M$293,0))</f>
        <v>0</v>
      </c>
      <c r="Q293" s="109" t="s">
        <v>433</v>
      </c>
      <c r="R293" s="3201" t="s">
        <v>4765</v>
      </c>
      <c r="S293" s="3201"/>
      <c r="T293" s="3201"/>
      <c r="U293" s="3201"/>
      <c r="V293" s="3201"/>
    </row>
    <row r="294" spans="1:27" ht="11.25" customHeight="1">
      <c r="A294" s="2374" t="s">
        <v>1936</v>
      </c>
      <c r="B294" s="1076" t="s">
        <v>3598</v>
      </c>
      <c r="D294" s="588"/>
      <c r="E294" s="588"/>
      <c r="F294" s="588"/>
      <c r="G294" s="588"/>
      <c r="H294" s="588"/>
      <c r="I294" s="588"/>
      <c r="J294" s="588"/>
      <c r="K294" s="588"/>
      <c r="L294" s="989"/>
      <c r="M294" s="2950" t="str">
        <f>IF(OR(SUM(T294:T295)&gt;1,SUM(Q294:Q295)&gt;1),"Only one category can be met by other means!","")</f>
        <v/>
      </c>
      <c r="N294" s="455" t="s">
        <v>1936</v>
      </c>
      <c r="O294" s="2256"/>
      <c r="P294" s="518"/>
      <c r="Q294" s="999">
        <f>IF(L294="Yes",1,0)</f>
        <v>0</v>
      </c>
      <c r="R294" s="3201"/>
      <c r="S294" s="3201"/>
      <c r="T294" s="3201"/>
      <c r="U294" s="3201"/>
      <c r="V294" s="3201"/>
    </row>
    <row r="295" spans="1:27" ht="11.25" customHeight="1">
      <c r="A295" s="2374" t="s">
        <v>1938</v>
      </c>
      <c r="B295" s="1076" t="s">
        <v>3599</v>
      </c>
      <c r="D295" s="588"/>
      <c r="L295" s="989"/>
      <c r="M295" s="2950"/>
      <c r="N295" s="455" t="s">
        <v>1938</v>
      </c>
      <c r="O295" s="2258"/>
      <c r="P295" s="520"/>
      <c r="Q295" s="999">
        <f>IF(L295="Yes",1,0)</f>
        <v>0</v>
      </c>
      <c r="R295" s="3201"/>
      <c r="S295" s="3201"/>
      <c r="T295" s="3201"/>
      <c r="U295" s="3201"/>
      <c r="V295" s="3201"/>
    </row>
    <row r="296" spans="1:27" s="43" customFormat="1" ht="10.5" customHeight="1" thickBot="1">
      <c r="A296" s="42"/>
      <c r="B296" s="1132" t="s">
        <v>3566</v>
      </c>
      <c r="C296" s="42"/>
      <c r="D296" s="48"/>
      <c r="E296" s="48"/>
      <c r="F296" s="48"/>
      <c r="G296" s="48"/>
      <c r="H296" s="36"/>
      <c r="I296" s="36"/>
      <c r="J296" s="36"/>
      <c r="K296" s="36"/>
      <c r="M296" s="46"/>
      <c r="N296" s="62"/>
      <c r="O296" s="3"/>
      <c r="P296" s="2377"/>
      <c r="R296" s="3201"/>
      <c r="S296" s="3201"/>
      <c r="T296" s="3201"/>
      <c r="U296" s="3201"/>
      <c r="V296" s="3201"/>
    </row>
    <row r="297" spans="1:27" s="43" customFormat="1" ht="34.950000000000003" customHeight="1" thickTop="1" thickBot="1">
      <c r="A297" s="2986" t="s">
        <v>7140</v>
      </c>
      <c r="B297" s="2987"/>
      <c r="C297" s="2987"/>
      <c r="D297" s="2987"/>
      <c r="E297" s="2987"/>
      <c r="F297" s="2987"/>
      <c r="G297" s="2987"/>
      <c r="H297" s="2987"/>
      <c r="I297" s="2987"/>
      <c r="J297" s="2987"/>
      <c r="K297" s="2987"/>
      <c r="L297" s="2987"/>
      <c r="M297" s="2987"/>
      <c r="N297" s="2987"/>
      <c r="O297" s="2987"/>
      <c r="P297" s="2988"/>
      <c r="Q297" s="1027" t="s">
        <v>1228</v>
      </c>
    </row>
    <row r="298" spans="1:27" s="43" customFormat="1" ht="10.5" customHeight="1" thickTop="1">
      <c r="A298" s="42"/>
      <c r="B298" s="85" t="s">
        <v>1820</v>
      </c>
      <c r="C298" s="42"/>
      <c r="D298" s="85"/>
      <c r="E298" s="2380"/>
      <c r="F298" s="2380"/>
      <c r="G298" s="2380"/>
      <c r="H298" s="2380"/>
      <c r="I298" s="2380"/>
      <c r="J298" s="2380"/>
      <c r="K298" s="2380"/>
      <c r="L298" s="2380"/>
      <c r="M298" s="2380"/>
      <c r="N298" s="74"/>
      <c r="O298" s="70"/>
      <c r="P298" s="2373"/>
      <c r="Q298" s="422"/>
    </row>
    <row r="299" spans="1:27" s="43" customFormat="1" ht="11.25" customHeight="1">
      <c r="A299" s="4163"/>
      <c r="B299" s="4164"/>
      <c r="C299" s="4164"/>
      <c r="D299" s="4164"/>
      <c r="E299" s="4164"/>
      <c r="F299" s="4164"/>
      <c r="G299" s="4164"/>
      <c r="H299" s="4164"/>
      <c r="I299" s="4164"/>
      <c r="J299" s="4164"/>
      <c r="K299" s="4164"/>
      <c r="L299" s="4164"/>
      <c r="M299" s="4164"/>
      <c r="N299" s="4164"/>
      <c r="O299" s="4164"/>
      <c r="P299" s="4165"/>
      <c r="Q299" s="440"/>
    </row>
    <row r="300" spans="1:27" s="43" customFormat="1" ht="15" thickBot="1">
      <c r="A300" s="42"/>
      <c r="D300" s="39"/>
      <c r="E300" s="36"/>
      <c r="F300" s="846"/>
      <c r="G300" s="846"/>
      <c r="H300" s="846"/>
      <c r="I300" s="846"/>
      <c r="J300" s="856"/>
      <c r="K300" s="856"/>
      <c r="L300" s="856"/>
      <c r="M300" s="60"/>
      <c r="N300" s="846"/>
      <c r="O300" s="2377"/>
      <c r="P300" s="3"/>
    </row>
    <row r="301" spans="1:27" s="43" customFormat="1" ht="12" customHeight="1" thickBot="1">
      <c r="A301" s="152" t="s">
        <v>358</v>
      </c>
      <c r="B301" s="105" t="s">
        <v>4719</v>
      </c>
      <c r="D301" s="41"/>
      <c r="E301" s="41"/>
      <c r="F301" s="41"/>
      <c r="H301" s="61"/>
      <c r="J301" s="86" t="s">
        <v>2703</v>
      </c>
      <c r="K301" s="48"/>
      <c r="L301" s="587" t="str">
        <f>'Part I-Project Information'!$H$105</f>
        <v>Flexible</v>
      </c>
      <c r="M301" s="2373">
        <v>3</v>
      </c>
      <c r="N301" s="6"/>
      <c r="O301" s="1081">
        <f>IF(AND($L$301="Flexible",$J$302="Yes- w/Master Plan",O303="Yes",O306="Yes",O307="No",O308="Yes",O309="Yes",O310="Yes"),$M301,0)</f>
        <v>3</v>
      </c>
      <c r="P301" s="1081">
        <f>IF(AND($L$301="Flexible", $J$302="Yes- w/Master Plan",P303="Yes",P306="Yes",P307="No",P308="Yes",P309="Yes",P310="Yes"),$M301,0)</f>
        <v>0</v>
      </c>
      <c r="Q301" s="109" t="s">
        <v>433</v>
      </c>
      <c r="R301" s="3156" t="s">
        <v>4577</v>
      </c>
      <c r="S301" s="3156"/>
      <c r="T301" s="3156"/>
      <c r="U301" s="3156"/>
      <c r="V301" s="3156"/>
      <c r="W301" s="1739"/>
      <c r="X301" s="1739"/>
    </row>
    <row r="302" spans="1:27" ht="11.25" customHeight="1">
      <c r="A302" s="2374"/>
      <c r="B302" s="1618" t="s">
        <v>4621</v>
      </c>
      <c r="D302" s="33"/>
      <c r="E302" s="33"/>
      <c r="F302" s="33"/>
      <c r="H302" s="86" t="s">
        <v>3507</v>
      </c>
      <c r="I302" s="427"/>
      <c r="J302" s="2934" t="str">
        <f>'Part I-Project Information'!$O$34</f>
        <v>Yes- w/Master Plan</v>
      </c>
      <c r="K302" s="2934"/>
      <c r="L302" s="887" t="str">
        <f>'Part I-Project Information'!$O$35</f>
        <v>2019-006</v>
      </c>
      <c r="M302" s="72"/>
      <c r="N302" s="72"/>
      <c r="O302" s="72"/>
      <c r="P302" s="72"/>
      <c r="Q302" s="978" t="str">
        <f>IF(OR($O302=$M302,$O302=0,$O302=""),"","*CHECK!*")</f>
        <v/>
      </c>
      <c r="R302" s="3156"/>
      <c r="S302" s="3156"/>
      <c r="T302" s="3156"/>
      <c r="U302" s="3156"/>
      <c r="V302" s="3156"/>
    </row>
    <row r="303" spans="1:27" s="100" customFormat="1" ht="22.5" customHeight="1">
      <c r="A303" s="435" t="s">
        <v>1936</v>
      </c>
      <c r="B303" s="2929" t="s">
        <v>4620</v>
      </c>
      <c r="C303" s="2929"/>
      <c r="D303" s="2929"/>
      <c r="E303" s="2929"/>
      <c r="F303" s="2929"/>
      <c r="G303" s="2929"/>
      <c r="H303" s="2929"/>
      <c r="I303" s="2929"/>
      <c r="J303" s="2929"/>
      <c r="K303" s="2929"/>
      <c r="L303" s="2929"/>
      <c r="M303" s="2929"/>
      <c r="N303" s="160" t="s">
        <v>1936</v>
      </c>
      <c r="O303" s="2271" t="s">
        <v>2886</v>
      </c>
      <c r="P303" s="1089"/>
      <c r="Q303" s="2938" t="s">
        <v>4622</v>
      </c>
      <c r="R303" s="2939"/>
      <c r="S303" s="2939"/>
      <c r="T303" s="2939"/>
      <c r="U303" s="982"/>
      <c r="V303" s="982"/>
      <c r="W303" s="982"/>
      <c r="X303" s="982"/>
      <c r="Y303" s="982"/>
      <c r="Z303" s="982"/>
      <c r="AA303" s="982"/>
    </row>
    <row r="304" spans="1:27" s="117" customFormat="1" ht="11.25" customHeight="1">
      <c r="A304" s="372"/>
      <c r="B304" s="134" t="s">
        <v>3611</v>
      </c>
      <c r="I304" s="385" t="s">
        <v>4326</v>
      </c>
      <c r="J304" s="2333" t="s">
        <v>7003</v>
      </c>
      <c r="K304" s="385" t="s">
        <v>599</v>
      </c>
      <c r="L304" s="2935" t="s">
        <v>7141</v>
      </c>
      <c r="M304" s="2936"/>
      <c r="N304" s="2936"/>
      <c r="O304" s="2936"/>
      <c r="P304" s="2937"/>
      <c r="Q304" s="2938"/>
      <c r="R304" s="2939"/>
      <c r="S304" s="2939"/>
      <c r="T304" s="2939"/>
    </row>
    <row r="305" spans="1:24" s="117" customFormat="1" ht="11.25" customHeight="1">
      <c r="A305" s="372"/>
      <c r="B305" s="134" t="s">
        <v>3642</v>
      </c>
      <c r="I305" s="385" t="s">
        <v>4326</v>
      </c>
      <c r="J305" s="2334"/>
      <c r="K305" s="385" t="s">
        <v>599</v>
      </c>
      <c r="L305" s="3081"/>
      <c r="M305" s="3082"/>
      <c r="N305" s="3082"/>
      <c r="O305" s="3082"/>
      <c r="P305" s="3083"/>
      <c r="Q305" s="2938"/>
      <c r="R305" s="2939"/>
      <c r="S305" s="2939"/>
      <c r="T305" s="2939"/>
    </row>
    <row r="306" spans="1:24" s="117" customFormat="1" ht="11.25" customHeight="1">
      <c r="A306" s="372" t="s">
        <v>1938</v>
      </c>
      <c r="B306" s="117" t="s">
        <v>941</v>
      </c>
      <c r="M306" s="7"/>
      <c r="N306" s="455" t="s">
        <v>1938</v>
      </c>
      <c r="O306" s="2266" t="s">
        <v>2886</v>
      </c>
      <c r="P306" s="898"/>
      <c r="Q306" s="2938"/>
      <c r="R306" s="2939"/>
      <c r="S306" s="2939"/>
      <c r="T306" s="2939"/>
    </row>
    <row r="307" spans="1:24" s="117" customFormat="1" ht="11.25" customHeight="1">
      <c r="A307" s="372" t="s">
        <v>731</v>
      </c>
      <c r="B307" s="117" t="s">
        <v>942</v>
      </c>
      <c r="M307" s="7"/>
      <c r="N307" s="455" t="s">
        <v>731</v>
      </c>
      <c r="O307" s="2257" t="s">
        <v>2889</v>
      </c>
      <c r="P307" s="519"/>
      <c r="Q307" s="2938"/>
      <c r="R307" s="2939"/>
      <c r="S307" s="2939"/>
      <c r="T307" s="2939"/>
    </row>
    <row r="308" spans="1:24" s="117" customFormat="1" ht="22.5" customHeight="1">
      <c r="A308" s="435" t="s">
        <v>2065</v>
      </c>
      <c r="B308" s="2929" t="s">
        <v>4623</v>
      </c>
      <c r="C308" s="2929"/>
      <c r="D308" s="2929"/>
      <c r="E308" s="2929"/>
      <c r="F308" s="2929"/>
      <c r="G308" s="2929"/>
      <c r="H308" s="2929"/>
      <c r="I308" s="2929"/>
      <c r="J308" s="2929"/>
      <c r="K308" s="2929"/>
      <c r="L308" s="2929"/>
      <c r="M308" s="2929"/>
      <c r="N308" s="160" t="s">
        <v>2065</v>
      </c>
      <c r="O308" s="2386" t="s">
        <v>2886</v>
      </c>
      <c r="P308" s="2393"/>
      <c r="Q308" s="2938"/>
      <c r="R308" s="2939"/>
      <c r="S308" s="2939"/>
      <c r="T308" s="2939"/>
    </row>
    <row r="309" spans="1:24" s="117" customFormat="1" ht="11.25" customHeight="1">
      <c r="A309" s="372" t="s">
        <v>1692</v>
      </c>
      <c r="B309" s="134" t="s">
        <v>4327</v>
      </c>
      <c r="M309" s="7"/>
      <c r="N309" s="455" t="s">
        <v>1692</v>
      </c>
      <c r="O309" s="2258" t="s">
        <v>2886</v>
      </c>
      <c r="P309" s="520"/>
      <c r="Q309" s="2938"/>
      <c r="R309" s="2939"/>
      <c r="S309" s="2939"/>
      <c r="T309" s="2939"/>
    </row>
    <row r="310" spans="1:24" s="117" customFormat="1" ht="11.25" customHeight="1">
      <c r="A310" s="372" t="s">
        <v>1693</v>
      </c>
      <c r="B310" s="117" t="s">
        <v>943</v>
      </c>
      <c r="M310" s="7"/>
      <c r="N310" s="455" t="s">
        <v>1693</v>
      </c>
      <c r="O310" s="2258" t="s">
        <v>2886</v>
      </c>
      <c r="P310" s="520"/>
      <c r="Q310" s="2938"/>
      <c r="R310" s="2939"/>
      <c r="S310" s="2939"/>
      <c r="T310" s="2939"/>
    </row>
    <row r="311" spans="1:24" s="43" customFormat="1" ht="10.5" customHeight="1" thickBot="1">
      <c r="A311" s="42"/>
      <c r="B311" s="1132" t="s">
        <v>3566</v>
      </c>
      <c r="C311" s="42"/>
      <c r="D311" s="48"/>
      <c r="E311" s="48"/>
      <c r="F311" s="48"/>
      <c r="G311" s="48"/>
      <c r="H311" s="36"/>
      <c r="I311" s="36"/>
      <c r="J311" s="36"/>
      <c r="K311" s="36"/>
      <c r="M311" s="46"/>
      <c r="N311" s="62"/>
      <c r="O311" s="3"/>
      <c r="P311" s="2377"/>
    </row>
    <row r="312" spans="1:24" s="43" customFormat="1" ht="54" customHeight="1" thickTop="1" thickBot="1">
      <c r="A312" s="2986" t="s">
        <v>7164</v>
      </c>
      <c r="B312" s="2987"/>
      <c r="C312" s="2987"/>
      <c r="D312" s="2987"/>
      <c r="E312" s="2987"/>
      <c r="F312" s="2987"/>
      <c r="G312" s="2987"/>
      <c r="H312" s="2987"/>
      <c r="I312" s="2987"/>
      <c r="J312" s="2987"/>
      <c r="K312" s="2987"/>
      <c r="L312" s="2987"/>
      <c r="M312" s="2987"/>
      <c r="N312" s="2987"/>
      <c r="O312" s="2987"/>
      <c r="P312" s="2988"/>
      <c r="Q312" s="1027" t="s">
        <v>1228</v>
      </c>
    </row>
    <row r="313" spans="1:24" s="43" customFormat="1" ht="10.5" customHeight="1" thickTop="1">
      <c r="B313" s="85" t="s">
        <v>1820</v>
      </c>
      <c r="C313" s="98"/>
      <c r="D313" s="85"/>
      <c r="E313" s="99"/>
      <c r="F313" s="2380"/>
      <c r="G313" s="2380"/>
      <c r="H313" s="2380"/>
      <c r="I313" s="2380"/>
      <c r="J313" s="2380"/>
      <c r="K313" s="2380"/>
      <c r="L313" s="2380"/>
      <c r="M313" s="2380"/>
      <c r="N313" s="74"/>
      <c r="O313" s="70"/>
      <c r="P313" s="2373"/>
      <c r="Q313" s="422"/>
    </row>
    <row r="314" spans="1:24" s="43" customFormat="1" ht="11.25" customHeight="1">
      <c r="A314" s="2757"/>
      <c r="B314" s="2758"/>
      <c r="C314" s="2758"/>
      <c r="D314" s="2758"/>
      <c r="E314" s="2758"/>
      <c r="F314" s="2758"/>
      <c r="G314" s="2758"/>
      <c r="H314" s="2758"/>
      <c r="I314" s="2758"/>
      <c r="J314" s="2758"/>
      <c r="K314" s="2758"/>
      <c r="L314" s="2758"/>
      <c r="M314" s="2758"/>
      <c r="N314" s="2758"/>
      <c r="O314" s="2758"/>
      <c r="P314" s="2759"/>
      <c r="Q314" s="440"/>
    </row>
    <row r="315" spans="1:24" s="43" customFormat="1" ht="10.95" customHeight="1" thickBot="1">
      <c r="A315" s="42"/>
      <c r="D315" s="39"/>
      <c r="E315" s="36"/>
      <c r="F315" s="846"/>
      <c r="G315" s="846"/>
      <c r="H315" s="846"/>
      <c r="I315" s="846"/>
      <c r="J315" s="856"/>
      <c r="K315" s="856"/>
      <c r="L315" s="856"/>
      <c r="M315" s="60"/>
      <c r="N315" s="846"/>
      <c r="O315" s="2377"/>
      <c r="P315" s="3"/>
    </row>
    <row r="316" spans="1:24" s="43" customFormat="1" ht="12" customHeight="1" thickBot="1">
      <c r="A316" s="152" t="s">
        <v>1683</v>
      </c>
      <c r="B316" s="105" t="s">
        <v>4606</v>
      </c>
      <c r="D316" s="41"/>
      <c r="E316" s="41"/>
      <c r="F316" s="61" t="s">
        <v>3281</v>
      </c>
      <c r="H316" s="113" t="s">
        <v>4624</v>
      </c>
      <c r="I316" s="33"/>
      <c r="J316" s="848" t="str">
        <f>'Part I-Project Information'!F39</f>
        <v>Consolidated Government</v>
      </c>
      <c r="M316" s="2373">
        <v>5</v>
      </c>
      <c r="N316" s="6"/>
      <c r="O316" s="1041">
        <f>IF(O301&gt;0,0,MIN($M$316,MAX(O318,O322)))</f>
        <v>0</v>
      </c>
      <c r="P316" s="1041">
        <f>IF(P301&gt;0,0,MIN($M$316,MAX(P318,P322)))</f>
        <v>0</v>
      </c>
      <c r="Q316" s="109" t="s">
        <v>433</v>
      </c>
      <c r="R316" s="3199" t="s">
        <v>4577</v>
      </c>
      <c r="S316" s="3199"/>
      <c r="T316" s="3199"/>
      <c r="U316" s="3199"/>
      <c r="V316" s="3199"/>
      <c r="W316" s="1739"/>
      <c r="X316" s="1739"/>
    </row>
    <row r="317" spans="1:24" s="33" customFormat="1" ht="11.25" customHeight="1">
      <c r="A317" s="2374" t="s">
        <v>1936</v>
      </c>
      <c r="B317" s="177" t="s">
        <v>4628</v>
      </c>
      <c r="D317" s="561"/>
      <c r="J317" s="1619" t="str">
        <f>CONCATENATE('Part I-Project Information'!F38,", ",'Part I-Project Information'!J39)</f>
        <v>Columbus, Muscogee</v>
      </c>
      <c r="R317" s="3199"/>
      <c r="S317" s="3199"/>
      <c r="T317" s="3199"/>
      <c r="U317" s="3199"/>
      <c r="V317" s="3199"/>
    </row>
    <row r="318" spans="1:24" s="33" customFormat="1" ht="36" customHeight="1">
      <c r="A318" s="2374"/>
      <c r="B318" s="3047" t="s">
        <v>4636</v>
      </c>
      <c r="C318" s="3047"/>
      <c r="D318" s="3047"/>
      <c r="E318" s="3047"/>
      <c r="F318" s="3047"/>
      <c r="G318" s="3047"/>
      <c r="H318" s="3047"/>
      <c r="I318" s="3047"/>
      <c r="J318" s="3047"/>
      <c r="K318" s="3047"/>
      <c r="L318" s="3047"/>
      <c r="M318" s="1621">
        <v>5</v>
      </c>
      <c r="N318" s="160" t="s">
        <v>1936</v>
      </c>
      <c r="O318" s="1622">
        <f>IF(AND(O319&gt;0,O320&gt;0),"Choose!",IF(O319&gt;0, $M$319,IF(O320&gt;0, $M$320, 0)))</f>
        <v>0</v>
      </c>
      <c r="P318" s="1622">
        <f>IF(AND(P319&gt;0,P320&gt;0),"Choose!",IF(P319&gt;0, $M$319,IF(P320&gt;0, $M$320, 0)))</f>
        <v>0</v>
      </c>
      <c r="R318" s="3199"/>
      <c r="S318" s="3199"/>
      <c r="T318" s="3199"/>
      <c r="U318" s="3199"/>
      <c r="V318" s="3199"/>
    </row>
    <row r="319" spans="1:24" s="33" customFormat="1" ht="11.25" customHeight="1">
      <c r="B319" s="847" t="s">
        <v>1939</v>
      </c>
      <c r="C319" s="559" t="s">
        <v>4626</v>
      </c>
      <c r="L319" s="374" t="str">
        <f>IF(OR($O319=$M319,$O319=0,$O319=""),"","* * Check Score! * *")</f>
        <v/>
      </c>
      <c r="M319" s="72">
        <v>5</v>
      </c>
      <c r="N319" s="430" t="s">
        <v>1939</v>
      </c>
      <c r="O319" s="2335"/>
      <c r="P319" s="4199"/>
      <c r="Q319" s="978" t="str">
        <f>IF(OR($O319=$M319,$O319=0,$O319=""),"","*CHECK!*")</f>
        <v/>
      </c>
      <c r="R319" s="974" t="s">
        <v>4767</v>
      </c>
    </row>
    <row r="320" spans="1:24" ht="11.25" customHeight="1">
      <c r="A320" s="560"/>
      <c r="B320" s="562" t="s">
        <v>1941</v>
      </c>
      <c r="C320" s="434" t="s">
        <v>4627</v>
      </c>
      <c r="D320" s="33"/>
      <c r="E320" s="33"/>
      <c r="F320" s="33"/>
      <c r="G320" s="40"/>
      <c r="H320" s="61"/>
      <c r="I320" s="40"/>
      <c r="L320" s="374" t="str">
        <f>IF(OR($O320=$M320,$O320=0,$O320=""),"","* * Check Score! * *")</f>
        <v/>
      </c>
      <c r="M320" s="80">
        <v>4</v>
      </c>
      <c r="N320" s="851" t="s">
        <v>1941</v>
      </c>
      <c r="O320" s="2287"/>
      <c r="P320" s="4187"/>
      <c r="Q320" s="978" t="str">
        <f>IF(OR($O320=$M320,$O320=0,$O320=""),"","*CHECK!*")</f>
        <v/>
      </c>
      <c r="R320" s="974" t="s">
        <v>4767</v>
      </c>
    </row>
    <row r="321" spans="1:21" s="33" customFormat="1" ht="11.25" customHeight="1">
      <c r="A321" s="2374" t="s">
        <v>1938</v>
      </c>
      <c r="B321" s="177" t="s">
        <v>4629</v>
      </c>
      <c r="D321" s="561"/>
      <c r="F321" s="1620" t="s">
        <v>4625</v>
      </c>
      <c r="H321" s="86" t="s">
        <v>2703</v>
      </c>
      <c r="I321" s="43"/>
      <c r="J321" s="587" t="str">
        <f>'Part I-Project Information'!$H$105</f>
        <v>Flexible</v>
      </c>
    </row>
    <row r="322" spans="1:21" s="33" customFormat="1" ht="11.25" customHeight="1">
      <c r="A322" s="2374"/>
      <c r="B322" s="850" t="s">
        <v>4637</v>
      </c>
      <c r="D322" s="561"/>
      <c r="H322" s="61"/>
      <c r="M322" s="557">
        <v>3</v>
      </c>
      <c r="N322" s="455" t="s">
        <v>1938</v>
      </c>
      <c r="O322" s="853">
        <f>IF(OR(AND(O323&gt;0,O324&gt;0), AND(O326&gt;0,O327&gt;0), AND(O323+O324&gt;0,O326+O327&gt;0)),"choose", IF(AND($J$321="Rural", SUM(O326:O327)&gt;0),"Not 3 or 4!",MIN($M$322, SUM(O323:O327))))</f>
        <v>0</v>
      </c>
      <c r="P322" s="853">
        <f>IF(OR(AND(P323&gt;0,P324&gt;0), AND(P326&gt;0,P327&gt;0), AND(P323+P324&gt;0,P326+P327&gt;0)),"choose", IF(AND($J$321="Rural", SUM(P326:P327)&gt;0),"Not 3 or 4!",MIN($M$322, SUM(P323:P327))))</f>
        <v>0</v>
      </c>
    </row>
    <row r="323" spans="1:21" s="33" customFormat="1" ht="11.25" customHeight="1">
      <c r="B323" s="847" t="s">
        <v>1939</v>
      </c>
      <c r="C323" s="559" t="s">
        <v>4631</v>
      </c>
      <c r="J323" s="1623" t="s">
        <v>4630</v>
      </c>
      <c r="L323" s="3210" t="str">
        <f>IF(OR(AND(O323&gt;0,O324&gt;0), AND(O326&gt;0,O327&gt;0), AND(O323+O324&gt;0,O326+O327&gt;0)),"Choose option 1 or 2 or 3 or 4!!!",IF(AND(J321="Rural", SUM(O326:O327)&gt;0),"Cannot choose options 3 or 4 if in Rural Pool!!!",""))</f>
        <v/>
      </c>
      <c r="M323" s="72">
        <v>3</v>
      </c>
      <c r="N323" s="430" t="s">
        <v>1939</v>
      </c>
      <c r="O323" s="2335"/>
      <c r="P323" s="4199"/>
      <c r="Q323" s="978" t="str">
        <f>IF(OR($O323=$M323,$O323=0,$O323=""),"","*CHECK!*")</f>
        <v/>
      </c>
      <c r="R323" s="974" t="s">
        <v>4767</v>
      </c>
    </row>
    <row r="324" spans="1:21" ht="11.25" customHeight="1">
      <c r="A324" s="560"/>
      <c r="B324" s="562" t="s">
        <v>1941</v>
      </c>
      <c r="C324" s="434" t="s">
        <v>4632</v>
      </c>
      <c r="D324" s="33"/>
      <c r="E324" s="33"/>
      <c r="F324" s="33"/>
      <c r="G324" s="40"/>
      <c r="H324" s="852"/>
      <c r="I324" s="40"/>
      <c r="J324" s="1623" t="s">
        <v>4630</v>
      </c>
      <c r="K324" s="1624"/>
      <c r="L324" s="3210"/>
      <c r="M324" s="80">
        <v>2</v>
      </c>
      <c r="N324" s="851" t="s">
        <v>1941</v>
      </c>
      <c r="O324" s="2287"/>
      <c r="P324" s="4187"/>
      <c r="Q324" s="978" t="str">
        <f>IF(OR($O324=$M324,$O324=0,$O324=""),"","*CHECK!*")</f>
        <v/>
      </c>
      <c r="R324" s="974" t="s">
        <v>4767</v>
      </c>
    </row>
    <row r="325" spans="1:21" ht="22.5" customHeight="1">
      <c r="A325" s="560"/>
      <c r="B325" s="3043" t="s">
        <v>4635</v>
      </c>
      <c r="C325" s="3043"/>
      <c r="D325" s="3043"/>
      <c r="E325" s="3043"/>
      <c r="F325" s="3043"/>
      <c r="G325" s="3043"/>
      <c r="H325" s="3043"/>
      <c r="I325" s="3043"/>
      <c r="J325" s="3043"/>
      <c r="K325" s="3043"/>
      <c r="L325" s="3210"/>
      <c r="M325" s="80"/>
      <c r="N325" s="80"/>
      <c r="O325" s="80"/>
      <c r="P325" s="80"/>
      <c r="Q325" s="978"/>
      <c r="R325" s="1039"/>
    </row>
    <row r="326" spans="1:21" ht="11.25" customHeight="1">
      <c r="A326" s="560"/>
      <c r="B326" s="562" t="s">
        <v>2468</v>
      </c>
      <c r="C326" s="559" t="s">
        <v>4633</v>
      </c>
      <c r="D326" s="33"/>
      <c r="E326" s="33"/>
      <c r="F326" s="33"/>
      <c r="G326" s="40"/>
      <c r="H326" s="852"/>
      <c r="I326" s="40"/>
      <c r="K326" s="1624"/>
      <c r="L326" s="3210"/>
      <c r="M326" s="80">
        <v>3</v>
      </c>
      <c r="N326" s="851" t="s">
        <v>2468</v>
      </c>
      <c r="O326" s="2336"/>
      <c r="P326" s="4218"/>
      <c r="Q326" s="978" t="str">
        <f>IF(OR($O326=$M326,$O326=0,$O326=""),"","*CHECK!*")</f>
        <v/>
      </c>
      <c r="R326" s="974" t="s">
        <v>4767</v>
      </c>
    </row>
    <row r="327" spans="1:21" ht="11.25" customHeight="1">
      <c r="A327" s="560"/>
      <c r="B327" s="562" t="s">
        <v>1198</v>
      </c>
      <c r="C327" s="434" t="s">
        <v>4634</v>
      </c>
      <c r="D327" s="33"/>
      <c r="E327" s="33"/>
      <c r="F327" s="33"/>
      <c r="G327" s="40"/>
      <c r="H327" s="61"/>
      <c r="I327" s="40"/>
      <c r="K327" s="1624"/>
      <c r="L327" s="3210"/>
      <c r="M327" s="80">
        <v>2</v>
      </c>
      <c r="N327" s="851" t="s">
        <v>1198</v>
      </c>
      <c r="O327" s="2287"/>
      <c r="P327" s="4187"/>
      <c r="Q327" s="978" t="str">
        <f>IF(OR($O327=$M327,$O327=0,$O327=""),"","*CHECK!*")</f>
        <v/>
      </c>
      <c r="R327" s="974" t="s">
        <v>4767</v>
      </c>
    </row>
    <row r="328" spans="1:21" s="43" customFormat="1" ht="10.5" customHeight="1" thickBot="1">
      <c r="A328" s="42"/>
      <c r="B328" s="1132" t="s">
        <v>3566</v>
      </c>
      <c r="C328" s="42"/>
      <c r="D328" s="48"/>
      <c r="E328" s="48"/>
      <c r="F328" s="48"/>
      <c r="G328" s="48"/>
      <c r="H328" s="36"/>
      <c r="I328" s="36"/>
      <c r="J328" s="36"/>
      <c r="K328" s="36"/>
      <c r="M328" s="46"/>
      <c r="N328" s="62"/>
      <c r="O328" s="3"/>
      <c r="P328" s="2377"/>
    </row>
    <row r="329" spans="1:21" s="43" customFormat="1" ht="21.75" customHeight="1" thickTop="1" thickBot="1">
      <c r="A329" s="2986" t="s">
        <v>7136</v>
      </c>
      <c r="B329" s="2987"/>
      <c r="C329" s="2987"/>
      <c r="D329" s="2987"/>
      <c r="E329" s="2987"/>
      <c r="F329" s="2987"/>
      <c r="G329" s="2987"/>
      <c r="H329" s="2987"/>
      <c r="I329" s="2987"/>
      <c r="J329" s="2987"/>
      <c r="K329" s="2987"/>
      <c r="L329" s="2987"/>
      <c r="M329" s="2987"/>
      <c r="N329" s="2987"/>
      <c r="O329" s="2987"/>
      <c r="P329" s="2988"/>
      <c r="Q329" s="1027" t="s">
        <v>1228</v>
      </c>
    </row>
    <row r="330" spans="1:21" s="43" customFormat="1" ht="10.5" customHeight="1" thickTop="1">
      <c r="B330" s="85" t="s">
        <v>1820</v>
      </c>
      <c r="C330" s="98"/>
      <c r="D330" s="85"/>
      <c r="E330" s="99"/>
      <c r="F330" s="2380"/>
      <c r="G330" s="2380"/>
      <c r="H330" s="2380"/>
      <c r="I330" s="2380"/>
      <c r="J330" s="2380"/>
      <c r="K330" s="2380"/>
      <c r="L330" s="2380"/>
      <c r="M330" s="2380"/>
      <c r="N330" s="74"/>
      <c r="O330" s="70"/>
      <c r="P330" s="2373"/>
      <c r="Q330" s="422"/>
    </row>
    <row r="331" spans="1:21" s="43" customFormat="1" ht="11.25" customHeight="1">
      <c r="A331" s="2757"/>
      <c r="B331" s="2758"/>
      <c r="C331" s="2758"/>
      <c r="D331" s="2758"/>
      <c r="E331" s="2758"/>
      <c r="F331" s="2758"/>
      <c r="G331" s="2758"/>
      <c r="H331" s="2758"/>
      <c r="I331" s="2758"/>
      <c r="J331" s="2758"/>
      <c r="K331" s="2758"/>
      <c r="L331" s="2758"/>
      <c r="M331" s="2758"/>
      <c r="N331" s="2758"/>
      <c r="O331" s="2758"/>
      <c r="P331" s="2759"/>
      <c r="Q331" s="440"/>
    </row>
    <row r="332" spans="1:21" ht="1.5" customHeight="1" thickBot="1">
      <c r="B332" s="116"/>
      <c r="C332" s="116"/>
      <c r="D332" s="116"/>
      <c r="E332" s="116"/>
      <c r="T332" s="1023"/>
      <c r="U332" s="1023"/>
    </row>
    <row r="333" spans="1:21" s="43" customFormat="1" ht="12" customHeight="1" thickBot="1">
      <c r="A333" s="153" t="s">
        <v>2691</v>
      </c>
      <c r="B333" s="106" t="s">
        <v>2729</v>
      </c>
      <c r="C333" s="54"/>
      <c r="D333" s="115"/>
      <c r="E333" s="115"/>
      <c r="F333" s="41"/>
      <c r="H333" s="40"/>
      <c r="J333" s="2397"/>
      <c r="K333" s="48"/>
      <c r="L333" s="455" t="s">
        <v>4768</v>
      </c>
      <c r="M333" s="2373">
        <v>4</v>
      </c>
      <c r="N333" s="6"/>
      <c r="O333" s="1041">
        <f>IF(AND(O334&gt;0,O338&gt;0),"AorB?",MIN($M333,SUM(O334,O338,O340)))</f>
        <v>4</v>
      </c>
      <c r="P333" s="1041">
        <f>IF(AND(P334&gt;0,P338&gt;0),"AorB?",MIN($M333,SUM(P334,P338,P340)))</f>
        <v>0</v>
      </c>
      <c r="Q333" s="109" t="s">
        <v>433</v>
      </c>
      <c r="T333" s="1023"/>
      <c r="U333" s="1023"/>
    </row>
    <row r="334" spans="1:21" s="102" customFormat="1" ht="11.25" customHeight="1">
      <c r="A334" s="138" t="s">
        <v>1936</v>
      </c>
      <c r="B334" s="165" t="s">
        <v>2177</v>
      </c>
      <c r="D334" s="61"/>
      <c r="E334" s="61"/>
      <c r="F334" s="44"/>
      <c r="G334" s="27"/>
      <c r="L334" s="374"/>
      <c r="M334" s="7">
        <v>3</v>
      </c>
      <c r="N334" s="455" t="s">
        <v>1936</v>
      </c>
      <c r="O334" s="1447">
        <f>IF(OR(AND(O335="Yes",O336="Yes",O337="Yes"),AND(O335="Yes",O337="Yes"),AND(O336="Yes",O337="Yes"),AND(O335="Yes",O336="Yes")),"choose",IF(O335="Yes",$M$335,IF(O336="Yes",$M$336, IF(O337="Yes",$M$337,0))))</f>
        <v>3</v>
      </c>
      <c r="P334" s="1447">
        <f>IF(OR(AND(P335="Yes",P336="Yes",P337="Yes"),AND(P335="Yes",P337="Yes"),AND(P336="Yes",P337="Yes"),AND(P335="Yes",P336="Yes")),"choose",IF(P335="Yes",$M$335,IF(P336="Yes",$M$336, IF(P337="Yes",$M$337,0))))</f>
        <v>0</v>
      </c>
      <c r="Q334" s="978"/>
      <c r="R334" s="1039"/>
      <c r="T334" s="1023"/>
      <c r="U334" s="1023"/>
    </row>
    <row r="335" spans="1:21" s="102" customFormat="1" ht="11.25" customHeight="1">
      <c r="A335" s="138"/>
      <c r="B335" s="847" t="s">
        <v>1939</v>
      </c>
      <c r="C335" s="40" t="s">
        <v>4328</v>
      </c>
      <c r="D335" s="61"/>
      <c r="E335" s="61"/>
      <c r="F335" s="44"/>
      <c r="G335" s="27"/>
      <c r="L335" s="374"/>
      <c r="M335" s="7">
        <v>3</v>
      </c>
      <c r="N335" s="430" t="s">
        <v>1939</v>
      </c>
      <c r="O335" s="2256" t="s">
        <v>2886</v>
      </c>
      <c r="P335" s="518"/>
      <c r="Q335" s="978"/>
      <c r="R335" s="1039"/>
      <c r="T335" s="1023"/>
      <c r="U335" s="1023"/>
    </row>
    <row r="336" spans="1:21" s="102" customFormat="1" ht="11.25" customHeight="1">
      <c r="A336" s="138"/>
      <c r="B336" s="562" t="s">
        <v>1941</v>
      </c>
      <c r="C336" s="40" t="s">
        <v>4329</v>
      </c>
      <c r="D336" s="61"/>
      <c r="E336" s="61"/>
      <c r="F336" s="44"/>
      <c r="G336" s="27"/>
      <c r="L336" s="374"/>
      <c r="M336" s="7">
        <v>2</v>
      </c>
      <c r="N336" s="851" t="s">
        <v>1941</v>
      </c>
      <c r="O336" s="2257" t="s">
        <v>2889</v>
      </c>
      <c r="P336" s="519"/>
      <c r="Q336" s="978"/>
      <c r="R336" s="1039"/>
      <c r="T336" s="1023"/>
      <c r="U336" s="1023"/>
    </row>
    <row r="337" spans="1:21" s="102" customFormat="1" ht="10.5" customHeight="1">
      <c r="A337" s="138"/>
      <c r="B337" s="562" t="s">
        <v>2468</v>
      </c>
      <c r="C337" s="40" t="s">
        <v>4330</v>
      </c>
      <c r="D337" s="61"/>
      <c r="E337" s="61"/>
      <c r="F337" s="44"/>
      <c r="G337" s="27"/>
      <c r="K337" s="455"/>
      <c r="M337" s="7">
        <v>1</v>
      </c>
      <c r="N337" s="851" t="s">
        <v>2468</v>
      </c>
      <c r="O337" s="2258" t="s">
        <v>2889</v>
      </c>
      <c r="P337" s="520"/>
      <c r="R337" s="387"/>
      <c r="T337" s="1023"/>
      <c r="U337" s="1023"/>
    </row>
    <row r="338" spans="1:21" s="43" customFormat="1" ht="11.25" customHeight="1">
      <c r="A338" s="138" t="s">
        <v>1938</v>
      </c>
      <c r="B338" s="165" t="s">
        <v>4578</v>
      </c>
      <c r="D338" s="57"/>
      <c r="K338" s="52"/>
      <c r="L338" s="374" t="str">
        <f>IF(OR($O338=$M338,$O338=0,$O338=""),"","* * Check Score! * *")</f>
        <v/>
      </c>
      <c r="M338" s="7">
        <v>1</v>
      </c>
      <c r="N338" s="455" t="s">
        <v>1938</v>
      </c>
      <c r="O338" s="1087">
        <f>IF(O339="Yes",$M$338,0)</f>
        <v>0</v>
      </c>
      <c r="P338" s="1087">
        <f>IF(P339="Yes",$M$338,0)</f>
        <v>0</v>
      </c>
      <c r="Q338" s="978" t="str">
        <f>IF(OR($O338=$M338,$O338=0,$O338=""),"","*CHECK!*")</f>
        <v/>
      </c>
      <c r="R338" s="1039"/>
      <c r="T338" s="1023"/>
      <c r="U338" s="1023"/>
    </row>
    <row r="339" spans="1:21" s="43" customFormat="1" ht="21.75" customHeight="1">
      <c r="A339" s="153"/>
      <c r="B339" s="2746" t="s">
        <v>4579</v>
      </c>
      <c r="C339" s="2746"/>
      <c r="D339" s="2746"/>
      <c r="E339" s="2746"/>
      <c r="F339" s="2746"/>
      <c r="G339" s="2746"/>
      <c r="H339" s="2746"/>
      <c r="I339" s="2746"/>
      <c r="J339" s="2746"/>
      <c r="K339" s="2746"/>
      <c r="L339" s="2746"/>
      <c r="M339" s="7"/>
      <c r="N339" s="455"/>
      <c r="O339" s="2337" t="s">
        <v>2889</v>
      </c>
      <c r="P339" s="4219"/>
      <c r="Q339" s="387"/>
      <c r="R339" s="374"/>
      <c r="T339" s="1023"/>
      <c r="U339" s="1023"/>
    </row>
    <row r="340" spans="1:21" s="43" customFormat="1" ht="11.25" customHeight="1">
      <c r="A340" s="138" t="s">
        <v>731</v>
      </c>
      <c r="B340" s="165" t="s">
        <v>4331</v>
      </c>
      <c r="D340" s="57"/>
      <c r="H340" s="172"/>
      <c r="K340" s="52"/>
      <c r="L340" s="374"/>
      <c r="M340" s="7">
        <v>1</v>
      </c>
      <c r="N340" s="455" t="s">
        <v>731</v>
      </c>
      <c r="O340" s="1087">
        <f>IF(O334=0,0,IF(O341="Yes",$M$340,0))</f>
        <v>1</v>
      </c>
      <c r="P340" s="1087">
        <f>IF(P334=0,0,IF(P341="Yes",$M$340,0))</f>
        <v>0</v>
      </c>
      <c r="Q340" s="978" t="str">
        <f>IF(OR($O340=$M340,$O340=0,$O340=""),"","*CHECK!*")</f>
        <v/>
      </c>
      <c r="R340" s="1039"/>
      <c r="T340" s="1023"/>
      <c r="U340" s="1023"/>
    </row>
    <row r="341" spans="1:21" s="43" customFormat="1" ht="33.75" customHeight="1">
      <c r="B341" s="2696" t="s">
        <v>4447</v>
      </c>
      <c r="C341" s="2696"/>
      <c r="D341" s="2696"/>
      <c r="E341" s="2696"/>
      <c r="F341" s="2696"/>
      <c r="G341" s="2696"/>
      <c r="H341" s="2696"/>
      <c r="I341" s="2696"/>
      <c r="J341" s="2696"/>
      <c r="K341" s="2696"/>
      <c r="L341" s="2696"/>
      <c r="M341" s="7"/>
      <c r="N341" s="455"/>
      <c r="O341" s="2387" t="s">
        <v>2886</v>
      </c>
      <c r="P341" s="2253"/>
      <c r="Q341" s="387"/>
      <c r="R341" s="374"/>
      <c r="T341" s="1023"/>
      <c r="U341" s="1023"/>
    </row>
    <row r="342" spans="1:21" s="43" customFormat="1" ht="22.5" customHeight="1">
      <c r="B342" s="2696" t="s">
        <v>4448</v>
      </c>
      <c r="C342" s="2696"/>
      <c r="D342" s="2696"/>
      <c r="E342" s="2696"/>
      <c r="F342" s="2696"/>
      <c r="G342" s="2696"/>
      <c r="H342" s="2696"/>
      <c r="I342" s="2696"/>
      <c r="J342" s="2696"/>
      <c r="K342" s="2696"/>
      <c r="L342" s="2696"/>
      <c r="M342" s="7"/>
      <c r="N342" s="7"/>
      <c r="O342" s="7"/>
      <c r="P342" s="7"/>
      <c r="Q342" s="387"/>
      <c r="R342" s="374"/>
      <c r="T342" s="1023"/>
      <c r="U342" s="1023"/>
    </row>
    <row r="343" spans="1:21" s="43" customFormat="1" ht="10.5" customHeight="1">
      <c r="A343" s="42"/>
      <c r="B343" s="85" t="s">
        <v>1820</v>
      </c>
      <c r="C343" s="98"/>
      <c r="D343" s="85"/>
      <c r="E343" s="99"/>
      <c r="F343" s="2380"/>
      <c r="G343" s="2380"/>
      <c r="H343" s="2380"/>
      <c r="I343" s="2380"/>
      <c r="J343" s="2380"/>
      <c r="K343" s="2380"/>
      <c r="L343" s="2380"/>
      <c r="M343" s="2380"/>
      <c r="N343" s="74"/>
      <c r="O343" s="70"/>
      <c r="P343" s="2373"/>
      <c r="Q343" s="422"/>
    </row>
    <row r="344" spans="1:21" s="43" customFormat="1" ht="11.25" customHeight="1">
      <c r="A344" s="2757"/>
      <c r="B344" s="2758"/>
      <c r="C344" s="2758"/>
      <c r="D344" s="2758"/>
      <c r="E344" s="2758"/>
      <c r="F344" s="2758"/>
      <c r="G344" s="2758"/>
      <c r="H344" s="2758"/>
      <c r="I344" s="2758"/>
      <c r="J344" s="2758"/>
      <c r="K344" s="2758"/>
      <c r="L344" s="2758"/>
      <c r="M344" s="2758"/>
      <c r="N344" s="2758"/>
      <c r="O344" s="2758"/>
      <c r="P344" s="2759"/>
      <c r="Q344" s="440"/>
    </row>
    <row r="345" spans="1:21" s="43" customFormat="1" ht="1.5" customHeight="1" thickBot="1">
      <c r="A345" s="42"/>
      <c r="B345" s="42"/>
      <c r="C345" s="2380"/>
      <c r="D345" s="2380"/>
      <c r="E345" s="2380"/>
      <c r="F345" s="2380"/>
      <c r="G345" s="2380"/>
      <c r="H345" s="2380"/>
      <c r="I345" s="2380"/>
      <c r="J345" s="2380"/>
      <c r="K345" s="2380"/>
      <c r="L345" s="2380"/>
      <c r="M345" s="2380"/>
      <c r="N345" s="74"/>
      <c r="O345" s="70"/>
      <c r="P345" s="846"/>
    </row>
    <row r="346" spans="1:21" s="43" customFormat="1" ht="12" customHeight="1" thickBot="1">
      <c r="A346" s="152" t="s">
        <v>2194</v>
      </c>
      <c r="B346" s="106" t="s">
        <v>3747</v>
      </c>
      <c r="C346" s="87"/>
      <c r="D346" s="58"/>
      <c r="E346" s="52"/>
      <c r="G346" s="55"/>
      <c r="M346" s="2373">
        <v>2</v>
      </c>
      <c r="N346" s="6"/>
      <c r="O346" s="6"/>
      <c r="P346" s="1081">
        <f>P347+P355</f>
        <v>0</v>
      </c>
      <c r="Q346" s="109" t="s">
        <v>433</v>
      </c>
    </row>
    <row r="347" spans="1:21" s="43" customFormat="1" ht="12" customHeight="1">
      <c r="A347" s="138" t="s">
        <v>1936</v>
      </c>
      <c r="B347" s="165" t="s">
        <v>3748</v>
      </c>
      <c r="C347" s="87"/>
      <c r="D347" s="58"/>
      <c r="E347" s="52"/>
      <c r="G347" s="1782">
        <f>'Part VIII-Threshold Criteria'!I352</f>
        <v>0</v>
      </c>
      <c r="L347" s="455" t="s">
        <v>4816</v>
      </c>
      <c r="M347" s="1781" t="str">
        <f>'Part I-Project Information'!H100</f>
        <v>No</v>
      </c>
      <c r="N347" s="455" t="s">
        <v>1936</v>
      </c>
      <c r="O347" s="454" t="str">
        <f>'Part I-Project Information'!$H$100</f>
        <v>No</v>
      </c>
      <c r="P347" s="4214"/>
      <c r="Q347" s="109"/>
      <c r="R347" s="1039" t="s">
        <v>2626</v>
      </c>
    </row>
    <row r="348" spans="1:21" s="102" customFormat="1" ht="10.5" customHeight="1">
      <c r="A348" s="138"/>
      <c r="B348" s="372" t="s">
        <v>1939</v>
      </c>
      <c r="C348" s="36" t="s">
        <v>4383</v>
      </c>
      <c r="D348" s="33"/>
      <c r="N348" s="430" t="s">
        <v>4384</v>
      </c>
      <c r="O348" s="2256"/>
      <c r="P348" s="518"/>
      <c r="R348" s="374"/>
    </row>
    <row r="349" spans="1:21" s="102" customFormat="1" ht="10.5" customHeight="1">
      <c r="A349" s="138"/>
      <c r="B349" s="372"/>
      <c r="C349" s="36" t="s">
        <v>4741</v>
      </c>
      <c r="D349" s="33"/>
      <c r="N349" s="430" t="s">
        <v>4385</v>
      </c>
      <c r="O349" s="2257"/>
      <c r="P349" s="519"/>
      <c r="R349" s="374"/>
    </row>
    <row r="350" spans="1:21" s="102" customFormat="1" ht="10.5" customHeight="1">
      <c r="A350" s="138"/>
      <c r="B350" s="372" t="s">
        <v>1941</v>
      </c>
      <c r="C350" s="36" t="s">
        <v>3756</v>
      </c>
      <c r="D350" s="33"/>
      <c r="N350" s="851" t="s">
        <v>1941</v>
      </c>
      <c r="O350" s="2257"/>
      <c r="P350" s="519"/>
      <c r="R350" s="374"/>
    </row>
    <row r="351" spans="1:21" s="102" customFormat="1" ht="10.5" customHeight="1">
      <c r="A351" s="138"/>
      <c r="B351" s="372" t="s">
        <v>2468</v>
      </c>
      <c r="C351" s="36" t="s">
        <v>4386</v>
      </c>
      <c r="D351" s="33"/>
      <c r="N351" s="851" t="s">
        <v>2468</v>
      </c>
      <c r="O351" s="2257"/>
      <c r="P351" s="519"/>
      <c r="R351" s="374"/>
    </row>
    <row r="352" spans="1:21" s="102" customFormat="1" ht="10.5" customHeight="1">
      <c r="B352" s="372" t="s">
        <v>1198</v>
      </c>
      <c r="C352" s="36" t="s">
        <v>4332</v>
      </c>
      <c r="D352" s="33"/>
      <c r="N352" s="851" t="s">
        <v>1198</v>
      </c>
      <c r="O352" s="2257"/>
      <c r="P352" s="519"/>
      <c r="R352" s="374"/>
    </row>
    <row r="353" spans="1:19" s="102" customFormat="1" ht="10.5" customHeight="1">
      <c r="A353" s="138"/>
      <c r="B353" s="372" t="s">
        <v>1199</v>
      </c>
      <c r="C353" s="36" t="s">
        <v>4333</v>
      </c>
      <c r="D353" s="33"/>
      <c r="N353" s="851" t="s">
        <v>1199</v>
      </c>
      <c r="O353" s="2257"/>
      <c r="P353" s="519"/>
      <c r="R353" s="374"/>
    </row>
    <row r="354" spans="1:19" s="102" customFormat="1" ht="10.5" customHeight="1">
      <c r="A354" s="138"/>
      <c r="B354" s="372" t="s">
        <v>1834</v>
      </c>
      <c r="C354" s="36" t="s">
        <v>3757</v>
      </c>
      <c r="D354" s="33"/>
      <c r="N354" s="851" t="s">
        <v>1834</v>
      </c>
      <c r="O354" s="2258"/>
      <c r="P354" s="520"/>
      <c r="R354" s="374"/>
    </row>
    <row r="355" spans="1:19" s="43" customFormat="1" ht="12" customHeight="1">
      <c r="A355" s="138" t="s">
        <v>1938</v>
      </c>
      <c r="B355" s="165" t="s">
        <v>3749</v>
      </c>
      <c r="C355" s="87"/>
      <c r="D355" s="58"/>
      <c r="E355" s="52"/>
      <c r="G355" s="1782" t="str">
        <f>'Part I-Project Information'!D164</f>
        <v>The Housing Authority of the City of Columbus</v>
      </c>
      <c r="I355" s="477"/>
      <c r="L355" s="1112"/>
      <c r="M355" s="1112"/>
      <c r="N355" s="455" t="s">
        <v>1938</v>
      </c>
      <c r="P355" s="4214"/>
      <c r="Q355" s="109"/>
      <c r="R355" s="1039" t="s">
        <v>2626</v>
      </c>
    </row>
    <row r="356" spans="1:19" s="102" customFormat="1" ht="10.5" customHeight="1">
      <c r="A356" s="153"/>
      <c r="B356" s="372" t="s">
        <v>1939</v>
      </c>
      <c r="C356" s="36" t="s">
        <v>4383</v>
      </c>
      <c r="D356" s="52"/>
      <c r="E356" s="52"/>
      <c r="M356" s="2373"/>
      <c r="N356" s="430" t="s">
        <v>4384</v>
      </c>
      <c r="O356" s="2256"/>
      <c r="P356" s="518"/>
      <c r="Q356" s="109"/>
    </row>
    <row r="357" spans="1:19" s="102" customFormat="1" ht="10.5" customHeight="1">
      <c r="A357" s="138"/>
      <c r="B357" s="372"/>
      <c r="C357" s="36" t="s">
        <v>4769</v>
      </c>
      <c r="D357" s="33"/>
      <c r="N357" s="430" t="s">
        <v>4385</v>
      </c>
      <c r="O357" s="2257"/>
      <c r="P357" s="519"/>
      <c r="R357" s="374"/>
    </row>
    <row r="358" spans="1:19" s="102" customFormat="1" ht="10.5" customHeight="1">
      <c r="A358" s="138"/>
      <c r="B358" s="372" t="s">
        <v>1941</v>
      </c>
      <c r="C358" s="36" t="s">
        <v>3768</v>
      </c>
      <c r="D358" s="33"/>
      <c r="N358" s="851" t="s">
        <v>1941</v>
      </c>
      <c r="O358" s="2257"/>
      <c r="P358" s="519"/>
      <c r="R358" s="374"/>
    </row>
    <row r="359" spans="1:19" s="102" customFormat="1" ht="10.5" customHeight="1">
      <c r="B359" s="372" t="s">
        <v>2468</v>
      </c>
      <c r="C359" s="36" t="s">
        <v>3757</v>
      </c>
      <c r="D359" s="33"/>
      <c r="N359" s="851" t="s">
        <v>2468</v>
      </c>
      <c r="O359" s="2258"/>
      <c r="P359" s="520"/>
      <c r="R359" s="374"/>
    </row>
    <row r="360" spans="1:19" s="43" customFormat="1" ht="10.5" customHeight="1">
      <c r="B360" s="85" t="s">
        <v>1820</v>
      </c>
      <c r="C360" s="98"/>
      <c r="D360" s="85"/>
      <c r="E360" s="99"/>
      <c r="F360" s="2380"/>
      <c r="G360" s="2380"/>
      <c r="H360" s="2380"/>
      <c r="I360" s="2380"/>
      <c r="J360" s="2380"/>
      <c r="K360" s="2380"/>
      <c r="L360" s="2380"/>
      <c r="M360" s="2380"/>
      <c r="N360" s="74"/>
      <c r="O360" s="70"/>
      <c r="P360" s="2373"/>
      <c r="Q360" s="422"/>
    </row>
    <row r="361" spans="1:19" s="43" customFormat="1" ht="11.25" customHeight="1">
      <c r="A361" s="2757"/>
      <c r="B361" s="2758"/>
      <c r="C361" s="2758"/>
      <c r="D361" s="2758"/>
      <c r="E361" s="2758"/>
      <c r="F361" s="2758"/>
      <c r="G361" s="2758"/>
      <c r="H361" s="2758"/>
      <c r="I361" s="2758"/>
      <c r="J361" s="2758"/>
      <c r="K361" s="2758"/>
      <c r="L361" s="2758"/>
      <c r="M361" s="2758"/>
      <c r="N361" s="2758"/>
      <c r="O361" s="2758"/>
      <c r="P361" s="2759"/>
      <c r="Q361" s="440"/>
    </row>
    <row r="362" spans="1:19" ht="2.25" customHeight="1"/>
    <row r="363" spans="1:19" s="43" customFormat="1" ht="2.25" customHeight="1" thickBot="1">
      <c r="A363" s="42"/>
      <c r="C363" s="2380"/>
      <c r="D363" s="2380"/>
      <c r="E363" s="2380"/>
      <c r="F363" s="2380"/>
      <c r="G363" s="2380"/>
      <c r="H363" s="2380"/>
      <c r="I363" s="2380"/>
      <c r="J363" s="2380"/>
      <c r="K363" s="2380"/>
      <c r="L363" s="2380"/>
      <c r="M363" s="2380"/>
      <c r="N363" s="74"/>
      <c r="O363" s="70"/>
      <c r="P363" s="846"/>
    </row>
    <row r="364" spans="1:19" s="43" customFormat="1" ht="12" customHeight="1" thickBot="1">
      <c r="A364" s="152" t="s">
        <v>3784</v>
      </c>
      <c r="B364" s="105" t="s">
        <v>1631</v>
      </c>
      <c r="D364" s="88"/>
      <c r="E364" s="88"/>
      <c r="G364" s="52"/>
      <c r="I364" s="449"/>
      <c r="J364" s="449"/>
      <c r="K364" s="1230"/>
      <c r="L364" s="1229"/>
      <c r="M364" s="846">
        <v>1</v>
      </c>
      <c r="N364" s="393"/>
      <c r="O364" s="2292"/>
      <c r="P364" s="4201"/>
      <c r="Q364" s="109" t="s">
        <v>433</v>
      </c>
      <c r="R364" s="3198" t="s">
        <v>4767</v>
      </c>
      <c r="S364" s="3198"/>
    </row>
    <row r="365" spans="1:19" s="43" customFormat="1" ht="11.25" customHeight="1">
      <c r="A365" s="138"/>
      <c r="B365" s="113" t="s">
        <v>3453</v>
      </c>
      <c r="D365" s="88"/>
      <c r="E365" s="88"/>
      <c r="G365" s="52"/>
      <c r="I365" s="3044" t="s">
        <v>6802</v>
      </c>
      <c r="J365" s="3045"/>
      <c r="K365" s="3045"/>
      <c r="L365" s="3046"/>
      <c r="M365" s="426"/>
      <c r="N365" s="393"/>
      <c r="O365" s="1112" t="s">
        <v>2444</v>
      </c>
      <c r="P365" s="1112" t="s">
        <v>2444</v>
      </c>
      <c r="Q365" s="978"/>
      <c r="R365" s="3198"/>
      <c r="S365" s="3198"/>
    </row>
    <row r="366" spans="1:19" s="43" customFormat="1" ht="11.25" customHeight="1">
      <c r="A366" s="138"/>
      <c r="B366" s="372" t="s">
        <v>1939</v>
      </c>
      <c r="C366" s="55" t="s">
        <v>6803</v>
      </c>
      <c r="D366" s="88"/>
      <c r="E366" s="1813" t="s">
        <v>4346</v>
      </c>
      <c r="G366" s="52"/>
      <c r="I366" s="1228"/>
      <c r="J366" s="997"/>
      <c r="K366" s="997"/>
      <c r="L366" s="997"/>
      <c r="M366" s="2384"/>
      <c r="N366" s="1458"/>
      <c r="O366" s="2256"/>
      <c r="P366" s="518"/>
      <c r="Q366" s="1459"/>
      <c r="R366" s="3198"/>
      <c r="S366" s="3198"/>
    </row>
    <row r="367" spans="1:19" s="102" customFormat="1" ht="11.25" customHeight="1">
      <c r="A367" s="138"/>
      <c r="B367" s="51"/>
      <c r="C367" s="36"/>
      <c r="D367" s="51" t="s">
        <v>1326</v>
      </c>
      <c r="E367" s="36" t="s">
        <v>6804</v>
      </c>
      <c r="G367" s="52"/>
      <c r="H367" s="1055"/>
      <c r="I367" s="36"/>
      <c r="J367" s="36"/>
      <c r="K367" s="36"/>
      <c r="L367" s="2338"/>
      <c r="N367" s="1458"/>
      <c r="O367" s="2258"/>
      <c r="P367" s="520"/>
      <c r="Q367" s="1814"/>
      <c r="R367" s="3198"/>
      <c r="S367" s="3198"/>
    </row>
    <row r="368" spans="1:19" s="43" customFormat="1" ht="11.25" customHeight="1">
      <c r="B368" s="372" t="s">
        <v>1941</v>
      </c>
      <c r="C368" s="40" t="s">
        <v>4347</v>
      </c>
      <c r="D368" s="102"/>
      <c r="E368" s="88"/>
      <c r="F368" s="52"/>
      <c r="G368" s="52"/>
      <c r="N368" s="455"/>
      <c r="O368" s="1112" t="s">
        <v>2444</v>
      </c>
      <c r="P368" s="1112" t="s">
        <v>2444</v>
      </c>
    </row>
    <row r="369" spans="1:19" s="117" customFormat="1" ht="10.5" customHeight="1">
      <c r="B369" s="373" t="s">
        <v>2372</v>
      </c>
      <c r="C369" s="428" t="s">
        <v>3750</v>
      </c>
      <c r="H369" s="39"/>
      <c r="I369" s="39"/>
      <c r="J369" s="39"/>
      <c r="K369" s="39"/>
      <c r="N369" s="373" t="s">
        <v>2372</v>
      </c>
      <c r="O369" s="2256"/>
      <c r="P369" s="518"/>
    </row>
    <row r="370" spans="1:19" s="117" customFormat="1" ht="10.5" customHeight="1">
      <c r="B370" s="386" t="s">
        <v>2373</v>
      </c>
      <c r="C370" s="428" t="s">
        <v>3751</v>
      </c>
      <c r="N370" s="386" t="s">
        <v>2373</v>
      </c>
      <c r="O370" s="2257"/>
      <c r="P370" s="519"/>
    </row>
    <row r="371" spans="1:19" s="117" customFormat="1" ht="10.5" customHeight="1">
      <c r="B371" s="373" t="s">
        <v>2374</v>
      </c>
      <c r="C371" s="428" t="s">
        <v>4580</v>
      </c>
      <c r="N371" s="373" t="s">
        <v>2374</v>
      </c>
      <c r="O371" s="2258"/>
      <c r="P371" s="520"/>
    </row>
    <row r="372" spans="1:19" s="100" customFormat="1" ht="11.25" customHeight="1">
      <c r="B372" s="179" t="s">
        <v>3454</v>
      </c>
      <c r="D372" s="117"/>
      <c r="E372" s="117"/>
      <c r="F372" s="117"/>
      <c r="G372" s="117"/>
      <c r="H372" s="117"/>
      <c r="I372" s="117"/>
      <c r="J372" s="117"/>
      <c r="K372" s="117"/>
      <c r="L372" s="117"/>
      <c r="M372" s="117"/>
      <c r="N372" s="455"/>
      <c r="O372" s="455"/>
      <c r="P372" s="455"/>
    </row>
    <row r="373" spans="1:19" s="100" customFormat="1" ht="2.25" customHeight="1">
      <c r="B373" s="179"/>
      <c r="D373" s="117"/>
      <c r="E373" s="117"/>
      <c r="F373" s="117"/>
      <c r="G373" s="117"/>
      <c r="H373" s="117"/>
      <c r="I373" s="117"/>
      <c r="J373" s="117"/>
      <c r="K373" s="117"/>
      <c r="L373" s="117"/>
      <c r="M373" s="117"/>
      <c r="N373" s="455"/>
      <c r="O373" s="455"/>
      <c r="P373" s="455"/>
    </row>
    <row r="374" spans="1:19" s="102" customFormat="1" ht="10.5" customHeight="1" thickBot="1">
      <c r="A374" s="42"/>
      <c r="B374" s="1132" t="s">
        <v>3566</v>
      </c>
      <c r="C374" s="42"/>
      <c r="D374" s="48"/>
      <c r="E374" s="48"/>
      <c r="F374" s="48"/>
      <c r="G374" s="48"/>
      <c r="H374" s="36"/>
      <c r="I374" s="36"/>
      <c r="J374" s="36"/>
      <c r="K374" s="36"/>
      <c r="M374" s="46"/>
      <c r="N374" s="6"/>
      <c r="O374" s="3"/>
      <c r="P374" s="2373"/>
    </row>
    <row r="375" spans="1:19" s="43" customFormat="1" ht="10.95" customHeight="1" thickTop="1" thickBot="1">
      <c r="A375" s="2986" t="s">
        <v>7142</v>
      </c>
      <c r="B375" s="2987"/>
      <c r="C375" s="2987"/>
      <c r="D375" s="2987"/>
      <c r="E375" s="2987"/>
      <c r="F375" s="2987"/>
      <c r="G375" s="2987"/>
      <c r="H375" s="2987"/>
      <c r="I375" s="2987"/>
      <c r="J375" s="2987"/>
      <c r="K375" s="2987"/>
      <c r="L375" s="2987"/>
      <c r="M375" s="2987"/>
      <c r="N375" s="2987"/>
      <c r="O375" s="2987"/>
      <c r="P375" s="2988"/>
      <c r="Q375" s="1027" t="s">
        <v>1228</v>
      </c>
    </row>
    <row r="376" spans="1:19" s="102" customFormat="1" ht="10.5" customHeight="1" thickTop="1">
      <c r="A376" s="42"/>
      <c r="B376" s="97" t="s">
        <v>1820</v>
      </c>
      <c r="C376" s="42"/>
      <c r="D376" s="97"/>
      <c r="E376" s="2392"/>
      <c r="F376" s="2392"/>
      <c r="G376" s="2392"/>
      <c r="H376" s="2392"/>
      <c r="I376" s="2392"/>
      <c r="J376" s="2392"/>
      <c r="K376" s="2392"/>
      <c r="L376" s="2392"/>
      <c r="M376" s="2392"/>
      <c r="N376" s="93"/>
      <c r="O376" s="836"/>
      <c r="P376" s="2373"/>
      <c r="Q376" s="422"/>
    </row>
    <row r="377" spans="1:19" s="43" customFormat="1" ht="11.25" customHeight="1">
      <c r="A377" s="2757"/>
      <c r="B377" s="2758"/>
      <c r="C377" s="2758"/>
      <c r="D377" s="2758"/>
      <c r="E377" s="2758"/>
      <c r="F377" s="2758"/>
      <c r="G377" s="2758"/>
      <c r="H377" s="2758"/>
      <c r="I377" s="2758"/>
      <c r="J377" s="2758"/>
      <c r="K377" s="2758"/>
      <c r="L377" s="2758"/>
      <c r="M377" s="2758"/>
      <c r="N377" s="2758"/>
      <c r="O377" s="2758"/>
      <c r="P377" s="2759"/>
      <c r="Q377" s="440"/>
    </row>
    <row r="378" spans="1:19" ht="3" customHeight="1" thickBot="1"/>
    <row r="379" spans="1:19" s="43" customFormat="1" ht="12.75" customHeight="1" thickBot="1">
      <c r="A379" s="152" t="s">
        <v>3785</v>
      </c>
      <c r="B379" s="105" t="s">
        <v>3753</v>
      </c>
      <c r="D379" s="88"/>
      <c r="E379" s="88"/>
      <c r="F379" s="52"/>
      <c r="G379" s="52"/>
      <c r="H379" s="52"/>
      <c r="I379" s="52"/>
      <c r="J379" s="52"/>
      <c r="L379" s="374" t="str">
        <f>IF(O379&lt;=M379,"","* * Check Score! * *")</f>
        <v/>
      </c>
      <c r="M379" s="3">
        <v>4</v>
      </c>
      <c r="N379" s="6"/>
      <c r="O379" s="1082">
        <f>O386+O406</f>
        <v>2</v>
      </c>
      <c r="P379" s="1082">
        <f>P386+P406</f>
        <v>0</v>
      </c>
      <c r="Q379" s="109" t="s">
        <v>433</v>
      </c>
    </row>
    <row r="380" spans="1:19" s="43" customFormat="1" ht="10.5" customHeight="1">
      <c r="A380" s="42"/>
      <c r="B380" s="113" t="s">
        <v>4335</v>
      </c>
      <c r="E380" s="88"/>
      <c r="F380" s="52"/>
      <c r="G380" s="52"/>
      <c r="H380" s="52"/>
      <c r="I380" s="52"/>
      <c r="J380" s="54"/>
      <c r="K380" s="60"/>
      <c r="L380" s="56"/>
      <c r="O380" s="506" t="s">
        <v>2444</v>
      </c>
      <c r="P380" s="506" t="s">
        <v>2444</v>
      </c>
    </row>
    <row r="381" spans="1:19" s="100" customFormat="1" ht="12.75" customHeight="1">
      <c r="B381" s="373" t="s">
        <v>2372</v>
      </c>
      <c r="C381" s="134" t="s">
        <v>2730</v>
      </c>
      <c r="E381" s="88"/>
      <c r="F381" s="52"/>
      <c r="G381" s="52"/>
      <c r="H381" s="52"/>
      <c r="I381" s="52"/>
      <c r="J381" s="54"/>
      <c r="K381" s="60"/>
      <c r="L381" s="3077" t="str">
        <f>IF(OR(O381="No",O381="",O382="No",O382="",O383="No",O383="",O384="No",O384=""),"Unmet criterion results in no points!","")</f>
        <v/>
      </c>
      <c r="M381" s="3077"/>
      <c r="N381" s="373" t="s">
        <v>2372</v>
      </c>
      <c r="O381" s="2256" t="s">
        <v>2886</v>
      </c>
      <c r="P381" s="518"/>
      <c r="R381" s="2930" t="str">
        <f>IF(OR(P381="No",P381="",P382="No",P382="",P383="No",P383="",P384="No",P384=""),"Unmet criterion results in no points!","")</f>
        <v>Unmet criterion results in no points!</v>
      </c>
      <c r="S381" s="2930" t="e">
        <f>IF(OR(V381="No",V381="",V382="No",V382="",V383="No",V383="",V384="No",V384="",#REF!="No",#REF!="",#REF!="No",#REF!=""),"Unmet criterion results in no points!","")</f>
        <v>#REF!</v>
      </c>
    </row>
    <row r="382" spans="1:19" s="100" customFormat="1" ht="12.75" customHeight="1">
      <c r="B382" s="373" t="s">
        <v>2373</v>
      </c>
      <c r="C382" s="134" t="s">
        <v>3614</v>
      </c>
      <c r="L382" s="3077"/>
      <c r="M382" s="3077"/>
      <c r="N382" s="373" t="s">
        <v>2373</v>
      </c>
      <c r="O382" s="2257" t="s">
        <v>2886</v>
      </c>
      <c r="P382" s="519"/>
      <c r="R382" s="2930"/>
      <c r="S382" s="2930"/>
    </row>
    <row r="383" spans="1:19" s="100" customFormat="1" ht="12.75" customHeight="1">
      <c r="B383" s="373" t="s">
        <v>2374</v>
      </c>
      <c r="C383" s="134" t="s">
        <v>3613</v>
      </c>
      <c r="L383" s="3077"/>
      <c r="M383" s="3077"/>
      <c r="N383" s="373" t="s">
        <v>2374</v>
      </c>
      <c r="O383" s="2257" t="s">
        <v>2886</v>
      </c>
      <c r="P383" s="519"/>
      <c r="R383" s="2930"/>
      <c r="S383" s="2930"/>
    </row>
    <row r="384" spans="1:19" s="100" customFormat="1" ht="33.75" customHeight="1">
      <c r="B384" s="386" t="s">
        <v>2375</v>
      </c>
      <c r="C384" s="2929" t="s">
        <v>4334</v>
      </c>
      <c r="D384" s="2929"/>
      <c r="E384" s="2929"/>
      <c r="F384" s="2929"/>
      <c r="G384" s="2929"/>
      <c r="H384" s="2929"/>
      <c r="I384" s="2929"/>
      <c r="J384" s="2929"/>
      <c r="K384" s="2929"/>
      <c r="L384" s="2929"/>
      <c r="M384" s="2929"/>
      <c r="N384" s="386" t="s">
        <v>2375</v>
      </c>
      <c r="O384" s="2387" t="s">
        <v>2886</v>
      </c>
      <c r="P384" s="2253"/>
    </row>
    <row r="385" spans="1:20" ht="3" customHeight="1">
      <c r="C385" s="2929"/>
      <c r="D385" s="2929"/>
      <c r="E385" s="2929"/>
      <c r="F385" s="2929"/>
      <c r="G385" s="2929"/>
      <c r="H385" s="2929"/>
      <c r="I385" s="2929"/>
      <c r="J385" s="2929"/>
      <c r="K385" s="2929"/>
      <c r="L385" s="2929"/>
      <c r="M385" s="2929"/>
    </row>
    <row r="386" spans="1:20" ht="12.75" customHeight="1">
      <c r="A386" s="996" t="s">
        <v>1936</v>
      </c>
      <c r="B386" s="177" t="s">
        <v>3754</v>
      </c>
      <c r="L386" s="374" t="str">
        <f>IF(O386&lt;=M386,"","* * Check Score! * *")</f>
        <v/>
      </c>
      <c r="M386" s="1074">
        <v>3</v>
      </c>
      <c r="N386" s="455" t="s">
        <v>1936</v>
      </c>
      <c r="O386" s="2291">
        <v>2</v>
      </c>
      <c r="P386" s="4210"/>
      <c r="Q386" s="978" t="str">
        <f>IF(O386&lt;=M386,"","*CHECK!*")</f>
        <v/>
      </c>
      <c r="R386" s="2925" t="s">
        <v>4767</v>
      </c>
      <c r="S386" s="2925"/>
      <c r="T386" s="1745"/>
    </row>
    <row r="387" spans="1:20" ht="12.75" customHeight="1">
      <c r="A387" s="996"/>
      <c r="B387" s="562" t="s">
        <v>1939</v>
      </c>
      <c r="C387" s="981" t="s">
        <v>4337</v>
      </c>
      <c r="D387" s="981"/>
      <c r="E387" s="981"/>
      <c r="F387" s="981"/>
      <c r="G387" s="981"/>
      <c r="H387" s="981"/>
      <c r="I387" s="981"/>
      <c r="N387" s="27"/>
      <c r="O387" s="27"/>
      <c r="P387" s="27"/>
      <c r="R387" s="2925"/>
      <c r="S387" s="2925"/>
      <c r="T387" s="1745"/>
    </row>
    <row r="388" spans="1:20" ht="12.75" customHeight="1">
      <c r="A388" s="996"/>
      <c r="B388" s="435"/>
      <c r="C388" s="981" t="s">
        <v>4336</v>
      </c>
      <c r="D388" s="981"/>
      <c r="E388" s="981"/>
      <c r="F388" s="981"/>
      <c r="G388" s="981"/>
      <c r="H388" s="981"/>
      <c r="I388" s="981"/>
      <c r="J388" s="3076" t="s">
        <v>1943</v>
      </c>
      <c r="K388" s="3076"/>
      <c r="M388" s="3076" t="s">
        <v>1943</v>
      </c>
      <c r="N388" s="3076"/>
      <c r="O388" s="3076"/>
      <c r="P388" s="3076"/>
      <c r="R388" s="2925"/>
      <c r="S388" s="2925"/>
      <c r="T388" s="1745"/>
    </row>
    <row r="389" spans="1:20" s="43" customFormat="1" ht="12.75" customHeight="1">
      <c r="A389" s="175"/>
      <c r="B389" s="373" t="s">
        <v>2372</v>
      </c>
      <c r="C389" s="36" t="s">
        <v>1451</v>
      </c>
      <c r="I389" s="373" t="s">
        <v>2372</v>
      </c>
      <c r="J389" s="3054"/>
      <c r="K389" s="3055"/>
      <c r="L389" s="373" t="s">
        <v>2372</v>
      </c>
      <c r="M389" s="4220"/>
      <c r="N389" s="4221"/>
      <c r="O389" s="4221"/>
      <c r="P389" s="4222"/>
      <c r="R389" s="374"/>
    </row>
    <row r="390" spans="1:20" ht="12.75" customHeight="1">
      <c r="A390" s="176"/>
      <c r="B390" s="386" t="s">
        <v>2373</v>
      </c>
      <c r="C390" s="36" t="s">
        <v>3456</v>
      </c>
      <c r="I390" s="386" t="s">
        <v>2373</v>
      </c>
      <c r="J390" s="3018"/>
      <c r="K390" s="3019"/>
      <c r="L390" s="386" t="s">
        <v>2373</v>
      </c>
      <c r="M390" s="4223"/>
      <c r="N390" s="4224"/>
      <c r="O390" s="4224"/>
      <c r="P390" s="4225"/>
      <c r="R390" s="374"/>
    </row>
    <row r="391" spans="1:20" ht="12.75" customHeight="1">
      <c r="B391" s="373" t="s">
        <v>2374</v>
      </c>
      <c r="C391" s="36" t="s">
        <v>4581</v>
      </c>
      <c r="I391" s="373" t="s">
        <v>2374</v>
      </c>
      <c r="J391" s="3018">
        <v>625000</v>
      </c>
      <c r="K391" s="3019"/>
      <c r="L391" s="373" t="s">
        <v>2374</v>
      </c>
      <c r="M391" s="4223"/>
      <c r="N391" s="4224"/>
      <c r="O391" s="4224"/>
      <c r="P391" s="4225"/>
      <c r="R391" s="374"/>
    </row>
    <row r="392" spans="1:20" ht="12.75" customHeight="1">
      <c r="A392" s="176"/>
      <c r="B392" s="373" t="s">
        <v>2375</v>
      </c>
      <c r="C392" s="36" t="s">
        <v>3344</v>
      </c>
      <c r="I392" s="373" t="s">
        <v>2375</v>
      </c>
      <c r="J392" s="3018"/>
      <c r="K392" s="3019"/>
      <c r="L392" s="373" t="s">
        <v>2375</v>
      </c>
      <c r="M392" s="4223"/>
      <c r="N392" s="4224"/>
      <c r="O392" s="4224"/>
      <c r="P392" s="4225"/>
      <c r="R392" s="374"/>
    </row>
    <row r="393" spans="1:20" s="43" customFormat="1" ht="12.75" customHeight="1">
      <c r="A393" s="175"/>
      <c r="B393" s="386" t="s">
        <v>2376</v>
      </c>
      <c r="C393" s="36" t="s">
        <v>2647</v>
      </c>
      <c r="I393" s="386" t="s">
        <v>2376</v>
      </c>
      <c r="J393" s="3018"/>
      <c r="K393" s="3019"/>
      <c r="L393" s="386" t="s">
        <v>2376</v>
      </c>
      <c r="M393" s="4223"/>
      <c r="N393" s="4224"/>
      <c r="O393" s="4224"/>
      <c r="P393" s="4225"/>
      <c r="R393" s="374"/>
    </row>
    <row r="394" spans="1:20" ht="12.75" customHeight="1">
      <c r="B394" s="373" t="s">
        <v>2392</v>
      </c>
      <c r="C394" s="36" t="s">
        <v>1450</v>
      </c>
      <c r="I394" s="373" t="s">
        <v>2392</v>
      </c>
      <c r="J394" s="3018"/>
      <c r="K394" s="3019"/>
      <c r="L394" s="373" t="s">
        <v>2392</v>
      </c>
      <c r="M394" s="4223"/>
      <c r="N394" s="4224"/>
      <c r="O394" s="4224"/>
      <c r="P394" s="4225"/>
      <c r="R394" s="374"/>
    </row>
    <row r="395" spans="1:20" ht="12.75" customHeight="1">
      <c r="A395" s="176"/>
      <c r="B395" s="373" t="s">
        <v>2393</v>
      </c>
      <c r="C395" s="36" t="s">
        <v>3455</v>
      </c>
      <c r="I395" s="373" t="s">
        <v>2393</v>
      </c>
      <c r="J395" s="3018"/>
      <c r="K395" s="3019"/>
      <c r="L395" s="373" t="s">
        <v>2393</v>
      </c>
      <c r="M395" s="4223"/>
      <c r="N395" s="4224"/>
      <c r="O395" s="4224"/>
      <c r="P395" s="4225"/>
      <c r="R395" s="374"/>
    </row>
    <row r="396" spans="1:20" ht="12.75" customHeight="1">
      <c r="B396" s="385" t="s">
        <v>2394</v>
      </c>
      <c r="C396" s="36" t="s">
        <v>4338</v>
      </c>
      <c r="I396" s="385" t="s">
        <v>2394</v>
      </c>
      <c r="J396" s="3018"/>
      <c r="K396" s="3019"/>
      <c r="L396" s="385" t="s">
        <v>2394</v>
      </c>
      <c r="M396" s="4223"/>
      <c r="N396" s="4224"/>
      <c r="O396" s="4224"/>
      <c r="P396" s="4225"/>
      <c r="R396" s="374"/>
    </row>
    <row r="397" spans="1:20" ht="12.75" customHeight="1">
      <c r="B397" s="385" t="s">
        <v>2395</v>
      </c>
      <c r="C397" s="36" t="s">
        <v>4339</v>
      </c>
      <c r="I397" s="385" t="s">
        <v>2395</v>
      </c>
      <c r="J397" s="3018"/>
      <c r="K397" s="3019"/>
      <c r="L397" s="385" t="s">
        <v>2395</v>
      </c>
      <c r="M397" s="4223"/>
      <c r="N397" s="4224"/>
      <c r="O397" s="4224"/>
      <c r="P397" s="4225"/>
      <c r="R397" s="374"/>
    </row>
    <row r="398" spans="1:20" ht="12.75" customHeight="1" thickBot="1">
      <c r="B398" s="385" t="s">
        <v>3457</v>
      </c>
      <c r="C398" s="36" t="s">
        <v>4340</v>
      </c>
      <c r="I398" s="385" t="s">
        <v>3457</v>
      </c>
      <c r="J398" s="3018"/>
      <c r="K398" s="3019"/>
      <c r="L398" s="385" t="s">
        <v>3457</v>
      </c>
      <c r="M398" s="4226"/>
      <c r="N398" s="4227"/>
      <c r="O398" s="4227"/>
      <c r="P398" s="4228"/>
      <c r="R398" s="374"/>
    </row>
    <row r="399" spans="1:20" ht="12.75" customHeight="1" thickBot="1">
      <c r="B399" s="1110" t="s">
        <v>4341</v>
      </c>
      <c r="H399" s="1131" t="s">
        <v>2559</v>
      </c>
      <c r="J399" s="3051">
        <f>SUM(J389:K398)</f>
        <v>625000</v>
      </c>
      <c r="K399" s="3053"/>
      <c r="M399" s="3051">
        <f>SUM($M389:$M398)</f>
        <v>0</v>
      </c>
      <c r="N399" s="3052"/>
      <c r="O399" s="3052"/>
      <c r="P399" s="3053"/>
      <c r="R399" s="374"/>
    </row>
    <row r="400" spans="1:20" s="43" customFormat="1" ht="7.5" customHeight="1">
      <c r="A400" s="42"/>
      <c r="D400" s="39"/>
      <c r="E400" s="36"/>
      <c r="F400" s="846"/>
      <c r="G400" s="524"/>
      <c r="H400" s="277"/>
      <c r="J400" s="492"/>
      <c r="K400" s="492"/>
      <c r="L400" s="524"/>
      <c r="M400" s="492"/>
      <c r="N400" s="492"/>
      <c r="O400" s="1064"/>
      <c r="P400" s="492"/>
    </row>
    <row r="401" spans="1:23" ht="12.75" customHeight="1">
      <c r="B401" s="1450" t="s">
        <v>1941</v>
      </c>
      <c r="C401" s="505" t="s">
        <v>2558</v>
      </c>
      <c r="M401" s="492"/>
      <c r="N401" s="492"/>
      <c r="O401" s="158"/>
      <c r="P401" s="492"/>
    </row>
    <row r="402" spans="1:23" s="43" customFormat="1" ht="12" customHeight="1">
      <c r="A402" s="42"/>
      <c r="C402" s="3070" t="s">
        <v>4450</v>
      </c>
      <c r="D402" s="3070"/>
      <c r="E402" s="3070"/>
      <c r="F402" s="428" t="s">
        <v>4372</v>
      </c>
      <c r="H402" s="27"/>
      <c r="I402" s="2339">
        <v>12452350</v>
      </c>
      <c r="J402" s="3056">
        <f>'Part IV-A-Uses of Funds'!$G$132</f>
        <v>12452350</v>
      </c>
      <c r="K402" s="3057"/>
      <c r="L402" s="524"/>
      <c r="M402" s="492"/>
      <c r="N402" s="492"/>
      <c r="O402" s="1064"/>
      <c r="P402" s="492"/>
    </row>
    <row r="403" spans="1:23" ht="12.75" customHeight="1">
      <c r="C403" s="3070"/>
      <c r="D403" s="3070"/>
      <c r="E403" s="3070"/>
      <c r="F403" s="432" t="s">
        <v>4371</v>
      </c>
      <c r="I403" s="2340">
        <v>5.0191E-2</v>
      </c>
      <c r="J403" s="3065">
        <f>IF($J402=0,0,$J399/$J402)</f>
        <v>5.0191329347472564E-2</v>
      </c>
      <c r="K403" s="3066"/>
      <c r="M403" s="3067">
        <f>IF($J402=0,0,$M399/$J402)</f>
        <v>0</v>
      </c>
      <c r="N403" s="3068"/>
      <c r="O403" s="3068"/>
      <c r="P403" s="3069"/>
    </row>
    <row r="404" spans="1:23" s="43" customFormat="1" ht="12.75" customHeight="1">
      <c r="C404" s="3070"/>
      <c r="D404" s="3070"/>
      <c r="E404" s="3070"/>
      <c r="F404" s="1013" t="s">
        <v>4370</v>
      </c>
      <c r="I404" s="2341">
        <v>2</v>
      </c>
      <c r="J404" s="3062">
        <f>IF(L381="", IF($J403&gt;=0.1, 3,IF($J403&gt;=0.05, 2,IF($J403&gt;=0.02,1,0))),0)</f>
        <v>2</v>
      </c>
      <c r="K404" s="3064"/>
      <c r="L404" s="503"/>
      <c r="M404" s="3062">
        <f>IF(R381="", IF($M403&gt;=0.1, 3,IF($M403&gt;=0.05, 2,IF($M403&gt;=0.02,1,0))),0)</f>
        <v>0</v>
      </c>
      <c r="N404" s="3063"/>
      <c r="O404" s="3063"/>
      <c r="P404" s="3064"/>
    </row>
    <row r="405" spans="1:23" ht="3" customHeight="1" thickBot="1"/>
    <row r="406" spans="1:23" s="102" customFormat="1" ht="12.75" customHeight="1" thickBot="1">
      <c r="A406" s="138" t="s">
        <v>1938</v>
      </c>
      <c r="B406" s="179" t="s">
        <v>3458</v>
      </c>
      <c r="D406" s="39"/>
      <c r="E406" s="36"/>
      <c r="F406" s="846"/>
      <c r="H406" s="36"/>
      <c r="I406" s="846"/>
      <c r="J406" s="856"/>
      <c r="K406" s="856"/>
      <c r="L406" s="374" t="str">
        <f>IF(OR($O406=$M406,$O406=0,$O406=""),"","* * Check Score! * *")</f>
        <v/>
      </c>
      <c r="M406" s="565">
        <v>1</v>
      </c>
      <c r="N406" s="64" t="s">
        <v>1938</v>
      </c>
      <c r="O406" s="2292"/>
      <c r="P406" s="4201"/>
      <c r="Q406" s="109" t="s">
        <v>433</v>
      </c>
      <c r="R406" s="974" t="s">
        <v>4767</v>
      </c>
      <c r="V406" s="1023"/>
      <c r="W406" s="1023"/>
    </row>
    <row r="407" spans="1:23" s="43" customFormat="1" ht="22.5" customHeight="1">
      <c r="A407" s="138"/>
      <c r="B407" s="986" t="s">
        <v>2372</v>
      </c>
      <c r="C407" s="2696" t="s">
        <v>3755</v>
      </c>
      <c r="D407" s="2696"/>
      <c r="E407" s="2696"/>
      <c r="F407" s="2696"/>
      <c r="G407" s="2696"/>
      <c r="H407" s="2696"/>
      <c r="I407" s="2696"/>
      <c r="J407" s="2696"/>
      <c r="K407" s="2696"/>
      <c r="L407" s="2696"/>
      <c r="M407" s="2696"/>
      <c r="N407" s="386" t="s">
        <v>2372</v>
      </c>
      <c r="O407" s="2274" t="s">
        <v>7011</v>
      </c>
      <c r="P407" s="4229"/>
      <c r="V407" s="1023"/>
      <c r="W407" s="1023"/>
    </row>
    <row r="408" spans="1:23" s="43" customFormat="1" ht="12.75" customHeight="1">
      <c r="A408" s="138"/>
      <c r="B408" s="373" t="s">
        <v>2373</v>
      </c>
      <c r="C408" s="52" t="s">
        <v>3606</v>
      </c>
      <c r="D408" s="52"/>
      <c r="E408" s="52"/>
      <c r="F408" s="52"/>
      <c r="G408" s="52"/>
      <c r="H408" s="52"/>
      <c r="I408" s="52"/>
      <c r="J408" s="52"/>
      <c r="K408" s="52"/>
      <c r="M408" s="52"/>
      <c r="N408" s="386" t="s">
        <v>2373</v>
      </c>
      <c r="O408" s="2258" t="s">
        <v>7011</v>
      </c>
      <c r="P408" s="520"/>
      <c r="V408" s="1023"/>
      <c r="W408" s="1023"/>
    </row>
    <row r="409" spans="1:23" ht="12.75" customHeight="1">
      <c r="B409" s="373" t="s">
        <v>2374</v>
      </c>
      <c r="C409" s="427" t="s">
        <v>4342</v>
      </c>
      <c r="N409" s="373" t="s">
        <v>2374</v>
      </c>
      <c r="O409" s="2258" t="s">
        <v>7011</v>
      </c>
      <c r="P409" s="520"/>
    </row>
    <row r="410" spans="1:23" ht="12" customHeight="1" thickBot="1">
      <c r="B410" s="1132" t="s">
        <v>3566</v>
      </c>
    </row>
    <row r="411" spans="1:23" s="43" customFormat="1" ht="34.5" customHeight="1" thickTop="1" thickBot="1">
      <c r="A411" s="2986" t="s">
        <v>7143</v>
      </c>
      <c r="B411" s="2987"/>
      <c r="C411" s="2987"/>
      <c r="D411" s="2987"/>
      <c r="E411" s="2987"/>
      <c r="F411" s="2987"/>
      <c r="G411" s="2987"/>
      <c r="H411" s="2987"/>
      <c r="I411" s="2987"/>
      <c r="J411" s="2987"/>
      <c r="K411" s="2987"/>
      <c r="L411" s="2987"/>
      <c r="M411" s="2987"/>
      <c r="N411" s="2987"/>
      <c r="O411" s="2987"/>
      <c r="P411" s="2988"/>
      <c r="Q411" s="1027" t="s">
        <v>1228</v>
      </c>
    </row>
    <row r="412" spans="1:23" s="102" customFormat="1" ht="11.25" customHeight="1" thickTop="1">
      <c r="A412" s="42"/>
      <c r="B412" s="494" t="s">
        <v>1820</v>
      </c>
      <c r="C412" s="98"/>
      <c r="D412" s="97"/>
      <c r="E412" s="2396"/>
      <c r="F412" s="2392"/>
      <c r="G412" s="2392"/>
      <c r="H412" s="2392"/>
      <c r="I412" s="2392"/>
      <c r="J412" s="2392"/>
      <c r="K412" s="2392"/>
      <c r="L412" s="2392"/>
      <c r="M412" s="2392"/>
      <c r="N412" s="93"/>
      <c r="O412" s="836"/>
      <c r="P412" s="2373"/>
      <c r="Q412" s="422"/>
    </row>
    <row r="413" spans="1:23" s="43" customFormat="1" ht="11.25" customHeight="1">
      <c r="A413" s="2757"/>
      <c r="B413" s="2758"/>
      <c r="C413" s="2758"/>
      <c r="D413" s="2758"/>
      <c r="E413" s="2758"/>
      <c r="F413" s="2758"/>
      <c r="G413" s="2758"/>
      <c r="H413" s="2758"/>
      <c r="I413" s="2758"/>
      <c r="J413" s="2758"/>
      <c r="K413" s="2758"/>
      <c r="L413" s="2758"/>
      <c r="M413" s="2758"/>
      <c r="N413" s="2758"/>
      <c r="O413" s="2758"/>
      <c r="P413" s="2759"/>
      <c r="Q413" s="440"/>
    </row>
    <row r="414" spans="1:23" s="43" customFormat="1" ht="3" customHeight="1" thickBot="1">
      <c r="A414" s="42"/>
      <c r="B414" s="42"/>
      <c r="C414" s="2380"/>
      <c r="D414" s="2380"/>
      <c r="E414" s="2380"/>
      <c r="F414" s="2380"/>
      <c r="G414" s="2380"/>
      <c r="H414" s="2380"/>
      <c r="I414" s="2380"/>
      <c r="J414" s="2380"/>
      <c r="K414" s="2380"/>
      <c r="L414" s="2380"/>
      <c r="M414" s="2380"/>
      <c r="N414" s="74"/>
      <c r="O414" s="70"/>
      <c r="P414" s="846"/>
    </row>
    <row r="415" spans="1:23" s="43" customFormat="1" ht="13.5" customHeight="1" thickBot="1">
      <c r="A415" s="1722" t="s">
        <v>3783</v>
      </c>
      <c r="B415" s="105" t="s">
        <v>2640</v>
      </c>
      <c r="D415" s="40"/>
      <c r="G415" s="61" t="s">
        <v>3281</v>
      </c>
      <c r="J415" s="36"/>
      <c r="K415" s="36"/>
      <c r="L415" s="36"/>
      <c r="M415" s="2373">
        <v>2</v>
      </c>
      <c r="N415" s="455"/>
      <c r="O415" s="1081">
        <f>MIN($M415,O419+O426)</f>
        <v>0</v>
      </c>
      <c r="P415" s="1081">
        <f>MIN($M415,P419+P426)</f>
        <v>0</v>
      </c>
      <c r="Q415" s="109" t="s">
        <v>433</v>
      </c>
      <c r="R415" s="374" t="str">
        <f>IF(OR($O419=$M415,$O419=0,$O419=""),"","* * Check Score! * *")</f>
        <v/>
      </c>
    </row>
    <row r="416" spans="1:23" s="409" customFormat="1" ht="1.5" customHeight="1">
      <c r="B416" s="435"/>
      <c r="F416" s="429"/>
      <c r="G416" s="855"/>
      <c r="M416" s="410"/>
      <c r="N416" s="410"/>
      <c r="O416" s="410"/>
      <c r="P416" s="410"/>
      <c r="Q416" s="172"/>
    </row>
    <row r="417" spans="1:19" s="409" customFormat="1" ht="11.25" customHeight="1">
      <c r="A417" s="153"/>
      <c r="B417" s="854" t="s">
        <v>3345</v>
      </c>
      <c r="D417" s="3044" t="s">
        <v>4441</v>
      </c>
      <c r="E417" s="3045"/>
      <c r="F417" s="3045"/>
      <c r="G417" s="3045"/>
      <c r="H417" s="3045"/>
      <c r="I417" s="3046"/>
      <c r="J417" s="389" t="s">
        <v>2734</v>
      </c>
      <c r="L417" s="512">
        <f>'Part III-Sources of Funds'!$I$51</f>
        <v>0</v>
      </c>
      <c r="M417" s="410"/>
      <c r="N417" s="410"/>
      <c r="O417" s="410"/>
      <c r="P417" s="410"/>
      <c r="Q417" s="172"/>
    </row>
    <row r="418" spans="1:19" s="409" customFormat="1" ht="1.5" customHeight="1">
      <c r="B418" s="435"/>
      <c r="M418" s="410"/>
      <c r="N418" s="410"/>
      <c r="O418" s="410"/>
      <c r="P418" s="410"/>
      <c r="Q418" s="172"/>
    </row>
    <row r="419" spans="1:19" s="409" customFormat="1" ht="11.25" customHeight="1">
      <c r="A419" s="1145" t="s">
        <v>1936</v>
      </c>
      <c r="B419" s="86" t="s">
        <v>4582</v>
      </c>
      <c r="C419" s="389"/>
      <c r="D419" s="389"/>
      <c r="E419" s="389"/>
      <c r="F419" s="389"/>
      <c r="G419" s="389"/>
      <c r="H419" s="389"/>
      <c r="I419" s="389"/>
      <c r="M419" s="410">
        <v>2</v>
      </c>
      <c r="N419" s="160" t="s">
        <v>1936</v>
      </c>
      <c r="O419" s="2291"/>
      <c r="P419" s="4210"/>
      <c r="Q419" s="978" t="str">
        <f>IF(OR($O419=$M419,$O419=0,$O419=""),"","*CHECK!*")</f>
        <v/>
      </c>
      <c r="R419" s="974" t="s">
        <v>4767</v>
      </c>
    </row>
    <row r="420" spans="1:19" s="409" customFormat="1" ht="12" customHeight="1">
      <c r="A420" s="408"/>
      <c r="B420" s="2914" t="s">
        <v>4584</v>
      </c>
      <c r="C420" s="2914"/>
      <c r="D420" s="2914"/>
      <c r="E420" s="2914"/>
      <c r="F420" s="2914"/>
      <c r="G420" s="2914"/>
      <c r="H420" s="2914"/>
      <c r="I420" s="2914"/>
      <c r="J420" s="2914"/>
      <c r="K420" s="2914"/>
      <c r="L420" s="2914"/>
      <c r="M420" s="3080" t="s">
        <v>4442</v>
      </c>
      <c r="N420" s="3080"/>
      <c r="Q420" s="172"/>
    </row>
    <row r="421" spans="1:19" s="409" customFormat="1" ht="12" customHeight="1">
      <c r="B421" s="2914"/>
      <c r="C421" s="2914"/>
      <c r="D421" s="2914"/>
      <c r="E421" s="2914"/>
      <c r="F421" s="2914"/>
      <c r="G421" s="2914"/>
      <c r="H421" s="2914"/>
      <c r="I421" s="2914"/>
      <c r="J421" s="2914"/>
      <c r="K421" s="2914"/>
      <c r="L421" s="2914"/>
      <c r="M421" s="3080"/>
      <c r="N421" s="3080"/>
      <c r="O421" s="3060">
        <f>'Part VI-Revenues &amp; Expenses'!$P$123</f>
        <v>0</v>
      </c>
      <c r="P421" s="3061"/>
      <c r="Q421" s="172"/>
    </row>
    <row r="422" spans="1:19" s="409" customFormat="1" ht="12" customHeight="1">
      <c r="B422" s="2914"/>
      <c r="C422" s="2914"/>
      <c r="D422" s="2914"/>
      <c r="E422" s="2914"/>
      <c r="F422" s="2914"/>
      <c r="G422" s="2914"/>
      <c r="H422" s="2914"/>
      <c r="I422" s="2914"/>
      <c r="J422" s="2914"/>
      <c r="K422" s="2914"/>
      <c r="L422" s="2914"/>
      <c r="M422" s="983" t="s">
        <v>2732</v>
      </c>
      <c r="N422" s="410"/>
      <c r="O422" s="3058">
        <f>'Part VI-Revenues &amp; Expenses'!$P$67</f>
        <v>72</v>
      </c>
      <c r="P422" s="3059"/>
      <c r="Q422" s="172"/>
    </row>
    <row r="423" spans="1:19" s="409" customFormat="1" ht="12" customHeight="1">
      <c r="B423" s="3071"/>
      <c r="C423" s="3071"/>
      <c r="D423" s="3071"/>
      <c r="E423" s="3071"/>
      <c r="F423" s="3071"/>
      <c r="G423" s="3071"/>
      <c r="H423" s="3071"/>
      <c r="I423" s="3071"/>
      <c r="J423" s="3071"/>
      <c r="K423" s="3071"/>
      <c r="L423" s="3071"/>
      <c r="M423" s="1451" t="s">
        <v>2733</v>
      </c>
      <c r="N423" s="410"/>
      <c r="O423" s="3078">
        <f>IF(O422=0,0,O421/O422)</f>
        <v>0</v>
      </c>
      <c r="P423" s="3079"/>
      <c r="Q423" s="172"/>
    </row>
    <row r="424" spans="1:19" s="43" customFormat="1" ht="66.75" customHeight="1">
      <c r="A424" s="513"/>
      <c r="B424" s="2906" t="s">
        <v>3844</v>
      </c>
      <c r="C424" s="2907"/>
      <c r="D424" s="2907"/>
      <c r="E424" s="2907"/>
      <c r="F424" s="2907"/>
      <c r="G424" s="2907"/>
      <c r="H424" s="2907"/>
      <c r="I424" s="2907"/>
      <c r="J424" s="2907"/>
      <c r="K424" s="2907"/>
      <c r="L424" s="2907"/>
      <c r="M424" s="2907"/>
      <c r="N424" s="2907"/>
      <c r="O424" s="2907"/>
      <c r="P424" s="2908"/>
      <c r="Q424" s="440" t="s">
        <v>1228</v>
      </c>
      <c r="R424" s="1027"/>
      <c r="S424" s="1027"/>
    </row>
    <row r="425" spans="1:19" s="409" customFormat="1" ht="1.5" customHeight="1">
      <c r="A425" s="560"/>
      <c r="B425" s="435"/>
      <c r="F425" s="429"/>
      <c r="G425" s="855"/>
      <c r="M425" s="410"/>
      <c r="N425" s="410"/>
      <c r="O425" s="410"/>
      <c r="P425" s="410"/>
      <c r="Q425" s="172"/>
    </row>
    <row r="426" spans="1:19" s="409" customFormat="1" ht="11.25" customHeight="1">
      <c r="A426" s="514" t="s">
        <v>3843</v>
      </c>
      <c r="B426" s="886" t="s">
        <v>4583</v>
      </c>
      <c r="C426" s="139"/>
      <c r="D426" s="835"/>
      <c r="H426" s="389"/>
      <c r="M426" s="410">
        <v>2</v>
      </c>
      <c r="N426" s="160" t="s">
        <v>1938</v>
      </c>
      <c r="O426" s="2291"/>
      <c r="P426" s="4210"/>
      <c r="Q426" s="978" t="str">
        <f>IF(OR($O426=$M426,$O426=0,$O426=""),"","*CHECK!*")</f>
        <v/>
      </c>
      <c r="R426" s="974" t="s">
        <v>4767</v>
      </c>
    </row>
    <row r="427" spans="1:19" s="409" customFormat="1" ht="11.25" customHeight="1">
      <c r="A427" s="514"/>
      <c r="B427" s="2696" t="s">
        <v>4343</v>
      </c>
      <c r="C427" s="2696"/>
      <c r="D427" s="2696"/>
      <c r="E427" s="2696"/>
      <c r="F427" s="2696"/>
      <c r="G427" s="2696"/>
      <c r="H427" s="2696"/>
      <c r="I427" s="2696"/>
      <c r="J427" s="2696"/>
      <c r="K427" s="2696"/>
      <c r="L427" s="2696"/>
      <c r="M427" s="1504" t="s">
        <v>4344</v>
      </c>
      <c r="O427" s="3049">
        <f>'Part VI-Revenues &amp; Expenses'!$P$125</f>
        <v>0</v>
      </c>
      <c r="P427" s="3050"/>
      <c r="Q427" s="172"/>
    </row>
    <row r="428" spans="1:19" s="409" customFormat="1" ht="11.25" customHeight="1">
      <c r="A428" s="514"/>
      <c r="B428" s="2696"/>
      <c r="C428" s="2696"/>
      <c r="D428" s="2696"/>
      <c r="E428" s="2696"/>
      <c r="F428" s="2696"/>
      <c r="G428" s="2696"/>
      <c r="H428" s="2696"/>
      <c r="I428" s="2696"/>
      <c r="J428" s="2696"/>
      <c r="K428" s="2696"/>
      <c r="L428" s="2696"/>
      <c r="M428" s="1146" t="s">
        <v>2732</v>
      </c>
      <c r="N428" s="410"/>
      <c r="O428" s="3058">
        <f>'Part VI-Revenues &amp; Expenses'!$P$67</f>
        <v>72</v>
      </c>
      <c r="P428" s="3059"/>
      <c r="Q428" s="172"/>
    </row>
    <row r="429" spans="1:19" s="409" customFormat="1" ht="11.25" customHeight="1">
      <c r="A429" s="514"/>
      <c r="B429" s="2696"/>
      <c r="C429" s="2696"/>
      <c r="D429" s="2696"/>
      <c r="E429" s="2696"/>
      <c r="F429" s="2696"/>
      <c r="G429" s="2696"/>
      <c r="H429" s="2696"/>
      <c r="I429" s="2696"/>
      <c r="J429" s="2696"/>
      <c r="K429" s="2696"/>
      <c r="L429" s="2696"/>
      <c r="M429" s="1451" t="s">
        <v>2733</v>
      </c>
      <c r="N429" s="410"/>
      <c r="O429" s="3078">
        <f>IF(O428=0,0,L415/O428)</f>
        <v>0</v>
      </c>
      <c r="P429" s="3079"/>
      <c r="Q429" s="172"/>
    </row>
    <row r="430" spans="1:19" s="43" customFormat="1" ht="11.25" customHeight="1" thickBot="1">
      <c r="A430" s="42"/>
      <c r="B430" s="1132" t="s">
        <v>3566</v>
      </c>
      <c r="C430" s="42"/>
      <c r="D430" s="48"/>
      <c r="E430" s="48"/>
      <c r="F430" s="48"/>
      <c r="G430" s="48"/>
      <c r="H430" s="36"/>
      <c r="I430" s="36"/>
      <c r="J430" s="36"/>
      <c r="K430" s="36"/>
      <c r="M430" s="46"/>
      <c r="N430" s="62"/>
      <c r="O430" s="3"/>
      <c r="P430" s="2377"/>
    </row>
    <row r="431" spans="1:19" s="43" customFormat="1" ht="66.599999999999994" customHeight="1" thickTop="1" thickBot="1">
      <c r="A431" s="2986" t="s">
        <v>7136</v>
      </c>
      <c r="B431" s="2987"/>
      <c r="C431" s="2987"/>
      <c r="D431" s="2987"/>
      <c r="E431" s="2987"/>
      <c r="F431" s="2987"/>
      <c r="G431" s="2987"/>
      <c r="H431" s="2987"/>
      <c r="I431" s="2987"/>
      <c r="J431" s="2987"/>
      <c r="K431" s="2987"/>
      <c r="L431" s="2987"/>
      <c r="M431" s="2987"/>
      <c r="N431" s="2987"/>
      <c r="O431" s="2987"/>
      <c r="P431" s="2988"/>
      <c r="Q431" s="1027" t="s">
        <v>1228</v>
      </c>
      <c r="R431" s="441"/>
    </row>
    <row r="432" spans="1:19" s="43" customFormat="1" ht="10.5" customHeight="1" thickTop="1">
      <c r="B432" s="85" t="s">
        <v>1820</v>
      </c>
      <c r="C432" s="98"/>
      <c r="D432" s="85"/>
      <c r="E432" s="99"/>
      <c r="F432" s="2380"/>
      <c r="G432" s="2380"/>
      <c r="H432" s="2380"/>
      <c r="I432" s="2380"/>
      <c r="J432" s="2380"/>
      <c r="K432" s="2380"/>
      <c r="L432" s="2380"/>
      <c r="M432" s="2380"/>
      <c r="N432" s="74"/>
      <c r="O432" s="70"/>
      <c r="P432" s="2373"/>
      <c r="Q432" s="422"/>
    </row>
    <row r="433" spans="1:18" s="43" customFormat="1" ht="22.2" customHeight="1">
      <c r="A433" s="2757"/>
      <c r="B433" s="2758"/>
      <c r="C433" s="2758"/>
      <c r="D433" s="2758"/>
      <c r="E433" s="2758"/>
      <c r="F433" s="2758"/>
      <c r="G433" s="2758"/>
      <c r="H433" s="2758"/>
      <c r="I433" s="2758"/>
      <c r="J433" s="2758"/>
      <c r="K433" s="2758"/>
      <c r="L433" s="2758"/>
      <c r="M433" s="2758"/>
      <c r="N433" s="2758"/>
      <c r="O433" s="2758"/>
      <c r="P433" s="2759"/>
      <c r="Q433" s="440"/>
    </row>
    <row r="434" spans="1:18" s="43" customFormat="1" ht="3" customHeight="1" thickBot="1">
      <c r="A434" s="42"/>
      <c r="B434" s="42"/>
      <c r="C434" s="2380"/>
      <c r="D434" s="2380"/>
      <c r="E434" s="2380"/>
      <c r="F434" s="2380"/>
      <c r="G434" s="2380"/>
      <c r="H434" s="2380"/>
      <c r="I434" s="2380"/>
      <c r="J434" s="2380"/>
      <c r="K434" s="2380"/>
      <c r="L434" s="2380"/>
      <c r="M434" s="2380"/>
      <c r="N434" s="74"/>
      <c r="O434" s="70"/>
      <c r="P434" s="846"/>
    </row>
    <row r="435" spans="1:18" s="102" customFormat="1" ht="11.25" customHeight="1" thickBot="1">
      <c r="A435" s="153" t="s">
        <v>3786</v>
      </c>
      <c r="B435" s="105" t="s">
        <v>4718</v>
      </c>
      <c r="D435" s="45"/>
      <c r="E435" s="45"/>
      <c r="F435" s="39"/>
      <c r="G435" s="36"/>
      <c r="I435" s="36"/>
      <c r="J435" s="36"/>
      <c r="K435" s="36"/>
      <c r="L435" s="374" t="str">
        <f>IF(OR($O435=$M435,$O435&lt;=0,$O435=""),"","* * Check Score! * *")</f>
        <v/>
      </c>
      <c r="M435" s="2373">
        <v>10</v>
      </c>
      <c r="N435" s="6"/>
      <c r="O435" s="1041">
        <f>MIN($M$435,O437-O438+O439)</f>
        <v>10</v>
      </c>
      <c r="P435" s="1041">
        <f>MIN($M$435,P437-P438+P439)</f>
        <v>10</v>
      </c>
      <c r="Q435" s="109" t="s">
        <v>433</v>
      </c>
    </row>
    <row r="436" spans="1:18" s="102" customFormat="1" ht="1.5" customHeight="1">
      <c r="A436" s="153"/>
      <c r="B436" s="105"/>
      <c r="D436" s="45"/>
      <c r="E436" s="45"/>
      <c r="F436" s="39"/>
      <c r="G436" s="36"/>
      <c r="I436" s="36"/>
      <c r="J436" s="36"/>
      <c r="K436" s="36"/>
      <c r="L436" s="374"/>
      <c r="M436" s="2373"/>
      <c r="N436" s="6"/>
      <c r="O436" s="6"/>
      <c r="P436" s="6"/>
      <c r="Q436" s="109"/>
    </row>
    <row r="437" spans="1:18" s="102" customFormat="1" ht="10.5" customHeight="1">
      <c r="A437" s="153"/>
      <c r="B437" s="86" t="s">
        <v>3483</v>
      </c>
      <c r="D437" s="45"/>
      <c r="E437" s="45"/>
      <c r="F437" s="39"/>
      <c r="G437" s="36"/>
      <c r="I437" s="36"/>
      <c r="J437" s="36"/>
      <c r="K437" s="36"/>
      <c r="L437" s="374"/>
      <c r="M437" s="2373"/>
      <c r="N437" s="6"/>
      <c r="O437" s="1087">
        <v>10</v>
      </c>
      <c r="P437" s="1087">
        <v>10</v>
      </c>
      <c r="Q437" s="109"/>
    </row>
    <row r="438" spans="1:18" s="102" customFormat="1" ht="10.5" customHeight="1">
      <c r="A438" s="153"/>
      <c r="B438" s="86" t="s">
        <v>3484</v>
      </c>
      <c r="D438" s="45"/>
      <c r="E438" s="45"/>
      <c r="F438" s="39"/>
      <c r="G438" s="36"/>
      <c r="I438" s="36"/>
      <c r="J438" s="36"/>
      <c r="K438" s="36"/>
      <c r="L438" s="374"/>
      <c r="M438" s="2373"/>
      <c r="N438" s="6"/>
      <c r="O438" s="2342"/>
      <c r="P438" s="4217"/>
      <c r="Q438" s="109"/>
    </row>
    <row r="439" spans="1:18" s="102" customFormat="1" ht="10.5" customHeight="1">
      <c r="A439" s="153"/>
      <c r="B439" s="86" t="s">
        <v>3485</v>
      </c>
      <c r="D439" s="45"/>
      <c r="E439" s="45"/>
      <c r="F439" s="39"/>
      <c r="G439" s="36"/>
      <c r="I439" s="36"/>
      <c r="J439" s="36"/>
      <c r="K439" s="36"/>
      <c r="L439" s="374"/>
      <c r="M439" s="2373"/>
      <c r="N439" s="6"/>
      <c r="O439" s="2343"/>
      <c r="P439" s="4187"/>
      <c r="Q439" s="109"/>
    </row>
    <row r="440" spans="1:18" s="102" customFormat="1" ht="10.5" customHeight="1">
      <c r="A440" s="66"/>
      <c r="B440" s="66" t="s">
        <v>1820</v>
      </c>
      <c r="C440" s="50"/>
      <c r="D440" s="66"/>
      <c r="E440" s="2392"/>
      <c r="F440" s="2392"/>
      <c r="G440" s="2392"/>
      <c r="H440" s="2392"/>
      <c r="I440" s="2392"/>
      <c r="J440" s="2392"/>
      <c r="K440" s="2392"/>
      <c r="L440" s="2392"/>
      <c r="M440" s="2392"/>
      <c r="N440" s="93"/>
      <c r="O440" s="836"/>
      <c r="P440" s="2373"/>
    </row>
    <row r="441" spans="1:18" s="43" customFormat="1" ht="10.95" customHeight="1">
      <c r="A441" s="2757"/>
      <c r="B441" s="2758"/>
      <c r="C441" s="2758"/>
      <c r="D441" s="2758"/>
      <c r="E441" s="2758"/>
      <c r="F441" s="2758"/>
      <c r="G441" s="2758"/>
      <c r="H441" s="2758"/>
      <c r="I441" s="2758"/>
      <c r="J441" s="2758"/>
      <c r="K441" s="2758"/>
      <c r="L441" s="2758"/>
      <c r="M441" s="2758"/>
      <c r="N441" s="2758"/>
      <c r="O441" s="2758"/>
      <c r="P441" s="2759"/>
      <c r="Q441" s="1027" t="s">
        <v>1228</v>
      </c>
      <c r="R441" s="441"/>
    </row>
    <row r="442" spans="1:18" s="43" customFormat="1" ht="6" customHeight="1" thickBot="1">
      <c r="A442" s="153"/>
      <c r="B442" s="42"/>
      <c r="C442" s="2380"/>
      <c r="D442" s="2380"/>
      <c r="E442" s="2380"/>
      <c r="F442" s="2380"/>
      <c r="G442" s="2380"/>
      <c r="H442" s="2380"/>
      <c r="I442" s="2380"/>
      <c r="J442" s="2380"/>
      <c r="K442" s="2380"/>
      <c r="L442" s="2380"/>
      <c r="M442" s="2380"/>
      <c r="N442" s="74"/>
      <c r="O442" s="70"/>
      <c r="P442" s="846"/>
    </row>
    <row r="443" spans="1:18" s="42" customFormat="1" ht="12.75" customHeight="1" thickTop="1" thickBot="1">
      <c r="A443" s="153"/>
      <c r="B443" s="67"/>
      <c r="C443" s="50"/>
      <c r="D443" s="35"/>
      <c r="E443" s="35"/>
      <c r="F443" s="54"/>
      <c r="G443" s="154" t="s">
        <v>419</v>
      </c>
      <c r="I443" s="155"/>
      <c r="J443" s="155"/>
      <c r="K443" s="155"/>
      <c r="L443" s="102"/>
      <c r="M443" s="437">
        <f>M25+M50+M64+M74+M112+M150+M193+M232+M265+M286+M293+M301+M316+M333+M346+M364+M379+M415+M435</f>
        <v>95</v>
      </c>
      <c r="N443" s="156"/>
      <c r="O443" s="1080">
        <f>-O8+O25+O50+O64+O74+O112+O150+O193+O265+O286+O293+O301+O316+O333+O364+O379+O415+O435</f>
        <v>53</v>
      </c>
      <c r="P443" s="1080">
        <f>-P8+P25+P50+P64+P74+P112+P150+P193+P232+P265+P286+P293+P301+P316+P333+P346+P364+P379+P415+P435</f>
        <v>20</v>
      </c>
    </row>
    <row r="444" spans="1:18" s="42" customFormat="1" ht="11.25" customHeight="1" thickTop="1">
      <c r="A444" s="54"/>
      <c r="B444" s="67"/>
      <c r="C444" s="54"/>
      <c r="D444" s="35"/>
      <c r="E444" s="35"/>
      <c r="F444" s="69"/>
      <c r="G444" s="69"/>
      <c r="H444" s="165" t="s">
        <v>3838</v>
      </c>
      <c r="J444" s="68"/>
      <c r="K444" s="68"/>
      <c r="L444" s="43"/>
      <c r="M444" s="35"/>
      <c r="N444" s="2373"/>
      <c r="O444" s="2373"/>
      <c r="P444" s="453">
        <f>P232</f>
        <v>0</v>
      </c>
    </row>
    <row r="445" spans="1:18" s="42" customFormat="1" ht="11.25" customHeight="1">
      <c r="A445" s="54"/>
      <c r="B445" s="67"/>
      <c r="C445" s="54"/>
      <c r="D445" s="35"/>
      <c r="E445" s="35"/>
      <c r="F445" s="69"/>
      <c r="G445" s="69"/>
      <c r="H445" s="165" t="s">
        <v>3839</v>
      </c>
      <c r="J445" s="68"/>
      <c r="K445" s="68"/>
      <c r="L445" s="43"/>
      <c r="M445" s="35"/>
      <c r="N445" s="2373"/>
      <c r="O445" s="453"/>
      <c r="P445" s="453">
        <f>P346</f>
        <v>0</v>
      </c>
    </row>
    <row r="446" spans="1:18" s="43" customFormat="1" ht="11.25" customHeight="1">
      <c r="A446" s="42"/>
      <c r="D446" s="39"/>
      <c r="E446" s="36"/>
      <c r="F446" s="846"/>
      <c r="H446" s="165" t="s">
        <v>3841</v>
      </c>
      <c r="I446" s="846"/>
      <c r="J446" s="856"/>
      <c r="K446" s="856"/>
      <c r="L446" s="856"/>
      <c r="M446" s="60"/>
      <c r="N446" s="846"/>
      <c r="O446" s="2377"/>
      <c r="P446" s="1087">
        <f>P443-P444-P445</f>
        <v>20</v>
      </c>
    </row>
    <row r="447" spans="1:18" s="158" customFormat="1" ht="2.25" customHeight="1">
      <c r="A447" s="54"/>
      <c r="B447" s="67"/>
      <c r="C447" s="54"/>
      <c r="D447" s="147"/>
      <c r="E447" s="147"/>
      <c r="F447" s="40"/>
      <c r="G447" s="40"/>
      <c r="H447" s="69"/>
      <c r="I447" s="69"/>
      <c r="J447" s="470"/>
      <c r="K447" s="470"/>
      <c r="L447" s="43"/>
      <c r="M447" s="147"/>
      <c r="N447" s="2373"/>
      <c r="O447" s="2373"/>
      <c r="P447" s="3"/>
    </row>
    <row r="448" spans="1:18" s="43" customFormat="1" ht="22.5" customHeight="1">
      <c r="A448" s="3048" t="s">
        <v>6848</v>
      </c>
      <c r="B448" s="3048"/>
      <c r="C448" s="3048"/>
      <c r="D448" s="3048"/>
      <c r="E448" s="3048"/>
      <c r="F448" s="3048"/>
      <c r="G448" s="3048"/>
      <c r="H448" s="3048"/>
      <c r="I448" s="3048"/>
      <c r="J448" s="3048"/>
      <c r="K448" s="3048"/>
      <c r="L448" s="3048"/>
      <c r="M448" s="3048"/>
      <c r="N448" s="3048"/>
      <c r="O448" s="3048"/>
      <c r="P448" s="3048"/>
    </row>
    <row r="449" spans="1:20" s="43" customFormat="1" ht="409.2" customHeight="1">
      <c r="A449" s="2729" t="s">
        <v>7187</v>
      </c>
      <c r="B449" s="2730"/>
      <c r="C449" s="2730"/>
      <c r="D449" s="2730"/>
      <c r="E449" s="2730"/>
      <c r="F449" s="2730"/>
      <c r="G449" s="2730"/>
      <c r="H449" s="2730"/>
      <c r="I449" s="2730"/>
      <c r="J449" s="2730"/>
      <c r="K449" s="2730"/>
      <c r="L449" s="2730"/>
      <c r="M449" s="2730"/>
      <c r="N449" s="2730"/>
      <c r="O449" s="2730"/>
      <c r="P449" s="2731"/>
      <c r="Q449" s="440" t="s">
        <v>1228</v>
      </c>
      <c r="R449" s="441"/>
    </row>
    <row r="450" spans="1:20" s="158" customFormat="1">
      <c r="C450" s="446" t="s">
        <v>2042</v>
      </c>
      <c r="D450" s="446"/>
      <c r="E450" s="446"/>
      <c r="F450" s="446"/>
      <c r="G450" s="446"/>
      <c r="H450" s="446"/>
      <c r="I450" s="446"/>
      <c r="J450" s="1763" t="s">
        <v>1612</v>
      </c>
      <c r="K450" s="446"/>
      <c r="L450" s="446"/>
      <c r="M450" s="446"/>
      <c r="N450" s="447"/>
      <c r="O450" s="1760"/>
      <c r="P450" s="1760"/>
      <c r="Q450" s="1761"/>
      <c r="R450" s="1762"/>
      <c r="S450" s="1762"/>
      <c r="T450" s="1762"/>
    </row>
    <row r="451" spans="1:20" s="158" customFormat="1">
      <c r="C451" s="446" t="s">
        <v>2043</v>
      </c>
      <c r="D451" s="446"/>
      <c r="E451" s="446"/>
      <c r="F451" s="446"/>
      <c r="G451" s="446"/>
      <c r="H451" s="446"/>
      <c r="I451" s="446"/>
      <c r="J451" s="1763" t="s">
        <v>1613</v>
      </c>
      <c r="K451" s="446"/>
      <c r="L451" s="446"/>
      <c r="M451" s="446"/>
      <c r="N451" s="447"/>
      <c r="O451" s="1760"/>
      <c r="P451" s="1760"/>
      <c r="Q451" s="1761"/>
      <c r="R451" s="1762"/>
      <c r="S451" s="1762"/>
      <c r="T451" s="1762"/>
    </row>
    <row r="452" spans="1:20" s="158" customFormat="1">
      <c r="C452" s="1764" t="s">
        <v>2044</v>
      </c>
      <c r="D452" s="446"/>
      <c r="E452" s="446"/>
      <c r="F452" s="446"/>
      <c r="G452" s="446"/>
      <c r="H452" s="446"/>
      <c r="I452" s="446"/>
      <c r="J452" s="1763" t="s">
        <v>2440</v>
      </c>
      <c r="K452" s="446"/>
      <c r="L452" s="446"/>
      <c r="M452" s="446"/>
      <c r="N452" s="447"/>
      <c r="O452" s="1760"/>
      <c r="P452" s="1760"/>
      <c r="Q452" s="1761"/>
      <c r="R452" s="1762"/>
      <c r="S452" s="1762"/>
      <c r="T452" s="1762"/>
    </row>
    <row r="453" spans="1:20" s="158" customFormat="1">
      <c r="C453" s="1764" t="s">
        <v>2045</v>
      </c>
      <c r="D453" s="446"/>
      <c r="E453" s="446"/>
      <c r="F453" s="446"/>
      <c r="G453" s="446"/>
      <c r="H453" s="446"/>
      <c r="I453" s="446"/>
      <c r="J453" s="1763" t="s">
        <v>1614</v>
      </c>
      <c r="K453" s="446"/>
      <c r="L453" s="446"/>
      <c r="M453" s="446"/>
      <c r="N453" s="447"/>
      <c r="O453" s="1760"/>
      <c r="P453" s="1760"/>
      <c r="Q453" s="1761"/>
      <c r="R453" s="1762"/>
      <c r="S453" s="1762"/>
      <c r="T453" s="1762"/>
    </row>
    <row r="454" spans="1:20" s="158" customFormat="1">
      <c r="C454" s="1764"/>
      <c r="D454" s="446"/>
      <c r="E454" s="446"/>
      <c r="F454" s="446"/>
      <c r="G454" s="446"/>
      <c r="H454" s="446"/>
      <c r="I454" s="446"/>
      <c r="J454" s="1763" t="s">
        <v>1615</v>
      </c>
      <c r="K454" s="446"/>
      <c r="L454" s="446"/>
      <c r="M454" s="446"/>
      <c r="N454" s="447"/>
      <c r="O454" s="1760"/>
      <c r="P454" s="1760"/>
      <c r="Q454" s="1761"/>
      <c r="R454" s="1762"/>
      <c r="S454" s="1762"/>
      <c r="T454" s="1762"/>
    </row>
    <row r="455" spans="1:20" s="158" customFormat="1">
      <c r="C455" s="446" t="s">
        <v>1727</v>
      </c>
      <c r="D455" s="446"/>
      <c r="E455" s="446"/>
      <c r="F455" s="446"/>
      <c r="G455" s="446"/>
      <c r="H455" s="446"/>
      <c r="I455" s="446"/>
      <c r="J455" s="1763" t="s">
        <v>1616</v>
      </c>
      <c r="K455" s="446"/>
      <c r="L455" s="446"/>
      <c r="M455" s="446"/>
      <c r="N455" s="447"/>
      <c r="O455" s="1760"/>
      <c r="P455" s="1760"/>
      <c r="Q455" s="1761"/>
      <c r="R455" s="1762"/>
      <c r="S455" s="1762"/>
      <c r="T455" s="1762"/>
    </row>
    <row r="456" spans="1:20" s="158" customFormat="1">
      <c r="C456" s="1765" t="s">
        <v>1363</v>
      </c>
      <c r="D456" s="446"/>
      <c r="E456" s="446"/>
      <c r="F456" s="446"/>
      <c r="G456" s="446"/>
      <c r="H456" s="446"/>
      <c r="I456" s="446"/>
      <c r="J456" s="1763" t="s">
        <v>1617</v>
      </c>
      <c r="K456" s="446"/>
      <c r="L456" s="446"/>
      <c r="M456" s="446"/>
      <c r="N456" s="447"/>
      <c r="O456" s="1760"/>
      <c r="P456" s="1760"/>
      <c r="Q456" s="1761"/>
      <c r="R456" s="1762"/>
      <c r="S456" s="1762"/>
      <c r="T456" s="1762"/>
    </row>
    <row r="457" spans="1:20" s="158" customFormat="1">
      <c r="C457" s="1765" t="s">
        <v>1364</v>
      </c>
      <c r="D457" s="446"/>
      <c r="E457" s="446"/>
      <c r="F457" s="446"/>
      <c r="G457" s="446"/>
      <c r="H457" s="446"/>
      <c r="I457" s="446"/>
      <c r="J457" s="1763" t="s">
        <v>1618</v>
      </c>
      <c r="K457" s="446"/>
      <c r="L457" s="446"/>
      <c r="M457" s="446"/>
      <c r="N457" s="447"/>
      <c r="O457" s="1760"/>
      <c r="P457" s="1760"/>
      <c r="Q457" s="1761"/>
      <c r="R457" s="1762"/>
      <c r="S457" s="1762"/>
      <c r="T457" s="1762"/>
    </row>
    <row r="458" spans="1:20" s="158" customFormat="1">
      <c r="C458" s="1766" t="s">
        <v>2083</v>
      </c>
      <c r="D458" s="446"/>
      <c r="E458" s="446"/>
      <c r="F458" s="446"/>
      <c r="G458" s="446"/>
      <c r="H458" s="446"/>
      <c r="I458" s="446"/>
      <c r="J458" s="1763" t="s">
        <v>1619</v>
      </c>
      <c r="K458" s="446"/>
      <c r="L458" s="446"/>
      <c r="M458" s="446"/>
      <c r="N458" s="447"/>
      <c r="O458" s="1760"/>
      <c r="P458" s="1760"/>
      <c r="Q458" s="1761"/>
      <c r="R458" s="1762"/>
      <c r="S458" s="1762"/>
      <c r="T458" s="1762"/>
    </row>
    <row r="459" spans="1:20" s="158" customFormat="1">
      <c r="C459" s="1766" t="s">
        <v>1360</v>
      </c>
      <c r="D459" s="446"/>
      <c r="E459" s="446"/>
      <c r="F459" s="446"/>
      <c r="G459" s="446"/>
      <c r="H459" s="446"/>
      <c r="I459" s="446"/>
      <c r="J459" s="1763" t="s">
        <v>574</v>
      </c>
      <c r="K459" s="446"/>
      <c r="L459" s="446"/>
      <c r="M459" s="446"/>
      <c r="N459" s="447"/>
      <c r="O459" s="1760"/>
      <c r="P459" s="1760"/>
      <c r="Q459" s="1761"/>
      <c r="R459" s="1762"/>
      <c r="S459" s="1762"/>
      <c r="T459" s="1762"/>
    </row>
    <row r="460" spans="1:20" s="158" customFormat="1">
      <c r="C460" s="1766" t="s">
        <v>1361</v>
      </c>
      <c r="D460" s="446"/>
      <c r="E460" s="446"/>
      <c r="F460" s="446"/>
      <c r="G460" s="446"/>
      <c r="H460" s="446"/>
      <c r="I460" s="446"/>
      <c r="J460" s="1763" t="s">
        <v>1620</v>
      </c>
      <c r="K460" s="446"/>
      <c r="L460" s="446"/>
      <c r="M460" s="446"/>
      <c r="N460" s="447"/>
      <c r="O460" s="1760"/>
      <c r="P460" s="1760"/>
      <c r="Q460" s="1761"/>
      <c r="R460" s="1762"/>
      <c r="S460" s="1762"/>
      <c r="T460" s="1762"/>
    </row>
    <row r="461" spans="1:20" s="158" customFormat="1">
      <c r="C461" s="1765" t="s">
        <v>2078</v>
      </c>
      <c r="D461" s="446"/>
      <c r="E461" s="446"/>
      <c r="F461" s="446"/>
      <c r="G461" s="446"/>
      <c r="H461" s="446"/>
      <c r="I461" s="446"/>
      <c r="J461" s="1763" t="s">
        <v>1621</v>
      </c>
      <c r="K461" s="446"/>
      <c r="L461" s="446"/>
      <c r="M461" s="446"/>
      <c r="N461" s="447"/>
      <c r="O461" s="1760"/>
      <c r="P461" s="1760"/>
      <c r="Q461" s="1761"/>
      <c r="R461" s="1762"/>
      <c r="S461" s="1762"/>
      <c r="T461" s="1762"/>
    </row>
    <row r="462" spans="1:20" s="158" customFormat="1">
      <c r="C462" s="1765" t="s">
        <v>2079</v>
      </c>
      <c r="D462" s="446"/>
      <c r="E462" s="446"/>
      <c r="F462" s="446"/>
      <c r="G462" s="446"/>
      <c r="H462" s="446"/>
      <c r="I462" s="446"/>
      <c r="J462" s="1763" t="s">
        <v>1622</v>
      </c>
      <c r="K462" s="446"/>
      <c r="L462" s="446"/>
      <c r="M462" s="446"/>
      <c r="N462" s="447"/>
      <c r="O462" s="1760"/>
      <c r="P462" s="1760"/>
      <c r="Q462" s="1761"/>
      <c r="R462" s="1762"/>
      <c r="S462" s="1762"/>
      <c r="T462" s="1762"/>
    </row>
    <row r="463" spans="1:20" s="158" customFormat="1">
      <c r="C463" s="1765" t="s">
        <v>2080</v>
      </c>
      <c r="D463" s="446"/>
      <c r="E463" s="446"/>
      <c r="F463" s="446"/>
      <c r="G463" s="446"/>
      <c r="H463" s="446"/>
      <c r="I463" s="446"/>
      <c r="J463" s="1763" t="s">
        <v>33</v>
      </c>
      <c r="K463" s="446"/>
      <c r="L463" s="446"/>
      <c r="M463" s="446"/>
      <c r="N463" s="447"/>
      <c r="O463" s="1760"/>
      <c r="P463" s="1760"/>
      <c r="Q463" s="1761"/>
      <c r="R463" s="1762"/>
      <c r="S463" s="1762"/>
      <c r="T463" s="1762"/>
    </row>
    <row r="464" spans="1:20" s="158" customFormat="1">
      <c r="C464" s="1765" t="s">
        <v>2081</v>
      </c>
      <c r="D464" s="446"/>
      <c r="E464" s="446"/>
      <c r="F464" s="446"/>
      <c r="G464" s="446"/>
      <c r="H464" s="446"/>
      <c r="I464" s="446"/>
      <c r="J464" s="446"/>
      <c r="K464" s="446"/>
      <c r="L464" s="446"/>
      <c r="M464" s="446"/>
      <c r="N464" s="447"/>
      <c r="O464" s="1760"/>
      <c r="P464" s="1760"/>
      <c r="Q464" s="1761"/>
      <c r="R464" s="1762"/>
      <c r="S464" s="1762"/>
      <c r="T464" s="1762"/>
    </row>
    <row r="465" spans="3:20" s="158" customFormat="1">
      <c r="C465" s="1765" t="s">
        <v>2082</v>
      </c>
      <c r="D465" s="446"/>
      <c r="E465" s="446"/>
      <c r="F465" s="446"/>
      <c r="G465" s="446"/>
      <c r="H465" s="446"/>
      <c r="I465" s="446"/>
      <c r="J465" s="1767" t="s">
        <v>3301</v>
      </c>
      <c r="K465" s="446"/>
      <c r="L465" s="446"/>
      <c r="M465" s="446"/>
      <c r="N465" s="447"/>
      <c r="O465" s="1767" t="s">
        <v>3578</v>
      </c>
      <c r="P465" s="1760"/>
      <c r="Q465" s="1761"/>
      <c r="R465" s="1762"/>
      <c r="S465" s="1762"/>
      <c r="T465" s="1762"/>
    </row>
    <row r="466" spans="3:20" s="158" customFormat="1">
      <c r="C466" s="1765" t="s">
        <v>1362</v>
      </c>
      <c r="D466" s="446"/>
      <c r="E466" s="446"/>
      <c r="F466" s="446"/>
      <c r="G466" s="446"/>
      <c r="H466" s="446"/>
      <c r="I466" s="446"/>
      <c r="J466" s="1763" t="s">
        <v>3302</v>
      </c>
      <c r="K466" s="446"/>
      <c r="L466" s="446"/>
      <c r="M466" s="446"/>
      <c r="N466" s="447"/>
      <c r="O466" s="1760"/>
      <c r="P466" s="1760"/>
      <c r="Q466" s="1761"/>
      <c r="R466" s="1762"/>
      <c r="S466" s="1762"/>
      <c r="T466" s="1762"/>
    </row>
    <row r="467" spans="3:20" s="158" customFormat="1">
      <c r="C467" s="1765" t="s">
        <v>2224</v>
      </c>
      <c r="D467" s="446"/>
      <c r="E467" s="446"/>
      <c r="F467" s="446"/>
      <c r="G467" s="446"/>
      <c r="H467" s="446"/>
      <c r="I467" s="446"/>
      <c r="J467" s="446" t="s">
        <v>3286</v>
      </c>
      <c r="K467" s="446"/>
      <c r="L467" s="446"/>
      <c r="M467" s="446"/>
      <c r="N467" s="447"/>
      <c r="O467" s="1760">
        <v>2</v>
      </c>
      <c r="P467" s="1760"/>
      <c r="Q467" s="1761"/>
      <c r="R467" s="1762"/>
      <c r="S467" s="1762"/>
      <c r="T467" s="1762"/>
    </row>
    <row r="468" spans="3:20" s="158" customFormat="1">
      <c r="C468" s="446"/>
      <c r="D468" s="446"/>
      <c r="E468" s="446"/>
      <c r="F468" s="446"/>
      <c r="G468" s="446"/>
      <c r="H468" s="446"/>
      <c r="I468" s="446"/>
      <c r="J468" s="446" t="s">
        <v>3287</v>
      </c>
      <c r="K468" s="446"/>
      <c r="L468" s="446"/>
      <c r="M468" s="446"/>
      <c r="N468" s="447"/>
      <c r="O468" s="1760">
        <v>2</v>
      </c>
      <c r="P468" s="1760"/>
      <c r="Q468" s="1761"/>
      <c r="R468" s="1762"/>
      <c r="S468" s="1762"/>
      <c r="T468" s="1762"/>
    </row>
    <row r="469" spans="3:20" s="158" customFormat="1">
      <c r="C469" s="446"/>
      <c r="D469" s="446"/>
      <c r="E469" s="446"/>
      <c r="F469" s="446"/>
      <c r="G469" s="3200" t="s">
        <v>1472</v>
      </c>
      <c r="H469" s="3200"/>
      <c r="I469" s="3200"/>
      <c r="J469" s="446" t="s">
        <v>3288</v>
      </c>
      <c r="K469" s="446"/>
      <c r="L469" s="446"/>
      <c r="M469" s="446"/>
      <c r="N469" s="447"/>
      <c r="O469" s="1760">
        <v>2</v>
      </c>
      <c r="P469" s="1760"/>
      <c r="Q469" s="1761"/>
      <c r="R469" s="1762"/>
      <c r="S469" s="1762"/>
      <c r="T469" s="1762"/>
    </row>
    <row r="470" spans="3:20" s="158" customFormat="1">
      <c r="C470" s="446" t="s">
        <v>2695</v>
      </c>
      <c r="D470" s="446"/>
      <c r="E470" s="446"/>
      <c r="F470" s="446"/>
      <c r="G470" s="1768" t="s">
        <v>4773</v>
      </c>
      <c r="H470" s="1769" t="s">
        <v>4774</v>
      </c>
      <c r="I470" s="1768" t="s">
        <v>4772</v>
      </c>
      <c r="J470" s="446" t="s">
        <v>3289</v>
      </c>
      <c r="K470" s="446"/>
      <c r="L470" s="1768"/>
      <c r="M470" s="446"/>
      <c r="N470" s="447"/>
      <c r="O470" s="1760">
        <v>2</v>
      </c>
      <c r="P470" s="1760"/>
      <c r="Q470" s="1761"/>
      <c r="R470" s="1762"/>
      <c r="S470" s="1762"/>
      <c r="T470" s="1762"/>
    </row>
    <row r="471" spans="3:20" s="158" customFormat="1">
      <c r="C471" s="1770" t="s">
        <v>2697</v>
      </c>
      <c r="D471" s="446"/>
      <c r="E471" s="446"/>
      <c r="F471" s="446"/>
      <c r="G471" s="1771" t="s">
        <v>2456</v>
      </c>
      <c r="H471" s="1769"/>
      <c r="I471" s="1771"/>
      <c r="J471" s="446" t="s">
        <v>3576</v>
      </c>
      <c r="K471" s="446"/>
      <c r="L471" s="1771"/>
      <c r="M471" s="446"/>
      <c r="N471" s="447"/>
      <c r="O471" s="1760">
        <v>2</v>
      </c>
      <c r="P471" s="1760"/>
      <c r="Q471" s="1761"/>
      <c r="R471" s="1762"/>
      <c r="S471" s="1762"/>
      <c r="T471" s="1762"/>
    </row>
    <row r="472" spans="3:20" s="158" customFormat="1">
      <c r="C472" s="1770" t="s">
        <v>2698</v>
      </c>
      <c r="D472" s="446"/>
      <c r="E472" s="446"/>
      <c r="F472" s="446"/>
      <c r="G472" s="1771" t="s">
        <v>454</v>
      </c>
      <c r="H472" s="447" t="s">
        <v>4776</v>
      </c>
      <c r="I472" s="1768" t="s">
        <v>2615</v>
      </c>
      <c r="J472" s="1769" t="s">
        <v>3290</v>
      </c>
      <c r="K472" s="446"/>
      <c r="L472" s="1772"/>
      <c r="M472" s="446"/>
      <c r="N472" s="447"/>
      <c r="O472" s="1760">
        <v>1</v>
      </c>
      <c r="P472" s="1760"/>
      <c r="Q472" s="1761"/>
      <c r="R472" s="1762"/>
      <c r="S472" s="1762"/>
      <c r="T472" s="1762"/>
    </row>
    <row r="473" spans="3:20" s="158" customFormat="1">
      <c r="C473" s="1770" t="s">
        <v>2699</v>
      </c>
      <c r="D473" s="446"/>
      <c r="E473" s="446"/>
      <c r="F473" s="446"/>
      <c r="G473" s="1771" t="s">
        <v>1738</v>
      </c>
      <c r="H473" s="447">
        <v>2020</v>
      </c>
      <c r="I473" s="447" t="s">
        <v>4775</v>
      </c>
      <c r="J473" s="1769" t="s">
        <v>3291</v>
      </c>
      <c r="K473" s="446"/>
      <c r="L473" s="1772"/>
      <c r="M473" s="446"/>
      <c r="N473" s="447"/>
      <c r="O473" s="1760">
        <v>1</v>
      </c>
      <c r="P473" s="1760"/>
      <c r="Q473" s="1761"/>
      <c r="R473" s="1762"/>
      <c r="S473" s="1762"/>
      <c r="T473" s="1762"/>
    </row>
    <row r="474" spans="3:20" s="158" customFormat="1">
      <c r="C474" s="1770" t="s">
        <v>2700</v>
      </c>
      <c r="D474" s="446"/>
      <c r="E474" s="446"/>
      <c r="F474" s="446"/>
      <c r="G474" s="1771" t="s">
        <v>2488</v>
      </c>
      <c r="H474" s="447" t="s">
        <v>1690</v>
      </c>
      <c r="I474" s="1768" t="s">
        <v>2615</v>
      </c>
      <c r="J474" s="1769" t="s">
        <v>3292</v>
      </c>
      <c r="K474" s="446"/>
      <c r="L474" s="1772"/>
      <c r="M474" s="446"/>
      <c r="N474" s="447"/>
      <c r="O474" s="1760">
        <v>1</v>
      </c>
      <c r="P474" s="1760"/>
      <c r="Q474" s="1761"/>
      <c r="R474" s="1762"/>
      <c r="S474" s="1762"/>
      <c r="T474" s="1762"/>
    </row>
    <row r="475" spans="3:20" s="158" customFormat="1">
      <c r="C475" s="1770" t="s">
        <v>2701</v>
      </c>
      <c r="D475" s="446"/>
      <c r="E475" s="446"/>
      <c r="F475" s="446"/>
      <c r="G475" s="1771" t="s">
        <v>1014</v>
      </c>
      <c r="H475" s="447">
        <v>2020</v>
      </c>
      <c r="I475" s="447" t="s">
        <v>4775</v>
      </c>
      <c r="J475" s="1769" t="s">
        <v>3577</v>
      </c>
      <c r="K475" s="446"/>
      <c r="L475" s="1772"/>
      <c r="M475" s="446"/>
      <c r="N475" s="447"/>
      <c r="O475" s="1760">
        <v>1</v>
      </c>
      <c r="P475" s="1760"/>
      <c r="Q475" s="1761"/>
      <c r="R475" s="1762"/>
      <c r="S475" s="1762"/>
      <c r="T475" s="1762"/>
    </row>
    <row r="476" spans="3:20" s="158" customFormat="1">
      <c r="C476" s="1770" t="s">
        <v>2702</v>
      </c>
      <c r="D476" s="446"/>
      <c r="E476" s="446"/>
      <c r="F476" s="446"/>
      <c r="G476" s="1771" t="s">
        <v>3612</v>
      </c>
      <c r="H476" s="447">
        <v>2019</v>
      </c>
      <c r="I476" s="447" t="s">
        <v>4775</v>
      </c>
      <c r="J476" s="1769" t="s">
        <v>3300</v>
      </c>
      <c r="K476" s="446"/>
      <c r="L476" s="1772"/>
      <c r="M476" s="446"/>
      <c r="N476" s="447"/>
      <c r="O476" s="1760">
        <v>1</v>
      </c>
      <c r="P476" s="1760"/>
      <c r="Q476" s="1761"/>
      <c r="R476" s="1762"/>
      <c r="S476" s="1762"/>
      <c r="T476" s="1762"/>
    </row>
    <row r="477" spans="3:20" s="158" customFormat="1">
      <c r="C477" s="1770"/>
      <c r="D477" s="446"/>
      <c r="E477" s="446"/>
      <c r="F477" s="446"/>
      <c r="G477" s="1771" t="s">
        <v>350</v>
      </c>
      <c r="H477" s="447" t="s">
        <v>1690</v>
      </c>
      <c r="I477" s="1768" t="s">
        <v>2615</v>
      </c>
      <c r="J477" s="1769" t="s">
        <v>3293</v>
      </c>
      <c r="K477" s="446"/>
      <c r="L477" s="1772"/>
      <c r="M477" s="446"/>
      <c r="N477" s="447"/>
      <c r="O477" s="1760">
        <v>1</v>
      </c>
      <c r="P477" s="1760"/>
      <c r="Q477" s="1761"/>
      <c r="R477" s="1762"/>
      <c r="S477" s="1762"/>
      <c r="T477" s="1762"/>
    </row>
    <row r="478" spans="3:20" s="158" customFormat="1">
      <c r="C478" s="1770"/>
      <c r="D478" s="446"/>
      <c r="E478" s="446"/>
      <c r="F478" s="446"/>
      <c r="G478" s="1771" t="s">
        <v>1714</v>
      </c>
      <c r="H478" s="447">
        <v>2020</v>
      </c>
      <c r="I478" s="447" t="s">
        <v>4775</v>
      </c>
      <c r="J478" s="1769" t="s">
        <v>3294</v>
      </c>
      <c r="K478" s="446"/>
      <c r="L478" s="1772"/>
      <c r="M478" s="446"/>
      <c r="N478" s="447"/>
      <c r="O478" s="1760">
        <v>1</v>
      </c>
      <c r="P478" s="1760"/>
      <c r="Q478" s="1761"/>
      <c r="R478" s="1762"/>
      <c r="S478" s="1762"/>
      <c r="T478" s="1762"/>
    </row>
    <row r="479" spans="3:20" s="158" customFormat="1">
      <c r="C479" s="1770"/>
      <c r="D479" s="446"/>
      <c r="E479" s="446"/>
      <c r="F479" s="446"/>
      <c r="G479" s="1771" t="s">
        <v>2012</v>
      </c>
      <c r="H479" s="447" t="s">
        <v>4776</v>
      </c>
      <c r="I479" s="1768" t="s">
        <v>2615</v>
      </c>
      <c r="J479" s="1769" t="s">
        <v>3295</v>
      </c>
      <c r="K479" s="446"/>
      <c r="L479" s="1772"/>
      <c r="M479" s="446"/>
      <c r="N479" s="447"/>
      <c r="O479" s="1760">
        <v>1</v>
      </c>
      <c r="P479" s="1760"/>
      <c r="Q479" s="1761"/>
      <c r="R479" s="1762"/>
      <c r="S479" s="1762"/>
      <c r="T479" s="1762"/>
    </row>
    <row r="480" spans="3:20" s="158" customFormat="1">
      <c r="C480" s="446"/>
      <c r="D480" s="446"/>
      <c r="E480" s="446"/>
      <c r="F480" s="446"/>
      <c r="G480" s="1771" t="s">
        <v>85</v>
      </c>
      <c r="H480" s="447" t="s">
        <v>4776</v>
      </c>
      <c r="I480" s="1768" t="s">
        <v>2615</v>
      </c>
      <c r="J480" s="1769" t="s">
        <v>3296</v>
      </c>
      <c r="K480" s="446"/>
      <c r="L480" s="1772"/>
      <c r="M480" s="446"/>
      <c r="N480" s="447"/>
      <c r="O480" s="1760">
        <v>1</v>
      </c>
      <c r="P480" s="1760"/>
      <c r="Q480" s="1761"/>
      <c r="R480" s="1762"/>
      <c r="S480" s="1762"/>
      <c r="T480" s="1762"/>
    </row>
    <row r="481" spans="1:20" s="158" customFormat="1">
      <c r="A481" s="1762"/>
      <c r="B481" s="1762"/>
      <c r="C481" s="446"/>
      <c r="D481" s="446"/>
      <c r="E481" s="446"/>
      <c r="F481" s="446"/>
      <c r="G481" s="1771" t="s">
        <v>874</v>
      </c>
      <c r="H481" s="447">
        <v>2019</v>
      </c>
      <c r="I481" s="447" t="s">
        <v>4775</v>
      </c>
      <c r="J481" s="1769" t="s">
        <v>3299</v>
      </c>
      <c r="K481" s="446"/>
      <c r="L481" s="1772"/>
      <c r="M481" s="446"/>
      <c r="N481" s="447"/>
      <c r="O481" s="1760">
        <v>1</v>
      </c>
      <c r="P481" s="1760"/>
      <c r="Q481" s="1761"/>
      <c r="R481" s="1762"/>
      <c r="S481" s="1762"/>
      <c r="T481" s="1762"/>
    </row>
    <row r="482" spans="1:20" s="158" customFormat="1">
      <c r="A482" s="998" t="s">
        <v>2704</v>
      </c>
      <c r="B482" s="1762"/>
      <c r="C482" s="446"/>
      <c r="D482" s="446"/>
      <c r="E482" s="446"/>
      <c r="F482" s="446"/>
      <c r="G482" s="1771" t="s">
        <v>2090</v>
      </c>
      <c r="H482" s="447" t="s">
        <v>4776</v>
      </c>
      <c r="I482" s="1768" t="s">
        <v>2615</v>
      </c>
      <c r="J482" s="1769" t="s">
        <v>3297</v>
      </c>
      <c r="K482" s="446"/>
      <c r="L482" s="1772"/>
      <c r="M482" s="446"/>
      <c r="N482" s="447"/>
      <c r="O482" s="1760">
        <v>1</v>
      </c>
      <c r="P482" s="1760"/>
      <c r="Q482" s="1761"/>
      <c r="R482" s="1762"/>
      <c r="S482" s="1762"/>
      <c r="T482" s="1762"/>
    </row>
    <row r="483" spans="1:20" s="158" customFormat="1">
      <c r="A483" s="998" t="s">
        <v>2727</v>
      </c>
      <c r="B483" s="1762"/>
      <c r="C483" s="446"/>
      <c r="D483" s="446"/>
      <c r="E483" s="446"/>
      <c r="F483" s="446"/>
      <c r="G483" s="1771" t="s">
        <v>2010</v>
      </c>
      <c r="H483" s="447">
        <v>2019</v>
      </c>
      <c r="I483" s="447" t="s">
        <v>4775</v>
      </c>
      <c r="J483" s="1769" t="s">
        <v>3298</v>
      </c>
      <c r="K483" s="446"/>
      <c r="L483" s="1772"/>
      <c r="M483" s="446"/>
      <c r="N483" s="447"/>
      <c r="O483" s="1760">
        <v>1</v>
      </c>
      <c r="P483" s="1760"/>
      <c r="Q483" s="1761"/>
      <c r="R483" s="1762"/>
      <c r="S483" s="1762"/>
      <c r="T483" s="1762"/>
    </row>
    <row r="484" spans="1:20" s="158" customFormat="1">
      <c r="A484" s="1778" t="s">
        <v>3266</v>
      </c>
      <c r="B484" s="1762"/>
      <c r="C484" s="446"/>
      <c r="D484" s="1770"/>
      <c r="E484" s="1770">
        <v>3</v>
      </c>
      <c r="F484" s="446"/>
      <c r="G484" s="1771" t="s">
        <v>330</v>
      </c>
      <c r="H484" s="447">
        <v>2019</v>
      </c>
      <c r="I484" s="447" t="s">
        <v>4775</v>
      </c>
      <c r="J484" s="446"/>
      <c r="K484" s="446"/>
      <c r="L484" s="1772"/>
      <c r="M484" s="446"/>
      <c r="N484" s="447"/>
      <c r="O484" s="1760"/>
      <c r="P484" s="1760"/>
      <c r="Q484" s="1761"/>
      <c r="R484" s="1762"/>
      <c r="S484" s="1762"/>
      <c r="T484" s="1762"/>
    </row>
    <row r="485" spans="1:20" s="158" customFormat="1">
      <c r="A485" s="1778" t="s">
        <v>3267</v>
      </c>
      <c r="B485" s="1762"/>
      <c r="C485" s="446"/>
      <c r="D485" s="1770"/>
      <c r="E485" s="1770">
        <v>2</v>
      </c>
      <c r="F485" s="446"/>
      <c r="G485" s="1771" t="s">
        <v>852</v>
      </c>
      <c r="H485" s="447">
        <v>2019</v>
      </c>
      <c r="I485" s="447" t="s">
        <v>4775</v>
      </c>
      <c r="J485" s="446"/>
      <c r="K485" s="446"/>
      <c r="L485" s="1772"/>
      <c r="M485" s="446"/>
      <c r="N485" s="447"/>
      <c r="O485" s="1760"/>
      <c r="P485" s="1760"/>
      <c r="Q485" s="1761"/>
      <c r="R485" s="1762"/>
      <c r="S485" s="1762"/>
      <c r="T485" s="1762"/>
    </row>
    <row r="486" spans="1:20" s="158" customFormat="1">
      <c r="A486" s="1778" t="s">
        <v>3268</v>
      </c>
      <c r="B486" s="1762"/>
      <c r="C486" s="446"/>
      <c r="D486" s="1770"/>
      <c r="E486" s="1770">
        <v>10</v>
      </c>
      <c r="F486" s="446"/>
      <c r="G486" s="1771" t="s">
        <v>1881</v>
      </c>
      <c r="H486" s="447">
        <v>2019</v>
      </c>
      <c r="I486" s="447" t="s">
        <v>4775</v>
      </c>
      <c r="J486" s="1773" t="s">
        <v>3587</v>
      </c>
      <c r="K486" s="446"/>
      <c r="L486" s="1772"/>
      <c r="M486" s="446"/>
      <c r="N486" s="447"/>
      <c r="O486" s="1760"/>
      <c r="P486" s="1760"/>
      <c r="Q486" s="1761"/>
      <c r="R486" s="1762"/>
      <c r="S486" s="1762"/>
      <c r="T486" s="1762"/>
    </row>
    <row r="487" spans="1:20" s="158" customFormat="1">
      <c r="A487" s="1778" t="s">
        <v>2728</v>
      </c>
      <c r="B487" s="1762"/>
      <c r="C487" s="446"/>
      <c r="D487" s="1770"/>
      <c r="E487" s="1770"/>
      <c r="F487" s="446"/>
      <c r="G487" s="1771" t="s">
        <v>412</v>
      </c>
      <c r="H487" s="447">
        <v>2019</v>
      </c>
      <c r="I487" s="447" t="s">
        <v>4775</v>
      </c>
      <c r="J487" s="1769" t="s">
        <v>3725</v>
      </c>
      <c r="K487" s="446"/>
      <c r="L487" s="1772"/>
      <c r="M487" s="446"/>
      <c r="N487" s="447"/>
      <c r="O487" s="1760"/>
      <c r="P487" s="1760"/>
      <c r="Q487" s="1761"/>
      <c r="R487" s="1762"/>
      <c r="S487" s="1762"/>
      <c r="T487" s="1762"/>
    </row>
    <row r="488" spans="1:20" s="158" customFormat="1">
      <c r="A488" s="1762"/>
      <c r="B488" s="1762"/>
      <c r="C488" s="1770"/>
      <c r="D488" s="446"/>
      <c r="E488" s="446"/>
      <c r="F488" s="446"/>
      <c r="G488" s="1771" t="s">
        <v>963</v>
      </c>
      <c r="H488" s="447">
        <v>2020</v>
      </c>
      <c r="I488" s="447" t="s">
        <v>4775</v>
      </c>
      <c r="J488" s="1769" t="s">
        <v>3720</v>
      </c>
      <c r="K488" s="446"/>
      <c r="L488" s="1772"/>
      <c r="M488" s="446"/>
      <c r="N488" s="447"/>
      <c r="O488" s="1760"/>
      <c r="P488" s="1760"/>
      <c r="Q488" s="1761"/>
      <c r="R488" s="1762"/>
      <c r="S488" s="1762"/>
      <c r="T488" s="1762"/>
    </row>
    <row r="489" spans="1:20" s="158" customFormat="1">
      <c r="C489" s="1770"/>
      <c r="D489" s="446"/>
      <c r="E489" s="446"/>
      <c r="F489" s="446"/>
      <c r="G489" s="1771" t="s">
        <v>557</v>
      </c>
      <c r="H489" s="447">
        <v>2020</v>
      </c>
      <c r="I489" s="447" t="s">
        <v>4775</v>
      </c>
      <c r="J489" s="1769" t="s">
        <v>3580</v>
      </c>
      <c r="K489" s="1769"/>
      <c r="L489" s="1772"/>
      <c r="M489" s="446"/>
      <c r="N489" s="447"/>
      <c r="O489" s="1760"/>
      <c r="P489" s="1760"/>
      <c r="Q489" s="1761"/>
      <c r="R489" s="1762"/>
      <c r="S489" s="1762"/>
      <c r="T489" s="1762"/>
    </row>
    <row r="490" spans="1:20" s="158" customFormat="1">
      <c r="C490" s="1770"/>
      <c r="D490" s="446"/>
      <c r="E490" s="446"/>
      <c r="F490" s="446"/>
      <c r="G490" s="1771" t="s">
        <v>846</v>
      </c>
      <c r="H490" s="447" t="s">
        <v>4776</v>
      </c>
      <c r="I490" s="1768" t="s">
        <v>2615</v>
      </c>
      <c r="J490" s="1769" t="s">
        <v>3716</v>
      </c>
      <c r="K490" s="446"/>
      <c r="L490" s="1772"/>
      <c r="M490" s="446"/>
      <c r="N490" s="447"/>
      <c r="O490" s="1760"/>
      <c r="P490" s="1760"/>
      <c r="Q490" s="1761"/>
      <c r="R490" s="1762"/>
      <c r="S490" s="1762"/>
      <c r="T490" s="1762"/>
    </row>
    <row r="491" spans="1:20" s="158" customFormat="1">
      <c r="C491" s="1770"/>
      <c r="D491" s="446"/>
      <c r="E491" s="446"/>
      <c r="F491" s="446"/>
      <c r="G491" s="1771" t="s">
        <v>3282</v>
      </c>
      <c r="H491" s="447">
        <v>2019</v>
      </c>
      <c r="I491" s="447" t="s">
        <v>4775</v>
      </c>
      <c r="J491" s="1769" t="s">
        <v>3581</v>
      </c>
      <c r="K491" s="1769"/>
      <c r="L491" s="1772"/>
      <c r="M491" s="446"/>
      <c r="N491" s="447"/>
      <c r="O491" s="1760"/>
      <c r="P491" s="1760"/>
      <c r="Q491" s="1761"/>
      <c r="R491" s="1762"/>
      <c r="S491" s="1762"/>
      <c r="T491" s="1762"/>
    </row>
    <row r="492" spans="1:20" s="158" customFormat="1">
      <c r="C492" s="446"/>
      <c r="D492" s="446"/>
      <c r="E492" s="446"/>
      <c r="F492" s="446"/>
      <c r="G492" s="1771" t="s">
        <v>801</v>
      </c>
      <c r="H492" s="447">
        <v>2019</v>
      </c>
      <c r="I492" s="447" t="s">
        <v>4775</v>
      </c>
      <c r="J492" s="1769" t="s">
        <v>3717</v>
      </c>
      <c r="K492" s="446"/>
      <c r="L492" s="1772"/>
      <c r="M492" s="446"/>
      <c r="N492" s="447"/>
      <c r="O492" s="1760"/>
      <c r="P492" s="1760"/>
      <c r="Q492" s="1761"/>
      <c r="R492" s="1762"/>
      <c r="S492" s="1762"/>
      <c r="T492" s="1762"/>
    </row>
    <row r="493" spans="1:20" s="158" customFormat="1">
      <c r="C493" s="446"/>
      <c r="D493" s="446"/>
      <c r="E493" s="446"/>
      <c r="F493" s="446"/>
      <c r="G493" s="1771" t="s">
        <v>175</v>
      </c>
      <c r="H493" s="447">
        <v>2019</v>
      </c>
      <c r="I493" s="447" t="s">
        <v>4775</v>
      </c>
      <c r="J493" s="1769" t="s">
        <v>3582</v>
      </c>
      <c r="K493" s="446"/>
      <c r="L493" s="1769"/>
      <c r="M493" s="446"/>
      <c r="N493" s="447"/>
      <c r="O493" s="1760"/>
      <c r="P493" s="1760"/>
      <c r="Q493" s="1761"/>
      <c r="R493" s="1762"/>
      <c r="S493" s="1762"/>
      <c r="T493" s="1762"/>
    </row>
    <row r="494" spans="1:20" s="158" customFormat="1">
      <c r="C494" s="446"/>
      <c r="D494" s="446"/>
      <c r="E494" s="446"/>
      <c r="F494" s="446"/>
      <c r="G494" s="1771" t="s">
        <v>3752</v>
      </c>
      <c r="H494" s="447" t="s">
        <v>4776</v>
      </c>
      <c r="I494" s="1768" t="s">
        <v>2615</v>
      </c>
      <c r="J494" s="1769" t="s">
        <v>3718</v>
      </c>
      <c r="K494" s="446"/>
      <c r="L494" s="1772"/>
      <c r="M494" s="446"/>
      <c r="N494" s="447"/>
      <c r="O494" s="1760"/>
      <c r="P494" s="1760"/>
      <c r="Q494" s="1761"/>
      <c r="R494" s="1762"/>
      <c r="S494" s="1762"/>
      <c r="T494" s="1762"/>
    </row>
    <row r="495" spans="1:20" s="158" customFormat="1">
      <c r="C495" s="446"/>
      <c r="D495" s="446"/>
      <c r="E495" s="446"/>
      <c r="F495" s="446"/>
      <c r="G495" s="1771" t="s">
        <v>527</v>
      </c>
      <c r="H495" s="447">
        <v>2020</v>
      </c>
      <c r="I495" s="447" t="s">
        <v>4775</v>
      </c>
      <c r="J495" s="1769" t="s">
        <v>3721</v>
      </c>
      <c r="K495" s="446"/>
      <c r="L495" s="1772"/>
      <c r="M495" s="446"/>
      <c r="N495" s="447"/>
      <c r="O495" s="1760"/>
      <c r="P495" s="1760"/>
      <c r="Q495" s="1761"/>
      <c r="R495" s="1762"/>
      <c r="S495" s="1762"/>
      <c r="T495" s="1762"/>
    </row>
    <row r="496" spans="1:20" s="158" customFormat="1">
      <c r="C496" s="446"/>
      <c r="D496" s="446"/>
      <c r="E496" s="446"/>
      <c r="F496" s="446"/>
      <c r="G496" s="1771" t="s">
        <v>391</v>
      </c>
      <c r="H496" s="447">
        <v>2020</v>
      </c>
      <c r="I496" s="447" t="s">
        <v>4775</v>
      </c>
      <c r="J496" s="1769" t="s">
        <v>3724</v>
      </c>
      <c r="K496" s="1769"/>
      <c r="L496" s="1769"/>
      <c r="M496" s="446"/>
      <c r="N496" s="447"/>
      <c r="O496" s="1760"/>
      <c r="P496" s="1760"/>
      <c r="Q496" s="1761"/>
      <c r="R496" s="1762"/>
      <c r="S496" s="1762"/>
      <c r="T496" s="1762"/>
    </row>
    <row r="497" spans="3:20" s="158" customFormat="1">
      <c r="C497" s="446"/>
      <c r="D497" s="1774"/>
      <c r="E497" s="446"/>
      <c r="F497" s="446"/>
      <c r="G497" s="1771" t="s">
        <v>1410</v>
      </c>
      <c r="H497" s="447" t="s">
        <v>4776</v>
      </c>
      <c r="I497" s="1768" t="s">
        <v>2615</v>
      </c>
      <c r="J497" s="1769" t="s">
        <v>3583</v>
      </c>
      <c r="K497" s="446"/>
      <c r="L497" s="1772"/>
      <c r="M497" s="446"/>
      <c r="N497" s="447"/>
      <c r="O497" s="1760"/>
      <c r="P497" s="1760"/>
      <c r="Q497" s="1761"/>
      <c r="R497" s="1762"/>
      <c r="S497" s="1762"/>
      <c r="T497" s="1762"/>
    </row>
    <row r="498" spans="3:20" s="158" customFormat="1">
      <c r="C498" s="446"/>
      <c r="D498" s="1774"/>
      <c r="E498" s="446"/>
      <c r="F498" s="446"/>
      <c r="G498" s="1771" t="s">
        <v>1793</v>
      </c>
      <c r="H498" s="447" t="s">
        <v>4776</v>
      </c>
      <c r="I498" s="1768" t="s">
        <v>2615</v>
      </c>
      <c r="J498" s="1769" t="s">
        <v>3584</v>
      </c>
      <c r="K498" s="446"/>
      <c r="L498" s="1772"/>
      <c r="M498" s="446"/>
      <c r="N498" s="447"/>
      <c r="O498" s="1760"/>
      <c r="P498" s="1760"/>
      <c r="Q498" s="1761"/>
      <c r="R498" s="1762"/>
      <c r="S498" s="1762"/>
      <c r="T498" s="1762"/>
    </row>
    <row r="499" spans="3:20" s="158" customFormat="1">
      <c r="C499" s="446"/>
      <c r="D499" s="1775"/>
      <c r="E499" s="446"/>
      <c r="F499" s="446"/>
      <c r="G499" s="1771" t="s">
        <v>2072</v>
      </c>
      <c r="H499" s="447">
        <v>2020</v>
      </c>
      <c r="I499" s="447" t="s">
        <v>4775</v>
      </c>
      <c r="J499" s="1769" t="s">
        <v>3719</v>
      </c>
      <c r="K499" s="446"/>
      <c r="L499" s="1772"/>
      <c r="M499" s="446"/>
      <c r="N499" s="447"/>
      <c r="O499" s="1760"/>
      <c r="P499" s="1760"/>
      <c r="Q499" s="1761"/>
      <c r="R499" s="1762"/>
      <c r="S499" s="1762"/>
      <c r="T499" s="1762"/>
    </row>
    <row r="500" spans="3:20" s="158" customFormat="1">
      <c r="C500" s="446"/>
      <c r="D500" s="1775"/>
      <c r="E500" s="1775"/>
      <c r="F500" s="446"/>
      <c r="G500" s="1771" t="s">
        <v>1413</v>
      </c>
      <c r="H500" s="447">
        <v>2019</v>
      </c>
      <c r="I500" s="447" t="s">
        <v>4775</v>
      </c>
      <c r="J500" s="1769" t="s">
        <v>3722</v>
      </c>
      <c r="K500" s="446"/>
      <c r="L500" s="1769"/>
      <c r="M500" s="446"/>
      <c r="N500" s="447"/>
      <c r="O500" s="1760"/>
      <c r="P500" s="1760"/>
      <c r="Q500" s="1761"/>
      <c r="R500" s="1762"/>
      <c r="S500" s="1762"/>
      <c r="T500" s="1762"/>
    </row>
    <row r="501" spans="3:20" s="158" customFormat="1">
      <c r="C501" s="446"/>
      <c r="D501" s="446"/>
      <c r="E501" s="446"/>
      <c r="F501" s="446"/>
      <c r="G501" s="1771" t="s">
        <v>240</v>
      </c>
      <c r="H501" s="447">
        <v>2019</v>
      </c>
      <c r="I501" s="447" t="s">
        <v>4775</v>
      </c>
      <c r="J501" s="1769" t="s">
        <v>3723</v>
      </c>
      <c r="K501" s="446"/>
      <c r="L501" s="1772"/>
      <c r="M501" s="446"/>
      <c r="N501" s="447"/>
      <c r="O501" s="1760"/>
      <c r="P501" s="1760"/>
      <c r="Q501" s="1761"/>
      <c r="R501" s="1762"/>
      <c r="S501" s="1762"/>
      <c r="T501" s="1762"/>
    </row>
    <row r="502" spans="3:20" s="158" customFormat="1">
      <c r="C502" s="446"/>
      <c r="D502" s="446"/>
      <c r="E502" s="446"/>
      <c r="F502" s="446"/>
      <c r="G502" s="1771" t="s">
        <v>1021</v>
      </c>
      <c r="H502" s="447">
        <v>2020</v>
      </c>
      <c r="I502" s="447" t="s">
        <v>4775</v>
      </c>
      <c r="J502" s="1769" t="s">
        <v>3585</v>
      </c>
      <c r="K502" s="446"/>
      <c r="L502" s="1772"/>
      <c r="M502" s="446"/>
      <c r="N502" s="447"/>
      <c r="O502" s="1760"/>
      <c r="P502" s="1760"/>
      <c r="Q502" s="1761"/>
      <c r="R502" s="1762"/>
      <c r="S502" s="1762"/>
      <c r="T502" s="1762"/>
    </row>
    <row r="503" spans="3:20" s="158" customFormat="1">
      <c r="C503" s="1774"/>
      <c r="D503" s="446"/>
      <c r="E503" s="446"/>
      <c r="F503" s="446"/>
      <c r="G503" s="1771" t="s">
        <v>2210</v>
      </c>
      <c r="H503" s="447">
        <v>2020</v>
      </c>
      <c r="I503" s="447" t="s">
        <v>4775</v>
      </c>
      <c r="J503" s="1769" t="s">
        <v>3586</v>
      </c>
      <c r="K503" s="446"/>
      <c r="L503" s="1772"/>
      <c r="M503" s="446"/>
      <c r="N503" s="447"/>
      <c r="O503" s="1760"/>
      <c r="P503" s="1760"/>
      <c r="Q503" s="1761"/>
      <c r="R503" s="1762"/>
      <c r="S503" s="1762"/>
      <c r="T503" s="1762"/>
    </row>
    <row r="504" spans="3:20" s="158" customFormat="1">
      <c r="C504" s="1774"/>
      <c r="D504" s="446"/>
      <c r="E504" s="446"/>
      <c r="F504" s="446"/>
      <c r="G504" s="1771" t="s">
        <v>4770</v>
      </c>
      <c r="H504" s="447" t="s">
        <v>4776</v>
      </c>
      <c r="I504" s="1768" t="s">
        <v>2615</v>
      </c>
      <c r="J504" s="1769"/>
      <c r="K504" s="446"/>
      <c r="L504" s="1772"/>
      <c r="M504" s="446"/>
      <c r="N504" s="447"/>
      <c r="O504" s="1760"/>
      <c r="P504" s="1760"/>
      <c r="Q504" s="1761"/>
      <c r="R504" s="1762"/>
      <c r="S504" s="1762"/>
      <c r="T504" s="1762"/>
    </row>
    <row r="505" spans="3:20" s="158" customFormat="1">
      <c r="C505" s="1774"/>
      <c r="D505" s="446"/>
      <c r="E505" s="446"/>
      <c r="F505" s="446"/>
      <c r="G505" s="1771" t="s">
        <v>1841</v>
      </c>
      <c r="H505" s="447" t="s">
        <v>4776</v>
      </c>
      <c r="I505" s="1768" t="s">
        <v>2615</v>
      </c>
      <c r="J505" s="1769"/>
      <c r="K505" s="446"/>
      <c r="L505" s="1772"/>
      <c r="M505" s="446"/>
      <c r="N505" s="447"/>
      <c r="O505" s="1760"/>
      <c r="P505" s="1760"/>
      <c r="Q505" s="1761"/>
      <c r="R505" s="1762"/>
      <c r="S505" s="1762"/>
      <c r="T505" s="1762"/>
    </row>
    <row r="506" spans="3:20" s="158" customFormat="1">
      <c r="C506" s="1774"/>
      <c r="D506" s="446"/>
      <c r="E506" s="446"/>
      <c r="F506" s="446"/>
      <c r="G506" s="1771" t="s">
        <v>491</v>
      </c>
      <c r="H506" s="447" t="s">
        <v>4776</v>
      </c>
      <c r="I506" s="1768" t="s">
        <v>2615</v>
      </c>
      <c r="J506" s="1769"/>
      <c r="K506" s="446"/>
      <c r="L506" s="1772"/>
      <c r="M506" s="446"/>
      <c r="N506" s="447"/>
      <c r="O506" s="1760"/>
      <c r="P506" s="1760"/>
      <c r="Q506" s="1761"/>
      <c r="R506" s="1762"/>
      <c r="S506" s="1762"/>
      <c r="T506" s="1762"/>
    </row>
    <row r="507" spans="3:20" s="158" customFormat="1">
      <c r="C507" s="1774"/>
      <c r="D507" s="446"/>
      <c r="E507" s="446"/>
      <c r="F507" s="446"/>
      <c r="G507" s="1771" t="s">
        <v>2054</v>
      </c>
      <c r="H507" s="447" t="s">
        <v>4776</v>
      </c>
      <c r="I507" s="1768" t="s">
        <v>2615</v>
      </c>
      <c r="J507" s="1769"/>
      <c r="K507" s="446"/>
      <c r="L507" s="1772"/>
      <c r="M507" s="446"/>
      <c r="N507" s="447"/>
      <c r="O507" s="1760"/>
      <c r="P507" s="1760"/>
      <c r="Q507" s="1761"/>
      <c r="R507" s="1762"/>
      <c r="S507" s="1762"/>
      <c r="T507" s="1762"/>
    </row>
    <row r="508" spans="3:20" s="158" customFormat="1">
      <c r="C508" s="1774"/>
      <c r="D508" s="446"/>
      <c r="E508" s="446"/>
      <c r="F508" s="446"/>
      <c r="G508" s="1771" t="s">
        <v>2202</v>
      </c>
      <c r="H508" s="447">
        <v>2020</v>
      </c>
      <c r="I508" s="447" t="s">
        <v>4775</v>
      </c>
      <c r="J508" s="1769"/>
      <c r="K508" s="446"/>
      <c r="L508" s="1772"/>
      <c r="M508" s="446"/>
      <c r="N508" s="447"/>
      <c r="O508" s="1760"/>
      <c r="P508" s="1760"/>
      <c r="Q508" s="1761"/>
      <c r="R508" s="1762"/>
      <c r="S508" s="1762"/>
      <c r="T508" s="1762"/>
    </row>
    <row r="509" spans="3:20" s="158" customFormat="1">
      <c r="C509" s="1774"/>
      <c r="D509" s="446"/>
      <c r="E509" s="446"/>
      <c r="F509" s="446"/>
      <c r="G509" s="1771" t="s">
        <v>2077</v>
      </c>
      <c r="H509" s="447">
        <v>2020</v>
      </c>
      <c r="I509" s="447" t="s">
        <v>4775</v>
      </c>
      <c r="J509" s="1769"/>
      <c r="K509" s="446"/>
      <c r="L509" s="1769"/>
      <c r="M509" s="446"/>
      <c r="N509" s="447"/>
      <c r="O509" s="1760"/>
      <c r="P509" s="1760"/>
      <c r="Q509" s="1761"/>
      <c r="R509" s="1762"/>
      <c r="S509" s="1762"/>
      <c r="T509" s="1762"/>
    </row>
    <row r="510" spans="3:20" s="158" customFormat="1">
      <c r="C510" s="1775"/>
      <c r="D510" s="446"/>
      <c r="E510" s="446"/>
      <c r="F510" s="446"/>
      <c r="G510" s="1771" t="s">
        <v>2275</v>
      </c>
      <c r="H510" s="447">
        <v>2019</v>
      </c>
      <c r="I510" s="447" t="s">
        <v>4775</v>
      </c>
      <c r="J510" s="1769"/>
      <c r="K510" s="446"/>
      <c r="L510" s="1769"/>
      <c r="M510" s="446"/>
      <c r="N510" s="447"/>
      <c r="O510" s="1760"/>
      <c r="P510" s="1760"/>
      <c r="Q510" s="1761"/>
      <c r="R510" s="1762"/>
      <c r="S510" s="1762"/>
      <c r="T510" s="1762"/>
    </row>
    <row r="511" spans="3:20" s="158" customFormat="1">
      <c r="C511" s="1775"/>
      <c r="D511" s="446"/>
      <c r="E511" s="446"/>
      <c r="F511" s="446"/>
      <c r="G511" s="1771" t="s">
        <v>4771</v>
      </c>
      <c r="H511" s="1769"/>
      <c r="I511" s="1769"/>
      <c r="J511" s="1769"/>
      <c r="K511" s="446"/>
      <c r="L511" s="1769"/>
      <c r="M511" s="446"/>
      <c r="N511" s="447"/>
      <c r="O511" s="1760"/>
      <c r="P511" s="1760"/>
      <c r="Q511" s="1761"/>
      <c r="R511" s="1762"/>
      <c r="S511" s="1762"/>
      <c r="T511" s="1762"/>
    </row>
    <row r="512" spans="3:20" s="158" customFormat="1">
      <c r="C512" s="446"/>
      <c r="D512" s="446"/>
      <c r="E512" s="446"/>
      <c r="F512" s="446"/>
      <c r="G512" s="1771" t="s">
        <v>1651</v>
      </c>
      <c r="H512" s="447">
        <v>2019</v>
      </c>
      <c r="I512" s="447" t="s">
        <v>4775</v>
      </c>
      <c r="J512" s="1769"/>
      <c r="K512" s="446"/>
      <c r="L512" s="1769"/>
      <c r="M512" s="446"/>
      <c r="N512" s="447"/>
      <c r="O512" s="1760"/>
      <c r="P512" s="1760"/>
      <c r="Q512" s="1761"/>
      <c r="R512" s="1762"/>
      <c r="S512" s="1762"/>
      <c r="T512" s="1762"/>
    </row>
    <row r="513" spans="3:20" s="158" customFormat="1">
      <c r="C513" s="446"/>
      <c r="D513" s="446"/>
      <c r="E513" s="446"/>
      <c r="F513" s="446"/>
      <c r="G513" s="1771" t="s">
        <v>1654</v>
      </c>
      <c r="H513" s="447">
        <v>2020</v>
      </c>
      <c r="I513" s="447" t="s">
        <v>4775</v>
      </c>
      <c r="J513" s="1769"/>
      <c r="K513" s="1769"/>
      <c r="L513" s="446"/>
      <c r="M513" s="446"/>
      <c r="N513" s="447"/>
      <c r="O513" s="1760"/>
      <c r="P513" s="1760"/>
      <c r="Q513" s="1761"/>
      <c r="R513" s="1762"/>
      <c r="S513" s="1762"/>
      <c r="T513" s="1762"/>
    </row>
    <row r="514" spans="3:20" s="158" customFormat="1">
      <c r="C514" s="446"/>
      <c r="D514" s="446"/>
      <c r="E514" s="446"/>
      <c r="F514" s="446"/>
      <c r="G514" s="1771" t="s">
        <v>1659</v>
      </c>
      <c r="H514" s="447">
        <v>2020</v>
      </c>
      <c r="I514" s="447" t="s">
        <v>4775</v>
      </c>
      <c r="J514" s="1769"/>
      <c r="K514" s="1769"/>
      <c r="L514" s="446"/>
      <c r="M514" s="446"/>
      <c r="N514" s="447"/>
      <c r="O514" s="1760"/>
      <c r="P514" s="1760"/>
      <c r="Q514" s="1761"/>
      <c r="R514" s="1762"/>
      <c r="S514" s="1762"/>
      <c r="T514" s="1762"/>
    </row>
    <row r="515" spans="3:20" s="158" customFormat="1">
      <c r="C515" s="446"/>
      <c r="D515" s="446"/>
      <c r="E515" s="446"/>
      <c r="F515" s="446"/>
      <c r="G515" s="1771" t="s">
        <v>1667</v>
      </c>
      <c r="H515" s="447">
        <v>2020</v>
      </c>
      <c r="I515" s="447" t="s">
        <v>4775</v>
      </c>
      <c r="J515" s="1769"/>
      <c r="K515" s="1769"/>
      <c r="L515" s="446"/>
      <c r="M515" s="446"/>
      <c r="N515" s="447"/>
      <c r="O515" s="1760"/>
      <c r="P515" s="1760"/>
      <c r="Q515" s="1761"/>
      <c r="R515" s="1762"/>
      <c r="S515" s="1762"/>
      <c r="T515" s="1762"/>
    </row>
    <row r="516" spans="3:20" s="158" customFormat="1">
      <c r="C516" s="446"/>
      <c r="D516" s="446"/>
      <c r="E516" s="446"/>
      <c r="F516" s="446"/>
      <c r="G516" s="1771" t="s">
        <v>1668</v>
      </c>
      <c r="H516" s="447">
        <v>2019</v>
      </c>
      <c r="I516" s="447" t="s">
        <v>4775</v>
      </c>
      <c r="J516" s="1769"/>
      <c r="K516" s="1769"/>
      <c r="L516" s="446"/>
      <c r="M516" s="446"/>
      <c r="N516" s="447"/>
      <c r="O516" s="1760"/>
      <c r="P516" s="1760"/>
      <c r="Q516" s="1761"/>
      <c r="R516" s="1762"/>
      <c r="S516" s="1762"/>
      <c r="T516" s="1762"/>
    </row>
    <row r="517" spans="3:20" s="158" customFormat="1">
      <c r="C517" s="446"/>
      <c r="D517" s="446"/>
      <c r="E517" s="446"/>
      <c r="F517" s="446"/>
      <c r="G517" s="1771" t="s">
        <v>103</v>
      </c>
      <c r="H517" s="447">
        <v>2020</v>
      </c>
      <c r="I517" s="447" t="s">
        <v>4775</v>
      </c>
      <c r="J517" s="1769"/>
      <c r="K517" s="1769"/>
      <c r="L517" s="446"/>
      <c r="M517" s="446"/>
      <c r="N517" s="447"/>
      <c r="O517" s="1760"/>
      <c r="P517" s="1760"/>
      <c r="Q517" s="1761"/>
      <c r="R517" s="1762"/>
      <c r="S517" s="1762"/>
      <c r="T517" s="1762"/>
    </row>
    <row r="518" spans="3:20" s="158" customFormat="1">
      <c r="C518" s="446"/>
      <c r="D518" s="446"/>
      <c r="E518" s="446"/>
      <c r="F518" s="446"/>
      <c r="G518" s="1771" t="s">
        <v>292</v>
      </c>
      <c r="H518" s="447">
        <v>2020</v>
      </c>
      <c r="I518" s="447" t="s">
        <v>4775</v>
      </c>
      <c r="J518" s="1769"/>
      <c r="K518" s="1769"/>
      <c r="L518" s="446"/>
      <c r="M518" s="446"/>
      <c r="N518" s="447"/>
      <c r="O518" s="1760"/>
      <c r="P518" s="1760"/>
      <c r="Q518" s="1761"/>
      <c r="R518" s="1762"/>
      <c r="S518" s="1762"/>
      <c r="T518" s="1762"/>
    </row>
    <row r="519" spans="3:20" s="158" customFormat="1">
      <c r="C519" s="446"/>
      <c r="D519" s="446"/>
      <c r="E519" s="446"/>
      <c r="F519" s="446"/>
      <c r="G519" s="1771" t="s">
        <v>1510</v>
      </c>
      <c r="H519" s="447" t="s">
        <v>4776</v>
      </c>
      <c r="I519" s="1768" t="s">
        <v>2615</v>
      </c>
      <c r="J519" s="1769"/>
      <c r="K519" s="1769"/>
      <c r="L519" s="446"/>
      <c r="M519" s="446"/>
      <c r="N519" s="447"/>
      <c r="O519" s="1760"/>
      <c r="P519" s="1760"/>
      <c r="Q519" s="1761"/>
      <c r="R519" s="1762"/>
      <c r="S519" s="1762"/>
      <c r="T519" s="1762"/>
    </row>
    <row r="520" spans="3:20" s="158" customFormat="1">
      <c r="C520" s="446"/>
      <c r="D520" s="446"/>
      <c r="E520" s="446"/>
      <c r="F520" s="446"/>
      <c r="G520" s="1771"/>
      <c r="H520" s="1769"/>
      <c r="I520" s="1769"/>
      <c r="J520" s="1769"/>
      <c r="K520" s="1769"/>
      <c r="L520" s="446"/>
      <c r="M520" s="446"/>
      <c r="N520" s="447"/>
      <c r="O520" s="1760"/>
      <c r="P520" s="1760"/>
      <c r="Q520" s="1761"/>
      <c r="R520" s="1762"/>
      <c r="S520" s="1762"/>
      <c r="T520" s="1762"/>
    </row>
    <row r="521" spans="3:20" s="158" customFormat="1">
      <c r="C521" s="446"/>
      <c r="D521" s="446"/>
      <c r="E521" s="446"/>
      <c r="F521" s="446"/>
      <c r="G521" s="1771"/>
      <c r="H521" s="1769"/>
      <c r="I521" s="1769"/>
      <c r="J521" s="1769"/>
      <c r="K521" s="1769"/>
      <c r="L521" s="446"/>
      <c r="M521" s="446"/>
      <c r="N521" s="447"/>
      <c r="O521" s="1760"/>
      <c r="P521" s="1760"/>
      <c r="Q521" s="1761"/>
      <c r="R521" s="1762"/>
      <c r="S521" s="1762"/>
      <c r="T521" s="1762"/>
    </row>
    <row r="522" spans="3:20" s="158" customFormat="1">
      <c r="C522" s="446"/>
      <c r="D522" s="446"/>
      <c r="E522" s="446"/>
      <c r="F522" s="446"/>
      <c r="G522" s="1771"/>
      <c r="H522" s="1769"/>
      <c r="I522" s="1769"/>
      <c r="J522" s="1769"/>
      <c r="K522" s="1769"/>
      <c r="L522" s="446"/>
      <c r="M522" s="446"/>
      <c r="N522" s="447"/>
      <c r="O522" s="1760"/>
      <c r="P522" s="1760"/>
      <c r="Q522" s="1761"/>
      <c r="R522" s="1762"/>
      <c r="S522" s="1762"/>
      <c r="T522" s="1762"/>
    </row>
    <row r="523" spans="3:20" s="158" customFormat="1">
      <c r="C523" s="446"/>
      <c r="D523" s="446"/>
      <c r="E523" s="446"/>
      <c r="F523" s="446"/>
      <c r="G523" s="1771"/>
      <c r="H523" s="1769"/>
      <c r="I523" s="1769"/>
      <c r="J523" s="1769"/>
      <c r="K523" s="1769"/>
      <c r="L523" s="446"/>
      <c r="M523" s="446"/>
      <c r="N523" s="447"/>
      <c r="O523" s="1760"/>
      <c r="P523" s="1760"/>
      <c r="Q523" s="1761"/>
      <c r="R523" s="1762"/>
      <c r="S523" s="1762"/>
      <c r="T523" s="1762"/>
    </row>
    <row r="524" spans="3:20" s="158" customFormat="1">
      <c r="C524" s="446"/>
      <c r="D524" s="446"/>
      <c r="E524" s="446"/>
      <c r="F524" s="446"/>
      <c r="G524" s="1771"/>
      <c r="H524" s="446"/>
      <c r="I524" s="446"/>
      <c r="J524" s="1769"/>
      <c r="K524" s="446"/>
      <c r="L524" s="446"/>
      <c r="M524" s="446"/>
      <c r="N524" s="447"/>
      <c r="O524" s="1760"/>
      <c r="P524" s="1760"/>
      <c r="Q524" s="1761"/>
      <c r="R524" s="1762"/>
      <c r="S524" s="1762"/>
      <c r="T524" s="1762"/>
    </row>
    <row r="525" spans="3:20" s="158" customFormat="1">
      <c r="C525" s="446"/>
      <c r="D525" s="446"/>
      <c r="E525" s="446"/>
      <c r="F525" s="446"/>
      <c r="G525" s="1771"/>
      <c r="H525" s="446"/>
      <c r="I525" s="446"/>
      <c r="J525" s="1769"/>
      <c r="K525" s="446"/>
      <c r="L525" s="446"/>
      <c r="M525" s="446"/>
      <c r="N525" s="447"/>
      <c r="O525" s="1760"/>
      <c r="P525" s="1760"/>
      <c r="Q525" s="1761"/>
      <c r="R525" s="1762"/>
      <c r="S525" s="1762"/>
      <c r="T525" s="1762"/>
    </row>
    <row r="526" spans="3:20" s="158" customFormat="1">
      <c r="C526" s="446"/>
      <c r="D526" s="446"/>
      <c r="E526" s="446"/>
      <c r="F526" s="446"/>
      <c r="G526" s="1771"/>
      <c r="H526" s="446"/>
      <c r="I526" s="446"/>
      <c r="J526" s="1769"/>
      <c r="K526" s="446"/>
      <c r="L526" s="446"/>
      <c r="M526" s="446"/>
      <c r="N526" s="447"/>
      <c r="O526" s="1760"/>
      <c r="P526" s="1760"/>
      <c r="Q526" s="1761"/>
      <c r="R526" s="1762"/>
      <c r="S526" s="1762"/>
      <c r="T526" s="1762"/>
    </row>
    <row r="527" spans="3:20" s="158" customFormat="1">
      <c r="C527" s="446"/>
      <c r="D527" s="446"/>
      <c r="E527" s="446"/>
      <c r="F527" s="446"/>
      <c r="G527" s="1763"/>
      <c r="H527" s="446"/>
      <c r="I527" s="446"/>
      <c r="J527" s="1769"/>
      <c r="K527" s="446"/>
      <c r="L527" s="446"/>
      <c r="M527" s="446"/>
      <c r="N527" s="447"/>
      <c r="O527" s="1760"/>
      <c r="P527" s="1760"/>
      <c r="Q527" s="1761"/>
      <c r="R527" s="1762"/>
      <c r="S527" s="1762"/>
      <c r="T527" s="1762"/>
    </row>
    <row r="528" spans="3:20" s="158" customFormat="1">
      <c r="C528" s="446"/>
      <c r="D528" s="446"/>
      <c r="E528" s="446"/>
      <c r="F528" s="446"/>
      <c r="G528" s="1763"/>
      <c r="H528" s="446"/>
      <c r="I528" s="446"/>
      <c r="J528" s="446"/>
      <c r="K528" s="446"/>
      <c r="L528" s="446"/>
      <c r="M528" s="446"/>
      <c r="N528" s="447"/>
      <c r="O528" s="1760"/>
      <c r="P528" s="1760"/>
      <c r="Q528" s="1761"/>
      <c r="R528" s="1762"/>
      <c r="S528" s="1762"/>
      <c r="T528" s="1762"/>
    </row>
    <row r="529" spans="3:20" s="158" customFormat="1">
      <c r="C529" s="446"/>
      <c r="D529" s="446"/>
      <c r="E529" s="446"/>
      <c r="F529" s="446"/>
      <c r="G529" s="1763"/>
      <c r="H529" s="446"/>
      <c r="I529" s="446"/>
      <c r="J529" s="446"/>
      <c r="K529" s="446"/>
      <c r="L529" s="446"/>
      <c r="M529" s="446"/>
      <c r="N529" s="447"/>
      <c r="O529" s="1760"/>
      <c r="P529" s="1760"/>
      <c r="Q529" s="1761"/>
      <c r="R529" s="1762"/>
      <c r="S529" s="1762"/>
      <c r="T529" s="1762"/>
    </row>
    <row r="530" spans="3:20" s="158" customFormat="1">
      <c r="C530" s="446"/>
      <c r="D530" s="446"/>
      <c r="E530" s="446"/>
      <c r="F530" s="446"/>
      <c r="G530" s="1763"/>
      <c r="H530" s="446"/>
      <c r="I530" s="446"/>
      <c r="J530" s="446"/>
      <c r="K530" s="446"/>
      <c r="L530" s="446"/>
      <c r="M530" s="446"/>
      <c r="N530" s="447"/>
      <c r="O530" s="1760"/>
      <c r="P530" s="1760"/>
      <c r="Q530" s="1761"/>
      <c r="R530" s="1762"/>
      <c r="S530" s="1762"/>
      <c r="T530" s="1762"/>
    </row>
    <row r="531" spans="3:20" s="158" customFormat="1">
      <c r="C531" s="446"/>
      <c r="D531" s="446"/>
      <c r="E531" s="446"/>
      <c r="F531" s="446"/>
      <c r="G531" s="1763"/>
      <c r="H531" s="446"/>
      <c r="I531" s="446"/>
      <c r="J531" s="446"/>
      <c r="K531" s="446"/>
      <c r="L531" s="446"/>
      <c r="M531" s="446"/>
      <c r="N531" s="447"/>
      <c r="O531" s="1760"/>
      <c r="P531" s="1760"/>
      <c r="Q531" s="1761"/>
      <c r="R531" s="1762"/>
      <c r="S531" s="1762"/>
      <c r="T531" s="1762"/>
    </row>
    <row r="532" spans="3:20" s="158" customFormat="1">
      <c r="C532" s="446"/>
      <c r="D532" s="446"/>
      <c r="E532" s="446"/>
      <c r="F532" s="446"/>
      <c r="G532" s="1763"/>
      <c r="H532" s="446"/>
      <c r="I532" s="446"/>
      <c r="J532" s="446"/>
      <c r="K532" s="446"/>
      <c r="L532" s="446"/>
      <c r="M532" s="446"/>
      <c r="N532" s="447"/>
      <c r="O532" s="1760"/>
      <c r="P532" s="1760"/>
      <c r="Q532" s="1761"/>
      <c r="R532" s="1762"/>
      <c r="S532" s="1762"/>
      <c r="T532" s="1762"/>
    </row>
    <row r="533" spans="3:20" s="158" customFormat="1">
      <c r="C533" s="446"/>
      <c r="D533" s="446"/>
      <c r="E533" s="446"/>
      <c r="F533" s="446"/>
      <c r="G533" s="1763"/>
      <c r="H533" s="446"/>
      <c r="I533" s="446"/>
      <c r="J533" s="446"/>
      <c r="K533" s="446"/>
      <c r="L533" s="446"/>
      <c r="M533" s="446"/>
      <c r="N533" s="447"/>
      <c r="O533" s="1760"/>
      <c r="P533" s="1760"/>
      <c r="Q533" s="1761"/>
      <c r="R533" s="1762"/>
      <c r="S533" s="1762"/>
      <c r="T533" s="1762"/>
    </row>
    <row r="534" spans="3:20" s="158" customFormat="1">
      <c r="C534" s="1762"/>
      <c r="D534" s="1762"/>
      <c r="E534" s="1762"/>
      <c r="F534" s="1762"/>
      <c r="G534" s="1763"/>
      <c r="H534" s="1762"/>
      <c r="I534" s="1762"/>
      <c r="J534" s="1762"/>
      <c r="K534" s="1762"/>
      <c r="L534" s="1762"/>
      <c r="M534" s="1762"/>
      <c r="N534" s="1776"/>
      <c r="O534" s="1777"/>
      <c r="P534" s="1777"/>
      <c r="Q534" s="1762"/>
      <c r="R534" s="1762"/>
      <c r="S534" s="1762"/>
      <c r="T534" s="1762"/>
    </row>
    <row r="535" spans="3:20" s="158" customFormat="1">
      <c r="C535" s="1762"/>
      <c r="D535" s="1762"/>
      <c r="E535" s="1762"/>
      <c r="F535" s="1762"/>
      <c r="G535" s="1763"/>
      <c r="H535" s="1762"/>
      <c r="I535" s="1762"/>
      <c r="J535" s="1762"/>
      <c r="K535" s="1762"/>
      <c r="L535" s="1762"/>
      <c r="M535" s="1762"/>
      <c r="N535" s="1776"/>
      <c r="O535" s="1777"/>
      <c r="P535" s="1777"/>
      <c r="Q535" s="1762"/>
      <c r="R535" s="1762"/>
      <c r="S535" s="1762"/>
      <c r="T535" s="1762"/>
    </row>
    <row r="536" spans="3:20" s="158" customFormat="1">
      <c r="C536" s="1762"/>
      <c r="D536" s="1762"/>
      <c r="E536" s="1762"/>
      <c r="F536" s="1762"/>
      <c r="G536" s="1763"/>
      <c r="H536" s="1762"/>
      <c r="I536" s="1762"/>
      <c r="J536" s="1762"/>
      <c r="K536" s="1762"/>
      <c r="L536" s="1762"/>
      <c r="M536" s="1762"/>
      <c r="N536" s="1776"/>
      <c r="O536" s="1777"/>
      <c r="P536" s="1777"/>
      <c r="Q536" s="1762"/>
      <c r="R536" s="1762"/>
      <c r="S536" s="1762"/>
      <c r="T536" s="1762"/>
    </row>
    <row r="537" spans="3:20" s="158" customFormat="1">
      <c r="C537" s="1762"/>
      <c r="D537" s="1762"/>
      <c r="E537" s="1762"/>
      <c r="F537" s="1762"/>
      <c r="G537" s="1769"/>
      <c r="H537" s="1762"/>
      <c r="I537" s="1762"/>
      <c r="J537" s="1762"/>
      <c r="K537" s="1762"/>
      <c r="L537" s="1762"/>
      <c r="M537" s="1762"/>
      <c r="N537" s="1776"/>
      <c r="O537" s="1777"/>
      <c r="P537" s="1777"/>
      <c r="Q537" s="1762"/>
      <c r="R537" s="1762"/>
      <c r="S537" s="1762"/>
      <c r="T537" s="1762"/>
    </row>
    <row r="538" spans="3:20" s="158" customFormat="1">
      <c r="C538" s="1762"/>
      <c r="D538" s="1762"/>
      <c r="E538" s="1762"/>
      <c r="F538" s="1762"/>
      <c r="G538" s="1769"/>
      <c r="H538" s="1762"/>
      <c r="I538" s="1762"/>
      <c r="J538" s="1762"/>
      <c r="K538" s="1762"/>
      <c r="L538" s="1762"/>
      <c r="M538" s="1762"/>
      <c r="N538" s="1776"/>
      <c r="O538" s="1777"/>
      <c r="P538" s="1777"/>
      <c r="Q538" s="1762"/>
      <c r="R538" s="1762"/>
      <c r="S538" s="1762"/>
      <c r="T538" s="1762"/>
    </row>
    <row r="539" spans="3:20" s="158" customFormat="1">
      <c r="C539" s="1762"/>
      <c r="D539" s="1762"/>
      <c r="E539" s="1762"/>
      <c r="F539" s="1762"/>
      <c r="G539" s="1769"/>
      <c r="H539" s="1762"/>
      <c r="I539" s="1762"/>
      <c r="J539" s="1762"/>
      <c r="K539" s="1762"/>
      <c r="L539" s="1762"/>
      <c r="M539" s="1762"/>
      <c r="N539" s="1776"/>
      <c r="O539" s="1777"/>
      <c r="P539" s="1777"/>
      <c r="Q539" s="1762"/>
      <c r="R539" s="1762"/>
      <c r="S539" s="1762"/>
      <c r="T539" s="1762"/>
    </row>
    <row r="540" spans="3:20" s="158" customFormat="1">
      <c r="C540" s="1762"/>
      <c r="D540" s="1762"/>
      <c r="E540" s="1762"/>
      <c r="F540" s="1762"/>
      <c r="G540" s="1761"/>
      <c r="H540" s="1762"/>
      <c r="I540" s="1762"/>
      <c r="J540" s="1762"/>
      <c r="K540" s="1762"/>
      <c r="L540" s="1762"/>
      <c r="M540" s="1762"/>
      <c r="N540" s="1776"/>
      <c r="O540" s="1777"/>
      <c r="P540" s="1777"/>
      <c r="Q540" s="1762"/>
      <c r="R540" s="1762"/>
      <c r="S540" s="1762"/>
      <c r="T540" s="1762"/>
    </row>
    <row r="541" spans="3:20" s="158" customFormat="1">
      <c r="C541" s="1762"/>
      <c r="D541" s="1762"/>
      <c r="E541" s="1762"/>
      <c r="F541" s="1762"/>
      <c r="G541" s="1761"/>
      <c r="H541" s="1762"/>
      <c r="I541" s="1762"/>
      <c r="J541" s="1762"/>
      <c r="K541" s="1762"/>
      <c r="L541" s="1762"/>
      <c r="M541" s="1762"/>
      <c r="N541" s="1776"/>
      <c r="O541" s="1777"/>
      <c r="P541" s="1777"/>
      <c r="Q541" s="1762"/>
      <c r="R541" s="1762"/>
      <c r="S541" s="1762"/>
      <c r="T541" s="1762"/>
    </row>
    <row r="542" spans="3:20" s="158" customFormat="1">
      <c r="C542" s="1762"/>
      <c r="D542" s="1762"/>
      <c r="E542" s="1762"/>
      <c r="F542" s="1762"/>
      <c r="G542" s="1761"/>
      <c r="H542" s="1762"/>
      <c r="I542" s="1762"/>
      <c r="J542" s="1762"/>
      <c r="K542" s="1762"/>
      <c r="L542" s="1762"/>
      <c r="M542" s="1762"/>
      <c r="N542" s="1776"/>
      <c r="O542" s="1777"/>
      <c r="P542" s="1777"/>
      <c r="Q542" s="1762"/>
      <c r="R542" s="1762"/>
      <c r="S542" s="1762"/>
      <c r="T542" s="1762"/>
    </row>
    <row r="543" spans="3:20" s="158" customFormat="1">
      <c r="C543" s="1762"/>
      <c r="D543" s="1762"/>
      <c r="E543" s="1762"/>
      <c r="F543" s="1762"/>
      <c r="G543" s="1761"/>
      <c r="H543" s="1762"/>
      <c r="I543" s="1762"/>
      <c r="J543" s="1762"/>
      <c r="K543" s="1762"/>
      <c r="L543" s="1762"/>
      <c r="M543" s="1762"/>
      <c r="N543" s="1776"/>
      <c r="O543" s="1777"/>
      <c r="P543" s="1777"/>
      <c r="Q543" s="1762"/>
      <c r="R543" s="1762"/>
      <c r="S543" s="1762"/>
      <c r="T543" s="1762"/>
    </row>
    <row r="544" spans="3:20" s="158" customFormat="1">
      <c r="C544" s="1762"/>
      <c r="D544" s="1762"/>
      <c r="E544" s="1762"/>
      <c r="F544" s="1762"/>
      <c r="G544" s="1761"/>
      <c r="H544" s="1762"/>
      <c r="I544" s="1762"/>
      <c r="J544" s="1762"/>
      <c r="K544" s="1762"/>
      <c r="L544" s="1762"/>
      <c r="M544" s="1762"/>
      <c r="N544" s="1776"/>
      <c r="O544" s="1777"/>
      <c r="P544" s="1777"/>
      <c r="Q544" s="1762"/>
      <c r="R544" s="1762"/>
      <c r="S544" s="1762"/>
      <c r="T544" s="1762"/>
    </row>
    <row r="545" spans="3:20" s="158" customFormat="1">
      <c r="C545" s="1762"/>
      <c r="D545" s="1762"/>
      <c r="E545" s="1762"/>
      <c r="F545" s="1762"/>
      <c r="G545" s="1761"/>
      <c r="H545" s="1762"/>
      <c r="I545" s="1762"/>
      <c r="J545" s="1762"/>
      <c r="K545" s="1762"/>
      <c r="L545" s="1762"/>
      <c r="M545" s="1762"/>
      <c r="N545" s="1776"/>
      <c r="O545" s="1777"/>
      <c r="P545" s="1777"/>
      <c r="Q545" s="1762"/>
      <c r="R545" s="1762"/>
      <c r="S545" s="1762"/>
      <c r="T545" s="1762"/>
    </row>
    <row r="546" spans="3:20" s="158" customFormat="1">
      <c r="C546" s="1762"/>
      <c r="D546" s="1762"/>
      <c r="E546" s="1762"/>
      <c r="F546" s="1762"/>
      <c r="G546" s="1761"/>
      <c r="H546" s="1762"/>
      <c r="I546" s="1762"/>
      <c r="J546" s="1762"/>
      <c r="K546" s="1762"/>
      <c r="L546" s="1762"/>
      <c r="M546" s="1762"/>
      <c r="N546" s="1776"/>
      <c r="O546" s="1777"/>
      <c r="P546" s="1777"/>
      <c r="Q546" s="1762"/>
      <c r="R546" s="1762"/>
      <c r="S546" s="1762"/>
      <c r="T546" s="1762"/>
    </row>
    <row r="547" spans="3:20" s="158" customFormat="1">
      <c r="C547" s="1762"/>
      <c r="D547" s="1762"/>
      <c r="E547" s="1762"/>
      <c r="F547" s="1762"/>
      <c r="G547" s="1761"/>
      <c r="H547" s="1762"/>
      <c r="I547" s="1762"/>
      <c r="J547" s="1762"/>
      <c r="K547" s="1762"/>
      <c r="L547" s="1762"/>
      <c r="M547" s="1762"/>
      <c r="N547" s="1776"/>
      <c r="O547" s="1777"/>
      <c r="P547" s="1777"/>
      <c r="Q547" s="1762"/>
      <c r="R547" s="1762"/>
      <c r="S547" s="1762"/>
      <c r="T547" s="1762"/>
    </row>
    <row r="548" spans="3:20" s="158" customFormat="1">
      <c r="C548" s="1762"/>
      <c r="D548" s="1762"/>
      <c r="E548" s="1762"/>
      <c r="F548" s="1762"/>
      <c r="G548" s="1762"/>
      <c r="H548" s="1762"/>
      <c r="I548" s="1762"/>
      <c r="J548" s="1762"/>
      <c r="K548" s="1762"/>
      <c r="L548" s="1762"/>
      <c r="M548" s="1762"/>
      <c r="N548" s="1776"/>
      <c r="O548" s="1777"/>
      <c r="P548" s="1777"/>
      <c r="Q548" s="1762"/>
      <c r="R548" s="1762"/>
      <c r="S548" s="1762"/>
      <c r="T548" s="1762"/>
    </row>
    <row r="549" spans="3:20" s="158" customFormat="1">
      <c r="C549" s="1762"/>
      <c r="D549" s="1762"/>
      <c r="E549" s="1762"/>
      <c r="F549" s="1762"/>
      <c r="G549" s="1762"/>
      <c r="H549" s="1762"/>
      <c r="I549" s="1762"/>
      <c r="J549" s="1762"/>
      <c r="K549" s="1762"/>
      <c r="L549" s="1762"/>
      <c r="M549" s="1762"/>
      <c r="N549" s="1776"/>
      <c r="O549" s="1777"/>
      <c r="P549" s="1777"/>
      <c r="Q549" s="1762"/>
      <c r="R549" s="1762"/>
      <c r="S549" s="1762"/>
      <c r="T549" s="1762"/>
    </row>
    <row r="550" spans="3:20" s="158" customFormat="1">
      <c r="C550" s="1762"/>
      <c r="D550" s="1762"/>
      <c r="E550" s="1762"/>
      <c r="F550" s="1762"/>
      <c r="G550" s="1762"/>
      <c r="H550" s="1762"/>
      <c r="I550" s="1762"/>
      <c r="J550" s="1762"/>
      <c r="K550" s="1762"/>
      <c r="L550" s="1762"/>
      <c r="M550" s="1762"/>
      <c r="N550" s="1776"/>
      <c r="O550" s="1777"/>
      <c r="P550" s="1777"/>
      <c r="Q550" s="1762"/>
      <c r="R550" s="1762"/>
      <c r="S550" s="1762"/>
      <c r="T550" s="1762"/>
    </row>
    <row r="551" spans="3:20" s="158" customFormat="1">
      <c r="C551" s="1762"/>
      <c r="D551" s="1762"/>
      <c r="E551" s="1762"/>
      <c r="F551" s="1762"/>
      <c r="G551" s="1762"/>
      <c r="H551" s="1762"/>
      <c r="I551" s="1762"/>
      <c r="J551" s="1762"/>
      <c r="K551" s="1762"/>
      <c r="L551" s="1762"/>
      <c r="M551" s="1762"/>
      <c r="N551" s="1776"/>
      <c r="O551" s="1777"/>
      <c r="P551" s="1777"/>
      <c r="Q551" s="1762"/>
      <c r="R551" s="1762"/>
      <c r="S551" s="1762"/>
      <c r="T551" s="1762"/>
    </row>
    <row r="552" spans="3:20" s="158" customFormat="1">
      <c r="C552" s="1762"/>
      <c r="D552" s="1762"/>
      <c r="E552" s="1762"/>
      <c r="F552" s="1762"/>
      <c r="G552" s="1762"/>
      <c r="H552" s="1762"/>
      <c r="I552" s="1762"/>
      <c r="J552" s="1762"/>
      <c r="K552" s="1762"/>
      <c r="L552" s="1762"/>
      <c r="M552" s="1762"/>
      <c r="N552" s="1776"/>
      <c r="O552" s="1777"/>
      <c r="P552" s="1777"/>
      <c r="Q552" s="1762"/>
      <c r="R552" s="1762"/>
      <c r="S552" s="1762"/>
      <c r="T552" s="1762"/>
    </row>
    <row r="553" spans="3:20" s="158" customFormat="1">
      <c r="C553" s="1762"/>
      <c r="D553" s="1762"/>
      <c r="E553" s="1762"/>
      <c r="F553" s="1762"/>
      <c r="G553" s="1762"/>
      <c r="H553" s="1762"/>
      <c r="I553" s="1762"/>
      <c r="J553" s="1762"/>
      <c r="K553" s="1762"/>
      <c r="L553" s="1762"/>
      <c r="M553" s="1762"/>
      <c r="N553" s="1776"/>
      <c r="O553" s="1777"/>
      <c r="P553" s="1777"/>
      <c r="Q553" s="1762"/>
      <c r="R553" s="1762"/>
      <c r="S553" s="1762"/>
      <c r="T553" s="1762"/>
    </row>
    <row r="554" spans="3:20" s="158" customFormat="1">
      <c r="C554" s="1762"/>
      <c r="D554" s="1762"/>
      <c r="E554" s="1762"/>
      <c r="F554" s="1762"/>
      <c r="G554" s="1762"/>
      <c r="H554" s="1762"/>
      <c r="I554" s="1762"/>
      <c r="J554" s="1762"/>
      <c r="K554" s="1762"/>
      <c r="L554" s="1762"/>
      <c r="M554" s="1762"/>
      <c r="N554" s="1776"/>
      <c r="O554" s="1777"/>
      <c r="P554" s="1777"/>
      <c r="Q554" s="1762"/>
      <c r="R554" s="1762"/>
      <c r="S554" s="1762"/>
      <c r="T554" s="1762"/>
    </row>
    <row r="555" spans="3:20" s="158" customFormat="1">
      <c r="C555" s="1762"/>
      <c r="D555" s="1762"/>
      <c r="E555" s="1762"/>
      <c r="F555" s="1762"/>
      <c r="G555" s="1762"/>
      <c r="H555" s="1762"/>
      <c r="I555" s="1762"/>
      <c r="J555" s="1762"/>
      <c r="K555" s="1762"/>
      <c r="L555" s="1762"/>
      <c r="M555" s="1762"/>
      <c r="N555" s="1776"/>
      <c r="O555" s="1777"/>
      <c r="P555" s="1777"/>
      <c r="Q555" s="1762"/>
      <c r="R555" s="1762"/>
      <c r="S555" s="1762"/>
      <c r="T555" s="1762"/>
    </row>
    <row r="556" spans="3:20" s="158" customFormat="1">
      <c r="C556" s="1762"/>
      <c r="D556" s="1762"/>
      <c r="E556" s="1762"/>
      <c r="F556" s="1762"/>
      <c r="G556" s="1762"/>
      <c r="H556" s="1762"/>
      <c r="I556" s="1762"/>
      <c r="J556" s="1762"/>
      <c r="K556" s="1762"/>
      <c r="L556" s="1762"/>
      <c r="M556" s="1762"/>
      <c r="N556" s="1776"/>
      <c r="O556" s="1777"/>
      <c r="P556" s="1777"/>
      <c r="Q556" s="1762"/>
      <c r="R556" s="1762"/>
      <c r="S556" s="1762"/>
      <c r="T556" s="1762"/>
    </row>
    <row r="557" spans="3:20" s="158" customFormat="1">
      <c r="C557" s="1762"/>
      <c r="D557" s="1762"/>
      <c r="E557" s="1762"/>
      <c r="F557" s="1762"/>
      <c r="G557" s="1762"/>
      <c r="H557" s="1762"/>
      <c r="I557" s="1762"/>
      <c r="J557" s="1762"/>
      <c r="K557" s="1762"/>
      <c r="L557" s="1762"/>
      <c r="M557" s="1762"/>
      <c r="N557" s="1776"/>
      <c r="O557" s="1777"/>
      <c r="P557" s="1777"/>
      <c r="Q557" s="1762"/>
      <c r="R557" s="1762"/>
      <c r="S557" s="1762"/>
      <c r="T557" s="1762"/>
    </row>
    <row r="558" spans="3:20" s="158" customFormat="1">
      <c r="C558" s="1762"/>
      <c r="D558" s="1762"/>
      <c r="E558" s="1762"/>
      <c r="F558" s="1762"/>
      <c r="G558" s="1762"/>
      <c r="H558" s="1762"/>
      <c r="I558" s="1762"/>
      <c r="J558" s="1762"/>
      <c r="K558" s="1762"/>
      <c r="L558" s="1762"/>
      <c r="M558" s="1762"/>
      <c r="N558" s="1776"/>
      <c r="O558" s="1777"/>
      <c r="P558" s="1777"/>
      <c r="Q558" s="1762"/>
      <c r="R558" s="1762"/>
      <c r="S558" s="1762"/>
      <c r="T558" s="1762"/>
    </row>
    <row r="559" spans="3:20" s="158" customFormat="1">
      <c r="C559" s="1762"/>
      <c r="D559" s="1762"/>
      <c r="E559" s="1762"/>
      <c r="F559" s="1762"/>
      <c r="G559" s="1762"/>
      <c r="H559" s="1762"/>
      <c r="I559" s="1762"/>
      <c r="J559" s="1762"/>
      <c r="K559" s="1762"/>
      <c r="L559" s="1762"/>
      <c r="M559" s="1762"/>
      <c r="N559" s="1776"/>
      <c r="O559" s="1777"/>
      <c r="P559" s="1777"/>
      <c r="Q559" s="1762"/>
      <c r="R559" s="1762"/>
      <c r="S559" s="1762"/>
      <c r="T559" s="1762"/>
    </row>
    <row r="560" spans="3:20" s="158" customFormat="1">
      <c r="C560" s="1762"/>
      <c r="D560" s="1762"/>
      <c r="E560" s="1762"/>
      <c r="F560" s="1762"/>
      <c r="G560" s="1762"/>
      <c r="H560" s="1762"/>
      <c r="I560" s="1762"/>
      <c r="J560" s="1762"/>
      <c r="K560" s="1762"/>
      <c r="L560" s="1762"/>
      <c r="M560" s="1762"/>
      <c r="N560" s="1776"/>
      <c r="O560" s="1777"/>
      <c r="P560" s="1777"/>
      <c r="Q560" s="1762"/>
      <c r="R560" s="1762"/>
      <c r="S560" s="1762"/>
      <c r="T560" s="1762"/>
    </row>
    <row r="561" spans="3:20" s="158" customFormat="1">
      <c r="C561" s="1762"/>
      <c r="D561" s="1762"/>
      <c r="E561" s="1762"/>
      <c r="F561" s="1762"/>
      <c r="G561" s="1762"/>
      <c r="H561" s="1762"/>
      <c r="I561" s="1762"/>
      <c r="J561" s="1762"/>
      <c r="K561" s="1762"/>
      <c r="L561" s="1762"/>
      <c r="M561" s="1762"/>
      <c r="N561" s="1776"/>
      <c r="O561" s="1777"/>
      <c r="P561" s="1777"/>
      <c r="Q561" s="1762"/>
      <c r="R561" s="1762"/>
      <c r="S561" s="1762"/>
      <c r="T561" s="1762"/>
    </row>
    <row r="562" spans="3:20" s="158" customFormat="1">
      <c r="C562" s="1762"/>
      <c r="D562" s="1762"/>
      <c r="E562" s="1762"/>
      <c r="F562" s="1762"/>
      <c r="G562" s="1762"/>
      <c r="H562" s="1762"/>
      <c r="I562" s="1762"/>
      <c r="J562" s="1762"/>
      <c r="K562" s="1762"/>
      <c r="L562" s="1762"/>
      <c r="M562" s="1762"/>
      <c r="N562" s="1776"/>
      <c r="O562" s="1777"/>
      <c r="P562" s="1777"/>
      <c r="Q562" s="1762"/>
      <c r="R562" s="1762"/>
      <c r="S562" s="1762"/>
      <c r="T562" s="1762"/>
    </row>
    <row r="563" spans="3:20" s="158" customFormat="1">
      <c r="C563" s="1762"/>
      <c r="D563" s="1762"/>
      <c r="E563" s="1762"/>
      <c r="F563" s="1762"/>
      <c r="G563" s="1762"/>
      <c r="H563" s="1762"/>
      <c r="I563" s="1762"/>
      <c r="J563" s="1762"/>
      <c r="K563" s="1762"/>
      <c r="L563" s="1762"/>
      <c r="M563" s="1762"/>
      <c r="N563" s="1776"/>
      <c r="O563" s="1777"/>
      <c r="P563" s="1777"/>
      <c r="Q563" s="1762"/>
      <c r="R563" s="1762"/>
      <c r="S563" s="1762"/>
      <c r="T563" s="1762"/>
    </row>
    <row r="564" spans="3:20">
      <c r="C564" s="1762"/>
      <c r="D564" s="1762"/>
      <c r="E564" s="1762"/>
      <c r="F564" s="1762"/>
      <c r="G564" s="1762"/>
      <c r="H564" s="1762"/>
      <c r="I564" s="1762"/>
      <c r="J564" s="1762"/>
      <c r="K564" s="1762"/>
      <c r="L564" s="1762"/>
      <c r="M564" s="1762"/>
      <c r="N564" s="1776"/>
      <c r="O564" s="1777"/>
      <c r="P564" s="1777"/>
      <c r="Q564" s="1762"/>
      <c r="R564" s="1762"/>
      <c r="S564" s="1762"/>
      <c r="T564" s="1762"/>
    </row>
    <row r="565" spans="3:20">
      <c r="C565" s="1762"/>
      <c r="D565" s="1762"/>
      <c r="E565" s="1762"/>
      <c r="F565" s="1762"/>
      <c r="G565" s="1762"/>
      <c r="H565" s="1762"/>
      <c r="I565" s="1762"/>
      <c r="J565" s="1762"/>
      <c r="K565" s="1762"/>
      <c r="L565" s="1762"/>
      <c r="M565" s="1762"/>
      <c r="N565" s="1776"/>
      <c r="O565" s="1777"/>
      <c r="P565" s="1777"/>
      <c r="Q565" s="1762"/>
      <c r="R565" s="1762"/>
      <c r="S565" s="1762"/>
      <c r="T565" s="1762"/>
    </row>
    <row r="566" spans="3:20">
      <c r="C566" s="1762"/>
      <c r="D566" s="1762"/>
      <c r="E566" s="1762"/>
      <c r="F566" s="1762"/>
      <c r="G566" s="1762"/>
      <c r="H566" s="1762"/>
      <c r="I566" s="1762"/>
      <c r="J566" s="1762"/>
      <c r="K566" s="1762"/>
      <c r="L566" s="1762"/>
      <c r="M566" s="1762"/>
      <c r="N566" s="1776"/>
      <c r="O566" s="1777"/>
      <c r="P566" s="1777"/>
      <c r="Q566" s="1762"/>
      <c r="R566" s="1762"/>
      <c r="S566" s="1762"/>
      <c r="T566" s="1762"/>
    </row>
    <row r="567" spans="3:20">
      <c r="C567" s="1762"/>
      <c r="D567" s="1762"/>
      <c r="E567" s="1762"/>
      <c r="F567" s="1762"/>
      <c r="G567" s="1762"/>
      <c r="H567" s="1762"/>
      <c r="I567" s="1762"/>
      <c r="J567" s="1762"/>
      <c r="K567" s="1762"/>
      <c r="L567" s="1762"/>
      <c r="M567" s="1762"/>
      <c r="N567" s="1776"/>
      <c r="O567" s="1777"/>
      <c r="P567" s="1777"/>
      <c r="Q567" s="1762"/>
      <c r="R567" s="1762"/>
      <c r="S567" s="1762"/>
      <c r="T567" s="1762"/>
    </row>
    <row r="568" spans="3:20">
      <c r="C568" s="1762"/>
      <c r="D568" s="1762"/>
      <c r="E568" s="1762"/>
      <c r="F568" s="1762"/>
      <c r="G568" s="1762"/>
      <c r="H568" s="1762"/>
      <c r="I568" s="1762"/>
      <c r="J568" s="1762"/>
      <c r="K568" s="1762"/>
      <c r="L568" s="1762"/>
      <c r="M568" s="1762"/>
      <c r="N568" s="1776"/>
      <c r="O568" s="1777"/>
      <c r="P568" s="1777"/>
      <c r="Q568" s="1762"/>
      <c r="R568" s="1762"/>
      <c r="S568" s="1762"/>
      <c r="T568" s="1762"/>
    </row>
    <row r="569" spans="3:20">
      <c r="C569" s="1762"/>
      <c r="D569" s="1762"/>
      <c r="E569" s="1762"/>
      <c r="F569" s="1762"/>
      <c r="G569" s="1762"/>
      <c r="H569" s="1762"/>
      <c r="I569" s="1762"/>
      <c r="J569" s="1762"/>
      <c r="K569" s="1762"/>
      <c r="L569" s="1762"/>
      <c r="M569" s="1762"/>
      <c r="N569" s="1776"/>
      <c r="O569" s="1777"/>
      <c r="P569" s="1777"/>
      <c r="Q569" s="1762"/>
      <c r="R569" s="1762"/>
      <c r="S569" s="1762"/>
      <c r="T569" s="1762"/>
    </row>
    <row r="570" spans="3:20">
      <c r="C570" s="1762"/>
      <c r="D570" s="1762"/>
      <c r="E570" s="1762"/>
      <c r="F570" s="1762"/>
      <c r="G570" s="1762"/>
      <c r="H570" s="1762"/>
      <c r="I570" s="1762"/>
      <c r="J570" s="1762"/>
      <c r="K570" s="1762"/>
      <c r="L570" s="1762"/>
      <c r="M570" s="1762"/>
      <c r="N570" s="1776"/>
      <c r="O570" s="1777"/>
      <c r="P570" s="1777"/>
      <c r="Q570" s="1762"/>
      <c r="R570" s="1762"/>
      <c r="S570" s="1762"/>
      <c r="T570" s="1762"/>
    </row>
    <row r="571" spans="3:20">
      <c r="C571" s="1762"/>
      <c r="D571" s="1762"/>
      <c r="E571" s="1762"/>
      <c r="F571" s="1762"/>
      <c r="G571" s="1762"/>
      <c r="H571" s="1762"/>
      <c r="I571" s="1762"/>
      <c r="J571" s="1762"/>
      <c r="K571" s="1762"/>
      <c r="L571" s="1762"/>
      <c r="M571" s="1762"/>
      <c r="N571" s="1776"/>
      <c r="O571" s="1777"/>
      <c r="P571" s="1777"/>
      <c r="Q571" s="1762"/>
      <c r="R571" s="1762"/>
      <c r="S571" s="1762"/>
      <c r="T571" s="1762"/>
    </row>
    <row r="572" spans="3:20">
      <c r="C572" s="1762"/>
      <c r="D572" s="1762"/>
      <c r="E572" s="1762"/>
      <c r="F572" s="1762"/>
      <c r="G572" s="1762"/>
      <c r="H572" s="1762"/>
      <c r="I572" s="1762"/>
      <c r="J572" s="1762"/>
      <c r="K572" s="1762"/>
      <c r="L572" s="1762"/>
      <c r="M572" s="1762"/>
      <c r="N572" s="1776"/>
      <c r="O572" s="1777"/>
      <c r="P572" s="1777"/>
      <c r="Q572" s="1762"/>
      <c r="R572" s="1762"/>
      <c r="S572" s="1762"/>
      <c r="T572" s="1762"/>
    </row>
    <row r="573" spans="3:20">
      <c r="G573" s="158"/>
    </row>
    <row r="574" spans="3:20">
      <c r="G574" s="158"/>
    </row>
  </sheetData>
  <sheetProtection algorithmName="SHA-512" hashValue="gkWVY/gbYoxCmpSXm9WFXwKnkYu+fYXZytVVetiG+5Js57QGdcsGuExPf2WcAjZ7JSLbUQzZpF5P774H4NRaJA==" saltValue="0KjQZsJLgvwmKU4fA0mI9g==" spinCount="100000" sheet="1" objects="1" scenarios="1" selectLockedCells="1" selectUnlockedCells="1"/>
  <mergeCells count="333">
    <mergeCell ref="A449:P449"/>
    <mergeCell ref="R364:S367"/>
    <mergeCell ref="R316:V318"/>
    <mergeCell ref="G469:I469"/>
    <mergeCell ref="R293:V296"/>
    <mergeCell ref="R233:U246"/>
    <mergeCell ref="E244:G244"/>
    <mergeCell ref="K244:O244"/>
    <mergeCell ref="J226:K226"/>
    <mergeCell ref="G226:H226"/>
    <mergeCell ref="L226:M226"/>
    <mergeCell ref="J399:K399"/>
    <mergeCell ref="L323:L327"/>
    <mergeCell ref="A312:P312"/>
    <mergeCell ref="C249:M249"/>
    <mergeCell ref="Q269:R272"/>
    <mergeCell ref="A361:P361"/>
    <mergeCell ref="B341:L341"/>
    <mergeCell ref="A375:P375"/>
    <mergeCell ref="A377:P377"/>
    <mergeCell ref="M393:P393"/>
    <mergeCell ref="M389:P389"/>
    <mergeCell ref="J392:K392"/>
    <mergeCell ref="E243:I243"/>
    <mergeCell ref="R301:V302"/>
    <mergeCell ref="S265:U274"/>
    <mergeCell ref="D222:P222"/>
    <mergeCell ref="B222:C222"/>
    <mergeCell ref="A222:A224"/>
    <mergeCell ref="T177:X177"/>
    <mergeCell ref="T179:X179"/>
    <mergeCell ref="T181:X181"/>
    <mergeCell ref="T176:X176"/>
    <mergeCell ref="T178:X178"/>
    <mergeCell ref="A281:P281"/>
    <mergeCell ref="K286:L286"/>
    <mergeCell ref="A291:P291"/>
    <mergeCell ref="F176:F177"/>
    <mergeCell ref="B177:D177"/>
    <mergeCell ref="O179:P179"/>
    <mergeCell ref="A297:P297"/>
    <mergeCell ref="M207:P207"/>
    <mergeCell ref="K243:O243"/>
    <mergeCell ref="A230:P230"/>
    <mergeCell ref="R193:U208"/>
    <mergeCell ref="A189:P189"/>
    <mergeCell ref="L225:M225"/>
    <mergeCell ref="B224:C224"/>
    <mergeCell ref="D224:P224"/>
    <mergeCell ref="B179:D179"/>
    <mergeCell ref="B223:C223"/>
    <mergeCell ref="K218:N219"/>
    <mergeCell ref="O220:P220"/>
    <mergeCell ref="J217:L217"/>
    <mergeCell ref="Q10:V11"/>
    <mergeCell ref="R74:U85"/>
    <mergeCell ref="J82:K82"/>
    <mergeCell ref="L126:N126"/>
    <mergeCell ref="O128:P128"/>
    <mergeCell ref="C125:K125"/>
    <mergeCell ref="L125:N125"/>
    <mergeCell ref="O125:P125"/>
    <mergeCell ref="O126:P126"/>
    <mergeCell ref="C126:K126"/>
    <mergeCell ref="C99:H99"/>
    <mergeCell ref="C98:H98"/>
    <mergeCell ref="F84:G84"/>
    <mergeCell ref="J84:K84"/>
    <mergeCell ref="Q12:S23"/>
    <mergeCell ref="I97:L98"/>
    <mergeCell ref="J81:M81"/>
    <mergeCell ref="J85:K85"/>
    <mergeCell ref="A38:E38"/>
    <mergeCell ref="A40:E40"/>
    <mergeCell ref="G40:I40"/>
    <mergeCell ref="K40:N40"/>
    <mergeCell ref="A70:P70"/>
    <mergeCell ref="F81:I81"/>
    <mergeCell ref="O81:P81"/>
    <mergeCell ref="L82:M82"/>
    <mergeCell ref="F82:G82"/>
    <mergeCell ref="H82:I82"/>
    <mergeCell ref="O40:P40"/>
    <mergeCell ref="A41:E41"/>
    <mergeCell ref="O45:P45"/>
    <mergeCell ref="A45:E45"/>
    <mergeCell ref="O41:P41"/>
    <mergeCell ref="K41:N41"/>
    <mergeCell ref="A44:E44"/>
    <mergeCell ref="G44:I44"/>
    <mergeCell ref="K44:N44"/>
    <mergeCell ref="O44:P44"/>
    <mergeCell ref="A42:E42"/>
    <mergeCell ref="G42:I42"/>
    <mergeCell ref="K42:N42"/>
    <mergeCell ref="O42:P42"/>
    <mergeCell ref="F13:O13"/>
    <mergeCell ref="F17:O17"/>
    <mergeCell ref="F20:O20"/>
    <mergeCell ref="L95:L96"/>
    <mergeCell ref="G38:I38"/>
    <mergeCell ref="K38:N38"/>
    <mergeCell ref="O38:P38"/>
    <mergeCell ref="F15:O15"/>
    <mergeCell ref="F16:O16"/>
    <mergeCell ref="F18:O18"/>
    <mergeCell ref="F19:O19"/>
    <mergeCell ref="F21:O21"/>
    <mergeCell ref="C100:H100"/>
    <mergeCell ref="G47:I47"/>
    <mergeCell ref="A48:E48"/>
    <mergeCell ref="G48:I48"/>
    <mergeCell ref="I67:L69"/>
    <mergeCell ref="A62:P62"/>
    <mergeCell ref="I64:K64"/>
    <mergeCell ref="A43:E43"/>
    <mergeCell ref="A109:P109"/>
    <mergeCell ref="C103:H104"/>
    <mergeCell ref="A47:E47"/>
    <mergeCell ref="K43:N43"/>
    <mergeCell ref="O43:P43"/>
    <mergeCell ref="G45:I45"/>
    <mergeCell ref="K45:N45"/>
    <mergeCell ref="A39:E39"/>
    <mergeCell ref="G39:I39"/>
    <mergeCell ref="K39:N39"/>
    <mergeCell ref="O39:P39"/>
    <mergeCell ref="G41:I41"/>
    <mergeCell ref="H58:I58"/>
    <mergeCell ref="L55:L56"/>
    <mergeCell ref="G43:I43"/>
    <mergeCell ref="A1:P1"/>
    <mergeCell ref="A3:L4"/>
    <mergeCell ref="O36:P36"/>
    <mergeCell ref="A37:E37"/>
    <mergeCell ref="G37:I37"/>
    <mergeCell ref="K37:N37"/>
    <mergeCell ref="O37:P37"/>
    <mergeCell ref="A35:E36"/>
    <mergeCell ref="O35:P35"/>
    <mergeCell ref="G35:I36"/>
    <mergeCell ref="K35:N36"/>
    <mergeCell ref="F22:O22"/>
    <mergeCell ref="F23:O23"/>
    <mergeCell ref="F10:N10"/>
    <mergeCell ref="F11:O11"/>
    <mergeCell ref="F12:O12"/>
    <mergeCell ref="B6:F6"/>
    <mergeCell ref="C31:P31"/>
    <mergeCell ref="F14:O14"/>
    <mergeCell ref="A441:P441"/>
    <mergeCell ref="M390:P390"/>
    <mergeCell ref="J391:K391"/>
    <mergeCell ref="M391:P391"/>
    <mergeCell ref="J394:K394"/>
    <mergeCell ref="M394:P394"/>
    <mergeCell ref="M388:P388"/>
    <mergeCell ref="L381:M383"/>
    <mergeCell ref="A431:P431"/>
    <mergeCell ref="J388:K388"/>
    <mergeCell ref="D417:I417"/>
    <mergeCell ref="A433:P433"/>
    <mergeCell ref="O423:P423"/>
    <mergeCell ref="O429:P429"/>
    <mergeCell ref="O428:P428"/>
    <mergeCell ref="M420:N421"/>
    <mergeCell ref="L305:P305"/>
    <mergeCell ref="C384:M385"/>
    <mergeCell ref="J396:K396"/>
    <mergeCell ref="M396:P396"/>
    <mergeCell ref="J390:K390"/>
    <mergeCell ref="A448:P448"/>
    <mergeCell ref="B427:L429"/>
    <mergeCell ref="O427:P427"/>
    <mergeCell ref="B424:P424"/>
    <mergeCell ref="M399:P399"/>
    <mergeCell ref="J389:K389"/>
    <mergeCell ref="J402:K402"/>
    <mergeCell ref="O422:P422"/>
    <mergeCell ref="O421:P421"/>
    <mergeCell ref="C407:M407"/>
    <mergeCell ref="M404:P404"/>
    <mergeCell ref="J403:K403"/>
    <mergeCell ref="J404:K404"/>
    <mergeCell ref="M403:P403"/>
    <mergeCell ref="C402:E404"/>
    <mergeCell ref="B420:L423"/>
    <mergeCell ref="J397:K397"/>
    <mergeCell ref="J395:K395"/>
    <mergeCell ref="M397:P397"/>
    <mergeCell ref="M398:P398"/>
    <mergeCell ref="J398:K398"/>
    <mergeCell ref="A411:P411"/>
    <mergeCell ref="A413:P413"/>
    <mergeCell ref="M392:P392"/>
    <mergeCell ref="B325:K325"/>
    <mergeCell ref="B308:M308"/>
    <mergeCell ref="A329:P329"/>
    <mergeCell ref="A331:P331"/>
    <mergeCell ref="I365:L365"/>
    <mergeCell ref="A344:P344"/>
    <mergeCell ref="B339:L339"/>
    <mergeCell ref="A314:P314"/>
    <mergeCell ref="B318:L318"/>
    <mergeCell ref="J393:K393"/>
    <mergeCell ref="M395:P395"/>
    <mergeCell ref="A83:B85"/>
    <mergeCell ref="H85:I85"/>
    <mergeCell ref="F101:H101"/>
    <mergeCell ref="A107:P107"/>
    <mergeCell ref="F85:G85"/>
    <mergeCell ref="F83:G83"/>
    <mergeCell ref="H83:I83"/>
    <mergeCell ref="I90:L94"/>
    <mergeCell ref="L83:M83"/>
    <mergeCell ref="L85:M85"/>
    <mergeCell ref="H84:I84"/>
    <mergeCell ref="L84:M84"/>
    <mergeCell ref="C90:H90"/>
    <mergeCell ref="I95:K96"/>
    <mergeCell ref="C142:F142"/>
    <mergeCell ref="C143:F143"/>
    <mergeCell ref="G141:P141"/>
    <mergeCell ref="I99:L100"/>
    <mergeCell ref="C127:K127"/>
    <mergeCell ref="L124:N124"/>
    <mergeCell ref="O124:P124"/>
    <mergeCell ref="I101:L102"/>
    <mergeCell ref="C141:F141"/>
    <mergeCell ref="C133:E135"/>
    <mergeCell ref="L127:N127"/>
    <mergeCell ref="G142:P142"/>
    <mergeCell ref="C128:K128"/>
    <mergeCell ref="L128:N128"/>
    <mergeCell ref="B116:C116"/>
    <mergeCell ref="D116:P116"/>
    <mergeCell ref="B117:D117"/>
    <mergeCell ref="E117:P117"/>
    <mergeCell ref="D121:F121"/>
    <mergeCell ref="G121:P121"/>
    <mergeCell ref="O127:P127"/>
    <mergeCell ref="Q39:R42"/>
    <mergeCell ref="B53:L54"/>
    <mergeCell ref="C251:M251"/>
    <mergeCell ref="L273:M273"/>
    <mergeCell ref="B195:P195"/>
    <mergeCell ref="K46:N46"/>
    <mergeCell ref="K47:N47"/>
    <mergeCell ref="O47:P47"/>
    <mergeCell ref="K48:N48"/>
    <mergeCell ref="O48:P48"/>
    <mergeCell ref="O46:P46"/>
    <mergeCell ref="A46:E46"/>
    <mergeCell ref="A72:P72"/>
    <mergeCell ref="G46:I46"/>
    <mergeCell ref="B155:D156"/>
    <mergeCell ref="O157:P162"/>
    <mergeCell ref="B178:D178"/>
    <mergeCell ref="M205:P205"/>
    <mergeCell ref="G176:N176"/>
    <mergeCell ref="A228:P228"/>
    <mergeCell ref="C272:I274"/>
    <mergeCell ref="C258:L258"/>
    <mergeCell ref="C253:M253"/>
    <mergeCell ref="J83:K83"/>
    <mergeCell ref="C144:F144"/>
    <mergeCell ref="G143:P143"/>
    <mergeCell ref="H161:J161"/>
    <mergeCell ref="K161:K162"/>
    <mergeCell ref="C205:G205"/>
    <mergeCell ref="C210:L210"/>
    <mergeCell ref="G144:P144"/>
    <mergeCell ref="I155:L155"/>
    <mergeCell ref="J216:P216"/>
    <mergeCell ref="M159:M162"/>
    <mergeCell ref="M201:P201"/>
    <mergeCell ref="C199:I200"/>
    <mergeCell ref="M206:P206"/>
    <mergeCell ref="O178:P178"/>
    <mergeCell ref="O177:P177"/>
    <mergeCell ref="G179:N179"/>
    <mergeCell ref="G178:N178"/>
    <mergeCell ref="A148:P148"/>
    <mergeCell ref="A146:P146"/>
    <mergeCell ref="G177:N177"/>
    <mergeCell ref="C212:H213"/>
    <mergeCell ref="M199:P199"/>
    <mergeCell ref="A191:P191"/>
    <mergeCell ref="E176:E177"/>
    <mergeCell ref="Y159:AA159"/>
    <mergeCell ref="Q153:V159"/>
    <mergeCell ref="Q161:Q162"/>
    <mergeCell ref="S161:S162"/>
    <mergeCell ref="T161:T162"/>
    <mergeCell ref="T163:T172"/>
    <mergeCell ref="B166:D166"/>
    <mergeCell ref="B167:D167"/>
    <mergeCell ref="B168:D168"/>
    <mergeCell ref="V163:V172"/>
    <mergeCell ref="V161:V162"/>
    <mergeCell ref="L161:L162"/>
    <mergeCell ref="B164:D164"/>
    <mergeCell ref="B163:D163"/>
    <mergeCell ref="A161:G161"/>
    <mergeCell ref="U161:U162"/>
    <mergeCell ref="R161:R162"/>
    <mergeCell ref="B172:D172"/>
    <mergeCell ref="R163:R172"/>
    <mergeCell ref="B165:D165"/>
    <mergeCell ref="R386:S388"/>
    <mergeCell ref="B169:D169"/>
    <mergeCell ref="B170:D170"/>
    <mergeCell ref="B171:D171"/>
    <mergeCell ref="B303:M303"/>
    <mergeCell ref="R381:S383"/>
    <mergeCell ref="J252:K252"/>
    <mergeCell ref="A263:P263"/>
    <mergeCell ref="A267:A269"/>
    <mergeCell ref="A284:P284"/>
    <mergeCell ref="J302:K302"/>
    <mergeCell ref="A299:P299"/>
    <mergeCell ref="L304:P304"/>
    <mergeCell ref="Q303:T310"/>
    <mergeCell ref="A261:P261"/>
    <mergeCell ref="J225:K225"/>
    <mergeCell ref="G225:H225"/>
    <mergeCell ref="C247:M247"/>
    <mergeCell ref="D223:P223"/>
    <mergeCell ref="J271:J273"/>
    <mergeCell ref="K272:K273"/>
    <mergeCell ref="C254:M254"/>
    <mergeCell ref="M294:M295"/>
    <mergeCell ref="B342:L342"/>
  </mergeCells>
  <conditionalFormatting sqref="O150:P150 O152:P152">
    <cfRule type="cellIs" dxfId="135" priority="83" operator="greaterThan">
      <formula>M150</formula>
    </cfRule>
  </conditionalFormatting>
  <conditionalFormatting sqref="Q95">
    <cfRule type="cellIs" dxfId="134" priority="81" stopIfTrue="1" operator="equal">
      <formula>"* * Check Score! * *"</formula>
    </cfRule>
  </conditionalFormatting>
  <conditionalFormatting sqref="N364:N367">
    <cfRule type="cellIs" dxfId="133" priority="80" stopIfTrue="1" operator="equal">
      <formula>"* * Check Score! * *"</formula>
    </cfRule>
  </conditionalFormatting>
  <conditionalFormatting sqref="R350">
    <cfRule type="cellIs" dxfId="132" priority="72" stopIfTrue="1" operator="equal">
      <formula>"* * Check Score! * *"</formula>
    </cfRule>
  </conditionalFormatting>
  <conditionalFormatting sqref="F66">
    <cfRule type="expression" dxfId="131" priority="120">
      <formula>AND($O$265&gt;0,$O$265&lt;4,OR($I$265="Statutory Redevelopment Plan",$I$265="Redevelopment Zone",$I$265="Local Redevelopment Plan"))</formula>
    </cfRule>
  </conditionalFormatting>
  <conditionalFormatting sqref="O68">
    <cfRule type="cellIs" priority="57" operator="notEqual">
      <formula>$M68</formula>
    </cfRule>
  </conditionalFormatting>
  <conditionalFormatting sqref="O67">
    <cfRule type="cellIs" priority="58" operator="notEqual">
      <formula>$M67</formula>
    </cfRule>
  </conditionalFormatting>
  <conditionalFormatting sqref="L114">
    <cfRule type="cellIs" dxfId="130" priority="40" stopIfTrue="1" operator="equal">
      <formula>"* * Check Score! * *"</formula>
    </cfRule>
  </conditionalFormatting>
  <conditionalFormatting sqref="L338">
    <cfRule type="cellIs" dxfId="129" priority="47" stopIfTrue="1" operator="equal">
      <formula>"* * Check Score! * *"</formula>
    </cfRule>
  </conditionalFormatting>
  <conditionalFormatting sqref="L335:L336">
    <cfRule type="cellIs" dxfId="128" priority="46" stopIfTrue="1" operator="equal">
      <formula>"* * Check Score! * *"</formula>
    </cfRule>
  </conditionalFormatting>
  <conditionalFormatting sqref="L214">
    <cfRule type="cellIs" dxfId="127" priority="43" stopIfTrue="1" operator="equal">
      <formula>"* * Check Score! * *"</formula>
    </cfRule>
  </conditionalFormatting>
  <conditionalFormatting sqref="L211:L212">
    <cfRule type="cellIs" dxfId="126" priority="41" stopIfTrue="1" operator="equal">
      <formula>"* * Check Score! * *"</formula>
    </cfRule>
  </conditionalFormatting>
  <conditionalFormatting sqref="L386">
    <cfRule type="cellIs" dxfId="125" priority="39" stopIfTrue="1" operator="equal">
      <formula>"* * Check Score! * *"</formula>
    </cfRule>
  </conditionalFormatting>
  <conditionalFormatting sqref="L406">
    <cfRule type="cellIs" dxfId="124" priority="38" stopIfTrue="1" operator="equal">
      <formula>"* * Check Score! * *"</formula>
    </cfRule>
  </conditionalFormatting>
  <conditionalFormatting sqref="L379">
    <cfRule type="cellIs" dxfId="123" priority="37" stopIfTrue="1" operator="equal">
      <formula>"* * Check Score! * *"</formula>
    </cfRule>
  </conditionalFormatting>
  <conditionalFormatting sqref="R351">
    <cfRule type="cellIs" dxfId="122" priority="36" stopIfTrue="1" operator="equal">
      <formula>"* * Check Score! * *"</formula>
    </cfRule>
  </conditionalFormatting>
  <conditionalFormatting sqref="L131">
    <cfRule type="cellIs" dxfId="121" priority="31" stopIfTrue="1" operator="equal">
      <formula>"* * Check Score! * *"</formula>
    </cfRule>
  </conditionalFormatting>
  <conditionalFormatting sqref="L119">
    <cfRule type="cellIs" dxfId="120" priority="32" stopIfTrue="1" operator="equal">
      <formula>"* * Check Score! * *"</formula>
    </cfRule>
  </conditionalFormatting>
  <conditionalFormatting sqref="F235:F239">
    <cfRule type="expression" dxfId="119" priority="121">
      <formula>AND($O$130&gt;0,$O$130&lt;4,OR(#REF!="Statutory Redevelopment Plan",#REF!="Redevelopment Zone",#REF!="Local Redevelopment Plan"))</formula>
    </cfRule>
  </conditionalFormatting>
  <conditionalFormatting sqref="O55">
    <cfRule type="cellIs" dxfId="118" priority="30" operator="notEqual">
      <formula>$M55</formula>
    </cfRule>
  </conditionalFormatting>
  <conditionalFormatting sqref="L340">
    <cfRule type="cellIs" dxfId="117" priority="28" stopIfTrue="1" operator="equal">
      <formula>"* * Check Score! * *"</formula>
    </cfRule>
  </conditionalFormatting>
  <conditionalFormatting sqref="R352">
    <cfRule type="cellIs" dxfId="116" priority="27" stopIfTrue="1" operator="equal">
      <formula>"* * Check Score! * *"</formula>
    </cfRule>
  </conditionalFormatting>
  <conditionalFormatting sqref="R353">
    <cfRule type="cellIs" dxfId="115" priority="26" stopIfTrue="1" operator="equal">
      <formula>"* * Check Score! * *"</formula>
    </cfRule>
  </conditionalFormatting>
  <conditionalFormatting sqref="L55:L56">
    <cfRule type="containsText" dxfId="114" priority="25" operator="containsText" text="CHOOSE EITHER A OR B, NOT BOTH!">
      <formula>NOT(ISERROR(SEARCH("CHOOSE EITHER A OR B, NOT BOTH!",L55)))</formula>
    </cfRule>
  </conditionalFormatting>
  <conditionalFormatting sqref="O91">
    <cfRule type="cellIs" dxfId="113" priority="23" operator="notEqual">
      <formula>$M91</formula>
    </cfRule>
  </conditionalFormatting>
  <conditionalFormatting sqref="O90">
    <cfRule type="cellIs" dxfId="112" priority="24" operator="notEqual">
      <formula>$M90</formula>
    </cfRule>
  </conditionalFormatting>
  <conditionalFormatting sqref="O92">
    <cfRule type="cellIs" dxfId="111" priority="22" operator="notEqual">
      <formula>$M92</formula>
    </cfRule>
  </conditionalFormatting>
  <conditionalFormatting sqref="O56">
    <cfRule type="cellIs" dxfId="110" priority="11" operator="notEqual">
      <formula>$M56</formula>
    </cfRule>
  </conditionalFormatting>
  <conditionalFormatting sqref="O99">
    <cfRule type="cellIs" dxfId="109" priority="20" operator="notEqual">
      <formula>$M99</formula>
    </cfRule>
  </conditionalFormatting>
  <conditionalFormatting sqref="O98">
    <cfRule type="cellIs" dxfId="108" priority="21" operator="notEqual">
      <formula>$M98</formula>
    </cfRule>
  </conditionalFormatting>
  <conditionalFormatting sqref="O100">
    <cfRule type="cellIs" dxfId="107" priority="19" operator="notEqual">
      <formula>$M100</formula>
    </cfRule>
  </conditionalFormatting>
  <conditionalFormatting sqref="O103">
    <cfRule type="cellIs" dxfId="106" priority="18" operator="notEqual">
      <formula>$M103</formula>
    </cfRule>
  </conditionalFormatting>
  <conditionalFormatting sqref="O114">
    <cfRule type="cellIs" dxfId="105" priority="17" operator="notEqual">
      <formula>$M114</formula>
    </cfRule>
  </conditionalFormatting>
  <conditionalFormatting sqref="O119">
    <cfRule type="cellIs" dxfId="104" priority="16" operator="notEqual">
      <formula>$M119</formula>
    </cfRule>
  </conditionalFormatting>
  <conditionalFormatting sqref="O131">
    <cfRule type="cellIs" dxfId="103" priority="15" operator="notEqual">
      <formula>$M131</formula>
    </cfRule>
  </conditionalFormatting>
  <conditionalFormatting sqref="O211">
    <cfRule type="cellIs" dxfId="102" priority="13" operator="notEqual">
      <formula>$M211</formula>
    </cfRule>
  </conditionalFormatting>
  <conditionalFormatting sqref="O214">
    <cfRule type="cellIs" dxfId="101" priority="12" operator="notEqual">
      <formula>$M214</formula>
    </cfRule>
  </conditionalFormatting>
  <conditionalFormatting sqref="F240">
    <cfRule type="expression" dxfId="100" priority="10">
      <formula>AND($O$130&gt;0,$O$130&lt;4,OR(#REF!="Statutory Redevelopment Plan",#REF!="Redevelopment Zone",#REF!="Local Redevelopment Plan"))</formula>
    </cfRule>
  </conditionalFormatting>
  <conditionalFormatting sqref="R349">
    <cfRule type="cellIs" dxfId="99" priority="9" stopIfTrue="1" operator="equal">
      <formula>"* * Check Score! * *"</formula>
    </cfRule>
  </conditionalFormatting>
  <conditionalFormatting sqref="J52:K52">
    <cfRule type="containsText" dxfId="98" priority="8" operator="containsText" text="&lt;&lt; Select Election or Income Averaging &gt;&gt;">
      <formula>NOT(ISERROR(SEARCH("&lt;&lt; Select Election or Income Averaging &gt;&gt;",J52)))</formula>
    </cfRule>
  </conditionalFormatting>
  <conditionalFormatting sqref="O50">
    <cfRule type="containsText" dxfId="97" priority="7" operator="containsText" text="AorB?">
      <formula>NOT(ISERROR(SEARCH("AorB?",O50)))</formula>
    </cfRule>
  </conditionalFormatting>
  <conditionalFormatting sqref="H91">
    <cfRule type="containsText" dxfId="96" priority="6" operator="containsText" text="Pick A1 or A2!">
      <formula>NOT(ISERROR(SEARCH("Pick A1 or A2!",H91)))</formula>
    </cfRule>
  </conditionalFormatting>
  <conditionalFormatting sqref="F101">
    <cfRule type="containsText" dxfId="95" priority="5" operator="containsText" text="Choose only one option: B1 or B2 or B3!">
      <formula>NOT(ISERROR(SEARCH("Choose only one option: B1 or B2 or B3!",F101)))</formula>
    </cfRule>
  </conditionalFormatting>
  <conditionalFormatting sqref="P211">
    <cfRule type="cellIs" dxfId="94" priority="4" operator="notEqual">
      <formula>$M211</formula>
    </cfRule>
  </conditionalFormatting>
  <conditionalFormatting sqref="L319">
    <cfRule type="cellIs" dxfId="93" priority="3" stopIfTrue="1" operator="equal">
      <formula>"* * Check Score! * *"</formula>
    </cfRule>
  </conditionalFormatting>
  <conditionalFormatting sqref="L320">
    <cfRule type="cellIs" dxfId="92" priority="2" stopIfTrue="1" operator="equal">
      <formula>"* * Check Score! * *"</formula>
    </cfRule>
  </conditionalFormatting>
  <conditionalFormatting sqref="L323:L327">
    <cfRule type="cellIs" dxfId="91" priority="1" operator="equal">
      <formula>"Choose option 1 or 2 or 3 or 4!!!"</formula>
    </cfRule>
  </conditionalFormatting>
  <dataValidations count="14">
    <dataValidation type="list" allowBlank="1" showInputMessage="1" showErrorMessage="1" sqref="J217:L217" xr:uid="{00000000-0002-0000-0C00-000000000000}">
      <formula1>"&lt;Select unrelated 3rd party type&gt;, Foundation, Trust, Business, Government, Other (describe in Justification Box)"</formula1>
    </dataValidation>
    <dataValidation type="list" allowBlank="1" showInputMessage="1" showErrorMessage="1" sqref="D417:I417" xr:uid="{00000000-0002-0000-0C00-000001000000}">
      <formula1>"&lt;Select applicable status&gt;,Certified historic structure - listed individually on National Register, Certified historic structure - contributing structure in NR Historic District, Deemed historic via Ga DNRHPD approved NPS Part 1 Evaluation of Significance"</formula1>
    </dataValidation>
    <dataValidation type="list" allowBlank="1" showInputMessage="1" showErrorMessage="1" sqref="I270" xr:uid="{00000000-0002-0000-0C00-000002000000}">
      <formula1>"&lt; Select &gt;,5%, 10%, 15%, 20%"</formula1>
    </dataValidation>
    <dataValidation type="list" allowBlank="1" showInputMessage="1" showErrorMessage="1" sqref="O271:P271" xr:uid="{00000000-0002-0000-0C00-000003000000}">
      <formula1>"&lt;Select&gt;,Upper, Middle"</formula1>
    </dataValidation>
    <dataValidation type="list" allowBlank="1" showInputMessage="1" showErrorMessage="1" sqref="O253:P254 O303:P303 O381:P384 O272:P272 O256:P256 O335:P337 O60:P60 O269:P269 O407:P409 O122:P123 O341:P341 O249:P249 O66:P66 O306:P310 O294:P295 O247:P247 O129:P130 O235:P240 O348:P354 O356:P359 O120:P120 O156:P156 O233:P233 O76:P79 O96:P97 J218:J220 O258:P259 O339:P339 O369:P371 O366:P367 O251:P251 O115:P115 O133:P137 O139:P139 O163:P172 O277:P278" xr:uid="{00000000-0002-0000-0C00-000004000000}">
      <formula1>"Yes, No, N/a"</formula1>
    </dataValidation>
    <dataValidation type="list" allowBlank="1" showInputMessage="1" showErrorMessage="1" sqref="O132:P132 K197:L197 O138:P138" xr:uid="{00000000-0002-0000-0C00-000005000000}">
      <formula1>"Agree, Disagree"</formula1>
    </dataValidation>
    <dataValidation allowBlank="1" showErrorMessage="1" errorTitle=" Optional Physical Improvements" error="Please select the appropriate optional physical improvement  from the list provided by the drop-down arrow on the right-hand side of the cell." promptTitle=" Optional Physical Improvements" prompt="Please select the appropriate optional physical improvement from the list provided by the drop-down arrow on the right-hand side of the cell." sqref="C461:C466 C456:C457" xr:uid="{00000000-0002-0000-0C00-000006000000}"/>
    <dataValidation type="list" allowBlank="1" showInputMessage="1" showErrorMessage="1" sqref="P192 P442 P345 O153:P153 P363 P434 P231 P241 P149 P151 K199:L199 P414 K201:L202 K205:L207 F163:F172" xr:uid="{00000000-0002-0000-0C00-000007000000}">
      <formula1>"Yes, No"</formula1>
    </dataValidation>
    <dataValidation type="whole" operator="equal" allowBlank="1" showInputMessage="1" showErrorMessage="1" sqref="P90:P92 P114 P98:P100 P119 P131" xr:uid="{00000000-0002-0000-0C00-000008000000}">
      <formula1>$M90</formula1>
    </dataValidation>
    <dataValidation type="whole" operator="lessThanOrEqual" allowBlank="1" showInputMessage="1" showErrorMessage="1" sqref="O67:P67 P55 O90 O98" xr:uid="{00000000-0002-0000-0C00-000009000000}">
      <formula1>$M55</formula1>
    </dataValidation>
    <dataValidation type="list" allowBlank="1" showInputMessage="1" showErrorMessage="1" sqref="L125:N128" xr:uid="{00000000-0002-0000-0C00-00000A000000}">
      <formula1>"&lt;&lt; Select &gt;&gt;, Daily, 6 days per week, 5 days per week, 4 days per week, 3 days per week, 2 days per week, weekly, bi-weekly, semi-monthly, tri-weekly, monthly"</formula1>
    </dataValidation>
    <dataValidation type="list" allowBlank="1" showInputMessage="1" showErrorMessage="1" sqref="F37:F48 J38 J40 J42 J44 J46 J48 O38:P38 O41:P48 O30:P30 P11:P23" xr:uid="{00000000-0002-0000-0C00-00000B000000}">
      <formula1>"0,1"</formula1>
    </dataValidation>
    <dataValidation type="whole" operator="equal" allowBlank="1" showErrorMessage="1" errorTitle="Incorrect Point Value Entered" error="Please re-check the point value for this criterion." sqref="O55:O56" xr:uid="{00000000-0002-0000-0C00-00000C000000}">
      <formula1>$M55</formula1>
    </dataValidation>
    <dataValidation type="list" allowBlank="1" showInputMessage="1" showErrorMessage="1" sqref="E163:E172" xr:uid="{00000000-0002-0000-0C00-00000D000000}">
      <formula1>"Select, No, 5-6, 8-9, Both, Other"</formula1>
    </dataValidation>
  </dataValidations>
  <printOptions horizontalCentered="1"/>
  <pageMargins left="0.25" right="0.25" top="0.7" bottom="0.4" header="0.5" footer="0.25"/>
  <pageSetup scale="10" fitToHeight="0" orientation="landscape" horizontalDpi="1200" verticalDpi="1200" r:id="rId1"/>
  <headerFooter>
    <oddHeader>&amp;LGeorgia Department of Community Affairs&amp;C2020 Funding Application&amp;RHousing Finance and Development Division</oddHeader>
    <oddFooter>&amp;L&amp;G &amp;F&amp;C&amp;A&amp;R&amp;P of &amp;N</oddFooter>
  </headerFooter>
  <rowBreaks count="12" manualBreakCount="12">
    <brk id="48" max="16383" man="1"/>
    <brk id="73" max="16383" man="1"/>
    <brk id="110" max="16383" man="1"/>
    <brk id="148" max="16383" man="1"/>
    <brk id="192" max="16383" man="1"/>
    <brk id="230" max="16383" man="1"/>
    <brk id="264" max="16383" man="1"/>
    <brk id="300" max="16383" man="1"/>
    <brk id="332" max="16383" man="1"/>
    <brk id="377" max="16383" man="1"/>
    <brk id="413" max="16383" man="1"/>
    <brk id="447" max="16383" man="1"/>
  </rowBreaks>
  <ignoredErrors>
    <ignoredError sqref="B28:B30 B55:B56 B59:B60 B90:B92 B98:B100 B184:B185 B210:B211 B246 B248 B258:B259 B269:B272 B359 B387 B401 B76:B77 B350:B351 B348 B356" numberStoredAsText="1"/>
  </ignoredErrors>
  <legacyDrawingHF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2">
    <pageSetUpPr fitToPage="1"/>
  </sheetPr>
  <dimension ref="A1:P29"/>
  <sheetViews>
    <sheetView showGridLines="0" zoomScale="120" zoomScaleNormal="120" workbookViewId="0">
      <selection activeCell="A8" sqref="A8:J8"/>
    </sheetView>
  </sheetViews>
  <sheetFormatPr defaultColWidth="9.109375" defaultRowHeight="15"/>
  <cols>
    <col min="1" max="3" width="12.88671875" style="610" customWidth="1"/>
    <col min="4" max="4" width="15.44140625" style="610" customWidth="1"/>
    <col min="5" max="5" width="4.88671875" style="610" customWidth="1"/>
    <col min="6" max="9" width="12.88671875" style="610" customWidth="1"/>
    <col min="10" max="10" width="5.109375" style="610" customWidth="1"/>
    <col min="11" max="16384" width="9.109375" style="610"/>
  </cols>
  <sheetData>
    <row r="1" spans="1:16" ht="15.6">
      <c r="A1" s="3221" t="s">
        <v>2811</v>
      </c>
      <c r="B1" s="3221"/>
      <c r="C1" s="3221"/>
      <c r="D1" s="3221"/>
      <c r="E1" s="3221"/>
      <c r="F1" s="3221"/>
      <c r="G1" s="3221"/>
      <c r="H1" s="3221"/>
      <c r="I1" s="3221"/>
      <c r="J1" s="3221"/>
    </row>
    <row r="2" spans="1:16" ht="15.6">
      <c r="A2" s="3221" t="str">
        <f>'Sensitivity Analysis'!C8</f>
        <v>Harper Woods II</v>
      </c>
      <c r="B2" s="3221"/>
      <c r="C2" s="3221"/>
      <c r="D2" s="3221"/>
      <c r="E2" s="3221"/>
      <c r="F2" s="3221"/>
      <c r="G2" s="3221"/>
      <c r="H2" s="3221"/>
      <c r="I2" s="3221"/>
      <c r="J2" s="3221"/>
    </row>
    <row r="3" spans="1:16" ht="15.6">
      <c r="A3" s="3221" t="str">
        <f>'Subsidy Layering Memo'!F14</f>
        <v>Columbus, Muscogee</v>
      </c>
      <c r="B3" s="3221"/>
      <c r="C3" s="3221"/>
      <c r="D3" s="3221"/>
      <c r="E3" s="3221"/>
      <c r="F3" s="3221"/>
      <c r="G3" s="3221"/>
      <c r="H3" s="3221"/>
      <c r="I3" s="3221"/>
      <c r="J3" s="3221"/>
    </row>
    <row r="4" spans="1:16" ht="15.6">
      <c r="A4" s="3222" t="s">
        <v>2812</v>
      </c>
      <c r="B4" s="3221"/>
      <c r="C4" s="3221"/>
      <c r="D4" s="3221"/>
      <c r="E4" s="3221"/>
      <c r="F4" s="3221"/>
      <c r="G4" s="3221"/>
      <c r="H4" s="3221"/>
      <c r="I4" s="3221"/>
      <c r="J4" s="3221"/>
    </row>
    <row r="5" spans="1:16" ht="5.25" customHeight="1"/>
    <row r="6" spans="1:16" ht="5.25" customHeight="1"/>
    <row r="7" spans="1:16" ht="15.6">
      <c r="A7" s="3223" t="s">
        <v>2813</v>
      </c>
      <c r="B7" s="3223"/>
      <c r="C7" s="3224"/>
      <c r="M7" s="3215"/>
      <c r="N7" s="3215"/>
      <c r="O7" s="3215"/>
      <c r="P7" s="3215"/>
    </row>
    <row r="8" spans="1:16" ht="57" customHeight="1">
      <c r="A8" s="3216" t="s">
        <v>4473</v>
      </c>
      <c r="B8" s="3216"/>
      <c r="C8" s="3216"/>
      <c r="D8" s="3216"/>
      <c r="E8" s="3216"/>
      <c r="F8" s="3216"/>
      <c r="G8" s="3216"/>
      <c r="H8" s="3216"/>
      <c r="I8" s="3216"/>
      <c r="J8" s="3216"/>
      <c r="K8" s="611"/>
    </row>
    <row r="9" spans="1:16" ht="45.75" customHeight="1">
      <c r="A9" s="3216" t="str">
        <f>_xlfn.CONCAT("In accordance with these plans, and their mandate, the proposed project involves the (NEW CONSTRUCTION/Substantial Renovation) of affordable rental housing in the City of ", A3, " County, Georgia, with the development of ", 'Sensitivity Analysis'!$C$13, " units (UNIT DESCRIPTION) set aside for ", 'Sensitivity Analysis'!$C$14, ".")</f>
        <v>In accordance with these plans, and their mandate, the proposed project involves the (NEW CONSTRUCTION/Substantial Renovation) of affordable rental housing in the City of Columbus, Muscogee County, Georgia, with the development of 72 units (UNIT DESCRIPTION) set aside for HFOP.</v>
      </c>
      <c r="B9" s="3216"/>
      <c r="C9" s="3216"/>
      <c r="D9" s="3216"/>
      <c r="E9" s="3216"/>
      <c r="F9" s="3216"/>
      <c r="G9" s="3216"/>
      <c r="H9" s="3216"/>
      <c r="I9" s="3216"/>
      <c r="J9" s="3216"/>
      <c r="K9" s="611"/>
    </row>
    <row r="10" spans="1:16" ht="15.6">
      <c r="A10" s="612" t="s">
        <v>2814</v>
      </c>
    </row>
    <row r="11" spans="1:16" ht="16.5" customHeight="1">
      <c r="A11" s="3216" t="str">
        <f>'Subsidy Layering Memo'!A44</f>
        <v xml:space="preserve">Ownership entity:  (NAME) LP, a Georgia Limited Partnership, will be the ownership entity for the proposed project. </v>
      </c>
      <c r="B11" s="3218"/>
      <c r="C11" s="3218"/>
      <c r="D11" s="3218"/>
      <c r="E11" s="3218"/>
      <c r="F11" s="3218"/>
      <c r="G11" s="3218"/>
      <c r="H11" s="3218"/>
      <c r="I11" s="3218"/>
      <c r="J11" s="3216"/>
    </row>
    <row r="12" spans="1:16" ht="63.75" customHeight="1">
      <c r="A12" s="3216" t="s">
        <v>2844</v>
      </c>
      <c r="B12" s="3216"/>
      <c r="C12" s="3216"/>
      <c r="D12" s="3216"/>
      <c r="E12" s="3216"/>
      <c r="F12" s="3216"/>
      <c r="G12" s="3216"/>
      <c r="H12" s="3216"/>
      <c r="I12" s="3216"/>
      <c r="J12" s="3216"/>
    </row>
    <row r="13" spans="1:16" ht="48.75" customHeight="1">
      <c r="A13" s="3216" t="s">
        <v>2845</v>
      </c>
      <c r="B13" s="3216"/>
      <c r="C13" s="3216"/>
      <c r="D13" s="3216"/>
      <c r="E13" s="3216"/>
      <c r="F13" s="3216"/>
      <c r="G13" s="3216"/>
      <c r="H13" s="3216"/>
      <c r="I13" s="3216"/>
      <c r="J13" s="3216"/>
    </row>
    <row r="14" spans="1:16" ht="15.6">
      <c r="A14" s="612" t="s">
        <v>2815</v>
      </c>
      <c r="B14" s="613"/>
    </row>
    <row r="15" spans="1:16">
      <c r="A15" s="610" t="s">
        <v>2816</v>
      </c>
      <c r="D15" s="1530" t="s">
        <v>2817</v>
      </c>
    </row>
    <row r="16" spans="1:16">
      <c r="A16" s="610" t="s">
        <v>2818</v>
      </c>
      <c r="D16" s="1528">
        <f>'Sensitivity Analysis'!C25</f>
        <v>930000</v>
      </c>
    </row>
    <row r="17" spans="1:11">
      <c r="A17" s="614" t="s">
        <v>2819</v>
      </c>
      <c r="D17" s="1529">
        <f>'Sensitivity Analysis'!C13</f>
        <v>72</v>
      </c>
    </row>
    <row r="18" spans="1:11" ht="14.25" customHeight="1"/>
    <row r="19" spans="1:11" ht="15.6">
      <c r="A19" s="612" t="s">
        <v>2820</v>
      </c>
      <c r="B19" s="613"/>
      <c r="C19" s="613"/>
    </row>
    <row r="20" spans="1:11" ht="48.75" customHeight="1">
      <c r="A20" s="3219" t="s">
        <v>2847</v>
      </c>
      <c r="B20" s="3219"/>
      <c r="C20" s="3219"/>
      <c r="D20" s="3219"/>
      <c r="E20" s="3219"/>
      <c r="F20" s="3219"/>
      <c r="G20" s="3219"/>
      <c r="H20" s="3219"/>
      <c r="I20" s="3219"/>
      <c r="J20" s="3219"/>
    </row>
    <row r="21" spans="1:11" ht="72.75" customHeight="1">
      <c r="A21" s="3216" t="s">
        <v>4472</v>
      </c>
      <c r="B21" s="3216"/>
      <c r="C21" s="3216"/>
      <c r="D21" s="3216"/>
      <c r="E21" s="3216"/>
      <c r="F21" s="3216"/>
      <c r="G21" s="3216"/>
      <c r="H21" s="3216"/>
      <c r="I21" s="3216"/>
      <c r="J21" s="3216"/>
    </row>
    <row r="22" spans="1:11" ht="15.6">
      <c r="A22" s="612" t="s">
        <v>2821</v>
      </c>
      <c r="B22" s="613"/>
      <c r="C22" s="613"/>
      <c r="D22" s="613"/>
      <c r="E22" s="613"/>
      <c r="F22" s="613"/>
    </row>
    <row r="23" spans="1:11" ht="102.75" customHeight="1">
      <c r="A23" s="3220" t="s">
        <v>2840</v>
      </c>
      <c r="B23" s="3220"/>
      <c r="C23" s="3220"/>
      <c r="D23" s="3220"/>
      <c r="E23" s="3220"/>
      <c r="F23" s="3220"/>
      <c r="G23" s="3220"/>
      <c r="H23" s="3220"/>
      <c r="I23" s="3220"/>
      <c r="J23" s="3220"/>
      <c r="K23" s="1232"/>
    </row>
    <row r="24" spans="1:11" ht="15" customHeight="1">
      <c r="A24" s="3217"/>
      <c r="B24" s="3217"/>
      <c r="C24" s="3217"/>
      <c r="D24" s="3217"/>
      <c r="E24" s="3217"/>
      <c r="F24" s="3217"/>
      <c r="G24" s="3217"/>
      <c r="H24" s="3217"/>
      <c r="I24" s="3217"/>
      <c r="J24" s="3217"/>
      <c r="K24" s="610" t="s">
        <v>238</v>
      </c>
    </row>
    <row r="25" spans="1:11" ht="15" customHeight="1">
      <c r="B25" s="1231"/>
      <c r="C25" s="1231"/>
      <c r="D25" s="1231"/>
      <c r="E25" s="1231"/>
      <c r="F25" s="1231"/>
      <c r="G25" s="1231"/>
      <c r="H25" s="1231"/>
      <c r="I25" s="1231" t="s">
        <v>238</v>
      </c>
      <c r="J25" s="1231"/>
    </row>
    <row r="26" spans="1:11" ht="15.6">
      <c r="A26" s="613" t="s">
        <v>2822</v>
      </c>
    </row>
    <row r="28" spans="1:11" ht="15.6" thickBot="1">
      <c r="A28" s="615"/>
      <c r="B28" s="615"/>
      <c r="C28" s="615"/>
      <c r="D28" s="615"/>
      <c r="F28" s="615"/>
      <c r="G28" s="615"/>
      <c r="H28" s="615"/>
      <c r="I28" s="615"/>
    </row>
    <row r="29" spans="1:11">
      <c r="A29" s="610" t="s">
        <v>2823</v>
      </c>
      <c r="D29" s="610" t="s">
        <v>904</v>
      </c>
      <c r="F29" s="610" t="s">
        <v>2824</v>
      </c>
      <c r="I29" s="610" t="s">
        <v>904</v>
      </c>
      <c r="J29" s="610" t="s">
        <v>238</v>
      </c>
    </row>
  </sheetData>
  <sheetProtection algorithmName="SHA-512" hashValue="hH5S/S8o5w+tI6DtCjGdr+aNe2nRBiSYJUvfw0ESPkZbDB5QpSIVpC61ZMeh3ivykMemT3myyS9sT9204NYYFA==" saltValue="iRbvyu5LUtSmieh8n4pF7w==" spinCount="100000" sheet="1" objects="1" scenarios="1"/>
  <mergeCells count="15">
    <mergeCell ref="A1:J1"/>
    <mergeCell ref="A2:J2"/>
    <mergeCell ref="A3:J3"/>
    <mergeCell ref="A4:J4"/>
    <mergeCell ref="A7:C7"/>
    <mergeCell ref="M7:P7"/>
    <mergeCell ref="A9:J9"/>
    <mergeCell ref="A24:J24"/>
    <mergeCell ref="A11:J11"/>
    <mergeCell ref="A12:J12"/>
    <mergeCell ref="A13:J13"/>
    <mergeCell ref="A20:J20"/>
    <mergeCell ref="A21:J21"/>
    <mergeCell ref="A23:J23"/>
    <mergeCell ref="A8:J8"/>
  </mergeCells>
  <printOptions horizontalCentered="1"/>
  <pageMargins left="0.5" right="0.5" top="0.5" bottom="0.5" header="0.3" footer="0.3"/>
  <pageSetup scale="83" fitToHeight="0" orientation="portrait" r:id="rId1"/>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4">
    <pageSetUpPr fitToPage="1"/>
  </sheetPr>
  <dimension ref="A2:R203"/>
  <sheetViews>
    <sheetView showGridLines="0" zoomScale="120" zoomScaleNormal="120" workbookViewId="0">
      <selection activeCell="D110" sqref="D110"/>
    </sheetView>
  </sheetViews>
  <sheetFormatPr defaultColWidth="9.109375" defaultRowHeight="13.8"/>
  <cols>
    <col min="1" max="1" width="9.109375" style="619"/>
    <col min="2" max="2" width="7.88671875" style="619" customWidth="1"/>
    <col min="3" max="3" width="14.88671875" style="619" customWidth="1"/>
    <col min="4" max="4" width="20.109375" style="619" customWidth="1"/>
    <col min="5" max="5" width="8" style="619" customWidth="1"/>
    <col min="6" max="6" width="5.109375" style="619" customWidth="1"/>
    <col min="7" max="7" width="5.44140625" style="619" customWidth="1"/>
    <col min="8" max="8" width="8.5546875" style="619" customWidth="1"/>
    <col min="9" max="9" width="28.5546875" style="619" customWidth="1"/>
    <col min="10" max="10" width="4.109375" style="619" hidden="1" customWidth="1"/>
    <col min="11" max="11" width="9.109375" style="619"/>
    <col min="12" max="12" width="16.109375" style="619" customWidth="1"/>
    <col min="13" max="13" width="11.109375" style="619" customWidth="1"/>
    <col min="14" max="14" width="10.88671875" style="619" bestFit="1" customWidth="1"/>
    <col min="15" max="15" width="28.5546875" style="619" customWidth="1"/>
    <col min="16" max="16384" width="9.109375" style="619"/>
  </cols>
  <sheetData>
    <row r="2" spans="1:10">
      <c r="A2" s="616" t="s">
        <v>2825</v>
      </c>
      <c r="B2" s="617"/>
      <c r="C2" s="617"/>
      <c r="D2" s="617"/>
      <c r="E2" s="618"/>
      <c r="F2" s="617"/>
      <c r="G2" s="617"/>
      <c r="H2" s="617"/>
      <c r="I2" s="617"/>
      <c r="J2" s="617"/>
    </row>
    <row r="3" spans="1:10">
      <c r="A3" s="620"/>
    </row>
    <row r="4" spans="1:10">
      <c r="A4" s="620" t="s">
        <v>2826</v>
      </c>
      <c r="D4" s="619" t="s">
        <v>2827</v>
      </c>
    </row>
    <row r="5" spans="1:10">
      <c r="A5" s="620"/>
    </row>
    <row r="6" spans="1:10">
      <c r="A6" s="620" t="s">
        <v>2828</v>
      </c>
      <c r="D6" s="619" t="s">
        <v>2829</v>
      </c>
    </row>
    <row r="7" spans="1:10">
      <c r="A7" s="620"/>
    </row>
    <row r="8" spans="1:10">
      <c r="A8" s="620" t="s">
        <v>2830</v>
      </c>
      <c r="D8" s="621" t="s">
        <v>2831</v>
      </c>
    </row>
    <row r="9" spans="1:10">
      <c r="A9" s="620"/>
    </row>
    <row r="10" spans="1:10">
      <c r="A10" s="620" t="s">
        <v>2832</v>
      </c>
      <c r="D10" s="621" t="s">
        <v>2833</v>
      </c>
    </row>
    <row r="11" spans="1:10">
      <c r="A11" s="620"/>
      <c r="D11" s="1527"/>
    </row>
    <row r="12" spans="1:10">
      <c r="A12" s="620" t="s">
        <v>2834</v>
      </c>
      <c r="D12" s="619" t="s">
        <v>599</v>
      </c>
      <c r="F12" s="1527" t="str">
        <f>'Sensitivity Analysis'!$C$8</f>
        <v>Harper Woods II</v>
      </c>
    </row>
    <row r="13" spans="1:10">
      <c r="A13" s="620"/>
      <c r="D13" s="619" t="s">
        <v>2835</v>
      </c>
      <c r="F13" s="1527" t="str">
        <f>'Sensitivity Analysis'!E8</f>
        <v>2020-074</v>
      </c>
    </row>
    <row r="14" spans="1:10">
      <c r="A14" s="620"/>
      <c r="D14" s="619" t="s">
        <v>2836</v>
      </c>
      <c r="F14" s="1527" t="str">
        <f>'Sensitivity Analysis'!H8</f>
        <v>Columbus, Muscogee</v>
      </c>
    </row>
    <row r="15" spans="1:10">
      <c r="A15" s="620"/>
      <c r="D15" s="619" t="s">
        <v>3198</v>
      </c>
      <c r="F15" s="3225">
        <f>'Sensitivity Analysis'!$C$25</f>
        <v>930000</v>
      </c>
      <c r="G15" s="3225"/>
      <c r="H15" s="3225"/>
    </row>
    <row r="16" spans="1:10">
      <c r="A16" s="620"/>
      <c r="D16" s="622" t="s">
        <v>2837</v>
      </c>
      <c r="F16" s="623">
        <f>'Sensitivity Analysis'!C13</f>
        <v>72</v>
      </c>
      <c r="G16" s="624" t="s">
        <v>3199</v>
      </c>
      <c r="H16" s="1168">
        <f>'Sensitivity Analysis'!E13</f>
        <v>72</v>
      </c>
    </row>
    <row r="17" spans="1:18">
      <c r="A17" s="620"/>
      <c r="D17" s="622" t="s">
        <v>2801</v>
      </c>
      <c r="F17" s="623" t="str">
        <f>'Sensitivity Analysis'!C14</f>
        <v>HFOP</v>
      </c>
    </row>
    <row r="18" spans="1:18">
      <c r="A18" s="620"/>
      <c r="D18" s="622" t="s">
        <v>3203</v>
      </c>
      <c r="F18" s="1527" t="str">
        <f>'Sensitivity Analysis'!H15</f>
        <v>Urban</v>
      </c>
    </row>
    <row r="19" spans="1:18">
      <c r="A19" s="620"/>
      <c r="D19" s="622" t="s">
        <v>3200</v>
      </c>
      <c r="F19" s="1527" t="str">
        <f>'Sensitivity Analysis'!E16</f>
        <v>No</v>
      </c>
    </row>
    <row r="20" spans="1:18">
      <c r="A20" s="620"/>
      <c r="D20" s="622"/>
    </row>
    <row r="21" spans="1:18">
      <c r="A21" s="625" t="s">
        <v>2838</v>
      </c>
    </row>
    <row r="22" spans="1:18" ht="111.75" customHeight="1">
      <c r="A22" s="3232" t="s">
        <v>3374</v>
      </c>
      <c r="B22" s="3232"/>
      <c r="C22" s="3232"/>
      <c r="D22" s="3232"/>
      <c r="E22" s="3232"/>
      <c r="F22" s="3232"/>
      <c r="G22" s="3232"/>
      <c r="H22" s="3232"/>
      <c r="I22" s="3232"/>
      <c r="J22" s="3232"/>
      <c r="K22" s="3239" t="s">
        <v>4474</v>
      </c>
      <c r="L22" s="3239"/>
      <c r="M22" s="3239"/>
      <c r="N22" s="3239"/>
      <c r="O22" s="1531"/>
      <c r="P22" s="1531"/>
      <c r="Q22" s="1531"/>
      <c r="R22" s="1531"/>
    </row>
    <row r="23" spans="1:18" ht="0.75" hidden="1" customHeight="1">
      <c r="A23" s="1521"/>
      <c r="B23" s="1521"/>
      <c r="C23" s="1521"/>
      <c r="D23" s="1521"/>
      <c r="E23" s="1521"/>
      <c r="F23" s="1521"/>
      <c r="G23" s="1521"/>
      <c r="H23" s="1521"/>
      <c r="I23" s="1521"/>
      <c r="J23" s="1521"/>
    </row>
    <row r="24" spans="1:18" ht="9.75" hidden="1" customHeight="1">
      <c r="A24" s="3240"/>
      <c r="B24" s="3240"/>
      <c r="C24" s="3240"/>
      <c r="D24" s="3240"/>
      <c r="E24" s="3240"/>
      <c r="F24" s="3240"/>
      <c r="G24" s="3240"/>
      <c r="H24" s="3240"/>
      <c r="I24" s="3240"/>
      <c r="J24" s="3240"/>
    </row>
    <row r="25" spans="1:18" ht="10.5" hidden="1" customHeight="1">
      <c r="A25" s="3241"/>
      <c r="B25" s="3241"/>
      <c r="C25" s="3241"/>
      <c r="D25" s="3241"/>
      <c r="E25" s="3241"/>
      <c r="F25" s="3241"/>
      <c r="G25" s="3241"/>
      <c r="H25" s="3241"/>
      <c r="I25" s="3241"/>
      <c r="J25" s="3241"/>
    </row>
    <row r="26" spans="1:18">
      <c r="A26" s="625" t="s">
        <v>2839</v>
      </c>
    </row>
    <row r="27" spans="1:18" ht="14.25" customHeight="1">
      <c r="A27" s="3242" t="s">
        <v>2840</v>
      </c>
      <c r="B27" s="3242"/>
      <c r="C27" s="3242"/>
      <c r="D27" s="3242"/>
      <c r="E27" s="3242"/>
      <c r="F27" s="3242"/>
      <c r="G27" s="3242"/>
      <c r="H27" s="3242"/>
      <c r="I27" s="3242"/>
      <c r="J27" s="3242"/>
    </row>
    <row r="28" spans="1:18" ht="14.25" customHeight="1">
      <c r="A28" s="3242"/>
      <c r="B28" s="3242"/>
      <c r="C28" s="3242"/>
      <c r="D28" s="3242"/>
      <c r="E28" s="3242"/>
      <c r="F28" s="3242"/>
      <c r="G28" s="3242"/>
      <c r="H28" s="3242"/>
      <c r="I28" s="3242"/>
      <c r="J28" s="3242"/>
    </row>
    <row r="29" spans="1:18" ht="6.75" customHeight="1">
      <c r="A29" s="3242"/>
      <c r="B29" s="3242"/>
      <c r="C29" s="3242"/>
      <c r="D29" s="3242"/>
      <c r="E29" s="3242"/>
      <c r="F29" s="3242"/>
      <c r="G29" s="3242"/>
      <c r="H29" s="3242"/>
      <c r="I29" s="3242"/>
      <c r="J29" s="3242"/>
    </row>
    <row r="30" spans="1:18" ht="14.25" customHeight="1">
      <c r="A30" s="3242"/>
      <c r="B30" s="3242"/>
      <c r="C30" s="3242"/>
      <c r="D30" s="3242"/>
      <c r="E30" s="3242"/>
      <c r="F30" s="3242"/>
      <c r="G30" s="3242"/>
      <c r="H30" s="3242"/>
      <c r="I30" s="3242"/>
      <c r="J30" s="3242"/>
    </row>
    <row r="31" spans="1:18" ht="14.25" customHeight="1">
      <c r="A31" s="3242"/>
      <c r="B31" s="3242"/>
      <c r="C31" s="3242"/>
      <c r="D31" s="3242"/>
      <c r="E31" s="3242"/>
      <c r="F31" s="3242"/>
      <c r="G31" s="3242"/>
      <c r="H31" s="3242"/>
      <c r="I31" s="3242"/>
      <c r="J31" s="3242"/>
    </row>
    <row r="32" spans="1:18" ht="54.75" customHeight="1">
      <c r="A32" s="3242"/>
      <c r="B32" s="3242"/>
      <c r="C32" s="3242"/>
      <c r="D32" s="3242"/>
      <c r="E32" s="3242"/>
      <c r="F32" s="3242"/>
      <c r="G32" s="3242"/>
      <c r="H32" s="3242"/>
      <c r="I32" s="3242"/>
      <c r="J32" s="3242"/>
    </row>
    <row r="33" spans="1:10" ht="0.75" hidden="1" customHeight="1">
      <c r="A33" s="3242"/>
      <c r="B33" s="3242"/>
      <c r="C33" s="3242"/>
      <c r="D33" s="3242"/>
      <c r="E33" s="3242"/>
      <c r="F33" s="3242"/>
      <c r="G33" s="3242"/>
      <c r="H33" s="3242"/>
      <c r="I33" s="3242"/>
      <c r="J33" s="3242"/>
    </row>
    <row r="34" spans="1:10" ht="3.75" hidden="1" customHeight="1">
      <c r="A34" s="3242"/>
      <c r="B34" s="3242"/>
      <c r="C34" s="3242"/>
      <c r="D34" s="3242"/>
      <c r="E34" s="3242"/>
      <c r="F34" s="3242"/>
      <c r="G34" s="3242"/>
      <c r="H34" s="3242"/>
      <c r="I34" s="3242"/>
      <c r="J34" s="3242"/>
    </row>
    <row r="35" spans="1:10" ht="5.25" customHeight="1">
      <c r="A35" s="1523"/>
      <c r="B35" s="1523"/>
      <c r="C35" s="1523"/>
      <c r="D35" s="1523"/>
      <c r="E35" s="1523"/>
      <c r="F35" s="1523"/>
      <c r="G35" s="1523"/>
      <c r="H35" s="1523"/>
      <c r="I35" s="1523"/>
      <c r="J35" s="1523"/>
    </row>
    <row r="36" spans="1:10" ht="19.5" customHeight="1">
      <c r="A36" s="3240" t="s">
        <v>2841</v>
      </c>
      <c r="B36" s="3240"/>
      <c r="C36" s="3240"/>
      <c r="D36" s="1521"/>
      <c r="E36" s="1521"/>
      <c r="F36" s="1521"/>
      <c r="G36" s="1521"/>
      <c r="H36" s="1521"/>
      <c r="I36" s="1521"/>
      <c r="J36" s="1521"/>
    </row>
    <row r="37" spans="1:10" ht="15" customHeight="1">
      <c r="A37" s="3216"/>
      <c r="B37" s="3216"/>
      <c r="C37" s="3216"/>
      <c r="D37" s="3216"/>
      <c r="E37" s="3216"/>
      <c r="F37" s="3216"/>
      <c r="G37" s="3216"/>
      <c r="H37" s="3216"/>
      <c r="I37" s="3216"/>
      <c r="J37" s="3216"/>
    </row>
    <row r="38" spans="1:10" ht="33.75" customHeight="1">
      <c r="A38" s="3216"/>
      <c r="B38" s="3216"/>
      <c r="C38" s="3216"/>
      <c r="D38" s="3216"/>
      <c r="E38" s="3216"/>
      <c r="F38" s="3216"/>
      <c r="G38" s="3216"/>
      <c r="H38" s="3216"/>
      <c r="I38" s="3216"/>
      <c r="J38" s="3216"/>
    </row>
    <row r="39" spans="1:10" ht="2.25" customHeight="1">
      <c r="A39" s="1521"/>
      <c r="B39" s="1521"/>
      <c r="C39" s="1521"/>
      <c r="D39" s="1521"/>
      <c r="E39" s="1521"/>
      <c r="F39" s="1521"/>
      <c r="G39" s="1521"/>
      <c r="H39" s="1521"/>
      <c r="I39" s="1521"/>
      <c r="J39" s="1521"/>
    </row>
    <row r="40" spans="1:10">
      <c r="A40" s="625" t="s">
        <v>2842</v>
      </c>
    </row>
    <row r="41" spans="1:10" ht="135" customHeight="1">
      <c r="A41" s="3241" t="s">
        <v>4471</v>
      </c>
      <c r="B41" s="3241"/>
      <c r="C41" s="3241"/>
      <c r="D41" s="3241"/>
      <c r="E41" s="3241"/>
      <c r="F41" s="3241"/>
      <c r="G41" s="3241"/>
      <c r="H41" s="3241"/>
      <c r="I41" s="3241"/>
      <c r="J41" s="3241"/>
    </row>
    <row r="42" spans="1:10" ht="6" customHeight="1">
      <c r="A42" s="1522"/>
      <c r="B42" s="1522"/>
      <c r="C42" s="1522"/>
      <c r="D42" s="1522"/>
      <c r="E42" s="1522"/>
      <c r="F42" s="1522"/>
      <c r="G42" s="1522"/>
      <c r="H42" s="1522"/>
      <c r="I42" s="1522"/>
      <c r="J42" s="1522"/>
    </row>
    <row r="43" spans="1:10">
      <c r="A43" s="625" t="s">
        <v>2843</v>
      </c>
    </row>
    <row r="44" spans="1:10" ht="33" customHeight="1">
      <c r="A44" s="3216" t="s">
        <v>3882</v>
      </c>
      <c r="B44" s="3218"/>
      <c r="C44" s="3218"/>
      <c r="D44" s="3218"/>
      <c r="E44" s="3218"/>
      <c r="F44" s="3218"/>
      <c r="G44" s="3218"/>
      <c r="H44" s="3218"/>
      <c r="I44" s="3218"/>
      <c r="J44" s="3216"/>
    </row>
    <row r="45" spans="1:10" ht="3" customHeight="1"/>
    <row r="46" spans="1:10" ht="72.75" customHeight="1">
      <c r="A46" s="3216" t="s">
        <v>3883</v>
      </c>
      <c r="B46" s="3216"/>
      <c r="C46" s="3216"/>
      <c r="D46" s="3216"/>
      <c r="E46" s="3216"/>
      <c r="F46" s="3216"/>
      <c r="G46" s="3216"/>
      <c r="H46" s="3216"/>
      <c r="I46" s="3216"/>
      <c r="J46" s="3216"/>
    </row>
    <row r="47" spans="1:10" ht="3" customHeight="1">
      <c r="A47" s="1521"/>
      <c r="B47" s="1521"/>
      <c r="C47" s="1521"/>
      <c r="D47" s="1521"/>
      <c r="E47" s="1521"/>
      <c r="F47" s="1521"/>
      <c r="G47" s="1521"/>
      <c r="H47" s="1521"/>
      <c r="I47" s="1521"/>
      <c r="J47" s="1521"/>
    </row>
    <row r="48" spans="1:10" ht="56.25" customHeight="1">
      <c r="A48" s="3216" t="s">
        <v>3884</v>
      </c>
      <c r="B48" s="3216"/>
      <c r="C48" s="3216"/>
      <c r="D48" s="3216"/>
      <c r="E48" s="3216"/>
      <c r="F48" s="3216"/>
      <c r="G48" s="3216"/>
      <c r="H48" s="3216"/>
      <c r="I48" s="3216"/>
      <c r="J48" s="3216"/>
    </row>
    <row r="49" spans="1:17" ht="3" customHeight="1">
      <c r="A49" s="1521"/>
      <c r="B49" s="1521"/>
      <c r="C49" s="1521"/>
      <c r="D49" s="1521"/>
      <c r="E49" s="1521"/>
      <c r="F49" s="1521"/>
      <c r="G49" s="1521"/>
      <c r="H49" s="1521"/>
      <c r="I49" s="1521"/>
      <c r="J49" s="1521"/>
    </row>
    <row r="50" spans="1:17" ht="49.5" customHeight="1">
      <c r="A50" s="3216" t="s">
        <v>3885</v>
      </c>
      <c r="B50" s="3216"/>
      <c r="C50" s="3216"/>
      <c r="D50" s="3216"/>
      <c r="E50" s="3216"/>
      <c r="F50" s="3216"/>
      <c r="G50" s="3216"/>
      <c r="H50" s="3216"/>
      <c r="I50" s="3216"/>
      <c r="J50" s="1521"/>
    </row>
    <row r="51" spans="1:17" ht="3" customHeight="1">
      <c r="A51" s="1521"/>
      <c r="B51" s="1521"/>
      <c r="C51" s="1521"/>
      <c r="D51" s="1521"/>
      <c r="E51" s="1521"/>
      <c r="F51" s="1521"/>
      <c r="G51" s="1521"/>
      <c r="H51" s="1521"/>
      <c r="I51" s="1521"/>
      <c r="J51" s="1521"/>
    </row>
    <row r="52" spans="1:17" ht="54.75" customHeight="1">
      <c r="A52" s="3231" t="s">
        <v>3208</v>
      </c>
      <c r="B52" s="3230"/>
      <c r="C52" s="3230"/>
      <c r="D52" s="3230"/>
      <c r="E52" s="3230"/>
      <c r="F52" s="3230"/>
      <c r="G52" s="3230"/>
      <c r="H52" s="3230"/>
      <c r="I52" s="3230"/>
      <c r="J52" s="1521"/>
    </row>
    <row r="53" spans="1:17" ht="3" customHeight="1">
      <c r="A53" s="1521"/>
      <c r="B53" s="1521"/>
      <c r="C53" s="1521"/>
      <c r="D53" s="1521"/>
      <c r="E53" s="1521"/>
      <c r="F53" s="1521"/>
      <c r="G53" s="1521"/>
      <c r="H53" s="1521"/>
      <c r="I53" s="1521"/>
      <c r="J53" s="1521"/>
    </row>
    <row r="54" spans="1:17" ht="62.25" customHeight="1">
      <c r="A54" s="3230" t="s">
        <v>3886</v>
      </c>
      <c r="B54" s="3230"/>
      <c r="C54" s="3230"/>
      <c r="D54" s="3230"/>
      <c r="E54" s="3230"/>
      <c r="F54" s="3230"/>
      <c r="G54" s="3230"/>
      <c r="H54" s="3230"/>
      <c r="I54" s="3230"/>
      <c r="J54" s="3230"/>
    </row>
    <row r="55" spans="1:17" ht="3" customHeight="1"/>
    <row r="56" spans="1:17" ht="73.5" customHeight="1">
      <c r="A56" s="3216" t="s">
        <v>3887</v>
      </c>
      <c r="B56" s="3216"/>
      <c r="C56" s="3216"/>
      <c r="D56" s="3216"/>
      <c r="E56" s="3216"/>
      <c r="F56" s="3216"/>
      <c r="G56" s="3216"/>
      <c r="H56" s="3216"/>
      <c r="I56" s="3216"/>
      <c r="J56" s="3216"/>
    </row>
    <row r="57" spans="1:17" ht="6" customHeight="1">
      <c r="A57" s="1521" t="s">
        <v>238</v>
      </c>
      <c r="B57" s="1521"/>
      <c r="C57" s="1521"/>
      <c r="D57" s="1521"/>
      <c r="E57" s="1521"/>
      <c r="F57" s="1521"/>
      <c r="G57" s="1521"/>
      <c r="H57" s="1521"/>
      <c r="I57" s="1521"/>
      <c r="J57" s="1521"/>
    </row>
    <row r="58" spans="1:17">
      <c r="A58" s="625" t="s">
        <v>2846</v>
      </c>
      <c r="L58" s="626" t="s">
        <v>3366</v>
      </c>
    </row>
    <row r="59" spans="1:17" ht="73.5" customHeight="1">
      <c r="A59" s="3232" t="s">
        <v>2847</v>
      </c>
      <c r="B59" s="3232"/>
      <c r="C59" s="3232"/>
      <c r="D59" s="3232"/>
      <c r="E59" s="3232"/>
      <c r="F59" s="3232"/>
      <c r="G59" s="3232"/>
      <c r="H59" s="3232"/>
      <c r="I59" s="3232"/>
      <c r="J59" s="3232"/>
      <c r="L59" s="627">
        <f>'Closing term sheet'!C133</f>
        <v>839635</v>
      </c>
      <c r="M59" s="628"/>
      <c r="N59" s="628"/>
      <c r="O59" s="628"/>
    </row>
    <row r="60" spans="1:17" ht="7.5" customHeight="1">
      <c r="A60" s="1521"/>
      <c r="B60" s="1521"/>
      <c r="C60" s="1521"/>
      <c r="D60" s="1521"/>
      <c r="E60" s="1521"/>
      <c r="F60" s="1521"/>
      <c r="G60" s="1521"/>
      <c r="H60" s="1521"/>
      <c r="I60" s="1521"/>
      <c r="J60" s="1521"/>
      <c r="L60" s="629" t="s">
        <v>3367</v>
      </c>
      <c r="M60" s="630" t="s">
        <v>3372</v>
      </c>
      <c r="N60" s="631" t="s">
        <v>3369</v>
      </c>
      <c r="O60" s="629" t="s">
        <v>3368</v>
      </c>
      <c r="P60" s="630" t="s">
        <v>3371</v>
      </c>
      <c r="Q60" s="631" t="s">
        <v>3370</v>
      </c>
    </row>
    <row r="61" spans="1:17" ht="78.75" customHeight="1">
      <c r="A61" s="3230" t="s">
        <v>3280</v>
      </c>
      <c r="B61" s="3230"/>
      <c r="C61" s="3230"/>
      <c r="D61" s="3230"/>
      <c r="E61" s="3230"/>
      <c r="F61" s="3230"/>
      <c r="G61" s="3230"/>
      <c r="H61" s="3230"/>
      <c r="I61" s="3230"/>
      <c r="J61" s="632"/>
      <c r="L61" s="633">
        <f>'Part III-Sources of Funds'!I49</f>
        <v>7107894</v>
      </c>
      <c r="M61" s="634">
        <f>'Part IV-A-Uses of Funds'!$J$184</f>
        <v>844755</v>
      </c>
      <c r="N61" s="635">
        <f>'Part IV-A-Uses of Funds'!N175</f>
        <v>0.85</v>
      </c>
      <c r="O61" s="633">
        <f>'Part III-Sources of Funds'!I50</f>
        <v>3788726</v>
      </c>
      <c r="P61" s="634">
        <f>M61</f>
        <v>844755</v>
      </c>
      <c r="Q61" s="635">
        <f>'Part IV-A-Uses of Funds'!Q175</f>
        <v>0.44</v>
      </c>
    </row>
    <row r="62" spans="1:17" ht="18.75" customHeight="1">
      <c r="A62" s="636" t="s">
        <v>2848</v>
      </c>
    </row>
    <row r="63" spans="1:17" ht="177" customHeight="1">
      <c r="A63" s="3230" t="s">
        <v>3888</v>
      </c>
      <c r="B63" s="3230"/>
      <c r="C63" s="3230"/>
      <c r="D63" s="3230"/>
      <c r="E63" s="3230"/>
      <c r="F63" s="3230"/>
      <c r="G63" s="3230"/>
      <c r="H63" s="3230"/>
      <c r="I63" s="3230"/>
      <c r="J63" s="3230"/>
      <c r="L63" s="637">
        <f>'Part VII-Pro Forma'!K71</f>
        <v>486558.44572960993</v>
      </c>
      <c r="M63" s="3233" t="s">
        <v>3373</v>
      </c>
      <c r="N63" s="3234"/>
    </row>
    <row r="64" spans="1:17" ht="6" customHeight="1">
      <c r="A64" s="625"/>
    </row>
    <row r="65" spans="1:10">
      <c r="A65" s="625" t="s">
        <v>2849</v>
      </c>
    </row>
    <row r="66" spans="1:10" ht="72.599999999999994" customHeight="1">
      <c r="A66" s="3230" t="s">
        <v>2850</v>
      </c>
      <c r="B66" s="3230"/>
      <c r="C66" s="3230"/>
      <c r="D66" s="3230"/>
      <c r="E66" s="3230"/>
      <c r="F66" s="3230"/>
      <c r="G66" s="3230"/>
      <c r="H66" s="3230"/>
      <c r="I66" s="3230"/>
      <c r="J66" s="3230"/>
    </row>
    <row r="67" spans="1:10" ht="36" customHeight="1">
      <c r="A67" s="3230" t="s">
        <v>2851</v>
      </c>
      <c r="B67" s="3230"/>
      <c r="C67" s="3230"/>
      <c r="D67" s="3230"/>
      <c r="E67" s="3230"/>
      <c r="F67" s="3230"/>
      <c r="G67" s="3230"/>
      <c r="H67" s="3230"/>
      <c r="I67" s="3230"/>
      <c r="J67" s="3230"/>
    </row>
    <row r="68" spans="1:10" ht="6" customHeight="1">
      <c r="A68" s="625"/>
    </row>
    <row r="69" spans="1:10">
      <c r="A69" s="625" t="s">
        <v>2852</v>
      </c>
    </row>
    <row r="70" spans="1:10" ht="105.75" customHeight="1">
      <c r="A70" s="3216" t="s">
        <v>2853</v>
      </c>
      <c r="B70" s="3216"/>
      <c r="C70" s="3216"/>
      <c r="D70" s="3216"/>
      <c r="E70" s="3216"/>
      <c r="F70" s="3216"/>
      <c r="G70" s="3216"/>
      <c r="H70" s="3216"/>
      <c r="I70" s="3216"/>
      <c r="J70" s="3216"/>
    </row>
    <row r="71" spans="1:10" ht="6" customHeight="1">
      <c r="A71" s="625"/>
    </row>
    <row r="72" spans="1:10">
      <c r="A72" s="625" t="s">
        <v>2854</v>
      </c>
    </row>
    <row r="73" spans="1:10" ht="66" customHeight="1">
      <c r="A73" s="3216" t="s">
        <v>2855</v>
      </c>
      <c r="B73" s="3216"/>
      <c r="C73" s="3216"/>
      <c r="D73" s="3216"/>
      <c r="E73" s="3216"/>
      <c r="F73" s="3216"/>
      <c r="G73" s="3216"/>
      <c r="H73" s="3216"/>
      <c r="I73" s="3216"/>
      <c r="J73" s="3216"/>
    </row>
    <row r="74" spans="1:10" s="1523" customFormat="1" ht="6" customHeight="1">
      <c r="A74" s="3216"/>
      <c r="B74" s="3216"/>
      <c r="C74" s="3216"/>
      <c r="D74" s="3216"/>
      <c r="E74" s="3216"/>
      <c r="F74" s="3216"/>
      <c r="G74" s="3216"/>
      <c r="H74" s="3216"/>
      <c r="I74" s="3216"/>
      <c r="J74" s="3216"/>
    </row>
    <row r="75" spans="1:10" ht="16.5" customHeight="1">
      <c r="A75" s="1525" t="s">
        <v>2856</v>
      </c>
      <c r="B75" s="624"/>
      <c r="C75" s="624"/>
      <c r="D75" s="1527"/>
      <c r="E75" s="624"/>
      <c r="F75" s="624"/>
      <c r="G75" s="624"/>
      <c r="H75" s="624"/>
      <c r="I75" s="624"/>
      <c r="J75" s="638"/>
    </row>
    <row r="76" spans="1:10" s="1523" customFormat="1" ht="63" customHeight="1">
      <c r="A76" s="3216" t="s">
        <v>4096</v>
      </c>
      <c r="B76" s="3216"/>
      <c r="C76" s="3216"/>
      <c r="D76" s="3216"/>
      <c r="E76" s="3216"/>
      <c r="F76" s="3216"/>
      <c r="G76" s="3216"/>
      <c r="H76" s="3216"/>
      <c r="I76" s="3216"/>
      <c r="J76" s="3216"/>
    </row>
    <row r="77" spans="1:10" s="1523" customFormat="1" ht="6" customHeight="1">
      <c r="A77" s="1521"/>
      <c r="B77" s="1521"/>
      <c r="C77" s="1521"/>
      <c r="D77" s="1521"/>
      <c r="E77" s="1521"/>
      <c r="F77" s="1521"/>
      <c r="G77" s="1521"/>
      <c r="H77" s="1521"/>
      <c r="I77" s="1521"/>
      <c r="J77" s="1521"/>
    </row>
    <row r="78" spans="1:10" ht="16.5" customHeight="1">
      <c r="A78" s="3236" t="s">
        <v>2857</v>
      </c>
      <c r="B78" s="3237"/>
      <c r="C78" s="3237"/>
      <c r="D78" s="624"/>
      <c r="E78" s="624"/>
      <c r="F78" s="624"/>
      <c r="G78" s="624"/>
      <c r="H78" s="624"/>
      <c r="I78" s="624"/>
      <c r="J78" s="638"/>
    </row>
    <row r="79" spans="1:10" ht="41.25" customHeight="1">
      <c r="A79" s="3230" t="s">
        <v>3889</v>
      </c>
      <c r="B79" s="3238"/>
      <c r="C79" s="3238"/>
      <c r="D79" s="3238"/>
      <c r="E79" s="3238"/>
      <c r="F79" s="3238"/>
      <c r="G79" s="3238"/>
      <c r="H79" s="3238"/>
      <c r="I79" s="3238"/>
      <c r="J79" s="3238"/>
    </row>
    <row r="80" spans="1:10" ht="6" customHeight="1">
      <c r="A80" s="639"/>
      <c r="B80" s="624"/>
      <c r="C80" s="624"/>
      <c r="D80" s="624"/>
      <c r="E80" s="624"/>
      <c r="F80" s="624"/>
      <c r="G80" s="624"/>
      <c r="H80" s="624"/>
      <c r="I80" s="624"/>
      <c r="J80" s="638"/>
    </row>
    <row r="81" spans="1:15">
      <c r="A81" s="625" t="s">
        <v>2858</v>
      </c>
    </row>
    <row r="82" spans="1:15" ht="124.2" customHeight="1">
      <c r="A82" s="3230" t="s">
        <v>2859</v>
      </c>
      <c r="B82" s="3230"/>
      <c r="C82" s="3230"/>
      <c r="D82" s="3230"/>
      <c r="E82" s="3230"/>
      <c r="F82" s="3230"/>
      <c r="G82" s="3230"/>
      <c r="H82" s="3230"/>
      <c r="I82" s="3230"/>
      <c r="J82" s="3230"/>
      <c r="L82" s="3239" t="s">
        <v>2860</v>
      </c>
      <c r="M82" s="3239"/>
      <c r="N82" s="3239"/>
    </row>
    <row r="83" spans="1:15" ht="6" customHeight="1">
      <c r="A83" s="1524"/>
      <c r="B83" s="1524"/>
      <c r="C83" s="1524"/>
      <c r="D83" s="1524"/>
      <c r="E83" s="1524"/>
      <c r="F83" s="1524"/>
      <c r="G83" s="1524"/>
      <c r="H83" s="1524"/>
      <c r="I83" s="1524"/>
      <c r="J83" s="1524"/>
      <c r="L83" s="1526"/>
      <c r="M83" s="1526"/>
      <c r="N83" s="1526"/>
    </row>
    <row r="84" spans="1:15" ht="17.25" customHeight="1">
      <c r="A84" s="625" t="s">
        <v>2861</v>
      </c>
    </row>
    <row r="85" spans="1:15" ht="105" customHeight="1">
      <c r="A85" s="3230" t="s">
        <v>2862</v>
      </c>
      <c r="B85" s="3230"/>
      <c r="C85" s="3230"/>
      <c r="D85" s="3230"/>
      <c r="E85" s="3230"/>
      <c r="F85" s="3230"/>
      <c r="G85" s="3230"/>
      <c r="H85" s="3230"/>
      <c r="I85" s="3230"/>
      <c r="J85" s="3230"/>
      <c r="L85" s="3239" t="s">
        <v>2863</v>
      </c>
      <c r="M85" s="3239"/>
      <c r="N85" s="640" t="e">
        <f>'After-Tax Analysis'!G66</f>
        <v>#VALUE!</v>
      </c>
      <c r="O85" s="641" t="s">
        <v>2864</v>
      </c>
    </row>
    <row r="86" spans="1:15" ht="6" customHeight="1">
      <c r="A86" s="625"/>
    </row>
    <row r="87" spans="1:15">
      <c r="A87" s="625" t="s">
        <v>2865</v>
      </c>
    </row>
    <row r="88" spans="1:15" ht="118.5" customHeight="1">
      <c r="A88" s="3216" t="s">
        <v>2866</v>
      </c>
      <c r="B88" s="3216"/>
      <c r="C88" s="3216"/>
      <c r="D88" s="3216"/>
      <c r="E88" s="3216"/>
      <c r="F88" s="3216"/>
      <c r="G88" s="3216"/>
      <c r="H88" s="3216"/>
      <c r="I88" s="3216"/>
      <c r="J88" s="3216"/>
    </row>
    <row r="89" spans="1:15" ht="20.25" customHeight="1">
      <c r="A89" s="3218" t="s">
        <v>2867</v>
      </c>
      <c r="B89" s="3218"/>
      <c r="C89" s="3218"/>
      <c r="D89" s="3216"/>
      <c r="E89" s="1521"/>
      <c r="F89" s="1521"/>
      <c r="G89" s="1521"/>
      <c r="H89" s="1521"/>
      <c r="I89" s="1521"/>
      <c r="J89" s="1521"/>
    </row>
    <row r="90" spans="1:15" ht="109.5" customHeight="1">
      <c r="A90" s="3228" t="s">
        <v>2868</v>
      </c>
      <c r="B90" s="3229"/>
      <c r="C90" s="3229"/>
      <c r="D90" s="3229"/>
      <c r="E90" s="3229"/>
      <c r="F90" s="3229"/>
      <c r="G90" s="3229"/>
      <c r="H90" s="3229"/>
      <c r="I90" s="3229"/>
      <c r="J90" s="3229"/>
    </row>
    <row r="91" spans="1:15" ht="11.25" customHeight="1">
      <c r="A91" s="625"/>
    </row>
    <row r="92" spans="1:15">
      <c r="A92" s="625" t="s">
        <v>2869</v>
      </c>
    </row>
    <row r="93" spans="1:15" ht="110.4" customHeight="1">
      <c r="A93" s="3232" t="s">
        <v>2870</v>
      </c>
      <c r="B93" s="3232"/>
      <c r="C93" s="3232"/>
      <c r="D93" s="3232"/>
      <c r="E93" s="3232"/>
      <c r="F93" s="3232"/>
      <c r="G93" s="3232"/>
      <c r="H93" s="3232"/>
      <c r="I93" s="3232"/>
      <c r="J93" s="3232"/>
      <c r="L93" s="1172">
        <f>'Part VII-Pro Forma'!K71</f>
        <v>486558.44572960993</v>
      </c>
      <c r="M93" s="3235" t="s">
        <v>2871</v>
      </c>
      <c r="N93" s="3235"/>
    </row>
    <row r="94" spans="1:15" ht="11.25" hidden="1" customHeight="1">
      <c r="A94" s="1521"/>
      <c r="B94" s="1521"/>
      <c r="C94" s="1521"/>
      <c r="D94" s="1521"/>
      <c r="E94" s="1521"/>
      <c r="F94" s="1521"/>
      <c r="G94" s="1521"/>
      <c r="H94" s="1521"/>
      <c r="I94" s="1521"/>
      <c r="J94" s="1521"/>
    </row>
    <row r="95" spans="1:15" ht="12" hidden="1" customHeight="1">
      <c r="A95" s="1521"/>
      <c r="B95" s="1521"/>
      <c r="C95" s="1521"/>
      <c r="D95" s="1521"/>
      <c r="E95" s="1521"/>
      <c r="F95" s="1521"/>
      <c r="G95" s="1521"/>
      <c r="H95" s="1521"/>
      <c r="I95" s="1521"/>
      <c r="J95" s="638"/>
    </row>
    <row r="96" spans="1:15" ht="6" customHeight="1">
      <c r="A96" s="1521"/>
      <c r="B96" s="1521"/>
      <c r="C96" s="1521"/>
      <c r="D96" s="1521"/>
      <c r="E96" s="1521"/>
      <c r="F96" s="1521"/>
      <c r="G96" s="1521"/>
      <c r="H96" s="1521"/>
      <c r="I96" s="1521"/>
      <c r="J96" s="638"/>
    </row>
    <row r="97" spans="1:10" ht="17.25" customHeight="1">
      <c r="A97" s="3218" t="s">
        <v>2872</v>
      </c>
      <c r="B97" s="3218"/>
      <c r="C97" s="3218"/>
      <c r="D97" s="1521"/>
      <c r="E97" s="1521"/>
      <c r="F97" s="1521"/>
      <c r="G97" s="1521"/>
      <c r="H97" s="1521"/>
      <c r="I97" s="1521"/>
      <c r="J97" s="638"/>
    </row>
    <row r="98" spans="1:10" ht="37.5" customHeight="1">
      <c r="A98" s="3230" t="s">
        <v>2873</v>
      </c>
      <c r="B98" s="3230"/>
      <c r="C98" s="3230"/>
      <c r="D98" s="3230"/>
      <c r="E98" s="3230"/>
      <c r="F98" s="3230"/>
      <c r="G98" s="3230"/>
      <c r="H98" s="3230"/>
      <c r="I98" s="3230"/>
      <c r="J98" s="3230"/>
    </row>
    <row r="99" spans="1:10" ht="6" customHeight="1">
      <c r="A99" s="625"/>
    </row>
    <row r="100" spans="1:10">
      <c r="A100" s="625" t="s">
        <v>2874</v>
      </c>
    </row>
    <row r="101" spans="1:10" ht="43.5" customHeight="1">
      <c r="A101" s="3216" t="s">
        <v>2875</v>
      </c>
      <c r="B101" s="3216"/>
      <c r="C101" s="3216"/>
      <c r="D101" s="3216"/>
      <c r="E101" s="3216"/>
      <c r="F101" s="3216"/>
      <c r="G101" s="3216"/>
      <c r="H101" s="3216"/>
      <c r="I101" s="3216"/>
      <c r="J101" s="3216"/>
    </row>
    <row r="102" spans="1:10" ht="6" customHeight="1">
      <c r="A102" s="1521"/>
      <c r="B102" s="1521"/>
      <c r="C102" s="1521"/>
      <c r="D102" s="1521"/>
      <c r="E102" s="1521"/>
      <c r="F102" s="1521"/>
      <c r="G102" s="1521"/>
      <c r="H102" s="1521"/>
      <c r="I102" s="1521"/>
      <c r="J102" s="1521"/>
    </row>
    <row r="103" spans="1:10">
      <c r="A103" s="625" t="s">
        <v>2876</v>
      </c>
    </row>
    <row r="105" spans="1:10" ht="18" thickBot="1">
      <c r="A105" s="2026" t="s">
        <v>2877</v>
      </c>
      <c r="B105" s="2026"/>
      <c r="C105" s="2026"/>
      <c r="D105" s="2026"/>
      <c r="E105" s="2026"/>
      <c r="F105" s="2026"/>
      <c r="G105" s="2027"/>
      <c r="H105" s="619" t="s">
        <v>2878</v>
      </c>
      <c r="I105" s="2026"/>
      <c r="J105" s="2026"/>
    </row>
    <row r="108" spans="1:10" ht="13.95" customHeight="1" thickBot="1">
      <c r="G108" s="2027"/>
      <c r="H108" s="619" t="s">
        <v>2879</v>
      </c>
    </row>
    <row r="109" spans="1:10">
      <c r="A109" s="619" t="s">
        <v>2880</v>
      </c>
    </row>
    <row r="112" spans="1:10" ht="14.4" thickBot="1">
      <c r="A112" s="642"/>
      <c r="B112" s="642"/>
      <c r="C112" s="642"/>
      <c r="D112" s="642"/>
      <c r="E112" s="2024"/>
      <c r="F112" s="642"/>
      <c r="G112" s="642"/>
      <c r="H112" s="642"/>
      <c r="I112" s="642"/>
      <c r="J112" s="642"/>
    </row>
    <row r="113" spans="1:10">
      <c r="A113" s="3226" t="s">
        <v>6837</v>
      </c>
      <c r="B113" s="3226"/>
      <c r="C113" s="3226"/>
      <c r="D113" s="3226"/>
      <c r="E113" s="3227"/>
      <c r="F113" s="2022" t="s">
        <v>6838</v>
      </c>
      <c r="G113" s="2022"/>
      <c r="H113" s="2025"/>
      <c r="I113" s="2025"/>
      <c r="J113" s="2022"/>
    </row>
    <row r="115" spans="1:10" ht="14.4" thickBot="1">
      <c r="A115" s="619" t="s">
        <v>2881</v>
      </c>
      <c r="B115" s="642"/>
      <c r="C115" s="642"/>
      <c r="H115" s="619" t="s">
        <v>2881</v>
      </c>
      <c r="I115" s="2023"/>
    </row>
    <row r="203" spans="1:1">
      <c r="A203" s="619" t="str">
        <f>'Subsidy Layering Memo'!A37&amp;".  "</f>
        <v xml:space="preserve">.  </v>
      </c>
    </row>
  </sheetData>
  <sheetProtection algorithmName="SHA-512" hashValue="ksrZz3rY825xwbVAQuamPZT6ilIwOzRuxGujZEJFshydAnY5Xn5NUqFl1QgJpRw24TLf0stW2S+r3iqABUS3hA==" saltValue="AooyBFKmceLXEvQaGdLqvA==" spinCount="100000" sheet="1" objects="1" scenarios="1"/>
  <mergeCells count="42">
    <mergeCell ref="K22:N22"/>
    <mergeCell ref="A48:J48"/>
    <mergeCell ref="A22:J22"/>
    <mergeCell ref="A24:J24"/>
    <mergeCell ref="A25:J25"/>
    <mergeCell ref="A27:J34"/>
    <mergeCell ref="A36:C36"/>
    <mergeCell ref="A37:J37"/>
    <mergeCell ref="A38:J38"/>
    <mergeCell ref="A41:J41"/>
    <mergeCell ref="A44:J44"/>
    <mergeCell ref="A46:J46"/>
    <mergeCell ref="M63:N63"/>
    <mergeCell ref="A66:J66"/>
    <mergeCell ref="A67:J67"/>
    <mergeCell ref="A70:J70"/>
    <mergeCell ref="A93:J93"/>
    <mergeCell ref="M93:N93"/>
    <mergeCell ref="A74:J74"/>
    <mergeCell ref="A76:J76"/>
    <mergeCell ref="A78:C78"/>
    <mergeCell ref="A79:J79"/>
    <mergeCell ref="A82:J82"/>
    <mergeCell ref="L82:N82"/>
    <mergeCell ref="A85:J85"/>
    <mergeCell ref="L85:M85"/>
    <mergeCell ref="A88:J88"/>
    <mergeCell ref="A89:D89"/>
    <mergeCell ref="F15:H15"/>
    <mergeCell ref="A113:E113"/>
    <mergeCell ref="A90:J90"/>
    <mergeCell ref="A97:C97"/>
    <mergeCell ref="A98:J98"/>
    <mergeCell ref="A101:J101"/>
    <mergeCell ref="A73:J73"/>
    <mergeCell ref="A50:I50"/>
    <mergeCell ref="A52:I52"/>
    <mergeCell ref="A54:J54"/>
    <mergeCell ref="A56:J56"/>
    <mergeCell ref="A59:J59"/>
    <mergeCell ref="A61:I61"/>
    <mergeCell ref="A63:J63"/>
  </mergeCells>
  <printOptions horizontalCentered="1"/>
  <pageMargins left="0.7" right="0.7" top="0.75" bottom="0.75" header="0.3" footer="0.3"/>
  <pageSetup scale="85" fitToHeight="0" orientation="portrait" r:id="rId1"/>
  <headerFooter>
    <oddFooter>&amp;Cpage &amp;P of &amp;N</oddFooter>
  </headerFooter>
  <rowBreaks count="2" manualBreakCount="2">
    <brk id="39" max="9" man="1"/>
    <brk id="61" max="9" man="1"/>
  </rowBreaks>
  <legacy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3">
    <pageSetUpPr fitToPage="1"/>
  </sheetPr>
  <dimension ref="A1:N83"/>
  <sheetViews>
    <sheetView showGridLines="0" zoomScaleNormal="100" workbookViewId="0">
      <selection activeCell="B32" sqref="B32"/>
    </sheetView>
  </sheetViews>
  <sheetFormatPr defaultColWidth="9.109375" defaultRowHeight="13.2"/>
  <cols>
    <col min="1" max="1" width="16.88671875" style="27" customWidth="1"/>
    <col min="2" max="3" width="26.109375" style="27" customWidth="1"/>
    <col min="4" max="4" width="9.44140625" style="27" customWidth="1"/>
    <col min="5" max="5" width="25.5546875" style="27" customWidth="1"/>
    <col min="6" max="6" width="8.5546875" style="27" customWidth="1"/>
    <col min="7" max="7" width="21.88671875" style="27" customWidth="1"/>
    <col min="8" max="8" width="6.5546875" style="27" customWidth="1"/>
    <col min="9" max="9" width="19.109375" style="27" customWidth="1"/>
    <col min="10" max="10" width="6.5546875" style="27" customWidth="1"/>
    <col min="11" max="11" width="18.88671875" style="27" customWidth="1"/>
    <col min="12" max="12" width="7.5546875" style="27" customWidth="1"/>
    <col min="13" max="17" width="10.88671875" style="27" customWidth="1"/>
    <col min="18" max="16384" width="9.109375" style="27"/>
  </cols>
  <sheetData>
    <row r="1" spans="1:14" s="245" customFormat="1" ht="17.399999999999999">
      <c r="A1" s="1163" t="s">
        <v>2882</v>
      </c>
      <c r="B1" s="673"/>
      <c r="C1" s="673"/>
      <c r="D1" s="673"/>
      <c r="E1" s="673"/>
      <c r="F1" s="673"/>
      <c r="G1" s="673"/>
      <c r="H1" s="673"/>
      <c r="I1" s="673"/>
      <c r="J1" s="673"/>
      <c r="K1" s="673"/>
      <c r="L1" s="613"/>
      <c r="M1" s="613"/>
    </row>
    <row r="2" spans="1:14" s="245" customFormat="1" ht="17.399999999999999">
      <c r="A2" s="1163" t="str">
        <f>+"Financial Analysis for:  "&amp;E8&amp;"  "&amp;C8</f>
        <v>Financial Analysis for:  2020-074  Harper Woods II</v>
      </c>
      <c r="B2" s="673"/>
      <c r="C2" s="673"/>
      <c r="D2" s="673"/>
      <c r="E2" s="673"/>
      <c r="F2" s="673"/>
      <c r="G2" s="673"/>
      <c r="H2" s="673"/>
      <c r="I2" s="673"/>
      <c r="J2" s="673"/>
      <c r="K2" s="673"/>
      <c r="L2" s="613"/>
      <c r="M2" s="613"/>
    </row>
    <row r="5" spans="1:14" ht="15.6">
      <c r="A5" s="644"/>
      <c r="B5" s="645"/>
      <c r="C5" s="646"/>
      <c r="D5" s="645"/>
      <c r="E5" s="645"/>
      <c r="F5" s="644"/>
      <c r="G5" s="645"/>
      <c r="H5" s="646"/>
      <c r="I5" s="645"/>
      <c r="J5" s="645"/>
      <c r="K5" s="645"/>
      <c r="L5" s="645"/>
      <c r="M5" s="610"/>
    </row>
    <row r="7" spans="1:14" ht="15.6">
      <c r="A7" s="613" t="s">
        <v>2883</v>
      </c>
      <c r="B7" s="610"/>
      <c r="C7" s="647"/>
      <c r="D7" s="648"/>
      <c r="E7" s="648"/>
      <c r="F7" s="613" t="s">
        <v>3211</v>
      </c>
      <c r="G7" s="610"/>
      <c r="H7" s="3244" t="str">
        <f>IF(SUM('Part I-Project Information'!H54:H56)=0,"",IF(MAX('Part I-Project Information'!H54:H56)='Part I-Project Information'!H54,"New Construction", IF(MAX('Part I-Project Information'!H54:H56)='Part I-Project Information'!H55,"Substantial Rehabilitation", IF(MAX('Part I-Project Information'!H54:H56)='Part I-Project Information'!H56,"Acquisition/Rehabilitation","Check core app"))))</f>
        <v>New Construction</v>
      </c>
      <c r="I7" s="3244"/>
      <c r="J7" s="3244"/>
      <c r="K7" s="3244"/>
      <c r="L7" s="610"/>
      <c r="M7" s="610"/>
    </row>
    <row r="8" spans="1:14" ht="15.6">
      <c r="A8" s="613" t="s">
        <v>2884</v>
      </c>
      <c r="B8" s="613"/>
      <c r="C8" s="3244" t="str">
        <f>'Part I-Project Information'!F34</f>
        <v>Harper Woods II</v>
      </c>
      <c r="D8" s="3244"/>
      <c r="E8" s="1233" t="str">
        <f>'Part I-Project Information'!O6</f>
        <v>2020-074</v>
      </c>
      <c r="F8" s="649" t="s">
        <v>2885</v>
      </c>
      <c r="G8" s="648"/>
      <c r="H8" s="3244" t="str">
        <f>CONCATENATE('Part I-Project Information'!F38,", ",'Part I-Project Information'!J39)</f>
        <v>Columbus, Muscogee</v>
      </c>
      <c r="I8" s="3244"/>
      <c r="J8" s="3244"/>
      <c r="K8" s="3244"/>
      <c r="L8" s="610"/>
      <c r="M8" s="650"/>
    </row>
    <row r="9" spans="1:14" ht="15.6">
      <c r="A9" s="613" t="s">
        <v>2887</v>
      </c>
      <c r="B9" s="613"/>
      <c r="C9" s="3244" t="s">
        <v>1727</v>
      </c>
      <c r="D9" s="3244"/>
      <c r="E9" s="648"/>
      <c r="F9" s="649" t="s">
        <v>2888</v>
      </c>
      <c r="G9" s="648"/>
      <c r="H9" s="3244" t="str">
        <f>'Part II-Development Team'!H5</f>
        <v>Harper Woods Apartments II, LP</v>
      </c>
      <c r="I9" s="3244"/>
      <c r="J9" s="3244"/>
      <c r="K9" s="3244"/>
      <c r="L9" s="3244"/>
      <c r="M9" s="650"/>
    </row>
    <row r="10" spans="1:14" ht="15.6">
      <c r="A10" s="613" t="s">
        <v>2890</v>
      </c>
      <c r="B10" s="610"/>
      <c r="C10" s="1233" t="str">
        <f>'Part II-Development Team'!H14</f>
        <v>TBG Harper Woods II, LLC</v>
      </c>
      <c r="D10" s="648"/>
      <c r="E10" s="648"/>
      <c r="F10" s="649" t="s">
        <v>3428</v>
      </c>
      <c r="G10" s="648"/>
      <c r="H10" s="3244" t="str">
        <f>'Part II-Development Team'!H33</f>
        <v>Synovus Bank</v>
      </c>
      <c r="I10" s="3244"/>
      <c r="J10" s="3244"/>
      <c r="K10" s="3244" t="str">
        <f>'Part II-Development Team'!H39</f>
        <v>TBG Harper Woods II Investments, LLC</v>
      </c>
      <c r="L10" s="3244"/>
    </row>
    <row r="11" spans="1:14" ht="15.6">
      <c r="A11" s="613" t="s">
        <v>2891</v>
      </c>
      <c r="B11" s="610"/>
      <c r="C11" s="1233" t="str">
        <f>IF('Part II-Development Team'!H20="","",'Part II-Development Team'!H20)</f>
        <v/>
      </c>
      <c r="D11" s="648"/>
      <c r="E11" s="1165" t="str">
        <f>IF('Part II-Development Team'!H26="","",'Part II-Development Team'!H26)</f>
        <v/>
      </c>
      <c r="F11" s="649" t="s">
        <v>634</v>
      </c>
      <c r="G11" s="648"/>
      <c r="H11" s="3244" t="str">
        <f>'Part II-Development Team'!H54</f>
        <v>TBG Development Services, Inc</v>
      </c>
      <c r="I11" s="3244"/>
      <c r="J11" s="3244"/>
      <c r="K11" s="3244">
        <f>'Part II-Development Team'!H60</f>
        <v>0</v>
      </c>
      <c r="L11" s="3244"/>
      <c r="M11" s="3244">
        <f>'Part II-Development Team'!H66</f>
        <v>0</v>
      </c>
      <c r="N11" s="3244"/>
    </row>
    <row r="12" spans="1:14" ht="15.6">
      <c r="A12" s="613" t="s">
        <v>2892</v>
      </c>
      <c r="B12" s="610"/>
      <c r="C12" s="1233" t="str">
        <f>'Part II-Development Team'!H86</f>
        <v>TBG Construction, Inc</v>
      </c>
      <c r="D12" s="648"/>
      <c r="E12" s="648"/>
      <c r="F12" s="649" t="s">
        <v>2893</v>
      </c>
      <c r="G12" s="648"/>
      <c r="H12" s="3244" t="str">
        <f>'Part II-Development Team'!H92</f>
        <v xml:space="preserve">TBG Management, Inc </v>
      </c>
      <c r="I12" s="3244"/>
      <c r="J12" s="3244"/>
      <c r="K12" s="3244"/>
      <c r="L12" s="610"/>
      <c r="M12" s="610"/>
    </row>
    <row r="13" spans="1:14" ht="15.6">
      <c r="A13" s="613" t="s">
        <v>2894</v>
      </c>
      <c r="B13" s="649"/>
      <c r="C13" s="609">
        <f>'Part VI-Revenues &amp; Expenses'!$P$67</f>
        <v>72</v>
      </c>
      <c r="E13" s="1166">
        <f>'Part VI-Revenues &amp; Expenses'!$P$63</f>
        <v>72</v>
      </c>
      <c r="F13" s="649" t="s">
        <v>3881</v>
      </c>
      <c r="G13" s="648"/>
      <c r="H13" s="1234">
        <f>'Part I-Project Information'!H76</f>
        <v>1</v>
      </c>
      <c r="I13" s="1167"/>
      <c r="J13" s="1167"/>
      <c r="K13" s="1234">
        <f>'Part I-Project Information'!P75</f>
        <v>70575</v>
      </c>
      <c r="L13" s="610"/>
      <c r="M13" s="610"/>
    </row>
    <row r="14" spans="1:14" ht="15.6">
      <c r="A14" s="613" t="s">
        <v>3201</v>
      </c>
      <c r="B14" s="610"/>
      <c r="C14" s="1234" t="str">
        <f>'Part I-Project Information'!H82</f>
        <v>HFOP</v>
      </c>
      <c r="D14" s="3244" t="str">
        <f>IF('Part I-Project Information'!N74=0,"",'Part I-Project Information'!N74)</f>
        <v/>
      </c>
      <c r="E14" s="3244"/>
      <c r="F14" s="649" t="s">
        <v>2895</v>
      </c>
      <c r="G14" s="648"/>
      <c r="H14" s="3249" t="s">
        <v>3375</v>
      </c>
      <c r="I14" s="3249"/>
      <c r="J14" s="3249"/>
      <c r="K14" s="3249" t="s">
        <v>3375</v>
      </c>
      <c r="L14" s="3249"/>
      <c r="M14" s="610"/>
    </row>
    <row r="15" spans="1:14" ht="15.6">
      <c r="A15" s="613" t="s">
        <v>2896</v>
      </c>
      <c r="B15" s="610"/>
      <c r="C15" s="651" t="s">
        <v>1727</v>
      </c>
      <c r="D15" s="648"/>
      <c r="E15" s="648"/>
      <c r="F15" s="649" t="s">
        <v>3202</v>
      </c>
      <c r="G15" s="648"/>
      <c r="H15" s="1233" t="str">
        <f>'Part I-Project Information'!K40</f>
        <v>Urban</v>
      </c>
      <c r="I15" s="648"/>
      <c r="J15" s="648"/>
      <c r="K15" s="648"/>
      <c r="L15" s="610"/>
      <c r="M15" s="610"/>
    </row>
    <row r="16" spans="1:14" ht="15.6">
      <c r="A16" s="613" t="s">
        <v>3404</v>
      </c>
      <c r="B16" s="610"/>
      <c r="C16" s="1233" t="str">
        <f>'Part I-Project Information'!H100</f>
        <v>No</v>
      </c>
      <c r="D16" s="652" t="s">
        <v>2603</v>
      </c>
      <c r="E16" s="1233" t="str">
        <f>'Part I-Project Information'!H103</f>
        <v>No</v>
      </c>
      <c r="F16" s="649"/>
      <c r="G16" s="648"/>
      <c r="H16" s="648"/>
      <c r="I16" s="648"/>
      <c r="J16" s="648"/>
      <c r="K16" s="648"/>
      <c r="L16" s="610"/>
      <c r="M16" s="610"/>
    </row>
    <row r="17" spans="1:13" ht="15">
      <c r="A17" s="610"/>
      <c r="B17" s="610"/>
      <c r="C17" s="610"/>
      <c r="D17" s="648"/>
      <c r="E17" s="648"/>
      <c r="F17" s="648"/>
      <c r="G17" s="648"/>
      <c r="H17" s="648"/>
      <c r="I17" s="648"/>
      <c r="J17" s="610"/>
      <c r="K17" s="610"/>
      <c r="L17" s="610"/>
      <c r="M17" s="610"/>
    </row>
    <row r="18" spans="1:13" ht="15.6">
      <c r="A18" s="613" t="s">
        <v>3204</v>
      </c>
      <c r="B18" s="610"/>
      <c r="C18" s="1236">
        <f>'Part IV-A-Uses of Funds'!G132</f>
        <v>12452350</v>
      </c>
      <c r="D18" s="1212">
        <f>IF(C18=0,"",$C$29/C18)</f>
        <v>7.4684698069039171E-2</v>
      </c>
      <c r="E18" s="648" t="s">
        <v>3205</v>
      </c>
      <c r="F18" s="649" t="s">
        <v>3206</v>
      </c>
      <c r="G18" s="648"/>
      <c r="H18" s="3243">
        <f>'Part IV-A-Uses of Funds'!B44</f>
        <v>7817441</v>
      </c>
      <c r="I18" s="3243"/>
      <c r="J18" s="1211">
        <f>IF(H18=0,"",$C$29/H18)</f>
        <v>0.11896476097485098</v>
      </c>
      <c r="K18" s="3244" t="s">
        <v>3207</v>
      </c>
      <c r="L18" s="3244"/>
      <c r="M18" s="610"/>
    </row>
    <row r="19" spans="1:13" ht="15.6">
      <c r="A19" s="613" t="s">
        <v>2897</v>
      </c>
      <c r="B19" s="610"/>
      <c r="C19" s="1235">
        <f>C18/C13</f>
        <v>172949.30555555556</v>
      </c>
      <c r="D19" s="648"/>
      <c r="E19" s="610"/>
      <c r="F19" s="613" t="s">
        <v>2897</v>
      </c>
      <c r="G19" s="610"/>
      <c r="H19" s="3245">
        <f>H18/C13</f>
        <v>108575.56944444444</v>
      </c>
      <c r="I19" s="3245"/>
      <c r="J19" s="610"/>
      <c r="K19" s="610"/>
      <c r="L19" s="610"/>
      <c r="M19" s="610"/>
    </row>
    <row r="20" spans="1:13" ht="15.6">
      <c r="A20" s="613" t="s">
        <v>2898</v>
      </c>
      <c r="B20" s="610"/>
      <c r="C20" s="1237">
        <f>C18/K13</f>
        <v>176.44137442437125</v>
      </c>
      <c r="D20" s="653"/>
      <c r="E20" s="654"/>
      <c r="F20" s="613" t="s">
        <v>2898</v>
      </c>
      <c r="G20" s="610"/>
      <c r="H20" s="3246">
        <f>H18/K13</f>
        <v>110.76784980517181</v>
      </c>
      <c r="I20" s="3245"/>
      <c r="J20" s="610"/>
      <c r="K20" s="610"/>
      <c r="L20" s="610"/>
      <c r="M20" s="610"/>
    </row>
    <row r="21" spans="1:13" ht="15.6">
      <c r="A21" s="613"/>
      <c r="B21" s="610"/>
      <c r="C21" s="655"/>
      <c r="D21" s="610"/>
      <c r="E21" s="610"/>
      <c r="F21" s="613"/>
      <c r="G21" s="610"/>
      <c r="H21" s="655"/>
      <c r="I21" s="610"/>
      <c r="J21" s="610"/>
      <c r="K21" s="610"/>
      <c r="L21" s="610"/>
      <c r="M21" s="610"/>
    </row>
    <row r="22" spans="1:13" ht="15">
      <c r="A22" s="645"/>
      <c r="B22" s="645"/>
      <c r="C22" s="645"/>
      <c r="D22" s="645"/>
      <c r="E22" s="645"/>
      <c r="F22" s="645"/>
      <c r="G22" s="645"/>
      <c r="H22" s="645"/>
      <c r="I22" s="645"/>
      <c r="J22" s="645"/>
      <c r="K22" s="645"/>
      <c r="L22" s="645"/>
      <c r="M22" s="650"/>
    </row>
    <row r="23" spans="1:13" ht="15.6">
      <c r="A23" s="656" t="s">
        <v>2899</v>
      </c>
      <c r="B23" s="657"/>
      <c r="C23" s="657"/>
      <c r="D23" s="657"/>
      <c r="E23" s="648"/>
      <c r="F23" s="648"/>
      <c r="G23" s="648"/>
      <c r="H23" s="648"/>
      <c r="I23" s="648"/>
      <c r="J23" s="648"/>
      <c r="K23" s="648"/>
      <c r="L23" s="610"/>
      <c r="M23" s="650"/>
    </row>
    <row r="24" spans="1:13" ht="27" customHeight="1">
      <c r="A24" s="610"/>
      <c r="B24" s="610"/>
      <c r="C24" s="610"/>
      <c r="D24" s="658" t="s">
        <v>2900</v>
      </c>
      <c r="E24" s="610"/>
      <c r="F24" s="610"/>
      <c r="G24" s="610"/>
      <c r="H24" s="610"/>
      <c r="I24" s="610"/>
      <c r="J24" s="610"/>
      <c r="K24" s="610"/>
      <c r="L24" s="610"/>
      <c r="M24" s="650"/>
    </row>
    <row r="25" spans="1:13" ht="15.6">
      <c r="A25" s="613" t="s">
        <v>2901</v>
      </c>
      <c r="B25" s="659" t="str">
        <f>'Part III-Sources of Funds'!E38</f>
        <v>Synovus Bank</v>
      </c>
      <c r="C25" s="660">
        <f>'Part III-Sources of Funds'!I38</f>
        <v>930000</v>
      </c>
      <c r="D25" s="661" t="s">
        <v>2902</v>
      </c>
      <c r="E25" s="610"/>
      <c r="F25" s="648"/>
      <c r="G25" s="610" t="s">
        <v>2903</v>
      </c>
      <c r="H25" s="610"/>
      <c r="I25" s="610"/>
      <c r="K25" s="660"/>
      <c r="L25" s="648"/>
      <c r="M25" s="650"/>
    </row>
    <row r="26" spans="1:13" ht="15">
      <c r="A26" s="610"/>
      <c r="B26" s="659"/>
      <c r="C26" s="660"/>
      <c r="D26" s="661"/>
      <c r="E26" s="610"/>
      <c r="F26" s="648"/>
      <c r="G26" s="610" t="s">
        <v>2904</v>
      </c>
      <c r="H26" s="610"/>
      <c r="I26" s="610"/>
      <c r="K26" s="662" t="e">
        <f>C29/K25</f>
        <v>#DIV/0!</v>
      </c>
      <c r="L26" s="648"/>
      <c r="M26" s="610"/>
    </row>
    <row r="27" spans="1:13" ht="15">
      <c r="A27" s="610"/>
      <c r="B27" s="659"/>
      <c r="C27" s="660"/>
      <c r="D27" s="661"/>
      <c r="E27" s="610"/>
      <c r="F27" s="648"/>
      <c r="G27" s="610"/>
      <c r="H27" s="610"/>
      <c r="I27" s="610"/>
      <c r="K27" s="648"/>
      <c r="L27" s="648"/>
      <c r="M27" s="610"/>
    </row>
    <row r="28" spans="1:13" ht="15">
      <c r="A28" s="610"/>
      <c r="B28" s="610"/>
      <c r="C28" s="610"/>
      <c r="D28" s="610"/>
      <c r="E28" s="610"/>
      <c r="F28" s="648"/>
      <c r="G28" s="610" t="s">
        <v>2905</v>
      </c>
      <c r="H28" s="610"/>
      <c r="I28" s="610"/>
      <c r="K28" s="660"/>
      <c r="L28" s="648"/>
      <c r="M28" s="610"/>
    </row>
    <row r="29" spans="1:13" ht="16.2" thickBot="1">
      <c r="A29" s="610"/>
      <c r="B29" s="663" t="s">
        <v>2906</v>
      </c>
      <c r="C29" s="664">
        <f>SUM(C25:C27)</f>
        <v>930000</v>
      </c>
      <c r="D29" s="610"/>
      <c r="E29" s="610"/>
      <c r="F29" s="648"/>
      <c r="G29" s="610" t="s">
        <v>2907</v>
      </c>
      <c r="H29" s="610"/>
      <c r="I29" s="610"/>
      <c r="K29" s="662" t="e">
        <f>C29/K28</f>
        <v>#DIV/0!</v>
      </c>
      <c r="L29" s="648"/>
      <c r="M29" s="610"/>
    </row>
    <row r="30" spans="1:13" ht="16.2" thickTop="1">
      <c r="A30" s="613" t="s">
        <v>2908</v>
      </c>
      <c r="B30" s="663"/>
      <c r="C30" s="665">
        <f>'Part III-Sources of Funds'!$I$49+'Part III-Sources of Funds'!$I$50</f>
        <v>10896620</v>
      </c>
      <c r="D30" s="610"/>
      <c r="E30" s="610"/>
      <c r="F30" s="648"/>
      <c r="G30" s="610"/>
      <c r="H30" s="610"/>
      <c r="I30" s="610"/>
      <c r="K30" s="666"/>
      <c r="L30" s="648"/>
      <c r="M30" s="610"/>
    </row>
    <row r="31" spans="1:13" ht="15">
      <c r="A31" s="667" t="s">
        <v>2909</v>
      </c>
      <c r="B31" s="659" t="str">
        <f>'Part III-Sources of Funds'!E39</f>
        <v>City of Columbus HOME Loan</v>
      </c>
      <c r="C31" s="660">
        <f>'Part III-Sources of Funds'!I39</f>
        <v>625000</v>
      </c>
      <c r="D31" s="661"/>
      <c r="E31" s="610"/>
      <c r="F31" s="648"/>
      <c r="G31" s="610"/>
      <c r="H31" s="610"/>
      <c r="I31" s="610"/>
      <c r="K31" s="610"/>
      <c r="L31" s="648"/>
      <c r="M31" s="610"/>
    </row>
    <row r="32" spans="1:13" ht="15">
      <c r="A32" s="667" t="s">
        <v>2909</v>
      </c>
      <c r="B32" s="659">
        <f>'Part III-Sources of Funds'!E40</f>
        <v>0</v>
      </c>
      <c r="C32" s="660">
        <f>'Part III-Sources of Funds'!I40</f>
        <v>0</v>
      </c>
      <c r="D32" s="661"/>
      <c r="E32" s="610" t="s">
        <v>238</v>
      </c>
      <c r="F32" s="648"/>
      <c r="G32" s="610" t="s">
        <v>2910</v>
      </c>
      <c r="H32" s="610"/>
      <c r="I32" s="610"/>
      <c r="K32" s="660"/>
      <c r="L32" s="648"/>
      <c r="M32" s="648"/>
    </row>
    <row r="33" spans="1:13" ht="15.6">
      <c r="A33" s="610"/>
      <c r="B33" s="648"/>
      <c r="C33" s="668"/>
      <c r="D33" s="610"/>
      <c r="E33" s="610"/>
      <c r="F33" s="648"/>
      <c r="G33" s="1170" t="s">
        <v>2911</v>
      </c>
      <c r="H33" s="1170"/>
      <c r="I33" s="1170"/>
      <c r="K33" s="662" t="e">
        <f>$C$29/K32</f>
        <v>#DIV/0!</v>
      </c>
      <c r="L33" s="648"/>
      <c r="M33" s="669"/>
    </row>
    <row r="34" spans="1:13" ht="15.6">
      <c r="A34" s="610"/>
      <c r="B34" s="663" t="s">
        <v>2912</v>
      </c>
      <c r="C34" s="668">
        <f>SUM(C31:C32)</f>
        <v>625000</v>
      </c>
      <c r="D34" s="610"/>
      <c r="E34" s="610"/>
      <c r="F34" s="610"/>
      <c r="G34" s="610"/>
      <c r="H34" s="610"/>
      <c r="I34" s="610"/>
      <c r="K34" s="648"/>
      <c r="L34" s="610"/>
      <c r="M34" s="669"/>
    </row>
    <row r="35" spans="1:13" ht="15.6">
      <c r="A35" s="610"/>
      <c r="B35" s="663"/>
      <c r="C35" s="610"/>
      <c r="D35" s="610"/>
      <c r="E35" s="610"/>
      <c r="F35" s="610"/>
      <c r="G35" s="1170" t="s">
        <v>2913</v>
      </c>
      <c r="H35" s="1170"/>
      <c r="I35" s="1170"/>
      <c r="K35" s="670" t="e">
        <f>(C36)/K25</f>
        <v>#DIV/0!</v>
      </c>
      <c r="L35" s="610"/>
      <c r="M35" s="648"/>
    </row>
    <row r="36" spans="1:13" ht="15.6">
      <c r="A36" s="610"/>
      <c r="B36" s="663" t="s">
        <v>2914</v>
      </c>
      <c r="C36" s="668">
        <f>C29+C34</f>
        <v>1555000</v>
      </c>
      <c r="D36" s="610"/>
      <c r="E36" s="610"/>
      <c r="F36" s="610"/>
      <c r="G36" s="610"/>
      <c r="H36" s="610"/>
      <c r="I36" s="610"/>
      <c r="K36" s="648"/>
      <c r="L36" s="610"/>
      <c r="M36" s="648"/>
    </row>
    <row r="37" spans="1:13" ht="15.6">
      <c r="A37" s="610"/>
      <c r="B37" s="663"/>
      <c r="C37" s="671"/>
      <c r="D37" s="610"/>
      <c r="E37" s="610"/>
      <c r="F37" s="610"/>
      <c r="G37" s="1170" t="s">
        <v>2915</v>
      </c>
      <c r="H37" s="1170"/>
      <c r="I37" s="1170"/>
      <c r="K37" s="1171" t="e">
        <f>+(C36)/K32</f>
        <v>#DIV/0!</v>
      </c>
      <c r="L37" s="610"/>
      <c r="M37" s="669"/>
    </row>
    <row r="38" spans="1:13" ht="15.6">
      <c r="A38" s="610"/>
      <c r="B38" s="663" t="s">
        <v>2916</v>
      </c>
      <c r="C38" s="672">
        <f>C36/C18</f>
        <v>0.12487602741651174</v>
      </c>
      <c r="D38" s="610"/>
      <c r="E38" s="610"/>
      <c r="F38" s="610"/>
      <c r="G38" s="610"/>
      <c r="H38" s="610"/>
      <c r="I38" s="610"/>
      <c r="K38" s="648"/>
      <c r="L38" s="610"/>
      <c r="M38" s="669"/>
    </row>
    <row r="39" spans="1:13" ht="15.6">
      <c r="A39" s="610"/>
      <c r="B39" s="663"/>
      <c r="C39" s="671"/>
      <c r="D39" s="610"/>
      <c r="E39" s="610"/>
      <c r="F39" s="610"/>
      <c r="G39" s="610"/>
      <c r="H39" s="610"/>
      <c r="I39" s="610"/>
      <c r="K39" s="648"/>
      <c r="L39" s="610"/>
      <c r="M39" s="610"/>
    </row>
    <row r="40" spans="1:13" ht="15.6">
      <c r="A40" s="610"/>
      <c r="B40" s="663" t="s">
        <v>2917</v>
      </c>
      <c r="C40" s="672">
        <f>C36/H18</f>
        <v>0.19891419711386374</v>
      </c>
      <c r="D40" s="610"/>
      <c r="E40" s="610"/>
      <c r="F40" s="613"/>
      <c r="G40" s="613" t="s">
        <v>2918</v>
      </c>
      <c r="H40" s="610"/>
      <c r="I40" s="610"/>
      <c r="K40" s="662">
        <f>C30/C18</f>
        <v>0.87506534911081046</v>
      </c>
      <c r="L40" s="610"/>
      <c r="M40" s="610"/>
    </row>
    <row r="46" spans="1:13" ht="15.6">
      <c r="A46" s="673" t="s">
        <v>2919</v>
      </c>
      <c r="B46" s="643"/>
      <c r="C46" s="643"/>
      <c r="D46" s="643"/>
      <c r="E46" s="643"/>
      <c r="F46" s="643"/>
      <c r="G46" s="643"/>
      <c r="H46" s="643"/>
      <c r="I46" s="643"/>
      <c r="J46" s="643"/>
      <c r="K46" s="643"/>
      <c r="L46" s="643"/>
      <c r="M46" s="610"/>
    </row>
    <row r="47" spans="1:13" ht="15.6">
      <c r="A47" s="673" t="str">
        <f>C8</f>
        <v>Harper Woods II</v>
      </c>
      <c r="B47" s="643"/>
      <c r="C47" s="643"/>
      <c r="D47" s="643"/>
      <c r="E47" s="643"/>
      <c r="F47" s="643"/>
      <c r="G47" s="643"/>
      <c r="H47" s="643"/>
      <c r="I47" s="643"/>
      <c r="J47" s="643"/>
      <c r="K47" s="643"/>
      <c r="L47" s="643"/>
      <c r="M47" s="610"/>
    </row>
    <row r="50" spans="1:14" s="610" customFormat="1" ht="15.6">
      <c r="A50" s="613" t="s">
        <v>2920</v>
      </c>
      <c r="C50" s="674" t="s">
        <v>2921</v>
      </c>
      <c r="E50" s="675" t="s">
        <v>3376</v>
      </c>
      <c r="F50" s="676">
        <v>0.1</v>
      </c>
      <c r="G50" s="675" t="s">
        <v>3377</v>
      </c>
      <c r="H50" s="676">
        <v>0.05</v>
      </c>
      <c r="I50" s="675" t="s">
        <v>3378</v>
      </c>
      <c r="J50" s="676">
        <v>0.03</v>
      </c>
      <c r="K50" s="3247" t="s">
        <v>2922</v>
      </c>
      <c r="L50" s="3248"/>
      <c r="M50" s="27"/>
      <c r="N50" s="27"/>
    </row>
    <row r="51" spans="1:14" s="610" customFormat="1" ht="15.6">
      <c r="A51" s="613"/>
      <c r="C51" s="674"/>
      <c r="E51" s="674"/>
      <c r="F51" s="677"/>
      <c r="G51" s="674"/>
      <c r="H51" s="677"/>
      <c r="I51" s="674"/>
      <c r="J51" s="677"/>
      <c r="K51" s="674"/>
      <c r="M51" s="27"/>
      <c r="N51" s="27"/>
    </row>
    <row r="52" spans="1:14" s="610" customFormat="1" ht="18.75" customHeight="1">
      <c r="B52" s="678" t="s">
        <v>2923</v>
      </c>
      <c r="C52" s="679">
        <f>'Part VII-Pro Forma'!B14</f>
        <v>508572</v>
      </c>
      <c r="D52" s="679"/>
      <c r="E52" s="679">
        <f>$C$52</f>
        <v>508572</v>
      </c>
      <c r="F52" s="679"/>
      <c r="G52" s="679">
        <f>$C$52</f>
        <v>508572</v>
      </c>
      <c r="H52" s="679"/>
      <c r="I52" s="679">
        <f>$C$52</f>
        <v>508572</v>
      </c>
      <c r="J52" s="679"/>
      <c r="K52" s="679">
        <f>$C$52</f>
        <v>508572</v>
      </c>
      <c r="L52" s="680"/>
      <c r="M52" s="27"/>
      <c r="N52" s="27"/>
    </row>
    <row r="53" spans="1:14" s="610" customFormat="1" ht="18.75" customHeight="1">
      <c r="B53" s="678" t="s">
        <v>2926</v>
      </c>
      <c r="C53" s="679">
        <f>'Part VII-Pro Forma'!B15</f>
        <v>10171.44</v>
      </c>
      <c r="D53" s="679"/>
      <c r="E53" s="679">
        <f>$C$53</f>
        <v>10171.44</v>
      </c>
      <c r="F53" s="679"/>
      <c r="G53" s="679">
        <f>$C$53</f>
        <v>10171.44</v>
      </c>
      <c r="H53" s="679"/>
      <c r="I53" s="679">
        <f>$C$53</f>
        <v>10171.44</v>
      </c>
      <c r="J53" s="679"/>
      <c r="K53" s="679">
        <f>$C$53</f>
        <v>10171.44</v>
      </c>
      <c r="L53" s="680"/>
      <c r="M53" s="27"/>
      <c r="N53" s="27"/>
    </row>
    <row r="54" spans="1:14" s="610" customFormat="1" ht="18.75" customHeight="1">
      <c r="B54" s="678" t="s">
        <v>2924</v>
      </c>
      <c r="C54" s="679">
        <f>'Part VII-Pro Forma'!B16</f>
        <v>-36312.040800000002</v>
      </c>
      <c r="D54" s="679"/>
      <c r="E54" s="679">
        <f>-($C$52+E53)*F50</f>
        <v>-51874.344000000005</v>
      </c>
      <c r="F54" s="681"/>
      <c r="G54" s="679">
        <f>-($C$52+G53)*0.07</f>
        <v>-36312.040800000002</v>
      </c>
      <c r="H54" s="679"/>
      <c r="I54" s="679">
        <f>-($C$52+I53)*0.07</f>
        <v>-36312.040800000002</v>
      </c>
      <c r="J54" s="679"/>
      <c r="K54" s="679">
        <f>-($C$52+K53)*L54</f>
        <v>-51874.344000000005</v>
      </c>
      <c r="L54" s="682">
        <v>0.1</v>
      </c>
      <c r="M54" s="27"/>
      <c r="N54" s="27"/>
    </row>
    <row r="55" spans="1:14" s="610" customFormat="1" ht="18.75" customHeight="1">
      <c r="B55" s="678" t="s">
        <v>2925</v>
      </c>
      <c r="C55" s="679">
        <f>'Part VII-Pro Forma'!B17</f>
        <v>0</v>
      </c>
      <c r="D55" s="679"/>
      <c r="E55" s="679">
        <f>$C$55</f>
        <v>0</v>
      </c>
      <c r="F55" s="681"/>
      <c r="G55" s="679">
        <f>$C$55</f>
        <v>0</v>
      </c>
      <c r="H55" s="679"/>
      <c r="I55" s="679">
        <f>$C$55</f>
        <v>0</v>
      </c>
      <c r="J55" s="679"/>
      <c r="K55" s="679">
        <f>$C$55</f>
        <v>0</v>
      </c>
      <c r="L55" s="683"/>
      <c r="M55" s="27"/>
      <c r="N55" s="27"/>
    </row>
    <row r="56" spans="1:14" s="610" customFormat="1" ht="18.75" customHeight="1">
      <c r="B56" s="684" t="s">
        <v>2927</v>
      </c>
      <c r="C56" s="685">
        <f>SUM(C52:C55)</f>
        <v>482431.39919999999</v>
      </c>
      <c r="D56" s="679"/>
      <c r="E56" s="685">
        <f>SUM(E52:E55)</f>
        <v>466869.09600000002</v>
      </c>
      <c r="F56" s="679"/>
      <c r="G56" s="685">
        <f>SUM(G52:G55)</f>
        <v>482431.39919999999</v>
      </c>
      <c r="H56" s="679"/>
      <c r="I56" s="685">
        <f>SUM(I52:I55)</f>
        <v>482431.39919999999</v>
      </c>
      <c r="J56" s="679"/>
      <c r="K56" s="685">
        <f>SUM(K52:K55)</f>
        <v>466869.09600000002</v>
      </c>
      <c r="L56" s="680"/>
      <c r="M56" s="27"/>
      <c r="N56" s="27"/>
    </row>
    <row r="57" spans="1:14" s="610" customFormat="1" ht="24" customHeight="1">
      <c r="B57" s="678"/>
      <c r="C57" s="686"/>
      <c r="D57" s="679"/>
      <c r="E57" s="686"/>
      <c r="F57" s="679"/>
      <c r="G57" s="686"/>
      <c r="H57" s="679"/>
      <c r="I57" s="686"/>
      <c r="J57" s="679"/>
      <c r="K57" s="686"/>
      <c r="L57" s="680"/>
      <c r="M57" s="27"/>
      <c r="N57" s="27"/>
    </row>
    <row r="58" spans="1:14" s="610" customFormat="1" ht="18.75" customHeight="1">
      <c r="B58" s="678" t="s">
        <v>2928</v>
      </c>
      <c r="C58" s="679">
        <f>+'Part VI-Revenues &amp; Expenses'!F226+'Part VI-Revenues &amp; Expenses'!F235+'Part VI-Revenues &amp; Expenses'!L222+'Part VI-Revenues &amp; Expenses'!L230</f>
        <v>107576</v>
      </c>
      <c r="D58" s="679"/>
      <c r="E58" s="679">
        <f>$C$58</f>
        <v>107576</v>
      </c>
      <c r="F58" s="679"/>
      <c r="G58" s="679">
        <f>$C$58</f>
        <v>107576</v>
      </c>
      <c r="H58" s="679"/>
      <c r="I58" s="679">
        <f>$C$58</f>
        <v>107576</v>
      </c>
      <c r="J58" s="679"/>
      <c r="K58" s="679">
        <f>$C$58</f>
        <v>107576</v>
      </c>
      <c r="L58" s="680"/>
      <c r="M58" s="27"/>
      <c r="N58" s="27"/>
    </row>
    <row r="59" spans="1:14" s="610" customFormat="1" ht="18.75" customHeight="1">
      <c r="B59" s="678" t="s">
        <v>2929</v>
      </c>
      <c r="C59" s="679">
        <f>+'Part VI-Revenues &amp; Expenses'!F246</f>
        <v>82244</v>
      </c>
      <c r="D59" s="679"/>
      <c r="E59" s="679">
        <f>$C$59</f>
        <v>82244</v>
      </c>
      <c r="F59" s="679"/>
      <c r="G59" s="679">
        <f>$C$59</f>
        <v>82244</v>
      </c>
      <c r="H59" s="679"/>
      <c r="I59" s="679">
        <f>$C$59</f>
        <v>82244</v>
      </c>
      <c r="J59" s="679"/>
      <c r="K59" s="679">
        <f>$C$59*(1+$L$59)</f>
        <v>85533.760000000009</v>
      </c>
      <c r="L59" s="687">
        <v>0.04</v>
      </c>
      <c r="M59" s="27"/>
      <c r="N59" s="27"/>
    </row>
    <row r="60" spans="1:14" s="610" customFormat="1" ht="18.75" customHeight="1">
      <c r="B60" s="678" t="s">
        <v>1348</v>
      </c>
      <c r="C60" s="679">
        <f>+'Part VI-Revenues &amp; Expenses'!L239</f>
        <v>32000</v>
      </c>
      <c r="D60" s="679"/>
      <c r="E60" s="679">
        <f>$C$60</f>
        <v>32000</v>
      </c>
      <c r="F60" s="679"/>
      <c r="G60" s="679">
        <f>$C$60</f>
        <v>32000</v>
      </c>
      <c r="H60" s="679"/>
      <c r="I60" s="679">
        <f>$C$60*(1+$J$50)</f>
        <v>32960</v>
      </c>
      <c r="J60" s="681"/>
      <c r="K60" s="679">
        <f>$C$60*(1+$J$50)</f>
        <v>32960</v>
      </c>
      <c r="L60" s="682">
        <v>0.03</v>
      </c>
      <c r="M60" s="27"/>
      <c r="N60" s="27"/>
    </row>
    <row r="61" spans="1:14" s="610" customFormat="1" ht="18.75" customHeight="1">
      <c r="B61" s="678" t="s">
        <v>1349</v>
      </c>
      <c r="C61" s="679">
        <f>+'Part VI-Revenues &amp; Expenses'!L246</f>
        <v>63585</v>
      </c>
      <c r="D61" s="679"/>
      <c r="E61" s="679">
        <f>$C$61</f>
        <v>63585</v>
      </c>
      <c r="F61" s="679"/>
      <c r="G61" s="679">
        <f>$C$61*(1+H50)</f>
        <v>66764.25</v>
      </c>
      <c r="H61" s="681"/>
      <c r="I61" s="679">
        <f>$C$61</f>
        <v>63585</v>
      </c>
      <c r="J61" s="679"/>
      <c r="K61" s="679">
        <f>$C$61*(1+$L$61)</f>
        <v>66764.25</v>
      </c>
      <c r="L61" s="682">
        <v>0.05</v>
      </c>
      <c r="M61" s="27"/>
      <c r="N61" s="27"/>
    </row>
    <row r="62" spans="1:14" s="610" customFormat="1" ht="18.75" customHeight="1">
      <c r="B62" s="684" t="s">
        <v>2930</v>
      </c>
      <c r="C62" s="685">
        <f>SUM(C58:C61)</f>
        <v>285405</v>
      </c>
      <c r="D62" s="679"/>
      <c r="E62" s="685">
        <f>SUM(E58:E61)</f>
        <v>285405</v>
      </c>
      <c r="F62" s="679"/>
      <c r="G62" s="685">
        <f>SUM(G58:G61)</f>
        <v>288584.25</v>
      </c>
      <c r="H62" s="679"/>
      <c r="I62" s="685">
        <f>SUM(I58:I61)</f>
        <v>286365</v>
      </c>
      <c r="J62" s="679"/>
      <c r="K62" s="685">
        <f>SUM(K58:K61)</f>
        <v>292834.01</v>
      </c>
      <c r="L62" s="688"/>
      <c r="M62" s="27"/>
      <c r="N62" s="27"/>
    </row>
    <row r="63" spans="1:14" s="610" customFormat="1" ht="24" customHeight="1">
      <c r="B63" s="689"/>
      <c r="C63" s="686"/>
      <c r="D63" s="686"/>
      <c r="E63" s="686"/>
      <c r="F63" s="686"/>
      <c r="G63" s="686"/>
      <c r="H63" s="686"/>
      <c r="I63" s="686"/>
      <c r="J63" s="686"/>
      <c r="K63" s="686"/>
      <c r="L63" s="688"/>
      <c r="M63" s="27"/>
      <c r="N63" s="27"/>
    </row>
    <row r="64" spans="1:14" s="610" customFormat="1" ht="15.6">
      <c r="A64" s="27"/>
      <c r="B64" s="690" t="s">
        <v>2931</v>
      </c>
      <c r="C64" s="691">
        <f>C56-C62</f>
        <v>197026.39919999999</v>
      </c>
      <c r="D64" s="691"/>
      <c r="E64" s="691">
        <f>E56-E62</f>
        <v>181464.09600000002</v>
      </c>
      <c r="F64" s="691"/>
      <c r="G64" s="691">
        <f>G56-G62</f>
        <v>193847.14919999999</v>
      </c>
      <c r="H64" s="691"/>
      <c r="I64" s="691">
        <f>I56-I62</f>
        <v>196066.39919999999</v>
      </c>
      <c r="J64" s="691"/>
      <c r="K64" s="691">
        <f>K56-K62</f>
        <v>174035.08600000001</v>
      </c>
      <c r="L64" s="33"/>
      <c r="M64" s="27"/>
      <c r="N64" s="27"/>
    </row>
    <row r="65" spans="1:14" s="610" customFormat="1" ht="24" customHeight="1">
      <c r="A65" s="27"/>
      <c r="B65" s="689"/>
      <c r="C65" s="686"/>
      <c r="D65" s="686"/>
      <c r="E65" s="686"/>
      <c r="F65" s="686"/>
      <c r="G65" s="686"/>
      <c r="H65" s="686"/>
      <c r="I65" s="686"/>
      <c r="J65" s="686"/>
      <c r="K65" s="686"/>
      <c r="L65" s="33"/>
      <c r="M65" s="27"/>
      <c r="N65" s="27"/>
    </row>
    <row r="66" spans="1:14" s="610" customFormat="1" ht="15">
      <c r="A66" s="27"/>
      <c r="B66" s="689" t="s">
        <v>2932</v>
      </c>
      <c r="C66" s="686">
        <f>'Part VI-Revenues &amp; Expenses'!Q233</f>
        <v>18000</v>
      </c>
      <c r="D66" s="686"/>
      <c r="E66" s="686">
        <f>$C$66</f>
        <v>18000</v>
      </c>
      <c r="F66" s="686"/>
      <c r="G66" s="686">
        <f>$C$66</f>
        <v>18000</v>
      </c>
      <c r="H66" s="686"/>
      <c r="I66" s="686">
        <f>$C$66</f>
        <v>18000</v>
      </c>
      <c r="J66" s="686"/>
      <c r="K66" s="686">
        <f>$C$66</f>
        <v>18000</v>
      </c>
      <c r="L66" s="33"/>
      <c r="M66" s="27"/>
      <c r="N66" s="27"/>
    </row>
    <row r="67" spans="1:14" s="610" customFormat="1" ht="6" customHeight="1">
      <c r="A67" s="27"/>
      <c r="B67" s="689"/>
      <c r="C67" s="686"/>
      <c r="D67" s="686"/>
      <c r="E67" s="686"/>
      <c r="F67" s="686"/>
      <c r="G67" s="686"/>
      <c r="H67" s="686"/>
      <c r="I67" s="686"/>
      <c r="J67" s="686"/>
      <c r="K67" s="686"/>
      <c r="L67" s="33"/>
      <c r="M67" s="27"/>
      <c r="N67" s="27"/>
    </row>
    <row r="68" spans="1:14" s="610" customFormat="1" ht="15">
      <c r="A68" s="27"/>
      <c r="B68" s="689" t="s">
        <v>2933</v>
      </c>
      <c r="C68" s="686">
        <f>'Part VI-Revenues &amp; Expenses'!Q219</f>
        <v>38595</v>
      </c>
      <c r="D68" s="686"/>
      <c r="E68" s="686">
        <f>$C$68</f>
        <v>38595</v>
      </c>
      <c r="F68" s="686"/>
      <c r="G68" s="686">
        <f>$C$68</f>
        <v>38595</v>
      </c>
      <c r="H68" s="686"/>
      <c r="I68" s="686">
        <f>$C$68</f>
        <v>38595</v>
      </c>
      <c r="J68" s="686"/>
      <c r="K68" s="686">
        <f>$C$68</f>
        <v>38595</v>
      </c>
      <c r="L68" s="33"/>
      <c r="M68" s="27"/>
      <c r="N68" s="27"/>
    </row>
    <row r="69" spans="1:14" s="610" customFormat="1" ht="24" customHeight="1">
      <c r="A69" s="27"/>
      <c r="B69" s="692"/>
      <c r="C69" s="686"/>
      <c r="D69" s="679"/>
      <c r="E69" s="686"/>
      <c r="F69" s="679"/>
      <c r="G69" s="686"/>
      <c r="H69" s="679"/>
      <c r="I69" s="686"/>
      <c r="J69" s="679"/>
      <c r="K69" s="686"/>
      <c r="L69" s="33"/>
      <c r="M69" s="27"/>
      <c r="N69" s="27"/>
    </row>
    <row r="70" spans="1:14" s="610" customFormat="1" ht="15.6">
      <c r="A70" s="27"/>
      <c r="B70" s="693" t="s">
        <v>2934</v>
      </c>
      <c r="C70" s="694">
        <f>C64-C66-C68</f>
        <v>140431.39919999999</v>
      </c>
      <c r="D70" s="695"/>
      <c r="E70" s="694">
        <f>E64-E66-E68</f>
        <v>124869.09600000002</v>
      </c>
      <c r="F70" s="695"/>
      <c r="G70" s="694">
        <f>G64-G66-G68</f>
        <v>137252.14919999999</v>
      </c>
      <c r="H70" s="695"/>
      <c r="I70" s="694">
        <f>I64-I66-I68</f>
        <v>139471.39919999999</v>
      </c>
      <c r="J70" s="695"/>
      <c r="K70" s="694">
        <f>K64-K66-K68</f>
        <v>117440.08600000001</v>
      </c>
      <c r="L70" s="33"/>
      <c r="M70" s="27"/>
      <c r="N70" s="27"/>
    </row>
    <row r="71" spans="1:14" s="610" customFormat="1" ht="30" customHeight="1">
      <c r="A71" s="27"/>
      <c r="B71" s="678"/>
      <c r="C71" s="679"/>
      <c r="D71" s="679"/>
      <c r="E71" s="679"/>
      <c r="F71" s="679"/>
      <c r="G71" s="679"/>
      <c r="H71" s="679"/>
      <c r="I71" s="679"/>
      <c r="J71" s="679"/>
      <c r="K71" s="679"/>
      <c r="L71" s="33"/>
      <c r="M71" s="27"/>
      <c r="N71" s="27"/>
    </row>
    <row r="72" spans="1:14" s="613" customFormat="1" ht="18.75" customHeight="1">
      <c r="A72" s="245"/>
      <c r="B72" s="696" t="s">
        <v>2935</v>
      </c>
      <c r="C72" s="1213">
        <f>-C70/C75</f>
        <v>1.4350627137918814</v>
      </c>
      <c r="D72" s="697"/>
      <c r="E72" s="1213">
        <f>-E70/E75</f>
        <v>1.2760321751070256</v>
      </c>
      <c r="F72" s="697"/>
      <c r="G72" s="1213">
        <f>-G70/G75</f>
        <v>1.4025740883219813</v>
      </c>
      <c r="H72" s="697"/>
      <c r="I72" s="1213">
        <f>-I70/I75</f>
        <v>1.425252513131001</v>
      </c>
      <c r="J72" s="697"/>
      <c r="K72" s="1213">
        <f>-K70/K75</f>
        <v>1.200115426344851</v>
      </c>
      <c r="L72" s="698"/>
      <c r="M72" s="245"/>
      <c r="N72" s="245"/>
    </row>
    <row r="73" spans="1:14" s="610" customFormat="1" ht="18.75" customHeight="1">
      <c r="A73" s="27"/>
      <c r="B73" s="678" t="s">
        <v>2936</v>
      </c>
      <c r="C73" s="1214">
        <f>C76/C62</f>
        <v>0.14917073501809613</v>
      </c>
      <c r="D73" s="699"/>
      <c r="E73" s="1214">
        <f>E76/E62</f>
        <v>9.464364824666617E-2</v>
      </c>
      <c r="F73" s="699"/>
      <c r="G73" s="1214">
        <f>G76/G62</f>
        <v>0.13651065027921561</v>
      </c>
      <c r="H73" s="699"/>
      <c r="I73" s="1214">
        <f>I76/I62</f>
        <v>0.14531829527993897</v>
      </c>
      <c r="J73" s="699"/>
      <c r="K73" s="1214">
        <f>K76/K62</f>
        <v>6.6873244770440932E-2</v>
      </c>
      <c r="L73" s="33"/>
      <c r="M73" s="27"/>
      <c r="N73" s="27"/>
    </row>
    <row r="74" spans="1:14" s="610" customFormat="1" ht="24" customHeight="1">
      <c r="A74" s="27"/>
      <c r="B74" s="678"/>
      <c r="C74" s="679"/>
      <c r="D74" s="679"/>
      <c r="E74" s="679"/>
      <c r="F74" s="679"/>
      <c r="G74" s="679"/>
      <c r="H74" s="679"/>
      <c r="I74" s="679"/>
      <c r="J74" s="679"/>
      <c r="K74" s="679"/>
      <c r="L74" s="33"/>
      <c r="M74" s="27"/>
      <c r="N74" s="27"/>
    </row>
    <row r="75" spans="1:14" s="610" customFormat="1" ht="18.75" customHeight="1">
      <c r="A75" s="27"/>
      <c r="B75" s="678" t="s">
        <v>2937</v>
      </c>
      <c r="C75" s="679">
        <f>+SUM('Part VII-Pro Forma'!B25:B28)</f>
        <v>-97857.325572160262</v>
      </c>
      <c r="D75" s="679"/>
      <c r="E75" s="679">
        <f>$C$75</f>
        <v>-97857.325572160262</v>
      </c>
      <c r="F75" s="679"/>
      <c r="G75" s="679">
        <f>$C$75</f>
        <v>-97857.325572160262</v>
      </c>
      <c r="H75" s="679"/>
      <c r="I75" s="679">
        <f>$C$75</f>
        <v>-97857.325572160262</v>
      </c>
      <c r="J75" s="679"/>
      <c r="K75" s="679">
        <f>$C$75</f>
        <v>-97857.325572160262</v>
      </c>
      <c r="L75" s="33"/>
      <c r="M75" s="27"/>
      <c r="N75" s="27"/>
    </row>
    <row r="76" spans="1:14" s="610" customFormat="1" ht="18.75" customHeight="1">
      <c r="A76" s="27"/>
      <c r="B76" s="678" t="s">
        <v>1142</v>
      </c>
      <c r="C76" s="679">
        <f>C70+C75</f>
        <v>42574.073627839723</v>
      </c>
      <c r="D76" s="679"/>
      <c r="E76" s="679">
        <f>E70+E75</f>
        <v>27011.770427839758</v>
      </c>
      <c r="F76" s="679"/>
      <c r="G76" s="679">
        <f>G70+G75</f>
        <v>39394.823627839723</v>
      </c>
      <c r="H76" s="679"/>
      <c r="I76" s="679">
        <f>I70+I75</f>
        <v>41614.073627839723</v>
      </c>
      <c r="J76" s="679"/>
      <c r="K76" s="679">
        <f>K70+K75</f>
        <v>19582.760427839748</v>
      </c>
      <c r="L76" s="33"/>
      <c r="M76" s="27"/>
      <c r="N76" s="27"/>
    </row>
    <row r="77" spans="1:14" s="610" customFormat="1" ht="15" hidden="1">
      <c r="A77" s="27"/>
      <c r="B77" s="678" t="s">
        <v>2938</v>
      </c>
      <c r="C77" s="700" t="e">
        <f>PV(intrate/12,30*12,C75/12,0)</f>
        <v>#NAME?</v>
      </c>
      <c r="D77" s="678"/>
      <c r="E77" s="700" t="e">
        <f>PV(intrate/12,30*12,E75/12,0)</f>
        <v>#NAME?</v>
      </c>
      <c r="F77" s="678"/>
      <c r="G77" s="700" t="e">
        <f>PV(intrate/12,30*12,G75/12,0)</f>
        <v>#NAME?</v>
      </c>
      <c r="H77" s="678"/>
      <c r="I77" s="700" t="e">
        <f>PV(intrate/12,30*12,I75/12,0)</f>
        <v>#NAME?</v>
      </c>
      <c r="J77" s="678"/>
      <c r="K77" s="700" t="e">
        <f>PV(intrate/12,30*12,K75/12,0)</f>
        <v>#NAME?</v>
      </c>
      <c r="L77" s="33"/>
      <c r="M77" s="27"/>
      <c r="N77" s="27"/>
    </row>
    <row r="78" spans="1:14" s="610" customFormat="1" ht="15.6" hidden="1">
      <c r="A78" s="27"/>
      <c r="B78" s="701" t="s">
        <v>2939</v>
      </c>
      <c r="C78" s="688"/>
      <c r="D78" s="688"/>
      <c r="E78" s="688"/>
      <c r="F78" s="688"/>
      <c r="G78" s="688"/>
      <c r="H78" s="688"/>
      <c r="I78" s="688"/>
      <c r="J78" s="688"/>
      <c r="K78" s="688"/>
      <c r="L78" s="33"/>
      <c r="M78" s="27"/>
      <c r="N78" s="27"/>
    </row>
    <row r="79" spans="1:14" s="610" customFormat="1" ht="15" hidden="1">
      <c r="A79" s="27"/>
      <c r="B79" s="688"/>
      <c r="C79" s="688"/>
      <c r="D79" s="688"/>
      <c r="E79" s="688"/>
      <c r="F79" s="688"/>
      <c r="G79" s="688"/>
      <c r="H79" s="688"/>
      <c r="I79" s="688"/>
      <c r="J79" s="688"/>
      <c r="K79" s="688"/>
      <c r="L79" s="33"/>
      <c r="M79" s="27"/>
      <c r="N79" s="27"/>
    </row>
    <row r="80" spans="1:14" s="610" customFormat="1" ht="15.6" hidden="1" thickBot="1">
      <c r="A80" s="27"/>
      <c r="B80" s="688" t="s">
        <v>2940</v>
      </c>
      <c r="C80" s="702" t="e">
        <f>MIN(C77,E77,G77,I77,K77)</f>
        <v>#NAME?</v>
      </c>
      <c r="D80" s="688"/>
      <c r="E80" s="688" t="s">
        <v>2941</v>
      </c>
      <c r="F80" s="703">
        <v>0.06</v>
      </c>
      <c r="G80" s="33"/>
      <c r="H80" s="33"/>
      <c r="I80" s="33"/>
      <c r="J80" s="33"/>
      <c r="K80" s="33"/>
      <c r="L80" s="33"/>
      <c r="M80" s="27"/>
      <c r="N80" s="27"/>
    </row>
    <row r="81" spans="1:14" s="610" customFormat="1" ht="15" hidden="1">
      <c r="A81" s="27"/>
      <c r="B81" s="688" t="s">
        <v>1687</v>
      </c>
      <c r="C81" s="702" t="e">
        <f>MAX(C77,E77,G77,I77,K77)</f>
        <v>#NAME?</v>
      </c>
      <c r="D81" s="688"/>
      <c r="E81" s="688"/>
      <c r="F81" s="688"/>
      <c r="G81" s="33"/>
      <c r="H81" s="33"/>
      <c r="I81" s="33"/>
      <c r="J81" s="33"/>
      <c r="K81" s="33"/>
      <c r="L81" s="33"/>
      <c r="M81" s="27"/>
      <c r="N81" s="27"/>
    </row>
    <row r="82" spans="1:14" s="610" customFormat="1" ht="15">
      <c r="A82" s="27"/>
      <c r="B82" s="688"/>
      <c r="C82" s="688"/>
      <c r="D82" s="688"/>
      <c r="E82" s="688" t="s">
        <v>238</v>
      </c>
      <c r="F82" s="688"/>
      <c r="G82" s="33"/>
      <c r="H82" s="33"/>
      <c r="I82" s="33"/>
      <c r="J82" s="33"/>
      <c r="K82" s="33"/>
      <c r="L82" s="33"/>
      <c r="M82" s="27"/>
      <c r="N82" s="27"/>
    </row>
    <row r="83" spans="1:14" s="610" customFormat="1" ht="15">
      <c r="A83" s="27"/>
      <c r="G83" s="27"/>
      <c r="H83" s="27"/>
      <c r="I83" s="27"/>
      <c r="J83" s="27"/>
      <c r="K83" s="27"/>
      <c r="L83" s="27"/>
      <c r="M83" s="27"/>
      <c r="N83" s="27"/>
    </row>
  </sheetData>
  <sheetProtection algorithmName="SHA-512" hashValue="VYfkdMHJSTTm2IGfSJG/xiAwazm2GMYO1IF/yrDVAHOjIcaxATrBvrWfkDkiBxit/uUElibk6nOBSs0gxworgA==" saltValue="4WOJ72RMS2ypOZb6uuVWFw==" spinCount="100000" sheet="1" objects="1" scenarios="1"/>
  <mergeCells count="19">
    <mergeCell ref="H10:J10"/>
    <mergeCell ref="K10:L10"/>
    <mergeCell ref="H7:K7"/>
    <mergeCell ref="C8:D8"/>
    <mergeCell ref="H8:K8"/>
    <mergeCell ref="C9:D9"/>
    <mergeCell ref="H9:L9"/>
    <mergeCell ref="M11:N11"/>
    <mergeCell ref="H11:J11"/>
    <mergeCell ref="K11:L11"/>
    <mergeCell ref="H12:K12"/>
    <mergeCell ref="D14:E14"/>
    <mergeCell ref="H14:J14"/>
    <mergeCell ref="K14:L14"/>
    <mergeCell ref="H18:I18"/>
    <mergeCell ref="K18:L18"/>
    <mergeCell ref="H19:I19"/>
    <mergeCell ref="H20:I20"/>
    <mergeCell ref="K50:L50"/>
  </mergeCells>
  <dataValidations count="8">
    <dataValidation type="list" allowBlank="1" showInputMessage="1" showErrorMessage="1" sqref="K14:L14" xr:uid="{00000000-0002-0000-0F00-000000000000}">
      <formula1>"Check rent chart &amp; select below, (No other style),SF Detached, Mfd Home, Duplex, Townhome, 1-Story, 2-Story, 2-Story Walkup, 3+ Story "</formula1>
    </dataValidation>
    <dataValidation type="list" allowBlank="1" showInputMessage="1" showErrorMessage="1" sqref="H14:J14" xr:uid="{00000000-0002-0000-0F00-000001000000}">
      <formula1>"Check rent chart &amp; select below, SF Detached, Mfd Home, Duplex, Townhome, 1-Story, 2-Story, 2-Story Walkup, 3+ Story"</formula1>
    </dataValidation>
    <dataValidation type="list" allowBlank="1" showInputMessage="1" showErrorMessage="1" sqref="B13" xr:uid="{00000000-0002-0000-0F00-000002000000}">
      <formula1>$M$10:$M$14</formula1>
    </dataValidation>
    <dataValidation type="list" allowBlank="1" showInputMessage="1" showErrorMessage="1" sqref="D33" xr:uid="{00000000-0002-0000-0F00-000003000000}">
      <formula1>$M$29:$M$31</formula1>
    </dataValidation>
    <dataValidation type="list" allowBlank="1" showInputMessage="1" showErrorMessage="1" sqref="C9:D9" xr:uid="{00000000-0002-0000-0F00-000004000000}">
      <formula1>"&lt;&lt;Select&gt;&gt;, HOME, HOME and 9% LIHTC, HOME and 4% LIHTC, NSP and 4% LIHTC"</formula1>
    </dataValidation>
    <dataValidation type="list" showInputMessage="1" showErrorMessage="1" sqref="D25:D27 D31:D32" xr:uid="{00000000-0002-0000-0F00-000005000000}">
      <formula1>"First, Second, Third"</formula1>
    </dataValidation>
    <dataValidation type="list" allowBlank="1" showInputMessage="1" showErrorMessage="1" sqref="C15" xr:uid="{00000000-0002-0000-0F00-000006000000}">
      <formula1>"&lt;&lt;Select&gt;&gt;,Gas, Electric"</formula1>
    </dataValidation>
    <dataValidation showDropDown="1" showInputMessage="1" showErrorMessage="1" sqref="C14 B25:B27" xr:uid="{00000000-0002-0000-0F00-000007000000}"/>
  </dataValidations>
  <printOptions horizontalCentered="1"/>
  <pageMargins left="0.5" right="0.5" top="0.75" bottom="0.75" header="0.5" footer="0.5"/>
  <pageSetup scale="67" fitToHeight="0" orientation="landscape" r:id="rId1"/>
  <headerFooter>
    <oddHeader>&amp;L&amp;9Georgia Department of Community Affairs&amp;CHOME Application Overview&amp;R&amp;9Housing Finance and Development Division</oddHeader>
    <oddFooter>&amp;Cpage &amp;P of &amp;N</oddFooter>
  </headerFooter>
  <rowBreaks count="1" manualBreakCount="1">
    <brk id="43" max="16383" man="1"/>
  </rowBreaks>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
    <pageSetUpPr fitToPage="1"/>
  </sheetPr>
  <dimension ref="A1:Q82"/>
  <sheetViews>
    <sheetView showGridLines="0" zoomScale="120" zoomScaleNormal="120" workbookViewId="0">
      <selection activeCell="A2" sqref="A2"/>
    </sheetView>
  </sheetViews>
  <sheetFormatPr defaultColWidth="9.109375" defaultRowHeight="13.2"/>
  <cols>
    <col min="1" max="1" width="24.88671875" style="1150" customWidth="1"/>
    <col min="2" max="11" width="10.5546875" style="1150" customWidth="1"/>
    <col min="12" max="12" width="9.88671875" style="1150" customWidth="1"/>
    <col min="13" max="21" width="10.5546875" style="1150" customWidth="1"/>
    <col min="22" max="16384" width="9.109375" style="1150"/>
  </cols>
  <sheetData>
    <row r="1" spans="1:7" ht="3" customHeight="1"/>
    <row r="2" spans="1:7">
      <c r="A2" s="1149" t="s">
        <v>3845</v>
      </c>
    </row>
    <row r="3" spans="1:7" ht="3" customHeight="1"/>
    <row r="4" spans="1:7">
      <c r="A4" s="1150" t="s">
        <v>3846</v>
      </c>
      <c r="B4" s="1151">
        <f>+'Part IV-A-Uses of Funds'!$G$132</f>
        <v>12452350</v>
      </c>
    </row>
    <row r="5" spans="1:7">
      <c r="A5" s="1150" t="s">
        <v>3877</v>
      </c>
      <c r="B5" s="1151">
        <f>+B18+B26+B38</f>
        <v>1125476.0778449911</v>
      </c>
    </row>
    <row r="6" spans="1:7">
      <c r="A6" s="1150" t="s">
        <v>3847</v>
      </c>
      <c r="B6" s="1152">
        <f>+B5-B4</f>
        <v>-11326873.92215501</v>
      </c>
    </row>
    <row r="7" spans="1:7">
      <c r="A7" s="1150" t="s">
        <v>3848</v>
      </c>
      <c r="B7" s="1153">
        <f>+B6/B4</f>
        <v>-0.90961737520668862</v>
      </c>
    </row>
    <row r="8" spans="1:7" ht="9" customHeight="1"/>
    <row r="9" spans="1:7">
      <c r="A9" s="1150" t="s">
        <v>3849</v>
      </c>
      <c r="B9" s="1151">
        <f>+B18+B26+B33</f>
        <v>1125476.0778449911</v>
      </c>
    </row>
    <row r="10" spans="1:7">
      <c r="A10" s="1150" t="s">
        <v>3847</v>
      </c>
      <c r="B10" s="1152">
        <f>+B9-B4</f>
        <v>-11326873.92215501</v>
      </c>
    </row>
    <row r="11" spans="1:7">
      <c r="A11" s="1150" t="s">
        <v>3848</v>
      </c>
      <c r="B11" s="1153">
        <f>+B10/B4</f>
        <v>-0.90961737520668862</v>
      </c>
    </row>
    <row r="12" spans="1:7" ht="24" customHeight="1"/>
    <row r="13" spans="1:7">
      <c r="A13" s="1149" t="s">
        <v>3850</v>
      </c>
      <c r="D13" s="1219" t="s">
        <v>4106</v>
      </c>
      <c r="E13" s="1220"/>
    </row>
    <row r="14" spans="1:7">
      <c r="A14" s="1150" t="s">
        <v>3851</v>
      </c>
      <c r="B14" s="1154">
        <f>+SUM('Part III-Sources of Funds'!L49:M50)</f>
        <v>10897339.5</v>
      </c>
      <c r="D14" s="1220"/>
      <c r="E14" s="1220"/>
    </row>
    <row r="15" spans="1:7">
      <c r="A15" s="1150" t="s">
        <v>3852</v>
      </c>
      <c r="B15" s="1155">
        <f>+'Part IV-A-Uses of Funds'!J173</f>
        <v>1089735</v>
      </c>
      <c r="D15" s="1220" t="s">
        <v>1997</v>
      </c>
      <c r="G15" s="1221">
        <f>'Part IV-A-Uses of Funds'!J155</f>
        <v>11106191</v>
      </c>
    </row>
    <row r="16" spans="1:7" ht="12.75" customHeight="1">
      <c r="D16" s="1220" t="s">
        <v>4107</v>
      </c>
      <c r="G16" s="1225">
        <v>3.2800000000000003E-2</v>
      </c>
    </row>
    <row r="17" spans="1:7" ht="12.75" customHeight="1">
      <c r="A17" s="1150" t="s">
        <v>3853</v>
      </c>
      <c r="B17" s="1224">
        <v>1.45</v>
      </c>
      <c r="D17" s="1220" t="s">
        <v>4108</v>
      </c>
      <c r="G17" s="1226">
        <v>1.45</v>
      </c>
    </row>
    <row r="18" spans="1:7" ht="12.75" customHeight="1">
      <c r="A18" s="1150" t="s">
        <v>3854</v>
      </c>
      <c r="B18" s="1156">
        <f>+'Part IV-A-Uses of Funds'!J183*B17*10</f>
        <v>0</v>
      </c>
      <c r="D18" s="1220" t="s">
        <v>4109</v>
      </c>
      <c r="G18" s="1226">
        <v>3.28</v>
      </c>
    </row>
    <row r="19" spans="1:7" ht="12.75" customHeight="1">
      <c r="D19" s="1220" t="s">
        <v>4110</v>
      </c>
      <c r="G19" s="1222">
        <f>+G15*G16*G17*10</f>
        <v>5282104.4396000002</v>
      </c>
    </row>
    <row r="20" spans="1:7">
      <c r="A20" s="1150" t="s">
        <v>3855</v>
      </c>
      <c r="B20" s="1154">
        <f>+B18-B14</f>
        <v>-10897339.5</v>
      </c>
      <c r="D20" s="1220" t="s">
        <v>4111</v>
      </c>
      <c r="G20" s="1223">
        <f>+B14-G19</f>
        <v>5615235.0603999998</v>
      </c>
    </row>
    <row r="21" spans="1:7">
      <c r="A21" s="1150" t="s">
        <v>3856</v>
      </c>
      <c r="B21" s="1153">
        <f>+B20/B14</f>
        <v>-1</v>
      </c>
      <c r="D21" s="1220" t="s">
        <v>4112</v>
      </c>
      <c r="G21" s="1220" t="str">
        <f>+IF(G20&gt;(B28+B35),"No","Yes")</f>
        <v>No</v>
      </c>
    </row>
    <row r="22" spans="1:7" ht="24" customHeight="1"/>
    <row r="23" spans="1:7">
      <c r="A23" s="1149" t="s">
        <v>3857</v>
      </c>
    </row>
    <row r="24" spans="1:7">
      <c r="A24" s="1150" t="s">
        <v>3858</v>
      </c>
      <c r="B24" s="1157">
        <f>+SUM('Part III-Sources of Funds'!I38:J41)</f>
        <v>1555000</v>
      </c>
    </row>
    <row r="25" spans="1:7">
      <c r="A25" s="1150" t="s">
        <v>3859</v>
      </c>
      <c r="B25" s="1158">
        <f>IF('Part III-Sources of Funds'!E5="Yes","N/A",MAX(B46:P46))</f>
        <v>-14268.901273066032</v>
      </c>
    </row>
    <row r="26" spans="1:7">
      <c r="A26" s="1150" t="s">
        <v>3860</v>
      </c>
      <c r="B26" s="1148">
        <f>IFERROR(PV('Part III-Sources of Funds'!K38,'Part III-Sources of Funds'!L38,B25+B45),B24)</f>
        <v>1125476.0778449911</v>
      </c>
    </row>
    <row r="27" spans="1:7" ht="9" customHeight="1">
      <c r="B27" s="1148"/>
    </row>
    <row r="28" spans="1:7">
      <c r="A28" s="1150" t="s">
        <v>3861</v>
      </c>
      <c r="B28" s="1159">
        <f>+B26-B24</f>
        <v>-429523.92215500888</v>
      </c>
      <c r="C28" s="1160"/>
    </row>
    <row r="29" spans="1:7">
      <c r="A29" s="1150" t="s">
        <v>3856</v>
      </c>
      <c r="B29" s="1161">
        <f>+B28/B24</f>
        <v>-0.27622117180386424</v>
      </c>
    </row>
    <row r="30" spans="1:7" ht="24" customHeight="1"/>
    <row r="31" spans="1:7">
      <c r="A31" s="1149" t="s">
        <v>3769</v>
      </c>
    </row>
    <row r="32" spans="1:7">
      <c r="A32" s="1150" t="s">
        <v>3862</v>
      </c>
      <c r="B32" s="1162">
        <f>+'Part III-Sources of Funds'!I43</f>
        <v>730</v>
      </c>
    </row>
    <row r="33" spans="1:11">
      <c r="A33" s="1150" t="s">
        <v>3863</v>
      </c>
      <c r="B33" s="1148"/>
    </row>
    <row r="34" spans="1:11" ht="9" customHeight="1">
      <c r="B34" s="1148"/>
    </row>
    <row r="35" spans="1:11">
      <c r="A35" s="1150" t="s">
        <v>3864</v>
      </c>
      <c r="B35" s="1162">
        <f>+B33-B32</f>
        <v>-730</v>
      </c>
    </row>
    <row r="36" spans="1:11">
      <c r="A36" s="1150" t="s">
        <v>3865</v>
      </c>
      <c r="B36" s="1147">
        <f>+B35/B32</f>
        <v>-1</v>
      </c>
    </row>
    <row r="37" spans="1:11" ht="24" customHeight="1">
      <c r="B37" s="1148"/>
    </row>
    <row r="38" spans="1:11">
      <c r="A38" s="1149" t="s">
        <v>3866</v>
      </c>
      <c r="B38" s="1148">
        <f>+SUM('Part III-Sources of Funds'!I42,'Part III-Sources of Funds'!I47,'Part III-Sources of Funds'!I48,'Part III-Sources of Funds'!I51:I57)</f>
        <v>0</v>
      </c>
    </row>
    <row r="39" spans="1:11">
      <c r="B39" s="1148"/>
    </row>
    <row r="40" spans="1:11">
      <c r="B40" s="1148"/>
    </row>
    <row r="41" spans="1:11">
      <c r="B41" s="1148"/>
    </row>
    <row r="42" spans="1:11">
      <c r="A42" s="1149" t="s">
        <v>3867</v>
      </c>
      <c r="B42" s="1148"/>
    </row>
    <row r="43" spans="1:11">
      <c r="A43" s="1150" t="s">
        <v>2416</v>
      </c>
      <c r="B43" s="1227">
        <v>1</v>
      </c>
      <c r="C43" s="1227">
        <v>2</v>
      </c>
      <c r="D43" s="1227">
        <v>3</v>
      </c>
      <c r="E43" s="1227">
        <v>4</v>
      </c>
      <c r="F43" s="1227">
        <v>5</v>
      </c>
      <c r="G43" s="1227">
        <v>6</v>
      </c>
      <c r="H43" s="1227">
        <v>7</v>
      </c>
      <c r="I43" s="1227">
        <v>8</v>
      </c>
      <c r="J43" s="1227">
        <v>9</v>
      </c>
      <c r="K43" s="1227">
        <v>10</v>
      </c>
    </row>
    <row r="44" spans="1:11">
      <c r="A44" s="1150" t="s">
        <v>1177</v>
      </c>
      <c r="B44" s="1151">
        <f>+'Part VII-Pro Forma'!B24</f>
        <v>140431.39919999999</v>
      </c>
      <c r="C44" s="1151">
        <f>+'Part VII-Pro Forma'!C24</f>
        <v>140206.87718399998</v>
      </c>
      <c r="D44" s="1151">
        <f>+'Part VII-Pro Forma'!D24</f>
        <v>139885.26322767994</v>
      </c>
      <c r="E44" s="1151">
        <f>+'Part VII-Pro Forma'!E24</f>
        <v>139464.22484723356</v>
      </c>
      <c r="F44" s="1151">
        <f>+'Part VII-Pro Forma'!F24</f>
        <v>138938.26098982833</v>
      </c>
      <c r="G44" s="1151">
        <f>+'Part VII-Pro Forma'!G24</f>
        <v>138302.69620464442</v>
      </c>
      <c r="H44" s="1151">
        <f>+'Part VII-Pro Forma'!H24</f>
        <v>137550.67462360737</v>
      </c>
      <c r="I44" s="1151">
        <f>+'Part VII-Pro Forma'!I24</f>
        <v>136679.15374579551</v>
      </c>
      <c r="J44" s="1151">
        <f>+'Part VII-Pro Forma'!J24</f>
        <v>135680.89801931923</v>
      </c>
      <c r="K44" s="1151">
        <f>+'Part VII-Pro Forma'!K24</f>
        <v>134551.47221427155</v>
      </c>
    </row>
    <row r="45" spans="1:11">
      <c r="A45" s="1150" t="s">
        <v>3868</v>
      </c>
      <c r="B45" s="1151">
        <f>SUM('Part VII-Pro Forma'!B25:B28)</f>
        <v>-97857.325572160262</v>
      </c>
      <c r="C45" s="1151">
        <f>SUM('Part VII-Pro Forma'!C25:C28)</f>
        <v>-97857.325572160262</v>
      </c>
      <c r="D45" s="1151">
        <f>SUM('Part VII-Pro Forma'!D25:D28)</f>
        <v>-97857.325572160262</v>
      </c>
      <c r="E45" s="1151">
        <f>SUM('Part VII-Pro Forma'!E25:E28)</f>
        <v>-97857.325572160262</v>
      </c>
      <c r="F45" s="1151">
        <f>SUM('Part VII-Pro Forma'!F25:F28)</f>
        <v>-97857.325572160262</v>
      </c>
      <c r="G45" s="1151">
        <f>SUM('Part VII-Pro Forma'!G25:G28)</f>
        <v>-97857.325572160262</v>
      </c>
      <c r="H45" s="1151">
        <f>SUM('Part VII-Pro Forma'!H25:H28)</f>
        <v>-97857.325572160262</v>
      </c>
      <c r="I45" s="1151">
        <f>SUM('Part VII-Pro Forma'!I25:I28)</f>
        <v>-97857.325572160262</v>
      </c>
      <c r="J45" s="1151">
        <f>SUM('Part VII-Pro Forma'!J25:J28)</f>
        <v>-97857.325572160262</v>
      </c>
      <c r="K45" s="1151">
        <f>SUM('Part VII-Pro Forma'!K25:K28)</f>
        <v>-97857.325572160262</v>
      </c>
    </row>
    <row r="46" spans="1:11">
      <c r="A46" s="1150" t="s">
        <v>3869</v>
      </c>
      <c r="B46" s="1152">
        <f t="shared" ref="B46:K46" si="0">-B44/B48-B45</f>
        <v>-19168.840427839736</v>
      </c>
      <c r="C46" s="1152">
        <f t="shared" si="0"/>
        <v>-18981.738747839729</v>
      </c>
      <c r="D46" s="1152">
        <f t="shared" si="0"/>
        <v>-18713.727117573027</v>
      </c>
      <c r="E46" s="1152">
        <f t="shared" si="0"/>
        <v>-18362.861800534374</v>
      </c>
      <c r="F46" s="1152">
        <f t="shared" si="0"/>
        <v>-17924.55858603002</v>
      </c>
      <c r="G46" s="1152">
        <f t="shared" si="0"/>
        <v>-17394.921265043435</v>
      </c>
      <c r="H46" s="1152">
        <f t="shared" si="0"/>
        <v>-16768.236614179215</v>
      </c>
      <c r="I46" s="1152">
        <f t="shared" si="0"/>
        <v>-16041.969216002675</v>
      </c>
      <c r="J46" s="1152">
        <f t="shared" si="0"/>
        <v>-15210.089443939098</v>
      </c>
      <c r="K46" s="1152">
        <f t="shared" si="0"/>
        <v>-14268.901273066032</v>
      </c>
    </row>
    <row r="48" spans="1:11">
      <c r="A48" s="1150" t="s">
        <v>3870</v>
      </c>
      <c r="B48" s="1150">
        <f>IF(B82="NC",1.2,1.25)</f>
        <v>1.2</v>
      </c>
      <c r="C48" s="1150">
        <f>+B48</f>
        <v>1.2</v>
      </c>
      <c r="D48" s="1150">
        <f t="shared" ref="D48:K48" si="1">+C48</f>
        <v>1.2</v>
      </c>
      <c r="E48" s="1150">
        <f t="shared" si="1"/>
        <v>1.2</v>
      </c>
      <c r="F48" s="1150">
        <f t="shared" si="1"/>
        <v>1.2</v>
      </c>
      <c r="G48" s="1150">
        <f t="shared" si="1"/>
        <v>1.2</v>
      </c>
      <c r="H48" s="1150">
        <f t="shared" si="1"/>
        <v>1.2</v>
      </c>
      <c r="I48" s="1150">
        <f t="shared" si="1"/>
        <v>1.2</v>
      </c>
      <c r="J48" s="1150">
        <f t="shared" si="1"/>
        <v>1.2</v>
      </c>
      <c r="K48" s="1150">
        <f t="shared" si="1"/>
        <v>1.2</v>
      </c>
    </row>
    <row r="50" spans="1:17">
      <c r="A50" s="1149" t="s">
        <v>1142</v>
      </c>
    </row>
    <row r="51" spans="1:17">
      <c r="A51" s="1150" t="s">
        <v>1177</v>
      </c>
      <c r="B51" s="1152">
        <f>+B44</f>
        <v>140431.39919999999</v>
      </c>
      <c r="C51" s="1152">
        <f t="shared" ref="C51:K51" si="2">+C44</f>
        <v>140206.87718399998</v>
      </c>
      <c r="D51" s="1152">
        <f t="shared" si="2"/>
        <v>139885.26322767994</v>
      </c>
      <c r="E51" s="1152">
        <f t="shared" si="2"/>
        <v>139464.22484723356</v>
      </c>
      <c r="F51" s="1152">
        <f t="shared" si="2"/>
        <v>138938.26098982833</v>
      </c>
      <c r="G51" s="1152">
        <f t="shared" si="2"/>
        <v>138302.69620464442</v>
      </c>
      <c r="H51" s="1152">
        <f t="shared" si="2"/>
        <v>137550.67462360737</v>
      </c>
      <c r="I51" s="1152">
        <f t="shared" si="2"/>
        <v>136679.15374579551</v>
      </c>
      <c r="J51" s="1152">
        <f t="shared" si="2"/>
        <v>135680.89801931923</v>
      </c>
      <c r="K51" s="1152">
        <f t="shared" si="2"/>
        <v>134551.47221427155</v>
      </c>
    </row>
    <row r="52" spans="1:17">
      <c r="A52" s="1150" t="s">
        <v>3871</v>
      </c>
      <c r="B52" s="1152">
        <f>IF($B$25="N/A",B45,B45+$B$25)</f>
        <v>-112126.22684522629</v>
      </c>
      <c r="C52" s="1152">
        <f t="shared" ref="C52:K52" si="3">IF($B$25="N/A",C45,C45+$B$25)</f>
        <v>-112126.22684522629</v>
      </c>
      <c r="D52" s="1152">
        <f t="shared" si="3"/>
        <v>-112126.22684522629</v>
      </c>
      <c r="E52" s="1152">
        <f t="shared" si="3"/>
        <v>-112126.22684522629</v>
      </c>
      <c r="F52" s="1152">
        <f t="shared" si="3"/>
        <v>-112126.22684522629</v>
      </c>
      <c r="G52" s="1152">
        <f t="shared" si="3"/>
        <v>-112126.22684522629</v>
      </c>
      <c r="H52" s="1152">
        <f t="shared" si="3"/>
        <v>-112126.22684522629</v>
      </c>
      <c r="I52" s="1152">
        <f t="shared" si="3"/>
        <v>-112126.22684522629</v>
      </c>
      <c r="J52" s="1152">
        <f t="shared" si="3"/>
        <v>-112126.22684522629</v>
      </c>
      <c r="K52" s="1152">
        <f t="shared" si="3"/>
        <v>-112126.22684522629</v>
      </c>
    </row>
    <row r="53" spans="1:17">
      <c r="A53" s="1150" t="s">
        <v>3872</v>
      </c>
      <c r="B53" s="1151">
        <f>+'Part VII-Pro Forma'!B30</f>
        <v>-5400</v>
      </c>
      <c r="C53" s="1151">
        <f>+'Part VII-Pro Forma'!C30</f>
        <v>-5562</v>
      </c>
      <c r="D53" s="1151">
        <f>+'Part VII-Pro Forma'!D30</f>
        <v>-5728.86</v>
      </c>
      <c r="E53" s="1151">
        <f>+'Part VII-Pro Forma'!E30</f>
        <v>-5900.7257999999993</v>
      </c>
      <c r="F53" s="1151">
        <f>+'Part VII-Pro Forma'!F30</f>
        <v>-6077.7475739999991</v>
      </c>
      <c r="G53" s="1151">
        <f>+'Part VII-Pro Forma'!G30</f>
        <v>-6260.0800012199988</v>
      </c>
      <c r="H53" s="1151">
        <f>+'Part VII-Pro Forma'!H30</f>
        <v>-6447.8824012565992</v>
      </c>
      <c r="I53" s="1151">
        <f>+'Part VII-Pro Forma'!I30</f>
        <v>-6641.3188732942972</v>
      </c>
      <c r="J53" s="1151">
        <f>+'Part VII-Pro Forma'!J30</f>
        <v>-6840.5584394931257</v>
      </c>
      <c r="K53" s="1151">
        <f>+'Part VII-Pro Forma'!K30</f>
        <v>-7045.7751926779192</v>
      </c>
    </row>
    <row r="54" spans="1:17">
      <c r="A54" s="1150" t="s">
        <v>3873</v>
      </c>
      <c r="B54" s="1152">
        <f>+SUM(B51:B53)</f>
        <v>22905.172354773691</v>
      </c>
      <c r="C54" s="1152">
        <f t="shared" ref="C54:K54" si="4">+SUM(C51:C53)</f>
        <v>22518.650338773688</v>
      </c>
      <c r="D54" s="1152">
        <f t="shared" si="4"/>
        <v>22030.176382453647</v>
      </c>
      <c r="E54" s="1152">
        <f t="shared" si="4"/>
        <v>21437.272202007269</v>
      </c>
      <c r="F54" s="1152">
        <f t="shared" si="4"/>
        <v>20734.286570602031</v>
      </c>
      <c r="G54" s="1152">
        <f t="shared" si="4"/>
        <v>19916.389358198132</v>
      </c>
      <c r="H54" s="1152">
        <f t="shared" si="4"/>
        <v>18976.565377124472</v>
      </c>
      <c r="I54" s="1152">
        <f t="shared" si="4"/>
        <v>17911.60802727492</v>
      </c>
      <c r="J54" s="1152">
        <f t="shared" si="4"/>
        <v>16714.112734599807</v>
      </c>
      <c r="K54" s="1152">
        <f t="shared" si="4"/>
        <v>15379.470176367333</v>
      </c>
    </row>
    <row r="55" spans="1:17">
      <c r="A55" s="1150" t="s">
        <v>3769</v>
      </c>
      <c r="B55" s="1152">
        <f>-B54</f>
        <v>-22905.172354773691</v>
      </c>
      <c r="C55" s="1152">
        <f t="shared" ref="C55:K55" si="5">-C54</f>
        <v>-22518.650338773688</v>
      </c>
      <c r="D55" s="1152">
        <f t="shared" si="5"/>
        <v>-22030.176382453647</v>
      </c>
      <c r="E55" s="1152">
        <f t="shared" si="5"/>
        <v>-21437.272202007269</v>
      </c>
      <c r="F55" s="1152">
        <f t="shared" si="5"/>
        <v>-20734.286570602031</v>
      </c>
      <c r="G55" s="1152">
        <f t="shared" si="5"/>
        <v>-19916.389358198132</v>
      </c>
      <c r="H55" s="1152">
        <f t="shared" si="5"/>
        <v>-18976.565377124472</v>
      </c>
      <c r="I55" s="1152">
        <f t="shared" si="5"/>
        <v>-17911.60802727492</v>
      </c>
      <c r="J55" s="1152">
        <f t="shared" si="5"/>
        <v>-16714.112734599807</v>
      </c>
      <c r="K55" s="1152">
        <f t="shared" si="5"/>
        <v>-15379.470176367333</v>
      </c>
    </row>
    <row r="56" spans="1:17">
      <c r="A56" s="1150" t="s">
        <v>3874</v>
      </c>
      <c r="B56" s="1152">
        <f>+B54+B55</f>
        <v>0</v>
      </c>
      <c r="C56" s="1152">
        <f t="shared" ref="C56:K56" si="6">+C54+C55</f>
        <v>0</v>
      </c>
      <c r="D56" s="1152">
        <f t="shared" si="6"/>
        <v>0</v>
      </c>
      <c r="E56" s="1152">
        <f t="shared" si="6"/>
        <v>0</v>
      </c>
      <c r="F56" s="1152">
        <f t="shared" si="6"/>
        <v>0</v>
      </c>
      <c r="G56" s="1152">
        <f t="shared" si="6"/>
        <v>0</v>
      </c>
      <c r="H56" s="1152">
        <f t="shared" si="6"/>
        <v>0</v>
      </c>
      <c r="I56" s="1152">
        <f t="shared" si="6"/>
        <v>0</v>
      </c>
      <c r="J56" s="1152">
        <f t="shared" si="6"/>
        <v>0</v>
      </c>
      <c r="K56" s="1152">
        <f t="shared" si="6"/>
        <v>0</v>
      </c>
    </row>
    <row r="58" spans="1:17">
      <c r="A58" s="1150" t="s">
        <v>3875</v>
      </c>
      <c r="B58" s="1151">
        <f>IF($B$26="","",-FV('Part III-Sources of Funds'!$K$38/12,12,B52/12,B26))</f>
        <v>1073965.4016851059</v>
      </c>
      <c r="C58" s="1151">
        <f>IF($B$26="","",-FV('Part III-Sources of Funds'!$K$38/12,12,C52/12,B58))</f>
        <v>1019549.1184960295</v>
      </c>
      <c r="D58" s="1151">
        <f>IF($B$26="","",-FV('Part III-Sources of Funds'!$K$38/12,12,D52/12,C58))</f>
        <v>962063.32920212403</v>
      </c>
      <c r="E58" s="1151">
        <f>IF($B$26="","",-FV('Part III-Sources of Funds'!$K$38/12,12,E52/12,D58))</f>
        <v>901334.88953157549</v>
      </c>
      <c r="F58" s="1151">
        <f>IF($B$26="","",-FV('Part III-Sources of Funds'!$K$38/12,12,F52/12,E58))</f>
        <v>837180.88851465925</v>
      </c>
      <c r="G58" s="1151">
        <f>IF($B$26="","",-FV('Part III-Sources of Funds'!$K$38/12,12,G52/12,F58))</f>
        <v>769408.09756520728</v>
      </c>
      <c r="H58" s="1151">
        <f>IF($B$26="","",-FV('Part III-Sources of Funds'!$K$38/12,12,H52/12,G58))</f>
        <v>697812.38848594064</v>
      </c>
      <c r="I58" s="1151">
        <f>IF($B$26="","",-FV('Part III-Sources of Funds'!$K$38/12,12,I52/12,H58))</f>
        <v>622178.11864472728</v>
      </c>
      <c r="J58" s="1151">
        <f>IF($B$26="","",-FV('Part III-Sources of Funds'!$K$38/12,12,J52/12,I58))</f>
        <v>542277.48146994878</v>
      </c>
      <c r="K58" s="1151">
        <f>IF($B$26="","",-FV('Part III-Sources of Funds'!$K$38/12,12,K52/12,J58))</f>
        <v>457869.82030870009</v>
      </c>
    </row>
    <row r="59" spans="1:17">
      <c r="A59" s="1150" t="s">
        <v>3770</v>
      </c>
      <c r="B59" s="1151" t="str">
        <f>IF(B33="","",-FV('Part III-Sources of Funds'!$K$43/12,12,B55/12,B33))</f>
        <v/>
      </c>
      <c r="C59" s="1151" t="str">
        <f>IF($B$33="","",-FV('Part III-Sources of Funds'!$K$43/12,12,C55/12,B59))</f>
        <v/>
      </c>
      <c r="D59" s="1151" t="str">
        <f>IF($B$33="","",-FV('Part III-Sources of Funds'!$K$43/12,12,D55/12,C59))</f>
        <v/>
      </c>
      <c r="E59" s="1151" t="str">
        <f>IF($B$33="","",-FV('Part III-Sources of Funds'!$K$43/12,12,E55/12,D59))</f>
        <v/>
      </c>
      <c r="F59" s="1151" t="str">
        <f>IF($B$33="","",-FV('Part III-Sources of Funds'!$K$43/12,12,F55/12,E59))</f>
        <v/>
      </c>
      <c r="G59" s="1151" t="str">
        <f>IF($B$33="","",-FV('Part III-Sources of Funds'!$K$43/12,12,G55/12,F59))</f>
        <v/>
      </c>
      <c r="H59" s="1151" t="str">
        <f>IF($B$33="","",-FV('Part III-Sources of Funds'!$K$43/12,12,H55/12,G59))</f>
        <v/>
      </c>
      <c r="I59" s="1151" t="str">
        <f>IF($B$33="","",-FV('Part III-Sources of Funds'!$K$43/12,12,I55/12,H59))</f>
        <v/>
      </c>
      <c r="J59" s="1151" t="str">
        <f>IF($B$33="","",-FV('Part III-Sources of Funds'!$K$43/12,12,J55/12,I59))</f>
        <v/>
      </c>
      <c r="K59" s="1151" t="str">
        <f>IF($B$33="","",-FV('Part III-Sources of Funds'!$K$43/12,12,K55/12,J59))</f>
        <v/>
      </c>
      <c r="L59" s="1151" t="str">
        <f>IF($B$33="","",-FV('Part III-Sources of Funds'!$K$43/12,12,B75/12,K59))</f>
        <v/>
      </c>
      <c r="M59" s="1151" t="str">
        <f>IF($B$33="","",-FV('Part III-Sources of Funds'!$K$43/12,12,C75/12,L59))</f>
        <v/>
      </c>
      <c r="N59" s="1151" t="str">
        <f>IF($B$33="","",-FV('Part III-Sources of Funds'!$K$43/12,12,D75/12,M59))</f>
        <v/>
      </c>
      <c r="O59" s="1151" t="str">
        <f>IF($B$33="","",-FV('Part III-Sources of Funds'!$K$43/12,12,E75/12,N59))</f>
        <v/>
      </c>
      <c r="P59" s="1151" t="str">
        <f>IF($B$33="","",-FV('Part III-Sources of Funds'!$K$43/12,12,F75/12,O59))</f>
        <v/>
      </c>
      <c r="Q59" s="1151"/>
    </row>
    <row r="60" spans="1:17" ht="18.75" customHeight="1"/>
    <row r="61" spans="1:17" ht="18.75" customHeight="1"/>
    <row r="62" spans="1:17">
      <c r="A62" s="1149" t="s">
        <v>3867</v>
      </c>
    </row>
    <row r="63" spans="1:17">
      <c r="A63" s="1150" t="s">
        <v>2416</v>
      </c>
      <c r="B63" s="1227">
        <v>11</v>
      </c>
      <c r="C63" s="1227">
        <v>12</v>
      </c>
      <c r="D63" s="1227">
        <v>13</v>
      </c>
      <c r="E63" s="1227">
        <v>14</v>
      </c>
      <c r="F63" s="1227">
        <v>15</v>
      </c>
      <c r="G63" s="1227">
        <v>16</v>
      </c>
      <c r="H63" s="1227">
        <v>17</v>
      </c>
      <c r="I63" s="1227">
        <v>18</v>
      </c>
      <c r="J63" s="1227">
        <v>19</v>
      </c>
      <c r="K63" s="1227">
        <v>20</v>
      </c>
    </row>
    <row r="64" spans="1:17">
      <c r="A64" s="1150" t="s">
        <v>1177</v>
      </c>
      <c r="B64" s="1151">
        <f>+'Part VII-Pro Forma'!B56</f>
        <v>133284.23458015977</v>
      </c>
      <c r="C64" s="1151">
        <f>+'Part VII-Pro Forma'!C56</f>
        <v>131872.32978101383</v>
      </c>
      <c r="D64" s="1151">
        <f>+'Part VII-Pro Forma'!D56</f>
        <v>130309.68160116283</v>
      </c>
      <c r="E64" s="1151">
        <f>+'Part VII-Pro Forma'!E56</f>
        <v>128589.98541445046</v>
      </c>
      <c r="F64" s="1151">
        <f>+'Part VII-Pro Forma'!F56</f>
        <v>126705.70040944175</v>
      </c>
      <c r="G64" s="1151">
        <f>+'Part VII-Pro Forma'!G56</f>
        <v>124651.04156293371</v>
      </c>
      <c r="H64" s="1151">
        <f>+'Part VII-Pro Forma'!H56</f>
        <v>122416.97135385497</v>
      </c>
      <c r="I64" s="1151">
        <f>+'Part VII-Pro Forma'!I56</f>
        <v>119996.1912093845</v>
      </c>
      <c r="J64" s="1151">
        <f>+'Part VII-Pro Forma'!J56</f>
        <v>117382.13267487808</v>
      </c>
      <c r="K64" s="1151">
        <f>+'Part VII-Pro Forma'!K56</f>
        <v>114563.94829892062</v>
      </c>
    </row>
    <row r="65" spans="1:11">
      <c r="A65" s="1150" t="s">
        <v>3868</v>
      </c>
      <c r="B65" s="1151">
        <f>SUM('Part VII-Pro Forma'!B57:B60)</f>
        <v>-97857.325572160262</v>
      </c>
      <c r="C65" s="1151">
        <f>SUM('Part VII-Pro Forma'!C57:C60)</f>
        <v>-97857.325572160262</v>
      </c>
      <c r="D65" s="1151">
        <f>SUM('Part VII-Pro Forma'!D57:D60)</f>
        <v>-97857.325572160262</v>
      </c>
      <c r="E65" s="1151">
        <f>SUM('Part VII-Pro Forma'!E57:E60)</f>
        <v>-63365.252550325516</v>
      </c>
      <c r="F65" s="1151">
        <f>SUM('Part VII-Pro Forma'!F57:F60)</f>
        <v>-63365.252550325516</v>
      </c>
      <c r="G65" s="1151">
        <f>SUM('Part VII-Pro Forma'!G57:G60)</f>
        <v>-63365.252550325516</v>
      </c>
      <c r="H65" s="1151">
        <f>SUM('Part VII-Pro Forma'!H57:H60)</f>
        <v>-63365.252550325516</v>
      </c>
      <c r="I65" s="1151">
        <f>SUM('Part VII-Pro Forma'!I57:I60)</f>
        <v>-63365.252550325516</v>
      </c>
      <c r="J65" s="1151">
        <f>SUM('Part VII-Pro Forma'!J57:J60)</f>
        <v>-63365.252550325516</v>
      </c>
      <c r="K65" s="1151">
        <f>SUM('Part VII-Pro Forma'!K57:K60)</f>
        <v>-63365.252550325516</v>
      </c>
    </row>
    <row r="66" spans="1:11">
      <c r="A66" s="1150" t="s">
        <v>3869</v>
      </c>
      <c r="B66" s="1152">
        <f t="shared" ref="B66:K66" si="7">-B64/B68-B65</f>
        <v>-13212.869911306218</v>
      </c>
      <c r="C66" s="1152">
        <f t="shared" si="7"/>
        <v>-12036.282578684608</v>
      </c>
      <c r="D66" s="1152">
        <f t="shared" si="7"/>
        <v>-10734.075762142093</v>
      </c>
      <c r="E66" s="1152">
        <f t="shared" si="7"/>
        <v>-43793.068628383204</v>
      </c>
      <c r="F66" s="1152">
        <f t="shared" si="7"/>
        <v>-42222.831124209275</v>
      </c>
      <c r="G66" s="1152">
        <f t="shared" si="7"/>
        <v>-40510.615418785907</v>
      </c>
      <c r="H66" s="1152">
        <f t="shared" si="7"/>
        <v>-38648.890244553622</v>
      </c>
      <c r="I66" s="1152">
        <f t="shared" si="7"/>
        <v>-36631.573457494902</v>
      </c>
      <c r="J66" s="1152">
        <f t="shared" si="7"/>
        <v>-34453.191345406231</v>
      </c>
      <c r="K66" s="1152">
        <f t="shared" si="7"/>
        <v>-32104.704365441663</v>
      </c>
    </row>
    <row r="68" spans="1:11">
      <c r="A68" s="1150" t="s">
        <v>3870</v>
      </c>
      <c r="B68" s="1150">
        <f>+K48</f>
        <v>1.2</v>
      </c>
      <c r="C68" s="1150">
        <f t="shared" ref="C68:K68" si="8">+B68</f>
        <v>1.2</v>
      </c>
      <c r="D68" s="1150">
        <f t="shared" si="8"/>
        <v>1.2</v>
      </c>
      <c r="E68" s="1150">
        <f t="shared" si="8"/>
        <v>1.2</v>
      </c>
      <c r="F68" s="1150">
        <f t="shared" si="8"/>
        <v>1.2</v>
      </c>
      <c r="G68" s="1150">
        <f t="shared" si="8"/>
        <v>1.2</v>
      </c>
      <c r="H68" s="1150">
        <f t="shared" si="8"/>
        <v>1.2</v>
      </c>
      <c r="I68" s="1150">
        <f t="shared" si="8"/>
        <v>1.2</v>
      </c>
      <c r="J68" s="1150">
        <f t="shared" si="8"/>
        <v>1.2</v>
      </c>
      <c r="K68" s="1150">
        <f t="shared" si="8"/>
        <v>1.2</v>
      </c>
    </row>
    <row r="70" spans="1:11">
      <c r="A70" s="1149" t="s">
        <v>1142</v>
      </c>
    </row>
    <row r="71" spans="1:11">
      <c r="A71" s="1150" t="s">
        <v>1177</v>
      </c>
      <c r="B71" s="1152">
        <f t="shared" ref="B71:G71" si="9">+B64</f>
        <v>133284.23458015977</v>
      </c>
      <c r="C71" s="1152">
        <f t="shared" si="9"/>
        <v>131872.32978101383</v>
      </c>
      <c r="D71" s="1152">
        <f t="shared" si="9"/>
        <v>130309.68160116283</v>
      </c>
      <c r="E71" s="1152">
        <f t="shared" si="9"/>
        <v>128589.98541445046</v>
      </c>
      <c r="F71" s="1152">
        <f t="shared" si="9"/>
        <v>126705.70040944175</v>
      </c>
      <c r="G71" s="1152">
        <f t="shared" si="9"/>
        <v>124651.04156293371</v>
      </c>
      <c r="H71" s="1152">
        <f>+H64</f>
        <v>122416.97135385497</v>
      </c>
      <c r="I71" s="1152">
        <f>+I64</f>
        <v>119996.1912093845</v>
      </c>
      <c r="J71" s="1152">
        <f>+J64</f>
        <v>117382.13267487808</v>
      </c>
      <c r="K71" s="1152">
        <f>+K64</f>
        <v>114563.94829892062</v>
      </c>
    </row>
    <row r="72" spans="1:11">
      <c r="A72" s="1150" t="s">
        <v>3871</v>
      </c>
      <c r="B72" s="1152">
        <f t="shared" ref="B72:G72" si="10">IF($B$25="N/A",B65,B65+$B$25)</f>
        <v>-112126.22684522629</v>
      </c>
      <c r="C72" s="1152">
        <f t="shared" si="10"/>
        <v>-112126.22684522629</v>
      </c>
      <c r="D72" s="1152">
        <f t="shared" si="10"/>
        <v>-112126.22684522629</v>
      </c>
      <c r="E72" s="1152">
        <f t="shared" si="10"/>
        <v>-77634.153823391549</v>
      </c>
      <c r="F72" s="1152">
        <f t="shared" si="10"/>
        <v>-77634.153823391549</v>
      </c>
      <c r="G72" s="1152">
        <f t="shared" si="10"/>
        <v>-77634.153823391549</v>
      </c>
      <c r="H72" s="1152">
        <f>IF($B$25="N/A",H65,H65+$B$25)</f>
        <v>-77634.153823391549</v>
      </c>
      <c r="I72" s="1152">
        <f>IF($B$25="N/A",I65,I65+$B$25)</f>
        <v>-77634.153823391549</v>
      </c>
      <c r="J72" s="1152">
        <f>IF($B$25="N/A",J65,J65+$B$25)</f>
        <v>-77634.153823391549</v>
      </c>
      <c r="K72" s="1152">
        <f>IF($B$25="N/A",K65,K65+$B$25)</f>
        <v>-77634.153823391549</v>
      </c>
    </row>
    <row r="73" spans="1:11">
      <c r="A73" s="1150" t="s">
        <v>3872</v>
      </c>
      <c r="B73" s="1151">
        <f>+'Part VII-Pro Forma'!B62</f>
        <v>-7257.148448458257</v>
      </c>
      <c r="C73" s="1151">
        <f>+'Part VII-Pro Forma'!C62</f>
        <v>-7474.8629019120044</v>
      </c>
      <c r="D73" s="1151">
        <f>+'Part VII-Pro Forma'!D62</f>
        <v>-7699.1087889693645</v>
      </c>
      <c r="E73" s="1151">
        <f>+'Part VII-Pro Forma'!E62</f>
        <v>-7930.082052638445</v>
      </c>
      <c r="F73" s="1151">
        <f>+'Part VII-Pro Forma'!F62</f>
        <v>-8167.9845142175982</v>
      </c>
      <c r="G73" s="1151">
        <f>+'Part VII-Pro Forma'!G62</f>
        <v>-8413.0240496441256</v>
      </c>
      <c r="H73" s="1151">
        <f>+'Part VII-Pro Forma'!H62</f>
        <v>-8665.4147711334499</v>
      </c>
      <c r="I73" s="1151">
        <f>+'Part VII-Pro Forma'!I62</f>
        <v>-8925.3772142674534</v>
      </c>
      <c r="J73" s="1151">
        <f>+'Part VII-Pro Forma'!J62</f>
        <v>-9193.1385306954762</v>
      </c>
      <c r="K73" s="1151">
        <f>+'Part VII-Pro Forma'!K62</f>
        <v>-9468.932686616341</v>
      </c>
    </row>
    <row r="74" spans="1:11">
      <c r="A74" s="1150" t="s">
        <v>3873</v>
      </c>
      <c r="B74" s="1152">
        <f t="shared" ref="B74:G74" si="11">+SUM(B71:B73)</f>
        <v>13900.859286475217</v>
      </c>
      <c r="C74" s="1152">
        <f t="shared" si="11"/>
        <v>12271.240033875532</v>
      </c>
      <c r="D74" s="1152">
        <f t="shared" si="11"/>
        <v>10484.345966967167</v>
      </c>
      <c r="E74" s="1152">
        <f t="shared" si="11"/>
        <v>43025.749538420467</v>
      </c>
      <c r="F74" s="1152">
        <f t="shared" si="11"/>
        <v>40903.562071832603</v>
      </c>
      <c r="G74" s="1152">
        <f t="shared" si="11"/>
        <v>38603.863689898033</v>
      </c>
      <c r="H74" s="1152">
        <f>+SUM(H71:H73)</f>
        <v>36117.402759329969</v>
      </c>
      <c r="I74" s="1152">
        <f>+SUM(I71:I73)</f>
        <v>33436.660171725496</v>
      </c>
      <c r="J74" s="1152">
        <f>+SUM(J71:J73)</f>
        <v>30554.84032079106</v>
      </c>
      <c r="K74" s="1152">
        <f>+SUM(K71:K73)</f>
        <v>27460.861788912727</v>
      </c>
    </row>
    <row r="75" spans="1:11">
      <c r="A75" s="1150" t="s">
        <v>3769</v>
      </c>
      <c r="B75" s="1152">
        <f t="shared" ref="B75:G75" si="12">-B74</f>
        <v>-13900.859286475217</v>
      </c>
      <c r="C75" s="1152">
        <f t="shared" si="12"/>
        <v>-12271.240033875532</v>
      </c>
      <c r="D75" s="1152">
        <f t="shared" si="12"/>
        <v>-10484.345966967167</v>
      </c>
      <c r="E75" s="1152">
        <f t="shared" si="12"/>
        <v>-43025.749538420467</v>
      </c>
      <c r="F75" s="1152">
        <f t="shared" si="12"/>
        <v>-40903.562071832603</v>
      </c>
      <c r="G75" s="1152">
        <f t="shared" si="12"/>
        <v>-38603.863689898033</v>
      </c>
      <c r="H75" s="1152">
        <f>-H74</f>
        <v>-36117.402759329969</v>
      </c>
      <c r="I75" s="1152">
        <f>-I74</f>
        <v>-33436.660171725496</v>
      </c>
      <c r="J75" s="1152">
        <f>-J74</f>
        <v>-30554.84032079106</v>
      </c>
      <c r="K75" s="1152">
        <f>-K74</f>
        <v>-27460.861788912727</v>
      </c>
    </row>
    <row r="76" spans="1:11">
      <c r="A76" s="1150" t="s">
        <v>3874</v>
      </c>
      <c r="B76" s="1152">
        <f t="shared" ref="B76:G76" si="13">+B74+B75</f>
        <v>0</v>
      </c>
      <c r="C76" s="1152">
        <f t="shared" si="13"/>
        <v>0</v>
      </c>
      <c r="D76" s="1152">
        <f t="shared" si="13"/>
        <v>0</v>
      </c>
      <c r="E76" s="1152">
        <f t="shared" si="13"/>
        <v>0</v>
      </c>
      <c r="F76" s="1152">
        <f t="shared" si="13"/>
        <v>0</v>
      </c>
      <c r="G76" s="1152">
        <f t="shared" si="13"/>
        <v>0</v>
      </c>
      <c r="H76" s="1152">
        <f>+H74+H75</f>
        <v>0</v>
      </c>
      <c r="I76" s="1152">
        <f>+I74+I75</f>
        <v>0</v>
      </c>
      <c r="J76" s="1152">
        <f>+J74+J75</f>
        <v>0</v>
      </c>
      <c r="K76" s="1152">
        <f>+K74+K75</f>
        <v>0</v>
      </c>
    </row>
    <row r="78" spans="1:11">
      <c r="A78" s="1150" t="s">
        <v>3875</v>
      </c>
      <c r="B78" s="1151">
        <f>IF($B$26="","",-FV('Part III-Sources of Funds'!$K$38/12,12,B72/12,K58))</f>
        <v>368700.90358119807</v>
      </c>
      <c r="C78" s="1151">
        <f>IF($B$26="","",-FV('Part III-Sources of Funds'!$K$38/12,12,C72/12,B78))</f>
        <v>274502.15904820175</v>
      </c>
      <c r="D78" s="1151">
        <f>IF($B$26="","",-FV('Part III-Sources of Funds'!$K$38/12,12,D72/12,C78))</f>
        <v>174989.86488509542</v>
      </c>
      <c r="E78" s="1151">
        <f>IF($B$26="","",-FV('Part III-Sources of Funds'!$K$38/12,12,E72/12,D78))</f>
        <v>105239.27766116218</v>
      </c>
      <c r="F78" s="1151">
        <f>IF($B$26="","",-FV('Part III-Sources of Funds'!$K$38/12,12,F72/12,E78))</f>
        <v>31554.209051292215</v>
      </c>
      <c r="G78" s="1151">
        <f>IF($B$26="","",-FV('Part III-Sources of Funds'!$K$38/12,12,G72/12,F78))</f>
        <v>-46287.276621221899</v>
      </c>
      <c r="H78" s="1151">
        <f>IF($B$26="","",-FV('Part III-Sources of Funds'!$K$38/12,12,H72/12,G78))</f>
        <v>-128519.63394975383</v>
      </c>
      <c r="I78" s="1151">
        <f>IF($B$26="","",-FV('Part III-Sources of Funds'!$K$38/12,12,I72/12,H78))</f>
        <v>-215390.54260964703</v>
      </c>
      <c r="J78" s="1151">
        <f>IF($B$26="","",-FV('Part III-Sources of Funds'!$K$38/12,12,J72/12,I78))</f>
        <v>-307161.65335679211</v>
      </c>
      <c r="K78" s="1151">
        <f>IF($B$26="","",-FV('Part III-Sources of Funds'!$K$38/12,12,K72/12,J78))</f>
        <v>-404109.37610638764</v>
      </c>
    </row>
    <row r="79" spans="1:11">
      <c r="A79" s="1150" t="s">
        <v>3770</v>
      </c>
    </row>
    <row r="82" spans="1:2">
      <c r="A82" s="1150" t="s">
        <v>3876</v>
      </c>
      <c r="B82" s="1224" t="s">
        <v>1322</v>
      </c>
    </row>
  </sheetData>
  <sheetProtection algorithmName="SHA-512" hashValue="1rcdyCnTsfLa9LFwqqNv52CjgHqoLj0ArpEX1TwoYMa9SYZ0oSDoHeAIL/YC2FHlXlte4n4NxuCFondtfAd/+Q==" saltValue="Cj1NitWn0VTc/V3ko3+xJw==" spinCount="100000" sheet="1" objects="1" scenarios="1"/>
  <printOptions horizontalCentered="1"/>
  <pageMargins left="0.25" right="0.25" top="0.5" bottom="0.5" header="0.3" footer="0.3"/>
  <pageSetup scale="94" fitToHeight="0" orientation="landscape" horizontalDpi="4294967295" verticalDpi="4294967295" r:id="rId1"/>
  <headerFooter>
    <oddHeader>&amp;C&amp;"Arial,Bold"&amp;12Debt and Equity Sensitivity Analysis</oddHeader>
    <oddFooter>&amp;C&amp;9page &amp;P of &amp;N</oddFooter>
  </headerFooter>
  <rowBreaks count="1" manualBreakCount="1">
    <brk id="40" max="16383" man="1"/>
  </rowBreaks>
  <legacyDrawing r:id="rId2"/>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5"/>
  <dimension ref="A1:Q1811"/>
  <sheetViews>
    <sheetView showGridLines="0" zoomScale="120" zoomScaleNormal="120" workbookViewId="0">
      <selection activeCell="E3" sqref="E3"/>
    </sheetView>
  </sheetViews>
  <sheetFormatPr defaultColWidth="9.109375" defaultRowHeight="13.8"/>
  <cols>
    <col min="1" max="1" width="22.88671875" style="619" customWidth="1"/>
    <col min="2" max="2" width="1.88671875" style="619" customWidth="1"/>
    <col min="3" max="3" width="13" style="619" customWidth="1"/>
    <col min="4" max="4" width="11.109375" style="619" customWidth="1"/>
    <col min="5" max="5" width="14.88671875" style="619" customWidth="1"/>
    <col min="6" max="6" width="15.109375" style="619" customWidth="1"/>
    <col min="7" max="7" width="11.88671875" style="619" customWidth="1"/>
    <col min="8" max="8" width="11.44140625" style="619" customWidth="1"/>
    <col min="9" max="9" width="10.5546875" style="619" customWidth="1"/>
    <col min="10" max="10" width="6" style="619" customWidth="1"/>
    <col min="11" max="11" width="12.88671875" style="619" customWidth="1"/>
    <col min="12" max="12" width="10.88671875" style="619" customWidth="1"/>
    <col min="13" max="13" width="26.109375" style="619" customWidth="1"/>
    <col min="14" max="14" width="9.109375" style="619"/>
    <col min="15" max="15" width="12.44140625" style="619" customWidth="1"/>
    <col min="16" max="16" width="9.109375" style="619"/>
    <col min="17" max="17" width="11.88671875" style="619" bestFit="1" customWidth="1"/>
    <col min="18" max="16384" width="9.109375" style="619"/>
  </cols>
  <sheetData>
    <row r="1" spans="1:15" ht="13.5" customHeight="1">
      <c r="A1" s="620" t="s">
        <v>2942</v>
      </c>
      <c r="B1" s="704"/>
      <c r="C1" s="619" t="str">
        <f>'Sensitivity Analysis'!C8</f>
        <v>Harper Woods II</v>
      </c>
    </row>
    <row r="2" spans="1:15" ht="13.5" customHeight="1"/>
    <row r="3" spans="1:15" ht="13.5" customHeight="1">
      <c r="A3" s="620" t="s">
        <v>2943</v>
      </c>
      <c r="C3" s="619" t="s">
        <v>2944</v>
      </c>
      <c r="E3" s="705">
        <f>SUM('Part IV-A-Uses of Funds'!J149,'Part IV-A-Uses of Funds'!M149,'Part IV-A-Uses of Funds'!P149)</f>
        <v>11106191</v>
      </c>
      <c r="F3" s="1238" t="s">
        <v>2945</v>
      </c>
      <c r="H3" s="1215">
        <v>27.5</v>
      </c>
      <c r="I3" s="619" t="s">
        <v>2405</v>
      </c>
      <c r="K3" s="624" t="s">
        <v>2966</v>
      </c>
      <c r="M3" s="1238"/>
      <c r="O3" s="706"/>
    </row>
    <row r="4" spans="1:15" ht="13.5" customHeight="1">
      <c r="C4" s="619" t="s">
        <v>3424</v>
      </c>
      <c r="E4" s="705">
        <f>SUM('Part IV-A-Uses of Funds'!G85:H89)</f>
        <v>67118</v>
      </c>
      <c r="F4" s="1238" t="s">
        <v>4098</v>
      </c>
      <c r="H4" s="620">
        <f>'Part III-Sources of Funds'!M38</f>
        <v>30</v>
      </c>
      <c r="I4" s="619" t="s">
        <v>2405</v>
      </c>
      <c r="K4" s="707" t="s">
        <v>3209</v>
      </c>
      <c r="M4" s="1238"/>
    </row>
    <row r="5" spans="1:15" ht="13.5" customHeight="1">
      <c r="C5" s="619" t="s">
        <v>3425</v>
      </c>
      <c r="E5" s="705">
        <f>SUM('Part IV-A-Uses of Funds'!G96:H102)</f>
        <v>150081</v>
      </c>
      <c r="F5" s="1238" t="s">
        <v>4097</v>
      </c>
      <c r="H5" s="1215">
        <v>15</v>
      </c>
      <c r="I5" s="619" t="s">
        <v>2405</v>
      </c>
      <c r="K5" s="706">
        <f>-E6</f>
        <v>-10896620</v>
      </c>
    </row>
    <row r="6" spans="1:15" ht="13.5" customHeight="1">
      <c r="C6" s="619" t="s">
        <v>2946</v>
      </c>
      <c r="E6" s="708">
        <f>'Part III-Sources of Funds'!$I$49+'Part III-Sources of Funds'!$I$50</f>
        <v>10896620</v>
      </c>
      <c r="F6" s="1238" t="s">
        <v>2947</v>
      </c>
      <c r="H6" s="709">
        <v>0.35</v>
      </c>
      <c r="K6" s="706" t="e">
        <f>C24</f>
        <v>#VALUE!</v>
      </c>
      <c r="M6" s="619" t="s">
        <v>2948</v>
      </c>
      <c r="O6" s="710">
        <f>'Sensitivity Analysis'!K32</f>
        <v>0</v>
      </c>
    </row>
    <row r="7" spans="1:15" ht="13.5" customHeight="1">
      <c r="K7" s="706" t="e">
        <f>D24</f>
        <v>#VALUE!</v>
      </c>
      <c r="O7" s="711"/>
    </row>
    <row r="8" spans="1:15" ht="13.5" customHeight="1">
      <c r="A8" s="620" t="s">
        <v>2416</v>
      </c>
      <c r="C8" s="712">
        <v>1</v>
      </c>
      <c r="D8" s="712">
        <v>2</v>
      </c>
      <c r="E8" s="712">
        <v>3</v>
      </c>
      <c r="F8" s="712">
        <v>4</v>
      </c>
      <c r="G8" s="712">
        <v>5</v>
      </c>
      <c r="H8" s="712">
        <v>6</v>
      </c>
      <c r="I8" s="712">
        <v>7</v>
      </c>
      <c r="K8" s="706" t="e">
        <f>E24</f>
        <v>#VALUE!</v>
      </c>
      <c r="M8" s="619" t="s">
        <v>2949</v>
      </c>
      <c r="O8" s="1178" t="e">
        <f>'Part VII-Pro Forma'!$K$71+'Part VII-Pro Forma'!$K$72+'Part VII-Pro Forma'!$K$73</f>
        <v>#VALUE!</v>
      </c>
    </row>
    <row r="9" spans="1:15" ht="13.5" customHeight="1">
      <c r="A9" s="619" t="s">
        <v>2950</v>
      </c>
      <c r="C9" s="713">
        <f>'Part VII-Pro Forma'!B32</f>
        <v>37089.486415483938</v>
      </c>
      <c r="D9" s="713">
        <f>'Part VII-Pro Forma'!C32</f>
        <v>36702.964399483935</v>
      </c>
      <c r="E9" s="713">
        <f>'Part VII-Pro Forma'!D32</f>
        <v>36214.490443163893</v>
      </c>
      <c r="F9" s="713">
        <f>'Part VII-Pro Forma'!E32</f>
        <v>35621.586262717516</v>
      </c>
      <c r="G9" s="713">
        <f>'Part VII-Pro Forma'!F32</f>
        <v>34918.600631312278</v>
      </c>
      <c r="H9" s="713">
        <f>'Part VII-Pro Forma'!G32</f>
        <v>34100.703418908379</v>
      </c>
      <c r="I9" s="713">
        <f>'Part VII-Pro Forma'!H32</f>
        <v>33160.879437834723</v>
      </c>
      <c r="K9" s="706" t="e">
        <f>F24</f>
        <v>#VALUE!</v>
      </c>
      <c r="N9" s="714" t="s">
        <v>2952</v>
      </c>
    </row>
    <row r="10" spans="1:15" ht="13.5" customHeight="1">
      <c r="A10" s="619" t="s">
        <v>2951</v>
      </c>
      <c r="C10" s="1175">
        <f>'Part III-Sources of Funds'!I38-'Part VII-Pro Forma'!B39</f>
        <v>12527.932007869473</v>
      </c>
      <c r="D10" s="715">
        <f>'Part VII-Pro Forma'!B39-'Part VII-Pro Forma'!C39</f>
        <v>13234.605847488856</v>
      </c>
      <c r="E10" s="715">
        <f>'Part VII-Pro Forma'!C39-'Part VII-Pro Forma'!D39</f>
        <v>13981.141646391596</v>
      </c>
      <c r="F10" s="715">
        <f>'Part VII-Pro Forma'!D39-'Part VII-Pro Forma'!E39</f>
        <v>14769.787932411535</v>
      </c>
      <c r="G10" s="715">
        <f>'Part VII-Pro Forma'!E39-'Part VII-Pro Forma'!F39</f>
        <v>15602.920068026986</v>
      </c>
      <c r="H10" s="715">
        <f>'Part VII-Pro Forma'!F39-'Part VII-Pro Forma'!G39</f>
        <v>16483.047404830926</v>
      </c>
      <c r="I10" s="715">
        <f>'Part VII-Pro Forma'!G39-'Part VII-Pro Forma'!H39</f>
        <v>17412.82084157085</v>
      </c>
      <c r="K10" s="706" t="e">
        <f>G24</f>
        <v>#VALUE!</v>
      </c>
      <c r="N10" s="714" t="s">
        <v>2953</v>
      </c>
      <c r="O10" s="711"/>
    </row>
    <row r="11" spans="1:15" ht="13.5" customHeight="1">
      <c r="A11" s="619" t="s">
        <v>2951</v>
      </c>
      <c r="C11" s="1175">
        <f>'Part III-Sources of Funds'!I39-'Part VII-Pro Forma'!B40</f>
        <v>28371.876095024869</v>
      </c>
      <c r="D11" s="715">
        <f>'Part VII-Pro Forma'!B40-'Part VII-Pro Forma'!C40</f>
        <v>28656.898852571496</v>
      </c>
      <c r="E11" s="715">
        <f>'Part VII-Pro Forma'!C40-'Part VII-Pro Forma'!D40</f>
        <v>28944.78493759234</v>
      </c>
      <c r="F11" s="715">
        <f>'Part VII-Pro Forma'!D40-'Part VII-Pro Forma'!E40</f>
        <v>29235.563114963239</v>
      </c>
      <c r="G11" s="715">
        <f>'Part VII-Pro Forma'!E40-'Part VII-Pro Forma'!F40</f>
        <v>29529.262438530801</v>
      </c>
      <c r="H11" s="715">
        <f>'Part VII-Pro Forma'!F40-'Part VII-Pro Forma'!G40</f>
        <v>29825.912254015566</v>
      </c>
      <c r="I11" s="715">
        <f>'Part VII-Pro Forma'!G40-'Part VII-Pro Forma'!H40</f>
        <v>30125.542201943928</v>
      </c>
      <c r="K11" s="706" t="e">
        <f>H24</f>
        <v>#VALUE!</v>
      </c>
      <c r="O11" s="711"/>
    </row>
    <row r="12" spans="1:15" ht="13.5" customHeight="1">
      <c r="A12" s="619" t="s">
        <v>2951</v>
      </c>
      <c r="C12" s="1175" t="e">
        <f>'Part III-Sources of Funds'!I40-'Part VII-Pro Forma'!B41</f>
        <v>#VALUE!</v>
      </c>
      <c r="D12" s="715" t="e">
        <f>'Part VII-Pro Forma'!B41-'Part VII-Pro Forma'!C41</f>
        <v>#VALUE!</v>
      </c>
      <c r="E12" s="715" t="e">
        <f>'Part VII-Pro Forma'!C41-'Part VII-Pro Forma'!D41</f>
        <v>#VALUE!</v>
      </c>
      <c r="F12" s="715" t="e">
        <f>'Part VII-Pro Forma'!D41-'Part VII-Pro Forma'!E41</f>
        <v>#VALUE!</v>
      </c>
      <c r="G12" s="715" t="e">
        <f>'Part VII-Pro Forma'!E41-'Part VII-Pro Forma'!F41</f>
        <v>#VALUE!</v>
      </c>
      <c r="H12" s="715" t="e">
        <f>'Part VII-Pro Forma'!F41-'Part VII-Pro Forma'!G41</f>
        <v>#VALUE!</v>
      </c>
      <c r="I12" s="715" t="e">
        <f>'Part VII-Pro Forma'!G41-'Part VII-Pro Forma'!H41</f>
        <v>#VALUE!</v>
      </c>
      <c r="K12" s="706" t="e">
        <f>I24</f>
        <v>#VALUE!</v>
      </c>
      <c r="M12" s="619" t="s">
        <v>2955</v>
      </c>
      <c r="N12" s="716">
        <v>0.06</v>
      </c>
      <c r="O12" s="711">
        <f>N12*O6</f>
        <v>0</v>
      </c>
    </row>
    <row r="13" spans="1:15" ht="13.5" customHeight="1">
      <c r="A13" s="717" t="s">
        <v>3426</v>
      </c>
      <c r="B13" s="718"/>
      <c r="C13" s="1176">
        <f>'Part VII-Pro Forma'!B22</f>
        <v>-18000</v>
      </c>
      <c r="D13" s="1176">
        <f>'Part VII-Pro Forma'!C22</f>
        <v>-18540</v>
      </c>
      <c r="E13" s="1176">
        <f>'Part VII-Pro Forma'!D22</f>
        <v>-19096.2</v>
      </c>
      <c r="F13" s="1176">
        <f>'Part VII-Pro Forma'!E22</f>
        <v>-19669.085999999999</v>
      </c>
      <c r="G13" s="1176">
        <f>'Part VII-Pro Forma'!F22</f>
        <v>-20259.158579999999</v>
      </c>
      <c r="H13" s="1176">
        <f>'Part VII-Pro Forma'!G22</f>
        <v>-20866.933337399998</v>
      </c>
      <c r="I13" s="1176">
        <f>'Part VII-Pro Forma'!H22</f>
        <v>-21492.941337521999</v>
      </c>
      <c r="K13" s="706" t="e">
        <f>C44</f>
        <v>#VALUE!</v>
      </c>
      <c r="O13" s="711"/>
    </row>
    <row r="14" spans="1:15" ht="13.5" customHeight="1">
      <c r="A14" s="717" t="s">
        <v>3427</v>
      </c>
      <c r="B14" s="718"/>
      <c r="C14" s="1176">
        <f>'Part VII-Pro Forma'!B31</f>
        <v>-84.587212355789219</v>
      </c>
      <c r="D14" s="1176">
        <f>'Part VII-Pro Forma'!C31</f>
        <v>-84.587212355789219</v>
      </c>
      <c r="E14" s="1176">
        <f>'Part VII-Pro Forma'!D31</f>
        <v>-84.587212355789219</v>
      </c>
      <c r="F14" s="1176">
        <f>'Part VII-Pro Forma'!E31</f>
        <v>-84.587212355789219</v>
      </c>
      <c r="G14" s="1176">
        <f>'Part VII-Pro Forma'!F31</f>
        <v>-84.587212355789219</v>
      </c>
      <c r="H14" s="1176">
        <f>'Part VII-Pro Forma'!G31</f>
        <v>-84.587212355789219</v>
      </c>
      <c r="I14" s="1176">
        <f>'Part VII-Pro Forma'!H31</f>
        <v>-84.587212355789219</v>
      </c>
      <c r="K14" s="706" t="e">
        <f>D44</f>
        <v>#VALUE!</v>
      </c>
      <c r="M14" s="619" t="s">
        <v>2958</v>
      </c>
      <c r="O14" s="711" t="e">
        <f>O6-O8-O12</f>
        <v>#VALUE!</v>
      </c>
    </row>
    <row r="15" spans="1:15" ht="13.5" customHeight="1">
      <c r="A15" s="719" t="s">
        <v>2954</v>
      </c>
      <c r="C15" s="720">
        <f t="shared" ref="C15:I15" si="0">$E$3/$H$3</f>
        <v>403861.49090909091</v>
      </c>
      <c r="D15" s="720">
        <f t="shared" si="0"/>
        <v>403861.49090909091</v>
      </c>
      <c r="E15" s="720">
        <f t="shared" si="0"/>
        <v>403861.49090909091</v>
      </c>
      <c r="F15" s="720">
        <f t="shared" si="0"/>
        <v>403861.49090909091</v>
      </c>
      <c r="G15" s="720">
        <f t="shared" si="0"/>
        <v>403861.49090909091</v>
      </c>
      <c r="H15" s="720">
        <f t="shared" si="0"/>
        <v>403861.49090909091</v>
      </c>
      <c r="I15" s="720">
        <f t="shared" si="0"/>
        <v>403861.49090909091</v>
      </c>
      <c r="K15" s="706" t="e">
        <f>E44</f>
        <v>#VALUE!</v>
      </c>
      <c r="O15" s="711"/>
    </row>
    <row r="16" spans="1:15" ht="13.5" customHeight="1">
      <c r="A16" s="719" t="s">
        <v>2956</v>
      </c>
      <c r="C16" s="720">
        <f>IF(C$8&lt;=$H$4,($E$4/$H$4),0)+IF(C$8&lt;=$H$5,($E$5/$H$5),0)</f>
        <v>12242.666666666666</v>
      </c>
      <c r="D16" s="720">
        <f t="shared" ref="D16:I16" si="1">IF(D$8&lt;=$H$4,($E$4/$H$4),0)+IF(D$8&lt;=$H$5,($E$5/$H$5),0)</f>
        <v>12242.666666666666</v>
      </c>
      <c r="E16" s="720">
        <f t="shared" si="1"/>
        <v>12242.666666666666</v>
      </c>
      <c r="F16" s="720">
        <f t="shared" si="1"/>
        <v>12242.666666666666</v>
      </c>
      <c r="G16" s="720">
        <f t="shared" si="1"/>
        <v>12242.666666666666</v>
      </c>
      <c r="H16" s="720">
        <f t="shared" si="1"/>
        <v>12242.666666666666</v>
      </c>
      <c r="I16" s="720">
        <f t="shared" si="1"/>
        <v>12242.666666666666</v>
      </c>
      <c r="K16" s="706" t="e">
        <f>F44</f>
        <v>#VALUE!</v>
      </c>
      <c r="M16" s="619" t="s">
        <v>2960</v>
      </c>
      <c r="O16" s="711">
        <f>E3</f>
        <v>11106191</v>
      </c>
    </row>
    <row r="17" spans="1:17" ht="13.5" customHeight="1">
      <c r="A17" s="719" t="s">
        <v>2957</v>
      </c>
      <c r="C17" s="715" t="e">
        <f t="shared" ref="C17:I17" si="2">C9+C10+C11+C12+C13+C14-C15-C16</f>
        <v>#VALUE!</v>
      </c>
      <c r="D17" s="715" t="e">
        <f t="shared" si="2"/>
        <v>#VALUE!</v>
      </c>
      <c r="E17" s="715" t="e">
        <f t="shared" si="2"/>
        <v>#VALUE!</v>
      </c>
      <c r="F17" s="715" t="e">
        <f t="shared" si="2"/>
        <v>#VALUE!</v>
      </c>
      <c r="G17" s="715" t="e">
        <f t="shared" si="2"/>
        <v>#VALUE!</v>
      </c>
      <c r="H17" s="715" t="e">
        <f t="shared" si="2"/>
        <v>#VALUE!</v>
      </c>
      <c r="I17" s="715" t="e">
        <f t="shared" si="2"/>
        <v>#VALUE!</v>
      </c>
      <c r="K17" s="706" t="e">
        <f>G44</f>
        <v>#VALUE!</v>
      </c>
      <c r="M17" s="619" t="s">
        <v>2954</v>
      </c>
      <c r="O17" s="711">
        <f>20*(E3/H3)</f>
        <v>8077229.8181818184</v>
      </c>
    </row>
    <row r="18" spans="1:17" ht="13.5" customHeight="1">
      <c r="A18" s="719" t="s">
        <v>2959</v>
      </c>
      <c r="C18" s="721" t="e">
        <f t="shared" ref="C18:I18" si="3">C17*$H$6</f>
        <v>#VALUE!</v>
      </c>
      <c r="D18" s="721" t="e">
        <f t="shared" si="3"/>
        <v>#VALUE!</v>
      </c>
      <c r="E18" s="721" t="e">
        <f t="shared" si="3"/>
        <v>#VALUE!</v>
      </c>
      <c r="F18" s="721" t="e">
        <f t="shared" si="3"/>
        <v>#VALUE!</v>
      </c>
      <c r="G18" s="721" t="e">
        <f t="shared" si="3"/>
        <v>#VALUE!</v>
      </c>
      <c r="H18" s="721" t="e">
        <f t="shared" si="3"/>
        <v>#VALUE!</v>
      </c>
      <c r="I18" s="721" t="e">
        <f t="shared" si="3"/>
        <v>#VALUE!</v>
      </c>
      <c r="K18" s="706" t="e">
        <f>H44</f>
        <v>#VALUE!</v>
      </c>
      <c r="O18" s="711"/>
    </row>
    <row r="19" spans="1:17" ht="13.5" customHeight="1">
      <c r="A19" s="719"/>
      <c r="C19" s="713"/>
      <c r="D19" s="713"/>
      <c r="E19" s="713"/>
      <c r="F19" s="713"/>
      <c r="G19" s="713"/>
      <c r="H19" s="713"/>
      <c r="I19" s="713"/>
      <c r="K19" s="706" t="e">
        <f>I44</f>
        <v>#VALUE!</v>
      </c>
      <c r="M19" s="619" t="s">
        <v>2964</v>
      </c>
      <c r="O19" s="711">
        <f>O16-O17</f>
        <v>3028961.1818181816</v>
      </c>
    </row>
    <row r="20" spans="1:17" ht="13.5" customHeight="1">
      <c r="A20" s="619" t="s">
        <v>2961</v>
      </c>
      <c r="C20" s="715" t="e">
        <f t="shared" ref="C20:I20" si="4">C9-C18</f>
        <v>#VALUE!</v>
      </c>
      <c r="D20" s="715" t="e">
        <f t="shared" si="4"/>
        <v>#VALUE!</v>
      </c>
      <c r="E20" s="715" t="e">
        <f t="shared" si="4"/>
        <v>#VALUE!</v>
      </c>
      <c r="F20" s="715" t="e">
        <f t="shared" si="4"/>
        <v>#VALUE!</v>
      </c>
      <c r="G20" s="715" t="e">
        <f t="shared" si="4"/>
        <v>#VALUE!</v>
      </c>
      <c r="H20" s="715" t="e">
        <f t="shared" si="4"/>
        <v>#VALUE!</v>
      </c>
      <c r="I20" s="715" t="e">
        <f t="shared" si="4"/>
        <v>#VALUE!</v>
      </c>
      <c r="K20" s="706" t="e">
        <f>C64</f>
        <v>#VALUE!</v>
      </c>
      <c r="O20" s="711"/>
    </row>
    <row r="21" spans="1:17" ht="13.5" customHeight="1">
      <c r="A21" s="619" t="s">
        <v>2962</v>
      </c>
      <c r="C21" s="721">
        <f>'Part IV-A-Uses of Funds'!$J$184</f>
        <v>844755</v>
      </c>
      <c r="D21" s="721">
        <f t="shared" ref="D21:I21" si="5">C21</f>
        <v>844755</v>
      </c>
      <c r="E21" s="721">
        <f t="shared" si="5"/>
        <v>844755</v>
      </c>
      <c r="F21" s="721">
        <f t="shared" si="5"/>
        <v>844755</v>
      </c>
      <c r="G21" s="721">
        <f t="shared" si="5"/>
        <v>844755</v>
      </c>
      <c r="H21" s="721">
        <f t="shared" si="5"/>
        <v>844755</v>
      </c>
      <c r="I21" s="721">
        <f t="shared" si="5"/>
        <v>844755</v>
      </c>
      <c r="J21" s="619" t="s">
        <v>238</v>
      </c>
      <c r="K21" s="706" t="e">
        <f>D64</f>
        <v>#VALUE!</v>
      </c>
      <c r="O21" s="711"/>
    </row>
    <row r="22" spans="1:17" ht="13.5" customHeight="1">
      <c r="A22" s="619" t="s">
        <v>2963</v>
      </c>
      <c r="C22" s="721">
        <f>C21</f>
        <v>844755</v>
      </c>
      <c r="D22" s="721">
        <f t="shared" ref="D22:I22" si="6">D21</f>
        <v>844755</v>
      </c>
      <c r="E22" s="721">
        <f t="shared" si="6"/>
        <v>844755</v>
      </c>
      <c r="F22" s="721">
        <f t="shared" si="6"/>
        <v>844755</v>
      </c>
      <c r="G22" s="721">
        <f t="shared" si="6"/>
        <v>844755</v>
      </c>
      <c r="H22" s="721">
        <f t="shared" si="6"/>
        <v>844755</v>
      </c>
      <c r="I22" s="721">
        <f t="shared" si="6"/>
        <v>844755</v>
      </c>
      <c r="K22" s="706" t="e">
        <f>E64</f>
        <v>#VALUE!</v>
      </c>
      <c r="M22" s="619" t="s">
        <v>2948</v>
      </c>
      <c r="O22" s="711">
        <f>O6</f>
        <v>0</v>
      </c>
    </row>
    <row r="23" spans="1:17" ht="13.5" customHeight="1">
      <c r="A23" s="619" t="s">
        <v>2965</v>
      </c>
      <c r="C23" s="713">
        <v>0</v>
      </c>
      <c r="D23" s="713">
        <v>0</v>
      </c>
      <c r="E23" s="713">
        <v>0</v>
      </c>
      <c r="F23" s="713">
        <v>0</v>
      </c>
      <c r="G23" s="713">
        <v>0</v>
      </c>
      <c r="H23" s="713">
        <v>0</v>
      </c>
      <c r="I23" s="713">
        <v>0</v>
      </c>
      <c r="K23" s="706" t="e">
        <f>F64</f>
        <v>#VALUE!</v>
      </c>
      <c r="M23" s="619" t="s">
        <v>2967</v>
      </c>
      <c r="O23" s="711">
        <f>O19</f>
        <v>3028961.1818181816</v>
      </c>
    </row>
    <row r="24" spans="1:17" ht="13.5" customHeight="1">
      <c r="A24" s="619" t="s">
        <v>2966</v>
      </c>
      <c r="C24" s="715" t="e">
        <f t="shared" ref="C24:I24" si="7">SUM(C20:C23)</f>
        <v>#VALUE!</v>
      </c>
      <c r="D24" s="715" t="e">
        <f t="shared" si="7"/>
        <v>#VALUE!</v>
      </c>
      <c r="E24" s="715" t="e">
        <f t="shared" si="7"/>
        <v>#VALUE!</v>
      </c>
      <c r="F24" s="715" t="e">
        <f t="shared" si="7"/>
        <v>#VALUE!</v>
      </c>
      <c r="G24" s="715" t="e">
        <f t="shared" si="7"/>
        <v>#VALUE!</v>
      </c>
      <c r="H24" s="715" t="e">
        <f t="shared" si="7"/>
        <v>#VALUE!</v>
      </c>
      <c r="I24" s="715" t="e">
        <f t="shared" si="7"/>
        <v>#VALUE!</v>
      </c>
      <c r="K24" s="706" t="e">
        <f>G64</f>
        <v>#VALUE!</v>
      </c>
      <c r="O24" s="711"/>
    </row>
    <row r="25" spans="1:17" ht="13.5" customHeight="1">
      <c r="K25" s="706" t="e">
        <f>H64</f>
        <v>#VALUE!</v>
      </c>
      <c r="M25" s="619" t="s">
        <v>2968</v>
      </c>
      <c r="O25" s="711">
        <f>O22-O23</f>
        <v>-3028961.1818181816</v>
      </c>
      <c r="Q25" s="722"/>
    </row>
    <row r="26" spans="1:17" ht="13.5" customHeight="1">
      <c r="A26" s="723"/>
      <c r="B26" s="723"/>
      <c r="C26" s="723"/>
      <c r="D26" s="723"/>
      <c r="E26" s="723"/>
      <c r="F26" s="723"/>
      <c r="G26" s="723"/>
      <c r="H26" s="723"/>
      <c r="I26" s="723"/>
      <c r="K26" s="706"/>
      <c r="O26" s="711"/>
    </row>
    <row r="27" spans="1:17" ht="13.5" customHeight="1">
      <c r="K27" s="706"/>
      <c r="M27" s="619" t="s">
        <v>2969</v>
      </c>
      <c r="N27" s="724"/>
      <c r="O27" s="716">
        <v>0.2</v>
      </c>
    </row>
    <row r="28" spans="1:17" ht="13.5" customHeight="1">
      <c r="A28" s="620" t="s">
        <v>2416</v>
      </c>
      <c r="B28" s="620"/>
      <c r="C28" s="712">
        <v>8</v>
      </c>
      <c r="D28" s="712">
        <v>9</v>
      </c>
      <c r="E28" s="712">
        <v>10</v>
      </c>
      <c r="F28" s="712">
        <v>11</v>
      </c>
      <c r="G28" s="712">
        <v>12</v>
      </c>
      <c r="H28" s="712">
        <v>13</v>
      </c>
      <c r="I28" s="712">
        <v>14</v>
      </c>
      <c r="N28" s="724"/>
      <c r="O28" s="724"/>
    </row>
    <row r="29" spans="1:17" ht="13.5" customHeight="1">
      <c r="A29" s="619" t="s">
        <v>2950</v>
      </c>
      <c r="C29" s="713">
        <f>'Part VII-Pro Forma'!I32</f>
        <v>32095.922087985164</v>
      </c>
      <c r="D29" s="713">
        <f>'Part VII-Pro Forma'!J32</f>
        <v>30898.42679531005</v>
      </c>
      <c r="E29" s="713">
        <f>'Part VII-Pro Forma'!K32</f>
        <v>29563.784237077576</v>
      </c>
      <c r="F29" s="713">
        <f>'Part VII-Pro Forma'!B64</f>
        <v>28169.76055954125</v>
      </c>
      <c r="G29" s="713">
        <f>'Part VII-Pro Forma'!C64</f>
        <v>26540.141306941565</v>
      </c>
      <c r="H29" s="713">
        <f>'Part VII-Pro Forma'!D64</f>
        <v>24753.247240033197</v>
      </c>
      <c r="I29" s="713">
        <f>'Part VII-Pro Forma'!E64</f>
        <v>57294.650811486499</v>
      </c>
      <c r="N29" s="724"/>
      <c r="O29" s="724"/>
    </row>
    <row r="30" spans="1:17" ht="13.5" customHeight="1">
      <c r="A30" s="619" t="s">
        <v>2951</v>
      </c>
      <c r="C30" s="715">
        <f>'Part VII-Pro Forma'!H39-'Part VII-Pro Forma'!I39</f>
        <v>18395.040808520513</v>
      </c>
      <c r="D30" s="715">
        <f>'Part VII-Pro Forma'!I39-'Part VII-Pro Forma'!J39</f>
        <v>19432.665702233789</v>
      </c>
      <c r="E30" s="715">
        <f>'Part VII-Pro Forma'!J39-'Part VII-Pro Forma'!K39</f>
        <v>20528.820796084125</v>
      </c>
      <c r="F30" s="1173">
        <f>'Part VII-Pro Forma'!K39-'Part VII-Pro Forma'!B71</f>
        <v>21686.807653429336</v>
      </c>
      <c r="G30" s="1173">
        <f>'Part VII-Pro Forma'!B71-'Part VII-Pro Forma'!C71</f>
        <v>22910.114071751945</v>
      </c>
      <c r="H30" s="1173">
        <f>'Part VII-Pro Forma'!C71-'Part VII-Pro Forma'!D71</f>
        <v>24202.42458772799</v>
      </c>
      <c r="I30" s="1173">
        <f>'Part VII-Pro Forma'!D71-'Part VII-Pro Forma'!E71</f>
        <v>25567.631574864034</v>
      </c>
    </row>
    <row r="31" spans="1:17" ht="13.5" customHeight="1">
      <c r="A31" s="619" t="s">
        <v>2951</v>
      </c>
      <c r="C31" s="715">
        <f>'Part VII-Pro Forma'!H40-'Part VII-Pro Forma'!I40</f>
        <v>30428.182220609742</v>
      </c>
      <c r="D31" s="715">
        <f>'Part VII-Pro Forma'!I40-'Part VII-Pro Forma'!J40</f>
        <v>30733.862549065962</v>
      </c>
      <c r="E31" s="715">
        <f>'Part VII-Pro Forma'!J40-'Part VII-Pro Forma'!K40</f>
        <v>31042.613730145968</v>
      </c>
      <c r="F31" s="1173">
        <f>'Part VII-Pro Forma'!K40-'Part VII-Pro Forma'!B72</f>
        <v>31354.466613514815</v>
      </c>
      <c r="G31" s="1173">
        <f>'Part VII-Pro Forma'!B72-'Part VII-Pro Forma'!C72</f>
        <v>31669.452358752606</v>
      </c>
      <c r="H31" s="1173">
        <f>'Part VII-Pro Forma'!C72-'Part VII-Pro Forma'!D72</f>
        <v>31987.60243846706</v>
      </c>
      <c r="I31" s="1173">
        <f>'Part VII-Pro Forma'!D72-'Part VII-Pro Forma'!E72</f>
        <v>-2341.6530080742086</v>
      </c>
      <c r="K31" s="619" t="s">
        <v>238</v>
      </c>
      <c r="M31" s="619" t="s">
        <v>2970</v>
      </c>
      <c r="O31" s="713">
        <f>O25*O27</f>
        <v>-605792.23636363633</v>
      </c>
    </row>
    <row r="32" spans="1:17" ht="13.5" customHeight="1">
      <c r="A32" s="619" t="s">
        <v>2951</v>
      </c>
      <c r="C32" s="715" t="e">
        <f>'Part VII-Pro Forma'!H41-'Part VII-Pro Forma'!I41</f>
        <v>#VALUE!</v>
      </c>
      <c r="D32" s="715" t="e">
        <f>'Part VII-Pro Forma'!I41-'Part VII-Pro Forma'!J41</f>
        <v>#VALUE!</v>
      </c>
      <c r="E32" s="715" t="e">
        <f>'Part VII-Pro Forma'!J41-'Part VII-Pro Forma'!K41</f>
        <v>#VALUE!</v>
      </c>
      <c r="F32" s="1173" t="e">
        <f>'Part VII-Pro Forma'!K41-'Part VII-Pro Forma'!B73</f>
        <v>#VALUE!</v>
      </c>
      <c r="G32" s="1173" t="e">
        <f>'Part VII-Pro Forma'!B73-'Part VII-Pro Forma'!C73</f>
        <v>#VALUE!</v>
      </c>
      <c r="H32" s="1173" t="e">
        <f>'Part VII-Pro Forma'!C73-'Part VII-Pro Forma'!D73</f>
        <v>#VALUE!</v>
      </c>
      <c r="I32" s="1173" t="e">
        <f>'Part VII-Pro Forma'!D73-'Part VII-Pro Forma'!E73</f>
        <v>#VALUE!</v>
      </c>
    </row>
    <row r="33" spans="1:15" ht="13.5" customHeight="1">
      <c r="A33" s="717" t="s">
        <v>3426</v>
      </c>
      <c r="B33" s="718"/>
      <c r="C33" s="1176">
        <f>'Part VII-Pro Forma'!I22</f>
        <v>-22137.72957764766</v>
      </c>
      <c r="D33" s="1176">
        <f>'Part VII-Pro Forma'!J22</f>
        <v>-22801.861464977086</v>
      </c>
      <c r="E33" s="1176">
        <f>'Part VII-Pro Forma'!K22</f>
        <v>-23485.9173089264</v>
      </c>
      <c r="F33" s="1176">
        <f>'Part VII-Pro Forma'!B54</f>
        <v>-24190.494828194191</v>
      </c>
      <c r="G33" s="1176">
        <f>'Part VII-Pro Forma'!C54</f>
        <v>-24916.209673040019</v>
      </c>
      <c r="H33" s="1176">
        <f>'Part VII-Pro Forma'!D54</f>
        <v>-25663.695963231214</v>
      </c>
      <c r="I33" s="1176">
        <f>'Part VII-Pro Forma'!E54</f>
        <v>-26433.606842128149</v>
      </c>
      <c r="K33" s="619" t="s">
        <v>238</v>
      </c>
      <c r="M33" s="619" t="s">
        <v>2971</v>
      </c>
      <c r="O33" s="713" t="e">
        <f>O14-O31</f>
        <v>#VALUE!</v>
      </c>
    </row>
    <row r="34" spans="1:15" ht="13.5" customHeight="1">
      <c r="A34" s="717" t="s">
        <v>3427</v>
      </c>
      <c r="B34" s="718"/>
      <c r="C34" s="1176">
        <f>'Part VII-Pro Forma'!I31</f>
        <v>-84.587212355789219</v>
      </c>
      <c r="D34" s="1176">
        <f>'Part VII-Pro Forma'!J31</f>
        <v>-84.587212355789219</v>
      </c>
      <c r="E34" s="1176">
        <f>'Part VII-Pro Forma'!K31</f>
        <v>-84.587212355789219</v>
      </c>
      <c r="F34" s="1176">
        <f>'Part VII-Pro Forma'!B63</f>
        <v>0</v>
      </c>
      <c r="G34" s="1176">
        <f>'Part VII-Pro Forma'!C63</f>
        <v>0</v>
      </c>
      <c r="H34" s="1176">
        <f>'Part VII-Pro Forma'!D63</f>
        <v>0</v>
      </c>
      <c r="I34" s="1176">
        <f>'Part VII-Pro Forma'!E63</f>
        <v>0</v>
      </c>
    </row>
    <row r="35" spans="1:15" ht="13.5" customHeight="1">
      <c r="A35" s="719" t="s">
        <v>2954</v>
      </c>
      <c r="C35" s="720">
        <f t="shared" ref="C35:I35" si="8">$E$3/$H$3</f>
        <v>403861.49090909091</v>
      </c>
      <c r="D35" s="720">
        <f t="shared" si="8"/>
        <v>403861.49090909091</v>
      </c>
      <c r="E35" s="720">
        <f t="shared" si="8"/>
        <v>403861.49090909091</v>
      </c>
      <c r="F35" s="720">
        <f t="shared" si="8"/>
        <v>403861.49090909091</v>
      </c>
      <c r="G35" s="720">
        <f t="shared" si="8"/>
        <v>403861.49090909091</v>
      </c>
      <c r="H35" s="720">
        <f t="shared" si="8"/>
        <v>403861.49090909091</v>
      </c>
      <c r="I35" s="720">
        <f t="shared" si="8"/>
        <v>403861.49090909091</v>
      </c>
    </row>
    <row r="36" spans="1:15" ht="13.5" customHeight="1">
      <c r="A36" s="719" t="s">
        <v>2956</v>
      </c>
      <c r="C36" s="713">
        <f>IF(C$28&lt;=$H$4,($E$4/$H$4),0)+IF(C$28&lt;=$H$5,($E$5/$H$5),0)</f>
        <v>12242.666666666666</v>
      </c>
      <c r="D36" s="713">
        <f t="shared" ref="D36:I36" si="9">IF(D$28&lt;=$H$4,($E$4/$H$4),0)+IF(D$28&lt;=$H$5,($E$5/$H$5),0)</f>
        <v>12242.666666666666</v>
      </c>
      <c r="E36" s="713">
        <f t="shared" si="9"/>
        <v>12242.666666666666</v>
      </c>
      <c r="F36" s="713">
        <f t="shared" si="9"/>
        <v>12242.666666666666</v>
      </c>
      <c r="G36" s="713">
        <f t="shared" si="9"/>
        <v>12242.666666666666</v>
      </c>
      <c r="H36" s="713">
        <f t="shared" si="9"/>
        <v>12242.666666666666</v>
      </c>
      <c r="I36" s="713">
        <f t="shared" si="9"/>
        <v>12242.666666666666</v>
      </c>
    </row>
    <row r="37" spans="1:15" ht="13.5" customHeight="1">
      <c r="A37" s="719" t="s">
        <v>2957</v>
      </c>
      <c r="C37" s="715" t="e">
        <f t="shared" ref="C37:I37" si="10">C29+C30+C31+C32+C33+C34-C35-C36</f>
        <v>#VALUE!</v>
      </c>
      <c r="D37" s="715" t="e">
        <f t="shared" si="10"/>
        <v>#VALUE!</v>
      </c>
      <c r="E37" s="715" t="e">
        <f t="shared" si="10"/>
        <v>#VALUE!</v>
      </c>
      <c r="F37" s="715" t="e">
        <f t="shared" si="10"/>
        <v>#VALUE!</v>
      </c>
      <c r="G37" s="715" t="e">
        <f t="shared" si="10"/>
        <v>#VALUE!</v>
      </c>
      <c r="H37" s="715" t="e">
        <f t="shared" si="10"/>
        <v>#VALUE!</v>
      </c>
      <c r="I37" s="715" t="e">
        <f t="shared" si="10"/>
        <v>#VALUE!</v>
      </c>
    </row>
    <row r="38" spans="1:15" ht="13.5" customHeight="1">
      <c r="A38" s="619" t="s">
        <v>2959</v>
      </c>
      <c r="C38" s="721" t="e">
        <f t="shared" ref="C38:I38" si="11">C37*$H$6</f>
        <v>#VALUE!</v>
      </c>
      <c r="D38" s="721" t="e">
        <f t="shared" si="11"/>
        <v>#VALUE!</v>
      </c>
      <c r="E38" s="721" t="e">
        <f t="shared" si="11"/>
        <v>#VALUE!</v>
      </c>
      <c r="F38" s="721" t="e">
        <f t="shared" si="11"/>
        <v>#VALUE!</v>
      </c>
      <c r="G38" s="721" t="e">
        <f t="shared" si="11"/>
        <v>#VALUE!</v>
      </c>
      <c r="H38" s="721" t="e">
        <f t="shared" si="11"/>
        <v>#VALUE!</v>
      </c>
      <c r="I38" s="721" t="e">
        <f t="shared" si="11"/>
        <v>#VALUE!</v>
      </c>
    </row>
    <row r="39" spans="1:15" ht="13.5" customHeight="1">
      <c r="C39" s="715"/>
      <c r="D39" s="715"/>
      <c r="E39" s="715"/>
      <c r="F39" s="715"/>
      <c r="G39" s="715"/>
      <c r="H39" s="715"/>
      <c r="I39" s="715"/>
    </row>
    <row r="40" spans="1:15" ht="13.5" customHeight="1">
      <c r="A40" s="619" t="s">
        <v>2961</v>
      </c>
      <c r="C40" s="715" t="e">
        <f t="shared" ref="C40:I40" si="12">C29-C38</f>
        <v>#VALUE!</v>
      </c>
      <c r="D40" s="715" t="e">
        <f t="shared" si="12"/>
        <v>#VALUE!</v>
      </c>
      <c r="E40" s="715" t="e">
        <f t="shared" si="12"/>
        <v>#VALUE!</v>
      </c>
      <c r="F40" s="715" t="e">
        <f t="shared" si="12"/>
        <v>#VALUE!</v>
      </c>
      <c r="G40" s="715" t="e">
        <f t="shared" si="12"/>
        <v>#VALUE!</v>
      </c>
      <c r="H40" s="715" t="e">
        <f t="shared" si="12"/>
        <v>#VALUE!</v>
      </c>
      <c r="I40" s="715" t="e">
        <f t="shared" si="12"/>
        <v>#VALUE!</v>
      </c>
    </row>
    <row r="41" spans="1:15" ht="13.5" customHeight="1">
      <c r="A41" s="619" t="s">
        <v>2962</v>
      </c>
      <c r="C41" s="721">
        <f>C21</f>
        <v>844755</v>
      </c>
      <c r="D41" s="721">
        <f>C41</f>
        <v>844755</v>
      </c>
      <c r="E41" s="721">
        <f>D41</f>
        <v>844755</v>
      </c>
      <c r="F41" s="721">
        <v>0</v>
      </c>
      <c r="G41" s="721">
        <v>0</v>
      </c>
      <c r="H41" s="721">
        <v>0</v>
      </c>
      <c r="I41" s="721">
        <v>0</v>
      </c>
    </row>
    <row r="42" spans="1:15" ht="13.5" customHeight="1">
      <c r="A42" s="619" t="s">
        <v>2963</v>
      </c>
      <c r="C42" s="721">
        <f>C22</f>
        <v>844755</v>
      </c>
      <c r="D42" s="721">
        <f>C42</f>
        <v>844755</v>
      </c>
      <c r="E42" s="721">
        <f>D42</f>
        <v>844755</v>
      </c>
      <c r="F42" s="721">
        <v>0</v>
      </c>
      <c r="G42" s="721">
        <v>0</v>
      </c>
      <c r="H42" s="721">
        <v>0</v>
      </c>
      <c r="I42" s="721">
        <v>0</v>
      </c>
    </row>
    <row r="43" spans="1:15" ht="13.5" customHeight="1">
      <c r="A43" s="619" t="s">
        <v>2965</v>
      </c>
      <c r="C43" s="715">
        <v>0</v>
      </c>
      <c r="D43" s="715">
        <v>0</v>
      </c>
      <c r="E43" s="715">
        <v>0</v>
      </c>
      <c r="F43" s="715">
        <v>0</v>
      </c>
      <c r="G43" s="715">
        <v>0</v>
      </c>
      <c r="H43" s="715">
        <v>0</v>
      </c>
      <c r="I43" s="715">
        <v>0</v>
      </c>
    </row>
    <row r="44" spans="1:15" ht="13.5" customHeight="1">
      <c r="A44" s="619" t="s">
        <v>2966</v>
      </c>
      <c r="C44" s="715" t="e">
        <f t="shared" ref="C44:I44" si="13">SUM(C40:C43)</f>
        <v>#VALUE!</v>
      </c>
      <c r="D44" s="715" t="e">
        <f t="shared" si="13"/>
        <v>#VALUE!</v>
      </c>
      <c r="E44" s="715" t="e">
        <f t="shared" si="13"/>
        <v>#VALUE!</v>
      </c>
      <c r="F44" s="715" t="e">
        <f t="shared" si="13"/>
        <v>#VALUE!</v>
      </c>
      <c r="G44" s="715" t="e">
        <f t="shared" si="13"/>
        <v>#VALUE!</v>
      </c>
      <c r="H44" s="715" t="e">
        <f t="shared" si="13"/>
        <v>#VALUE!</v>
      </c>
      <c r="I44" s="715" t="e">
        <f t="shared" si="13"/>
        <v>#VALUE!</v>
      </c>
    </row>
    <row r="45" spans="1:15" ht="13.5" customHeight="1"/>
    <row r="46" spans="1:15" ht="13.5" customHeight="1">
      <c r="A46" s="723"/>
      <c r="B46" s="723"/>
      <c r="C46" s="723"/>
      <c r="D46" s="723"/>
      <c r="E46" s="723"/>
      <c r="F46" s="723"/>
      <c r="G46" s="723"/>
      <c r="H46" s="723"/>
      <c r="I46" s="723"/>
    </row>
    <row r="47" spans="1:15" ht="13.5" customHeight="1">
      <c r="I47" s="624"/>
    </row>
    <row r="48" spans="1:15" ht="13.5" customHeight="1">
      <c r="A48" s="620" t="s">
        <v>2416</v>
      </c>
      <c r="B48" s="620"/>
      <c r="C48" s="712">
        <v>15</v>
      </c>
      <c r="D48" s="620">
        <v>16</v>
      </c>
      <c r="E48" s="620">
        <v>17</v>
      </c>
      <c r="F48" s="620">
        <v>18</v>
      </c>
      <c r="G48" s="620">
        <v>19</v>
      </c>
      <c r="H48" s="620">
        <v>20</v>
      </c>
    </row>
    <row r="49" spans="1:10" ht="13.5" customHeight="1">
      <c r="A49" s="619" t="s">
        <v>2950</v>
      </c>
      <c r="C49" s="713">
        <f>'Part VII-Pro Forma'!F64</f>
        <v>55172.463344898635</v>
      </c>
      <c r="D49" s="713">
        <f>'Part VII-Pro Forma'!G61</f>
        <v>0</v>
      </c>
      <c r="E49" s="713">
        <f>'Part VII-Pro Forma'!H61</f>
        <v>0</v>
      </c>
      <c r="F49" s="713">
        <f>'Part VII-Pro Forma'!I61</f>
        <v>0</v>
      </c>
      <c r="G49" s="713">
        <f>'Part VII-Pro Forma'!J61</f>
        <v>0</v>
      </c>
      <c r="H49" s="713">
        <f>'Part VII-Pro Forma'!K61</f>
        <v>0</v>
      </c>
    </row>
    <row r="50" spans="1:10" ht="13.5" customHeight="1">
      <c r="A50" s="619" t="s">
        <v>2951</v>
      </c>
      <c r="C50" s="1174">
        <f>'Part VII-Pro Forma'!E71-'Part VII-Pro Forma'!F71</f>
        <v>27009.846967127756</v>
      </c>
      <c r="D50" s="1174">
        <f>'Part VII-Pro Forma'!F71-'Part VII-Pro Forma'!G71</f>
        <v>28533.414643884171</v>
      </c>
      <c r="E50" s="1174">
        <f>'Part VII-Pro Forma'!G71-'Part VII-Pro Forma'!H71</f>
        <v>30142.923513439018</v>
      </c>
      <c r="F50" s="1174">
        <f>'Part VII-Pro Forma'!H71-'Part VII-Pro Forma'!I71</f>
        <v>31843.221334596863</v>
      </c>
      <c r="G50" s="1174">
        <f>'Part VII-Pro Forma'!I71-'Part VII-Pro Forma'!J71</f>
        <v>33639.429317864589</v>
      </c>
      <c r="H50" s="1174">
        <f>'Part VII-Pro Forma'!J71-'Part VII-Pro Forma'!K71</f>
        <v>35536.957550275722</v>
      </c>
    </row>
    <row r="51" spans="1:10" ht="13.5" customHeight="1">
      <c r="A51" s="619" t="s">
        <v>2951</v>
      </c>
      <c r="C51" s="1174">
        <f>'Part VII-Pro Forma'!E72-'Part VII-Pro Forma'!F72</f>
        <v>235435.63320287582</v>
      </c>
      <c r="D51" s="1174">
        <f>'Part VII-Pro Forma'!F72-'Part VII-Pro Forma'!G72</f>
        <v>0</v>
      </c>
      <c r="E51" s="1174">
        <f>'Part VII-Pro Forma'!G72-'Part VII-Pro Forma'!H72</f>
        <v>0</v>
      </c>
      <c r="F51" s="1174">
        <f>'Part VII-Pro Forma'!H72-'Part VII-Pro Forma'!I72</f>
        <v>0</v>
      </c>
      <c r="G51" s="1174">
        <f>'Part VII-Pro Forma'!I72-'Part VII-Pro Forma'!J72</f>
        <v>0</v>
      </c>
      <c r="H51" s="1174">
        <f>'Part VII-Pro Forma'!J72-'Part VII-Pro Forma'!K72</f>
        <v>0</v>
      </c>
    </row>
    <row r="52" spans="1:10" ht="13.5" customHeight="1">
      <c r="A52" s="619" t="s">
        <v>2951</v>
      </c>
      <c r="C52" s="725" t="e">
        <f>'Part VII-Pro Forma'!E73-'Part VII-Pro Forma'!F73</f>
        <v>#VALUE!</v>
      </c>
      <c r="D52" s="725" t="e">
        <f>'Part VII-Pro Forma'!F73-'Part VII-Pro Forma'!G73</f>
        <v>#VALUE!</v>
      </c>
      <c r="E52" s="725" t="e">
        <f>'Part VII-Pro Forma'!G73-'Part VII-Pro Forma'!H73</f>
        <v>#VALUE!</v>
      </c>
      <c r="F52" s="725" t="e">
        <f>'Part VII-Pro Forma'!H73-'Part VII-Pro Forma'!I73</f>
        <v>#VALUE!</v>
      </c>
      <c r="G52" s="725" t="e">
        <f>'Part VII-Pro Forma'!I73-'Part VII-Pro Forma'!J73</f>
        <v>#VALUE!</v>
      </c>
      <c r="H52" s="725" t="e">
        <f>'Part VII-Pro Forma'!J73-'Part VII-Pro Forma'!K73</f>
        <v>#VALUE!</v>
      </c>
    </row>
    <row r="53" spans="1:10" ht="13.5" customHeight="1">
      <c r="A53" s="717" t="s">
        <v>3426</v>
      </c>
      <c r="B53" s="718"/>
      <c r="C53" s="1176">
        <f>'Part VII-Pro Forma'!F54</f>
        <v>-27226.615047391999</v>
      </c>
      <c r="D53" s="1176">
        <f>'Part VII-Pro Forma'!G54</f>
        <v>-28043.413498813759</v>
      </c>
      <c r="E53" s="1176">
        <f>'Part VII-Pro Forma'!H54</f>
        <v>-28884.715903778168</v>
      </c>
      <c r="F53" s="1176">
        <f>'Part VII-Pro Forma'!I54</f>
        <v>-29751.257380891511</v>
      </c>
      <c r="G53" s="1176">
        <f>'Part VII-Pro Forma'!J54</f>
        <v>-30643.795102318258</v>
      </c>
      <c r="H53" s="1176">
        <f>'Part VII-Pro Forma'!K54</f>
        <v>-31563.108955387805</v>
      </c>
    </row>
    <row r="54" spans="1:10" ht="13.5" customHeight="1">
      <c r="A54" s="717" t="s">
        <v>3427</v>
      </c>
      <c r="C54" s="1177">
        <f>'Part VII-Pro Forma'!F63</f>
        <v>0</v>
      </c>
      <c r="D54" s="1177">
        <f>'Part VII-Pro Forma'!G63</f>
        <v>0</v>
      </c>
      <c r="E54" s="1177">
        <f>'Part VII-Pro Forma'!H63</f>
        <v>0</v>
      </c>
      <c r="F54" s="1177">
        <f>'Part VII-Pro Forma'!I63</f>
        <v>0</v>
      </c>
      <c r="G54" s="1177">
        <f>'Part VII-Pro Forma'!J63</f>
        <v>0</v>
      </c>
      <c r="H54" s="1177">
        <f>'Part VII-Pro Forma'!K63</f>
        <v>0</v>
      </c>
    </row>
    <row r="55" spans="1:10" ht="13.5" customHeight="1">
      <c r="A55" s="719" t="s">
        <v>2954</v>
      </c>
      <c r="C55" s="720">
        <f t="shared" ref="C55:H55" si="14">$E$3/$H$3</f>
        <v>403861.49090909091</v>
      </c>
      <c r="D55" s="720">
        <f t="shared" si="14"/>
        <v>403861.49090909091</v>
      </c>
      <c r="E55" s="720">
        <f t="shared" si="14"/>
        <v>403861.49090909091</v>
      </c>
      <c r="F55" s="720">
        <f t="shared" si="14"/>
        <v>403861.49090909091</v>
      </c>
      <c r="G55" s="720">
        <f t="shared" si="14"/>
        <v>403861.49090909091</v>
      </c>
      <c r="H55" s="720">
        <f t="shared" si="14"/>
        <v>403861.49090909091</v>
      </c>
    </row>
    <row r="56" spans="1:10" ht="13.5" customHeight="1">
      <c r="A56" s="719" t="s">
        <v>2956</v>
      </c>
      <c r="C56" s="713">
        <f t="shared" ref="C56:H56" si="15">IF(C$48&lt;=$H$4,($E$4/$H$4),0)+IF(C$48&lt;=$H$5,($E$5/$H$5),0)</f>
        <v>12242.666666666666</v>
      </c>
      <c r="D56" s="713">
        <f t="shared" si="15"/>
        <v>2237.2666666666669</v>
      </c>
      <c r="E56" s="713">
        <f t="shared" si="15"/>
        <v>2237.2666666666669</v>
      </c>
      <c r="F56" s="713">
        <f t="shared" si="15"/>
        <v>2237.2666666666669</v>
      </c>
      <c r="G56" s="713">
        <f t="shared" si="15"/>
        <v>2237.2666666666669</v>
      </c>
      <c r="H56" s="713">
        <f t="shared" si="15"/>
        <v>2237.2666666666669</v>
      </c>
    </row>
    <row r="57" spans="1:10" ht="13.5" customHeight="1">
      <c r="A57" s="719" t="s">
        <v>2957</v>
      </c>
      <c r="C57" s="713" t="e">
        <f t="shared" ref="C57:H57" si="16">C49+C50+C51+C52+C53+C54-C55-C56</f>
        <v>#VALUE!</v>
      </c>
      <c r="D57" s="713" t="e">
        <f t="shared" si="16"/>
        <v>#VALUE!</v>
      </c>
      <c r="E57" s="713" t="e">
        <f t="shared" si="16"/>
        <v>#VALUE!</v>
      </c>
      <c r="F57" s="713" t="e">
        <f t="shared" si="16"/>
        <v>#VALUE!</v>
      </c>
      <c r="G57" s="713" t="e">
        <f t="shared" si="16"/>
        <v>#VALUE!</v>
      </c>
      <c r="H57" s="713" t="e">
        <f t="shared" si="16"/>
        <v>#VALUE!</v>
      </c>
    </row>
    <row r="58" spans="1:10" ht="13.5" customHeight="1">
      <c r="A58" s="619" t="s">
        <v>2959</v>
      </c>
      <c r="C58" s="720" t="e">
        <f t="shared" ref="C58:H58" si="17">C57*$H$6</f>
        <v>#VALUE!</v>
      </c>
      <c r="D58" s="720" t="e">
        <f t="shared" si="17"/>
        <v>#VALUE!</v>
      </c>
      <c r="E58" s="720" t="e">
        <f t="shared" si="17"/>
        <v>#VALUE!</v>
      </c>
      <c r="F58" s="720" t="e">
        <f t="shared" si="17"/>
        <v>#VALUE!</v>
      </c>
      <c r="G58" s="720" t="e">
        <f t="shared" si="17"/>
        <v>#VALUE!</v>
      </c>
      <c r="H58" s="720" t="e">
        <f t="shared" si="17"/>
        <v>#VALUE!</v>
      </c>
      <c r="J58" s="619" t="s">
        <v>238</v>
      </c>
    </row>
    <row r="59" spans="1:10" s="726" customFormat="1" ht="16.5" customHeight="1">
      <c r="A59" s="619"/>
      <c r="B59" s="619"/>
      <c r="C59" s="713"/>
      <c r="D59" s="713"/>
      <c r="E59" s="713"/>
      <c r="F59" s="713"/>
      <c r="G59" s="713"/>
      <c r="H59" s="713"/>
      <c r="I59" s="619"/>
      <c r="J59" s="619"/>
    </row>
    <row r="60" spans="1:10">
      <c r="A60" s="619" t="s">
        <v>2961</v>
      </c>
      <c r="C60" s="713" t="e">
        <f t="shared" ref="C60:H60" si="18">C49-C58</f>
        <v>#VALUE!</v>
      </c>
      <c r="D60" s="713" t="e">
        <f t="shared" si="18"/>
        <v>#VALUE!</v>
      </c>
      <c r="E60" s="713" t="e">
        <f t="shared" si="18"/>
        <v>#VALUE!</v>
      </c>
      <c r="F60" s="713" t="e">
        <f t="shared" si="18"/>
        <v>#VALUE!</v>
      </c>
      <c r="G60" s="713" t="e">
        <f t="shared" si="18"/>
        <v>#VALUE!</v>
      </c>
      <c r="H60" s="713" t="e">
        <f t="shared" si="18"/>
        <v>#VALUE!</v>
      </c>
    </row>
    <row r="61" spans="1:10">
      <c r="A61" s="619" t="s">
        <v>2962</v>
      </c>
      <c r="C61" s="720">
        <v>0</v>
      </c>
      <c r="D61" s="720">
        <v>0</v>
      </c>
      <c r="E61" s="720">
        <v>0</v>
      </c>
      <c r="F61" s="720">
        <v>0</v>
      </c>
      <c r="G61" s="720">
        <v>0</v>
      </c>
      <c r="H61" s="713">
        <v>0</v>
      </c>
    </row>
    <row r="62" spans="1:10">
      <c r="A62" s="619" t="s">
        <v>2963</v>
      </c>
      <c r="C62" s="720">
        <v>0</v>
      </c>
      <c r="D62" s="713">
        <v>0</v>
      </c>
      <c r="E62" s="713">
        <v>0</v>
      </c>
      <c r="F62" s="713">
        <v>0</v>
      </c>
      <c r="G62" s="713">
        <v>0</v>
      </c>
      <c r="H62" s="713">
        <v>0</v>
      </c>
    </row>
    <row r="63" spans="1:10">
      <c r="A63" s="619" t="s">
        <v>2965</v>
      </c>
      <c r="C63" s="713">
        <v>0</v>
      </c>
      <c r="D63" s="713">
        <v>0</v>
      </c>
      <c r="E63" s="713">
        <v>0</v>
      </c>
      <c r="F63" s="713">
        <v>0</v>
      </c>
      <c r="G63" s="713">
        <v>0</v>
      </c>
      <c r="H63" s="713" t="e">
        <f>O33</f>
        <v>#VALUE!</v>
      </c>
    </row>
    <row r="64" spans="1:10">
      <c r="A64" s="619" t="s">
        <v>2966</v>
      </c>
      <c r="C64" s="713" t="e">
        <f t="shared" ref="C64:H64" si="19">SUM(C60:C63)</f>
        <v>#VALUE!</v>
      </c>
      <c r="D64" s="713" t="e">
        <f t="shared" si="19"/>
        <v>#VALUE!</v>
      </c>
      <c r="E64" s="713" t="e">
        <f t="shared" si="19"/>
        <v>#VALUE!</v>
      </c>
      <c r="F64" s="713" t="e">
        <f t="shared" si="19"/>
        <v>#VALUE!</v>
      </c>
      <c r="G64" s="713" t="e">
        <f t="shared" si="19"/>
        <v>#VALUE!</v>
      </c>
      <c r="H64" s="713" t="e">
        <f t="shared" si="19"/>
        <v>#VALUE!</v>
      </c>
    </row>
    <row r="66" spans="1:10">
      <c r="A66" s="727"/>
      <c r="B66" s="728"/>
      <c r="C66" s="728"/>
      <c r="D66" s="728"/>
      <c r="E66" s="728"/>
      <c r="F66" s="729" t="s">
        <v>2972</v>
      </c>
      <c r="G66" s="3250" t="e">
        <f>IRR(K5:K25)</f>
        <v>#VALUE!</v>
      </c>
      <c r="H66" s="3251"/>
      <c r="I66" s="726"/>
      <c r="J66" s="726"/>
    </row>
    <row r="548" ht="13.35" customHeight="1"/>
    <row r="549" ht="13.35" customHeight="1"/>
    <row r="631" ht="13.35" customHeight="1"/>
    <row r="638" ht="13.35" customHeight="1"/>
    <row r="667" ht="14.4" customHeight="1"/>
    <row r="1191" ht="13.35" customHeight="1"/>
    <row r="1249" ht="11.25" customHeight="1"/>
    <row r="1250" ht="11.25" customHeight="1"/>
    <row r="1251" ht="11.25" customHeight="1"/>
    <row r="1252" ht="11.25" customHeight="1"/>
    <row r="1435" ht="13.35" customHeight="1"/>
    <row r="1436" ht="13.35" customHeight="1"/>
    <row r="1490" ht="13.35" customHeight="1"/>
    <row r="1491" ht="13.35" customHeight="1"/>
    <row r="1492" ht="13.35" customHeight="1"/>
    <row r="1528" ht="13.35" customHeight="1"/>
    <row r="1529" ht="13.35" customHeight="1"/>
    <row r="1530" ht="13.35" customHeight="1"/>
    <row r="1802" ht="14.4" customHeight="1"/>
    <row r="1803" ht="14.4" customHeight="1"/>
    <row r="1804" ht="14.4" customHeight="1"/>
    <row r="1805" ht="14.4" customHeight="1"/>
    <row r="1806" ht="14.4" customHeight="1"/>
    <row r="1807" ht="14.4" customHeight="1"/>
    <row r="1808" ht="14.4" customHeight="1"/>
    <row r="1809" ht="14.4" customHeight="1"/>
    <row r="1810" ht="14.4" customHeight="1"/>
    <row r="1811" ht="14.4" customHeight="1"/>
  </sheetData>
  <sheetProtection algorithmName="SHA-512" hashValue="hctddAa97S7SmuWddeLT+1wOO3Hd4XVbGkTp4USKWUKZfq5vYcuarVne6CphCVTs3FQOsXaSmbrexIkIPEU4SA==" saltValue="4BZsOjL4cYEq7isDttpnNQ==" spinCount="100000" sheet="1" objects="1" scenarios="1"/>
  <mergeCells count="1">
    <mergeCell ref="G66:H66"/>
  </mergeCells>
  <printOptions horizontalCentered="1"/>
  <pageMargins left="0.6" right="0.6" top="0.75" bottom="0.5" header="0.3" footer="0.3"/>
  <pageSetup scale="80" pageOrder="overThenDown" orientation="portrait" r:id="rId1"/>
  <headerFooter>
    <oddHeader>&amp;C&amp;"Arial,Bold"&amp;12After-Tax Analysis</oddHeader>
    <oddFooter>&amp;C&amp;9page &amp;P of &amp;N</oddFooter>
  </headerFooter>
  <colBreaks count="1" manualBreakCount="1">
    <brk id="9" max="1048575" man="1"/>
  </colBreaks>
  <legacy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8">
    <pageSetUpPr fitToPage="1"/>
  </sheetPr>
  <dimension ref="A1:H44"/>
  <sheetViews>
    <sheetView showGridLines="0" zoomScaleNormal="100" workbookViewId="0">
      <selection sqref="A1:H1"/>
    </sheetView>
  </sheetViews>
  <sheetFormatPr defaultColWidth="9.109375" defaultRowHeight="13.2"/>
  <cols>
    <col min="1" max="1" width="8.44140625" style="525" customWidth="1"/>
    <col min="2" max="2" width="16.6640625" style="525" customWidth="1"/>
    <col min="3" max="3" width="7.6640625" style="525" customWidth="1"/>
    <col min="4" max="4" width="8.44140625" style="525" customWidth="1"/>
    <col min="5" max="5" width="16.6640625" style="525" customWidth="1"/>
    <col min="6" max="6" width="7.6640625" style="525" customWidth="1"/>
    <col min="7" max="7" width="8.44140625" style="525" customWidth="1"/>
    <col min="8" max="8" width="16.6640625" style="525" customWidth="1"/>
    <col min="9" max="16384" width="9.109375" style="525"/>
  </cols>
  <sheetData>
    <row r="1" spans="1:8" s="2005" customFormat="1" ht="17.399999999999999" customHeight="1">
      <c r="A1" s="3253" t="str">
        <f>'Sensitivity Analysis'!C8</f>
        <v>Harper Woods II</v>
      </c>
      <c r="B1" s="3253"/>
      <c r="C1" s="3253"/>
      <c r="D1" s="3253"/>
      <c r="E1" s="3253"/>
      <c r="F1" s="3253"/>
      <c r="G1" s="3253"/>
      <c r="H1" s="3253"/>
    </row>
    <row r="2" spans="1:8" s="2005" customFormat="1" ht="17.399999999999999" customHeight="1">
      <c r="A2" s="3252" t="s">
        <v>2973</v>
      </c>
      <c r="B2" s="3252"/>
      <c r="C2" s="3252"/>
      <c r="D2" s="3252"/>
      <c r="E2" s="3252"/>
      <c r="F2" s="3252"/>
      <c r="G2" s="3252"/>
      <c r="H2" s="3252"/>
    </row>
    <row r="3" spans="1:8" ht="9" customHeight="1">
      <c r="A3" s="2004"/>
      <c r="B3" s="2004"/>
      <c r="C3" s="2004"/>
      <c r="D3" s="2004"/>
      <c r="E3" s="2004"/>
      <c r="G3" s="2004"/>
      <c r="H3" s="2004"/>
    </row>
    <row r="4" spans="1:8" ht="12.6" customHeight="1">
      <c r="A4" s="3254" t="s">
        <v>6833</v>
      </c>
      <c r="B4" s="3254"/>
      <c r="C4" s="2006"/>
      <c r="D4" s="3254" t="s">
        <v>6834</v>
      </c>
      <c r="E4" s="3254"/>
      <c r="F4" s="2007"/>
      <c r="G4" s="3254" t="s">
        <v>6835</v>
      </c>
      <c r="H4" s="3254"/>
    </row>
    <row r="5" spans="1:8" ht="25.95" customHeight="1">
      <c r="A5" s="3255" t="str">
        <f>'Part III-Sources of Funds'!E38</f>
        <v>Synovus Bank</v>
      </c>
      <c r="B5" s="3256"/>
      <c r="C5" s="2005"/>
      <c r="D5" s="3255" t="str">
        <f>'Part III-Sources of Funds'!E39</f>
        <v>City of Columbus HOME Loan</v>
      </c>
      <c r="E5" s="3256"/>
      <c r="F5" s="2008"/>
      <c r="G5" s="3255">
        <f>'Part III-Sources of Funds'!E40</f>
        <v>0</v>
      </c>
      <c r="H5" s="3256"/>
    </row>
    <row r="6" spans="1:8" ht="9" customHeight="1"/>
    <row r="7" spans="1:8" ht="15.6">
      <c r="A7" s="1179"/>
      <c r="B7" s="1179" t="s">
        <v>2974</v>
      </c>
      <c r="D7" s="1179"/>
      <c r="E7" s="1179" t="s">
        <v>2974</v>
      </c>
      <c r="G7" s="1179"/>
      <c r="H7" s="1179" t="s">
        <v>2974</v>
      </c>
    </row>
    <row r="8" spans="1:8" ht="15.6">
      <c r="A8" s="1216" t="s">
        <v>2416</v>
      </c>
      <c r="B8" s="1216" t="s">
        <v>2975</v>
      </c>
      <c r="D8" s="1216" t="s">
        <v>2416</v>
      </c>
      <c r="E8" s="1216" t="s">
        <v>2975</v>
      </c>
      <c r="G8" s="1216" t="s">
        <v>2416</v>
      </c>
      <c r="H8" s="1216" t="s">
        <v>2975</v>
      </c>
    </row>
    <row r="9" spans="1:8" ht="6" customHeight="1">
      <c r="A9" s="1180"/>
      <c r="B9" s="1180"/>
      <c r="D9" s="1180"/>
      <c r="E9" s="1180"/>
      <c r="G9" s="1180"/>
      <c r="H9" s="1180"/>
    </row>
    <row r="10" spans="1:8" ht="18" customHeight="1">
      <c r="A10" s="1181">
        <v>1</v>
      </c>
      <c r="B10" s="1182">
        <f>-'Part VII-Pro Forma'!$B25/12</f>
        <v>5280.4377125271267</v>
      </c>
      <c r="D10" s="1181">
        <v>1</v>
      </c>
      <c r="E10" s="1182">
        <f>-'Part VII-Pro Forma'!$B26/12</f>
        <v>2874.3394184862286</v>
      </c>
      <c r="G10" s="1181">
        <v>1</v>
      </c>
      <c r="H10" s="1182">
        <f>-'Part VII-Pro Forma'!$B27/12</f>
        <v>0</v>
      </c>
    </row>
    <row r="11" spans="1:8" ht="18" customHeight="1">
      <c r="A11" s="1181">
        <v>2</v>
      </c>
      <c r="B11" s="1182">
        <f>-'Part VII-Pro Forma'!$C25/12</f>
        <v>5280.4377125271267</v>
      </c>
      <c r="D11" s="1181">
        <v>2</v>
      </c>
      <c r="E11" s="1182">
        <f>-'Part VII-Pro Forma'!$C26/12</f>
        <v>2874.3394184862286</v>
      </c>
      <c r="G11" s="1181">
        <v>2</v>
      </c>
      <c r="H11" s="1182">
        <f>-'Part VII-Pro Forma'!$C27/12</f>
        <v>0</v>
      </c>
    </row>
    <row r="12" spans="1:8" ht="18" customHeight="1">
      <c r="A12" s="1181">
        <v>3</v>
      </c>
      <c r="B12" s="1182">
        <f>-'Part VII-Pro Forma'!$D25/12</f>
        <v>5280.4377125271267</v>
      </c>
      <c r="D12" s="1181">
        <v>3</v>
      </c>
      <c r="E12" s="1182">
        <f>-'Part VII-Pro Forma'!$D26/12</f>
        <v>2874.3394184862286</v>
      </c>
      <c r="G12" s="1181">
        <v>3</v>
      </c>
      <c r="H12" s="1182">
        <f>-'Part VII-Pro Forma'!$D27/12</f>
        <v>0</v>
      </c>
    </row>
    <row r="13" spans="1:8" ht="18" customHeight="1">
      <c r="A13" s="1183">
        <v>4</v>
      </c>
      <c r="B13" s="1182">
        <f>-'Part VII-Pro Forma'!$E25/12</f>
        <v>5280.4377125271267</v>
      </c>
      <c r="D13" s="1183">
        <v>4</v>
      </c>
      <c r="E13" s="1182">
        <f>-'Part VII-Pro Forma'!$E26/12</f>
        <v>2874.3394184862286</v>
      </c>
      <c r="G13" s="1183">
        <v>4</v>
      </c>
      <c r="H13" s="1182">
        <f>-'Part VII-Pro Forma'!$E27/12</f>
        <v>0</v>
      </c>
    </row>
    <row r="14" spans="1:8" ht="18" customHeight="1">
      <c r="A14" s="2011">
        <v>5</v>
      </c>
      <c r="B14" s="2010">
        <f>-'Part VII-Pro Forma'!$F25/12</f>
        <v>5280.4377125271267</v>
      </c>
      <c r="D14" s="2011">
        <v>5</v>
      </c>
      <c r="E14" s="2010">
        <f>-'Part VII-Pro Forma'!$F26/12</f>
        <v>2874.3394184862286</v>
      </c>
      <c r="G14" s="2011">
        <v>5</v>
      </c>
      <c r="H14" s="2010">
        <f>-'Part VII-Pro Forma'!$F27/12</f>
        <v>0</v>
      </c>
    </row>
    <row r="15" spans="1:8" ht="18" customHeight="1">
      <c r="A15" s="1181">
        <v>6</v>
      </c>
      <c r="B15" s="1182">
        <f>-'Part VII-Pro Forma'!$G25/12</f>
        <v>5280.4377125271267</v>
      </c>
      <c r="D15" s="1181">
        <v>6</v>
      </c>
      <c r="E15" s="1182">
        <f>-'Part VII-Pro Forma'!$G26/12</f>
        <v>2874.3394184862286</v>
      </c>
      <c r="G15" s="1181">
        <v>6</v>
      </c>
      <c r="H15" s="1182">
        <f>-'Part VII-Pro Forma'!$G27/12</f>
        <v>0</v>
      </c>
    </row>
    <row r="16" spans="1:8" ht="18" customHeight="1">
      <c r="A16" s="1181">
        <v>7</v>
      </c>
      <c r="B16" s="1182">
        <f>-'Part VII-Pro Forma'!$H25/12</f>
        <v>5280.4377125271267</v>
      </c>
      <c r="D16" s="1181">
        <v>7</v>
      </c>
      <c r="E16" s="1182">
        <f>-'Part VII-Pro Forma'!$H26/12</f>
        <v>2874.3394184862286</v>
      </c>
      <c r="G16" s="1181">
        <v>7</v>
      </c>
      <c r="H16" s="1182">
        <f>-'Part VII-Pro Forma'!$H27/12</f>
        <v>0</v>
      </c>
    </row>
    <row r="17" spans="1:8" ht="18" customHeight="1">
      <c r="A17" s="1183">
        <v>8</v>
      </c>
      <c r="B17" s="1182">
        <f>-'Part VII-Pro Forma'!$I25/12</f>
        <v>5280.4377125271267</v>
      </c>
      <c r="D17" s="1183">
        <v>8</v>
      </c>
      <c r="E17" s="1182">
        <f>-'Part VII-Pro Forma'!$I26/12</f>
        <v>2874.3394184862286</v>
      </c>
      <c r="G17" s="1183">
        <v>8</v>
      </c>
      <c r="H17" s="1182">
        <f>-'Part VII-Pro Forma'!$I27/12</f>
        <v>0</v>
      </c>
    </row>
    <row r="18" spans="1:8" ht="18" customHeight="1">
      <c r="A18" s="1181">
        <v>9</v>
      </c>
      <c r="B18" s="1182">
        <f>-'Part VII-Pro Forma'!$J25/12</f>
        <v>5280.4377125271267</v>
      </c>
      <c r="D18" s="1181">
        <v>9</v>
      </c>
      <c r="E18" s="1182">
        <f>-'Part VII-Pro Forma'!$J26/12</f>
        <v>2874.3394184862286</v>
      </c>
      <c r="G18" s="1181">
        <v>9</v>
      </c>
      <c r="H18" s="1182">
        <f>-'Part VII-Pro Forma'!$J27/12</f>
        <v>0</v>
      </c>
    </row>
    <row r="19" spans="1:8" ht="18" customHeight="1">
      <c r="A19" s="2009">
        <v>10</v>
      </c>
      <c r="B19" s="2010">
        <f>-'Part VII-Pro Forma'!$K25/12</f>
        <v>5280.4377125271267</v>
      </c>
      <c r="D19" s="2009">
        <v>10</v>
      </c>
      <c r="E19" s="2010">
        <f>-'Part VII-Pro Forma'!$K26/12</f>
        <v>2874.3394184862286</v>
      </c>
      <c r="G19" s="2009">
        <v>10</v>
      </c>
      <c r="H19" s="2010">
        <f>-'Part VII-Pro Forma'!$K27/12</f>
        <v>0</v>
      </c>
    </row>
    <row r="20" spans="1:8" ht="18" customHeight="1">
      <c r="A20" s="1183">
        <v>11</v>
      </c>
      <c r="B20" s="1182">
        <f>-'Part VII-Pro Forma'!$B57/12</f>
        <v>5280.4377125271267</v>
      </c>
      <c r="D20" s="1183">
        <v>11</v>
      </c>
      <c r="E20" s="1182">
        <f>-'Part VII-Pro Forma'!$B58/12</f>
        <v>2874.3394184862286</v>
      </c>
      <c r="G20" s="1183">
        <v>11</v>
      </c>
      <c r="H20" s="1182">
        <f>-'Part VII-Pro Forma'!$B59/12</f>
        <v>0</v>
      </c>
    </row>
    <row r="21" spans="1:8" ht="18" customHeight="1">
      <c r="A21" s="1181">
        <v>12</v>
      </c>
      <c r="B21" s="1182">
        <f>-'Part VII-Pro Forma'!$C57/12</f>
        <v>5280.4377125271267</v>
      </c>
      <c r="D21" s="1181">
        <v>12</v>
      </c>
      <c r="E21" s="1182">
        <f>-'Part VII-Pro Forma'!$C58/12</f>
        <v>2874.3394184862286</v>
      </c>
      <c r="G21" s="1181">
        <v>12</v>
      </c>
      <c r="H21" s="1182">
        <f>-'Part VII-Pro Forma'!$C59/12</f>
        <v>0</v>
      </c>
    </row>
    <row r="22" spans="1:8" ht="18" customHeight="1">
      <c r="A22" s="1181">
        <v>13</v>
      </c>
      <c r="B22" s="1182">
        <f>-'Part VII-Pro Forma'!$D57/12</f>
        <v>5280.4377125271267</v>
      </c>
      <c r="D22" s="1181">
        <v>13</v>
      </c>
      <c r="E22" s="1182">
        <f>-'Part VII-Pro Forma'!$D58/12</f>
        <v>2874.3394184862286</v>
      </c>
      <c r="G22" s="1181">
        <v>13</v>
      </c>
      <c r="H22" s="1182">
        <f>-'Part VII-Pro Forma'!$D59/12</f>
        <v>0</v>
      </c>
    </row>
    <row r="23" spans="1:8" ht="18" customHeight="1">
      <c r="A23" s="1181">
        <v>14</v>
      </c>
      <c r="B23" s="1182">
        <f>-'Part VII-Pro Forma'!$E57/12</f>
        <v>5280.4377125271267</v>
      </c>
      <c r="D23" s="1181">
        <v>14</v>
      </c>
      <c r="E23" s="1182">
        <f>-'Part VII-Pro Forma'!$E58/12</f>
        <v>0</v>
      </c>
      <c r="G23" s="1181">
        <v>14</v>
      </c>
      <c r="H23" s="1182">
        <f>-'Part VII-Pro Forma'!$E59/12</f>
        <v>0</v>
      </c>
    </row>
    <row r="24" spans="1:8" ht="18" customHeight="1">
      <c r="A24" s="2009">
        <v>15</v>
      </c>
      <c r="B24" s="2010">
        <f>-'Part VII-Pro Forma'!$F57/12</f>
        <v>5280.4377125271267</v>
      </c>
      <c r="D24" s="2009">
        <v>15</v>
      </c>
      <c r="E24" s="2010">
        <f>-'Part VII-Pro Forma'!$F58/12</f>
        <v>0</v>
      </c>
      <c r="G24" s="2009">
        <v>15</v>
      </c>
      <c r="H24" s="2010">
        <f>-'Part VII-Pro Forma'!$F59/12</f>
        <v>0</v>
      </c>
    </row>
    <row r="25" spans="1:8" ht="18" customHeight="1">
      <c r="A25" s="1181">
        <v>16</v>
      </c>
      <c r="B25" s="1182">
        <f>-'Part VII-Pro Forma'!$G57/12</f>
        <v>5280.4377125271267</v>
      </c>
      <c r="D25" s="1181">
        <v>16</v>
      </c>
      <c r="E25" s="1182">
        <f>-'Part VII-Pro Forma'!$G58/12</f>
        <v>0</v>
      </c>
      <c r="G25" s="1181">
        <v>16</v>
      </c>
      <c r="H25" s="1182">
        <f>-'Part VII-Pro Forma'!$G59/12</f>
        <v>0</v>
      </c>
    </row>
    <row r="26" spans="1:8" ht="18" customHeight="1">
      <c r="A26" s="1181">
        <v>17</v>
      </c>
      <c r="B26" s="1182">
        <f>-'Part VII-Pro Forma'!$H57/12</f>
        <v>5280.4377125271267</v>
      </c>
      <c r="D26" s="1181">
        <v>17</v>
      </c>
      <c r="E26" s="1182">
        <f>-'Part VII-Pro Forma'!$H58/12</f>
        <v>0</v>
      </c>
      <c r="G26" s="1181">
        <v>17</v>
      </c>
      <c r="H26" s="1182">
        <f>-'Part VII-Pro Forma'!$H59/12</f>
        <v>0</v>
      </c>
    </row>
    <row r="27" spans="1:8" ht="18" customHeight="1">
      <c r="A27" s="1181">
        <v>18</v>
      </c>
      <c r="B27" s="1182">
        <f>-'Part VII-Pro Forma'!$I57/12</f>
        <v>5280.4377125271267</v>
      </c>
      <c r="D27" s="1181">
        <v>18</v>
      </c>
      <c r="E27" s="1182">
        <f>-'Part VII-Pro Forma'!$I58/12</f>
        <v>0</v>
      </c>
      <c r="G27" s="1181">
        <v>18</v>
      </c>
      <c r="H27" s="1182">
        <f>-'Part VII-Pro Forma'!$I59/12</f>
        <v>0</v>
      </c>
    </row>
    <row r="28" spans="1:8" ht="18" customHeight="1">
      <c r="A28" s="1181">
        <v>19</v>
      </c>
      <c r="B28" s="1182">
        <f>-'Part VII-Pro Forma'!$J57/12</f>
        <v>5280.4377125271267</v>
      </c>
      <c r="D28" s="1181">
        <v>19</v>
      </c>
      <c r="E28" s="1182">
        <f>-'Part VII-Pro Forma'!$J58/12</f>
        <v>0</v>
      </c>
      <c r="G28" s="1181">
        <v>19</v>
      </c>
      <c r="H28" s="1182">
        <f>-'Part VII-Pro Forma'!$J59/12</f>
        <v>0</v>
      </c>
    </row>
    <row r="29" spans="1:8" ht="18" customHeight="1">
      <c r="A29" s="2009">
        <v>20</v>
      </c>
      <c r="B29" s="2010">
        <f>-'Part VII-Pro Forma'!$K57/12</f>
        <v>5280.4377125271267</v>
      </c>
      <c r="D29" s="2009">
        <v>20</v>
      </c>
      <c r="E29" s="2010">
        <f>-'Part VII-Pro Forma'!$K58/12</f>
        <v>0</v>
      </c>
      <c r="G29" s="2009">
        <v>20</v>
      </c>
      <c r="H29" s="2010">
        <f>-'Part VII-Pro Forma'!$K59/12</f>
        <v>0</v>
      </c>
    </row>
    <row r="30" spans="1:8" ht="18" customHeight="1">
      <c r="A30" s="1181">
        <v>21</v>
      </c>
      <c r="B30" s="1182">
        <f>-'Part VII-Pro Forma'!$B89/12</f>
        <v>0</v>
      </c>
      <c r="D30" s="1181">
        <v>21</v>
      </c>
      <c r="E30" s="1182">
        <f>-'Part VII-Pro Forma'!$B90/12</f>
        <v>0</v>
      </c>
      <c r="G30" s="1181">
        <v>21</v>
      </c>
      <c r="H30" s="1182">
        <f>-'Part VII-Pro Forma'!$B91/12</f>
        <v>0</v>
      </c>
    </row>
    <row r="31" spans="1:8" ht="18" customHeight="1">
      <c r="A31" s="1181">
        <v>22</v>
      </c>
      <c r="B31" s="1182">
        <f>-'Part VII-Pro Forma'!$C89/12</f>
        <v>0</v>
      </c>
      <c r="D31" s="1181">
        <v>22</v>
      </c>
      <c r="E31" s="1182">
        <f>-'Part VII-Pro Forma'!$C90/12</f>
        <v>0</v>
      </c>
      <c r="G31" s="1181">
        <v>22</v>
      </c>
      <c r="H31" s="1182">
        <f>-'Part VII-Pro Forma'!$C91/12</f>
        <v>0</v>
      </c>
    </row>
    <row r="32" spans="1:8" ht="18" customHeight="1">
      <c r="A32" s="1181">
        <v>23</v>
      </c>
      <c r="B32" s="1182">
        <f>-'Part VII-Pro Forma'!$D89/12</f>
        <v>0</v>
      </c>
      <c r="D32" s="1181">
        <v>23</v>
      </c>
      <c r="E32" s="1182">
        <f>-'Part VII-Pro Forma'!$D90/12</f>
        <v>0</v>
      </c>
      <c r="G32" s="1181">
        <v>23</v>
      </c>
      <c r="H32" s="1182">
        <f>-'Part VII-Pro Forma'!$D91/12</f>
        <v>0</v>
      </c>
    </row>
    <row r="33" spans="1:8" ht="18" customHeight="1">
      <c r="A33" s="1181">
        <v>24</v>
      </c>
      <c r="B33" s="1182">
        <f>-'Part VII-Pro Forma'!$E89/12</f>
        <v>0</v>
      </c>
      <c r="D33" s="1181">
        <v>24</v>
      </c>
      <c r="E33" s="1182">
        <f>-'Part VII-Pro Forma'!$E90/12</f>
        <v>0</v>
      </c>
      <c r="G33" s="1181">
        <v>24</v>
      </c>
      <c r="H33" s="1182">
        <f>-'Part VII-Pro Forma'!$E91/12</f>
        <v>0</v>
      </c>
    </row>
    <row r="34" spans="1:8" ht="18" customHeight="1">
      <c r="A34" s="2009">
        <v>25</v>
      </c>
      <c r="B34" s="2010">
        <f>-'Part VII-Pro Forma'!$F89/12</f>
        <v>0</v>
      </c>
      <c r="D34" s="2009">
        <v>25</v>
      </c>
      <c r="E34" s="2010">
        <f>-'Part VII-Pro Forma'!$F90/12</f>
        <v>0</v>
      </c>
      <c r="G34" s="2009">
        <v>25</v>
      </c>
      <c r="H34" s="2010">
        <f>-'Part VII-Pro Forma'!$F91/12</f>
        <v>0</v>
      </c>
    </row>
    <row r="35" spans="1:8" ht="18" customHeight="1">
      <c r="A35" s="1181">
        <v>26</v>
      </c>
      <c r="B35" s="1182">
        <f>-'Part VII-Pro Forma'!$G89/12</f>
        <v>0</v>
      </c>
      <c r="D35" s="1181">
        <v>26</v>
      </c>
      <c r="E35" s="1182">
        <f>-'Part VII-Pro Forma'!$G90/12</f>
        <v>0</v>
      </c>
      <c r="G35" s="1181">
        <v>26</v>
      </c>
      <c r="H35" s="1182">
        <f>-'Part VII-Pro Forma'!$G91/12</f>
        <v>0</v>
      </c>
    </row>
    <row r="36" spans="1:8" ht="18" customHeight="1">
      <c r="A36" s="1181">
        <v>27</v>
      </c>
      <c r="B36" s="1182">
        <f>-'Part VII-Pro Forma'!$H89/12</f>
        <v>0</v>
      </c>
      <c r="D36" s="1181">
        <v>27</v>
      </c>
      <c r="E36" s="1182">
        <f>-'Part VII-Pro Forma'!$H90/12</f>
        <v>0</v>
      </c>
      <c r="G36" s="1181">
        <v>27</v>
      </c>
      <c r="H36" s="1182">
        <f>-'Part VII-Pro Forma'!$H91/12</f>
        <v>0</v>
      </c>
    </row>
    <row r="37" spans="1:8" ht="18" customHeight="1">
      <c r="A37" s="1181">
        <v>28</v>
      </c>
      <c r="B37" s="1182">
        <f>-'Part VII-Pro Forma'!$I89/12</f>
        <v>0</v>
      </c>
      <c r="D37" s="1181">
        <v>28</v>
      </c>
      <c r="E37" s="1182">
        <f>-'Part VII-Pro Forma'!$I90/12</f>
        <v>0</v>
      </c>
      <c r="G37" s="1181">
        <v>28</v>
      </c>
      <c r="H37" s="1182">
        <f>-'Part VII-Pro Forma'!$I91/12</f>
        <v>0</v>
      </c>
    </row>
    <row r="38" spans="1:8" ht="18" customHeight="1">
      <c r="A38" s="1181">
        <v>29</v>
      </c>
      <c r="B38" s="1182">
        <f>-'Part VII-Pro Forma'!$J89/12</f>
        <v>0</v>
      </c>
      <c r="D38" s="1181">
        <v>29</v>
      </c>
      <c r="E38" s="1182">
        <f>-'Part VII-Pro Forma'!$J90/12</f>
        <v>0</v>
      </c>
      <c r="G38" s="1181">
        <v>29</v>
      </c>
      <c r="H38" s="1182">
        <f>-'Part VII-Pro Forma'!$J91/12</f>
        <v>0</v>
      </c>
    </row>
    <row r="39" spans="1:8" ht="18" customHeight="1">
      <c r="A39" s="2009">
        <v>30</v>
      </c>
      <c r="B39" s="2010">
        <f>-'Part VII-Pro Forma'!$K89/12</f>
        <v>0</v>
      </c>
      <c r="D39" s="2009">
        <v>30</v>
      </c>
      <c r="E39" s="2010">
        <f>-'Part VII-Pro Forma'!$K90/12</f>
        <v>0</v>
      </c>
      <c r="G39" s="2009">
        <v>30</v>
      </c>
      <c r="H39" s="2010">
        <f>-'Part VII-Pro Forma'!$K91/12</f>
        <v>0</v>
      </c>
    </row>
    <row r="40" spans="1:8" ht="18" customHeight="1">
      <c r="A40" s="1183">
        <v>31</v>
      </c>
      <c r="B40" s="1182">
        <f>-'Part VII-Pro Forma'!$B119/12</f>
        <v>0</v>
      </c>
      <c r="D40" s="1183">
        <v>31</v>
      </c>
      <c r="E40" s="1182">
        <f>-'Part VII-Pro Forma'!$B120/12</f>
        <v>0</v>
      </c>
      <c r="G40" s="1183">
        <v>31</v>
      </c>
      <c r="H40" s="1182">
        <f>-'Part VII-Pro Forma'!$B121/12</f>
        <v>0</v>
      </c>
    </row>
    <row r="41" spans="1:8" ht="18" customHeight="1">
      <c r="A41" s="1183">
        <v>32</v>
      </c>
      <c r="B41" s="1182">
        <f>-'Part VII-Pro Forma'!$C119/12</f>
        <v>0</v>
      </c>
      <c r="D41" s="1183">
        <v>32</v>
      </c>
      <c r="E41" s="1182">
        <f>-'Part VII-Pro Forma'!$C120/12</f>
        <v>0</v>
      </c>
      <c r="G41" s="1183">
        <v>32</v>
      </c>
      <c r="H41" s="1182">
        <f>-'Part VII-Pro Forma'!$C121/12</f>
        <v>0</v>
      </c>
    </row>
    <row r="42" spans="1:8" ht="18" customHeight="1">
      <c r="A42" s="1181">
        <v>33</v>
      </c>
      <c r="B42" s="1182">
        <f>-'Part VII-Pro Forma'!$D119/12</f>
        <v>0</v>
      </c>
      <c r="D42" s="1181">
        <v>33</v>
      </c>
      <c r="E42" s="1182">
        <f>-'Part VII-Pro Forma'!$D120/12</f>
        <v>0</v>
      </c>
      <c r="G42" s="1181">
        <v>33</v>
      </c>
      <c r="H42" s="1182">
        <f>-'Part VII-Pro Forma'!$D121/12</f>
        <v>0</v>
      </c>
    </row>
    <row r="43" spans="1:8" ht="18" customHeight="1">
      <c r="A43" s="1181">
        <v>34</v>
      </c>
      <c r="B43" s="1182">
        <f>-'Part VII-Pro Forma'!$E119/12</f>
        <v>0</v>
      </c>
      <c r="D43" s="1181">
        <v>34</v>
      </c>
      <c r="E43" s="1182">
        <f>-'Part VII-Pro Forma'!$E120/12</f>
        <v>0</v>
      </c>
      <c r="G43" s="1181">
        <v>34</v>
      </c>
      <c r="H43" s="1182">
        <f>-'Part VII-Pro Forma'!$E121/12</f>
        <v>0</v>
      </c>
    </row>
    <row r="44" spans="1:8" ht="18" customHeight="1">
      <c r="A44" s="1181">
        <v>35</v>
      </c>
      <c r="B44" s="1182">
        <f>-'Part VII-Pro Forma'!$F119/12</f>
        <v>0</v>
      </c>
      <c r="D44" s="1181">
        <v>35</v>
      </c>
      <c r="E44" s="1182">
        <f>-'Part VII-Pro Forma'!$F120/12</f>
        <v>0</v>
      </c>
      <c r="G44" s="1181">
        <v>35</v>
      </c>
      <c r="H44" s="1182">
        <f>-'Part VII-Pro Forma'!$F121/12</f>
        <v>0</v>
      </c>
    </row>
  </sheetData>
  <sheetProtection algorithmName="SHA-512" hashValue="H1Y9qVhwHvdGFeuzhURb2j1LEiO2vMa67Vyhn8qCQwi2i7quLcFoUn8oBfUaSXhHku9+zxyatUoHpLwYqFfu7g==" saltValue="2bIQ95O96rzFqUs070UmuA==" spinCount="100000" sheet="1" objects="1" scenarios="1"/>
  <mergeCells count="8">
    <mergeCell ref="A2:H2"/>
    <mergeCell ref="A1:H1"/>
    <mergeCell ref="A4:B4"/>
    <mergeCell ref="A5:B5"/>
    <mergeCell ref="D4:E4"/>
    <mergeCell ref="D5:E5"/>
    <mergeCell ref="G4:H4"/>
    <mergeCell ref="G5:H5"/>
  </mergeCells>
  <printOptions horizontalCentered="1"/>
  <pageMargins left="0.7" right="0.7" top="0.75" bottom="0.75" header="0.3" footer="0.3"/>
  <pageSetup scale="91"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8">
    <pageSetUpPr fitToPage="1"/>
  </sheetPr>
  <dimension ref="A1:AR866"/>
  <sheetViews>
    <sheetView showGridLines="0" zoomScaleNormal="100" workbookViewId="0">
      <selection sqref="A1:XFD1048576"/>
    </sheetView>
  </sheetViews>
  <sheetFormatPr defaultColWidth="9.109375" defaultRowHeight="13.8"/>
  <cols>
    <col min="1" max="1" width="3.109375" style="311" customWidth="1"/>
    <col min="2" max="2" width="2.109375" style="330" customWidth="1"/>
    <col min="3" max="16" width="8.88671875" style="311" customWidth="1"/>
    <col min="17" max="17" width="9.109375" style="311"/>
    <col min="18" max="18" width="10.33203125" style="311" bestFit="1" customWidth="1"/>
    <col min="19" max="19" width="9.109375" style="311"/>
    <col min="20" max="20" width="10.33203125" style="311" bestFit="1" customWidth="1"/>
    <col min="21" max="16384" width="9.109375" style="311"/>
  </cols>
  <sheetData>
    <row r="1" spans="1:16" s="293" customFormat="1" ht="14.1" customHeight="1">
      <c r="A1" s="2416" t="str">
        <f>CONCATENATE("PART ONE - PROJECT INFORMATION"," - ",$O$6," ",$F$34,", ",'Part I-Project Information'!F38,", ",'Part I-Project Information'!J39," County")</f>
        <v>PART ONE - PROJECT INFORMATION - 2020-074 Harper Woods II, Columbus, Muscogee County</v>
      </c>
      <c r="B1" s="2417"/>
      <c r="C1" s="2417"/>
      <c r="D1" s="2417"/>
      <c r="E1" s="2417"/>
      <c r="F1" s="2417"/>
      <c r="G1" s="2417"/>
      <c r="H1" s="2417"/>
      <c r="I1" s="2417"/>
      <c r="J1" s="2417"/>
      <c r="K1" s="2417"/>
      <c r="L1" s="2417"/>
      <c r="M1" s="2417"/>
      <c r="N1" s="2417"/>
      <c r="O1" s="2417"/>
      <c r="P1" s="2418"/>
    </row>
    <row r="2" spans="1:16" s="293" customFormat="1" ht="6" customHeight="1">
      <c r="A2" s="841"/>
      <c r="B2" s="841"/>
      <c r="C2" s="841"/>
      <c r="D2" s="841"/>
      <c r="E2" s="841"/>
      <c r="F2" s="841"/>
      <c r="G2" s="841"/>
      <c r="H2" s="841"/>
      <c r="I2" s="841"/>
      <c r="J2" s="841"/>
      <c r="K2" s="841"/>
      <c r="L2" s="841"/>
      <c r="M2" s="841"/>
      <c r="N2" s="841"/>
      <c r="O2" s="841"/>
      <c r="P2" s="841"/>
    </row>
    <row r="3" spans="1:16" s="293" customFormat="1" ht="37.5" customHeight="1">
      <c r="A3" s="2425" t="s">
        <v>6981</v>
      </c>
      <c r="B3" s="2425"/>
      <c r="C3" s="2425"/>
      <c r="D3" s="2425"/>
      <c r="E3" s="2425"/>
      <c r="F3" s="2425"/>
      <c r="G3" s="2425"/>
      <c r="H3" s="2425"/>
      <c r="I3" s="2425"/>
      <c r="J3" s="2425"/>
      <c r="K3" s="2425"/>
      <c r="L3" s="2425"/>
      <c r="M3" s="2425"/>
      <c r="N3" s="2425"/>
      <c r="O3" s="2425"/>
      <c r="P3" s="2425"/>
    </row>
    <row r="4" spans="1:16" s="293" customFormat="1" ht="6" customHeight="1">
      <c r="A4" s="841"/>
      <c r="B4" s="841"/>
      <c r="C4" s="841"/>
      <c r="D4" s="841"/>
      <c r="E4" s="841"/>
      <c r="F4" s="841"/>
      <c r="G4" s="841"/>
      <c r="H4" s="841"/>
      <c r="I4" s="841"/>
      <c r="J4" s="841"/>
      <c r="K4" s="841"/>
      <c r="L4" s="841"/>
      <c r="M4" s="841"/>
      <c r="N4" s="841"/>
      <c r="O4" s="841"/>
      <c r="P4" s="841"/>
    </row>
    <row r="5" spans="1:16" s="293" customFormat="1" ht="12" customHeight="1" thickBot="1">
      <c r="B5" s="2350" t="s">
        <v>2304</v>
      </c>
      <c r="F5" s="294"/>
      <c r="G5" s="269" t="s">
        <v>4324</v>
      </c>
      <c r="L5" s="841"/>
      <c r="P5" s="1030" t="s">
        <v>3648</v>
      </c>
    </row>
    <row r="6" spans="1:16" s="293" customFormat="1" ht="12" customHeight="1" thickBot="1">
      <c r="B6" s="2426" t="s">
        <v>6985</v>
      </c>
      <c r="C6" s="2426"/>
      <c r="D6" s="2426"/>
      <c r="E6" s="1208"/>
      <c r="F6" s="296"/>
      <c r="G6" s="269" t="s">
        <v>4323</v>
      </c>
      <c r="H6" s="2357"/>
      <c r="I6" s="2357"/>
      <c r="J6" s="2357"/>
      <c r="O6" s="3460" t="s">
        <v>7188</v>
      </c>
      <c r="P6" s="3461"/>
    </row>
    <row r="7" spans="1:16" s="293" customFormat="1" ht="12" customHeight="1">
      <c r="B7" s="2426"/>
      <c r="C7" s="2426"/>
      <c r="D7" s="2426"/>
      <c r="E7" s="1208"/>
      <c r="F7" s="511"/>
      <c r="G7" s="172" t="s">
        <v>3213</v>
      </c>
      <c r="H7" s="2357"/>
      <c r="I7" s="2357"/>
      <c r="J7" s="2357"/>
    </row>
    <row r="8" spans="1:16" s="293" customFormat="1" ht="6" customHeight="1">
      <c r="A8" s="471"/>
      <c r="B8" s="2426"/>
      <c r="C8" s="2426"/>
      <c r="D8" s="2426"/>
      <c r="E8" s="2357"/>
      <c r="H8" s="2357"/>
      <c r="I8" s="2357"/>
      <c r="M8" s="2357"/>
    </row>
    <row r="9" spans="1:16" s="293" customFormat="1" ht="13.35" customHeight="1">
      <c r="A9" s="295" t="s">
        <v>598</v>
      </c>
      <c r="B9" s="295" t="s">
        <v>2315</v>
      </c>
      <c r="D9" s="270"/>
      <c r="E9" s="297"/>
      <c r="F9" s="2348" t="s">
        <v>3603</v>
      </c>
      <c r="I9" s="2419">
        <f>'Part IV-A-Uses of Funds'!$J$184</f>
        <v>844755</v>
      </c>
      <c r="J9" s="2420"/>
      <c r="L9" s="293" t="s">
        <v>3604</v>
      </c>
      <c r="O9" s="2421">
        <f>'Part III-Sources of Funds'!$H$5</f>
        <v>0</v>
      </c>
      <c r="P9" s="2422"/>
    </row>
    <row r="10" spans="1:16" s="293" customFormat="1" ht="6" customHeight="1">
      <c r="A10" s="295"/>
      <c r="B10" s="295"/>
      <c r="D10" s="270"/>
      <c r="E10" s="297"/>
      <c r="F10" s="297"/>
      <c r="I10" s="298"/>
      <c r="N10" s="299"/>
    </row>
    <row r="11" spans="1:16" s="293" customFormat="1" ht="13.35" customHeight="1">
      <c r="A11" s="298" t="s">
        <v>722</v>
      </c>
      <c r="B11" s="295" t="s">
        <v>1992</v>
      </c>
      <c r="F11" s="3462" t="s">
        <v>6986</v>
      </c>
      <c r="G11" s="3463"/>
      <c r="H11" s="3464"/>
      <c r="I11" s="3465" t="s">
        <v>3534</v>
      </c>
      <c r="J11" s="492" t="s">
        <v>4792</v>
      </c>
      <c r="K11" s="303"/>
      <c r="L11" s="2357"/>
      <c r="O11" s="3466" t="s">
        <v>6987</v>
      </c>
      <c r="P11" s="3467"/>
    </row>
    <row r="12" spans="1:16" s="293" customFormat="1" ht="12.75" customHeight="1">
      <c r="A12" s="471"/>
      <c r="B12" s="1519"/>
      <c r="C12" s="1519"/>
      <c r="D12" s="1519"/>
      <c r="E12" s="1519"/>
      <c r="H12" s="2357"/>
      <c r="J12" s="1140" t="s">
        <v>4460</v>
      </c>
      <c r="K12" s="2350"/>
      <c r="M12" s="2357"/>
      <c r="O12" s="3468" t="s">
        <v>2889</v>
      </c>
      <c r="P12" s="3469"/>
    </row>
    <row r="13" spans="1:16" s="293" customFormat="1" ht="3" customHeight="1">
      <c r="A13" s="471"/>
      <c r="B13" s="1519"/>
      <c r="C13" s="1519"/>
      <c r="D13" s="1519"/>
      <c r="E13" s="1519"/>
      <c r="H13" s="2357"/>
      <c r="J13" s="493"/>
      <c r="K13" s="2350"/>
      <c r="M13" s="2357"/>
    </row>
    <row r="14" spans="1:16" s="293" customFormat="1" ht="12.75" customHeight="1">
      <c r="A14" s="471"/>
      <c r="B14" s="1519" t="s">
        <v>4817</v>
      </c>
      <c r="C14" s="1519"/>
      <c r="D14" s="1519"/>
      <c r="E14" s="1519"/>
      <c r="F14" s="3470" t="s">
        <v>2889</v>
      </c>
      <c r="G14" s="2346" t="s">
        <v>4818</v>
      </c>
      <c r="N14" s="3462" t="s">
        <v>4461</v>
      </c>
      <c r="O14" s="3463"/>
      <c r="P14" s="3464"/>
    </row>
    <row r="15" spans="1:16" s="293" customFormat="1" ht="12.75" customHeight="1">
      <c r="A15" s="471"/>
      <c r="B15" s="293" t="s">
        <v>4800</v>
      </c>
      <c r="D15" s="303"/>
      <c r="F15" s="3471"/>
      <c r="G15" s="3472"/>
      <c r="H15" s="3472"/>
      <c r="I15" s="3473"/>
      <c r="J15" s="293" t="s">
        <v>4514</v>
      </c>
      <c r="L15" s="3474"/>
      <c r="M15" s="3475"/>
      <c r="N15" s="293" t="s">
        <v>4513</v>
      </c>
      <c r="P15" s="3476"/>
    </row>
    <row r="16" spans="1:16" s="293" customFormat="1" ht="12.75" customHeight="1">
      <c r="A16" s="471"/>
      <c r="B16" s="293" t="s">
        <v>3602</v>
      </c>
      <c r="F16" s="3470" t="s">
        <v>2889</v>
      </c>
      <c r="G16" s="293" t="s">
        <v>4451</v>
      </c>
      <c r="H16" s="2357"/>
      <c r="I16" s="172"/>
      <c r="J16" s="493"/>
      <c r="N16" s="3477" t="s">
        <v>2784</v>
      </c>
      <c r="O16" s="3478"/>
      <c r="P16" s="3479"/>
    </row>
    <row r="17" spans="1:16" s="293" customFormat="1" ht="6" customHeight="1">
      <c r="I17" s="270"/>
      <c r="J17" s="270"/>
      <c r="K17" s="270"/>
      <c r="L17" s="270"/>
      <c r="M17" s="270"/>
      <c r="N17" s="270"/>
      <c r="O17" s="270"/>
      <c r="P17" s="270"/>
    </row>
    <row r="18" spans="1:16" s="293" customFormat="1" ht="13.35" customHeight="1">
      <c r="A18" s="298" t="s">
        <v>724</v>
      </c>
      <c r="B18" s="295" t="s">
        <v>4114</v>
      </c>
      <c r="D18" s="2348"/>
      <c r="E18" s="297"/>
      <c r="G18" s="300"/>
      <c r="H18" s="300"/>
      <c r="I18" s="300"/>
      <c r="L18" s="299"/>
    </row>
    <row r="19" spans="1:16" s="293" customFormat="1" ht="1.5" customHeight="1">
      <c r="A19" s="298"/>
      <c r="B19" s="297"/>
      <c r="C19" s="295"/>
      <c r="D19" s="2348"/>
      <c r="E19" s="297"/>
      <c r="G19" s="300"/>
      <c r="H19" s="300"/>
      <c r="I19" s="300"/>
      <c r="K19" s="299"/>
      <c r="L19" s="299"/>
      <c r="O19" s="841"/>
    </row>
    <row r="20" spans="1:16" s="293" customFormat="1" ht="13.35" customHeight="1">
      <c r="B20" s="293" t="s">
        <v>3655</v>
      </c>
      <c r="F20" s="3480" t="s">
        <v>7068</v>
      </c>
      <c r="G20" s="3481"/>
      <c r="H20" s="3482"/>
      <c r="I20" s="1402" t="s">
        <v>1753</v>
      </c>
      <c r="J20" s="3480" t="s">
        <v>6988</v>
      </c>
      <c r="K20" s="3481"/>
      <c r="L20" s="3482"/>
      <c r="M20" s="325" t="s">
        <v>1933</v>
      </c>
      <c r="N20" s="3474" t="s">
        <v>6991</v>
      </c>
      <c r="O20" s="3483"/>
      <c r="P20" s="3475"/>
    </row>
    <row r="21" spans="1:16" s="293" customFormat="1" ht="13.35" customHeight="1">
      <c r="B21" s="2348" t="s">
        <v>1934</v>
      </c>
      <c r="F21" s="3484" t="s">
        <v>6989</v>
      </c>
      <c r="G21" s="3485"/>
      <c r="H21" s="3485"/>
      <c r="I21" s="3486"/>
      <c r="J21" s="3485"/>
      <c r="K21" s="3487"/>
      <c r="L21" s="3488"/>
      <c r="M21" s="2423" t="s">
        <v>3654</v>
      </c>
      <c r="N21" s="2424"/>
      <c r="O21" s="2424"/>
      <c r="P21" s="2424"/>
    </row>
    <row r="22" spans="1:16" s="293" customFormat="1" ht="13.35" customHeight="1">
      <c r="B22" s="2348" t="s">
        <v>600</v>
      </c>
      <c r="F22" s="3484" t="s">
        <v>1179</v>
      </c>
      <c r="G22" s="3485"/>
      <c r="H22" s="3489"/>
      <c r="I22" s="2348" t="s">
        <v>1754</v>
      </c>
      <c r="J22" s="3490" t="s">
        <v>828</v>
      </c>
      <c r="M22" s="2423"/>
      <c r="N22" s="2423"/>
      <c r="O22" s="2423"/>
      <c r="P22" s="2423"/>
    </row>
    <row r="23" spans="1:16" s="293" customFormat="1" ht="13.35" customHeight="1">
      <c r="B23" s="2346" t="s">
        <v>2173</v>
      </c>
      <c r="F23" s="3491">
        <v>303394002</v>
      </c>
      <c r="G23" s="3492"/>
      <c r="H23" s="3493"/>
      <c r="I23" s="2348" t="s">
        <v>1678</v>
      </c>
      <c r="J23" s="3494">
        <v>6783245540</v>
      </c>
      <c r="K23" s="3495"/>
      <c r="L23" s="2351" t="s">
        <v>1677</v>
      </c>
      <c r="M23" s="3496">
        <v>101</v>
      </c>
      <c r="N23" s="2346" t="s">
        <v>1679</v>
      </c>
      <c r="O23" s="3497">
        <v>6783245550</v>
      </c>
      <c r="P23" s="3495"/>
    </row>
    <row r="24" spans="1:16" s="293" customFormat="1" ht="13.35" customHeight="1">
      <c r="B24" s="2346" t="s">
        <v>1937</v>
      </c>
      <c r="F24" s="3498" t="s">
        <v>6990</v>
      </c>
      <c r="G24" s="3486"/>
      <c r="H24" s="3486"/>
      <c r="I24" s="3483"/>
      <c r="J24" s="3486"/>
      <c r="K24" s="3499"/>
      <c r="N24" s="2346" t="s">
        <v>1932</v>
      </c>
      <c r="O24" s="3500">
        <v>7708627333</v>
      </c>
      <c r="P24" s="3501"/>
    </row>
    <row r="25" spans="1:16" s="293" customFormat="1" ht="13.5" customHeight="1">
      <c r="A25" s="471"/>
      <c r="B25" s="295" t="s">
        <v>4113</v>
      </c>
      <c r="C25" s="301"/>
      <c r="D25" s="2356"/>
      <c r="E25" s="2356"/>
      <c r="F25" s="2356"/>
      <c r="H25" s="2357"/>
      <c r="I25" s="2356"/>
      <c r="J25" s="301"/>
      <c r="K25" s="2356"/>
      <c r="P25" s="302"/>
    </row>
    <row r="26" spans="1:16" s="293" customFormat="1" ht="13.35" customHeight="1">
      <c r="B26" s="293" t="s">
        <v>3655</v>
      </c>
      <c r="F26" s="3480" t="s">
        <v>6992</v>
      </c>
      <c r="G26" s="3481"/>
      <c r="H26" s="3482"/>
      <c r="I26" s="1402" t="s">
        <v>1753</v>
      </c>
      <c r="J26" s="3480" t="s">
        <v>6995</v>
      </c>
      <c r="K26" s="3481"/>
      <c r="L26" s="3482"/>
      <c r="M26" s="325" t="s">
        <v>1933</v>
      </c>
      <c r="N26" s="3474" t="s">
        <v>6996</v>
      </c>
      <c r="O26" s="3483"/>
      <c r="P26" s="3475"/>
    </row>
    <row r="27" spans="1:16" s="293" customFormat="1" ht="13.35" customHeight="1">
      <c r="B27" s="2348" t="s">
        <v>1934</v>
      </c>
      <c r="F27" s="3484" t="s">
        <v>6989</v>
      </c>
      <c r="G27" s="3485"/>
      <c r="H27" s="3485"/>
      <c r="I27" s="3486"/>
      <c r="J27" s="3485"/>
      <c r="K27" s="3487"/>
      <c r="L27" s="3488"/>
      <c r="M27" s="2423" t="s">
        <v>3654</v>
      </c>
      <c r="N27" s="2424"/>
      <c r="O27" s="2424"/>
      <c r="P27" s="2424"/>
    </row>
    <row r="28" spans="1:16" s="293" customFormat="1" ht="13.35" customHeight="1">
      <c r="B28" s="2348" t="s">
        <v>600</v>
      </c>
      <c r="F28" s="3484" t="s">
        <v>6993</v>
      </c>
      <c r="G28" s="3485"/>
      <c r="H28" s="3489"/>
      <c r="I28" s="2348" t="s">
        <v>1754</v>
      </c>
      <c r="J28" s="3490" t="s">
        <v>828</v>
      </c>
      <c r="M28" s="2423"/>
      <c r="N28" s="2423"/>
      <c r="O28" s="2423"/>
      <c r="P28" s="2423"/>
    </row>
    <row r="29" spans="1:16" s="293" customFormat="1" ht="13.35" customHeight="1">
      <c r="B29" s="2346" t="s">
        <v>2173</v>
      </c>
      <c r="F29" s="3491">
        <v>303394002</v>
      </c>
      <c r="G29" s="3492"/>
      <c r="H29" s="3493"/>
      <c r="I29" s="2348" t="s">
        <v>1678</v>
      </c>
      <c r="J29" s="3494">
        <v>6783245540</v>
      </c>
      <c r="K29" s="3495"/>
      <c r="L29" s="2351" t="s">
        <v>1677</v>
      </c>
      <c r="M29" s="3496">
        <v>107</v>
      </c>
      <c r="N29" s="2346" t="s">
        <v>1679</v>
      </c>
      <c r="O29" s="3497">
        <v>6783245556</v>
      </c>
      <c r="P29" s="3495"/>
    </row>
    <row r="30" spans="1:16" s="293" customFormat="1" ht="13.35" customHeight="1">
      <c r="B30" s="2346" t="s">
        <v>1937</v>
      </c>
      <c r="F30" s="3498" t="s">
        <v>6994</v>
      </c>
      <c r="G30" s="3486"/>
      <c r="H30" s="3486"/>
      <c r="I30" s="3483"/>
      <c r="J30" s="3486"/>
      <c r="K30" s="3499"/>
      <c r="N30" s="2346" t="s">
        <v>1932</v>
      </c>
      <c r="O30" s="3500">
        <v>4045435337</v>
      </c>
      <c r="P30" s="3501"/>
    </row>
    <row r="31" spans="1:16" s="293" customFormat="1" ht="6" customHeight="1">
      <c r="A31" s="471"/>
      <c r="B31" s="471"/>
      <c r="C31" s="301"/>
      <c r="D31" s="2356"/>
      <c r="E31" s="2356"/>
      <c r="F31" s="2356"/>
      <c r="H31" s="2357"/>
      <c r="I31" s="2356"/>
      <c r="J31" s="301"/>
      <c r="K31" s="2356"/>
      <c r="P31" s="302"/>
    </row>
    <row r="32" spans="1:16" s="293" customFormat="1" ht="13.35" customHeight="1">
      <c r="A32" s="298" t="s">
        <v>1748</v>
      </c>
      <c r="B32" s="295" t="s">
        <v>1443</v>
      </c>
      <c r="D32" s="270"/>
      <c r="E32" s="297"/>
      <c r="F32" s="297"/>
      <c r="G32" s="2348"/>
      <c r="H32" s="297"/>
      <c r="I32" s="297"/>
      <c r="J32" s="300"/>
      <c r="L32" s="299"/>
      <c r="M32" s="299"/>
    </row>
    <row r="33" spans="1:16" s="293" customFormat="1" ht="1.5" customHeight="1">
      <c r="A33" s="298"/>
      <c r="B33" s="295"/>
      <c r="D33" s="270"/>
      <c r="E33" s="297"/>
      <c r="F33" s="297"/>
      <c r="G33" s="2348"/>
      <c r="H33" s="297"/>
      <c r="I33" s="297"/>
      <c r="J33" s="300"/>
      <c r="L33" s="299"/>
    </row>
    <row r="34" spans="1:16" s="293" customFormat="1" ht="13.35" customHeight="1">
      <c r="A34" s="295"/>
      <c r="B34" s="293" t="s">
        <v>599</v>
      </c>
      <c r="D34" s="303"/>
      <c r="F34" s="3502" t="s">
        <v>6999</v>
      </c>
      <c r="G34" s="3503"/>
      <c r="H34" s="3503"/>
      <c r="I34" s="3503"/>
      <c r="J34" s="3503"/>
      <c r="K34" s="3504"/>
      <c r="L34" s="2346" t="s">
        <v>2142</v>
      </c>
      <c r="O34" s="3480" t="s">
        <v>7002</v>
      </c>
      <c r="P34" s="3482"/>
    </row>
    <row r="35" spans="1:16" s="293" customFormat="1" ht="13.35" customHeight="1">
      <c r="A35" s="304"/>
      <c r="B35" s="293" t="s">
        <v>2620</v>
      </c>
      <c r="D35" s="305"/>
      <c r="F35" s="3505" t="s">
        <v>7000</v>
      </c>
      <c r="G35" s="3506"/>
      <c r="H35" s="3506"/>
      <c r="I35" s="3506"/>
      <c r="J35" s="3506"/>
      <c r="K35" s="3507"/>
      <c r="L35" s="293" t="s">
        <v>3506</v>
      </c>
      <c r="O35" s="3508" t="s">
        <v>7003</v>
      </c>
      <c r="P35" s="3489"/>
    </row>
    <row r="36" spans="1:16" s="293" customFormat="1" ht="13.35" customHeight="1">
      <c r="A36" s="304"/>
      <c r="B36" s="293" t="s">
        <v>2649</v>
      </c>
      <c r="D36" s="305"/>
      <c r="F36" s="3508"/>
      <c r="G36" s="3485"/>
      <c r="H36" s="3485"/>
      <c r="I36" s="3487"/>
      <c r="J36" s="3485"/>
      <c r="K36" s="3489"/>
      <c r="L36" s="2346" t="s">
        <v>2002</v>
      </c>
      <c r="N36" s="3496" t="s">
        <v>2889</v>
      </c>
      <c r="O36" s="2357" t="s">
        <v>3505</v>
      </c>
      <c r="P36" s="3509">
        <v>1</v>
      </c>
    </row>
    <row r="37" spans="1:16" s="293" customFormat="1" ht="13.35" customHeight="1">
      <c r="A37" s="304"/>
      <c r="B37" s="293" t="s">
        <v>3552</v>
      </c>
      <c r="D37" s="305"/>
      <c r="F37" s="293" t="s">
        <v>3535</v>
      </c>
      <c r="G37" s="3510">
        <v>32.547725999999997</v>
      </c>
      <c r="H37" s="3511"/>
      <c r="I37" s="2351" t="s">
        <v>3536</v>
      </c>
      <c r="J37" s="3510">
        <v>-84.888351</v>
      </c>
      <c r="K37" s="3511"/>
      <c r="L37" s="2346" t="s">
        <v>2225</v>
      </c>
      <c r="O37" s="3512">
        <v>2.9340000000000002</v>
      </c>
      <c r="P37" s="3513"/>
    </row>
    <row r="38" spans="1:16" s="293" customFormat="1" ht="13.35" customHeight="1">
      <c r="A38" s="471"/>
      <c r="B38" s="293" t="s">
        <v>600</v>
      </c>
      <c r="F38" s="3480" t="s">
        <v>157</v>
      </c>
      <c r="G38" s="3514"/>
      <c r="H38" s="3515"/>
      <c r="I38" s="309" t="s">
        <v>2621</v>
      </c>
      <c r="J38" s="3491">
        <v>319094312</v>
      </c>
      <c r="K38" s="3493"/>
      <c r="L38" s="363" t="str">
        <f>IF(AND(NOT(F34=""),NOT(F38="Select from list"),J38=""),"Enter Zip!","")</f>
        <v/>
      </c>
      <c r="M38" s="307" t="s">
        <v>2803</v>
      </c>
      <c r="O38" s="3516" t="s">
        <v>7004</v>
      </c>
      <c r="P38" s="3517"/>
    </row>
    <row r="39" spans="1:16" s="293" customFormat="1" ht="13.35" customHeight="1">
      <c r="A39" s="471"/>
      <c r="B39" s="2356" t="s">
        <v>4489</v>
      </c>
      <c r="D39" s="2356"/>
      <c r="F39" s="3508" t="s">
        <v>7001</v>
      </c>
      <c r="G39" s="3487"/>
      <c r="H39" s="3488"/>
      <c r="I39" s="306" t="s">
        <v>601</v>
      </c>
      <c r="J39" s="3518" t="str">
        <f>IF(F38="","",VLOOKUP(F38,'DCA Underwriting Assumptions'!$T$173:$U$801,2,FALSE))</f>
        <v>Muscogee</v>
      </c>
      <c r="K39" s="3519"/>
      <c r="M39" s="2346" t="s">
        <v>442</v>
      </c>
      <c r="N39" s="3520" t="s">
        <v>2889</v>
      </c>
      <c r="O39" s="2357" t="s">
        <v>443</v>
      </c>
      <c r="P39" s="3476" t="s">
        <v>2889</v>
      </c>
    </row>
    <row r="40" spans="1:16" s="293" customFormat="1" ht="13.35" customHeight="1">
      <c r="A40" s="471"/>
      <c r="B40" s="295"/>
      <c r="C40" s="293" t="s">
        <v>1525</v>
      </c>
      <c r="F40" s="3521" t="s">
        <v>2889</v>
      </c>
      <c r="G40" s="2429" t="s">
        <v>2690</v>
      </c>
      <c r="H40" s="2430"/>
      <c r="I40" s="499" t="str">
        <f>IF($J$39="","",IF(VLOOKUP($J$39,'DCA Underwriting Assumptions'!G173:M332,7,FALSE)="Rural","Yes",IF(VLOOKUP($J$39,'DCA Underwriting Assumptions'!G173:M332,7,FALSE)="Urban","No","")))</f>
        <v>No</v>
      </c>
      <c r="J40" s="2351" t="s">
        <v>2708</v>
      </c>
      <c r="K40" s="1557" t="str">
        <f>IF(OR(F40="Yes",I40="Yes"),"Rural","Urban")</f>
        <v>Urban</v>
      </c>
      <c r="M40" s="2346" t="s">
        <v>2544</v>
      </c>
      <c r="N40" s="1558" t="str">
        <f>VLOOKUP($J$39,'DCA Underwriting Assumptions'!$G$173:$J$332,4)</f>
        <v>MSA</v>
      </c>
      <c r="O40" s="3522" t="str">
        <f>IF($F$38="","",VLOOKUP($J$39,'DCA Underwriting Assumptions'!$G$173:$L$332,3,FALSE))</f>
        <v>Columbus</v>
      </c>
      <c r="P40" s="3523"/>
    </row>
    <row r="41" spans="1:16" s="293" customFormat="1" ht="6" customHeight="1">
      <c r="A41" s="471"/>
      <c r="B41" s="295"/>
      <c r="C41" s="295"/>
      <c r="I41" s="2348"/>
      <c r="J41" s="2356"/>
      <c r="L41" s="2368"/>
      <c r="M41" s="2368"/>
      <c r="N41" s="2368"/>
      <c r="O41" s="2368"/>
      <c r="P41" s="2368"/>
    </row>
    <row r="42" spans="1:16" s="293" customFormat="1" ht="13.35" customHeight="1">
      <c r="A42" s="471"/>
      <c r="C42" s="293" t="s">
        <v>2658</v>
      </c>
      <c r="F42" s="2431" t="s">
        <v>2673</v>
      </c>
      <c r="G42" s="2431"/>
      <c r="H42" s="2432" t="s">
        <v>718</v>
      </c>
      <c r="I42" s="2432"/>
      <c r="J42" s="2432" t="s">
        <v>719</v>
      </c>
      <c r="K42" s="2432"/>
      <c r="L42" s="486" t="s">
        <v>4378</v>
      </c>
    </row>
    <row r="43" spans="1:16" s="293" customFormat="1" ht="13.35" customHeight="1">
      <c r="A43" s="471"/>
      <c r="B43" s="293" t="s">
        <v>2672</v>
      </c>
      <c r="D43" s="295"/>
      <c r="F43" s="3524">
        <v>2</v>
      </c>
      <c r="G43" s="3525"/>
      <c r="H43" s="3524">
        <v>29</v>
      </c>
      <c r="I43" s="3525"/>
      <c r="J43" s="3524">
        <v>136</v>
      </c>
      <c r="K43" s="3525"/>
      <c r="L43" s="482" t="s">
        <v>1257</v>
      </c>
      <c r="N43" s="2427" t="s">
        <v>1258</v>
      </c>
      <c r="O43" s="2427"/>
      <c r="P43" s="2427"/>
    </row>
    <row r="44" spans="1:16" s="293" customFormat="1" ht="12.75" customHeight="1">
      <c r="A44" s="471"/>
      <c r="B44" s="2348" t="s">
        <v>720</v>
      </c>
      <c r="F44" s="3526"/>
      <c r="G44" s="3527"/>
      <c r="H44" s="3526"/>
      <c r="I44" s="3527"/>
      <c r="J44" s="3526"/>
      <c r="K44" s="3527"/>
      <c r="L44" s="482" t="s">
        <v>2671</v>
      </c>
      <c r="N44" s="2428" t="s">
        <v>2670</v>
      </c>
      <c r="O44" s="2428"/>
    </row>
    <row r="45" spans="1:16" s="293" customFormat="1" ht="3" customHeight="1">
      <c r="A45" s="471"/>
      <c r="I45" s="2368"/>
      <c r="J45" s="2368"/>
      <c r="K45" s="2368"/>
      <c r="L45" s="2356"/>
      <c r="M45" s="2356"/>
      <c r="N45" s="2356"/>
      <c r="O45" s="2356"/>
      <c r="P45" s="2356"/>
    </row>
    <row r="46" spans="1:16" s="293" customFormat="1" ht="13.35" customHeight="1">
      <c r="A46" s="471"/>
      <c r="B46" s="295" t="s">
        <v>619</v>
      </c>
      <c r="F46" s="3528" t="s">
        <v>7005</v>
      </c>
      <c r="G46" s="3529"/>
      <c r="H46" s="3529"/>
      <c r="I46" s="3530"/>
      <c r="J46" s="3529"/>
      <c r="K46" s="3531"/>
      <c r="L46" s="840" t="s">
        <v>2625</v>
      </c>
      <c r="M46" s="3474" t="s">
        <v>7009</v>
      </c>
      <c r="N46" s="3483"/>
      <c r="O46" s="3483"/>
      <c r="P46" s="3475"/>
    </row>
    <row r="47" spans="1:16" s="293" customFormat="1" ht="13.35" customHeight="1">
      <c r="A47" s="471"/>
      <c r="B47" s="293" t="s">
        <v>620</v>
      </c>
      <c r="F47" s="3532" t="s">
        <v>7006</v>
      </c>
      <c r="G47" s="3533"/>
      <c r="H47" s="3534"/>
      <c r="I47" s="1007" t="s">
        <v>1933</v>
      </c>
      <c r="J47" s="3505" t="s">
        <v>7007</v>
      </c>
      <c r="K47" s="3507"/>
      <c r="L47" s="840"/>
    </row>
    <row r="48" spans="1:16" s="293" customFormat="1" ht="13.35" customHeight="1">
      <c r="A48" s="471"/>
      <c r="B48" s="293" t="s">
        <v>1934</v>
      </c>
      <c r="F48" s="3535" t="s">
        <v>7008</v>
      </c>
      <c r="G48" s="3536"/>
      <c r="H48" s="3537"/>
      <c r="I48" s="3529"/>
      <c r="J48" s="3536"/>
      <c r="K48" s="3538"/>
      <c r="L48" s="2349" t="s">
        <v>600</v>
      </c>
      <c r="M48" s="3539" t="s">
        <v>157</v>
      </c>
      <c r="N48" s="3540"/>
      <c r="O48" s="3540"/>
      <c r="P48" s="3541"/>
    </row>
    <row r="49" spans="1:19" s="293" customFormat="1" ht="13.35" customHeight="1">
      <c r="A49" s="471"/>
      <c r="B49" s="2346" t="s">
        <v>2173</v>
      </c>
      <c r="F49" s="3542">
        <v>319012736</v>
      </c>
      <c r="G49" s="3543"/>
      <c r="H49" s="2351" t="s">
        <v>1935</v>
      </c>
      <c r="I49" s="3544">
        <v>7062254712</v>
      </c>
      <c r="J49" s="3545"/>
      <c r="K49" s="3546"/>
      <c r="L49" s="2348" t="s">
        <v>1755</v>
      </c>
      <c r="M49" s="3547" t="s">
        <v>7010</v>
      </c>
      <c r="N49" s="3548"/>
      <c r="O49" s="3548"/>
      <c r="P49" s="3549"/>
    </row>
    <row r="50" spans="1:19" s="293" customFormat="1" ht="6" customHeight="1">
      <c r="A50" s="471"/>
      <c r="B50" s="471"/>
      <c r="C50" s="308"/>
      <c r="D50" s="309"/>
      <c r="E50" s="309"/>
      <c r="F50" s="2357"/>
      <c r="G50" s="2357"/>
      <c r="H50" s="2357"/>
      <c r="I50" s="2357"/>
      <c r="J50" s="309"/>
      <c r="K50" s="2357"/>
      <c r="L50" s="2357"/>
      <c r="N50" s="2356"/>
      <c r="O50" s="2356"/>
      <c r="P50" s="302"/>
    </row>
    <row r="51" spans="1:19" s="293" customFormat="1" ht="12" customHeight="1">
      <c r="A51" s="298" t="s">
        <v>1750</v>
      </c>
      <c r="B51" s="295" t="s">
        <v>1444</v>
      </c>
      <c r="F51" s="310"/>
      <c r="I51" s="2346"/>
      <c r="J51" s="2356"/>
      <c r="K51" s="2356"/>
      <c r="L51" s="2356"/>
      <c r="M51" s="2356"/>
    </row>
    <row r="52" spans="1:19" s="293" customFormat="1" ht="1.5" customHeight="1">
      <c r="A52" s="471"/>
      <c r="B52" s="295"/>
      <c r="C52" s="295"/>
      <c r="I52" s="2346"/>
      <c r="J52" s="2356"/>
      <c r="K52" s="2356"/>
      <c r="L52" s="2356"/>
      <c r="M52" s="2356"/>
      <c r="N52" s="2356"/>
      <c r="O52" s="2356"/>
      <c r="P52" s="2356"/>
      <c r="Q52" s="2356"/>
    </row>
    <row r="53" spans="1:19" s="293" customFormat="1">
      <c r="A53" s="471"/>
      <c r="B53" s="471" t="s">
        <v>1936</v>
      </c>
      <c r="C53" s="295" t="s">
        <v>700</v>
      </c>
      <c r="I53" s="2356"/>
      <c r="J53" s="2356"/>
      <c r="K53" s="483"/>
      <c r="L53" s="2356"/>
      <c r="M53" s="485"/>
      <c r="N53" s="485"/>
      <c r="O53" s="485"/>
      <c r="P53" s="485"/>
      <c r="Q53" s="2357"/>
    </row>
    <row r="54" spans="1:19" ht="13.35" customHeight="1">
      <c r="B54" s="471"/>
      <c r="C54" s="293" t="s">
        <v>2237</v>
      </c>
      <c r="D54" s="293"/>
      <c r="E54" s="293"/>
      <c r="H54" s="1024">
        <f>'Part VI-Revenues &amp; Expenses'!$P$115</f>
        <v>72</v>
      </c>
      <c r="K54" s="2348" t="s">
        <v>3498</v>
      </c>
      <c r="L54" s="293"/>
      <c r="M54" s="883" t="s">
        <v>3497</v>
      </c>
      <c r="N54" s="312">
        <f>'Part VI-Revenues &amp; Expenses'!$P$122</f>
        <v>0</v>
      </c>
      <c r="O54" s="884" t="s">
        <v>3251</v>
      </c>
      <c r="P54" s="312">
        <f>'Part VI-Revenues &amp; Expenses'!$P$123</f>
        <v>0</v>
      </c>
      <c r="Q54" s="2357"/>
    </row>
    <row r="55" spans="1:19" s="293" customFormat="1">
      <c r="A55" s="471"/>
      <c r="B55" s="471"/>
      <c r="C55" s="313" t="s">
        <v>342</v>
      </c>
      <c r="H55" s="1025">
        <f>'Part VI-Revenues &amp; Expenses'!$P$121</f>
        <v>0</v>
      </c>
      <c r="K55" s="313" t="s">
        <v>360</v>
      </c>
      <c r="P55" s="312">
        <f>'Part VI-Revenues &amp; Expenses'!$P$125</f>
        <v>0</v>
      </c>
    </row>
    <row r="56" spans="1:19" s="293" customFormat="1" ht="13.35" customHeight="1">
      <c r="B56" s="471"/>
      <c r="C56" s="2348" t="s">
        <v>341</v>
      </c>
      <c r="D56" s="2356"/>
      <c r="H56" s="1026">
        <f>'Part VI-Revenues &amp; Expenses'!$P$118</f>
        <v>0</v>
      </c>
      <c r="I56" s="472" t="s">
        <v>2807</v>
      </c>
      <c r="K56" s="293" t="s">
        <v>343</v>
      </c>
      <c r="P56" s="3550"/>
      <c r="Q56" s="2357"/>
    </row>
    <row r="57" spans="1:19" s="293" customFormat="1" ht="3.6" customHeight="1">
      <c r="A57" s="471"/>
      <c r="P57" s="2356"/>
    </row>
    <row r="58" spans="1:19" s="293" customFormat="1">
      <c r="A58" s="471"/>
      <c r="B58" s="471" t="s">
        <v>1938</v>
      </c>
      <c r="C58" s="295" t="s">
        <v>2238</v>
      </c>
      <c r="H58" s="3551" t="s">
        <v>2889</v>
      </c>
      <c r="K58" s="2356"/>
      <c r="L58" s="2356"/>
      <c r="M58" s="2356"/>
      <c r="N58" s="2356"/>
      <c r="O58" s="485"/>
      <c r="P58" s="483"/>
      <c r="Q58" s="2356"/>
    </row>
    <row r="59" spans="1:19" s="293" customFormat="1" ht="3" customHeight="1">
      <c r="A59" s="471"/>
      <c r="I59" s="2356"/>
      <c r="J59" s="483"/>
      <c r="K59" s="484"/>
      <c r="L59" s="483"/>
      <c r="M59" s="484"/>
      <c r="N59" s="484"/>
      <c r="O59" s="484"/>
      <c r="P59" s="484"/>
      <c r="Q59" s="2356"/>
    </row>
    <row r="60" spans="1:19" s="293" customFormat="1" ht="13.35" customHeight="1">
      <c r="A60" s="471"/>
      <c r="B60" s="304" t="s">
        <v>731</v>
      </c>
      <c r="C60" s="303" t="s">
        <v>2218</v>
      </c>
      <c r="D60" s="2356"/>
      <c r="I60" s="2360" t="s">
        <v>3432</v>
      </c>
      <c r="J60" s="304" t="s">
        <v>2065</v>
      </c>
      <c r="K60" s="314" t="s">
        <v>2243</v>
      </c>
      <c r="M60" s="2356"/>
      <c r="N60" s="2356"/>
      <c r="O60" s="2356"/>
      <c r="P60" s="2357"/>
      <c r="Q60" s="2357"/>
      <c r="R60" s="2357"/>
      <c r="S60" s="2356"/>
    </row>
    <row r="61" spans="1:19" s="293" customFormat="1" ht="13.35" customHeight="1">
      <c r="A61" s="471"/>
      <c r="B61" s="2347"/>
      <c r="C61" s="301" t="s">
        <v>2219</v>
      </c>
      <c r="D61" s="2356"/>
      <c r="E61" s="2356"/>
      <c r="H61" s="605">
        <f>SUM(H62:H68)</f>
        <v>72</v>
      </c>
      <c r="I61" s="605">
        <f>SUM(I62:I68)</f>
        <v>0</v>
      </c>
      <c r="J61" s="471"/>
      <c r="K61" s="301" t="s">
        <v>2682</v>
      </c>
      <c r="M61" s="2356"/>
      <c r="N61" s="2356"/>
      <c r="O61" s="2356"/>
      <c r="P61" s="1346">
        <f>SUM(P62:P68)</f>
        <v>68000</v>
      </c>
    </row>
    <row r="62" spans="1:19" s="293" customFormat="1" ht="13.35" customHeight="1">
      <c r="A62" s="471"/>
      <c r="B62" s="2347"/>
      <c r="C62" s="301"/>
      <c r="D62" s="316" t="s">
        <v>4215</v>
      </c>
      <c r="E62" s="2356"/>
      <c r="H62" s="818">
        <f>'Part VI-Revenues &amp; Expenses'!$P$56</f>
        <v>14</v>
      </c>
      <c r="I62" s="818">
        <f>'Part VI-Revenues &amp; Expenses'!$P$93</f>
        <v>0</v>
      </c>
      <c r="J62" s="471"/>
      <c r="K62" s="301"/>
      <c r="L62" s="316" t="s">
        <v>4215</v>
      </c>
      <c r="M62" s="2356"/>
      <c r="N62" s="2356"/>
      <c r="O62" s="2356"/>
      <c r="P62" s="818">
        <f>'Part VI-Revenues &amp; Expenses'!$P$159</f>
        <v>13000</v>
      </c>
    </row>
    <row r="63" spans="1:19" s="293" customFormat="1" ht="13.35" customHeight="1">
      <c r="A63" s="471"/>
      <c r="B63" s="2347"/>
      <c r="C63" s="301"/>
      <c r="D63" s="316" t="s">
        <v>4216</v>
      </c>
      <c r="E63" s="2356"/>
      <c r="H63" s="1348">
        <f>'Part VI-Revenues &amp; Expenses'!$P$57</f>
        <v>0</v>
      </c>
      <c r="I63" s="1348">
        <f>'Part VI-Revenues &amp; Expenses'!$P$94</f>
        <v>0</v>
      </c>
      <c r="J63" s="471"/>
      <c r="K63" s="301"/>
      <c r="L63" s="316" t="s">
        <v>4216</v>
      </c>
      <c r="M63" s="2356"/>
      <c r="N63" s="2356"/>
      <c r="O63" s="2356"/>
      <c r="P63" s="1348">
        <f>'Part VI-Revenues &amp; Expenses'!$P$160</f>
        <v>0</v>
      </c>
    </row>
    <row r="64" spans="1:19" s="293" customFormat="1" ht="13.35" customHeight="1">
      <c r="A64" s="471"/>
      <c r="B64" s="311"/>
      <c r="D64" s="316" t="s">
        <v>4213</v>
      </c>
      <c r="E64" s="316"/>
      <c r="H64" s="1348">
        <f>'Part VI-Revenues &amp; Expenses'!$P$58</f>
        <v>34</v>
      </c>
      <c r="I64" s="1348">
        <f>'Part VI-Revenues &amp; Expenses'!$P$95</f>
        <v>0</v>
      </c>
      <c r="L64" s="316" t="s">
        <v>4213</v>
      </c>
      <c r="O64" s="2356"/>
      <c r="P64" s="1348">
        <f>'Part VI-Revenues &amp; Expenses'!$P$161</f>
        <v>32200</v>
      </c>
    </row>
    <row r="65" spans="1:16" s="293" customFormat="1" ht="13.35" customHeight="1">
      <c r="A65" s="471"/>
      <c r="D65" s="316" t="s">
        <v>4214</v>
      </c>
      <c r="E65" s="2356"/>
      <c r="H65" s="1348">
        <f>'Part VI-Revenues &amp; Expenses'!$P$59</f>
        <v>0</v>
      </c>
      <c r="I65" s="1348">
        <f>'Part VI-Revenues &amp; Expenses'!$P$96</f>
        <v>0</v>
      </c>
      <c r="L65" s="316" t="s">
        <v>4214</v>
      </c>
      <c r="O65" s="2356"/>
      <c r="P65" s="1348">
        <f>'Part VI-Revenues &amp; Expenses'!$P$162</f>
        <v>0</v>
      </c>
    </row>
    <row r="66" spans="1:16" s="293" customFormat="1" ht="13.35" customHeight="1">
      <c r="A66" s="471"/>
      <c r="D66" s="316" t="s">
        <v>4217</v>
      </c>
      <c r="E66" s="316"/>
      <c r="H66" s="1348">
        <f>'Part VI-Revenues &amp; Expenses'!$P$60</f>
        <v>24</v>
      </c>
      <c r="I66" s="1348">
        <f>'Part VI-Revenues &amp; Expenses'!$P$97</f>
        <v>0</v>
      </c>
      <c r="L66" s="316" t="s">
        <v>4217</v>
      </c>
      <c r="O66" s="2356"/>
      <c r="P66" s="1348">
        <f>'Part VI-Revenues &amp; Expenses'!$P$163</f>
        <v>22800</v>
      </c>
    </row>
    <row r="67" spans="1:16" s="293" customFormat="1" ht="13.35" customHeight="1">
      <c r="A67" s="471"/>
      <c r="D67" s="316" t="s">
        <v>4218</v>
      </c>
      <c r="E67" s="316"/>
      <c r="H67" s="1348">
        <f>'Part VI-Revenues &amp; Expenses'!$P$61</f>
        <v>0</v>
      </c>
      <c r="I67" s="1348">
        <f>'Part VI-Revenues &amp; Expenses'!$P$98</f>
        <v>0</v>
      </c>
      <c r="L67" s="316" t="s">
        <v>4218</v>
      </c>
      <c r="O67" s="2356"/>
      <c r="P67" s="1348">
        <f>'Part VI-Revenues &amp; Expenses'!$P$164</f>
        <v>0</v>
      </c>
    </row>
    <row r="68" spans="1:16" s="293" customFormat="1" ht="13.35" customHeight="1">
      <c r="A68" s="471"/>
      <c r="D68" s="316" t="s">
        <v>4219</v>
      </c>
      <c r="E68" s="316"/>
      <c r="H68" s="819">
        <f>'Part VI-Revenues &amp; Expenses'!$P$62</f>
        <v>0</v>
      </c>
      <c r="I68" s="819">
        <f>'Part VI-Revenues &amp; Expenses'!$P$99</f>
        <v>0</v>
      </c>
      <c r="L68" s="316" t="s">
        <v>4219</v>
      </c>
      <c r="O68" s="2356"/>
      <c r="P68" s="819">
        <f>'Part VI-Revenues &amp; Expenses'!$P$165</f>
        <v>0</v>
      </c>
    </row>
    <row r="69" spans="1:16" s="293" customFormat="1" ht="13.35" customHeight="1">
      <c r="A69" s="471"/>
      <c r="C69" s="301" t="s">
        <v>248</v>
      </c>
      <c r="D69" s="2356"/>
      <c r="E69" s="2356"/>
      <c r="H69" s="1347">
        <f>'Part VI-Revenues &amp; Expenses'!$P$64</f>
        <v>0</v>
      </c>
      <c r="J69" s="471"/>
      <c r="K69" s="301" t="s">
        <v>2683</v>
      </c>
      <c r="M69" s="2356"/>
      <c r="N69" s="2356"/>
      <c r="O69" s="2356"/>
      <c r="P69" s="1349">
        <f>'Part VI-Revenues &amp; Expenses'!$P$167</f>
        <v>0</v>
      </c>
    </row>
    <row r="70" spans="1:16" s="293" customFormat="1" ht="13.35" customHeight="1">
      <c r="A70" s="471"/>
      <c r="C70" s="301" t="s">
        <v>2345</v>
      </c>
      <c r="D70" s="2356"/>
      <c r="E70" s="2356"/>
      <c r="H70" s="818">
        <f>H61+H69</f>
        <v>72</v>
      </c>
      <c r="J70" s="471"/>
      <c r="K70" s="301" t="s">
        <v>2684</v>
      </c>
      <c r="M70" s="2356"/>
      <c r="N70" s="2356"/>
      <c r="O70" s="2356"/>
      <c r="P70" s="818">
        <f>P61+P69</f>
        <v>68000</v>
      </c>
    </row>
    <row r="71" spans="1:16" s="293" customFormat="1" ht="13.35" customHeight="1">
      <c r="A71" s="471"/>
      <c r="C71" s="301" t="s">
        <v>2346</v>
      </c>
      <c r="D71" s="2356"/>
      <c r="E71" s="2356"/>
      <c r="H71" s="819">
        <f>'Part VI-Revenues &amp; Expenses'!$P$66</f>
        <v>0</v>
      </c>
      <c r="J71" s="471"/>
      <c r="K71" s="301" t="s">
        <v>2685</v>
      </c>
      <c r="M71" s="2356"/>
      <c r="N71" s="2356"/>
      <c r="O71" s="2356"/>
      <c r="P71" s="819">
        <f>'Part VI-Revenues &amp; Expenses'!$P$169</f>
        <v>0</v>
      </c>
    </row>
    <row r="72" spans="1:16" s="293" customFormat="1" ht="13.35" customHeight="1">
      <c r="A72" s="471"/>
      <c r="C72" s="301" t="s">
        <v>1749</v>
      </c>
      <c r="D72" s="2356"/>
      <c r="E72" s="2356"/>
      <c r="H72" s="315">
        <f>+H70+H71</f>
        <v>72</v>
      </c>
      <c r="J72" s="2356"/>
      <c r="K72" s="301" t="s">
        <v>1392</v>
      </c>
      <c r="M72" s="2356"/>
      <c r="N72" s="2356"/>
      <c r="O72" s="2356"/>
      <c r="P72" s="315">
        <f>+P70+P71</f>
        <v>68000</v>
      </c>
    </row>
    <row r="73" spans="1:16" s="293" customFormat="1" ht="3" customHeight="1">
      <c r="A73" s="471"/>
      <c r="I73" s="2357"/>
      <c r="L73" s="2357"/>
      <c r="M73" s="2357"/>
      <c r="N73" s="2356"/>
      <c r="P73" s="302"/>
    </row>
    <row r="74" spans="1:16" s="293" customFormat="1" ht="13.35" customHeight="1">
      <c r="A74" s="471"/>
      <c r="B74" s="471" t="s">
        <v>1692</v>
      </c>
      <c r="C74" s="303" t="s">
        <v>2239</v>
      </c>
      <c r="D74" s="316" t="s">
        <v>1949</v>
      </c>
      <c r="G74" s="2356"/>
      <c r="H74" s="3552">
        <v>1</v>
      </c>
      <c r="K74" s="301" t="s">
        <v>4443</v>
      </c>
      <c r="O74" s="2356"/>
      <c r="P74" s="3553">
        <v>2575</v>
      </c>
    </row>
    <row r="75" spans="1:16" s="293" customFormat="1" ht="13.35" customHeight="1">
      <c r="A75" s="471"/>
      <c r="B75" s="471"/>
      <c r="D75" s="2347" t="s">
        <v>1950</v>
      </c>
      <c r="H75" s="3554"/>
      <c r="I75" s="2356"/>
      <c r="K75" s="301" t="s">
        <v>247</v>
      </c>
      <c r="O75" s="2356"/>
      <c r="P75" s="315">
        <f>+P72+P74</f>
        <v>70575</v>
      </c>
    </row>
    <row r="76" spans="1:16" s="293" customFormat="1" ht="13.35" customHeight="1">
      <c r="A76" s="471"/>
      <c r="B76" s="471"/>
      <c r="D76" s="2347" t="s">
        <v>1951</v>
      </c>
      <c r="H76" s="315">
        <f>+H74+H75</f>
        <v>1</v>
      </c>
      <c r="I76" s="2356"/>
    </row>
    <row r="77" spans="1:16" s="293" customFormat="1" ht="3" customHeight="1">
      <c r="A77" s="471"/>
      <c r="B77" s="471"/>
      <c r="C77" s="2356"/>
      <c r="D77" s="2356"/>
      <c r="E77" s="2356"/>
      <c r="F77" s="2356"/>
      <c r="G77" s="2357"/>
      <c r="I77" s="301"/>
      <c r="J77" s="2356"/>
      <c r="P77" s="302"/>
    </row>
    <row r="78" spans="1:16" s="293" customFormat="1" ht="13.35" customHeight="1">
      <c r="A78" s="471"/>
      <c r="B78" s="471" t="s">
        <v>1693</v>
      </c>
      <c r="C78" s="303" t="s">
        <v>2743</v>
      </c>
      <c r="D78" s="2356"/>
      <c r="E78" s="2356"/>
      <c r="F78" s="2356"/>
      <c r="G78" s="2356"/>
      <c r="H78" s="3553">
        <v>99</v>
      </c>
      <c r="K78" s="2410" t="s">
        <v>3635</v>
      </c>
      <c r="L78" s="2410"/>
      <c r="M78" s="2410"/>
      <c r="N78" s="2410"/>
      <c r="O78" s="2410"/>
      <c r="P78" s="2410"/>
    </row>
    <row r="79" spans="1:16" s="293" customFormat="1" ht="6" customHeight="1">
      <c r="A79" s="471"/>
      <c r="B79" s="471"/>
      <c r="C79" s="301"/>
      <c r="D79" s="2356"/>
      <c r="E79" s="2356"/>
      <c r="F79" s="2356"/>
      <c r="G79" s="2357"/>
      <c r="H79" s="2356"/>
      <c r="I79" s="301"/>
      <c r="J79" s="301"/>
      <c r="K79" s="2410"/>
      <c r="L79" s="2410"/>
      <c r="M79" s="2410"/>
      <c r="N79" s="2410"/>
      <c r="O79" s="2410"/>
      <c r="P79" s="2410"/>
    </row>
    <row r="80" spans="1:16" s="293" customFormat="1" ht="13.35" customHeight="1">
      <c r="A80" s="471" t="s">
        <v>516</v>
      </c>
      <c r="B80" s="317" t="s">
        <v>1166</v>
      </c>
      <c r="D80" s="317"/>
      <c r="E80" s="317"/>
      <c r="F80" s="2356"/>
      <c r="G80" s="2357"/>
      <c r="H80" s="497"/>
      <c r="K80" s="2410"/>
      <c r="L80" s="2410"/>
      <c r="M80" s="2410"/>
      <c r="N80" s="2410"/>
      <c r="O80" s="2410"/>
      <c r="P80" s="2410"/>
    </row>
    <row r="81" spans="1:16" s="293" customFormat="1" ht="3" customHeight="1">
      <c r="A81" s="471"/>
      <c r="C81" s="1481"/>
      <c r="D81" s="1481"/>
      <c r="E81" s="1481"/>
      <c r="F81" s="2356"/>
      <c r="G81" s="2357"/>
      <c r="K81" s="2356"/>
      <c r="P81" s="302"/>
    </row>
    <row r="82" spans="1:16" s="293" customFormat="1" ht="13.35" customHeight="1">
      <c r="A82" s="471"/>
      <c r="B82" s="471" t="s">
        <v>1936</v>
      </c>
      <c r="C82" s="2350" t="s">
        <v>2613</v>
      </c>
      <c r="D82" s="1481"/>
      <c r="E82" s="1481"/>
      <c r="F82" s="2356"/>
      <c r="G82" s="2357"/>
      <c r="H82" s="3555" t="s">
        <v>2810</v>
      </c>
      <c r="I82" s="3556"/>
      <c r="K82" s="2413" t="s">
        <v>1728</v>
      </c>
      <c r="L82" s="2413"/>
      <c r="M82" s="3474"/>
      <c r="N82" s="3483"/>
      <c r="O82" s="3483"/>
      <c r="P82" s="3475"/>
    </row>
    <row r="83" spans="1:16" s="293" customFormat="1" ht="3" customHeight="1">
      <c r="A83" s="471"/>
      <c r="B83" s="471"/>
      <c r="D83" s="2347"/>
      <c r="E83" s="2347"/>
      <c r="F83" s="2347"/>
      <c r="G83" s="2347"/>
      <c r="I83" s="2357"/>
      <c r="K83" s="2346"/>
      <c r="L83" s="2346"/>
      <c r="M83" s="2357"/>
      <c r="N83" s="2356"/>
      <c r="P83" s="302"/>
    </row>
    <row r="84" spans="1:16" s="293" customFormat="1">
      <c r="A84" s="471"/>
      <c r="B84" s="471"/>
      <c r="E84" s="1481"/>
      <c r="K84" s="2402" t="s">
        <v>4390</v>
      </c>
      <c r="L84" s="318" t="s">
        <v>2808</v>
      </c>
      <c r="M84" s="3557"/>
      <c r="N84" s="318" t="s">
        <v>2809</v>
      </c>
      <c r="O84" s="3557"/>
      <c r="P84" s="2348" t="s">
        <v>4389</v>
      </c>
    </row>
    <row r="85" spans="1:16" s="293" customFormat="1">
      <c r="A85" s="471"/>
      <c r="B85" s="471"/>
      <c r="D85" s="2346"/>
      <c r="E85" s="1481"/>
      <c r="J85" s="1479"/>
      <c r="K85" s="2402"/>
      <c r="L85" s="305" t="s">
        <v>2810</v>
      </c>
      <c r="M85" s="3554">
        <v>72</v>
      </c>
      <c r="N85" s="305" t="s">
        <v>3651</v>
      </c>
      <c r="O85" s="3554"/>
      <c r="P85" s="3558"/>
    </row>
    <row r="86" spans="1:16" s="293" customFormat="1" ht="9" customHeight="1">
      <c r="A86" s="471"/>
      <c r="B86" s="471"/>
      <c r="D86" s="2347"/>
      <c r="E86" s="2347"/>
      <c r="F86" s="2347"/>
      <c r="G86" s="2347"/>
      <c r="I86" s="2357"/>
      <c r="K86" s="2346"/>
      <c r="L86" s="2346"/>
      <c r="M86" s="2357"/>
      <c r="N86" s="2356"/>
      <c r="P86" s="302"/>
    </row>
    <row r="87" spans="1:16" s="293" customFormat="1">
      <c r="A87" s="471"/>
      <c r="B87" s="471" t="s">
        <v>1938</v>
      </c>
      <c r="C87" s="303" t="s">
        <v>1384</v>
      </c>
      <c r="D87" s="2356"/>
      <c r="E87" s="316"/>
      <c r="F87" s="2347" t="s">
        <v>776</v>
      </c>
      <c r="H87" s="605">
        <f>'Part VIII-Threshold Criteria'!K305</f>
        <v>4</v>
      </c>
      <c r="K87" s="2413" t="s">
        <v>506</v>
      </c>
      <c r="L87" s="2413"/>
      <c r="N87" s="1559">
        <f>IF('Part VI-Revenues &amp; Expenses'!$P$67=0,0,H87/'Part VI-Revenues &amp; Expenses'!$P$67)</f>
        <v>5.5555555555555552E-2</v>
      </c>
      <c r="O87" s="305" t="s">
        <v>3517</v>
      </c>
      <c r="P87" s="895">
        <f>'DCA Underwriting Assumptions'!$Q$154</f>
        <v>0.05</v>
      </c>
    </row>
    <row r="88" spans="1:16" s="293" customFormat="1">
      <c r="A88" s="471"/>
      <c r="B88" s="471"/>
      <c r="D88" s="2347" t="s">
        <v>2741</v>
      </c>
      <c r="E88" s="2347"/>
      <c r="F88" s="2347" t="s">
        <v>776</v>
      </c>
      <c r="H88" s="605">
        <f>'Part VIII-Threshold Criteria'!K306</f>
        <v>2</v>
      </c>
      <c r="K88" s="2356" t="s">
        <v>2742</v>
      </c>
      <c r="L88" s="2356"/>
      <c r="N88" s="1559">
        <f>IF(H87=0,0,H88/H87)</f>
        <v>0.5</v>
      </c>
      <c r="O88" s="305" t="s">
        <v>3517</v>
      </c>
      <c r="P88" s="895">
        <f>'DCA Underwriting Assumptions'!$Q$155</f>
        <v>0.4</v>
      </c>
    </row>
    <row r="89" spans="1:16" s="293" customFormat="1" ht="9" customHeight="1">
      <c r="A89" s="471"/>
      <c r="B89" s="471"/>
      <c r="D89" s="2347"/>
      <c r="E89" s="2347"/>
      <c r="F89" s="2347"/>
      <c r="I89" s="2357"/>
      <c r="K89" s="2346"/>
      <c r="L89" s="2346"/>
      <c r="M89" s="2357"/>
      <c r="N89" s="2357"/>
      <c r="P89" s="2351"/>
    </row>
    <row r="90" spans="1:16" s="293" customFormat="1">
      <c r="A90" s="471"/>
      <c r="B90" s="471" t="s">
        <v>731</v>
      </c>
      <c r="C90" s="303" t="s">
        <v>1798</v>
      </c>
      <c r="D90" s="316"/>
      <c r="E90" s="316"/>
      <c r="F90" s="2347" t="s">
        <v>776</v>
      </c>
      <c r="H90" s="605">
        <f>'Part VIII-Threshold Criteria'!K308</f>
        <v>2</v>
      </c>
      <c r="K90" s="2413" t="s">
        <v>506</v>
      </c>
      <c r="L90" s="2413"/>
      <c r="N90" s="1559">
        <f>IF('Part VI-Revenues &amp; Expenses'!$P$67=0,0,H90/'Part VI-Revenues &amp; Expenses'!$P$67)</f>
        <v>2.7777777777777776E-2</v>
      </c>
      <c r="O90" s="305" t="s">
        <v>3517</v>
      </c>
      <c r="P90" s="895">
        <f>'DCA Underwriting Assumptions'!$Q$156</f>
        <v>0.02</v>
      </c>
    </row>
    <row r="91" spans="1:16" s="293" customFormat="1">
      <c r="A91" s="471"/>
      <c r="B91" s="471"/>
      <c r="D91" s="2347"/>
      <c r="E91" s="2347"/>
      <c r="F91" s="2347"/>
      <c r="G91" s="2347"/>
      <c r="I91" s="2357"/>
      <c r="J91" s="2357"/>
      <c r="K91" s="2357"/>
      <c r="L91" s="2357"/>
      <c r="M91" s="2357"/>
      <c r="N91" s="2356"/>
      <c r="P91" s="302"/>
    </row>
    <row r="92" spans="1:16" s="293" customFormat="1" ht="13.35" customHeight="1">
      <c r="A92" s="319" t="s">
        <v>754</v>
      </c>
      <c r="B92" s="1481" t="s">
        <v>4325</v>
      </c>
      <c r="D92" s="2347"/>
      <c r="E92" s="2347"/>
      <c r="F92" s="2347"/>
      <c r="G92" s="2347"/>
      <c r="H92" s="2347"/>
      <c r="I92" s="2357"/>
      <c r="M92" s="2357"/>
      <c r="N92" s="2356"/>
      <c r="P92" s="302"/>
    </row>
    <row r="93" spans="1:16" s="293" customFormat="1" ht="1.5" customHeight="1">
      <c r="A93" s="471"/>
      <c r="B93" s="471"/>
      <c r="C93" s="1481"/>
      <c r="D93" s="2347"/>
      <c r="E93" s="2347"/>
      <c r="F93" s="2347"/>
      <c r="L93" s="2357"/>
      <c r="M93" s="2357"/>
      <c r="N93" s="2356"/>
    </row>
    <row r="94" spans="1:16" s="293" customFormat="1" ht="13.35" customHeight="1">
      <c r="A94" s="471"/>
      <c r="B94" s="471" t="s">
        <v>1936</v>
      </c>
      <c r="C94" s="2350" t="s">
        <v>2316</v>
      </c>
      <c r="D94" s="2347"/>
      <c r="F94" s="2346"/>
      <c r="K94" s="3559" t="s">
        <v>4293</v>
      </c>
      <c r="L94" s="3560"/>
      <c r="M94" s="3561"/>
      <c r="N94" s="2356"/>
    </row>
    <row r="95" spans="1:16" s="293" customFormat="1" ht="1.5" customHeight="1">
      <c r="A95" s="471"/>
      <c r="B95" s="471"/>
      <c r="D95" s="2347"/>
      <c r="F95" s="2347"/>
      <c r="G95" s="2347"/>
      <c r="H95" s="472" t="s">
        <v>4485</v>
      </c>
      <c r="L95" s="2357"/>
      <c r="M95" s="2357"/>
    </row>
    <row r="96" spans="1:16" s="293" customFormat="1" ht="13.35" customHeight="1">
      <c r="B96" s="471" t="s">
        <v>1938</v>
      </c>
      <c r="C96" s="295" t="s">
        <v>1502</v>
      </c>
      <c r="K96" s="2348" t="s">
        <v>4373</v>
      </c>
      <c r="N96" s="320"/>
      <c r="P96" s="3562" t="s">
        <v>7011</v>
      </c>
    </row>
    <row r="97" spans="1:16" s="293" customFormat="1" ht="4.5" customHeight="1">
      <c r="A97" s="471"/>
      <c r="B97" s="471"/>
      <c r="C97" s="295"/>
      <c r="D97" s="2347"/>
      <c r="E97" s="2347"/>
      <c r="F97" s="2347"/>
      <c r="G97" s="2347"/>
      <c r="I97" s="2357"/>
      <c r="J97" s="2357"/>
      <c r="K97" s="2357"/>
      <c r="L97" s="2357"/>
      <c r="M97" s="2357"/>
      <c r="N97" s="2356"/>
      <c r="P97" s="302"/>
    </row>
    <row r="98" spans="1:16" s="293" customFormat="1" ht="13.35" customHeight="1">
      <c r="A98" s="319" t="s">
        <v>287</v>
      </c>
      <c r="B98" s="1481" t="s">
        <v>1993</v>
      </c>
      <c r="D98" s="2347"/>
    </row>
    <row r="99" spans="1:16" s="293" customFormat="1" ht="1.5" customHeight="1">
      <c r="A99" s="471"/>
      <c r="B99" s="471"/>
      <c r="D99" s="2347"/>
      <c r="N99" s="2356"/>
      <c r="P99" s="302"/>
    </row>
    <row r="100" spans="1:16" s="293" customFormat="1" ht="13.35" customHeight="1">
      <c r="A100" s="319"/>
      <c r="B100" s="471" t="s">
        <v>1936</v>
      </c>
      <c r="C100" s="295" t="s">
        <v>2628</v>
      </c>
      <c r="F100" s="316" t="s">
        <v>2533</v>
      </c>
      <c r="H100" s="3563" t="s">
        <v>2889</v>
      </c>
      <c r="K100" s="2346" t="s">
        <v>3664</v>
      </c>
      <c r="P100" s="3563" t="s">
        <v>2889</v>
      </c>
    </row>
    <row r="101" spans="1:16" s="293" customFormat="1" ht="13.35" customHeight="1">
      <c r="A101" s="319"/>
      <c r="B101" s="471"/>
      <c r="C101" s="295"/>
      <c r="F101" s="2347" t="s">
        <v>3668</v>
      </c>
      <c r="H101" s="3564" t="s">
        <v>2889</v>
      </c>
      <c r="K101" s="2346" t="s">
        <v>4228</v>
      </c>
      <c r="P101" s="3564" t="s">
        <v>2889</v>
      </c>
    </row>
    <row r="102" spans="1:16" s="293" customFormat="1" ht="1.5" customHeight="1">
      <c r="A102" s="471"/>
      <c r="B102" s="471"/>
      <c r="C102" s="1481"/>
      <c r="F102" s="2347"/>
      <c r="H102" s="2347"/>
      <c r="J102" s="2357"/>
      <c r="K102" s="2357"/>
      <c r="L102" s="2357"/>
      <c r="M102" s="2357"/>
      <c r="N102" s="2357"/>
      <c r="P102" s="302"/>
    </row>
    <row r="103" spans="1:16" s="293" customFormat="1" ht="13.35" customHeight="1">
      <c r="A103" s="319"/>
      <c r="B103" s="471" t="s">
        <v>1938</v>
      </c>
      <c r="C103" s="295" t="s">
        <v>2629</v>
      </c>
      <c r="F103" s="2346" t="s">
        <v>2603</v>
      </c>
      <c r="H103" s="3551" t="s">
        <v>2889</v>
      </c>
      <c r="J103" s="2357"/>
      <c r="K103" s="466" t="s">
        <v>2630</v>
      </c>
      <c r="L103" s="2357"/>
    </row>
    <row r="104" spans="1:16" s="293" customFormat="1" ht="4.5" customHeight="1">
      <c r="A104" s="471"/>
      <c r="B104" s="471"/>
      <c r="C104" s="295"/>
      <c r="D104" s="2347"/>
      <c r="E104" s="2347"/>
      <c r="F104" s="2347"/>
      <c r="G104" s="2347"/>
      <c r="I104" s="2357"/>
      <c r="J104" s="2357"/>
      <c r="K104" s="2357"/>
      <c r="L104" s="2357"/>
      <c r="M104" s="2357"/>
      <c r="N104" s="2356"/>
      <c r="P104" s="302"/>
    </row>
    <row r="105" spans="1:16" s="293" customFormat="1" ht="13.35" customHeight="1">
      <c r="A105" s="319" t="s">
        <v>418</v>
      </c>
      <c r="B105" s="1481" t="s">
        <v>2692</v>
      </c>
      <c r="D105" s="2347"/>
      <c r="H105" s="3559" t="s">
        <v>2723</v>
      </c>
      <c r="I105" s="3561"/>
      <c r="J105" s="2357"/>
    </row>
    <row r="106" spans="1:16" s="293" customFormat="1" ht="4.5" customHeight="1">
      <c r="A106" s="471"/>
      <c r="D106" s="309"/>
      <c r="E106" s="2356"/>
      <c r="I106" s="309"/>
      <c r="J106" s="301"/>
      <c r="K106" s="2356"/>
      <c r="P106" s="302"/>
    </row>
    <row r="107" spans="1:16" s="293" customFormat="1" ht="13.35" customHeight="1">
      <c r="A107" s="319" t="s">
        <v>356</v>
      </c>
      <c r="B107" s="314" t="s">
        <v>1164</v>
      </c>
      <c r="D107" s="2356"/>
      <c r="E107" s="2356"/>
      <c r="F107" s="2356"/>
      <c r="G107" s="2356"/>
      <c r="H107" s="2356"/>
      <c r="I107" s="309"/>
      <c r="J107" s="301"/>
      <c r="K107" s="2356"/>
      <c r="P107" s="302"/>
    </row>
    <row r="108" spans="1:16" s="293" customFormat="1" ht="3" customHeight="1">
      <c r="A108" s="319"/>
      <c r="B108" s="471"/>
      <c r="C108" s="314"/>
      <c r="D108" s="2356"/>
      <c r="E108" s="2356"/>
      <c r="F108" s="2356"/>
      <c r="G108" s="2356"/>
      <c r="H108" s="2356"/>
      <c r="I108" s="309"/>
      <c r="J108" s="301"/>
      <c r="K108" s="2356"/>
    </row>
    <row r="109" spans="1:16" s="293" customFormat="1" ht="13.35" customHeight="1">
      <c r="A109" s="471"/>
      <c r="B109" s="471"/>
      <c r="C109" s="301" t="s">
        <v>536</v>
      </c>
      <c r="D109" s="2356"/>
      <c r="E109" s="3480"/>
      <c r="F109" s="3481"/>
      <c r="G109" s="3481"/>
      <c r="H109" s="3481"/>
      <c r="I109" s="3481"/>
      <c r="J109" s="3481"/>
      <c r="K109" s="3481"/>
      <c r="L109" s="3482"/>
      <c r="M109" s="2415" t="s">
        <v>537</v>
      </c>
      <c r="N109" s="2415"/>
      <c r="O109" s="3565"/>
      <c r="P109" s="3566"/>
    </row>
    <row r="110" spans="1:16" s="293" customFormat="1" ht="13.35" customHeight="1">
      <c r="C110" s="2348" t="s">
        <v>999</v>
      </c>
      <c r="D110" s="305"/>
      <c r="E110" s="3484"/>
      <c r="F110" s="3485"/>
      <c r="G110" s="3485"/>
      <c r="H110" s="3487"/>
      <c r="I110" s="3485"/>
      <c r="J110" s="3487"/>
      <c r="K110" s="3485"/>
      <c r="L110" s="3489"/>
      <c r="M110" s="2415" t="s">
        <v>788</v>
      </c>
      <c r="N110" s="2415"/>
      <c r="O110" s="3567"/>
      <c r="P110" s="3568"/>
    </row>
    <row r="111" spans="1:16" s="293" customFormat="1" ht="13.35" customHeight="1">
      <c r="C111" s="2348" t="s">
        <v>600</v>
      </c>
      <c r="E111" s="3505"/>
      <c r="F111" s="3569"/>
      <c r="G111" s="3570"/>
      <c r="H111" s="2351" t="s">
        <v>1754</v>
      </c>
      <c r="I111" s="3571"/>
      <c r="J111" s="321" t="s">
        <v>2173</v>
      </c>
      <c r="K111" s="3572"/>
      <c r="L111" s="3573"/>
      <c r="M111" s="270" t="s">
        <v>3488</v>
      </c>
      <c r="N111" s="270"/>
      <c r="O111" s="3574"/>
      <c r="P111" s="3575"/>
    </row>
    <row r="112" spans="1:16" s="293" customFormat="1" ht="13.35" customHeight="1">
      <c r="C112" s="293" t="s">
        <v>2144</v>
      </c>
      <c r="E112" s="3505"/>
      <c r="F112" s="3569"/>
      <c r="G112" s="3570"/>
      <c r="H112" s="928" t="s">
        <v>1933</v>
      </c>
      <c r="I112" s="3576"/>
      <c r="J112" s="3577"/>
      <c r="K112" s="3578"/>
      <c r="L112" s="2369" t="s">
        <v>1937</v>
      </c>
      <c r="M112" s="3480"/>
      <c r="N112" s="3579"/>
      <c r="O112" s="3580"/>
      <c r="P112" s="3581"/>
    </row>
    <row r="113" spans="1:16" s="293" customFormat="1" ht="13.35" customHeight="1">
      <c r="C113" s="2348" t="s">
        <v>2143</v>
      </c>
      <c r="E113" s="3500"/>
      <c r="F113" s="3582"/>
      <c r="G113" s="3501"/>
      <c r="H113" s="928" t="s">
        <v>1756</v>
      </c>
      <c r="I113" s="3500"/>
      <c r="J113" s="3583"/>
      <c r="K113" s="2351" t="s">
        <v>2625</v>
      </c>
      <c r="L113" s="3471"/>
      <c r="M113" s="3584"/>
      <c r="N113" s="3584"/>
      <c r="O113" s="3584"/>
      <c r="P113" s="3585"/>
    </row>
    <row r="114" spans="1:16" s="293" customFormat="1" ht="3" customHeight="1">
      <c r="A114" s="471"/>
      <c r="B114" s="471"/>
      <c r="G114" s="309"/>
      <c r="H114" s="2357"/>
      <c r="I114" s="2357"/>
      <c r="M114" s="302"/>
    </row>
    <row r="115" spans="1:16" s="293" customFormat="1" ht="13.35" customHeight="1">
      <c r="A115" s="319" t="s">
        <v>357</v>
      </c>
      <c r="B115" s="1481" t="s">
        <v>1630</v>
      </c>
      <c r="D115" s="309"/>
      <c r="E115" s="309"/>
      <c r="F115" s="2357"/>
      <c r="G115" s="2357"/>
      <c r="H115" s="2357"/>
      <c r="N115" s="2356"/>
      <c r="O115" s="2356"/>
      <c r="P115" s="302"/>
    </row>
    <row r="116" spans="1:16" s="293" customFormat="1" ht="1.5" customHeight="1">
      <c r="A116" s="319"/>
      <c r="B116" s="1481"/>
      <c r="D116" s="309"/>
      <c r="E116" s="309"/>
      <c r="F116" s="2357"/>
      <c r="G116" s="2357"/>
      <c r="H116" s="2357"/>
      <c r="I116" s="2357"/>
      <c r="J116" s="309"/>
      <c r="K116" s="2357"/>
      <c r="L116" s="2357"/>
      <c r="N116" s="2356"/>
      <c r="O116" s="2356"/>
      <c r="P116" s="302"/>
    </row>
    <row r="117" spans="1:16" s="293" customFormat="1" ht="13.35" customHeight="1">
      <c r="B117" s="316" t="s">
        <v>2103</v>
      </c>
      <c r="D117" s="322"/>
      <c r="E117" s="322"/>
      <c r="F117" s="322"/>
      <c r="G117" s="322"/>
      <c r="H117" s="322"/>
      <c r="I117" s="322"/>
      <c r="J117" s="322"/>
      <c r="K117" s="322"/>
      <c r="L117" s="322"/>
      <c r="M117" s="322"/>
      <c r="N117" s="322"/>
      <c r="O117" s="322"/>
      <c r="P117" s="322"/>
    </row>
    <row r="118" spans="1:16" s="293" customFormat="1" ht="1.5" customHeight="1">
      <c r="A118" s="471"/>
      <c r="B118" s="471"/>
      <c r="C118" s="323"/>
      <c r="D118" s="323"/>
      <c r="E118" s="323"/>
      <c r="F118" s="323"/>
      <c r="G118" s="323"/>
      <c r="H118" s="323"/>
      <c r="I118" s="323"/>
      <c r="J118" s="323"/>
      <c r="K118" s="323"/>
      <c r="L118" s="323"/>
      <c r="M118" s="323"/>
      <c r="N118" s="323"/>
      <c r="O118" s="323"/>
      <c r="P118" s="323"/>
    </row>
    <row r="119" spans="1:16" s="293" customFormat="1" ht="13.35" customHeight="1">
      <c r="A119" s="471"/>
      <c r="B119" s="471" t="s">
        <v>1936</v>
      </c>
      <c r="C119" s="1481" t="s">
        <v>1385</v>
      </c>
      <c r="D119" s="2347"/>
      <c r="E119" s="2347"/>
      <c r="F119" s="2357"/>
      <c r="G119" s="2357"/>
      <c r="H119" s="3586">
        <v>2</v>
      </c>
      <c r="N119" s="2356"/>
      <c r="O119" s="2356"/>
    </row>
    <row r="120" spans="1:16" s="293" customFormat="1" ht="1.5" customHeight="1">
      <c r="A120" s="471"/>
      <c r="B120" s="471"/>
      <c r="C120" s="323"/>
      <c r="D120" s="323"/>
      <c r="E120" s="323"/>
      <c r="F120" s="323"/>
      <c r="G120" s="323"/>
      <c r="H120" s="323"/>
      <c r="J120" s="323"/>
      <c r="M120" s="323"/>
      <c r="N120" s="323"/>
      <c r="O120" s="323"/>
    </row>
    <row r="121" spans="1:16" s="293" customFormat="1" ht="13.35" customHeight="1">
      <c r="A121" s="471"/>
      <c r="B121" s="471" t="s">
        <v>1938</v>
      </c>
      <c r="C121" s="1481" t="s">
        <v>408</v>
      </c>
      <c r="D121" s="2347"/>
      <c r="E121" s="2347"/>
      <c r="F121" s="2357"/>
      <c r="G121" s="2357"/>
      <c r="H121" s="3587">
        <v>1744755</v>
      </c>
      <c r="J121" s="309"/>
      <c r="K121" s="2346"/>
      <c r="N121" s="2356"/>
    </row>
    <row r="122" spans="1:16" s="293" customFormat="1" ht="1.5" customHeight="1">
      <c r="A122" s="471"/>
      <c r="B122" s="471"/>
      <c r="C122" s="323"/>
      <c r="D122" s="323"/>
      <c r="E122" s="323"/>
      <c r="F122" s="323"/>
      <c r="G122" s="323"/>
      <c r="H122" s="323"/>
      <c r="I122" s="323"/>
      <c r="J122" s="323"/>
      <c r="K122" s="323"/>
      <c r="M122" s="323"/>
      <c r="N122" s="323"/>
      <c r="O122" s="323"/>
      <c r="P122" s="323"/>
    </row>
    <row r="123" spans="1:16" s="293" customFormat="1" ht="13.35" customHeight="1">
      <c r="B123" s="471" t="s">
        <v>731</v>
      </c>
      <c r="C123" s="1481" t="s">
        <v>297</v>
      </c>
      <c r="D123" s="2347"/>
      <c r="E123" s="2347"/>
      <c r="F123" s="2357"/>
      <c r="G123" s="2357"/>
      <c r="H123" s="2357"/>
      <c r="I123" s="2357"/>
      <c r="J123" s="309"/>
      <c r="K123" s="2357"/>
      <c r="L123" s="2357"/>
      <c r="N123" s="2356"/>
      <c r="O123" s="2356"/>
    </row>
    <row r="124" spans="1:16" s="293" customFormat="1" ht="13.35" customHeight="1">
      <c r="B124" s="471"/>
      <c r="C124" s="2347" t="s">
        <v>2085</v>
      </c>
      <c r="D124" s="2347"/>
      <c r="F124" s="2347" t="s">
        <v>1112</v>
      </c>
      <c r="G124" s="2357"/>
      <c r="H124" s="2357"/>
      <c r="I124" s="2357" t="s">
        <v>1268</v>
      </c>
      <c r="J124" s="2347" t="s">
        <v>2085</v>
      </c>
      <c r="K124" s="2347"/>
      <c r="M124" s="2347" t="s">
        <v>1112</v>
      </c>
      <c r="N124" s="2357"/>
      <c r="O124" s="2357"/>
      <c r="P124" s="2357" t="s">
        <v>1268</v>
      </c>
    </row>
    <row r="125" spans="1:16" s="293" customFormat="1" ht="13.35" customHeight="1">
      <c r="A125" s="471"/>
      <c r="B125" s="471"/>
      <c r="C125" s="3588" t="s">
        <v>7012</v>
      </c>
      <c r="D125" s="3589"/>
      <c r="E125" s="3589"/>
      <c r="F125" s="3590" t="s">
        <v>6999</v>
      </c>
      <c r="G125" s="3591"/>
      <c r="H125" s="3592"/>
      <c r="I125" s="3593" t="s">
        <v>7018</v>
      </c>
      <c r="J125" s="3594" t="s">
        <v>7014</v>
      </c>
      <c r="K125" s="3595"/>
      <c r="L125" s="3596"/>
      <c r="M125" s="3590" t="s">
        <v>7016</v>
      </c>
      <c r="N125" s="3591"/>
      <c r="O125" s="3592"/>
      <c r="P125" s="3593" t="s">
        <v>7017</v>
      </c>
    </row>
    <row r="126" spans="1:16" s="293" customFormat="1" ht="13.35" customHeight="1">
      <c r="A126" s="471"/>
      <c r="B126" s="471"/>
      <c r="C126" s="3597" t="s">
        <v>7013</v>
      </c>
      <c r="D126" s="3598"/>
      <c r="E126" s="3598"/>
      <c r="F126" s="3599" t="s">
        <v>6999</v>
      </c>
      <c r="G126" s="3600"/>
      <c r="H126" s="3601"/>
      <c r="I126" s="3602" t="s">
        <v>7017</v>
      </c>
      <c r="J126" s="3603" t="s">
        <v>7015</v>
      </c>
      <c r="K126" s="3600"/>
      <c r="L126" s="3601"/>
      <c r="M126" s="3599" t="s">
        <v>7016</v>
      </c>
      <c r="N126" s="3600"/>
      <c r="O126" s="3601"/>
      <c r="P126" s="3602" t="s">
        <v>7017</v>
      </c>
    </row>
    <row r="127" spans="1:16" s="293" customFormat="1" ht="13.35" customHeight="1">
      <c r="A127" s="471"/>
      <c r="B127" s="471"/>
      <c r="C127" s="3597" t="s">
        <v>7014</v>
      </c>
      <c r="D127" s="3598"/>
      <c r="E127" s="3598"/>
      <c r="F127" s="3599" t="s">
        <v>6999</v>
      </c>
      <c r="G127" s="3600"/>
      <c r="H127" s="3601"/>
      <c r="I127" s="3602" t="s">
        <v>7017</v>
      </c>
      <c r="J127" s="3597"/>
      <c r="K127" s="3598"/>
      <c r="L127" s="3598"/>
      <c r="M127" s="3599"/>
      <c r="N127" s="3600"/>
      <c r="O127" s="3601"/>
      <c r="P127" s="3602"/>
    </row>
    <row r="128" spans="1:16" s="293" customFormat="1" ht="13.35" customHeight="1">
      <c r="A128" s="471"/>
      <c r="B128" s="471"/>
      <c r="C128" s="3597" t="s">
        <v>7015</v>
      </c>
      <c r="D128" s="3598"/>
      <c r="E128" s="3598"/>
      <c r="F128" s="3599" t="s">
        <v>6999</v>
      </c>
      <c r="G128" s="3600"/>
      <c r="H128" s="3601"/>
      <c r="I128" s="3602" t="s">
        <v>7017</v>
      </c>
      <c r="J128" s="3597"/>
      <c r="K128" s="3598"/>
      <c r="L128" s="3598"/>
      <c r="M128" s="3599"/>
      <c r="N128" s="3600"/>
      <c r="O128" s="3601"/>
      <c r="P128" s="3602"/>
    </row>
    <row r="129" spans="1:16" s="293" customFormat="1" ht="13.35" customHeight="1">
      <c r="A129" s="471"/>
      <c r="B129" s="471"/>
      <c r="C129" s="3603" t="s">
        <v>7012</v>
      </c>
      <c r="D129" s="3600"/>
      <c r="E129" s="3601"/>
      <c r="F129" s="3599" t="s">
        <v>7016</v>
      </c>
      <c r="G129" s="3600"/>
      <c r="H129" s="3601"/>
      <c r="I129" s="3602" t="s">
        <v>7018</v>
      </c>
      <c r="J129" s="3597"/>
      <c r="K129" s="3598"/>
      <c r="L129" s="3598"/>
      <c r="M129" s="3599"/>
      <c r="N129" s="3600"/>
      <c r="O129" s="3601"/>
      <c r="P129" s="3602"/>
    </row>
    <row r="130" spans="1:16" s="293" customFormat="1" ht="13.35" customHeight="1">
      <c r="A130" s="471"/>
      <c r="B130" s="471"/>
      <c r="C130" s="3604" t="s">
        <v>7013</v>
      </c>
      <c r="D130" s="3605"/>
      <c r="E130" s="3606"/>
      <c r="F130" s="3607" t="s">
        <v>7016</v>
      </c>
      <c r="G130" s="3605"/>
      <c r="H130" s="3606"/>
      <c r="I130" s="3608" t="s">
        <v>7017</v>
      </c>
      <c r="J130" s="3609"/>
      <c r="K130" s="3610"/>
      <c r="L130" s="3610"/>
      <c r="M130" s="3607"/>
      <c r="N130" s="3605"/>
      <c r="O130" s="3606"/>
      <c r="P130" s="3608"/>
    </row>
    <row r="131" spans="1:16" s="293" customFormat="1" ht="1.5" customHeight="1">
      <c r="A131" s="471"/>
      <c r="B131" s="471"/>
      <c r="C131" s="323"/>
      <c r="D131" s="323"/>
      <c r="E131" s="323"/>
      <c r="F131" s="323"/>
      <c r="G131" s="323"/>
      <c r="H131" s="323"/>
      <c r="I131" s="323"/>
      <c r="J131" s="323"/>
      <c r="K131" s="323"/>
      <c r="L131" s="323"/>
      <c r="M131" s="323"/>
      <c r="N131" s="323"/>
      <c r="O131" s="323"/>
      <c r="P131" s="323"/>
    </row>
    <row r="132" spans="1:16" s="293" customFormat="1" ht="13.35" customHeight="1">
      <c r="A132" s="471"/>
      <c r="B132" s="471" t="s">
        <v>2065</v>
      </c>
      <c r="C132" s="2414" t="s">
        <v>1801</v>
      </c>
      <c r="D132" s="2414"/>
      <c r="E132" s="2414"/>
      <c r="F132" s="2414"/>
      <c r="G132" s="2414"/>
      <c r="H132" s="2414"/>
      <c r="I132" s="2414"/>
      <c r="J132" s="2414"/>
      <c r="K132" s="2414"/>
      <c r="L132" s="2414"/>
      <c r="M132" s="2414"/>
      <c r="N132" s="2414"/>
      <c r="O132" s="2414"/>
      <c r="P132" s="2414"/>
    </row>
    <row r="133" spans="1:16" s="293" customFormat="1" ht="13.35" customHeight="1">
      <c r="A133" s="471"/>
      <c r="B133" s="471"/>
      <c r="C133" s="2414"/>
      <c r="D133" s="2414"/>
      <c r="E133" s="2414"/>
      <c r="F133" s="2414"/>
      <c r="G133" s="2414"/>
      <c r="H133" s="2414"/>
      <c r="I133" s="2414"/>
      <c r="J133" s="2414"/>
      <c r="K133" s="2414"/>
      <c r="L133" s="2414"/>
      <c r="M133" s="2414"/>
      <c r="N133" s="2414"/>
      <c r="O133" s="2414"/>
      <c r="P133" s="2414"/>
    </row>
    <row r="134" spans="1:16" s="293" customFormat="1" ht="13.35" customHeight="1">
      <c r="B134" s="471"/>
      <c r="C134" s="2347" t="s">
        <v>2085</v>
      </c>
      <c r="D134" s="2347"/>
      <c r="F134" s="2347" t="s">
        <v>1112</v>
      </c>
      <c r="G134" s="2357"/>
      <c r="H134" s="2357"/>
      <c r="I134" s="2357"/>
      <c r="J134" s="2347" t="s">
        <v>2085</v>
      </c>
      <c r="K134" s="2347"/>
      <c r="M134" s="2347" t="s">
        <v>1112</v>
      </c>
      <c r="N134" s="2357"/>
      <c r="O134" s="2357"/>
      <c r="P134" s="2357"/>
    </row>
    <row r="135" spans="1:16" s="293" customFormat="1" ht="13.35" customHeight="1">
      <c r="A135" s="471"/>
      <c r="B135" s="471"/>
      <c r="C135" s="3588">
        <v>1</v>
      </c>
      <c r="D135" s="3589"/>
      <c r="E135" s="3589"/>
      <c r="F135" s="3590"/>
      <c r="G135" s="3591"/>
      <c r="H135" s="3591"/>
      <c r="I135" s="3611"/>
      <c r="J135" s="3588">
        <v>7</v>
      </c>
      <c r="K135" s="3589"/>
      <c r="L135" s="3589"/>
      <c r="M135" s="3590"/>
      <c r="N135" s="3591"/>
      <c r="O135" s="3591"/>
      <c r="P135" s="3611"/>
    </row>
    <row r="136" spans="1:16" s="293" customFormat="1" ht="13.35" customHeight="1">
      <c r="A136" s="471"/>
      <c r="B136" s="471"/>
      <c r="C136" s="3597">
        <v>2</v>
      </c>
      <c r="D136" s="3598"/>
      <c r="E136" s="3598"/>
      <c r="F136" s="3599"/>
      <c r="G136" s="3600"/>
      <c r="H136" s="3600"/>
      <c r="I136" s="3612"/>
      <c r="J136" s="3597">
        <v>8</v>
      </c>
      <c r="K136" s="3598"/>
      <c r="L136" s="3598"/>
      <c r="M136" s="3599"/>
      <c r="N136" s="3600"/>
      <c r="O136" s="3600"/>
      <c r="P136" s="3612"/>
    </row>
    <row r="137" spans="1:16" s="293" customFormat="1" ht="13.35" customHeight="1">
      <c r="A137" s="471"/>
      <c r="B137" s="471"/>
      <c r="C137" s="3597">
        <v>3</v>
      </c>
      <c r="D137" s="3598"/>
      <c r="E137" s="3598"/>
      <c r="F137" s="3599"/>
      <c r="G137" s="3600"/>
      <c r="H137" s="3600"/>
      <c r="I137" s="3612"/>
      <c r="J137" s="3597">
        <v>9</v>
      </c>
      <c r="K137" s="3598"/>
      <c r="L137" s="3598"/>
      <c r="M137" s="3599"/>
      <c r="N137" s="3600"/>
      <c r="O137" s="3600"/>
      <c r="P137" s="3612"/>
    </row>
    <row r="138" spans="1:16" s="293" customFormat="1" ht="13.35" customHeight="1">
      <c r="A138" s="471"/>
      <c r="B138" s="471"/>
      <c r="C138" s="3597">
        <v>4</v>
      </c>
      <c r="D138" s="3598"/>
      <c r="E138" s="3598"/>
      <c r="F138" s="3599"/>
      <c r="G138" s="3600"/>
      <c r="H138" s="3600"/>
      <c r="I138" s="3612"/>
      <c r="J138" s="3597">
        <v>10</v>
      </c>
      <c r="K138" s="3598"/>
      <c r="L138" s="3598"/>
      <c r="M138" s="3599"/>
      <c r="N138" s="3600"/>
      <c r="O138" s="3600"/>
      <c r="P138" s="3612"/>
    </row>
    <row r="139" spans="1:16" s="293" customFormat="1" ht="13.35" customHeight="1">
      <c r="A139" s="471"/>
      <c r="B139" s="471"/>
      <c r="C139" s="3597">
        <v>5</v>
      </c>
      <c r="D139" s="3598"/>
      <c r="E139" s="3598"/>
      <c r="F139" s="3599"/>
      <c r="G139" s="3600"/>
      <c r="H139" s="3600"/>
      <c r="I139" s="3612"/>
      <c r="J139" s="3597">
        <v>11</v>
      </c>
      <c r="K139" s="3598"/>
      <c r="L139" s="3598"/>
      <c r="M139" s="3599"/>
      <c r="N139" s="3600"/>
      <c r="O139" s="3600"/>
      <c r="P139" s="3612"/>
    </row>
    <row r="140" spans="1:16" s="293" customFormat="1" ht="13.35" customHeight="1">
      <c r="A140" s="471"/>
      <c r="B140" s="471"/>
      <c r="C140" s="3609">
        <v>6</v>
      </c>
      <c r="D140" s="3610"/>
      <c r="E140" s="3610"/>
      <c r="F140" s="3607"/>
      <c r="G140" s="3605"/>
      <c r="H140" s="3605"/>
      <c r="I140" s="3613"/>
      <c r="J140" s="3609">
        <v>12</v>
      </c>
      <c r="K140" s="3610"/>
      <c r="L140" s="3610"/>
      <c r="M140" s="3607"/>
      <c r="N140" s="3605"/>
      <c r="O140" s="3605"/>
      <c r="P140" s="3613"/>
    </row>
    <row r="141" spans="1:16" s="293" customFormat="1" ht="3" customHeight="1" thickBot="1">
      <c r="A141" s="471"/>
      <c r="B141" s="471"/>
      <c r="C141" s="2347"/>
      <c r="D141" s="2347"/>
      <c r="E141" s="2347"/>
      <c r="F141" s="2357"/>
      <c r="G141" s="2357"/>
      <c r="H141" s="2357"/>
      <c r="I141" s="2357"/>
      <c r="J141" s="309"/>
      <c r="K141" s="2357"/>
      <c r="L141" s="2357"/>
      <c r="N141" s="2356"/>
      <c r="O141" s="2356"/>
      <c r="P141" s="302"/>
    </row>
    <row r="142" spans="1:16" s="293" customFormat="1" ht="14.4" customHeight="1" thickBot="1">
      <c r="A142" s="295" t="s">
        <v>358</v>
      </c>
      <c r="B142" s="303" t="s">
        <v>4394</v>
      </c>
      <c r="D142" s="303"/>
      <c r="E142" s="303"/>
      <c r="F142" s="303"/>
      <c r="I142" s="3614" t="s">
        <v>2889</v>
      </c>
      <c r="M142" s="2357"/>
      <c r="N142" s="2356"/>
      <c r="O142" s="2356"/>
      <c r="P142" s="302"/>
    </row>
    <row r="143" spans="1:16" s="293" customFormat="1" ht="1.5" customHeight="1">
      <c r="A143" s="319"/>
      <c r="B143" s="471"/>
      <c r="C143" s="1481"/>
      <c r="D143" s="1481"/>
      <c r="E143" s="1481"/>
      <c r="F143" s="1481"/>
      <c r="G143" s="2357"/>
      <c r="M143" s="2357"/>
      <c r="N143" s="2356"/>
      <c r="O143" s="2356"/>
    </row>
    <row r="144" spans="1:16" s="293" customFormat="1" ht="13.35" customHeight="1">
      <c r="A144" s="471"/>
      <c r="B144" s="471" t="s">
        <v>1936</v>
      </c>
      <c r="C144" s="298" t="s">
        <v>1671</v>
      </c>
      <c r="I144" s="3563"/>
      <c r="M144" s="2357"/>
      <c r="N144" s="2356"/>
      <c r="O144" s="2356"/>
      <c r="P144" s="302"/>
    </row>
    <row r="145" spans="1:16" s="293" customFormat="1" ht="13.35" customHeight="1">
      <c r="A145" s="471"/>
      <c r="B145" s="471"/>
      <c r="C145" s="2347" t="s">
        <v>2357</v>
      </c>
      <c r="D145" s="2347"/>
      <c r="E145" s="2347"/>
      <c r="F145" s="2357"/>
      <c r="I145" s="3615"/>
      <c r="N145" s="2356"/>
      <c r="O145" s="2356"/>
      <c r="P145" s="302"/>
    </row>
    <row r="146" spans="1:16" s="293" customFormat="1" ht="13.35" customHeight="1">
      <c r="A146" s="471"/>
      <c r="B146" s="471"/>
      <c r="C146" s="324" t="s">
        <v>1670</v>
      </c>
      <c r="D146" s="2348"/>
      <c r="I146" s="3509"/>
      <c r="P146" s="302"/>
    </row>
    <row r="147" spans="1:16" s="293" customFormat="1" ht="13.35" customHeight="1">
      <c r="A147" s="471"/>
      <c r="B147" s="471"/>
      <c r="C147" s="2347" t="s">
        <v>2358</v>
      </c>
      <c r="D147" s="2347"/>
      <c r="E147" s="1481"/>
      <c r="F147" s="2357"/>
      <c r="I147" s="3615"/>
      <c r="K147" s="270" t="s">
        <v>2188</v>
      </c>
      <c r="O147" s="3480" t="s">
        <v>475</v>
      </c>
      <c r="P147" s="3482"/>
    </row>
    <row r="148" spans="1:16" s="293" customFormat="1" ht="13.35" customHeight="1">
      <c r="A148" s="471"/>
      <c r="B148" s="471"/>
      <c r="C148" s="2347" t="s">
        <v>2356</v>
      </c>
      <c r="F148" s="2357"/>
      <c r="I148" s="3616"/>
      <c r="K148" s="270" t="s">
        <v>2189</v>
      </c>
      <c r="O148" s="3508" t="s">
        <v>475</v>
      </c>
      <c r="P148" s="3488"/>
    </row>
    <row r="149" spans="1:16" s="293" customFormat="1" ht="13.35" customHeight="1">
      <c r="A149" s="471"/>
      <c r="B149" s="471"/>
      <c r="C149" s="2347" t="s">
        <v>2116</v>
      </c>
      <c r="D149" s="2347"/>
      <c r="E149" s="2347"/>
      <c r="F149" s="2357"/>
      <c r="I149" s="3617"/>
      <c r="J149" s="3618"/>
      <c r="N149" s="2356"/>
      <c r="O149" s="2356"/>
      <c r="P149" s="302"/>
    </row>
    <row r="150" spans="1:16" s="293" customFormat="1" ht="1.5" customHeight="1">
      <c r="A150" s="471"/>
      <c r="B150" s="471"/>
      <c r="C150" s="2347"/>
      <c r="D150" s="2347"/>
      <c r="E150" s="2347"/>
      <c r="F150" s="2357"/>
      <c r="G150" s="2357"/>
      <c r="M150" s="2357"/>
      <c r="N150" s="2356"/>
      <c r="O150" s="2356"/>
      <c r="P150" s="302"/>
    </row>
    <row r="151" spans="1:16" s="293" customFormat="1" ht="13.35" customHeight="1">
      <c r="A151" s="471"/>
      <c r="B151" s="471" t="s">
        <v>1938</v>
      </c>
      <c r="C151" s="1520" t="s">
        <v>2622</v>
      </c>
      <c r="D151" s="2347"/>
      <c r="E151" s="316" t="s">
        <v>4463</v>
      </c>
      <c r="F151" s="316"/>
      <c r="G151" s="316"/>
      <c r="I151" s="3619"/>
      <c r="K151" s="316" t="s">
        <v>4465</v>
      </c>
      <c r="L151" s="316"/>
      <c r="M151" s="316"/>
      <c r="O151" s="3620"/>
      <c r="P151" s="302"/>
    </row>
    <row r="152" spans="1:16" s="293" customFormat="1" ht="13.35" customHeight="1">
      <c r="A152" s="471"/>
      <c r="C152" s="1481"/>
      <c r="D152" s="2347"/>
      <c r="E152" s="316" t="s">
        <v>4464</v>
      </c>
      <c r="F152" s="316"/>
      <c r="G152" s="316"/>
      <c r="I152" s="3621"/>
      <c r="K152" s="316"/>
      <c r="L152" s="316"/>
      <c r="M152" s="316"/>
      <c r="P152" s="302"/>
    </row>
    <row r="153" spans="1:16" s="293" customFormat="1" ht="1.5" customHeight="1">
      <c r="A153" s="471"/>
      <c r="B153" s="471"/>
      <c r="C153" s="2347"/>
      <c r="D153" s="2347"/>
      <c r="E153" s="2347"/>
      <c r="F153" s="2357"/>
      <c r="N153" s="2356"/>
      <c r="O153" s="2356"/>
      <c r="P153" s="302"/>
    </row>
    <row r="154" spans="1:16" s="293" customFormat="1" ht="13.35" customHeight="1">
      <c r="A154" s="471"/>
      <c r="B154" s="471" t="s">
        <v>731</v>
      </c>
      <c r="C154" s="1481" t="s">
        <v>4462</v>
      </c>
      <c r="D154" s="2347"/>
      <c r="E154" s="2347"/>
      <c r="F154" s="2357"/>
      <c r="I154" s="3586"/>
      <c r="N154" s="2356"/>
      <c r="O154" s="2356"/>
      <c r="P154" s="302"/>
    </row>
    <row r="155" spans="1:16" s="293" customFormat="1" ht="3" customHeight="1">
      <c r="A155" s="471"/>
      <c r="B155" s="471"/>
      <c r="C155" s="2347"/>
      <c r="D155" s="2347"/>
      <c r="E155" s="2347"/>
      <c r="F155" s="2357"/>
      <c r="G155" s="2357"/>
      <c r="H155" s="2357"/>
      <c r="I155" s="2357"/>
      <c r="J155" s="309"/>
      <c r="K155" s="2357"/>
      <c r="L155" s="2357"/>
      <c r="N155" s="2356"/>
      <c r="O155" s="2356"/>
      <c r="P155" s="302"/>
    </row>
    <row r="156" spans="1:16" s="293" customFormat="1" ht="13.35" customHeight="1">
      <c r="A156" s="319" t="s">
        <v>1683</v>
      </c>
      <c r="B156" s="317" t="s">
        <v>1165</v>
      </c>
      <c r="D156" s="317"/>
      <c r="E156" s="317"/>
      <c r="F156" s="317"/>
      <c r="G156" s="2357"/>
      <c r="H156" s="2357"/>
      <c r="I156" s="2357"/>
      <c r="J156" s="309"/>
      <c r="K156" s="2357"/>
      <c r="L156" s="2357"/>
      <c r="N156" s="2356"/>
      <c r="O156" s="2356"/>
      <c r="P156" s="302"/>
    </row>
    <row r="157" spans="1:16" s="293" customFormat="1" ht="2.1" customHeight="1">
      <c r="A157" s="319"/>
      <c r="B157" s="471"/>
      <c r="C157" s="1481"/>
      <c r="D157" s="1481"/>
      <c r="E157" s="1481"/>
      <c r="F157" s="1481"/>
      <c r="G157" s="2357"/>
      <c r="H157" s="2357"/>
      <c r="I157" s="2357"/>
      <c r="J157" s="309"/>
      <c r="K157" s="2357"/>
      <c r="L157" s="2357"/>
      <c r="N157" s="2356"/>
      <c r="O157" s="2356"/>
    </row>
    <row r="158" spans="1:16" s="293" customFormat="1" ht="13.35" customHeight="1">
      <c r="A158" s="471"/>
      <c r="B158" s="471" t="s">
        <v>1936</v>
      </c>
      <c r="C158" s="308" t="s">
        <v>1775</v>
      </c>
      <c r="F158" s="2357"/>
      <c r="G158" s="2357"/>
      <c r="H158" s="2357"/>
      <c r="I158" s="2357"/>
      <c r="J158" s="309"/>
      <c r="K158" s="2357"/>
      <c r="L158" s="2357"/>
      <c r="N158" s="2356"/>
      <c r="O158" s="2356"/>
      <c r="P158" s="302"/>
    </row>
    <row r="159" spans="1:16" s="293" customFormat="1" ht="12.6" customHeight="1">
      <c r="A159" s="471"/>
      <c r="B159" s="471"/>
      <c r="C159" s="316" t="s">
        <v>1495</v>
      </c>
      <c r="D159" s="309"/>
      <c r="E159" s="309"/>
      <c r="F159" s="2357"/>
      <c r="G159" s="2357"/>
      <c r="H159" s="2357"/>
      <c r="I159" s="3622" t="s">
        <v>2889</v>
      </c>
      <c r="N159" s="2356"/>
      <c r="O159" s="2356"/>
      <c r="P159" s="302"/>
    </row>
    <row r="160" spans="1:16" s="293" customFormat="1" ht="12.6" customHeight="1">
      <c r="A160" s="471"/>
      <c r="B160" s="471"/>
      <c r="C160" s="2410" t="s">
        <v>4523</v>
      </c>
      <c r="D160" s="2410"/>
      <c r="E160" s="2410"/>
      <c r="F160" s="2410"/>
      <c r="G160" s="293" t="s">
        <v>4272</v>
      </c>
      <c r="I160" s="3623"/>
      <c r="K160" s="2348" t="s">
        <v>1751</v>
      </c>
      <c r="P160" s="1416">
        <f>IF('Part VI-Revenues &amp; Expenses'!$P$65=0,0,I160/'Part VI-Revenues &amp; Expenses'!$P$65)</f>
        <v>0</v>
      </c>
    </row>
    <row r="161" spans="1:16" s="293" customFormat="1" ht="12.6" customHeight="1">
      <c r="A161" s="471"/>
      <c r="B161" s="471"/>
      <c r="C161" s="2410"/>
      <c r="D161" s="2410"/>
      <c r="E161" s="2410"/>
      <c r="F161" s="2410"/>
      <c r="G161" s="293" t="s">
        <v>4271</v>
      </c>
      <c r="I161" s="3623"/>
      <c r="K161" s="2348" t="s">
        <v>1751</v>
      </c>
      <c r="O161" s="2362"/>
      <c r="P161" s="1417">
        <f>IF('Part VI-Revenues &amp; Expenses'!$P$65=0,0,I161/'Part VI-Revenues &amp; Expenses'!$P$65)</f>
        <v>0</v>
      </c>
    </row>
    <row r="162" spans="1:16" s="293" customFormat="1" ht="12" customHeight="1">
      <c r="A162" s="471"/>
      <c r="B162" s="471"/>
      <c r="C162" s="2348" t="s">
        <v>4273</v>
      </c>
      <c r="I162" s="3554"/>
      <c r="K162" s="2348" t="s">
        <v>1751</v>
      </c>
      <c r="O162" s="1415"/>
      <c r="P162" s="1418">
        <f>IF('Part VI-Revenues &amp; Expenses'!$P$65=0,0,I162/'Part VI-Revenues &amp; Expenses'!$P$65)</f>
        <v>0</v>
      </c>
    </row>
    <row r="163" spans="1:16" s="293" customFormat="1" ht="3" customHeight="1">
      <c r="A163" s="471"/>
      <c r="B163" s="471"/>
    </row>
    <row r="164" spans="1:16" s="293" customFormat="1" ht="12.6" customHeight="1">
      <c r="A164" s="471"/>
      <c r="B164" s="471"/>
      <c r="C164" s="293" t="s">
        <v>1752</v>
      </c>
      <c r="D164" s="3480" t="s">
        <v>7019</v>
      </c>
      <c r="E164" s="3481"/>
      <c r="F164" s="3481"/>
      <c r="G164" s="3481"/>
      <c r="H164" s="3482"/>
      <c r="I164" s="2348" t="s">
        <v>4226</v>
      </c>
      <c r="N164" s="3497">
        <v>7065712800</v>
      </c>
      <c r="O164" s="3624"/>
      <c r="P164" s="3495"/>
    </row>
    <row r="165" spans="1:16" s="293" customFormat="1" ht="12.6" customHeight="1">
      <c r="A165" s="471"/>
      <c r="B165" s="471"/>
      <c r="C165" s="2348" t="s">
        <v>4227</v>
      </c>
      <c r="D165" s="3505" t="s">
        <v>7020</v>
      </c>
      <c r="E165" s="3506"/>
      <c r="F165" s="3485"/>
      <c r="G165" s="3506"/>
      <c r="H165" s="3507"/>
      <c r="I165" s="2355" t="s">
        <v>1753</v>
      </c>
      <c r="J165" s="3480" t="s">
        <v>7023</v>
      </c>
      <c r="K165" s="3481"/>
      <c r="L165" s="3482"/>
      <c r="M165" s="1403" t="s">
        <v>1933</v>
      </c>
      <c r="N165" s="3505" t="s">
        <v>7024</v>
      </c>
      <c r="O165" s="3506"/>
      <c r="P165" s="3507"/>
    </row>
    <row r="166" spans="1:16" s="293" customFormat="1" ht="12.6" customHeight="1">
      <c r="A166" s="471"/>
      <c r="B166" s="471"/>
      <c r="C166" s="2348" t="s">
        <v>600</v>
      </c>
      <c r="D166" s="3505" t="s">
        <v>7021</v>
      </c>
      <c r="E166" s="3507"/>
      <c r="F166" s="1401" t="s">
        <v>2173</v>
      </c>
      <c r="G166" s="3625">
        <v>319020630</v>
      </c>
      <c r="H166" s="3626"/>
      <c r="I166" s="325" t="s">
        <v>1756</v>
      </c>
      <c r="J166" s="3627">
        <v>7065712800</v>
      </c>
      <c r="K166" s="3628"/>
      <c r="L166" s="3629"/>
      <c r="M166" s="1402" t="s">
        <v>1932</v>
      </c>
      <c r="N166" s="3627"/>
      <c r="O166" s="3628"/>
      <c r="P166" s="3629"/>
    </row>
    <row r="167" spans="1:16" s="293" customFormat="1" ht="12.6" customHeight="1">
      <c r="A167" s="471"/>
      <c r="B167" s="471"/>
      <c r="C167" s="293" t="s">
        <v>2625</v>
      </c>
      <c r="D167" s="3498" t="s">
        <v>7022</v>
      </c>
      <c r="E167" s="3486"/>
      <c r="F167" s="3486"/>
      <c r="G167" s="3486"/>
      <c r="H167" s="3499"/>
      <c r="I167" s="325" t="s">
        <v>1755</v>
      </c>
      <c r="J167" s="3630" t="s">
        <v>7147</v>
      </c>
      <c r="K167" s="3584"/>
      <c r="L167" s="3584"/>
      <c r="M167" s="3584"/>
      <c r="N167" s="3584"/>
      <c r="O167" s="3584"/>
      <c r="P167" s="3585"/>
    </row>
    <row r="168" spans="1:16" s="293" customFormat="1" ht="12" customHeight="1">
      <c r="A168" s="471"/>
      <c r="B168" s="471"/>
      <c r="C168" s="293" t="s">
        <v>4274</v>
      </c>
      <c r="E168" s="326"/>
      <c r="F168" s="326"/>
      <c r="G168" s="326"/>
      <c r="H168" s="2357"/>
      <c r="I168" s="3620" t="s">
        <v>2889</v>
      </c>
      <c r="J168" s="2411" t="s">
        <v>743</v>
      </c>
      <c r="K168" s="2412"/>
      <c r="L168" s="3586"/>
      <c r="M168" s="326"/>
      <c r="N168" s="2357"/>
      <c r="O168" s="326"/>
      <c r="P168" s="326"/>
    </row>
    <row r="169" spans="1:16" s="293" customFormat="1" ht="3" customHeight="1">
      <c r="A169" s="471"/>
      <c r="B169" s="471"/>
    </row>
    <row r="170" spans="1:16" s="293" customFormat="1" ht="12.6" customHeight="1">
      <c r="A170" s="471"/>
      <c r="B170" s="471" t="s">
        <v>1938</v>
      </c>
      <c r="C170" s="2350" t="s">
        <v>2623</v>
      </c>
      <c r="D170" s="2350"/>
      <c r="E170" s="2350"/>
      <c r="F170" s="2350"/>
      <c r="G170" s="2350"/>
      <c r="I170" s="3631"/>
      <c r="J170" s="2403" t="s">
        <v>743</v>
      </c>
      <c r="K170" s="2404"/>
      <c r="L170" s="3631"/>
      <c r="M170" s="2405" t="s">
        <v>2267</v>
      </c>
      <c r="N170" s="2406"/>
      <c r="O170" s="2407"/>
      <c r="P170" s="3632"/>
    </row>
    <row r="171" spans="1:16" s="293" customFormat="1" ht="12.6" customHeight="1">
      <c r="A171" s="471"/>
      <c r="B171" s="471"/>
      <c r="C171" s="2350" t="s">
        <v>2624</v>
      </c>
      <c r="D171" s="2350"/>
      <c r="E171" s="2350"/>
      <c r="F171" s="2350"/>
      <c r="G171" s="2350"/>
      <c r="I171" s="3564" t="s">
        <v>2889</v>
      </c>
      <c r="J171" s="2403" t="s">
        <v>743</v>
      </c>
      <c r="K171" s="2404"/>
      <c r="L171" s="3564"/>
      <c r="M171" s="2405" t="s">
        <v>2267</v>
      </c>
      <c r="N171" s="2406"/>
      <c r="O171" s="2407"/>
      <c r="P171" s="3633"/>
    </row>
    <row r="172" spans="1:16" s="293" customFormat="1" ht="1.5" customHeight="1">
      <c r="A172" s="471"/>
      <c r="B172" s="471"/>
      <c r="C172" s="2350"/>
      <c r="D172" s="2350"/>
      <c r="E172" s="295"/>
      <c r="F172" s="2350"/>
      <c r="G172" s="2350"/>
      <c r="J172" s="2356"/>
      <c r="K172" s="368"/>
      <c r="M172" s="2356"/>
      <c r="O172" s="2357"/>
      <c r="P172" s="302"/>
    </row>
    <row r="173" spans="1:16" s="293" customFormat="1" ht="12.6" customHeight="1">
      <c r="A173" s="471"/>
      <c r="B173" s="471" t="s">
        <v>731</v>
      </c>
      <c r="C173" s="2350" t="s">
        <v>1713</v>
      </c>
      <c r="D173" s="2350"/>
      <c r="E173" s="2350"/>
      <c r="F173" s="2350"/>
      <c r="G173" s="2350"/>
      <c r="I173" s="3551" t="s">
        <v>2889</v>
      </c>
      <c r="L173" s="168"/>
      <c r="M173" s="168"/>
      <c r="P173" s="302"/>
    </row>
    <row r="174" spans="1:16" s="293" customFormat="1" ht="1.5" customHeight="1">
      <c r="A174" s="471"/>
      <c r="B174" s="471"/>
      <c r="C174" s="2348"/>
      <c r="E174" s="326"/>
      <c r="F174" s="326"/>
      <c r="G174" s="326"/>
      <c r="I174" s="326"/>
      <c r="J174" s="326"/>
      <c r="K174" s="2357"/>
      <c r="L174" s="326"/>
      <c r="M174" s="326"/>
      <c r="N174" s="2357"/>
      <c r="O174" s="326"/>
      <c r="P174" s="326"/>
    </row>
    <row r="175" spans="1:16" s="293" customFormat="1" ht="12.6" customHeight="1">
      <c r="A175" s="471"/>
      <c r="B175" s="471" t="s">
        <v>2065</v>
      </c>
      <c r="C175" s="2408" t="s">
        <v>1931</v>
      </c>
      <c r="D175" s="2408"/>
      <c r="E175" s="2408"/>
      <c r="F175" s="2408"/>
      <c r="G175" s="2350"/>
      <c r="I175" s="3551" t="s">
        <v>2889</v>
      </c>
      <c r="J175" s="328" t="s">
        <v>2665</v>
      </c>
      <c r="L175" s="2409" t="s">
        <v>3522</v>
      </c>
      <c r="M175" s="2409"/>
      <c r="N175" s="2350"/>
      <c r="O175" s="2350"/>
      <c r="P175" s="3552"/>
    </row>
    <row r="176" spans="1:16" s="293" customFormat="1" ht="12.6" customHeight="1">
      <c r="B176" s="471"/>
      <c r="L176" s="2413" t="s">
        <v>777</v>
      </c>
      <c r="M176" s="2413"/>
      <c r="N176" s="1481"/>
      <c r="O176" s="1481"/>
      <c r="P176" s="3554"/>
    </row>
    <row r="177" spans="1:16" s="293" customFormat="1" ht="12.6" customHeight="1">
      <c r="A177" s="471"/>
      <c r="B177" s="471"/>
      <c r="L177" s="2413" t="s">
        <v>1747</v>
      </c>
      <c r="M177" s="2413"/>
      <c r="N177" s="1481"/>
      <c r="O177" s="1481"/>
      <c r="P177" s="327" t="str">
        <f>IF(P175="","",P176/P175)</f>
        <v/>
      </c>
    </row>
    <row r="178" spans="1:16" s="293" customFormat="1" ht="13.35" customHeight="1">
      <c r="A178" s="471"/>
      <c r="B178" s="471" t="s">
        <v>1692</v>
      </c>
      <c r="C178" s="2350" t="s">
        <v>1576</v>
      </c>
      <c r="D178" s="2347"/>
      <c r="E178" s="2347"/>
      <c r="F178" s="2347"/>
      <c r="G178" s="2347"/>
      <c r="H178" s="2357"/>
      <c r="J178" s="301"/>
      <c r="K178" s="309"/>
      <c r="M178" s="2356"/>
      <c r="O178" s="2357"/>
      <c r="P178" s="302"/>
    </row>
    <row r="179" spans="1:16" s="293" customFormat="1" ht="12.6" customHeight="1">
      <c r="A179" s="471"/>
      <c r="B179" s="471"/>
      <c r="C179" s="2356" t="s">
        <v>2156</v>
      </c>
      <c r="D179" s="303"/>
      <c r="E179" s="2356"/>
      <c r="F179" s="2356"/>
      <c r="I179" s="3622" t="s">
        <v>2889</v>
      </c>
      <c r="L179" s="2356" t="s">
        <v>1577</v>
      </c>
      <c r="M179" s="2356"/>
      <c r="N179" s="2356"/>
      <c r="P179" s="3622" t="s">
        <v>2886</v>
      </c>
    </row>
    <row r="180" spans="1:16" s="293" customFormat="1" ht="12.6" customHeight="1">
      <c r="A180" s="471"/>
      <c r="B180" s="471"/>
      <c r="C180" s="2356" t="s">
        <v>2157</v>
      </c>
      <c r="I180" s="3616" t="s">
        <v>2889</v>
      </c>
      <c r="L180" s="2356" t="s">
        <v>2746</v>
      </c>
      <c r="M180" s="2356"/>
      <c r="N180" s="2356"/>
      <c r="P180" s="3616" t="s">
        <v>2889</v>
      </c>
    </row>
    <row r="181" spans="1:16" s="293" customFormat="1" ht="12.6" customHeight="1">
      <c r="A181" s="471"/>
      <c r="C181" s="2356" t="s">
        <v>2641</v>
      </c>
      <c r="I181" s="3616" t="s">
        <v>2889</v>
      </c>
      <c r="L181" s="2356" t="s">
        <v>2612</v>
      </c>
      <c r="N181" s="3634"/>
      <c r="O181" s="3635"/>
      <c r="P181" s="3616"/>
    </row>
    <row r="182" spans="1:16" s="293" customFormat="1" ht="12.6" customHeight="1">
      <c r="A182" s="471"/>
      <c r="B182" s="471"/>
      <c r="C182" s="2356" t="s">
        <v>1259</v>
      </c>
      <c r="D182" s="329"/>
      <c r="I182" s="3616" t="s">
        <v>2889</v>
      </c>
      <c r="K182" s="303"/>
      <c r="L182" s="2356" t="s">
        <v>3361</v>
      </c>
      <c r="M182" s="2356"/>
      <c r="N182" s="2356"/>
      <c r="P182" s="3616" t="s">
        <v>2889</v>
      </c>
    </row>
    <row r="183" spans="1:16" s="293" customFormat="1" ht="12.6" customHeight="1">
      <c r="A183" s="471"/>
      <c r="B183" s="295"/>
      <c r="C183" s="2356" t="s">
        <v>4522</v>
      </c>
      <c r="I183" s="3616" t="s">
        <v>2889</v>
      </c>
      <c r="J183" s="328" t="s">
        <v>2666</v>
      </c>
      <c r="O183" s="3636"/>
      <c r="P183" s="3637"/>
    </row>
    <row r="184" spans="1:16" s="293" customFormat="1" ht="12.6" customHeight="1">
      <c r="A184" s="471"/>
      <c r="B184" s="295"/>
      <c r="C184" s="2356" t="s">
        <v>1761</v>
      </c>
      <c r="I184" s="3616" t="s">
        <v>2889</v>
      </c>
      <c r="J184" s="328" t="s">
        <v>2666</v>
      </c>
      <c r="O184" s="3638"/>
      <c r="P184" s="3639"/>
    </row>
    <row r="185" spans="1:16" s="293" customFormat="1" ht="12.6" customHeight="1">
      <c r="A185" s="471"/>
      <c r="B185" s="471"/>
      <c r="C185" s="2356" t="s">
        <v>2800</v>
      </c>
      <c r="I185" s="3621" t="s">
        <v>2889</v>
      </c>
      <c r="J185" s="328" t="s">
        <v>2666</v>
      </c>
      <c r="O185" s="3640"/>
      <c r="P185" s="3641"/>
    </row>
    <row r="186" spans="1:16" s="293" customFormat="1" ht="1.5" customHeight="1">
      <c r="A186" s="471"/>
      <c r="B186" s="471"/>
      <c r="P186" s="301"/>
    </row>
    <row r="187" spans="1:16" s="293" customFormat="1" ht="13.35" customHeight="1">
      <c r="B187" s="471" t="s">
        <v>1693</v>
      </c>
      <c r="C187" s="298" t="s">
        <v>721</v>
      </c>
    </row>
    <row r="188" spans="1:16" s="293" customFormat="1" ht="12.6" customHeight="1">
      <c r="A188" s="471"/>
      <c r="B188" s="471"/>
      <c r="C188" s="2348" t="s">
        <v>621</v>
      </c>
      <c r="D188" s="2347"/>
      <c r="E188" s="2347"/>
      <c r="F188" s="2357"/>
      <c r="G188" s="2357"/>
      <c r="H188" s="3565"/>
      <c r="I188" s="3566"/>
      <c r="N188" s="2356"/>
      <c r="O188" s="2356"/>
      <c r="P188" s="302"/>
    </row>
    <row r="189" spans="1:16" s="293" customFormat="1" ht="12.6" customHeight="1">
      <c r="A189" s="471"/>
      <c r="B189" s="471"/>
      <c r="C189" s="2348" t="s">
        <v>271</v>
      </c>
      <c r="D189" s="2347"/>
      <c r="E189" s="2347"/>
      <c r="F189" s="2357"/>
      <c r="G189" s="2357"/>
      <c r="H189" s="3642"/>
      <c r="I189" s="3643"/>
      <c r="N189" s="2356"/>
      <c r="O189" s="2356"/>
      <c r="P189" s="302"/>
    </row>
    <row r="190" spans="1:16" s="293" customFormat="1" ht="12.6" customHeight="1">
      <c r="A190" s="471"/>
      <c r="B190" s="471"/>
      <c r="C190" s="2348" t="s">
        <v>2237</v>
      </c>
      <c r="D190" s="2347"/>
      <c r="E190" s="2347"/>
      <c r="F190" s="2357"/>
      <c r="G190" s="2357"/>
      <c r="H190" s="3644">
        <v>44866</v>
      </c>
      <c r="I190" s="3645"/>
      <c r="N190" s="2356"/>
      <c r="O190" s="2356"/>
      <c r="P190" s="302"/>
    </row>
    <row r="191" spans="1:16" s="293" customFormat="1" ht="2.25" customHeight="1">
      <c r="B191" s="295"/>
      <c r="C191" s="2356"/>
      <c r="H191" s="2356"/>
      <c r="L191" s="311"/>
      <c r="M191" s="311"/>
      <c r="N191" s="311"/>
      <c r="O191" s="311"/>
      <c r="P191" s="299"/>
    </row>
    <row r="192" spans="1:16" ht="12" customHeight="1">
      <c r="A192" s="319" t="s">
        <v>2691</v>
      </c>
      <c r="C192" s="319" t="s">
        <v>555</v>
      </c>
      <c r="M192" s="319" t="s">
        <v>2194</v>
      </c>
      <c r="N192" s="319" t="s">
        <v>77</v>
      </c>
    </row>
    <row r="193" spans="1:44" ht="409.5" customHeight="1">
      <c r="A193" s="3646" t="s">
        <v>7177</v>
      </c>
      <c r="B193" s="3647"/>
      <c r="C193" s="3647"/>
      <c r="D193" s="3647"/>
      <c r="E193" s="3647"/>
      <c r="F193" s="3647"/>
      <c r="G193" s="3647"/>
      <c r="H193" s="3647"/>
      <c r="I193" s="3647"/>
      <c r="J193" s="3647"/>
      <c r="K193" s="3647"/>
      <c r="L193" s="3648"/>
      <c r="M193" s="3649"/>
      <c r="N193" s="3650"/>
      <c r="O193" s="3650"/>
      <c r="P193" s="3651"/>
      <c r="Q193" s="2401" t="s">
        <v>2614</v>
      </c>
      <c r="R193" s="2401"/>
      <c r="S193" s="2401"/>
      <c r="T193" s="2401"/>
      <c r="U193" s="2401"/>
    </row>
    <row r="194" spans="1:44" ht="12" customHeight="1">
      <c r="Q194" s="2401"/>
      <c r="R194" s="2401"/>
      <c r="S194" s="2401"/>
      <c r="T194" s="2401"/>
      <c r="U194" s="2401"/>
    </row>
    <row r="197" spans="1:44">
      <c r="P197" s="1031"/>
      <c r="Q197" s="1031"/>
      <c r="R197" s="1031"/>
    </row>
    <row r="198" spans="1:44">
      <c r="P198" s="1031"/>
      <c r="Q198" s="1031"/>
      <c r="R198" s="1031"/>
    </row>
    <row r="199" spans="1:44">
      <c r="P199" s="1031"/>
      <c r="Q199" s="1031"/>
      <c r="R199" s="1031"/>
    </row>
    <row r="200" spans="1:44">
      <c r="P200" s="1031"/>
      <c r="Q200" s="1031"/>
      <c r="R200" s="1031"/>
    </row>
    <row r="201" spans="1:44" s="475" customFormat="1" ht="12" customHeight="1">
      <c r="A201" s="311"/>
      <c r="B201" s="330"/>
      <c r="C201" s="311"/>
      <c r="D201" s="311"/>
      <c r="E201" s="311"/>
      <c r="F201" s="311"/>
      <c r="G201" s="311"/>
      <c r="H201" s="311"/>
      <c r="I201" s="311"/>
      <c r="J201" s="311"/>
      <c r="K201" s="311"/>
      <c r="L201" s="311"/>
      <c r="M201" s="311"/>
      <c r="N201" s="311"/>
      <c r="O201" s="311"/>
      <c r="P201" s="1031"/>
      <c r="Q201" s="1031"/>
      <c r="R201" s="1031"/>
      <c r="X201" s="311"/>
      <c r="Y201" s="311"/>
      <c r="Z201" s="311"/>
      <c r="AA201" s="311"/>
      <c r="AB201" s="311"/>
      <c r="AC201" s="311"/>
      <c r="AD201" s="311"/>
      <c r="AE201" s="311"/>
      <c r="AF201" s="311"/>
      <c r="AG201" s="311"/>
      <c r="AH201" s="311"/>
      <c r="AI201" s="311"/>
      <c r="AJ201" s="311"/>
      <c r="AK201" s="311"/>
      <c r="AL201" s="311"/>
      <c r="AM201" s="311"/>
      <c r="AN201" s="311"/>
      <c r="AO201" s="311"/>
      <c r="AP201" s="311"/>
      <c r="AQ201" s="311"/>
      <c r="AR201" s="311"/>
    </row>
    <row r="202" spans="1:44" s="475" customFormat="1" ht="23.1" customHeight="1">
      <c r="A202" s="311"/>
      <c r="B202" s="311"/>
      <c r="C202" s="311"/>
      <c r="D202" s="311"/>
      <c r="E202" s="311"/>
      <c r="F202" s="311"/>
      <c r="G202" s="311"/>
      <c r="H202" s="311"/>
      <c r="I202" s="311"/>
      <c r="J202" s="311"/>
      <c r="K202" s="311"/>
      <c r="L202" s="311"/>
      <c r="M202" s="311"/>
      <c r="N202" s="311"/>
      <c r="O202" s="311"/>
      <c r="P202" s="1032"/>
      <c r="Q202" s="1031"/>
      <c r="R202" s="1031"/>
      <c r="T202" s="508"/>
      <c r="U202" s="507"/>
      <c r="X202" s="311"/>
      <c r="Y202" s="311"/>
      <c r="Z202" s="311"/>
      <c r="AA202" s="311"/>
      <c r="AB202" s="311"/>
      <c r="AC202" s="311"/>
      <c r="AD202" s="311"/>
      <c r="AE202" s="311"/>
      <c r="AF202" s="311"/>
      <c r="AG202" s="311"/>
      <c r="AH202" s="311"/>
      <c r="AI202" s="311"/>
      <c r="AJ202" s="311"/>
      <c r="AK202" s="311"/>
      <c r="AL202" s="311"/>
      <c r="AM202" s="311"/>
      <c r="AN202" s="311"/>
      <c r="AO202" s="311"/>
      <c r="AP202" s="311"/>
      <c r="AQ202" s="311"/>
      <c r="AR202" s="311"/>
    </row>
    <row r="203" spans="1:44" s="475" customFormat="1" ht="12" customHeight="1">
      <c r="A203" s="311"/>
      <c r="B203" s="311"/>
      <c r="C203" s="311"/>
      <c r="D203" s="311"/>
      <c r="E203" s="311"/>
      <c r="F203" s="311"/>
      <c r="G203" s="311"/>
      <c r="H203" s="311"/>
      <c r="I203" s="311"/>
      <c r="J203" s="311"/>
      <c r="K203" s="311"/>
      <c r="L203" s="311"/>
      <c r="M203" s="311"/>
      <c r="N203" s="311"/>
      <c r="O203" s="311"/>
      <c r="P203" s="1033"/>
      <c r="Q203" s="1031"/>
      <c r="R203" s="1031"/>
      <c r="T203" s="476"/>
      <c r="U203" s="476"/>
      <c r="X203" s="311"/>
      <c r="Y203" s="311"/>
      <c r="Z203" s="311"/>
      <c r="AA203" s="311"/>
      <c r="AB203" s="311"/>
      <c r="AC203" s="311"/>
      <c r="AD203" s="311"/>
      <c r="AE203" s="311"/>
      <c r="AF203" s="311"/>
      <c r="AG203" s="311"/>
      <c r="AH203" s="311"/>
      <c r="AI203" s="311"/>
      <c r="AJ203" s="311"/>
      <c r="AK203" s="311"/>
      <c r="AL203" s="311"/>
      <c r="AM203" s="311"/>
      <c r="AN203" s="311"/>
      <c r="AO203" s="311"/>
      <c r="AP203" s="311"/>
      <c r="AQ203" s="311"/>
      <c r="AR203" s="311"/>
    </row>
    <row r="204" spans="1:44" s="475" customFormat="1" ht="12" customHeight="1">
      <c r="A204" s="311"/>
      <c r="B204" s="311"/>
      <c r="C204" s="311"/>
      <c r="D204" s="311"/>
      <c r="E204" s="311"/>
      <c r="F204" s="311"/>
      <c r="G204" s="311"/>
      <c r="H204" s="311"/>
      <c r="I204" s="311"/>
      <c r="J204" s="311"/>
      <c r="K204" s="311"/>
      <c r="L204" s="311"/>
      <c r="M204" s="311"/>
      <c r="N204" s="311"/>
      <c r="O204" s="311"/>
      <c r="P204" s="1033"/>
      <c r="Q204" s="1031"/>
      <c r="R204" s="1031"/>
      <c r="T204" s="476"/>
      <c r="U204" s="476"/>
      <c r="X204" s="311"/>
      <c r="Y204" s="311"/>
      <c r="Z204" s="311"/>
      <c r="AA204" s="311"/>
      <c r="AB204" s="311"/>
      <c r="AC204" s="311"/>
      <c r="AD204" s="311"/>
      <c r="AE204" s="311"/>
      <c r="AF204" s="311"/>
      <c r="AG204" s="311"/>
      <c r="AH204" s="311"/>
      <c r="AI204" s="311"/>
      <c r="AJ204" s="311"/>
      <c r="AK204" s="311"/>
      <c r="AL204" s="311"/>
      <c r="AM204" s="311"/>
      <c r="AN204" s="311"/>
      <c r="AO204" s="311"/>
      <c r="AP204" s="311"/>
      <c r="AQ204" s="311"/>
      <c r="AR204" s="311"/>
    </row>
    <row r="205" spans="1:44" s="475" customFormat="1" ht="12" customHeight="1">
      <c r="A205" s="311"/>
      <c r="B205" s="311"/>
      <c r="C205" s="311"/>
      <c r="D205" s="311"/>
      <c r="E205" s="311"/>
      <c r="F205" s="311"/>
      <c r="G205" s="311"/>
      <c r="H205" s="311"/>
      <c r="I205" s="311"/>
      <c r="J205" s="311"/>
      <c r="K205" s="311"/>
      <c r="L205" s="311"/>
      <c r="M205" s="311"/>
      <c r="N205" s="311"/>
      <c r="O205" s="311"/>
      <c r="P205" s="1033"/>
      <c r="Q205" s="1031"/>
      <c r="R205" s="1031"/>
      <c r="T205" s="476"/>
      <c r="U205" s="476"/>
      <c r="X205" s="311"/>
      <c r="Y205" s="311"/>
      <c r="Z205" s="311"/>
      <c r="AA205" s="311"/>
      <c r="AB205" s="311"/>
      <c r="AC205" s="311"/>
      <c r="AD205" s="311"/>
      <c r="AE205" s="311"/>
      <c r="AF205" s="311"/>
      <c r="AG205" s="311"/>
      <c r="AH205" s="311"/>
      <c r="AI205" s="311"/>
      <c r="AJ205" s="311"/>
      <c r="AK205" s="311"/>
      <c r="AL205" s="311"/>
      <c r="AM205" s="311"/>
      <c r="AN205" s="311"/>
      <c r="AO205" s="311"/>
      <c r="AP205" s="311"/>
      <c r="AQ205" s="311"/>
      <c r="AR205" s="311"/>
    </row>
    <row r="206" spans="1:44" s="475" customFormat="1" ht="12" customHeight="1">
      <c r="A206" s="311"/>
      <c r="B206" s="311"/>
      <c r="C206" s="311"/>
      <c r="D206" s="311"/>
      <c r="E206" s="311"/>
      <c r="F206" s="311"/>
      <c r="G206" s="311"/>
      <c r="H206" s="311"/>
      <c r="I206" s="311"/>
      <c r="J206" s="311"/>
      <c r="K206" s="311"/>
      <c r="L206" s="311"/>
      <c r="M206" s="311"/>
      <c r="N206" s="311"/>
      <c r="O206" s="311"/>
      <c r="P206" s="1033"/>
      <c r="Q206" s="1031"/>
      <c r="R206" s="1031"/>
      <c r="T206" s="476"/>
      <c r="U206" s="476"/>
      <c r="X206" s="311"/>
      <c r="Y206" s="311"/>
      <c r="Z206" s="311"/>
      <c r="AA206" s="311"/>
      <c r="AB206" s="311"/>
      <c r="AC206" s="311"/>
      <c r="AD206" s="311"/>
      <c r="AE206" s="311"/>
      <c r="AF206" s="311"/>
      <c r="AG206" s="311"/>
      <c r="AH206" s="311"/>
      <c r="AI206" s="311"/>
      <c r="AJ206" s="311"/>
      <c r="AK206" s="311"/>
      <c r="AL206" s="311"/>
      <c r="AM206" s="311"/>
      <c r="AN206" s="311"/>
      <c r="AO206" s="311"/>
      <c r="AP206" s="311"/>
      <c r="AQ206" s="311"/>
      <c r="AR206" s="311"/>
    </row>
    <row r="207" spans="1:44" s="475" customFormat="1" ht="12" customHeight="1">
      <c r="A207" s="311"/>
      <c r="B207" s="311"/>
      <c r="C207" s="311"/>
      <c r="D207" s="311"/>
      <c r="E207" s="311"/>
      <c r="F207" s="311"/>
      <c r="G207" s="311"/>
      <c r="H207" s="311"/>
      <c r="I207" s="311"/>
      <c r="J207" s="311"/>
      <c r="K207" s="311"/>
      <c r="L207" s="311"/>
      <c r="M207" s="311"/>
      <c r="N207" s="311"/>
      <c r="O207" s="311"/>
      <c r="P207" s="1033"/>
      <c r="Q207" s="1031"/>
      <c r="R207" s="1031"/>
      <c r="T207" s="476"/>
      <c r="U207" s="476"/>
      <c r="X207" s="311"/>
      <c r="Y207" s="311"/>
      <c r="Z207" s="311"/>
      <c r="AA207" s="311"/>
      <c r="AB207" s="311"/>
      <c r="AC207" s="311"/>
      <c r="AD207" s="311"/>
      <c r="AE207" s="311"/>
      <c r="AF207" s="311"/>
      <c r="AG207" s="311"/>
      <c r="AH207" s="311"/>
      <c r="AI207" s="311"/>
      <c r="AJ207" s="311"/>
      <c r="AK207" s="311"/>
      <c r="AL207" s="311"/>
      <c r="AM207" s="311"/>
      <c r="AN207" s="311"/>
      <c r="AO207" s="311"/>
      <c r="AP207" s="311"/>
      <c r="AQ207" s="311"/>
      <c r="AR207" s="311"/>
    </row>
    <row r="208" spans="1:44" s="475" customFormat="1" ht="12" customHeight="1">
      <c r="A208" s="311"/>
      <c r="B208" s="311"/>
      <c r="C208" s="311"/>
      <c r="D208" s="311"/>
      <c r="E208" s="311"/>
      <c r="F208" s="311"/>
      <c r="G208" s="311"/>
      <c r="H208" s="311"/>
      <c r="I208" s="311"/>
      <c r="J208" s="311"/>
      <c r="K208" s="311"/>
      <c r="L208" s="311"/>
      <c r="M208" s="311"/>
      <c r="N208" s="311"/>
      <c r="O208" s="311"/>
      <c r="P208" s="1033"/>
      <c r="Q208" s="1031"/>
      <c r="R208" s="1031"/>
      <c r="T208" s="476"/>
      <c r="U208" s="476"/>
      <c r="X208" s="311"/>
      <c r="Y208" s="311"/>
      <c r="Z208" s="311"/>
      <c r="AA208" s="311"/>
      <c r="AB208" s="311"/>
      <c r="AC208" s="311"/>
      <c r="AD208" s="311"/>
      <c r="AE208" s="311"/>
      <c r="AF208" s="311"/>
      <c r="AG208" s="311"/>
      <c r="AH208" s="311"/>
      <c r="AI208" s="311"/>
      <c r="AJ208" s="311"/>
      <c r="AK208" s="311"/>
      <c r="AL208" s="311"/>
      <c r="AM208" s="311"/>
      <c r="AN208" s="311"/>
      <c r="AO208" s="311"/>
      <c r="AP208" s="311"/>
      <c r="AQ208" s="311"/>
      <c r="AR208" s="311"/>
    </row>
    <row r="209" spans="1:44" s="475" customFormat="1" ht="12" customHeight="1">
      <c r="A209" s="311"/>
      <c r="B209" s="311"/>
      <c r="C209" s="311"/>
      <c r="D209" s="311"/>
      <c r="E209" s="311"/>
      <c r="F209" s="311"/>
      <c r="G209" s="311"/>
      <c r="H209" s="311"/>
      <c r="I209" s="311"/>
      <c r="J209" s="311"/>
      <c r="K209" s="311"/>
      <c r="L209" s="311"/>
      <c r="M209" s="311"/>
      <c r="N209" s="311"/>
      <c r="O209" s="311"/>
      <c r="P209" s="1033"/>
      <c r="Q209" s="1031"/>
      <c r="R209" s="1031"/>
      <c r="T209" s="476"/>
      <c r="U209" s="476"/>
      <c r="X209" s="311"/>
      <c r="Y209" s="311"/>
      <c r="Z209" s="311"/>
      <c r="AA209" s="311"/>
      <c r="AB209" s="311"/>
      <c r="AC209" s="311"/>
      <c r="AD209" s="311"/>
      <c r="AE209" s="311"/>
      <c r="AF209" s="311"/>
      <c r="AG209" s="311"/>
      <c r="AH209" s="311"/>
      <c r="AI209" s="311"/>
      <c r="AJ209" s="311"/>
      <c r="AK209" s="311"/>
      <c r="AL209" s="311"/>
      <c r="AM209" s="311"/>
      <c r="AN209" s="311"/>
      <c r="AO209" s="311"/>
      <c r="AP209" s="311"/>
      <c r="AQ209" s="311"/>
      <c r="AR209" s="311"/>
    </row>
    <row r="210" spans="1:44" s="475" customFormat="1" ht="12" customHeight="1">
      <c r="A210" s="311"/>
      <c r="B210" s="311"/>
      <c r="C210" s="311"/>
      <c r="D210" s="311"/>
      <c r="E210" s="311"/>
      <c r="F210" s="311"/>
      <c r="G210" s="311"/>
      <c r="H210" s="311"/>
      <c r="I210" s="311"/>
      <c r="J210" s="311"/>
      <c r="K210" s="311"/>
      <c r="L210" s="311"/>
      <c r="M210" s="311"/>
      <c r="N210" s="311"/>
      <c r="O210" s="311"/>
      <c r="P210" s="1033"/>
      <c r="Q210" s="3652"/>
      <c r="R210" s="1031"/>
      <c r="X210" s="311"/>
      <c r="Y210" s="311"/>
      <c r="Z210" s="311"/>
      <c r="AA210" s="311"/>
      <c r="AB210" s="311"/>
      <c r="AC210" s="311"/>
      <c r="AD210" s="311"/>
      <c r="AE210" s="311"/>
      <c r="AF210" s="311"/>
      <c r="AG210" s="311"/>
      <c r="AH210" s="311"/>
      <c r="AI210" s="311"/>
      <c r="AJ210" s="311"/>
      <c r="AK210" s="311"/>
      <c r="AL210" s="311"/>
      <c r="AM210" s="311"/>
      <c r="AN210" s="311"/>
      <c r="AO210" s="311"/>
      <c r="AP210" s="311"/>
      <c r="AQ210" s="311"/>
      <c r="AR210" s="311"/>
    </row>
    <row r="211" spans="1:44" s="475" customFormat="1" ht="12" customHeight="1">
      <c r="A211" s="311"/>
      <c r="B211" s="311"/>
      <c r="C211" s="311"/>
      <c r="D211" s="311"/>
      <c r="E211" s="311"/>
      <c r="F211" s="311"/>
      <c r="G211" s="311"/>
      <c r="H211" s="311"/>
      <c r="I211" s="311"/>
      <c r="J211" s="311"/>
      <c r="K211" s="311"/>
      <c r="L211" s="311"/>
      <c r="M211" s="311"/>
      <c r="N211" s="311"/>
      <c r="O211" s="311"/>
      <c r="P211" s="1033"/>
      <c r="Q211" s="3652"/>
      <c r="R211" s="1031"/>
      <c r="X211" s="311"/>
      <c r="Y211" s="311"/>
      <c r="Z211" s="311"/>
      <c r="AA211" s="311"/>
      <c r="AB211" s="311"/>
      <c r="AC211" s="311"/>
      <c r="AD211" s="311"/>
      <c r="AE211" s="311"/>
      <c r="AF211" s="311"/>
      <c r="AG211" s="311"/>
      <c r="AH211" s="311"/>
      <c r="AI211" s="311"/>
      <c r="AJ211" s="311"/>
      <c r="AK211" s="311"/>
      <c r="AL211" s="311"/>
      <c r="AM211" s="311"/>
      <c r="AN211" s="311"/>
      <c r="AO211" s="311"/>
      <c r="AP211" s="311"/>
      <c r="AQ211" s="311"/>
      <c r="AR211" s="311"/>
    </row>
    <row r="212" spans="1:44" s="475" customFormat="1" ht="12" customHeight="1">
      <c r="A212" s="311"/>
      <c r="B212" s="311"/>
      <c r="C212" s="311"/>
      <c r="D212" s="311"/>
      <c r="E212" s="311"/>
      <c r="F212" s="311"/>
      <c r="G212" s="311"/>
      <c r="H212" s="311"/>
      <c r="I212" s="311"/>
      <c r="J212" s="311"/>
      <c r="K212" s="311"/>
      <c r="L212" s="311"/>
      <c r="M212" s="311"/>
      <c r="N212" s="311"/>
      <c r="O212" s="311"/>
      <c r="P212" s="1033"/>
      <c r="Q212" s="3652"/>
      <c r="R212" s="1031"/>
      <c r="X212" s="311"/>
      <c r="Y212" s="311"/>
      <c r="Z212" s="311"/>
      <c r="AA212" s="311"/>
      <c r="AB212" s="311"/>
      <c r="AC212" s="311"/>
      <c r="AD212" s="311"/>
      <c r="AE212" s="311"/>
      <c r="AF212" s="311"/>
      <c r="AG212" s="311"/>
      <c r="AH212" s="311"/>
      <c r="AI212" s="311"/>
      <c r="AJ212" s="311"/>
      <c r="AK212" s="311"/>
      <c r="AL212" s="311"/>
      <c r="AM212" s="311"/>
      <c r="AN212" s="311"/>
      <c r="AO212" s="311"/>
      <c r="AP212" s="311"/>
      <c r="AQ212" s="311"/>
      <c r="AR212" s="311"/>
    </row>
    <row r="213" spans="1:44" s="475" customFormat="1" ht="12" customHeight="1">
      <c r="A213" s="311"/>
      <c r="B213" s="311"/>
      <c r="C213" s="311"/>
      <c r="D213" s="311"/>
      <c r="E213" s="311"/>
      <c r="F213" s="311"/>
      <c r="G213" s="311"/>
      <c r="H213" s="311"/>
      <c r="I213" s="311"/>
      <c r="J213" s="311"/>
      <c r="K213" s="311"/>
      <c r="L213" s="311"/>
      <c r="M213" s="311"/>
      <c r="N213" s="311"/>
      <c r="O213" s="311"/>
      <c r="P213" s="1033"/>
      <c r="Q213" s="3652"/>
      <c r="R213" s="1031"/>
      <c r="X213" s="311"/>
      <c r="Y213" s="311"/>
      <c r="Z213" s="311"/>
      <c r="AA213" s="311"/>
      <c r="AB213" s="311"/>
      <c r="AC213" s="311"/>
      <c r="AD213" s="311"/>
      <c r="AE213" s="311"/>
      <c r="AF213" s="311"/>
      <c r="AG213" s="311"/>
      <c r="AH213" s="311"/>
      <c r="AI213" s="311"/>
      <c r="AJ213" s="311"/>
      <c r="AK213" s="311"/>
      <c r="AL213" s="311"/>
      <c r="AM213" s="311"/>
      <c r="AN213" s="311"/>
      <c r="AO213" s="311"/>
      <c r="AP213" s="311"/>
      <c r="AQ213" s="311"/>
      <c r="AR213" s="311"/>
    </row>
    <row r="214" spans="1:44" s="475" customFormat="1" ht="12" customHeight="1">
      <c r="A214" s="311"/>
      <c r="B214" s="311"/>
      <c r="C214" s="311"/>
      <c r="D214" s="282"/>
      <c r="E214" s="311"/>
      <c r="F214" s="311"/>
      <c r="G214" s="311"/>
      <c r="H214" s="311"/>
      <c r="I214" s="311"/>
      <c r="J214" s="998" t="s">
        <v>2783</v>
      </c>
      <c r="K214" s="311"/>
      <c r="L214" s="311"/>
      <c r="M214" s="311"/>
      <c r="N214" s="311"/>
      <c r="O214" s="311"/>
      <c r="P214" s="1033"/>
      <c r="Q214" s="3652"/>
      <c r="R214" s="1031"/>
      <c r="X214" s="311"/>
      <c r="Y214" s="311"/>
      <c r="Z214" s="311"/>
      <c r="AA214" s="311"/>
      <c r="AB214" s="311"/>
      <c r="AC214" s="311"/>
      <c r="AD214" s="311"/>
      <c r="AE214" s="311"/>
      <c r="AF214" s="311"/>
      <c r="AG214" s="311"/>
      <c r="AH214" s="311"/>
      <c r="AI214" s="311"/>
      <c r="AJ214" s="311"/>
      <c r="AK214" s="311"/>
      <c r="AL214" s="311"/>
      <c r="AM214" s="311"/>
      <c r="AN214" s="311"/>
      <c r="AO214" s="311"/>
      <c r="AP214" s="311"/>
      <c r="AQ214" s="311"/>
      <c r="AR214" s="311"/>
    </row>
    <row r="215" spans="1:44" s="475" customFormat="1" ht="12" customHeight="1">
      <c r="A215" s="311"/>
      <c r="B215" s="311"/>
      <c r="C215" s="311"/>
      <c r="D215" s="282"/>
      <c r="E215" s="311"/>
      <c r="F215" s="311"/>
      <c r="G215" s="311"/>
      <c r="H215" s="311"/>
      <c r="I215" s="311"/>
      <c r="J215" s="998" t="s">
        <v>2784</v>
      </c>
      <c r="K215" s="311"/>
      <c r="L215" s="311"/>
      <c r="M215" s="311"/>
      <c r="N215" s="311"/>
      <c r="O215" s="311"/>
      <c r="P215" s="1033"/>
      <c r="Q215" s="3652"/>
      <c r="R215" s="1031"/>
      <c r="X215" s="311"/>
      <c r="Y215" s="311"/>
      <c r="Z215" s="311"/>
      <c r="AA215" s="311"/>
      <c r="AB215" s="311"/>
      <c r="AC215" s="311"/>
      <c r="AD215" s="311"/>
      <c r="AE215" s="311"/>
      <c r="AF215" s="311"/>
      <c r="AG215" s="311"/>
      <c r="AH215" s="311"/>
      <c r="AI215" s="311"/>
      <c r="AJ215" s="311"/>
      <c r="AK215" s="311"/>
      <c r="AL215" s="311"/>
      <c r="AM215" s="311"/>
      <c r="AN215" s="311"/>
      <c r="AO215" s="311"/>
      <c r="AP215" s="311"/>
      <c r="AQ215" s="311"/>
      <c r="AR215" s="311"/>
    </row>
    <row r="216" spans="1:44" s="475" customFormat="1" ht="12" customHeight="1">
      <c r="A216" s="311"/>
      <c r="B216" s="311"/>
      <c r="C216" s="311"/>
      <c r="D216" s="282"/>
      <c r="E216" s="311"/>
      <c r="F216" s="311"/>
      <c r="G216" s="311"/>
      <c r="H216" s="311"/>
      <c r="I216" s="311"/>
      <c r="J216" s="998" t="s">
        <v>2785</v>
      </c>
      <c r="K216" s="311"/>
      <c r="L216" s="311"/>
      <c r="M216" s="311"/>
      <c r="N216" s="311"/>
      <c r="O216" s="311"/>
      <c r="P216" s="1033"/>
      <c r="Q216" s="3652"/>
      <c r="R216" s="1031"/>
      <c r="X216" s="311"/>
      <c r="Y216" s="311"/>
      <c r="Z216" s="311"/>
      <c r="AA216" s="311"/>
      <c r="AB216" s="311"/>
      <c r="AC216" s="311"/>
      <c r="AD216" s="311"/>
      <c r="AE216" s="311"/>
      <c r="AF216" s="311"/>
      <c r="AG216" s="311"/>
      <c r="AH216" s="311"/>
      <c r="AI216" s="311"/>
      <c r="AJ216" s="311"/>
      <c r="AK216" s="311"/>
      <c r="AL216" s="311"/>
      <c r="AM216" s="311"/>
      <c r="AN216" s="311"/>
      <c r="AO216" s="311"/>
      <c r="AP216" s="311"/>
      <c r="AQ216" s="311"/>
      <c r="AR216" s="311"/>
    </row>
    <row r="217" spans="1:44" s="475" customFormat="1" ht="12" customHeight="1">
      <c r="A217" s="311"/>
      <c r="B217" s="311"/>
      <c r="C217" s="311"/>
      <c r="D217" s="282"/>
      <c r="E217" s="311"/>
      <c r="F217" s="311"/>
      <c r="G217" s="311"/>
      <c r="H217" s="311"/>
      <c r="I217" s="311"/>
      <c r="J217" s="998" t="s">
        <v>2786</v>
      </c>
      <c r="K217" s="311"/>
      <c r="L217" s="311"/>
      <c r="M217" s="311"/>
      <c r="N217" s="311"/>
      <c r="O217" s="311"/>
      <c r="P217" s="1033"/>
      <c r="Q217" s="3652"/>
      <c r="R217" s="1031"/>
      <c r="X217" s="311"/>
      <c r="Y217" s="311"/>
      <c r="Z217" s="311"/>
      <c r="AA217" s="311"/>
      <c r="AB217" s="311"/>
      <c r="AC217" s="311"/>
      <c r="AD217" s="311"/>
      <c r="AE217" s="311"/>
      <c r="AF217" s="311"/>
      <c r="AG217" s="311"/>
      <c r="AH217" s="311"/>
      <c r="AI217" s="311"/>
      <c r="AJ217" s="311"/>
      <c r="AK217" s="311"/>
      <c r="AL217" s="311"/>
      <c r="AM217" s="311"/>
      <c r="AN217" s="311"/>
      <c r="AO217" s="311"/>
      <c r="AP217" s="311"/>
      <c r="AQ217" s="311"/>
      <c r="AR217" s="311"/>
    </row>
    <row r="218" spans="1:44" s="475" customFormat="1" ht="12" customHeight="1">
      <c r="A218" s="311"/>
      <c r="B218" s="311"/>
      <c r="C218" s="311"/>
      <c r="D218" s="282"/>
      <c r="E218" s="311"/>
      <c r="F218" s="311"/>
      <c r="G218" s="311"/>
      <c r="H218" s="311"/>
      <c r="I218" s="311"/>
      <c r="J218" s="998" t="s">
        <v>2787</v>
      </c>
      <c r="K218" s="311"/>
      <c r="L218" s="311"/>
      <c r="M218" s="311"/>
      <c r="N218" s="311"/>
      <c r="O218" s="311"/>
      <c r="P218" s="1033"/>
      <c r="Q218" s="3652"/>
      <c r="R218" s="1031"/>
      <c r="X218" s="311"/>
      <c r="Y218" s="311"/>
      <c r="Z218" s="311"/>
      <c r="AA218" s="311"/>
      <c r="AB218" s="311"/>
      <c r="AC218" s="311"/>
      <c r="AD218" s="311"/>
      <c r="AE218" s="311"/>
      <c r="AF218" s="311"/>
      <c r="AG218" s="311"/>
      <c r="AH218" s="311"/>
      <c r="AI218" s="311"/>
      <c r="AJ218" s="311"/>
      <c r="AK218" s="311"/>
      <c r="AL218" s="311"/>
      <c r="AM218" s="311"/>
      <c r="AN218" s="311"/>
      <c r="AO218" s="311"/>
      <c r="AP218" s="311"/>
      <c r="AQ218" s="311"/>
      <c r="AR218" s="311"/>
    </row>
    <row r="219" spans="1:44" s="475" customFormat="1" ht="12" customHeight="1">
      <c r="A219" s="311"/>
      <c r="B219" s="311"/>
      <c r="C219" s="311"/>
      <c r="D219" s="282"/>
      <c r="E219" s="311"/>
      <c r="F219" s="311"/>
      <c r="G219" s="311"/>
      <c r="H219" s="311"/>
      <c r="I219" s="311"/>
      <c r="J219" s="998" t="s">
        <v>2788</v>
      </c>
      <c r="K219" s="311"/>
      <c r="L219" s="311"/>
      <c r="M219" s="311"/>
      <c r="N219" s="311"/>
      <c r="O219" s="311"/>
      <c r="P219" s="1033"/>
      <c r="Q219" s="3652"/>
      <c r="R219" s="1031"/>
      <c r="X219" s="311"/>
      <c r="Y219" s="311"/>
      <c r="Z219" s="311"/>
      <c r="AA219" s="311"/>
      <c r="AB219" s="311"/>
      <c r="AC219" s="311"/>
      <c r="AD219" s="311"/>
      <c r="AE219" s="311"/>
      <c r="AF219" s="311"/>
      <c r="AG219" s="311"/>
      <c r="AH219" s="311"/>
      <c r="AI219" s="311"/>
      <c r="AJ219" s="311"/>
      <c r="AK219" s="311"/>
      <c r="AL219" s="311"/>
      <c r="AM219" s="311"/>
      <c r="AN219" s="311"/>
      <c r="AO219" s="311"/>
      <c r="AP219" s="311"/>
      <c r="AQ219" s="311"/>
      <c r="AR219" s="311"/>
    </row>
    <row r="220" spans="1:44" s="475" customFormat="1" ht="12" customHeight="1">
      <c r="A220" s="311"/>
      <c r="B220" s="311"/>
      <c r="C220" s="311"/>
      <c r="D220" s="282"/>
      <c r="E220" s="311"/>
      <c r="F220" s="311"/>
      <c r="G220" s="311"/>
      <c r="H220" s="311"/>
      <c r="I220" s="311"/>
      <c r="J220" s="998" t="s">
        <v>2789</v>
      </c>
      <c r="K220" s="311"/>
      <c r="L220" s="311"/>
      <c r="M220" s="311"/>
      <c r="N220" s="311"/>
      <c r="O220" s="311"/>
      <c r="P220" s="1033"/>
      <c r="Q220" s="3652"/>
      <c r="R220" s="1031"/>
      <c r="X220" s="311"/>
      <c r="Y220" s="311"/>
      <c r="Z220" s="311"/>
      <c r="AA220" s="311"/>
      <c r="AB220" s="311"/>
      <c r="AC220" s="311"/>
      <c r="AD220" s="311"/>
      <c r="AE220" s="311"/>
      <c r="AF220" s="311"/>
      <c r="AG220" s="311"/>
      <c r="AH220" s="311"/>
      <c r="AI220" s="311"/>
      <c r="AJ220" s="311"/>
      <c r="AK220" s="311"/>
      <c r="AL220" s="311"/>
      <c r="AM220" s="311"/>
      <c r="AN220" s="311"/>
      <c r="AO220" s="311"/>
      <c r="AP220" s="311"/>
      <c r="AQ220" s="311"/>
      <c r="AR220" s="311"/>
    </row>
    <row r="221" spans="1:44" s="475" customFormat="1" ht="12" customHeight="1">
      <c r="A221" s="311"/>
      <c r="B221" s="311"/>
      <c r="C221" s="311"/>
      <c r="D221" s="282"/>
      <c r="E221" s="311"/>
      <c r="F221" s="311"/>
      <c r="G221" s="311"/>
      <c r="H221" s="311"/>
      <c r="I221" s="311"/>
      <c r="J221" s="998" t="s">
        <v>2790</v>
      </c>
      <c r="K221" s="311"/>
      <c r="L221" s="311"/>
      <c r="M221" s="311"/>
      <c r="N221" s="311"/>
      <c r="O221" s="311"/>
      <c r="P221" s="1033"/>
      <c r="Q221" s="3652"/>
      <c r="R221" s="1031"/>
      <c r="X221" s="311"/>
      <c r="Y221" s="311"/>
      <c r="Z221" s="311"/>
      <c r="AA221" s="311"/>
      <c r="AB221" s="311"/>
      <c r="AC221" s="311"/>
      <c r="AD221" s="311"/>
      <c r="AE221" s="311"/>
      <c r="AF221" s="311"/>
      <c r="AG221" s="311"/>
      <c r="AH221" s="311"/>
      <c r="AI221" s="311"/>
      <c r="AJ221" s="311"/>
      <c r="AK221" s="311"/>
      <c r="AL221" s="311"/>
      <c r="AM221" s="311"/>
      <c r="AN221" s="311"/>
      <c r="AO221" s="311"/>
      <c r="AP221" s="311"/>
      <c r="AQ221" s="311"/>
      <c r="AR221" s="311"/>
    </row>
    <row r="222" spans="1:44" s="475" customFormat="1" ht="12" customHeight="1">
      <c r="A222" s="311"/>
      <c r="B222" s="311"/>
      <c r="C222" s="311"/>
      <c r="D222" s="282"/>
      <c r="E222" s="311"/>
      <c r="F222" s="311"/>
      <c r="G222" s="311"/>
      <c r="H222" s="311"/>
      <c r="I222" s="311"/>
      <c r="J222" s="998" t="s">
        <v>2791</v>
      </c>
      <c r="K222" s="311"/>
      <c r="L222" s="311"/>
      <c r="M222" s="311"/>
      <c r="N222" s="311"/>
      <c r="O222" s="311"/>
      <c r="P222" s="1033"/>
      <c r="Q222" s="3652"/>
      <c r="R222" s="1031"/>
      <c r="X222" s="311"/>
      <c r="Y222" s="311"/>
      <c r="Z222" s="311"/>
      <c r="AA222" s="311"/>
      <c r="AB222" s="311"/>
      <c r="AC222" s="311"/>
      <c r="AD222" s="311"/>
      <c r="AE222" s="311"/>
      <c r="AF222" s="311"/>
      <c r="AG222" s="311"/>
      <c r="AH222" s="311"/>
      <c r="AI222" s="311"/>
      <c r="AJ222" s="311"/>
      <c r="AK222" s="311"/>
      <c r="AL222" s="311"/>
      <c r="AM222" s="311"/>
      <c r="AN222" s="311"/>
      <c r="AO222" s="311"/>
      <c r="AP222" s="311"/>
      <c r="AQ222" s="311"/>
      <c r="AR222" s="311"/>
    </row>
    <row r="223" spans="1:44" s="475" customFormat="1" ht="12" customHeight="1">
      <c r="A223" s="311"/>
      <c r="B223" s="311"/>
      <c r="C223" s="311"/>
      <c r="D223" s="282"/>
      <c r="E223" s="311"/>
      <c r="F223" s="311"/>
      <c r="G223" s="311"/>
      <c r="H223" s="311"/>
      <c r="I223" s="311"/>
      <c r="J223" s="998" t="s">
        <v>3649</v>
      </c>
      <c r="K223" s="311"/>
      <c r="L223" s="311"/>
      <c r="M223" s="311"/>
      <c r="N223" s="311"/>
      <c r="O223" s="311"/>
      <c r="P223" s="1033"/>
      <c r="Q223" s="3652"/>
      <c r="R223" s="1031"/>
      <c r="X223" s="311"/>
      <c r="Y223" s="311"/>
      <c r="Z223" s="311"/>
      <c r="AA223" s="311"/>
      <c r="AB223" s="311"/>
      <c r="AC223" s="311"/>
      <c r="AD223" s="311"/>
      <c r="AE223" s="311"/>
      <c r="AF223" s="311"/>
      <c r="AG223" s="311"/>
      <c r="AH223" s="311"/>
      <c r="AI223" s="311"/>
      <c r="AJ223" s="311"/>
      <c r="AK223" s="311"/>
      <c r="AL223" s="311"/>
      <c r="AM223" s="311"/>
      <c r="AN223" s="311"/>
      <c r="AO223" s="311"/>
      <c r="AP223" s="311"/>
      <c r="AQ223" s="311"/>
      <c r="AR223" s="311"/>
    </row>
    <row r="224" spans="1:44" s="475" customFormat="1" ht="12" customHeight="1">
      <c r="A224" s="311"/>
      <c r="B224" s="311"/>
      <c r="C224" s="311"/>
      <c r="D224" s="282"/>
      <c r="E224" s="311"/>
      <c r="F224" s="311"/>
      <c r="G224" s="311"/>
      <c r="H224" s="311"/>
      <c r="I224" s="311"/>
      <c r="J224" s="311"/>
      <c r="K224" s="311"/>
      <c r="L224" s="311"/>
      <c r="M224" s="311"/>
      <c r="N224" s="311"/>
      <c r="O224" s="311"/>
      <c r="P224" s="1033"/>
      <c r="Q224" s="3652"/>
      <c r="R224" s="1031"/>
      <c r="X224" s="311"/>
      <c r="Y224" s="311"/>
      <c r="Z224" s="311"/>
      <c r="AA224" s="311"/>
      <c r="AB224" s="311"/>
      <c r="AC224" s="311"/>
      <c r="AD224" s="311"/>
      <c r="AE224" s="311"/>
      <c r="AF224" s="311"/>
      <c r="AG224" s="311"/>
      <c r="AH224" s="311"/>
      <c r="AI224" s="311"/>
      <c r="AJ224" s="311"/>
      <c r="AK224" s="311"/>
      <c r="AL224" s="311"/>
      <c r="AM224" s="311"/>
      <c r="AN224" s="311"/>
      <c r="AO224" s="311"/>
      <c r="AP224" s="311"/>
      <c r="AQ224" s="311"/>
      <c r="AR224" s="311"/>
    </row>
    <row r="225" spans="1:44" s="475" customFormat="1" ht="12" customHeight="1">
      <c r="A225" s="311"/>
      <c r="B225" s="311"/>
      <c r="C225" s="311"/>
      <c r="D225" s="282"/>
      <c r="E225" s="311"/>
      <c r="F225" s="311"/>
      <c r="G225" s="311"/>
      <c r="H225" s="311"/>
      <c r="I225" s="311"/>
      <c r="J225" s="311"/>
      <c r="K225" s="311"/>
      <c r="L225" s="311"/>
      <c r="M225" s="311"/>
      <c r="N225" s="311"/>
      <c r="O225" s="311"/>
      <c r="P225" s="1033"/>
      <c r="Q225" s="3652"/>
      <c r="R225" s="1031"/>
      <c r="X225" s="311"/>
      <c r="Y225" s="311"/>
      <c r="Z225" s="311"/>
      <c r="AA225" s="311"/>
      <c r="AB225" s="311"/>
      <c r="AC225" s="311"/>
      <c r="AD225" s="311"/>
      <c r="AE225" s="311"/>
      <c r="AF225" s="311"/>
      <c r="AG225" s="311"/>
      <c r="AH225" s="311"/>
      <c r="AI225" s="311"/>
      <c r="AJ225" s="311"/>
      <c r="AK225" s="311"/>
      <c r="AL225" s="311"/>
      <c r="AM225" s="311"/>
      <c r="AN225" s="311"/>
      <c r="AO225" s="311"/>
      <c r="AP225" s="311"/>
      <c r="AQ225" s="311"/>
      <c r="AR225" s="311"/>
    </row>
    <row r="226" spans="1:44" s="475" customFormat="1" ht="12" customHeight="1">
      <c r="A226" s="311"/>
      <c r="B226" s="311"/>
      <c r="C226" s="311"/>
      <c r="D226" s="282"/>
      <c r="E226" s="311"/>
      <c r="F226" s="311"/>
      <c r="G226" s="311"/>
      <c r="H226" s="311"/>
      <c r="I226" s="311"/>
      <c r="J226" s="311"/>
      <c r="K226" s="311"/>
      <c r="L226" s="311"/>
      <c r="M226" s="311"/>
      <c r="N226" s="311"/>
      <c r="O226" s="311"/>
      <c r="P226" s="1033"/>
      <c r="Q226" s="3652"/>
      <c r="R226" s="1031"/>
      <c r="X226" s="311"/>
      <c r="Y226" s="311"/>
      <c r="Z226" s="311"/>
      <c r="AA226" s="311"/>
      <c r="AB226" s="311"/>
      <c r="AC226" s="311"/>
      <c r="AD226" s="311"/>
      <c r="AE226" s="311"/>
      <c r="AF226" s="311"/>
      <c r="AG226" s="311"/>
      <c r="AH226" s="311"/>
      <c r="AI226" s="311"/>
      <c r="AJ226" s="311"/>
      <c r="AK226" s="311"/>
      <c r="AL226" s="311"/>
      <c r="AM226" s="311"/>
      <c r="AN226" s="311"/>
      <c r="AO226" s="311"/>
      <c r="AP226" s="311"/>
      <c r="AQ226" s="311"/>
      <c r="AR226" s="311"/>
    </row>
    <row r="227" spans="1:44" s="475" customFormat="1" ht="12" customHeight="1">
      <c r="A227" s="311"/>
      <c r="B227" s="311"/>
      <c r="C227" s="311"/>
      <c r="D227" s="282"/>
      <c r="E227" s="311"/>
      <c r="F227" s="311"/>
      <c r="G227" s="311"/>
      <c r="H227" s="311"/>
      <c r="I227" s="311"/>
      <c r="J227" s="311"/>
      <c r="K227" s="311"/>
      <c r="L227" s="311"/>
      <c r="M227" s="311"/>
      <c r="N227" s="311"/>
      <c r="O227" s="311"/>
      <c r="P227" s="1033"/>
      <c r="Q227" s="3652"/>
      <c r="R227" s="1031"/>
      <c r="X227" s="311"/>
      <c r="Y227" s="311"/>
      <c r="Z227" s="311"/>
      <c r="AA227" s="311"/>
      <c r="AB227" s="311"/>
      <c r="AC227" s="311"/>
      <c r="AD227" s="311"/>
      <c r="AE227" s="311"/>
      <c r="AF227" s="311"/>
      <c r="AG227" s="311"/>
      <c r="AH227" s="311"/>
      <c r="AI227" s="311"/>
      <c r="AJ227" s="311"/>
      <c r="AK227" s="311"/>
      <c r="AL227" s="311"/>
      <c r="AM227" s="311"/>
      <c r="AN227" s="311"/>
      <c r="AO227" s="311"/>
      <c r="AP227" s="311"/>
      <c r="AQ227" s="311"/>
      <c r="AR227" s="311"/>
    </row>
    <row r="228" spans="1:44" s="475" customFormat="1" ht="12" customHeight="1">
      <c r="A228" s="311"/>
      <c r="B228" s="311"/>
      <c r="C228" s="311"/>
      <c r="E228" s="311"/>
      <c r="F228" s="311"/>
      <c r="G228" s="311"/>
      <c r="H228" s="311"/>
      <c r="I228" s="311"/>
      <c r="J228" s="311"/>
      <c r="K228" s="311"/>
      <c r="L228" s="311"/>
      <c r="M228" s="311"/>
      <c r="N228" s="311"/>
      <c r="O228" s="311"/>
      <c r="P228" s="1033"/>
      <c r="Q228" s="3652"/>
      <c r="R228" s="1031"/>
      <c r="X228" s="311"/>
      <c r="Y228" s="311"/>
      <c r="Z228" s="311"/>
      <c r="AA228" s="311"/>
      <c r="AB228" s="311"/>
      <c r="AC228" s="311"/>
      <c r="AD228" s="311"/>
      <c r="AE228" s="311"/>
      <c r="AF228" s="311"/>
      <c r="AG228" s="311"/>
      <c r="AH228" s="311"/>
      <c r="AI228" s="311"/>
      <c r="AJ228" s="311"/>
      <c r="AK228" s="311"/>
      <c r="AL228" s="311"/>
      <c r="AM228" s="311"/>
      <c r="AN228" s="311"/>
      <c r="AO228" s="311"/>
      <c r="AP228" s="311"/>
      <c r="AQ228" s="311"/>
      <c r="AR228" s="311"/>
    </row>
    <row r="229" spans="1:44" s="475" customFormat="1" ht="12" customHeight="1">
      <c r="A229" s="311"/>
      <c r="B229" s="311"/>
      <c r="C229" s="311"/>
      <c r="E229" s="311"/>
      <c r="F229" s="311"/>
      <c r="G229" s="311"/>
      <c r="H229" s="311"/>
      <c r="I229" s="311"/>
      <c r="J229" s="311"/>
      <c r="K229" s="311"/>
      <c r="L229" s="311"/>
      <c r="M229" s="311"/>
      <c r="N229" s="311"/>
      <c r="O229" s="311"/>
      <c r="P229" s="3653"/>
      <c r="Q229" s="1031"/>
      <c r="R229" s="1031"/>
      <c r="X229" s="311"/>
      <c r="Y229" s="311"/>
      <c r="Z229" s="311"/>
      <c r="AA229" s="311"/>
      <c r="AB229" s="311"/>
      <c r="AC229" s="311"/>
      <c r="AD229" s="311"/>
      <c r="AE229" s="311"/>
      <c r="AF229" s="311"/>
      <c r="AG229" s="311"/>
      <c r="AH229" s="311"/>
      <c r="AI229" s="311"/>
      <c r="AJ229" s="311"/>
      <c r="AK229" s="311"/>
      <c r="AL229" s="311"/>
      <c r="AM229" s="311"/>
      <c r="AN229" s="311"/>
      <c r="AO229" s="311"/>
      <c r="AP229" s="311"/>
      <c r="AQ229" s="311"/>
      <c r="AR229" s="311"/>
    </row>
    <row r="230" spans="1:44" s="475" customFormat="1" ht="12" customHeight="1">
      <c r="A230" s="311"/>
      <c r="B230" s="311"/>
      <c r="C230" s="311"/>
      <c r="D230" s="282"/>
      <c r="E230" s="311"/>
      <c r="F230" s="311"/>
      <c r="G230" s="311"/>
      <c r="H230" s="311"/>
      <c r="I230" s="311"/>
      <c r="J230" s="311"/>
      <c r="K230" s="311"/>
      <c r="L230" s="311"/>
      <c r="M230" s="311"/>
      <c r="N230" s="311"/>
      <c r="O230" s="311"/>
      <c r="P230" s="1033"/>
      <c r="Q230" s="3652"/>
      <c r="R230" s="1031"/>
      <c r="X230" s="311"/>
      <c r="Y230" s="311"/>
      <c r="Z230" s="311"/>
      <c r="AA230" s="311"/>
      <c r="AB230" s="311"/>
      <c r="AC230" s="311"/>
      <c r="AD230" s="311"/>
      <c r="AE230" s="311"/>
      <c r="AF230" s="311"/>
      <c r="AG230" s="311"/>
      <c r="AH230" s="311"/>
      <c r="AI230" s="311"/>
      <c r="AJ230" s="311"/>
      <c r="AK230" s="311"/>
      <c r="AL230" s="311"/>
      <c r="AM230" s="311"/>
      <c r="AN230" s="311"/>
      <c r="AO230" s="311"/>
      <c r="AP230" s="311"/>
      <c r="AQ230" s="311"/>
      <c r="AR230" s="311"/>
    </row>
    <row r="231" spans="1:44" s="475" customFormat="1" ht="12" customHeight="1">
      <c r="A231" s="311"/>
      <c r="B231" s="311"/>
      <c r="C231" s="311"/>
      <c r="E231" s="311"/>
      <c r="F231" s="311"/>
      <c r="G231" s="311"/>
      <c r="H231" s="311"/>
      <c r="I231" s="311"/>
      <c r="J231" s="311"/>
      <c r="K231" s="311"/>
      <c r="L231" s="311"/>
      <c r="M231" s="311"/>
      <c r="N231" s="311"/>
      <c r="O231" s="311"/>
      <c r="P231" s="1033"/>
      <c r="Q231" s="3652"/>
      <c r="R231" s="1031"/>
      <c r="X231" s="311"/>
      <c r="Y231" s="311"/>
      <c r="Z231" s="311"/>
      <c r="AA231" s="311"/>
      <c r="AB231" s="311"/>
      <c r="AC231" s="311"/>
      <c r="AD231" s="311"/>
      <c r="AE231" s="311"/>
      <c r="AF231" s="311"/>
      <c r="AG231" s="311"/>
      <c r="AH231" s="311"/>
      <c r="AI231" s="311"/>
      <c r="AJ231" s="311"/>
      <c r="AK231" s="311"/>
      <c r="AL231" s="311"/>
      <c r="AM231" s="311"/>
      <c r="AN231" s="311"/>
      <c r="AO231" s="311"/>
      <c r="AP231" s="311"/>
      <c r="AQ231" s="311"/>
      <c r="AR231" s="311"/>
    </row>
    <row r="232" spans="1:44" s="475" customFormat="1" ht="12" customHeight="1">
      <c r="A232" s="311"/>
      <c r="B232" s="311"/>
      <c r="C232" s="311"/>
      <c r="D232" s="311"/>
      <c r="E232" s="311"/>
      <c r="F232" s="311"/>
      <c r="G232" s="311"/>
      <c r="H232" s="311"/>
      <c r="I232" s="311"/>
      <c r="J232" s="311"/>
      <c r="K232" s="311"/>
      <c r="L232" s="311"/>
      <c r="M232" s="311"/>
      <c r="N232" s="311"/>
      <c r="O232" s="311"/>
      <c r="P232" s="1033"/>
      <c r="Q232" s="3652"/>
      <c r="R232" s="1031"/>
      <c r="X232" s="311"/>
      <c r="Y232" s="311"/>
      <c r="Z232" s="311"/>
      <c r="AA232" s="311"/>
      <c r="AB232" s="311"/>
      <c r="AC232" s="311"/>
      <c r="AD232" s="311"/>
      <c r="AE232" s="311"/>
      <c r="AF232" s="311"/>
      <c r="AG232" s="311"/>
      <c r="AH232" s="311"/>
      <c r="AI232" s="311"/>
      <c r="AJ232" s="311"/>
      <c r="AK232" s="311"/>
      <c r="AL232" s="311"/>
      <c r="AM232" s="311"/>
      <c r="AN232" s="311"/>
      <c r="AO232" s="311"/>
      <c r="AP232" s="311"/>
      <c r="AQ232" s="311"/>
      <c r="AR232" s="311"/>
    </row>
    <row r="233" spans="1:44" s="475" customFormat="1" ht="12" customHeight="1">
      <c r="A233" s="311"/>
      <c r="B233" s="311"/>
      <c r="C233" s="311"/>
      <c r="D233" s="311"/>
      <c r="E233" s="311"/>
      <c r="F233" s="311"/>
      <c r="G233" s="311"/>
      <c r="H233" s="311"/>
      <c r="I233" s="311"/>
      <c r="J233" s="311"/>
      <c r="K233" s="311"/>
      <c r="L233" s="311"/>
      <c r="M233" s="311"/>
      <c r="N233" s="311"/>
      <c r="O233" s="311"/>
      <c r="P233" s="3653"/>
      <c r="Q233" s="1031"/>
      <c r="R233" s="1031"/>
      <c r="X233" s="311"/>
      <c r="Y233" s="311"/>
      <c r="Z233" s="311"/>
      <c r="AA233" s="311"/>
      <c r="AB233" s="311"/>
      <c r="AC233" s="311"/>
      <c r="AD233" s="311"/>
      <c r="AE233" s="311"/>
      <c r="AF233" s="311"/>
      <c r="AG233" s="311"/>
      <c r="AH233" s="311"/>
      <c r="AI233" s="311"/>
      <c r="AJ233" s="311"/>
      <c r="AK233" s="311"/>
      <c r="AL233" s="311"/>
      <c r="AM233" s="311"/>
      <c r="AN233" s="311"/>
      <c r="AO233" s="311"/>
      <c r="AP233" s="311"/>
      <c r="AQ233" s="311"/>
      <c r="AR233" s="311"/>
    </row>
    <row r="234" spans="1:44" s="475" customFormat="1" ht="12" customHeight="1">
      <c r="A234" s="311"/>
      <c r="B234" s="311"/>
      <c r="C234" s="311"/>
      <c r="D234" s="311"/>
      <c r="E234" s="311"/>
      <c r="F234" s="311"/>
      <c r="G234" s="311"/>
      <c r="H234" s="311"/>
      <c r="I234" s="311"/>
      <c r="J234" s="311"/>
      <c r="K234" s="311"/>
      <c r="L234" s="311"/>
      <c r="M234" s="311"/>
      <c r="N234" s="311"/>
      <c r="O234" s="311"/>
      <c r="P234" s="1033"/>
      <c r="Q234" s="3652"/>
      <c r="R234" s="1031"/>
      <c r="X234" s="311"/>
      <c r="Y234" s="311"/>
      <c r="Z234" s="311"/>
      <c r="AA234" s="311"/>
      <c r="AB234" s="311"/>
      <c r="AC234" s="311"/>
      <c r="AD234" s="311"/>
      <c r="AE234" s="311"/>
      <c r="AF234" s="311"/>
      <c r="AG234" s="311"/>
      <c r="AH234" s="311"/>
      <c r="AI234" s="311"/>
      <c r="AJ234" s="311"/>
      <c r="AK234" s="311"/>
      <c r="AL234" s="311"/>
      <c r="AM234" s="311"/>
      <c r="AN234" s="311"/>
      <c r="AO234" s="311"/>
      <c r="AP234" s="311"/>
      <c r="AQ234" s="311"/>
      <c r="AR234" s="311"/>
    </row>
    <row r="235" spans="1:44" s="475" customFormat="1" ht="12" customHeight="1">
      <c r="A235" s="311"/>
      <c r="B235" s="311"/>
      <c r="C235" s="311"/>
      <c r="D235" s="311"/>
      <c r="E235" s="311"/>
      <c r="F235" s="311"/>
      <c r="G235" s="311"/>
      <c r="H235" s="311"/>
      <c r="I235" s="311"/>
      <c r="J235" s="311"/>
      <c r="K235" s="311"/>
      <c r="L235" s="311"/>
      <c r="M235" s="311"/>
      <c r="N235" s="311"/>
      <c r="O235" s="311"/>
      <c r="P235" s="1033"/>
      <c r="Q235" s="3652"/>
      <c r="R235" s="1031"/>
      <c r="X235" s="311"/>
      <c r="Y235" s="311"/>
      <c r="Z235" s="311"/>
      <c r="AA235" s="311"/>
      <c r="AB235" s="311"/>
      <c r="AC235" s="311"/>
      <c r="AD235" s="311"/>
      <c r="AE235" s="311"/>
      <c r="AF235" s="311"/>
      <c r="AG235" s="311"/>
      <c r="AH235" s="311"/>
      <c r="AI235" s="311"/>
      <c r="AJ235" s="311"/>
      <c r="AK235" s="311"/>
      <c r="AL235" s="311"/>
      <c r="AM235" s="311"/>
      <c r="AN235" s="311"/>
      <c r="AO235" s="311"/>
      <c r="AP235" s="311"/>
      <c r="AQ235" s="311"/>
      <c r="AR235" s="311"/>
    </row>
    <row r="236" spans="1:44" s="475" customFormat="1" ht="12" customHeight="1">
      <c r="A236" s="311"/>
      <c r="B236" s="311"/>
      <c r="C236" s="311"/>
      <c r="D236" s="311"/>
      <c r="E236" s="311"/>
      <c r="F236" s="311"/>
      <c r="G236" s="311"/>
      <c r="H236" s="311"/>
      <c r="I236" s="311"/>
      <c r="J236" s="311"/>
      <c r="K236" s="311"/>
      <c r="L236" s="311"/>
      <c r="M236" s="311"/>
      <c r="N236" s="311"/>
      <c r="O236" s="311"/>
      <c r="P236" s="1033"/>
      <c r="Q236" s="3652"/>
      <c r="R236" s="1031"/>
      <c r="X236" s="311"/>
      <c r="Y236" s="311"/>
      <c r="Z236" s="311"/>
      <c r="AA236" s="311"/>
      <c r="AB236" s="311"/>
      <c r="AC236" s="311"/>
      <c r="AD236" s="311"/>
      <c r="AE236" s="311"/>
      <c r="AF236" s="311"/>
      <c r="AG236" s="311"/>
      <c r="AH236" s="311"/>
      <c r="AI236" s="311"/>
      <c r="AJ236" s="311"/>
      <c r="AK236" s="311"/>
      <c r="AL236" s="311"/>
      <c r="AM236" s="311"/>
      <c r="AN236" s="311"/>
      <c r="AO236" s="311"/>
      <c r="AP236" s="311"/>
      <c r="AQ236" s="311"/>
      <c r="AR236" s="311"/>
    </row>
    <row r="237" spans="1:44" s="475" customFormat="1" ht="12" customHeight="1">
      <c r="A237" s="311"/>
      <c r="B237" s="311"/>
      <c r="C237" s="311"/>
      <c r="D237" s="311"/>
      <c r="E237" s="311"/>
      <c r="F237" s="311"/>
      <c r="G237" s="311"/>
      <c r="H237" s="311"/>
      <c r="I237" s="311"/>
      <c r="J237" s="311"/>
      <c r="K237" s="311"/>
      <c r="L237" s="311"/>
      <c r="M237" s="311"/>
      <c r="N237" s="311"/>
      <c r="O237" s="311"/>
      <c r="P237" s="1033"/>
      <c r="Q237" s="3652"/>
      <c r="R237" s="1031"/>
      <c r="X237" s="311"/>
      <c r="Y237" s="311"/>
      <c r="Z237" s="311"/>
      <c r="AA237" s="311"/>
      <c r="AB237" s="311"/>
      <c r="AC237" s="311"/>
      <c r="AD237" s="311"/>
      <c r="AE237" s="311"/>
      <c r="AF237" s="311"/>
      <c r="AG237" s="311"/>
      <c r="AH237" s="311"/>
      <c r="AI237" s="311"/>
      <c r="AJ237" s="311"/>
      <c r="AK237" s="311"/>
      <c r="AL237" s="311"/>
      <c r="AM237" s="311"/>
      <c r="AN237" s="311"/>
      <c r="AO237" s="311"/>
      <c r="AP237" s="311"/>
      <c r="AQ237" s="311"/>
      <c r="AR237" s="311"/>
    </row>
    <row r="238" spans="1:44" s="475" customFormat="1" ht="12" customHeight="1">
      <c r="A238" s="311"/>
      <c r="B238" s="311"/>
      <c r="C238" s="311"/>
      <c r="D238" s="311"/>
      <c r="E238" s="311"/>
      <c r="F238" s="311"/>
      <c r="G238" s="311"/>
      <c r="H238" s="311"/>
      <c r="I238" s="311"/>
      <c r="J238" s="311"/>
      <c r="K238" s="311"/>
      <c r="L238" s="311"/>
      <c r="M238" s="311"/>
      <c r="N238" s="311"/>
      <c r="O238" s="311"/>
      <c r="P238" s="1033"/>
      <c r="Q238" s="3652"/>
      <c r="R238" s="1031"/>
      <c r="X238" s="311"/>
      <c r="Y238" s="311"/>
      <c r="Z238" s="311"/>
      <c r="AA238" s="311"/>
      <c r="AB238" s="311"/>
      <c r="AC238" s="311"/>
      <c r="AD238" s="311"/>
      <c r="AE238" s="311"/>
      <c r="AF238" s="311"/>
      <c r="AG238" s="311"/>
      <c r="AH238" s="311"/>
      <c r="AI238" s="311"/>
      <c r="AJ238" s="311"/>
      <c r="AK238" s="311"/>
      <c r="AL238" s="311"/>
      <c r="AM238" s="311"/>
      <c r="AN238" s="311"/>
      <c r="AO238" s="311"/>
      <c r="AP238" s="311"/>
      <c r="AQ238" s="311"/>
      <c r="AR238" s="311"/>
    </row>
    <row r="239" spans="1:44" s="475" customFormat="1" ht="12" customHeight="1">
      <c r="A239" s="311"/>
      <c r="B239" s="311"/>
      <c r="C239" s="311"/>
      <c r="D239" s="311"/>
      <c r="E239" s="311"/>
      <c r="F239" s="311"/>
      <c r="G239" s="311"/>
      <c r="H239" s="311"/>
      <c r="I239" s="311"/>
      <c r="J239" s="311"/>
      <c r="K239" s="311"/>
      <c r="L239" s="311"/>
      <c r="M239" s="311"/>
      <c r="N239" s="311"/>
      <c r="O239" s="311"/>
      <c r="P239" s="1033"/>
      <c r="Q239" s="3652"/>
      <c r="R239" s="1031"/>
      <c r="X239" s="311"/>
      <c r="Y239" s="311"/>
      <c r="Z239" s="311"/>
      <c r="AA239" s="311"/>
      <c r="AB239" s="311"/>
      <c r="AC239" s="311"/>
      <c r="AD239" s="311"/>
      <c r="AE239" s="311"/>
      <c r="AF239" s="311"/>
      <c r="AG239" s="311"/>
      <c r="AH239" s="311"/>
      <c r="AI239" s="311"/>
      <c r="AJ239" s="311"/>
      <c r="AK239" s="311"/>
      <c r="AL239" s="311"/>
      <c r="AM239" s="311"/>
      <c r="AN239" s="311"/>
      <c r="AO239" s="311"/>
      <c r="AP239" s="311"/>
      <c r="AQ239" s="311"/>
      <c r="AR239" s="311"/>
    </row>
    <row r="240" spans="1:44" s="475" customFormat="1" ht="12" customHeight="1">
      <c r="A240" s="311"/>
      <c r="B240" s="311"/>
      <c r="C240" s="311"/>
      <c r="D240" s="311"/>
      <c r="E240" s="311"/>
      <c r="F240" s="311"/>
      <c r="G240" s="311"/>
      <c r="H240" s="311"/>
      <c r="I240" s="311"/>
      <c r="J240" s="311"/>
      <c r="K240" s="311"/>
      <c r="L240" s="311"/>
      <c r="M240" s="311"/>
      <c r="N240" s="311"/>
      <c r="O240" s="311"/>
      <c r="P240" s="1033"/>
      <c r="Q240" s="3652"/>
      <c r="R240" s="1031"/>
      <c r="X240" s="311"/>
      <c r="Y240" s="311"/>
      <c r="Z240" s="311"/>
      <c r="AA240" s="311"/>
      <c r="AB240" s="311"/>
      <c r="AC240" s="311"/>
      <c r="AD240" s="311"/>
      <c r="AE240" s="311"/>
      <c r="AF240" s="311"/>
      <c r="AG240" s="311"/>
      <c r="AH240" s="311"/>
      <c r="AI240" s="311"/>
      <c r="AJ240" s="311"/>
      <c r="AK240" s="311"/>
      <c r="AL240" s="311"/>
      <c r="AM240" s="311"/>
      <c r="AN240" s="311"/>
      <c r="AO240" s="311"/>
      <c r="AP240" s="311"/>
      <c r="AQ240" s="311"/>
      <c r="AR240" s="311"/>
    </row>
    <row r="241" spans="1:44" s="475" customFormat="1" ht="12" customHeight="1">
      <c r="A241" s="311"/>
      <c r="B241" s="311"/>
      <c r="C241" s="311"/>
      <c r="D241" s="311"/>
      <c r="E241" s="311"/>
      <c r="F241" s="311"/>
      <c r="G241" s="311"/>
      <c r="H241" s="311"/>
      <c r="I241" s="311"/>
      <c r="J241" s="311"/>
      <c r="K241" s="311"/>
      <c r="L241" s="311"/>
      <c r="M241" s="311"/>
      <c r="N241" s="311"/>
      <c r="O241" s="311"/>
      <c r="P241" s="1033"/>
      <c r="Q241" s="3652"/>
      <c r="R241" s="1031"/>
      <c r="X241" s="311"/>
      <c r="Y241" s="311"/>
      <c r="Z241" s="311"/>
      <c r="AA241" s="311"/>
      <c r="AB241" s="311"/>
      <c r="AC241" s="311"/>
      <c r="AD241" s="311"/>
      <c r="AE241" s="311"/>
      <c r="AF241" s="311"/>
      <c r="AG241" s="311"/>
      <c r="AH241" s="311"/>
      <c r="AI241" s="311"/>
      <c r="AJ241" s="311"/>
      <c r="AK241" s="311"/>
      <c r="AL241" s="311"/>
      <c r="AM241" s="311"/>
      <c r="AN241" s="311"/>
      <c r="AO241" s="311"/>
      <c r="AP241" s="311"/>
      <c r="AQ241" s="311"/>
      <c r="AR241" s="311"/>
    </row>
    <row r="242" spans="1:44" s="475" customFormat="1" ht="12" customHeight="1">
      <c r="A242" s="311"/>
      <c r="B242" s="311"/>
      <c r="C242" s="311"/>
      <c r="D242" s="311"/>
      <c r="E242" s="311"/>
      <c r="F242" s="311"/>
      <c r="G242" s="311"/>
      <c r="H242" s="311"/>
      <c r="I242" s="311"/>
      <c r="J242" s="311"/>
      <c r="K242" s="311"/>
      <c r="L242" s="311"/>
      <c r="M242" s="311"/>
      <c r="N242" s="311"/>
      <c r="O242" s="311"/>
      <c r="P242" s="1033"/>
      <c r="Q242" s="3652"/>
      <c r="R242" s="1031"/>
      <c r="X242" s="311"/>
      <c r="Y242" s="311"/>
      <c r="Z242" s="311"/>
      <c r="AA242" s="311"/>
      <c r="AB242" s="311"/>
      <c r="AC242" s="311"/>
      <c r="AD242" s="311"/>
      <c r="AE242" s="311"/>
      <c r="AF242" s="311"/>
      <c r="AG242" s="311"/>
      <c r="AH242" s="311"/>
      <c r="AI242" s="311"/>
      <c r="AJ242" s="311"/>
      <c r="AK242" s="311"/>
      <c r="AL242" s="311"/>
      <c r="AM242" s="311"/>
      <c r="AN242" s="311"/>
      <c r="AO242" s="311"/>
      <c r="AP242" s="311"/>
      <c r="AQ242" s="311"/>
      <c r="AR242" s="311"/>
    </row>
    <row r="243" spans="1:44" s="475" customFormat="1" ht="12" customHeight="1">
      <c r="A243" s="311"/>
      <c r="B243" s="311"/>
      <c r="C243" s="311"/>
      <c r="D243" s="311"/>
      <c r="E243" s="311"/>
      <c r="F243" s="311"/>
      <c r="G243" s="311"/>
      <c r="H243" s="311"/>
      <c r="I243" s="311"/>
      <c r="J243" s="311"/>
      <c r="K243" s="311"/>
      <c r="L243" s="311"/>
      <c r="M243" s="311"/>
      <c r="N243" s="311"/>
      <c r="O243" s="311"/>
      <c r="P243" s="1033"/>
      <c r="Q243" s="3652"/>
      <c r="R243" s="1031"/>
      <c r="X243" s="311"/>
      <c r="Y243" s="311"/>
      <c r="Z243" s="311"/>
      <c r="AA243" s="311"/>
      <c r="AB243" s="311"/>
      <c r="AC243" s="311"/>
      <c r="AD243" s="311"/>
      <c r="AE243" s="311"/>
      <c r="AF243" s="311"/>
      <c r="AG243" s="311"/>
      <c r="AH243" s="311"/>
      <c r="AI243" s="311"/>
      <c r="AJ243" s="311"/>
      <c r="AK243" s="311"/>
      <c r="AL243" s="311"/>
      <c r="AM243" s="311"/>
      <c r="AN243" s="311"/>
      <c r="AO243" s="311"/>
      <c r="AP243" s="311"/>
      <c r="AQ243" s="311"/>
      <c r="AR243" s="311"/>
    </row>
    <row r="244" spans="1:44" s="475" customFormat="1" ht="12" customHeight="1">
      <c r="A244" s="311"/>
      <c r="B244" s="311"/>
      <c r="C244" s="311"/>
      <c r="D244" s="311"/>
      <c r="E244" s="311"/>
      <c r="F244" s="311"/>
      <c r="G244" s="311"/>
      <c r="H244" s="311"/>
      <c r="I244" s="311"/>
      <c r="J244" s="311"/>
      <c r="K244" s="311"/>
      <c r="L244" s="311"/>
      <c r="M244" s="311"/>
      <c r="N244" s="311"/>
      <c r="O244" s="311"/>
      <c r="P244" s="1033"/>
      <c r="Q244" s="3652"/>
      <c r="R244" s="1031"/>
      <c r="X244" s="311"/>
      <c r="Y244" s="311"/>
      <c r="Z244" s="311"/>
      <c r="AA244" s="311"/>
      <c r="AB244" s="311"/>
      <c r="AC244" s="311"/>
      <c r="AD244" s="311"/>
      <c r="AE244" s="311"/>
      <c r="AF244" s="311"/>
      <c r="AG244" s="311"/>
      <c r="AH244" s="311"/>
      <c r="AI244" s="311"/>
      <c r="AJ244" s="311"/>
      <c r="AK244" s="311"/>
      <c r="AL244" s="311"/>
      <c r="AM244" s="311"/>
      <c r="AN244" s="311"/>
      <c r="AO244" s="311"/>
      <c r="AP244" s="311"/>
      <c r="AQ244" s="311"/>
      <c r="AR244" s="311"/>
    </row>
    <row r="245" spans="1:44" s="475" customFormat="1" ht="12" customHeight="1">
      <c r="A245" s="311"/>
      <c r="B245" s="311"/>
      <c r="C245" s="311"/>
      <c r="D245" s="311"/>
      <c r="E245" s="311"/>
      <c r="F245" s="311"/>
      <c r="G245" s="311"/>
      <c r="H245" s="311"/>
      <c r="I245" s="311"/>
      <c r="J245" s="311"/>
      <c r="K245" s="311"/>
      <c r="L245" s="311"/>
      <c r="M245" s="311"/>
      <c r="N245" s="311"/>
      <c r="O245" s="311"/>
      <c r="P245" s="1033"/>
      <c r="Q245" s="3652"/>
      <c r="R245" s="1031"/>
      <c r="X245" s="311"/>
      <c r="Y245" s="311"/>
      <c r="Z245" s="311"/>
      <c r="AA245" s="311"/>
      <c r="AB245" s="311"/>
      <c r="AC245" s="311"/>
      <c r="AD245" s="311"/>
      <c r="AE245" s="311"/>
      <c r="AF245" s="311"/>
      <c r="AG245" s="311"/>
      <c r="AH245" s="311"/>
      <c r="AI245" s="311"/>
      <c r="AJ245" s="311"/>
      <c r="AK245" s="311"/>
      <c r="AL245" s="311"/>
      <c r="AM245" s="311"/>
      <c r="AN245" s="311"/>
      <c r="AO245" s="311"/>
      <c r="AP245" s="311"/>
      <c r="AQ245" s="311"/>
      <c r="AR245" s="311"/>
    </row>
    <row r="246" spans="1:44" s="475" customFormat="1" ht="12" customHeight="1">
      <c r="A246" s="311"/>
      <c r="B246" s="311"/>
      <c r="C246" s="311"/>
      <c r="D246" s="311"/>
      <c r="E246" s="311"/>
      <c r="F246" s="311"/>
      <c r="G246" s="311"/>
      <c r="H246" s="311"/>
      <c r="I246" s="311"/>
      <c r="J246" s="311"/>
      <c r="K246" s="311"/>
      <c r="L246" s="311"/>
      <c r="M246" s="311"/>
      <c r="N246" s="311"/>
      <c r="O246" s="311"/>
      <c r="P246" s="1033"/>
      <c r="Q246" s="3652"/>
      <c r="R246" s="1031"/>
      <c r="X246" s="311"/>
      <c r="Y246" s="311"/>
      <c r="Z246" s="311"/>
      <c r="AA246" s="311"/>
      <c r="AB246" s="311"/>
      <c r="AC246" s="311"/>
      <c r="AD246" s="311"/>
      <c r="AE246" s="311"/>
      <c r="AF246" s="311"/>
      <c r="AG246" s="311"/>
      <c r="AH246" s="311"/>
      <c r="AI246" s="311"/>
      <c r="AJ246" s="311"/>
      <c r="AK246" s="311"/>
      <c r="AL246" s="311"/>
      <c r="AM246" s="311"/>
      <c r="AN246" s="311"/>
      <c r="AO246" s="311"/>
      <c r="AP246" s="311"/>
      <c r="AQ246" s="311"/>
      <c r="AR246" s="311"/>
    </row>
    <row r="247" spans="1:44" s="475" customFormat="1" ht="12" customHeight="1">
      <c r="A247" s="311"/>
      <c r="B247" s="311"/>
      <c r="C247" s="311"/>
      <c r="D247" s="311"/>
      <c r="E247" s="311"/>
      <c r="F247" s="311"/>
      <c r="G247" s="311"/>
      <c r="H247" s="311"/>
      <c r="I247" s="311"/>
      <c r="J247" s="311"/>
      <c r="K247" s="311"/>
      <c r="L247" s="311"/>
      <c r="M247" s="311"/>
      <c r="N247" s="311"/>
      <c r="O247" s="311"/>
      <c r="P247" s="3654"/>
      <c r="Q247" s="3652"/>
      <c r="R247" s="1033"/>
      <c r="S247" s="3655"/>
      <c r="X247" s="311"/>
      <c r="Y247" s="311"/>
      <c r="Z247" s="311"/>
      <c r="AA247" s="311"/>
      <c r="AB247" s="311"/>
      <c r="AC247" s="311"/>
      <c r="AD247" s="311"/>
      <c r="AE247" s="311"/>
      <c r="AF247" s="311"/>
      <c r="AG247" s="311"/>
      <c r="AH247" s="311"/>
      <c r="AI247" s="311"/>
      <c r="AJ247" s="311"/>
      <c r="AK247" s="311"/>
      <c r="AL247" s="311"/>
      <c r="AM247" s="311"/>
      <c r="AN247" s="311"/>
      <c r="AO247" s="311"/>
      <c r="AP247" s="311"/>
      <c r="AQ247" s="311"/>
      <c r="AR247" s="311"/>
    </row>
    <row r="248" spans="1:44" s="475" customFormat="1" ht="12" customHeight="1">
      <c r="A248" s="311"/>
      <c r="B248" s="311"/>
      <c r="C248" s="311"/>
      <c r="D248" s="311"/>
      <c r="E248" s="311"/>
      <c r="F248" s="311"/>
      <c r="G248" s="311"/>
      <c r="H248" s="311"/>
      <c r="I248" s="311"/>
      <c r="J248" s="311"/>
      <c r="K248" s="311"/>
      <c r="L248" s="311"/>
      <c r="M248" s="311"/>
      <c r="N248" s="311"/>
      <c r="O248" s="311"/>
      <c r="P248" s="1033"/>
      <c r="Q248" s="3652"/>
      <c r="R248" s="1033"/>
      <c r="S248" s="3655"/>
      <c r="X248" s="311"/>
      <c r="Y248" s="311"/>
      <c r="Z248" s="311"/>
      <c r="AA248" s="311"/>
      <c r="AB248" s="311"/>
      <c r="AC248" s="311"/>
      <c r="AD248" s="311"/>
      <c r="AE248" s="311"/>
      <c r="AF248" s="311"/>
      <c r="AG248" s="311"/>
      <c r="AH248" s="311"/>
      <c r="AI248" s="311"/>
      <c r="AJ248" s="311"/>
      <c r="AK248" s="311"/>
      <c r="AL248" s="311"/>
      <c r="AM248" s="311"/>
      <c r="AN248" s="311"/>
      <c r="AO248" s="311"/>
      <c r="AP248" s="311"/>
      <c r="AQ248" s="311"/>
      <c r="AR248" s="311"/>
    </row>
    <row r="249" spans="1:44" s="475" customFormat="1" ht="12" customHeight="1">
      <c r="A249" s="311"/>
      <c r="B249" s="311"/>
      <c r="C249" s="311"/>
      <c r="D249" s="311"/>
      <c r="E249" s="311"/>
      <c r="F249" s="311"/>
      <c r="G249" s="311"/>
      <c r="H249" s="311"/>
      <c r="I249" s="311"/>
      <c r="J249" s="311"/>
      <c r="K249" s="311"/>
      <c r="L249" s="311"/>
      <c r="M249" s="311"/>
      <c r="N249" s="311"/>
      <c r="O249" s="311"/>
      <c r="P249" s="1033"/>
      <c r="Q249" s="3652"/>
      <c r="R249" s="1033"/>
      <c r="S249" s="3655"/>
      <c r="X249" s="311"/>
      <c r="Y249" s="311"/>
      <c r="Z249" s="311"/>
      <c r="AA249" s="311"/>
      <c r="AB249" s="311"/>
      <c r="AC249" s="311"/>
      <c r="AD249" s="311"/>
      <c r="AE249" s="311"/>
      <c r="AF249" s="311"/>
      <c r="AG249" s="311"/>
      <c r="AH249" s="311"/>
      <c r="AI249" s="311"/>
      <c r="AJ249" s="311"/>
      <c r="AK249" s="311"/>
      <c r="AL249" s="311"/>
      <c r="AM249" s="311"/>
      <c r="AN249" s="311"/>
      <c r="AO249" s="311"/>
      <c r="AP249" s="311"/>
      <c r="AQ249" s="311"/>
      <c r="AR249" s="311"/>
    </row>
    <row r="250" spans="1:44" s="475" customFormat="1" ht="12" customHeight="1">
      <c r="A250" s="311"/>
      <c r="B250" s="311"/>
      <c r="C250" s="311"/>
      <c r="D250" s="311"/>
      <c r="E250" s="311"/>
      <c r="F250" s="311"/>
      <c r="G250" s="311"/>
      <c r="H250" s="311"/>
      <c r="I250" s="311"/>
      <c r="J250" s="311"/>
      <c r="K250" s="311"/>
      <c r="L250" s="311"/>
      <c r="M250" s="311"/>
      <c r="N250" s="311"/>
      <c r="O250" s="311"/>
      <c r="P250" s="1033"/>
      <c r="Q250" s="3652"/>
      <c r="R250" s="1033"/>
      <c r="S250" s="3655"/>
      <c r="X250" s="311"/>
      <c r="Y250" s="311"/>
      <c r="Z250" s="311"/>
      <c r="AA250" s="311"/>
      <c r="AB250" s="311"/>
      <c r="AC250" s="311"/>
      <c r="AD250" s="311"/>
      <c r="AE250" s="311"/>
      <c r="AF250" s="311"/>
      <c r="AG250" s="311"/>
      <c r="AH250" s="311"/>
      <c r="AI250" s="311"/>
      <c r="AJ250" s="311"/>
      <c r="AK250" s="311"/>
      <c r="AL250" s="311"/>
      <c r="AM250" s="311"/>
      <c r="AN250" s="311"/>
      <c r="AO250" s="311"/>
      <c r="AP250" s="311"/>
      <c r="AQ250" s="311"/>
      <c r="AR250" s="311"/>
    </row>
    <row r="251" spans="1:44" s="475" customFormat="1" ht="12" customHeight="1">
      <c r="A251" s="311"/>
      <c r="B251" s="311"/>
      <c r="C251" s="311"/>
      <c r="D251" s="311"/>
      <c r="E251" s="311"/>
      <c r="F251" s="311"/>
      <c r="G251" s="311"/>
      <c r="H251" s="311"/>
      <c r="I251" s="311"/>
      <c r="J251" s="311"/>
      <c r="K251" s="311"/>
      <c r="L251" s="311"/>
      <c r="M251" s="311"/>
      <c r="N251" s="311"/>
      <c r="O251" s="311"/>
      <c r="P251" s="1033"/>
      <c r="Q251" s="1031"/>
      <c r="R251" s="1031"/>
      <c r="X251" s="311"/>
      <c r="Y251" s="311"/>
      <c r="Z251" s="311"/>
      <c r="AA251" s="311"/>
      <c r="AB251" s="311"/>
      <c r="AC251" s="311"/>
      <c r="AD251" s="311"/>
      <c r="AE251" s="311"/>
      <c r="AF251" s="311"/>
      <c r="AG251" s="311"/>
      <c r="AH251" s="311"/>
      <c r="AI251" s="311"/>
      <c r="AJ251" s="311"/>
      <c r="AK251" s="311"/>
      <c r="AL251" s="311"/>
      <c r="AM251" s="311"/>
      <c r="AN251" s="311"/>
      <c r="AO251" s="311"/>
      <c r="AP251" s="311"/>
      <c r="AQ251" s="311"/>
      <c r="AR251" s="311"/>
    </row>
    <row r="252" spans="1:44" s="475" customFormat="1" ht="12" customHeight="1">
      <c r="A252" s="311"/>
      <c r="B252" s="311"/>
      <c r="C252" s="311"/>
      <c r="D252" s="311"/>
      <c r="E252" s="311"/>
      <c r="F252" s="311"/>
      <c r="G252" s="311"/>
      <c r="H252" s="311"/>
      <c r="I252" s="311"/>
      <c r="J252" s="311"/>
      <c r="K252" s="311"/>
      <c r="L252" s="311"/>
      <c r="M252" s="311"/>
      <c r="N252" s="311"/>
      <c r="O252" s="311"/>
      <c r="P252" s="3653"/>
      <c r="Q252" s="1031"/>
      <c r="R252" s="1031"/>
      <c r="X252" s="311"/>
      <c r="Y252" s="311"/>
      <c r="Z252" s="311"/>
      <c r="AA252" s="311"/>
      <c r="AB252" s="311"/>
      <c r="AC252" s="311"/>
      <c r="AD252" s="311"/>
      <c r="AE252" s="311"/>
      <c r="AF252" s="311"/>
      <c r="AG252" s="311"/>
      <c r="AH252" s="311"/>
      <c r="AI252" s="311"/>
      <c r="AJ252" s="311"/>
      <c r="AK252" s="311"/>
      <c r="AL252" s="311"/>
      <c r="AM252" s="311"/>
      <c r="AN252" s="311"/>
      <c r="AO252" s="311"/>
      <c r="AP252" s="311"/>
      <c r="AQ252" s="311"/>
      <c r="AR252" s="311"/>
    </row>
    <row r="253" spans="1:44" s="475" customFormat="1" ht="12" customHeight="1">
      <c r="A253" s="311"/>
      <c r="B253" s="311"/>
      <c r="C253" s="311"/>
      <c r="D253" s="311"/>
      <c r="E253" s="311"/>
      <c r="F253" s="311"/>
      <c r="G253" s="311"/>
      <c r="H253" s="311"/>
      <c r="I253" s="311"/>
      <c r="J253" s="311"/>
      <c r="K253" s="311"/>
      <c r="L253" s="311"/>
      <c r="M253" s="311"/>
      <c r="N253" s="311"/>
      <c r="O253" s="311"/>
      <c r="P253" s="1033"/>
      <c r="Q253" s="3652"/>
      <c r="R253" s="1031"/>
      <c r="X253" s="311"/>
      <c r="Y253" s="311"/>
      <c r="Z253" s="311"/>
      <c r="AA253" s="311"/>
      <c r="AB253" s="311"/>
      <c r="AC253" s="311"/>
      <c r="AD253" s="311"/>
      <c r="AE253" s="311"/>
      <c r="AF253" s="311"/>
      <c r="AG253" s="311"/>
      <c r="AH253" s="311"/>
      <c r="AI253" s="311"/>
      <c r="AJ253" s="311"/>
      <c r="AK253" s="311"/>
      <c r="AL253" s="311"/>
      <c r="AM253" s="311"/>
      <c r="AN253" s="311"/>
      <c r="AO253" s="311"/>
      <c r="AP253" s="311"/>
      <c r="AQ253" s="311"/>
      <c r="AR253" s="311"/>
    </row>
    <row r="254" spans="1:44" s="475" customFormat="1" ht="12" customHeight="1">
      <c r="A254" s="311"/>
      <c r="B254" s="311"/>
      <c r="C254" s="311"/>
      <c r="D254" s="311"/>
      <c r="E254" s="311"/>
      <c r="F254" s="311"/>
      <c r="G254" s="311"/>
      <c r="H254" s="311"/>
      <c r="I254" s="311"/>
      <c r="J254" s="311"/>
      <c r="K254" s="311"/>
      <c r="L254" s="311"/>
      <c r="M254" s="311"/>
      <c r="N254" s="311"/>
      <c r="O254" s="311"/>
      <c r="P254" s="1033"/>
      <c r="Q254" s="3652"/>
      <c r="R254" s="1031"/>
      <c r="X254" s="311"/>
      <c r="Y254" s="311"/>
      <c r="Z254" s="311"/>
      <c r="AA254" s="311"/>
      <c r="AB254" s="311"/>
      <c r="AC254" s="311"/>
      <c r="AD254" s="311"/>
      <c r="AE254" s="311"/>
      <c r="AF254" s="311"/>
      <c r="AG254" s="311"/>
      <c r="AH254" s="311"/>
      <c r="AI254" s="311"/>
      <c r="AJ254" s="311"/>
      <c r="AK254" s="311"/>
      <c r="AL254" s="311"/>
      <c r="AM254" s="311"/>
      <c r="AN254" s="311"/>
      <c r="AO254" s="311"/>
      <c r="AP254" s="311"/>
      <c r="AQ254" s="311"/>
      <c r="AR254" s="311"/>
    </row>
    <row r="255" spans="1:44" s="475" customFormat="1" ht="12" customHeight="1">
      <c r="A255" s="311"/>
      <c r="B255" s="311"/>
      <c r="C255" s="311"/>
      <c r="D255" s="311"/>
      <c r="E255" s="311"/>
      <c r="F255" s="311"/>
      <c r="G255" s="311"/>
      <c r="H255" s="311"/>
      <c r="I255" s="311"/>
      <c r="J255" s="311"/>
      <c r="K255" s="311"/>
      <c r="L255" s="311"/>
      <c r="M255" s="311"/>
      <c r="N255" s="311"/>
      <c r="O255" s="311"/>
      <c r="P255" s="3654"/>
      <c r="Q255" s="3652"/>
      <c r="R255" s="1031"/>
      <c r="X255" s="311"/>
      <c r="Y255" s="311"/>
      <c r="Z255" s="311"/>
      <c r="AA255" s="311"/>
      <c r="AB255" s="311"/>
      <c r="AC255" s="311"/>
      <c r="AD255" s="311"/>
      <c r="AE255" s="311"/>
      <c r="AF255" s="311"/>
      <c r="AG255" s="311"/>
      <c r="AH255" s="311"/>
      <c r="AI255" s="311"/>
      <c r="AJ255" s="311"/>
      <c r="AK255" s="311"/>
      <c r="AL255" s="311"/>
      <c r="AM255" s="311"/>
      <c r="AN255" s="311"/>
      <c r="AO255" s="311"/>
      <c r="AP255" s="311"/>
      <c r="AQ255" s="311"/>
      <c r="AR255" s="311"/>
    </row>
    <row r="256" spans="1:44" s="475" customFormat="1" ht="12" customHeight="1">
      <c r="A256" s="311"/>
      <c r="B256" s="311"/>
      <c r="C256" s="311"/>
      <c r="D256" s="311"/>
      <c r="E256" s="311"/>
      <c r="F256" s="311"/>
      <c r="G256" s="311"/>
      <c r="H256" s="311"/>
      <c r="I256" s="311"/>
      <c r="J256" s="311"/>
      <c r="K256" s="311"/>
      <c r="L256" s="311"/>
      <c r="M256" s="311"/>
      <c r="N256" s="311"/>
      <c r="O256" s="311"/>
      <c r="P256" s="1033"/>
      <c r="Q256" s="3652"/>
      <c r="R256" s="1031"/>
      <c r="X256" s="311"/>
      <c r="Y256" s="311"/>
      <c r="Z256" s="311"/>
      <c r="AA256" s="311"/>
      <c r="AB256" s="311"/>
      <c r="AC256" s="311"/>
      <c r="AD256" s="311"/>
      <c r="AE256" s="311"/>
      <c r="AF256" s="311"/>
      <c r="AG256" s="311"/>
      <c r="AH256" s="311"/>
      <c r="AI256" s="311"/>
      <c r="AJ256" s="311"/>
      <c r="AK256" s="311"/>
      <c r="AL256" s="311"/>
      <c r="AM256" s="311"/>
      <c r="AN256" s="311"/>
      <c r="AO256" s="311"/>
      <c r="AP256" s="311"/>
      <c r="AQ256" s="311"/>
      <c r="AR256" s="311"/>
    </row>
    <row r="257" spans="1:44" s="475" customFormat="1" ht="12" customHeight="1">
      <c r="A257" s="311"/>
      <c r="B257" s="311"/>
      <c r="C257" s="311"/>
      <c r="D257" s="311"/>
      <c r="E257" s="311"/>
      <c r="F257" s="311"/>
      <c r="G257" s="311"/>
      <c r="H257" s="311"/>
      <c r="I257" s="311"/>
      <c r="J257" s="311"/>
      <c r="K257" s="311"/>
      <c r="L257" s="311"/>
      <c r="M257" s="311"/>
      <c r="N257" s="311"/>
      <c r="O257" s="311"/>
      <c r="P257" s="1033"/>
      <c r="Q257" s="3652"/>
      <c r="R257" s="1031"/>
      <c r="X257" s="311"/>
      <c r="Y257" s="311"/>
      <c r="Z257" s="311"/>
      <c r="AA257" s="311"/>
      <c r="AB257" s="311"/>
      <c r="AC257" s="311"/>
      <c r="AD257" s="311"/>
      <c r="AE257" s="311"/>
      <c r="AF257" s="311"/>
      <c r="AG257" s="311"/>
      <c r="AH257" s="311"/>
      <c r="AI257" s="311"/>
      <c r="AJ257" s="311"/>
      <c r="AK257" s="311"/>
      <c r="AL257" s="311"/>
      <c r="AM257" s="311"/>
      <c r="AN257" s="311"/>
      <c r="AO257" s="311"/>
      <c r="AP257" s="311"/>
      <c r="AQ257" s="311"/>
      <c r="AR257" s="311"/>
    </row>
    <row r="258" spans="1:44" s="475" customFormat="1" ht="12" customHeight="1">
      <c r="A258" s="311"/>
      <c r="B258" s="311"/>
      <c r="C258" s="311"/>
      <c r="D258" s="311"/>
      <c r="E258" s="311"/>
      <c r="F258" s="311"/>
      <c r="G258" s="311"/>
      <c r="H258" s="311"/>
      <c r="I258" s="311"/>
      <c r="J258" s="311"/>
      <c r="K258" s="311"/>
      <c r="L258" s="311"/>
      <c r="M258" s="311"/>
      <c r="N258" s="311"/>
      <c r="O258" s="311"/>
      <c r="P258" s="1033"/>
      <c r="Q258" s="3652"/>
      <c r="R258" s="1031"/>
      <c r="X258" s="311"/>
      <c r="Y258" s="311"/>
      <c r="Z258" s="311"/>
      <c r="AA258" s="311"/>
      <c r="AB258" s="311"/>
      <c r="AC258" s="311"/>
      <c r="AD258" s="311"/>
      <c r="AE258" s="311"/>
      <c r="AF258" s="311"/>
      <c r="AG258" s="311"/>
      <c r="AH258" s="311"/>
      <c r="AI258" s="311"/>
      <c r="AJ258" s="311"/>
      <c r="AK258" s="311"/>
      <c r="AL258" s="311"/>
      <c r="AM258" s="311"/>
      <c r="AN258" s="311"/>
      <c r="AO258" s="311"/>
      <c r="AP258" s="311"/>
      <c r="AQ258" s="311"/>
      <c r="AR258" s="311"/>
    </row>
    <row r="259" spans="1:44" s="475" customFormat="1" ht="12" customHeight="1">
      <c r="A259" s="311"/>
      <c r="B259" s="311"/>
      <c r="C259" s="311"/>
      <c r="D259" s="311"/>
      <c r="E259" s="311"/>
      <c r="F259" s="311"/>
      <c r="G259" s="311"/>
      <c r="H259" s="311"/>
      <c r="I259" s="311"/>
      <c r="J259" s="311"/>
      <c r="K259" s="311"/>
      <c r="L259" s="311"/>
      <c r="M259" s="311"/>
      <c r="N259" s="311"/>
      <c r="O259" s="311"/>
      <c r="P259" s="1033"/>
      <c r="Q259" s="3652"/>
      <c r="R259" s="1031"/>
      <c r="X259" s="311"/>
      <c r="Y259" s="311"/>
      <c r="Z259" s="311"/>
      <c r="AA259" s="311"/>
      <c r="AB259" s="311"/>
      <c r="AC259" s="311"/>
      <c r="AD259" s="311"/>
      <c r="AE259" s="311"/>
      <c r="AF259" s="311"/>
      <c r="AG259" s="311"/>
      <c r="AH259" s="311"/>
      <c r="AI259" s="311"/>
      <c r="AJ259" s="311"/>
      <c r="AK259" s="311"/>
      <c r="AL259" s="311"/>
      <c r="AM259" s="311"/>
      <c r="AN259" s="311"/>
      <c r="AO259" s="311"/>
      <c r="AP259" s="311"/>
      <c r="AQ259" s="311"/>
      <c r="AR259" s="311"/>
    </row>
    <row r="260" spans="1:44" s="475" customFormat="1" ht="12" customHeight="1">
      <c r="A260" s="311"/>
      <c r="B260" s="311"/>
      <c r="C260" s="311"/>
      <c r="D260" s="311"/>
      <c r="E260" s="311"/>
      <c r="F260" s="311"/>
      <c r="G260" s="311"/>
      <c r="H260" s="311"/>
      <c r="I260" s="311"/>
      <c r="J260" s="311"/>
      <c r="K260" s="311"/>
      <c r="L260" s="311"/>
      <c r="M260" s="311"/>
      <c r="N260" s="311"/>
      <c r="O260" s="311"/>
      <c r="P260" s="1033"/>
      <c r="Q260" s="3652"/>
      <c r="R260" s="1031"/>
      <c r="X260" s="311"/>
      <c r="Y260" s="311"/>
      <c r="Z260" s="311"/>
      <c r="AA260" s="311"/>
      <c r="AB260" s="311"/>
      <c r="AC260" s="311"/>
      <c r="AD260" s="311"/>
      <c r="AE260" s="311"/>
      <c r="AF260" s="311"/>
      <c r="AG260" s="311"/>
      <c r="AH260" s="311"/>
      <c r="AI260" s="311"/>
      <c r="AJ260" s="311"/>
      <c r="AK260" s="311"/>
      <c r="AL260" s="311"/>
      <c r="AM260" s="311"/>
      <c r="AN260" s="311"/>
      <c r="AO260" s="311"/>
      <c r="AP260" s="311"/>
      <c r="AQ260" s="311"/>
      <c r="AR260" s="311"/>
    </row>
    <row r="261" spans="1:44" s="475" customFormat="1" ht="12" customHeight="1">
      <c r="A261" s="311"/>
      <c r="B261" s="311"/>
      <c r="C261" s="311"/>
      <c r="D261" s="311"/>
      <c r="E261" s="311"/>
      <c r="F261" s="311"/>
      <c r="G261" s="311"/>
      <c r="H261" s="311"/>
      <c r="I261" s="311"/>
      <c r="J261" s="311"/>
      <c r="K261" s="311"/>
      <c r="L261" s="311"/>
      <c r="M261" s="311"/>
      <c r="N261" s="311"/>
      <c r="O261" s="311"/>
      <c r="P261" s="1033"/>
      <c r="Q261" s="3652"/>
      <c r="R261" s="1031"/>
      <c r="X261" s="311"/>
      <c r="Y261" s="311"/>
      <c r="Z261" s="311"/>
      <c r="AA261" s="311"/>
      <c r="AB261" s="311"/>
      <c r="AC261" s="311"/>
      <c r="AD261" s="311"/>
      <c r="AE261" s="311"/>
      <c r="AF261" s="311"/>
      <c r="AG261" s="311"/>
      <c r="AH261" s="311"/>
      <c r="AI261" s="311"/>
      <c r="AJ261" s="311"/>
      <c r="AK261" s="311"/>
      <c r="AL261" s="311"/>
      <c r="AM261" s="311"/>
      <c r="AN261" s="311"/>
      <c r="AO261" s="311"/>
      <c r="AP261" s="311"/>
      <c r="AQ261" s="311"/>
      <c r="AR261" s="311"/>
    </row>
    <row r="262" spans="1:44" s="475" customFormat="1" ht="12" customHeight="1">
      <c r="A262" s="311"/>
      <c r="B262" s="311"/>
      <c r="C262" s="311"/>
      <c r="D262" s="311"/>
      <c r="E262" s="311"/>
      <c r="F262" s="311"/>
      <c r="G262" s="311"/>
      <c r="H262" s="311"/>
      <c r="I262" s="311"/>
      <c r="J262" s="311"/>
      <c r="K262" s="311"/>
      <c r="L262" s="311"/>
      <c r="M262" s="311"/>
      <c r="N262" s="311"/>
      <c r="O262" s="311"/>
      <c r="P262" s="1033"/>
      <c r="Q262" s="3652"/>
      <c r="R262" s="1031"/>
      <c r="X262" s="311"/>
      <c r="Y262" s="311"/>
      <c r="Z262" s="311"/>
      <c r="AA262" s="311"/>
      <c r="AB262" s="311"/>
      <c r="AC262" s="311"/>
      <c r="AD262" s="311"/>
      <c r="AE262" s="311"/>
      <c r="AF262" s="311"/>
      <c r="AG262" s="311"/>
      <c r="AH262" s="311"/>
      <c r="AI262" s="311"/>
      <c r="AJ262" s="311"/>
      <c r="AK262" s="311"/>
      <c r="AL262" s="311"/>
      <c r="AM262" s="311"/>
      <c r="AN262" s="311"/>
      <c r="AO262" s="311"/>
      <c r="AP262" s="311"/>
      <c r="AQ262" s="311"/>
      <c r="AR262" s="311"/>
    </row>
    <row r="263" spans="1:44" s="475" customFormat="1" ht="12" customHeight="1">
      <c r="A263" s="311"/>
      <c r="B263" s="311"/>
      <c r="C263" s="311"/>
      <c r="D263" s="311"/>
      <c r="E263" s="311"/>
      <c r="F263" s="311"/>
      <c r="G263" s="311"/>
      <c r="H263" s="311"/>
      <c r="I263" s="311"/>
      <c r="J263" s="311"/>
      <c r="K263" s="311"/>
      <c r="L263" s="311"/>
      <c r="M263" s="311"/>
      <c r="N263" s="311"/>
      <c r="O263" s="311"/>
      <c r="P263" s="3654"/>
      <c r="Q263" s="3652"/>
      <c r="R263" s="1031"/>
      <c r="X263" s="311"/>
      <c r="Y263" s="311"/>
      <c r="Z263" s="311"/>
      <c r="AA263" s="311"/>
      <c r="AB263" s="311"/>
      <c r="AC263" s="311"/>
      <c r="AD263" s="311"/>
      <c r="AE263" s="311"/>
      <c r="AF263" s="311"/>
      <c r="AG263" s="311"/>
      <c r="AH263" s="311"/>
      <c r="AI263" s="311"/>
      <c r="AJ263" s="311"/>
      <c r="AK263" s="311"/>
      <c r="AL263" s="311"/>
      <c r="AM263" s="311"/>
      <c r="AN263" s="311"/>
      <c r="AO263" s="311"/>
      <c r="AP263" s="311"/>
      <c r="AQ263" s="311"/>
      <c r="AR263" s="311"/>
    </row>
    <row r="264" spans="1:44" s="475" customFormat="1" ht="12" customHeight="1">
      <c r="A264" s="311"/>
      <c r="B264" s="311"/>
      <c r="C264" s="311"/>
      <c r="D264" s="311"/>
      <c r="E264" s="311"/>
      <c r="F264" s="311"/>
      <c r="G264" s="311"/>
      <c r="H264" s="311"/>
      <c r="I264" s="311"/>
      <c r="J264" s="311"/>
      <c r="K264" s="311"/>
      <c r="L264" s="311"/>
      <c r="M264" s="311"/>
      <c r="N264" s="311"/>
      <c r="O264" s="311"/>
      <c r="P264" s="1033"/>
      <c r="Q264" s="3652"/>
      <c r="R264" s="1031"/>
      <c r="X264" s="311"/>
      <c r="Y264" s="311"/>
      <c r="Z264" s="311"/>
      <c r="AA264" s="311"/>
      <c r="AB264" s="311"/>
      <c r="AC264" s="311"/>
      <c r="AD264" s="311"/>
      <c r="AE264" s="311"/>
      <c r="AF264" s="311"/>
      <c r="AG264" s="311"/>
      <c r="AH264" s="311"/>
      <c r="AI264" s="311"/>
      <c r="AJ264" s="311"/>
      <c r="AK264" s="311"/>
      <c r="AL264" s="311"/>
      <c r="AM264" s="311"/>
      <c r="AN264" s="311"/>
      <c r="AO264" s="311"/>
      <c r="AP264" s="311"/>
      <c r="AQ264" s="311"/>
      <c r="AR264" s="311"/>
    </row>
    <row r="265" spans="1:44" s="475" customFormat="1" ht="12" customHeight="1">
      <c r="A265" s="311"/>
      <c r="B265" s="311"/>
      <c r="C265" s="311"/>
      <c r="D265" s="311"/>
      <c r="E265" s="311"/>
      <c r="F265" s="311"/>
      <c r="G265" s="311"/>
      <c r="H265" s="311"/>
      <c r="I265" s="311"/>
      <c r="J265" s="311"/>
      <c r="K265" s="311"/>
      <c r="L265" s="311"/>
      <c r="M265" s="311"/>
      <c r="N265" s="311"/>
      <c r="O265" s="311"/>
      <c r="P265" s="1033"/>
      <c r="Q265" s="3652"/>
      <c r="R265" s="1031"/>
      <c r="X265" s="311"/>
      <c r="Y265" s="311"/>
      <c r="Z265" s="311"/>
      <c r="AA265" s="311"/>
      <c r="AB265" s="311"/>
      <c r="AC265" s="311"/>
      <c r="AD265" s="311"/>
      <c r="AE265" s="311"/>
      <c r="AF265" s="311"/>
      <c r="AG265" s="311"/>
      <c r="AH265" s="311"/>
      <c r="AI265" s="311"/>
      <c r="AJ265" s="311"/>
      <c r="AK265" s="311"/>
      <c r="AL265" s="311"/>
      <c r="AM265" s="311"/>
      <c r="AN265" s="311"/>
      <c r="AO265" s="311"/>
      <c r="AP265" s="311"/>
      <c r="AQ265" s="311"/>
      <c r="AR265" s="311"/>
    </row>
    <row r="266" spans="1:44" s="475" customFormat="1" ht="12" customHeight="1">
      <c r="A266" s="311"/>
      <c r="B266" s="311"/>
      <c r="C266" s="311"/>
      <c r="D266" s="311"/>
      <c r="E266" s="311"/>
      <c r="F266" s="311"/>
      <c r="G266" s="311"/>
      <c r="H266" s="311"/>
      <c r="I266" s="311"/>
      <c r="J266" s="311"/>
      <c r="K266" s="311"/>
      <c r="L266" s="311"/>
      <c r="M266" s="311"/>
      <c r="N266" s="311"/>
      <c r="O266" s="311"/>
      <c r="P266" s="1033"/>
      <c r="Q266" s="3652"/>
      <c r="R266" s="1031"/>
      <c r="X266" s="311"/>
      <c r="Y266" s="311"/>
      <c r="Z266" s="311"/>
      <c r="AA266" s="311"/>
      <c r="AB266" s="311"/>
      <c r="AC266" s="311"/>
      <c r="AD266" s="311"/>
      <c r="AE266" s="311"/>
      <c r="AF266" s="311"/>
      <c r="AG266" s="311"/>
      <c r="AH266" s="311"/>
      <c r="AI266" s="311"/>
      <c r="AJ266" s="311"/>
      <c r="AK266" s="311"/>
      <c r="AL266" s="311"/>
      <c r="AM266" s="311"/>
      <c r="AN266" s="311"/>
      <c r="AO266" s="311"/>
      <c r="AP266" s="311"/>
      <c r="AQ266" s="311"/>
      <c r="AR266" s="311"/>
    </row>
    <row r="267" spans="1:44" s="475" customFormat="1" ht="12" customHeight="1">
      <c r="A267" s="311"/>
      <c r="B267" s="311"/>
      <c r="C267" s="311"/>
      <c r="D267" s="311"/>
      <c r="E267" s="311"/>
      <c r="F267" s="311"/>
      <c r="G267" s="311"/>
      <c r="H267" s="311"/>
      <c r="I267" s="311"/>
      <c r="J267" s="311"/>
      <c r="K267" s="311"/>
      <c r="L267" s="311"/>
      <c r="M267" s="311"/>
      <c r="N267" s="311"/>
      <c r="O267" s="311"/>
      <c r="P267" s="1033"/>
      <c r="Q267" s="3652"/>
      <c r="R267" s="1031"/>
      <c r="X267" s="311"/>
      <c r="Y267" s="311"/>
      <c r="Z267" s="311"/>
      <c r="AA267" s="311"/>
      <c r="AB267" s="311"/>
      <c r="AC267" s="311"/>
      <c r="AD267" s="311"/>
      <c r="AE267" s="311"/>
      <c r="AF267" s="311"/>
      <c r="AG267" s="311"/>
      <c r="AH267" s="311"/>
      <c r="AI267" s="311"/>
      <c r="AJ267" s="311"/>
      <c r="AK267" s="311"/>
      <c r="AL267" s="311"/>
      <c r="AM267" s="311"/>
      <c r="AN267" s="311"/>
      <c r="AO267" s="311"/>
      <c r="AP267" s="311"/>
      <c r="AQ267" s="311"/>
      <c r="AR267" s="311"/>
    </row>
    <row r="268" spans="1:44" s="475" customFormat="1" ht="12" customHeight="1">
      <c r="A268" s="311"/>
      <c r="B268" s="311"/>
      <c r="C268" s="311"/>
      <c r="D268" s="311"/>
      <c r="E268" s="311"/>
      <c r="F268" s="311"/>
      <c r="G268" s="311"/>
      <c r="H268" s="311"/>
      <c r="I268" s="311"/>
      <c r="J268" s="311"/>
      <c r="K268" s="311"/>
      <c r="L268" s="311"/>
      <c r="M268" s="311"/>
      <c r="N268" s="311"/>
      <c r="O268" s="311"/>
      <c r="P268" s="1033"/>
      <c r="Q268" s="3652"/>
      <c r="R268" s="1031"/>
      <c r="X268" s="311"/>
      <c r="Y268" s="311"/>
      <c r="Z268" s="311"/>
      <c r="AA268" s="311"/>
      <c r="AB268" s="311"/>
      <c r="AC268" s="311"/>
      <c r="AD268" s="311"/>
      <c r="AE268" s="311"/>
      <c r="AF268" s="311"/>
      <c r="AG268" s="311"/>
      <c r="AH268" s="311"/>
      <c r="AI268" s="311"/>
      <c r="AJ268" s="311"/>
      <c r="AK268" s="311"/>
      <c r="AL268" s="311"/>
      <c r="AM268" s="311"/>
      <c r="AN268" s="311"/>
      <c r="AO268" s="311"/>
      <c r="AP268" s="311"/>
      <c r="AQ268" s="311"/>
      <c r="AR268" s="311"/>
    </row>
    <row r="269" spans="1:44" s="475" customFormat="1" ht="12" customHeight="1">
      <c r="A269" s="311"/>
      <c r="B269" s="311"/>
      <c r="C269" s="311"/>
      <c r="D269" s="311"/>
      <c r="E269" s="311"/>
      <c r="F269" s="311"/>
      <c r="G269" s="311"/>
      <c r="H269" s="311"/>
      <c r="I269" s="311"/>
      <c r="J269" s="311"/>
      <c r="K269" s="311"/>
      <c r="L269" s="311"/>
      <c r="M269" s="311"/>
      <c r="N269" s="311"/>
      <c r="O269" s="311"/>
      <c r="P269" s="1033"/>
      <c r="Q269" s="3652"/>
      <c r="R269" s="1031"/>
      <c r="X269" s="311"/>
      <c r="Y269" s="311"/>
      <c r="Z269" s="311"/>
      <c r="AA269" s="311"/>
      <c r="AB269" s="311"/>
      <c r="AC269" s="311"/>
      <c r="AD269" s="311"/>
      <c r="AE269" s="311"/>
      <c r="AF269" s="311"/>
      <c r="AG269" s="311"/>
      <c r="AH269" s="311"/>
      <c r="AI269" s="311"/>
      <c r="AJ269" s="311"/>
      <c r="AK269" s="311"/>
      <c r="AL269" s="311"/>
      <c r="AM269" s="311"/>
      <c r="AN269" s="311"/>
      <c r="AO269" s="311"/>
      <c r="AP269" s="311"/>
      <c r="AQ269" s="311"/>
      <c r="AR269" s="311"/>
    </row>
    <row r="270" spans="1:44" s="475" customFormat="1" ht="12" customHeight="1">
      <c r="A270" s="311"/>
      <c r="B270" s="311"/>
      <c r="C270" s="311"/>
      <c r="D270" s="311"/>
      <c r="E270" s="311"/>
      <c r="F270" s="311"/>
      <c r="G270" s="311"/>
      <c r="H270" s="311"/>
      <c r="I270" s="311"/>
      <c r="J270" s="311"/>
      <c r="K270" s="311"/>
      <c r="L270" s="311"/>
      <c r="M270" s="311"/>
      <c r="N270" s="311"/>
      <c r="O270" s="311"/>
      <c r="P270" s="1033"/>
      <c r="Q270" s="3652"/>
      <c r="R270" s="1031"/>
      <c r="X270" s="311"/>
      <c r="Y270" s="311"/>
      <c r="Z270" s="311"/>
      <c r="AA270" s="311"/>
      <c r="AB270" s="311"/>
      <c r="AC270" s="311"/>
      <c r="AD270" s="311"/>
      <c r="AE270" s="311"/>
      <c r="AF270" s="311"/>
      <c r="AG270" s="311"/>
      <c r="AH270" s="311"/>
      <c r="AI270" s="311"/>
      <c r="AJ270" s="311"/>
      <c r="AK270" s="311"/>
      <c r="AL270" s="311"/>
      <c r="AM270" s="311"/>
      <c r="AN270" s="311"/>
      <c r="AO270" s="311"/>
      <c r="AP270" s="311"/>
      <c r="AQ270" s="311"/>
      <c r="AR270" s="311"/>
    </row>
    <row r="271" spans="1:44" s="475" customFormat="1" ht="12" customHeight="1">
      <c r="A271" s="311"/>
      <c r="B271" s="311"/>
      <c r="C271" s="311"/>
      <c r="D271" s="311"/>
      <c r="E271" s="311"/>
      <c r="F271" s="311"/>
      <c r="G271" s="311"/>
      <c r="H271" s="311"/>
      <c r="I271" s="311"/>
      <c r="J271" s="311"/>
      <c r="K271" s="311"/>
      <c r="L271" s="311"/>
      <c r="M271" s="311"/>
      <c r="N271" s="311"/>
      <c r="O271" s="311"/>
      <c r="P271" s="1033"/>
      <c r="Q271" s="3652"/>
      <c r="R271" s="1031"/>
      <c r="X271" s="311"/>
      <c r="Y271" s="311"/>
      <c r="Z271" s="311"/>
      <c r="AA271" s="311"/>
      <c r="AB271" s="311"/>
      <c r="AC271" s="311"/>
      <c r="AD271" s="311"/>
      <c r="AE271" s="311"/>
      <c r="AF271" s="311"/>
      <c r="AG271" s="311"/>
      <c r="AH271" s="311"/>
      <c r="AI271" s="311"/>
      <c r="AJ271" s="311"/>
      <c r="AK271" s="311"/>
      <c r="AL271" s="311"/>
      <c r="AM271" s="311"/>
      <c r="AN271" s="311"/>
      <c r="AO271" s="311"/>
      <c r="AP271" s="311"/>
      <c r="AQ271" s="311"/>
      <c r="AR271" s="311"/>
    </row>
    <row r="272" spans="1:44" s="475" customFormat="1" ht="12" customHeight="1">
      <c r="A272" s="311"/>
      <c r="B272" s="311"/>
      <c r="C272" s="311"/>
      <c r="D272" s="311"/>
      <c r="E272" s="311"/>
      <c r="F272" s="311"/>
      <c r="G272" s="311"/>
      <c r="H272" s="311"/>
      <c r="I272" s="311"/>
      <c r="J272" s="311"/>
      <c r="K272" s="311"/>
      <c r="L272" s="311"/>
      <c r="M272" s="311"/>
      <c r="N272" s="311"/>
      <c r="O272" s="311"/>
      <c r="P272" s="1033"/>
      <c r="Q272" s="3652"/>
      <c r="R272" s="1031"/>
      <c r="X272" s="311"/>
      <c r="Y272" s="311"/>
      <c r="Z272" s="311"/>
      <c r="AA272" s="311"/>
      <c r="AB272" s="311"/>
      <c r="AC272" s="311"/>
      <c r="AD272" s="311"/>
      <c r="AE272" s="311"/>
      <c r="AF272" s="311"/>
      <c r="AG272" s="311"/>
      <c r="AH272" s="311"/>
      <c r="AI272" s="311"/>
      <c r="AJ272" s="311"/>
      <c r="AK272" s="311"/>
      <c r="AL272" s="311"/>
      <c r="AM272" s="311"/>
      <c r="AN272" s="311"/>
      <c r="AO272" s="311"/>
      <c r="AP272" s="311"/>
      <c r="AQ272" s="311"/>
      <c r="AR272" s="311"/>
    </row>
    <row r="273" spans="1:44" s="475" customFormat="1" ht="12" customHeight="1">
      <c r="A273" s="311"/>
      <c r="B273" s="311"/>
      <c r="C273" s="311"/>
      <c r="D273" s="311"/>
      <c r="E273" s="311"/>
      <c r="F273" s="311"/>
      <c r="G273" s="311"/>
      <c r="H273" s="311"/>
      <c r="I273" s="311"/>
      <c r="J273" s="311"/>
      <c r="K273" s="311"/>
      <c r="L273" s="311"/>
      <c r="M273" s="311"/>
      <c r="N273" s="311"/>
      <c r="O273" s="311"/>
      <c r="P273" s="1033"/>
      <c r="Q273" s="3652"/>
      <c r="R273" s="1031"/>
      <c r="X273" s="311"/>
      <c r="Y273" s="311"/>
      <c r="Z273" s="311"/>
      <c r="AA273" s="311"/>
      <c r="AB273" s="311"/>
      <c r="AC273" s="311"/>
      <c r="AD273" s="311"/>
      <c r="AE273" s="311"/>
      <c r="AF273" s="311"/>
      <c r="AG273" s="311"/>
      <c r="AH273" s="311"/>
      <c r="AI273" s="311"/>
      <c r="AJ273" s="311"/>
      <c r="AK273" s="311"/>
      <c r="AL273" s="311"/>
      <c r="AM273" s="311"/>
      <c r="AN273" s="311"/>
      <c r="AO273" s="311"/>
      <c r="AP273" s="311"/>
      <c r="AQ273" s="311"/>
      <c r="AR273" s="311"/>
    </row>
    <row r="274" spans="1:44" s="475" customFormat="1" ht="12" customHeight="1">
      <c r="A274" s="311"/>
      <c r="B274" s="311"/>
      <c r="C274" s="311"/>
      <c r="D274" s="311"/>
      <c r="E274" s="311"/>
      <c r="F274" s="311"/>
      <c r="G274" s="311"/>
      <c r="H274" s="311"/>
      <c r="I274" s="311"/>
      <c r="J274" s="311"/>
      <c r="K274" s="311"/>
      <c r="L274" s="311"/>
      <c r="M274" s="311"/>
      <c r="N274" s="311"/>
      <c r="O274" s="311"/>
      <c r="P274" s="1033"/>
      <c r="Q274" s="3652"/>
      <c r="R274" s="1031"/>
      <c r="X274" s="311"/>
      <c r="Y274" s="311"/>
      <c r="Z274" s="311"/>
      <c r="AA274" s="311"/>
      <c r="AB274" s="311"/>
      <c r="AC274" s="311"/>
      <c r="AD274" s="311"/>
      <c r="AE274" s="311"/>
      <c r="AF274" s="311"/>
      <c r="AG274" s="311"/>
      <c r="AH274" s="311"/>
      <c r="AI274" s="311"/>
      <c r="AJ274" s="311"/>
      <c r="AK274" s="311"/>
      <c r="AL274" s="311"/>
      <c r="AM274" s="311"/>
      <c r="AN274" s="311"/>
      <c r="AO274" s="311"/>
      <c r="AP274" s="311"/>
      <c r="AQ274" s="311"/>
      <c r="AR274" s="311"/>
    </row>
    <row r="275" spans="1:44" s="475" customFormat="1" ht="12" customHeight="1">
      <c r="A275" s="311"/>
      <c r="B275" s="311"/>
      <c r="C275" s="311"/>
      <c r="D275" s="311"/>
      <c r="E275" s="311"/>
      <c r="F275" s="311"/>
      <c r="G275" s="311"/>
      <c r="H275" s="311"/>
      <c r="I275" s="311"/>
      <c r="J275" s="311"/>
      <c r="K275" s="311"/>
      <c r="L275" s="311"/>
      <c r="M275" s="311"/>
      <c r="N275" s="311"/>
      <c r="O275" s="311"/>
      <c r="P275" s="1033"/>
      <c r="Q275" s="3652"/>
      <c r="R275" s="1031"/>
      <c r="X275" s="311"/>
      <c r="Y275" s="311"/>
      <c r="Z275" s="311"/>
      <c r="AA275" s="311"/>
      <c r="AB275" s="311"/>
      <c r="AC275" s="311"/>
      <c r="AD275" s="311"/>
      <c r="AE275" s="311"/>
      <c r="AF275" s="311"/>
      <c r="AG275" s="311"/>
      <c r="AH275" s="311"/>
      <c r="AI275" s="311"/>
      <c r="AJ275" s="311"/>
      <c r="AK275" s="311"/>
      <c r="AL275" s="311"/>
      <c r="AM275" s="311"/>
      <c r="AN275" s="311"/>
      <c r="AO275" s="311"/>
      <c r="AP275" s="311"/>
      <c r="AQ275" s="311"/>
      <c r="AR275" s="311"/>
    </row>
    <row r="276" spans="1:44" s="475" customFormat="1" ht="12" customHeight="1">
      <c r="A276" s="311"/>
      <c r="B276" s="311"/>
      <c r="C276" s="311"/>
      <c r="D276" s="311"/>
      <c r="E276" s="311"/>
      <c r="F276" s="311"/>
      <c r="G276" s="311"/>
      <c r="H276" s="311"/>
      <c r="I276" s="311"/>
      <c r="J276" s="311"/>
      <c r="K276" s="311"/>
      <c r="L276" s="311"/>
      <c r="M276" s="311"/>
      <c r="N276" s="311"/>
      <c r="O276" s="311"/>
      <c r="P276" s="1033"/>
      <c r="Q276" s="3652"/>
      <c r="R276" s="1031"/>
      <c r="X276" s="311"/>
      <c r="Y276" s="311"/>
      <c r="Z276" s="311"/>
      <c r="AA276" s="311"/>
      <c r="AB276" s="311"/>
      <c r="AC276" s="311"/>
      <c r="AD276" s="311"/>
      <c r="AE276" s="311"/>
      <c r="AF276" s="311"/>
      <c r="AG276" s="311"/>
      <c r="AH276" s="311"/>
      <c r="AI276" s="311"/>
      <c r="AJ276" s="311"/>
      <c r="AK276" s="311"/>
      <c r="AL276" s="311"/>
      <c r="AM276" s="311"/>
      <c r="AN276" s="311"/>
      <c r="AO276" s="311"/>
      <c r="AP276" s="311"/>
      <c r="AQ276" s="311"/>
      <c r="AR276" s="311"/>
    </row>
    <row r="277" spans="1:44" s="475" customFormat="1" ht="12" customHeight="1">
      <c r="A277" s="311"/>
      <c r="B277" s="311"/>
      <c r="C277" s="311"/>
      <c r="D277" s="311"/>
      <c r="E277" s="311"/>
      <c r="F277" s="311"/>
      <c r="G277" s="311"/>
      <c r="H277" s="311"/>
      <c r="I277" s="311"/>
      <c r="J277" s="311"/>
      <c r="K277" s="311"/>
      <c r="L277" s="311"/>
      <c r="M277" s="311"/>
      <c r="N277" s="311"/>
      <c r="O277" s="311"/>
      <c r="P277" s="1033"/>
      <c r="Q277" s="3652"/>
      <c r="R277" s="1031"/>
      <c r="X277" s="311"/>
      <c r="Y277" s="311"/>
      <c r="Z277" s="311"/>
      <c r="AA277" s="311"/>
      <c r="AB277" s="311"/>
      <c r="AC277" s="311"/>
      <c r="AD277" s="311"/>
      <c r="AE277" s="311"/>
      <c r="AF277" s="311"/>
      <c r="AG277" s="311"/>
      <c r="AH277" s="311"/>
      <c r="AI277" s="311"/>
      <c r="AJ277" s="311"/>
      <c r="AK277" s="311"/>
      <c r="AL277" s="311"/>
      <c r="AM277" s="311"/>
      <c r="AN277" s="311"/>
      <c r="AO277" s="311"/>
      <c r="AP277" s="311"/>
      <c r="AQ277" s="311"/>
      <c r="AR277" s="311"/>
    </row>
    <row r="278" spans="1:44" s="475" customFormat="1" ht="12" customHeight="1">
      <c r="A278" s="311"/>
      <c r="B278" s="311"/>
      <c r="C278" s="311"/>
      <c r="D278" s="311"/>
      <c r="E278" s="311"/>
      <c r="F278" s="311"/>
      <c r="G278" s="311"/>
      <c r="H278" s="311"/>
      <c r="I278" s="311"/>
      <c r="J278" s="311"/>
      <c r="K278" s="311"/>
      <c r="L278" s="311"/>
      <c r="M278" s="311"/>
      <c r="N278" s="311"/>
      <c r="O278" s="311"/>
      <c r="P278" s="1034"/>
      <c r="Q278" s="3652"/>
      <c r="R278" s="1031"/>
      <c r="X278" s="311"/>
      <c r="Y278" s="311"/>
      <c r="Z278" s="311"/>
      <c r="AA278" s="311"/>
      <c r="AB278" s="311"/>
      <c r="AC278" s="311"/>
      <c r="AD278" s="311"/>
      <c r="AE278" s="311"/>
      <c r="AF278" s="311"/>
      <c r="AG278" s="311"/>
      <c r="AH278" s="311"/>
      <c r="AI278" s="311"/>
      <c r="AJ278" s="311"/>
      <c r="AK278" s="311"/>
      <c r="AL278" s="311"/>
      <c r="AM278" s="311"/>
      <c r="AN278" s="311"/>
      <c r="AO278" s="311"/>
      <c r="AP278" s="311"/>
      <c r="AQ278" s="311"/>
      <c r="AR278" s="311"/>
    </row>
    <row r="279" spans="1:44" s="475" customFormat="1" ht="12" customHeight="1">
      <c r="A279" s="311"/>
      <c r="B279" s="311"/>
      <c r="C279" s="311"/>
      <c r="D279" s="311"/>
      <c r="E279" s="311"/>
      <c r="F279" s="311"/>
      <c r="G279" s="311"/>
      <c r="H279" s="311"/>
      <c r="I279" s="311"/>
      <c r="J279" s="311"/>
      <c r="K279" s="311"/>
      <c r="L279" s="311"/>
      <c r="M279" s="311"/>
      <c r="N279" s="311"/>
      <c r="O279" s="311"/>
      <c r="P279" s="1033"/>
      <c r="Q279" s="3652"/>
      <c r="R279" s="1031"/>
      <c r="X279" s="311"/>
      <c r="Y279" s="311"/>
      <c r="Z279" s="311"/>
      <c r="AA279" s="311"/>
      <c r="AB279" s="311"/>
      <c r="AC279" s="311"/>
      <c r="AD279" s="311"/>
      <c r="AE279" s="311"/>
      <c r="AF279" s="311"/>
      <c r="AG279" s="311"/>
      <c r="AH279" s="311"/>
      <c r="AI279" s="311"/>
      <c r="AJ279" s="311"/>
      <c r="AK279" s="311"/>
      <c r="AL279" s="311"/>
      <c r="AM279" s="311"/>
      <c r="AN279" s="311"/>
      <c r="AO279" s="311"/>
      <c r="AP279" s="311"/>
      <c r="AQ279" s="311"/>
      <c r="AR279" s="311"/>
    </row>
    <row r="280" spans="1:44" s="475" customFormat="1" ht="12" customHeight="1">
      <c r="A280" s="311"/>
      <c r="B280" s="311"/>
      <c r="C280" s="311"/>
      <c r="D280" s="311"/>
      <c r="E280" s="311"/>
      <c r="F280" s="311"/>
      <c r="G280" s="311"/>
      <c r="H280" s="311"/>
      <c r="I280" s="311"/>
      <c r="J280" s="311"/>
      <c r="K280" s="311"/>
      <c r="L280" s="311"/>
      <c r="M280" s="311"/>
      <c r="N280" s="311"/>
      <c r="O280" s="311"/>
      <c r="P280" s="1033"/>
      <c r="Q280" s="3652"/>
      <c r="R280" s="1031"/>
      <c r="X280" s="311"/>
      <c r="Y280" s="311"/>
      <c r="Z280" s="311"/>
      <c r="AA280" s="311"/>
      <c r="AB280" s="311"/>
      <c r="AC280" s="311"/>
      <c r="AD280" s="311"/>
      <c r="AE280" s="311"/>
      <c r="AF280" s="311"/>
      <c r="AG280" s="311"/>
      <c r="AH280" s="311"/>
      <c r="AI280" s="311"/>
      <c r="AJ280" s="311"/>
      <c r="AK280" s="311"/>
      <c r="AL280" s="311"/>
      <c r="AM280" s="311"/>
      <c r="AN280" s="311"/>
      <c r="AO280" s="311"/>
      <c r="AP280" s="311"/>
      <c r="AQ280" s="311"/>
      <c r="AR280" s="311"/>
    </row>
    <row r="281" spans="1:44" s="475" customFormat="1" ht="12" customHeight="1">
      <c r="A281" s="311"/>
      <c r="B281" s="311"/>
      <c r="C281" s="311"/>
      <c r="D281" s="311"/>
      <c r="E281" s="311"/>
      <c r="F281" s="311"/>
      <c r="G281" s="311"/>
      <c r="H281" s="311"/>
      <c r="I281" s="311"/>
      <c r="J281" s="311"/>
      <c r="K281" s="311"/>
      <c r="L281" s="311"/>
      <c r="M281" s="311"/>
      <c r="N281" s="311"/>
      <c r="O281" s="311"/>
      <c r="P281" s="1033"/>
      <c r="Q281" s="3652"/>
      <c r="R281" s="1031"/>
      <c r="X281" s="311"/>
      <c r="Y281" s="311"/>
      <c r="Z281" s="311"/>
      <c r="AA281" s="311"/>
      <c r="AB281" s="311"/>
      <c r="AC281" s="311"/>
      <c r="AD281" s="311"/>
      <c r="AE281" s="311"/>
      <c r="AF281" s="311"/>
      <c r="AG281" s="311"/>
      <c r="AH281" s="311"/>
      <c r="AI281" s="311"/>
      <c r="AJ281" s="311"/>
      <c r="AK281" s="311"/>
      <c r="AL281" s="311"/>
      <c r="AM281" s="311"/>
      <c r="AN281" s="311"/>
      <c r="AO281" s="311"/>
      <c r="AP281" s="311"/>
      <c r="AQ281" s="311"/>
      <c r="AR281" s="311"/>
    </row>
    <row r="282" spans="1:44" s="475" customFormat="1" ht="12" customHeight="1">
      <c r="A282" s="311"/>
      <c r="B282" s="311"/>
      <c r="C282" s="311"/>
      <c r="D282" s="311"/>
      <c r="E282" s="311"/>
      <c r="F282" s="311"/>
      <c r="G282" s="311"/>
      <c r="H282" s="311"/>
      <c r="I282" s="311"/>
      <c r="J282" s="311"/>
      <c r="K282" s="311"/>
      <c r="L282" s="311"/>
      <c r="M282" s="311"/>
      <c r="N282" s="311"/>
      <c r="O282" s="311"/>
      <c r="P282" s="1033"/>
      <c r="Q282" s="3652"/>
      <c r="R282" s="1031"/>
      <c r="X282" s="311"/>
      <c r="Y282" s="311"/>
      <c r="Z282" s="311"/>
      <c r="AA282" s="311"/>
      <c r="AB282" s="311"/>
      <c r="AC282" s="311"/>
      <c r="AD282" s="311"/>
      <c r="AE282" s="311"/>
      <c r="AF282" s="311"/>
      <c r="AG282" s="311"/>
      <c r="AH282" s="311"/>
      <c r="AI282" s="311"/>
      <c r="AJ282" s="311"/>
      <c r="AK282" s="311"/>
      <c r="AL282" s="311"/>
      <c r="AM282" s="311"/>
      <c r="AN282" s="311"/>
      <c r="AO282" s="311"/>
      <c r="AP282" s="311"/>
      <c r="AQ282" s="311"/>
      <c r="AR282" s="311"/>
    </row>
    <row r="283" spans="1:44" s="475" customFormat="1" ht="12" customHeight="1">
      <c r="A283" s="311"/>
      <c r="B283" s="311"/>
      <c r="C283" s="311"/>
      <c r="D283" s="311"/>
      <c r="E283" s="311"/>
      <c r="F283" s="311"/>
      <c r="G283" s="311"/>
      <c r="H283" s="311"/>
      <c r="I283" s="311"/>
      <c r="J283" s="311"/>
      <c r="K283" s="311"/>
      <c r="L283" s="311"/>
      <c r="M283" s="311"/>
      <c r="N283" s="311"/>
      <c r="O283" s="311"/>
      <c r="P283" s="1033"/>
      <c r="Q283" s="3652"/>
      <c r="R283" s="1031"/>
      <c r="X283" s="311"/>
      <c r="Y283" s="311"/>
      <c r="Z283" s="311"/>
      <c r="AA283" s="311"/>
      <c r="AB283" s="311"/>
      <c r="AC283" s="311"/>
      <c r="AD283" s="311"/>
      <c r="AE283" s="311"/>
      <c r="AF283" s="311"/>
      <c r="AG283" s="311"/>
      <c r="AH283" s="311"/>
      <c r="AI283" s="311"/>
      <c r="AJ283" s="311"/>
      <c r="AK283" s="311"/>
      <c r="AL283" s="311"/>
      <c r="AM283" s="311"/>
      <c r="AN283" s="311"/>
      <c r="AO283" s="311"/>
      <c r="AP283" s="311"/>
      <c r="AQ283" s="311"/>
      <c r="AR283" s="311"/>
    </row>
    <row r="284" spans="1:44" s="475" customFormat="1" ht="12" customHeight="1">
      <c r="A284" s="311"/>
      <c r="B284" s="311"/>
      <c r="C284" s="311"/>
      <c r="D284" s="311"/>
      <c r="E284" s="311"/>
      <c r="F284" s="311"/>
      <c r="G284" s="311"/>
      <c r="H284" s="311"/>
      <c r="I284" s="311"/>
      <c r="J284" s="311"/>
      <c r="K284" s="311"/>
      <c r="L284" s="311"/>
      <c r="M284" s="311"/>
      <c r="N284" s="311"/>
      <c r="O284" s="311"/>
      <c r="P284" s="1033"/>
      <c r="Q284" s="3652"/>
      <c r="R284" s="1031"/>
      <c r="X284" s="311"/>
      <c r="Y284" s="311"/>
      <c r="Z284" s="311"/>
      <c r="AA284" s="311"/>
      <c r="AB284" s="311"/>
      <c r="AC284" s="311"/>
      <c r="AD284" s="311"/>
      <c r="AE284" s="311"/>
      <c r="AF284" s="311"/>
      <c r="AG284" s="311"/>
      <c r="AH284" s="311"/>
      <c r="AI284" s="311"/>
      <c r="AJ284" s="311"/>
      <c r="AK284" s="311"/>
      <c r="AL284" s="311"/>
      <c r="AM284" s="311"/>
      <c r="AN284" s="311"/>
      <c r="AO284" s="311"/>
      <c r="AP284" s="311"/>
      <c r="AQ284" s="311"/>
      <c r="AR284" s="311"/>
    </row>
    <row r="285" spans="1:44" s="475" customFormat="1" ht="12" customHeight="1">
      <c r="A285" s="311"/>
      <c r="B285" s="311"/>
      <c r="C285" s="311"/>
      <c r="D285" s="311"/>
      <c r="E285" s="311"/>
      <c r="F285" s="311"/>
      <c r="G285" s="311"/>
      <c r="H285" s="311"/>
      <c r="I285" s="311"/>
      <c r="J285" s="311"/>
      <c r="K285" s="311"/>
      <c r="L285" s="311"/>
      <c r="M285" s="311"/>
      <c r="N285" s="311"/>
      <c r="O285" s="311"/>
      <c r="P285" s="1033"/>
      <c r="Q285" s="3652"/>
      <c r="R285" s="1031"/>
      <c r="X285" s="311"/>
      <c r="Y285" s="311"/>
      <c r="Z285" s="311"/>
      <c r="AA285" s="311"/>
      <c r="AB285" s="311"/>
      <c r="AC285" s="311"/>
      <c r="AD285" s="311"/>
      <c r="AE285" s="311"/>
      <c r="AF285" s="311"/>
      <c r="AG285" s="311"/>
      <c r="AH285" s="311"/>
      <c r="AI285" s="311"/>
      <c r="AJ285" s="311"/>
      <c r="AK285" s="311"/>
      <c r="AL285" s="311"/>
      <c r="AM285" s="311"/>
      <c r="AN285" s="311"/>
      <c r="AO285" s="311"/>
      <c r="AP285" s="311"/>
      <c r="AQ285" s="311"/>
      <c r="AR285" s="311"/>
    </row>
    <row r="286" spans="1:44" s="475" customFormat="1" ht="12" customHeight="1">
      <c r="A286" s="311"/>
      <c r="B286" s="311"/>
      <c r="C286" s="311"/>
      <c r="D286" s="311"/>
      <c r="E286" s="311"/>
      <c r="F286" s="311"/>
      <c r="G286" s="311"/>
      <c r="H286" s="311"/>
      <c r="I286" s="311"/>
      <c r="J286" s="311"/>
      <c r="K286" s="311"/>
      <c r="L286" s="311"/>
      <c r="M286" s="311"/>
      <c r="N286" s="311"/>
      <c r="O286" s="311"/>
      <c r="P286" s="1033"/>
      <c r="Q286" s="3652"/>
      <c r="R286" s="1031"/>
      <c r="X286" s="311"/>
      <c r="Y286" s="311"/>
      <c r="Z286" s="311"/>
      <c r="AA286" s="311"/>
      <c r="AB286" s="311"/>
      <c r="AC286" s="311"/>
      <c r="AD286" s="311"/>
      <c r="AE286" s="311"/>
      <c r="AF286" s="311"/>
      <c r="AG286" s="311"/>
      <c r="AH286" s="311"/>
      <c r="AI286" s="311"/>
      <c r="AJ286" s="311"/>
      <c r="AK286" s="311"/>
      <c r="AL286" s="311"/>
      <c r="AM286" s="311"/>
      <c r="AN286" s="311"/>
      <c r="AO286" s="311"/>
      <c r="AP286" s="311"/>
      <c r="AQ286" s="311"/>
      <c r="AR286" s="311"/>
    </row>
    <row r="287" spans="1:44" s="475" customFormat="1" ht="12" customHeight="1">
      <c r="A287" s="311"/>
      <c r="B287" s="311"/>
      <c r="C287" s="311"/>
      <c r="D287" s="311"/>
      <c r="E287" s="311"/>
      <c r="F287" s="311"/>
      <c r="G287" s="311"/>
      <c r="H287" s="311"/>
      <c r="I287" s="311"/>
      <c r="J287" s="311"/>
      <c r="K287" s="311"/>
      <c r="L287" s="311"/>
      <c r="M287" s="311"/>
      <c r="N287" s="311"/>
      <c r="O287" s="311"/>
      <c r="P287" s="1033"/>
      <c r="Q287" s="3652"/>
      <c r="R287" s="1031"/>
      <c r="X287" s="311"/>
      <c r="Y287" s="311"/>
      <c r="Z287" s="311"/>
      <c r="AA287" s="311"/>
      <c r="AB287" s="311"/>
      <c r="AC287" s="311"/>
      <c r="AD287" s="311"/>
      <c r="AE287" s="311"/>
      <c r="AF287" s="311"/>
      <c r="AG287" s="311"/>
      <c r="AH287" s="311"/>
      <c r="AI287" s="311"/>
      <c r="AJ287" s="311"/>
      <c r="AK287" s="311"/>
      <c r="AL287" s="311"/>
      <c r="AM287" s="311"/>
      <c r="AN287" s="311"/>
      <c r="AO287" s="311"/>
      <c r="AP287" s="311"/>
      <c r="AQ287" s="311"/>
      <c r="AR287" s="311"/>
    </row>
    <row r="288" spans="1:44" s="475" customFormat="1" ht="12" customHeight="1">
      <c r="A288" s="311"/>
      <c r="B288" s="311"/>
      <c r="C288" s="311"/>
      <c r="D288" s="311"/>
      <c r="E288" s="311"/>
      <c r="F288" s="311"/>
      <c r="G288" s="311"/>
      <c r="H288" s="311"/>
      <c r="I288" s="311"/>
      <c r="J288" s="311"/>
      <c r="K288" s="311"/>
      <c r="L288" s="311"/>
      <c r="M288" s="311"/>
      <c r="N288" s="311"/>
      <c r="O288" s="311"/>
      <c r="P288" s="1033"/>
      <c r="Q288" s="3652"/>
      <c r="R288" s="1031"/>
      <c r="X288" s="311"/>
      <c r="Y288" s="311"/>
      <c r="Z288" s="311"/>
      <c r="AA288" s="311"/>
      <c r="AB288" s="311"/>
      <c r="AC288" s="311"/>
      <c r="AD288" s="311"/>
      <c r="AE288" s="311"/>
      <c r="AF288" s="311"/>
      <c r="AG288" s="311"/>
      <c r="AH288" s="311"/>
      <c r="AI288" s="311"/>
      <c r="AJ288" s="311"/>
      <c r="AK288" s="311"/>
      <c r="AL288" s="311"/>
      <c r="AM288" s="311"/>
      <c r="AN288" s="311"/>
      <c r="AO288" s="311"/>
      <c r="AP288" s="311"/>
      <c r="AQ288" s="311"/>
      <c r="AR288" s="311"/>
    </row>
    <row r="289" spans="1:44" s="475" customFormat="1" ht="12" customHeight="1">
      <c r="A289" s="311"/>
      <c r="B289" s="311"/>
      <c r="C289" s="311"/>
      <c r="D289" s="311"/>
      <c r="E289" s="311"/>
      <c r="F289" s="311"/>
      <c r="G289" s="311"/>
      <c r="H289" s="311"/>
      <c r="I289" s="311"/>
      <c r="J289" s="311"/>
      <c r="K289" s="311"/>
      <c r="L289" s="311"/>
      <c r="M289" s="311"/>
      <c r="N289" s="311"/>
      <c r="O289" s="311"/>
      <c r="P289" s="1033"/>
      <c r="Q289" s="3652"/>
      <c r="R289" s="1031"/>
      <c r="X289" s="311"/>
      <c r="Y289" s="311"/>
      <c r="Z289" s="311"/>
      <c r="AA289" s="311"/>
      <c r="AB289" s="311"/>
      <c r="AC289" s="311"/>
      <c r="AD289" s="311"/>
      <c r="AE289" s="311"/>
      <c r="AF289" s="311"/>
      <c r="AG289" s="311"/>
      <c r="AH289" s="311"/>
      <c r="AI289" s="311"/>
      <c r="AJ289" s="311"/>
      <c r="AK289" s="311"/>
      <c r="AL289" s="311"/>
      <c r="AM289" s="311"/>
      <c r="AN289" s="311"/>
      <c r="AO289" s="311"/>
      <c r="AP289" s="311"/>
      <c r="AQ289" s="311"/>
      <c r="AR289" s="311"/>
    </row>
    <row r="290" spans="1:44" s="475" customFormat="1" ht="12" customHeight="1">
      <c r="A290" s="311"/>
      <c r="B290" s="311"/>
      <c r="C290" s="311"/>
      <c r="D290" s="311"/>
      <c r="E290" s="311"/>
      <c r="F290" s="311"/>
      <c r="G290" s="311"/>
      <c r="H290" s="311"/>
      <c r="I290" s="311"/>
      <c r="J290" s="311"/>
      <c r="K290" s="311"/>
      <c r="L290" s="311"/>
      <c r="M290" s="311"/>
      <c r="N290" s="311"/>
      <c r="O290" s="311"/>
      <c r="P290" s="1033"/>
      <c r="Q290" s="3652"/>
      <c r="R290" s="1031"/>
      <c r="X290" s="311"/>
      <c r="Y290" s="311"/>
      <c r="Z290" s="311"/>
      <c r="AA290" s="311"/>
      <c r="AB290" s="311"/>
      <c r="AC290" s="311"/>
      <c r="AD290" s="311"/>
      <c r="AE290" s="311"/>
      <c r="AF290" s="311"/>
      <c r="AG290" s="311"/>
      <c r="AH290" s="311"/>
      <c r="AI290" s="311"/>
      <c r="AJ290" s="311"/>
      <c r="AK290" s="311"/>
      <c r="AL290" s="311"/>
      <c r="AM290" s="311"/>
      <c r="AN290" s="311"/>
      <c r="AO290" s="311"/>
      <c r="AP290" s="311"/>
      <c r="AQ290" s="311"/>
      <c r="AR290" s="311"/>
    </row>
    <row r="291" spans="1:44" s="475" customFormat="1" ht="12" customHeight="1">
      <c r="A291" s="311"/>
      <c r="B291" s="311"/>
      <c r="C291" s="311"/>
      <c r="D291" s="311"/>
      <c r="E291" s="311"/>
      <c r="F291" s="311"/>
      <c r="G291" s="311"/>
      <c r="H291" s="311"/>
      <c r="I291" s="311"/>
      <c r="J291" s="311"/>
      <c r="K291" s="311"/>
      <c r="L291" s="311"/>
      <c r="M291" s="311"/>
      <c r="N291" s="311"/>
      <c r="O291" s="311"/>
      <c r="P291" s="1033"/>
      <c r="Q291" s="3652"/>
      <c r="R291" s="1031"/>
      <c r="X291" s="311"/>
      <c r="Y291" s="311"/>
      <c r="Z291" s="311"/>
      <c r="AA291" s="311"/>
      <c r="AB291" s="311"/>
      <c r="AC291" s="311"/>
      <c r="AD291" s="311"/>
      <c r="AE291" s="311"/>
      <c r="AF291" s="311"/>
      <c r="AG291" s="311"/>
      <c r="AH291" s="311"/>
      <c r="AI291" s="311"/>
      <c r="AJ291" s="311"/>
      <c r="AK291" s="311"/>
      <c r="AL291" s="311"/>
      <c r="AM291" s="311"/>
      <c r="AN291" s="311"/>
      <c r="AO291" s="311"/>
      <c r="AP291" s="311"/>
      <c r="AQ291" s="311"/>
      <c r="AR291" s="311"/>
    </row>
    <row r="292" spans="1:44" s="475" customFormat="1" ht="12" customHeight="1">
      <c r="A292" s="311"/>
      <c r="B292" s="311"/>
      <c r="C292" s="311"/>
      <c r="D292" s="311"/>
      <c r="E292" s="311"/>
      <c r="F292" s="311"/>
      <c r="G292" s="311"/>
      <c r="H292" s="311"/>
      <c r="I292" s="311"/>
      <c r="J292" s="311"/>
      <c r="K292" s="311"/>
      <c r="L292" s="311"/>
      <c r="M292" s="311"/>
      <c r="N292" s="311"/>
      <c r="O292" s="311"/>
      <c r="P292" s="1033"/>
      <c r="Q292" s="3652"/>
      <c r="R292" s="1031"/>
      <c r="X292" s="311"/>
      <c r="Y292" s="311"/>
      <c r="Z292" s="311"/>
      <c r="AA292" s="311"/>
      <c r="AB292" s="311"/>
      <c r="AC292" s="311"/>
      <c r="AD292" s="311"/>
      <c r="AE292" s="311"/>
      <c r="AF292" s="311"/>
      <c r="AG292" s="311"/>
      <c r="AH292" s="311"/>
      <c r="AI292" s="311"/>
      <c r="AJ292" s="311"/>
      <c r="AK292" s="311"/>
      <c r="AL292" s="311"/>
      <c r="AM292" s="311"/>
      <c r="AN292" s="311"/>
      <c r="AO292" s="311"/>
      <c r="AP292" s="311"/>
      <c r="AQ292" s="311"/>
      <c r="AR292" s="311"/>
    </row>
    <row r="293" spans="1:44" s="475" customFormat="1" ht="12" customHeight="1">
      <c r="A293" s="311"/>
      <c r="B293" s="311"/>
      <c r="C293" s="311"/>
      <c r="D293" s="311"/>
      <c r="E293" s="311"/>
      <c r="F293" s="311"/>
      <c r="G293" s="311"/>
      <c r="H293" s="311"/>
      <c r="I293" s="311"/>
      <c r="J293" s="311"/>
      <c r="K293" s="311"/>
      <c r="L293" s="311"/>
      <c r="M293" s="311"/>
      <c r="N293" s="311"/>
      <c r="O293" s="311"/>
      <c r="P293" s="1033"/>
      <c r="Q293" s="3652"/>
      <c r="R293" s="1031"/>
      <c r="X293" s="311"/>
      <c r="Y293" s="311"/>
      <c r="Z293" s="311"/>
      <c r="AA293" s="311"/>
      <c r="AB293" s="311"/>
      <c r="AC293" s="311"/>
      <c r="AD293" s="311"/>
      <c r="AE293" s="311"/>
      <c r="AF293" s="311"/>
      <c r="AG293" s="311"/>
      <c r="AH293" s="311"/>
      <c r="AI293" s="311"/>
      <c r="AJ293" s="311"/>
      <c r="AK293" s="311"/>
      <c r="AL293" s="311"/>
      <c r="AM293" s="311"/>
      <c r="AN293" s="311"/>
      <c r="AO293" s="311"/>
      <c r="AP293" s="311"/>
      <c r="AQ293" s="311"/>
      <c r="AR293" s="311"/>
    </row>
    <row r="294" spans="1:44" s="475" customFormat="1" ht="12" customHeight="1">
      <c r="A294" s="311"/>
      <c r="B294" s="311"/>
      <c r="C294" s="311"/>
      <c r="D294" s="311"/>
      <c r="E294" s="311"/>
      <c r="F294" s="311"/>
      <c r="G294" s="311"/>
      <c r="H294" s="311"/>
      <c r="I294" s="311"/>
      <c r="J294" s="311"/>
      <c r="K294" s="311"/>
      <c r="L294" s="311"/>
      <c r="M294" s="311"/>
      <c r="N294" s="311"/>
      <c r="O294" s="311"/>
      <c r="P294" s="1033"/>
      <c r="Q294" s="3652"/>
      <c r="R294" s="1031"/>
      <c r="X294" s="311"/>
      <c r="Y294" s="311"/>
      <c r="Z294" s="311"/>
      <c r="AA294" s="311"/>
      <c r="AB294" s="311"/>
      <c r="AC294" s="311"/>
      <c r="AD294" s="311"/>
      <c r="AE294" s="311"/>
      <c r="AF294" s="311"/>
      <c r="AG294" s="311"/>
      <c r="AH294" s="311"/>
      <c r="AI294" s="311"/>
      <c r="AJ294" s="311"/>
      <c r="AK294" s="311"/>
      <c r="AL294" s="311"/>
      <c r="AM294" s="311"/>
      <c r="AN294" s="311"/>
      <c r="AO294" s="311"/>
      <c r="AP294" s="311"/>
      <c r="AQ294" s="311"/>
      <c r="AR294" s="311"/>
    </row>
    <row r="295" spans="1:44" s="475" customFormat="1" ht="12" customHeight="1">
      <c r="A295" s="311"/>
      <c r="B295" s="311"/>
      <c r="C295" s="311"/>
      <c r="D295" s="311"/>
      <c r="E295" s="311"/>
      <c r="F295" s="311"/>
      <c r="G295" s="311"/>
      <c r="H295" s="311"/>
      <c r="I295" s="311"/>
      <c r="J295" s="311"/>
      <c r="K295" s="311"/>
      <c r="L295" s="311"/>
      <c r="M295" s="311"/>
      <c r="N295" s="311"/>
      <c r="O295" s="311"/>
      <c r="P295" s="1033"/>
      <c r="Q295" s="3652"/>
      <c r="R295" s="1031"/>
      <c r="X295" s="311"/>
      <c r="Y295" s="311"/>
      <c r="Z295" s="311"/>
      <c r="AA295" s="311"/>
      <c r="AB295" s="311"/>
      <c r="AC295" s="311"/>
      <c r="AD295" s="311"/>
      <c r="AE295" s="311"/>
      <c r="AF295" s="311"/>
      <c r="AG295" s="311"/>
      <c r="AH295" s="311"/>
      <c r="AI295" s="311"/>
      <c r="AJ295" s="311"/>
      <c r="AK295" s="311"/>
      <c r="AL295" s="311"/>
      <c r="AM295" s="311"/>
      <c r="AN295" s="311"/>
      <c r="AO295" s="311"/>
      <c r="AP295" s="311"/>
      <c r="AQ295" s="311"/>
      <c r="AR295" s="311"/>
    </row>
    <row r="296" spans="1:44" s="475" customFormat="1" ht="12" customHeight="1">
      <c r="A296" s="311"/>
      <c r="B296" s="311"/>
      <c r="C296" s="311"/>
      <c r="D296" s="311"/>
      <c r="E296" s="311"/>
      <c r="F296" s="311"/>
      <c r="G296" s="311"/>
      <c r="H296" s="311"/>
      <c r="I296" s="311"/>
      <c r="J296" s="311"/>
      <c r="K296" s="311"/>
      <c r="L296" s="311"/>
      <c r="M296" s="311"/>
      <c r="N296" s="311"/>
      <c r="O296" s="311"/>
      <c r="P296" s="1033"/>
      <c r="Q296" s="3652"/>
      <c r="R296" s="1031"/>
      <c r="X296" s="311"/>
      <c r="Y296" s="311"/>
      <c r="Z296" s="311"/>
      <c r="AA296" s="311"/>
      <c r="AB296" s="311"/>
      <c r="AC296" s="311"/>
      <c r="AD296" s="311"/>
      <c r="AE296" s="311"/>
      <c r="AF296" s="311"/>
      <c r="AG296" s="311"/>
      <c r="AH296" s="311"/>
      <c r="AI296" s="311"/>
      <c r="AJ296" s="311"/>
      <c r="AK296" s="311"/>
      <c r="AL296" s="311"/>
      <c r="AM296" s="311"/>
      <c r="AN296" s="311"/>
      <c r="AO296" s="311"/>
      <c r="AP296" s="311"/>
      <c r="AQ296" s="311"/>
      <c r="AR296" s="311"/>
    </row>
    <row r="297" spans="1:44" s="475" customFormat="1" ht="12" customHeight="1">
      <c r="A297" s="311"/>
      <c r="B297" s="311"/>
      <c r="C297" s="311"/>
      <c r="D297" s="311"/>
      <c r="E297" s="311"/>
      <c r="F297" s="311"/>
      <c r="G297" s="311"/>
      <c r="H297" s="311"/>
      <c r="I297" s="311"/>
      <c r="J297" s="311"/>
      <c r="K297" s="311"/>
      <c r="L297" s="311"/>
      <c r="M297" s="311"/>
      <c r="N297" s="311"/>
      <c r="O297" s="311"/>
      <c r="P297" s="1033"/>
      <c r="Q297" s="3652"/>
      <c r="R297" s="1031"/>
      <c r="X297" s="311"/>
      <c r="Y297" s="311"/>
      <c r="Z297" s="311"/>
      <c r="AA297" s="311"/>
      <c r="AB297" s="311"/>
      <c r="AC297" s="311"/>
      <c r="AD297" s="311"/>
      <c r="AE297" s="311"/>
      <c r="AF297" s="311"/>
      <c r="AG297" s="311"/>
      <c r="AH297" s="311"/>
      <c r="AI297" s="311"/>
      <c r="AJ297" s="311"/>
      <c r="AK297" s="311"/>
      <c r="AL297" s="311"/>
      <c r="AM297" s="311"/>
      <c r="AN297" s="311"/>
      <c r="AO297" s="311"/>
      <c r="AP297" s="311"/>
      <c r="AQ297" s="311"/>
      <c r="AR297" s="311"/>
    </row>
    <row r="298" spans="1:44" s="475" customFormat="1" ht="12" customHeight="1">
      <c r="A298" s="311"/>
      <c r="B298" s="311"/>
      <c r="C298" s="311"/>
      <c r="D298" s="311"/>
      <c r="E298" s="311"/>
      <c r="F298" s="311"/>
      <c r="G298" s="311"/>
      <c r="H298" s="311"/>
      <c r="I298" s="311"/>
      <c r="J298" s="311"/>
      <c r="K298" s="311"/>
      <c r="L298" s="311"/>
      <c r="M298" s="311"/>
      <c r="N298" s="311"/>
      <c r="O298" s="311"/>
      <c r="P298" s="1033"/>
      <c r="Q298" s="3652"/>
      <c r="R298" s="1031"/>
      <c r="X298" s="311"/>
      <c r="Y298" s="311"/>
      <c r="Z298" s="311"/>
      <c r="AA298" s="311"/>
      <c r="AB298" s="311"/>
      <c r="AC298" s="311"/>
      <c r="AD298" s="311"/>
      <c r="AE298" s="311"/>
      <c r="AF298" s="311"/>
      <c r="AG298" s="311"/>
      <c r="AH298" s="311"/>
      <c r="AI298" s="311"/>
      <c r="AJ298" s="311"/>
      <c r="AK298" s="311"/>
      <c r="AL298" s="311"/>
      <c r="AM298" s="311"/>
      <c r="AN298" s="311"/>
      <c r="AO298" s="311"/>
      <c r="AP298" s="311"/>
      <c r="AQ298" s="311"/>
      <c r="AR298" s="311"/>
    </row>
    <row r="299" spans="1:44" s="475" customFormat="1" ht="12" customHeight="1">
      <c r="A299" s="311"/>
      <c r="B299" s="311"/>
      <c r="C299" s="311"/>
      <c r="D299" s="311"/>
      <c r="E299" s="311"/>
      <c r="F299" s="311"/>
      <c r="G299" s="311"/>
      <c r="H299" s="311"/>
      <c r="I299" s="311"/>
      <c r="J299" s="311"/>
      <c r="K299" s="311"/>
      <c r="L299" s="311"/>
      <c r="M299" s="311"/>
      <c r="N299" s="311"/>
      <c r="O299" s="311"/>
      <c r="P299" s="1033"/>
      <c r="Q299" s="3652"/>
      <c r="R299" s="1031"/>
      <c r="X299" s="311"/>
      <c r="Y299" s="311"/>
      <c r="Z299" s="311"/>
      <c r="AA299" s="311"/>
      <c r="AB299" s="311"/>
      <c r="AC299" s="311"/>
      <c r="AD299" s="311"/>
      <c r="AE299" s="311"/>
      <c r="AF299" s="311"/>
      <c r="AG299" s="311"/>
      <c r="AH299" s="311"/>
      <c r="AI299" s="311"/>
      <c r="AJ299" s="311"/>
      <c r="AK299" s="311"/>
      <c r="AL299" s="311"/>
      <c r="AM299" s="311"/>
      <c r="AN299" s="311"/>
      <c r="AO299" s="311"/>
      <c r="AP299" s="311"/>
      <c r="AQ299" s="311"/>
      <c r="AR299" s="311"/>
    </row>
    <row r="300" spans="1:44" s="475" customFormat="1" ht="12" customHeight="1">
      <c r="A300" s="311"/>
      <c r="B300" s="311"/>
      <c r="C300" s="311"/>
      <c r="D300" s="311"/>
      <c r="E300" s="311"/>
      <c r="F300" s="311"/>
      <c r="G300" s="311"/>
      <c r="H300" s="311"/>
      <c r="I300" s="311"/>
      <c r="J300" s="311"/>
      <c r="K300" s="311"/>
      <c r="L300" s="311"/>
      <c r="M300" s="311"/>
      <c r="N300" s="311"/>
      <c r="O300" s="311"/>
      <c r="P300" s="1033"/>
      <c r="Q300" s="3652"/>
      <c r="R300" s="1031"/>
      <c r="X300" s="311"/>
      <c r="Y300" s="311"/>
      <c r="Z300" s="311"/>
      <c r="AA300" s="311"/>
      <c r="AB300" s="311"/>
      <c r="AC300" s="311"/>
      <c r="AD300" s="311"/>
      <c r="AE300" s="311"/>
      <c r="AF300" s="311"/>
      <c r="AG300" s="311"/>
      <c r="AH300" s="311"/>
      <c r="AI300" s="311"/>
      <c r="AJ300" s="311"/>
      <c r="AK300" s="311"/>
      <c r="AL300" s="311"/>
      <c r="AM300" s="311"/>
      <c r="AN300" s="311"/>
      <c r="AO300" s="311"/>
      <c r="AP300" s="311"/>
      <c r="AQ300" s="311"/>
      <c r="AR300" s="311"/>
    </row>
    <row r="301" spans="1:44" s="475" customFormat="1" ht="12" customHeight="1">
      <c r="A301" s="311"/>
      <c r="B301" s="311"/>
      <c r="C301" s="311"/>
      <c r="D301" s="311"/>
      <c r="E301" s="311"/>
      <c r="F301" s="311"/>
      <c r="G301" s="311"/>
      <c r="H301" s="311"/>
      <c r="I301" s="311"/>
      <c r="J301" s="311"/>
      <c r="K301" s="311"/>
      <c r="L301" s="311"/>
      <c r="M301" s="311"/>
      <c r="N301" s="311"/>
      <c r="O301" s="311"/>
      <c r="P301" s="1033"/>
      <c r="Q301" s="3652"/>
      <c r="R301" s="1031"/>
      <c r="X301" s="311"/>
      <c r="Y301" s="311"/>
      <c r="Z301" s="311"/>
      <c r="AA301" s="311"/>
      <c r="AB301" s="311"/>
      <c r="AC301" s="311"/>
      <c r="AD301" s="311"/>
      <c r="AE301" s="311"/>
      <c r="AF301" s="311"/>
      <c r="AG301" s="311"/>
      <c r="AH301" s="311"/>
      <c r="AI301" s="311"/>
      <c r="AJ301" s="311"/>
      <c r="AK301" s="311"/>
      <c r="AL301" s="311"/>
      <c r="AM301" s="311"/>
      <c r="AN301" s="311"/>
      <c r="AO301" s="311"/>
      <c r="AP301" s="311"/>
      <c r="AQ301" s="311"/>
      <c r="AR301" s="311"/>
    </row>
    <row r="302" spans="1:44" s="475" customFormat="1" ht="12" customHeight="1">
      <c r="A302" s="311"/>
      <c r="B302" s="311"/>
      <c r="C302" s="311"/>
      <c r="D302" s="311"/>
      <c r="E302" s="311"/>
      <c r="F302" s="311"/>
      <c r="G302" s="311"/>
      <c r="H302" s="311"/>
      <c r="I302" s="311"/>
      <c r="J302" s="311"/>
      <c r="K302" s="311"/>
      <c r="L302" s="311"/>
      <c r="M302" s="311"/>
      <c r="N302" s="311"/>
      <c r="O302" s="311"/>
      <c r="P302" s="1033"/>
      <c r="Q302" s="3652"/>
      <c r="R302" s="1031"/>
      <c r="X302" s="311"/>
      <c r="Y302" s="311"/>
      <c r="Z302" s="311"/>
      <c r="AA302" s="311"/>
      <c r="AB302" s="311"/>
      <c r="AC302" s="311"/>
      <c r="AD302" s="311"/>
      <c r="AE302" s="311"/>
      <c r="AF302" s="311"/>
      <c r="AG302" s="311"/>
      <c r="AH302" s="311"/>
      <c r="AI302" s="311"/>
      <c r="AJ302" s="311"/>
      <c r="AK302" s="311"/>
      <c r="AL302" s="311"/>
      <c r="AM302" s="311"/>
      <c r="AN302" s="311"/>
      <c r="AO302" s="311"/>
      <c r="AP302" s="311"/>
      <c r="AQ302" s="311"/>
      <c r="AR302" s="311"/>
    </row>
    <row r="303" spans="1:44" s="475" customFormat="1" ht="12" customHeight="1">
      <c r="A303" s="311"/>
      <c r="B303" s="311"/>
      <c r="C303" s="311"/>
      <c r="D303" s="311"/>
      <c r="E303" s="311"/>
      <c r="F303" s="311"/>
      <c r="G303" s="311"/>
      <c r="H303" s="311"/>
      <c r="I303" s="311"/>
      <c r="J303" s="311"/>
      <c r="K303" s="311"/>
      <c r="L303" s="311"/>
      <c r="M303" s="311"/>
      <c r="N303" s="311"/>
      <c r="O303" s="311"/>
      <c r="P303" s="1033"/>
      <c r="Q303" s="3652"/>
      <c r="R303" s="1031"/>
      <c r="X303" s="311"/>
      <c r="Y303" s="311"/>
      <c r="Z303" s="311"/>
      <c r="AA303" s="311"/>
      <c r="AB303" s="311"/>
      <c r="AC303" s="311"/>
      <c r="AD303" s="311"/>
      <c r="AE303" s="311"/>
      <c r="AF303" s="311"/>
      <c r="AG303" s="311"/>
      <c r="AH303" s="311"/>
      <c r="AI303" s="311"/>
      <c r="AJ303" s="311"/>
      <c r="AK303" s="311"/>
      <c r="AL303" s="311"/>
      <c r="AM303" s="311"/>
      <c r="AN303" s="311"/>
      <c r="AO303" s="311"/>
      <c r="AP303" s="311"/>
      <c r="AQ303" s="311"/>
      <c r="AR303" s="311"/>
    </row>
    <row r="304" spans="1:44" s="475" customFormat="1" ht="12" customHeight="1">
      <c r="A304" s="311"/>
      <c r="B304" s="311"/>
      <c r="C304" s="311"/>
      <c r="D304" s="311"/>
      <c r="E304" s="311"/>
      <c r="F304" s="311"/>
      <c r="G304" s="311"/>
      <c r="H304" s="311"/>
      <c r="I304" s="311"/>
      <c r="J304" s="311"/>
      <c r="K304" s="311"/>
      <c r="L304" s="311"/>
      <c r="M304" s="311"/>
      <c r="N304" s="311"/>
      <c r="O304" s="311"/>
      <c r="P304" s="1033"/>
      <c r="Q304" s="3652"/>
      <c r="R304" s="1031"/>
      <c r="X304" s="311"/>
      <c r="Y304" s="311"/>
      <c r="Z304" s="311"/>
      <c r="AA304" s="311"/>
      <c r="AB304" s="311"/>
      <c r="AC304" s="311"/>
      <c r="AD304" s="311"/>
      <c r="AE304" s="311"/>
      <c r="AF304" s="311"/>
      <c r="AG304" s="311"/>
      <c r="AH304" s="311"/>
      <c r="AI304" s="311"/>
      <c r="AJ304" s="311"/>
      <c r="AK304" s="311"/>
      <c r="AL304" s="311"/>
      <c r="AM304" s="311"/>
      <c r="AN304" s="311"/>
      <c r="AO304" s="311"/>
      <c r="AP304" s="311"/>
      <c r="AQ304" s="311"/>
      <c r="AR304" s="311"/>
    </row>
    <row r="305" spans="1:44" s="475" customFormat="1" ht="12" customHeight="1">
      <c r="A305" s="311"/>
      <c r="B305" s="311"/>
      <c r="C305" s="311"/>
      <c r="D305" s="311"/>
      <c r="E305" s="311"/>
      <c r="F305" s="311"/>
      <c r="G305" s="311"/>
      <c r="H305" s="311"/>
      <c r="I305" s="311"/>
      <c r="J305" s="311"/>
      <c r="K305" s="311"/>
      <c r="L305" s="311"/>
      <c r="M305" s="311"/>
      <c r="N305" s="311"/>
      <c r="O305" s="311"/>
      <c r="P305" s="3654"/>
      <c r="Q305" s="3652"/>
      <c r="R305" s="1031"/>
      <c r="X305" s="311"/>
      <c r="Y305" s="311"/>
      <c r="Z305" s="311"/>
      <c r="AA305" s="311"/>
      <c r="AB305" s="311"/>
      <c r="AC305" s="311"/>
      <c r="AD305" s="311"/>
      <c r="AE305" s="311"/>
      <c r="AF305" s="311"/>
      <c r="AG305" s="311"/>
      <c r="AH305" s="311"/>
      <c r="AI305" s="311"/>
      <c r="AJ305" s="311"/>
      <c r="AK305" s="311"/>
      <c r="AL305" s="311"/>
      <c r="AM305" s="311"/>
      <c r="AN305" s="311"/>
      <c r="AO305" s="311"/>
      <c r="AP305" s="311"/>
      <c r="AQ305" s="311"/>
      <c r="AR305" s="311"/>
    </row>
    <row r="306" spans="1:44" s="475" customFormat="1" ht="12" customHeight="1">
      <c r="A306" s="311"/>
      <c r="B306" s="311"/>
      <c r="C306" s="311"/>
      <c r="D306" s="311"/>
      <c r="E306" s="311"/>
      <c r="F306" s="311"/>
      <c r="G306" s="311"/>
      <c r="H306" s="311"/>
      <c r="I306" s="311"/>
      <c r="J306" s="311"/>
      <c r="K306" s="311"/>
      <c r="L306" s="311"/>
      <c r="M306" s="311"/>
      <c r="N306" s="311"/>
      <c r="O306" s="311"/>
      <c r="P306" s="1033"/>
      <c r="Q306" s="3652"/>
      <c r="R306" s="1031"/>
      <c r="X306" s="311"/>
      <c r="Y306" s="311"/>
      <c r="Z306" s="311"/>
      <c r="AA306" s="311"/>
      <c r="AB306" s="311"/>
      <c r="AC306" s="311"/>
      <c r="AD306" s="311"/>
      <c r="AE306" s="311"/>
      <c r="AF306" s="311"/>
      <c r="AG306" s="311"/>
      <c r="AH306" s="311"/>
      <c r="AI306" s="311"/>
      <c r="AJ306" s="311"/>
      <c r="AK306" s="311"/>
      <c r="AL306" s="311"/>
      <c r="AM306" s="311"/>
      <c r="AN306" s="311"/>
      <c r="AO306" s="311"/>
      <c r="AP306" s="311"/>
      <c r="AQ306" s="311"/>
      <c r="AR306" s="311"/>
    </row>
    <row r="307" spans="1:44" s="475" customFormat="1" ht="12" customHeight="1">
      <c r="A307" s="311"/>
      <c r="B307" s="311"/>
      <c r="C307" s="311"/>
      <c r="D307" s="311"/>
      <c r="E307" s="311"/>
      <c r="F307" s="311"/>
      <c r="G307" s="311"/>
      <c r="H307" s="311"/>
      <c r="I307" s="311"/>
      <c r="J307" s="311"/>
      <c r="K307" s="311"/>
      <c r="L307" s="311"/>
      <c r="M307" s="311"/>
      <c r="N307" s="311"/>
      <c r="O307" s="311"/>
      <c r="P307" s="1033"/>
      <c r="Q307" s="3652"/>
      <c r="R307" s="1031"/>
      <c r="X307" s="311"/>
      <c r="Y307" s="311"/>
      <c r="Z307" s="311"/>
      <c r="AA307" s="311"/>
      <c r="AB307" s="311"/>
      <c r="AC307" s="311"/>
      <c r="AD307" s="311"/>
      <c r="AE307" s="311"/>
      <c r="AF307" s="311"/>
      <c r="AG307" s="311"/>
      <c r="AH307" s="311"/>
      <c r="AI307" s="311"/>
      <c r="AJ307" s="311"/>
      <c r="AK307" s="311"/>
      <c r="AL307" s="311"/>
      <c r="AM307" s="311"/>
      <c r="AN307" s="311"/>
      <c r="AO307" s="311"/>
      <c r="AP307" s="311"/>
      <c r="AQ307" s="311"/>
      <c r="AR307" s="311"/>
    </row>
    <row r="308" spans="1:44" s="475" customFormat="1" ht="12" customHeight="1">
      <c r="A308" s="311"/>
      <c r="B308" s="311"/>
      <c r="C308" s="311"/>
      <c r="D308" s="311"/>
      <c r="E308" s="311"/>
      <c r="F308" s="311"/>
      <c r="G308" s="311"/>
      <c r="H308" s="311"/>
      <c r="I308" s="311"/>
      <c r="J308" s="311"/>
      <c r="K308" s="311"/>
      <c r="L308" s="311"/>
      <c r="M308" s="311"/>
      <c r="N308" s="311"/>
      <c r="O308" s="311"/>
      <c r="P308" s="1033"/>
      <c r="Q308" s="3652"/>
      <c r="R308" s="1031"/>
      <c r="X308" s="311"/>
      <c r="Y308" s="311"/>
      <c r="Z308" s="311"/>
      <c r="AA308" s="311"/>
      <c r="AB308" s="311"/>
      <c r="AC308" s="311"/>
      <c r="AD308" s="311"/>
      <c r="AE308" s="311"/>
      <c r="AF308" s="311"/>
      <c r="AG308" s="311"/>
      <c r="AH308" s="311"/>
      <c r="AI308" s="311"/>
      <c r="AJ308" s="311"/>
      <c r="AK308" s="311"/>
      <c r="AL308" s="311"/>
      <c r="AM308" s="311"/>
      <c r="AN308" s="311"/>
      <c r="AO308" s="311"/>
      <c r="AP308" s="311"/>
      <c r="AQ308" s="311"/>
      <c r="AR308" s="311"/>
    </row>
    <row r="309" spans="1:44" s="475" customFormat="1" ht="12" customHeight="1">
      <c r="A309" s="311"/>
      <c r="B309" s="311"/>
      <c r="C309" s="311"/>
      <c r="D309" s="311"/>
      <c r="E309" s="311"/>
      <c r="F309" s="311"/>
      <c r="G309" s="311"/>
      <c r="H309" s="311"/>
      <c r="I309" s="311"/>
      <c r="J309" s="311"/>
      <c r="K309" s="311"/>
      <c r="L309" s="311"/>
      <c r="M309" s="311"/>
      <c r="N309" s="311"/>
      <c r="O309" s="311"/>
      <c r="P309" s="1033"/>
      <c r="Q309" s="3652"/>
      <c r="R309" s="1031"/>
      <c r="X309" s="311"/>
      <c r="Y309" s="311"/>
      <c r="Z309" s="311"/>
      <c r="AA309" s="311"/>
      <c r="AB309" s="311"/>
      <c r="AC309" s="311"/>
      <c r="AD309" s="311"/>
      <c r="AE309" s="311"/>
      <c r="AF309" s="311"/>
      <c r="AG309" s="311"/>
      <c r="AH309" s="311"/>
      <c r="AI309" s="311"/>
      <c r="AJ309" s="311"/>
      <c r="AK309" s="311"/>
      <c r="AL309" s="311"/>
      <c r="AM309" s="311"/>
      <c r="AN309" s="311"/>
      <c r="AO309" s="311"/>
      <c r="AP309" s="311"/>
      <c r="AQ309" s="311"/>
      <c r="AR309" s="311"/>
    </row>
    <row r="310" spans="1:44" s="475" customFormat="1" ht="12" customHeight="1">
      <c r="A310" s="311"/>
      <c r="B310" s="311"/>
      <c r="C310" s="311"/>
      <c r="D310" s="311"/>
      <c r="E310" s="311"/>
      <c r="F310" s="311"/>
      <c r="G310" s="311"/>
      <c r="H310" s="311"/>
      <c r="I310" s="311"/>
      <c r="J310" s="311"/>
      <c r="K310" s="311"/>
      <c r="L310" s="311"/>
      <c r="M310" s="311"/>
      <c r="N310" s="311"/>
      <c r="O310" s="311"/>
      <c r="P310" s="1033"/>
      <c r="Q310" s="3652"/>
      <c r="R310" s="1031"/>
      <c r="X310" s="311"/>
      <c r="Y310" s="311"/>
      <c r="Z310" s="311"/>
      <c r="AA310" s="311"/>
      <c r="AB310" s="311"/>
      <c r="AC310" s="311"/>
      <c r="AD310" s="311"/>
      <c r="AE310" s="311"/>
      <c r="AF310" s="311"/>
      <c r="AG310" s="311"/>
      <c r="AH310" s="311"/>
      <c r="AI310" s="311"/>
      <c r="AJ310" s="311"/>
      <c r="AK310" s="311"/>
      <c r="AL310" s="311"/>
      <c r="AM310" s="311"/>
      <c r="AN310" s="311"/>
      <c r="AO310" s="311"/>
      <c r="AP310" s="311"/>
      <c r="AQ310" s="311"/>
      <c r="AR310" s="311"/>
    </row>
    <row r="311" spans="1:44" s="475" customFormat="1" ht="12" customHeight="1">
      <c r="A311" s="311"/>
      <c r="B311" s="311"/>
      <c r="C311" s="311"/>
      <c r="D311" s="311"/>
      <c r="E311" s="311"/>
      <c r="F311" s="311"/>
      <c r="G311" s="311"/>
      <c r="H311" s="311"/>
      <c r="I311" s="311"/>
      <c r="J311" s="311"/>
      <c r="K311" s="311"/>
      <c r="L311" s="311"/>
      <c r="M311" s="311"/>
      <c r="N311" s="311"/>
      <c r="O311" s="311"/>
      <c r="P311" s="1033"/>
      <c r="Q311" s="3652"/>
      <c r="R311" s="1031"/>
      <c r="X311" s="311"/>
      <c r="Y311" s="311"/>
      <c r="Z311" s="311"/>
      <c r="AA311" s="311"/>
      <c r="AB311" s="311"/>
      <c r="AC311" s="311"/>
      <c r="AD311" s="311"/>
      <c r="AE311" s="311"/>
      <c r="AF311" s="311"/>
      <c r="AG311" s="311"/>
      <c r="AH311" s="311"/>
      <c r="AI311" s="311"/>
      <c r="AJ311" s="311"/>
      <c r="AK311" s="311"/>
      <c r="AL311" s="311"/>
      <c r="AM311" s="311"/>
      <c r="AN311" s="311"/>
      <c r="AO311" s="311"/>
      <c r="AP311" s="311"/>
      <c r="AQ311" s="311"/>
      <c r="AR311" s="311"/>
    </row>
    <row r="312" spans="1:44" s="475" customFormat="1" ht="12" customHeight="1">
      <c r="A312" s="311"/>
      <c r="B312" s="311"/>
      <c r="C312" s="311"/>
      <c r="D312" s="311"/>
      <c r="E312" s="311"/>
      <c r="F312" s="311"/>
      <c r="G312" s="311"/>
      <c r="H312" s="311"/>
      <c r="I312" s="311"/>
      <c r="J312" s="311"/>
      <c r="K312" s="311"/>
      <c r="L312" s="311"/>
      <c r="M312" s="311"/>
      <c r="N312" s="311"/>
      <c r="O312" s="311"/>
      <c r="P312" s="1033"/>
      <c r="Q312" s="3652"/>
      <c r="R312" s="1031"/>
      <c r="X312" s="311"/>
      <c r="Y312" s="311"/>
      <c r="Z312" s="311"/>
      <c r="AA312" s="311"/>
      <c r="AB312" s="311"/>
      <c r="AC312" s="311"/>
      <c r="AD312" s="311"/>
      <c r="AE312" s="311"/>
      <c r="AF312" s="311"/>
      <c r="AG312" s="311"/>
      <c r="AH312" s="311"/>
      <c r="AI312" s="311"/>
      <c r="AJ312" s="311"/>
      <c r="AK312" s="311"/>
      <c r="AL312" s="311"/>
      <c r="AM312" s="311"/>
      <c r="AN312" s="311"/>
      <c r="AO312" s="311"/>
      <c r="AP312" s="311"/>
      <c r="AQ312" s="311"/>
      <c r="AR312" s="311"/>
    </row>
    <row r="313" spans="1:44" s="475" customFormat="1" ht="12" customHeight="1">
      <c r="A313" s="311"/>
      <c r="B313" s="311"/>
      <c r="C313" s="311"/>
      <c r="D313" s="311"/>
      <c r="E313" s="311"/>
      <c r="F313" s="311"/>
      <c r="G313" s="311"/>
      <c r="H313" s="311"/>
      <c r="I313" s="311"/>
      <c r="J313" s="311"/>
      <c r="K313" s="311"/>
      <c r="L313" s="311"/>
      <c r="M313" s="311"/>
      <c r="N313" s="311"/>
      <c r="O313" s="311"/>
      <c r="P313" s="1033"/>
      <c r="Q313" s="3652"/>
      <c r="R313" s="1031"/>
      <c r="X313" s="311"/>
      <c r="Y313" s="311"/>
      <c r="Z313" s="311"/>
      <c r="AA313" s="311"/>
      <c r="AB313" s="311"/>
      <c r="AC313" s="311"/>
      <c r="AD313" s="311"/>
      <c r="AE313" s="311"/>
      <c r="AF313" s="311"/>
      <c r="AG313" s="311"/>
      <c r="AH313" s="311"/>
      <c r="AI313" s="311"/>
      <c r="AJ313" s="311"/>
      <c r="AK313" s="311"/>
      <c r="AL313" s="311"/>
      <c r="AM313" s="311"/>
      <c r="AN313" s="311"/>
      <c r="AO313" s="311"/>
      <c r="AP313" s="311"/>
      <c r="AQ313" s="311"/>
      <c r="AR313" s="311"/>
    </row>
    <row r="314" spans="1:44" s="475" customFormat="1" ht="12" customHeight="1">
      <c r="A314" s="311"/>
      <c r="B314" s="311"/>
      <c r="C314" s="311"/>
      <c r="D314" s="311"/>
      <c r="E314" s="311"/>
      <c r="F314" s="311"/>
      <c r="G314" s="311"/>
      <c r="H314" s="311"/>
      <c r="I314" s="311"/>
      <c r="J314" s="311"/>
      <c r="K314" s="311"/>
      <c r="L314" s="311"/>
      <c r="M314" s="311"/>
      <c r="N314" s="311"/>
      <c r="O314" s="311"/>
      <c r="P314" s="1033"/>
      <c r="Q314" s="3652"/>
      <c r="R314" s="1031"/>
      <c r="X314" s="311"/>
      <c r="Y314" s="311"/>
      <c r="Z314" s="311"/>
      <c r="AA314" s="311"/>
      <c r="AB314" s="311"/>
      <c r="AC314" s="311"/>
      <c r="AD314" s="311"/>
      <c r="AE314" s="311"/>
      <c r="AF314" s="311"/>
      <c r="AG314" s="311"/>
      <c r="AH314" s="311"/>
      <c r="AI314" s="311"/>
      <c r="AJ314" s="311"/>
      <c r="AK314" s="311"/>
      <c r="AL314" s="311"/>
      <c r="AM314" s="311"/>
      <c r="AN314" s="311"/>
      <c r="AO314" s="311"/>
      <c r="AP314" s="311"/>
      <c r="AQ314" s="311"/>
      <c r="AR314" s="311"/>
    </row>
    <row r="315" spans="1:44" s="475" customFormat="1" ht="12" customHeight="1">
      <c r="A315" s="311"/>
      <c r="B315" s="311"/>
      <c r="C315" s="311"/>
      <c r="D315" s="311"/>
      <c r="E315" s="311"/>
      <c r="F315" s="311"/>
      <c r="G315" s="311"/>
      <c r="H315" s="311"/>
      <c r="I315" s="311"/>
      <c r="J315" s="311"/>
      <c r="K315" s="311"/>
      <c r="L315" s="311"/>
      <c r="M315" s="311"/>
      <c r="N315" s="311"/>
      <c r="O315" s="311"/>
      <c r="P315" s="1033"/>
      <c r="Q315" s="3652"/>
      <c r="R315" s="1031"/>
      <c r="X315" s="311"/>
      <c r="Y315" s="311"/>
      <c r="Z315" s="311"/>
      <c r="AA315" s="311"/>
      <c r="AB315" s="311"/>
      <c r="AC315" s="311"/>
      <c r="AD315" s="311"/>
      <c r="AE315" s="311"/>
      <c r="AF315" s="311"/>
      <c r="AG315" s="311"/>
      <c r="AH315" s="311"/>
      <c r="AI315" s="311"/>
      <c r="AJ315" s="311"/>
      <c r="AK315" s="311"/>
      <c r="AL315" s="311"/>
      <c r="AM315" s="311"/>
      <c r="AN315" s="311"/>
      <c r="AO315" s="311"/>
      <c r="AP315" s="311"/>
      <c r="AQ315" s="311"/>
      <c r="AR315" s="311"/>
    </row>
    <row r="316" spans="1:44" s="475" customFormat="1" ht="12" customHeight="1">
      <c r="A316" s="311"/>
      <c r="B316" s="311"/>
      <c r="C316" s="311"/>
      <c r="D316" s="311"/>
      <c r="E316" s="311"/>
      <c r="F316" s="311"/>
      <c r="G316" s="311"/>
      <c r="H316" s="311"/>
      <c r="I316" s="311"/>
      <c r="J316" s="311"/>
      <c r="K316" s="311"/>
      <c r="L316" s="311"/>
      <c r="M316" s="311"/>
      <c r="N316" s="311"/>
      <c r="O316" s="311"/>
      <c r="P316" s="1033"/>
      <c r="Q316" s="1031"/>
      <c r="R316" s="1031"/>
      <c r="X316" s="311"/>
      <c r="Y316" s="311"/>
      <c r="Z316" s="311"/>
      <c r="AA316" s="311"/>
      <c r="AB316" s="311"/>
      <c r="AC316" s="311"/>
      <c r="AD316" s="311"/>
      <c r="AE316" s="311"/>
      <c r="AF316" s="311"/>
      <c r="AG316" s="311"/>
      <c r="AH316" s="311"/>
      <c r="AI316" s="311"/>
      <c r="AJ316" s="311"/>
      <c r="AK316" s="311"/>
      <c r="AL316" s="311"/>
      <c r="AM316" s="311"/>
      <c r="AN316" s="311"/>
      <c r="AO316" s="311"/>
      <c r="AP316" s="311"/>
      <c r="AQ316" s="311"/>
      <c r="AR316" s="311"/>
    </row>
    <row r="317" spans="1:44" s="475" customFormat="1" ht="12" customHeight="1">
      <c r="A317" s="311"/>
      <c r="B317" s="311"/>
      <c r="C317" s="311"/>
      <c r="D317" s="311"/>
      <c r="E317" s="311"/>
      <c r="F317" s="311"/>
      <c r="G317" s="311"/>
      <c r="H317" s="311"/>
      <c r="I317" s="311"/>
      <c r="J317" s="311"/>
      <c r="K317" s="311"/>
      <c r="L317" s="311"/>
      <c r="M317" s="311"/>
      <c r="N317" s="311"/>
      <c r="O317" s="311"/>
      <c r="P317" s="1033"/>
      <c r="Q317" s="3652"/>
      <c r="R317" s="1031"/>
      <c r="X317" s="311"/>
      <c r="Y317" s="311"/>
      <c r="Z317" s="311"/>
      <c r="AA317" s="311"/>
      <c r="AB317" s="311"/>
      <c r="AC317" s="311"/>
      <c r="AD317" s="311"/>
      <c r="AE317" s="311"/>
      <c r="AF317" s="311"/>
      <c r="AG317" s="311"/>
      <c r="AH317" s="311"/>
      <c r="AI317" s="311"/>
      <c r="AJ317" s="311"/>
      <c r="AK317" s="311"/>
      <c r="AL317" s="311"/>
      <c r="AM317" s="311"/>
      <c r="AN317" s="311"/>
      <c r="AO317" s="311"/>
      <c r="AP317" s="311"/>
      <c r="AQ317" s="311"/>
      <c r="AR317" s="311"/>
    </row>
    <row r="318" spans="1:44" s="475" customFormat="1" ht="12" customHeight="1">
      <c r="A318" s="311"/>
      <c r="B318" s="311"/>
      <c r="C318" s="311"/>
      <c r="D318" s="311"/>
      <c r="E318" s="311"/>
      <c r="F318" s="311"/>
      <c r="G318" s="311"/>
      <c r="H318" s="311"/>
      <c r="I318" s="311"/>
      <c r="J318" s="311"/>
      <c r="K318" s="311"/>
      <c r="L318" s="311"/>
      <c r="M318" s="311"/>
      <c r="N318" s="311"/>
      <c r="O318" s="311"/>
      <c r="P318" s="1033"/>
      <c r="Q318" s="3652"/>
      <c r="R318" s="1031"/>
      <c r="X318" s="311"/>
      <c r="Y318" s="311"/>
      <c r="Z318" s="311"/>
      <c r="AA318" s="311"/>
      <c r="AB318" s="311"/>
      <c r="AC318" s="311"/>
      <c r="AD318" s="311"/>
      <c r="AE318" s="311"/>
      <c r="AF318" s="311"/>
      <c r="AG318" s="311"/>
      <c r="AH318" s="311"/>
      <c r="AI318" s="311"/>
      <c r="AJ318" s="311"/>
      <c r="AK318" s="311"/>
      <c r="AL318" s="311"/>
      <c r="AM318" s="311"/>
      <c r="AN318" s="311"/>
      <c r="AO318" s="311"/>
      <c r="AP318" s="311"/>
      <c r="AQ318" s="311"/>
      <c r="AR318" s="311"/>
    </row>
    <row r="319" spans="1:44" s="475" customFormat="1" ht="12" customHeight="1">
      <c r="A319" s="311"/>
      <c r="B319" s="311"/>
      <c r="C319" s="311"/>
      <c r="D319" s="311"/>
      <c r="E319" s="311"/>
      <c r="F319" s="311"/>
      <c r="G319" s="311"/>
      <c r="H319" s="311"/>
      <c r="I319" s="311"/>
      <c r="J319" s="311"/>
      <c r="K319" s="311"/>
      <c r="L319" s="311"/>
      <c r="M319" s="311"/>
      <c r="N319" s="311"/>
      <c r="O319" s="311"/>
      <c r="P319" s="1033"/>
      <c r="Q319" s="3652"/>
      <c r="R319" s="1031"/>
      <c r="X319" s="311"/>
      <c r="Y319" s="311"/>
      <c r="Z319" s="311"/>
      <c r="AA319" s="311"/>
      <c r="AB319" s="311"/>
      <c r="AC319" s="311"/>
      <c r="AD319" s="311"/>
      <c r="AE319" s="311"/>
      <c r="AF319" s="311"/>
      <c r="AG319" s="311"/>
      <c r="AH319" s="311"/>
      <c r="AI319" s="311"/>
      <c r="AJ319" s="311"/>
      <c r="AK319" s="311"/>
      <c r="AL319" s="311"/>
      <c r="AM319" s="311"/>
      <c r="AN319" s="311"/>
      <c r="AO319" s="311"/>
      <c r="AP319" s="311"/>
      <c r="AQ319" s="311"/>
      <c r="AR319" s="311"/>
    </row>
    <row r="320" spans="1:44" s="475" customFormat="1" ht="12" customHeight="1">
      <c r="A320" s="311"/>
      <c r="B320" s="311"/>
      <c r="C320" s="311"/>
      <c r="D320" s="311"/>
      <c r="E320" s="311"/>
      <c r="F320" s="311"/>
      <c r="G320" s="311"/>
      <c r="H320" s="311"/>
      <c r="I320" s="311"/>
      <c r="J320" s="311"/>
      <c r="K320" s="311"/>
      <c r="L320" s="311"/>
      <c r="M320" s="311"/>
      <c r="N320" s="311"/>
      <c r="O320" s="311"/>
      <c r="P320" s="3653"/>
      <c r="Q320" s="1031"/>
      <c r="R320" s="1031"/>
      <c r="X320" s="311"/>
      <c r="Y320" s="311"/>
      <c r="Z320" s="311"/>
      <c r="AA320" s="311"/>
      <c r="AB320" s="311"/>
      <c r="AC320" s="311"/>
      <c r="AD320" s="311"/>
      <c r="AE320" s="311"/>
      <c r="AF320" s="311"/>
      <c r="AG320" s="311"/>
      <c r="AH320" s="311"/>
      <c r="AI320" s="311"/>
      <c r="AJ320" s="311"/>
      <c r="AK320" s="311"/>
      <c r="AL320" s="311"/>
      <c r="AM320" s="311"/>
      <c r="AN320" s="311"/>
      <c r="AO320" s="311"/>
      <c r="AP320" s="311"/>
      <c r="AQ320" s="311"/>
      <c r="AR320" s="311"/>
    </row>
    <row r="321" spans="1:44" s="475" customFormat="1" ht="12" customHeight="1">
      <c r="A321" s="311"/>
      <c r="B321" s="311"/>
      <c r="C321" s="311"/>
      <c r="D321" s="311"/>
      <c r="E321" s="311"/>
      <c r="F321" s="311"/>
      <c r="G321" s="311"/>
      <c r="H321" s="311"/>
      <c r="I321" s="311"/>
      <c r="J321" s="311"/>
      <c r="K321" s="311"/>
      <c r="L321" s="311"/>
      <c r="M321" s="311"/>
      <c r="N321" s="311"/>
      <c r="O321" s="311"/>
      <c r="P321" s="1033"/>
      <c r="Q321" s="3652"/>
      <c r="R321" s="1031"/>
      <c r="X321" s="311"/>
      <c r="Y321" s="311"/>
      <c r="Z321" s="311"/>
      <c r="AA321" s="311"/>
      <c r="AB321" s="311"/>
      <c r="AC321" s="311"/>
      <c r="AD321" s="311"/>
      <c r="AE321" s="311"/>
      <c r="AF321" s="311"/>
      <c r="AG321" s="311"/>
      <c r="AH321" s="311"/>
      <c r="AI321" s="311"/>
      <c r="AJ321" s="311"/>
      <c r="AK321" s="311"/>
      <c r="AL321" s="311"/>
      <c r="AM321" s="311"/>
      <c r="AN321" s="311"/>
      <c r="AO321" s="311"/>
      <c r="AP321" s="311"/>
      <c r="AQ321" s="311"/>
      <c r="AR321" s="311"/>
    </row>
    <row r="322" spans="1:44" s="475" customFormat="1" ht="12" customHeight="1">
      <c r="A322" s="311"/>
      <c r="B322" s="311"/>
      <c r="C322" s="311"/>
      <c r="D322" s="311"/>
      <c r="E322" s="311"/>
      <c r="F322" s="311"/>
      <c r="G322" s="311"/>
      <c r="H322" s="311"/>
      <c r="I322" s="311"/>
      <c r="J322" s="311"/>
      <c r="K322" s="311"/>
      <c r="L322" s="311"/>
      <c r="M322" s="311"/>
      <c r="N322" s="311"/>
      <c r="O322" s="311"/>
      <c r="P322" s="1033"/>
      <c r="Q322" s="3652"/>
      <c r="R322" s="1031"/>
      <c r="X322" s="311"/>
      <c r="Y322" s="311"/>
      <c r="Z322" s="311"/>
      <c r="AA322" s="311"/>
      <c r="AB322" s="311"/>
      <c r="AC322" s="311"/>
      <c r="AD322" s="311"/>
      <c r="AE322" s="311"/>
      <c r="AF322" s="311"/>
      <c r="AG322" s="311"/>
      <c r="AH322" s="311"/>
      <c r="AI322" s="311"/>
      <c r="AJ322" s="311"/>
      <c r="AK322" s="311"/>
      <c r="AL322" s="311"/>
      <c r="AM322" s="311"/>
      <c r="AN322" s="311"/>
      <c r="AO322" s="311"/>
      <c r="AP322" s="311"/>
      <c r="AQ322" s="311"/>
      <c r="AR322" s="311"/>
    </row>
    <row r="323" spans="1:44" s="475" customFormat="1" ht="12" customHeight="1">
      <c r="A323" s="311"/>
      <c r="B323" s="311"/>
      <c r="C323" s="311"/>
      <c r="D323" s="311"/>
      <c r="E323" s="311"/>
      <c r="F323" s="311"/>
      <c r="G323" s="311"/>
      <c r="H323" s="311"/>
      <c r="I323" s="311"/>
      <c r="J323" s="311"/>
      <c r="K323" s="311"/>
      <c r="L323" s="311"/>
      <c r="M323" s="311"/>
      <c r="N323" s="311"/>
      <c r="O323" s="311"/>
      <c r="P323" s="1033"/>
      <c r="Q323" s="3652"/>
      <c r="R323" s="1031"/>
      <c r="X323" s="311"/>
      <c r="Y323" s="311"/>
      <c r="Z323" s="311"/>
      <c r="AA323" s="311"/>
      <c r="AB323" s="311"/>
      <c r="AC323" s="311"/>
      <c r="AD323" s="311"/>
      <c r="AE323" s="311"/>
      <c r="AF323" s="311"/>
      <c r="AG323" s="311"/>
      <c r="AH323" s="311"/>
      <c r="AI323" s="311"/>
      <c r="AJ323" s="311"/>
      <c r="AK323" s="311"/>
      <c r="AL323" s="311"/>
      <c r="AM323" s="311"/>
      <c r="AN323" s="311"/>
      <c r="AO323" s="311"/>
      <c r="AP323" s="311"/>
      <c r="AQ323" s="311"/>
      <c r="AR323" s="311"/>
    </row>
    <row r="324" spans="1:44" s="475" customFormat="1" ht="12" customHeight="1">
      <c r="A324" s="311"/>
      <c r="B324" s="311"/>
      <c r="C324" s="311"/>
      <c r="D324" s="311"/>
      <c r="E324" s="311"/>
      <c r="F324" s="311"/>
      <c r="G324" s="311"/>
      <c r="H324" s="311"/>
      <c r="I324" s="311"/>
      <c r="J324" s="311"/>
      <c r="K324" s="311"/>
      <c r="L324" s="311"/>
      <c r="M324" s="311"/>
      <c r="N324" s="311"/>
      <c r="O324" s="311"/>
      <c r="P324" s="3653"/>
      <c r="Q324" s="1031"/>
      <c r="R324" s="1031"/>
      <c r="X324" s="311"/>
      <c r="Y324" s="311"/>
      <c r="Z324" s="311"/>
      <c r="AA324" s="311"/>
      <c r="AB324" s="311"/>
      <c r="AC324" s="311"/>
      <c r="AD324" s="311"/>
      <c r="AE324" s="311"/>
      <c r="AF324" s="311"/>
      <c r="AG324" s="311"/>
      <c r="AH324" s="311"/>
      <c r="AI324" s="311"/>
      <c r="AJ324" s="311"/>
      <c r="AK324" s="311"/>
      <c r="AL324" s="311"/>
      <c r="AM324" s="311"/>
      <c r="AN324" s="311"/>
      <c r="AO324" s="311"/>
      <c r="AP324" s="311"/>
      <c r="AQ324" s="311"/>
      <c r="AR324" s="311"/>
    </row>
    <row r="325" spans="1:44" s="475" customFormat="1" ht="12" customHeight="1">
      <c r="A325" s="311"/>
      <c r="B325" s="311"/>
      <c r="C325" s="311"/>
      <c r="D325" s="311"/>
      <c r="E325" s="311"/>
      <c r="F325" s="311"/>
      <c r="G325" s="311"/>
      <c r="H325" s="311"/>
      <c r="I325" s="311"/>
      <c r="J325" s="311"/>
      <c r="K325" s="311"/>
      <c r="L325" s="311"/>
      <c r="M325" s="311"/>
      <c r="N325" s="311"/>
      <c r="O325" s="311"/>
      <c r="P325" s="1033"/>
      <c r="Q325" s="3652"/>
      <c r="R325" s="1031"/>
      <c r="X325" s="311"/>
      <c r="Y325" s="311"/>
      <c r="Z325" s="311"/>
      <c r="AA325" s="311"/>
      <c r="AB325" s="311"/>
      <c r="AC325" s="311"/>
      <c r="AD325" s="311"/>
      <c r="AE325" s="311"/>
      <c r="AF325" s="311"/>
      <c r="AG325" s="311"/>
      <c r="AH325" s="311"/>
      <c r="AI325" s="311"/>
      <c r="AJ325" s="311"/>
      <c r="AK325" s="311"/>
      <c r="AL325" s="311"/>
      <c r="AM325" s="311"/>
      <c r="AN325" s="311"/>
      <c r="AO325" s="311"/>
      <c r="AP325" s="311"/>
      <c r="AQ325" s="311"/>
      <c r="AR325" s="311"/>
    </row>
    <row r="326" spans="1:44" s="475" customFormat="1" ht="12" customHeight="1">
      <c r="A326" s="311"/>
      <c r="B326" s="311"/>
      <c r="C326" s="311"/>
      <c r="D326" s="311"/>
      <c r="E326" s="311"/>
      <c r="F326" s="311"/>
      <c r="G326" s="311"/>
      <c r="H326" s="311"/>
      <c r="I326" s="311"/>
      <c r="J326" s="311"/>
      <c r="K326" s="311"/>
      <c r="L326" s="311"/>
      <c r="M326" s="311"/>
      <c r="N326" s="311"/>
      <c r="O326" s="311"/>
      <c r="P326" s="1033"/>
      <c r="Q326" s="3652"/>
      <c r="R326" s="1031"/>
      <c r="X326" s="311"/>
      <c r="Y326" s="311"/>
      <c r="Z326" s="311"/>
      <c r="AA326" s="311"/>
      <c r="AB326" s="311"/>
      <c r="AC326" s="311"/>
      <c r="AD326" s="311"/>
      <c r="AE326" s="311"/>
      <c r="AF326" s="311"/>
      <c r="AG326" s="311"/>
      <c r="AH326" s="311"/>
      <c r="AI326" s="311"/>
      <c r="AJ326" s="311"/>
      <c r="AK326" s="311"/>
      <c r="AL326" s="311"/>
      <c r="AM326" s="311"/>
      <c r="AN326" s="311"/>
      <c r="AO326" s="311"/>
      <c r="AP326" s="311"/>
      <c r="AQ326" s="311"/>
      <c r="AR326" s="311"/>
    </row>
    <row r="327" spans="1:44" s="475" customFormat="1" ht="12" customHeight="1">
      <c r="A327" s="311"/>
      <c r="B327" s="311"/>
      <c r="C327" s="311"/>
      <c r="D327" s="311"/>
      <c r="E327" s="311"/>
      <c r="F327" s="311"/>
      <c r="G327" s="311"/>
      <c r="H327" s="311"/>
      <c r="I327" s="311"/>
      <c r="J327" s="311"/>
      <c r="K327" s="311"/>
      <c r="L327" s="311"/>
      <c r="M327" s="311"/>
      <c r="N327" s="311"/>
      <c r="O327" s="311"/>
      <c r="P327" s="1033"/>
      <c r="Q327" s="1031"/>
      <c r="R327" s="1031"/>
      <c r="X327" s="311"/>
      <c r="Y327" s="311"/>
      <c r="Z327" s="311"/>
      <c r="AA327" s="311"/>
      <c r="AB327" s="311"/>
      <c r="AC327" s="311"/>
      <c r="AD327" s="311"/>
      <c r="AE327" s="311"/>
      <c r="AF327" s="311"/>
      <c r="AG327" s="311"/>
      <c r="AH327" s="311"/>
      <c r="AI327" s="311"/>
      <c r="AJ327" s="311"/>
      <c r="AK327" s="311"/>
      <c r="AL327" s="311"/>
      <c r="AM327" s="311"/>
      <c r="AN327" s="311"/>
      <c r="AO327" s="311"/>
      <c r="AP327" s="311"/>
      <c r="AQ327" s="311"/>
      <c r="AR327" s="311"/>
    </row>
    <row r="328" spans="1:44" s="475" customFormat="1" ht="12" customHeight="1">
      <c r="A328" s="311"/>
      <c r="B328" s="311"/>
      <c r="C328" s="311"/>
      <c r="D328" s="311"/>
      <c r="E328" s="311"/>
      <c r="F328" s="311"/>
      <c r="G328" s="311"/>
      <c r="H328" s="311"/>
      <c r="I328" s="311"/>
      <c r="J328" s="311"/>
      <c r="K328" s="311"/>
      <c r="L328" s="311"/>
      <c r="M328" s="311"/>
      <c r="N328" s="311"/>
      <c r="O328" s="311"/>
      <c r="P328" s="3654"/>
      <c r="Q328" s="1031"/>
      <c r="R328" s="1031"/>
      <c r="X328" s="311"/>
      <c r="Y328" s="311"/>
      <c r="Z328" s="311"/>
      <c r="AA328" s="311"/>
      <c r="AB328" s="311"/>
      <c r="AC328" s="311"/>
      <c r="AD328" s="311"/>
      <c r="AE328" s="311"/>
      <c r="AF328" s="311"/>
      <c r="AG328" s="311"/>
      <c r="AH328" s="311"/>
      <c r="AI328" s="311"/>
      <c r="AJ328" s="311"/>
      <c r="AK328" s="311"/>
      <c r="AL328" s="311"/>
      <c r="AM328" s="311"/>
      <c r="AN328" s="311"/>
      <c r="AO328" s="311"/>
      <c r="AP328" s="311"/>
      <c r="AQ328" s="311"/>
      <c r="AR328" s="311"/>
    </row>
    <row r="329" spans="1:44" s="475" customFormat="1" ht="12" customHeight="1">
      <c r="A329" s="311"/>
      <c r="B329" s="311"/>
      <c r="C329" s="311"/>
      <c r="D329" s="311"/>
      <c r="E329" s="311"/>
      <c r="F329" s="311"/>
      <c r="G329" s="311"/>
      <c r="H329" s="311"/>
      <c r="I329" s="311"/>
      <c r="J329" s="311"/>
      <c r="K329" s="311"/>
      <c r="L329" s="311"/>
      <c r="M329" s="311"/>
      <c r="N329" s="311"/>
      <c r="O329" s="311"/>
      <c r="P329" s="1033"/>
      <c r="Q329" s="3652"/>
      <c r="R329" s="1031"/>
      <c r="X329" s="311"/>
      <c r="Y329" s="311"/>
      <c r="Z329" s="311"/>
      <c r="AA329" s="311"/>
      <c r="AB329" s="311"/>
      <c r="AC329" s="311"/>
      <c r="AD329" s="311"/>
      <c r="AE329" s="311"/>
      <c r="AF329" s="311"/>
      <c r="AG329" s="311"/>
      <c r="AH329" s="311"/>
      <c r="AI329" s="311"/>
      <c r="AJ329" s="311"/>
      <c r="AK329" s="311"/>
      <c r="AL329" s="311"/>
      <c r="AM329" s="311"/>
      <c r="AN329" s="311"/>
      <c r="AO329" s="311"/>
      <c r="AP329" s="311"/>
      <c r="AQ329" s="311"/>
      <c r="AR329" s="311"/>
    </row>
    <row r="330" spans="1:44" s="475" customFormat="1" ht="12" customHeight="1">
      <c r="A330" s="311"/>
      <c r="B330" s="311"/>
      <c r="C330" s="311"/>
      <c r="D330" s="311"/>
      <c r="E330" s="311"/>
      <c r="F330" s="311"/>
      <c r="G330" s="311"/>
      <c r="H330" s="311"/>
      <c r="I330" s="311"/>
      <c r="J330" s="311"/>
      <c r="K330" s="311"/>
      <c r="L330" s="311"/>
      <c r="M330" s="311"/>
      <c r="N330" s="311"/>
      <c r="O330" s="311"/>
      <c r="P330" s="1033"/>
      <c r="Q330" s="3652"/>
      <c r="R330" s="1031"/>
      <c r="X330" s="311"/>
      <c r="Y330" s="311"/>
      <c r="Z330" s="311"/>
      <c r="AA330" s="311"/>
      <c r="AB330" s="311"/>
      <c r="AC330" s="311"/>
      <c r="AD330" s="311"/>
      <c r="AE330" s="311"/>
      <c r="AF330" s="311"/>
      <c r="AG330" s="311"/>
      <c r="AH330" s="311"/>
      <c r="AI330" s="311"/>
      <c r="AJ330" s="311"/>
      <c r="AK330" s="311"/>
      <c r="AL330" s="311"/>
      <c r="AM330" s="311"/>
      <c r="AN330" s="311"/>
      <c r="AO330" s="311"/>
      <c r="AP330" s="311"/>
      <c r="AQ330" s="311"/>
      <c r="AR330" s="311"/>
    </row>
    <row r="331" spans="1:44" s="475" customFormat="1" ht="12" customHeight="1">
      <c r="A331" s="311"/>
      <c r="B331" s="311"/>
      <c r="C331" s="311"/>
      <c r="D331" s="311"/>
      <c r="E331" s="311"/>
      <c r="F331" s="311"/>
      <c r="G331" s="311"/>
      <c r="H331" s="311"/>
      <c r="I331" s="311"/>
      <c r="J331" s="311"/>
      <c r="K331" s="311"/>
      <c r="L331" s="311"/>
      <c r="M331" s="311"/>
      <c r="N331" s="311"/>
      <c r="O331" s="311"/>
      <c r="P331" s="1033"/>
      <c r="Q331" s="3652"/>
      <c r="R331" s="1031"/>
      <c r="X331" s="311"/>
      <c r="Y331" s="311"/>
      <c r="Z331" s="311"/>
      <c r="AA331" s="311"/>
      <c r="AB331" s="311"/>
      <c r="AC331" s="311"/>
      <c r="AD331" s="311"/>
      <c r="AE331" s="311"/>
      <c r="AF331" s="311"/>
      <c r="AG331" s="311"/>
      <c r="AH331" s="311"/>
      <c r="AI331" s="311"/>
      <c r="AJ331" s="311"/>
      <c r="AK331" s="311"/>
      <c r="AL331" s="311"/>
      <c r="AM331" s="311"/>
      <c r="AN331" s="311"/>
      <c r="AO331" s="311"/>
      <c r="AP331" s="311"/>
      <c r="AQ331" s="311"/>
      <c r="AR331" s="311"/>
    </row>
    <row r="332" spans="1:44" s="475" customFormat="1" ht="12" customHeight="1">
      <c r="A332" s="311"/>
      <c r="B332" s="311"/>
      <c r="C332" s="311"/>
      <c r="D332" s="311"/>
      <c r="E332" s="311"/>
      <c r="F332" s="311"/>
      <c r="G332" s="311"/>
      <c r="H332" s="311"/>
      <c r="I332" s="311"/>
      <c r="J332" s="311"/>
      <c r="K332" s="311"/>
      <c r="L332" s="311"/>
      <c r="M332" s="311"/>
      <c r="N332" s="311"/>
      <c r="O332" s="311"/>
      <c r="P332" s="3653"/>
      <c r="Q332" s="1031"/>
      <c r="R332" s="1031"/>
      <c r="X332" s="311"/>
      <c r="Y332" s="311"/>
      <c r="Z332" s="311"/>
      <c r="AA332" s="311"/>
      <c r="AB332" s="311"/>
      <c r="AC332" s="311"/>
      <c r="AD332" s="311"/>
      <c r="AE332" s="311"/>
      <c r="AF332" s="311"/>
      <c r="AG332" s="311"/>
      <c r="AH332" s="311"/>
      <c r="AI332" s="311"/>
      <c r="AJ332" s="311"/>
      <c r="AK332" s="311"/>
      <c r="AL332" s="311"/>
      <c r="AM332" s="311"/>
      <c r="AN332" s="311"/>
      <c r="AO332" s="311"/>
      <c r="AP332" s="311"/>
      <c r="AQ332" s="311"/>
      <c r="AR332" s="311"/>
    </row>
    <row r="333" spans="1:44" s="475" customFormat="1" ht="12" customHeight="1">
      <c r="A333" s="311"/>
      <c r="B333" s="311"/>
      <c r="C333" s="311"/>
      <c r="D333" s="311"/>
      <c r="E333" s="311"/>
      <c r="F333" s="311"/>
      <c r="G333" s="311"/>
      <c r="H333" s="311"/>
      <c r="I333" s="311"/>
      <c r="J333" s="311"/>
      <c r="K333" s="311"/>
      <c r="L333" s="311"/>
      <c r="M333" s="311"/>
      <c r="N333" s="311"/>
      <c r="O333" s="311"/>
      <c r="P333" s="1033"/>
      <c r="Q333" s="3652"/>
      <c r="R333" s="1031"/>
      <c r="X333" s="311"/>
      <c r="Y333" s="311"/>
      <c r="Z333" s="311"/>
      <c r="AA333" s="311"/>
      <c r="AB333" s="311"/>
      <c r="AC333" s="311"/>
      <c r="AD333" s="311"/>
      <c r="AE333" s="311"/>
      <c r="AF333" s="311"/>
      <c r="AG333" s="311"/>
      <c r="AH333" s="311"/>
      <c r="AI333" s="311"/>
      <c r="AJ333" s="311"/>
      <c r="AK333" s="311"/>
      <c r="AL333" s="311"/>
      <c r="AM333" s="311"/>
      <c r="AN333" s="311"/>
      <c r="AO333" s="311"/>
      <c r="AP333" s="311"/>
      <c r="AQ333" s="311"/>
      <c r="AR333" s="311"/>
    </row>
    <row r="334" spans="1:44" s="475" customFormat="1" ht="12" customHeight="1">
      <c r="A334" s="311"/>
      <c r="B334" s="311"/>
      <c r="C334" s="311"/>
      <c r="D334" s="311"/>
      <c r="E334" s="311"/>
      <c r="F334" s="311"/>
      <c r="G334" s="311"/>
      <c r="H334" s="311"/>
      <c r="I334" s="311"/>
      <c r="J334" s="311"/>
      <c r="K334" s="311"/>
      <c r="L334" s="311"/>
      <c r="M334" s="311"/>
      <c r="N334" s="311"/>
      <c r="O334" s="311"/>
      <c r="P334" s="3654"/>
      <c r="Q334" s="3652"/>
      <c r="R334" s="1031"/>
      <c r="X334" s="311"/>
      <c r="Y334" s="311"/>
      <c r="Z334" s="311"/>
      <c r="AA334" s="311"/>
      <c r="AB334" s="311"/>
      <c r="AC334" s="311"/>
      <c r="AD334" s="311"/>
      <c r="AE334" s="311"/>
      <c r="AF334" s="311"/>
      <c r="AG334" s="311"/>
      <c r="AH334" s="311"/>
      <c r="AI334" s="311"/>
      <c r="AJ334" s="311"/>
      <c r="AK334" s="311"/>
      <c r="AL334" s="311"/>
      <c r="AM334" s="311"/>
      <c r="AN334" s="311"/>
      <c r="AO334" s="311"/>
      <c r="AP334" s="311"/>
      <c r="AQ334" s="311"/>
      <c r="AR334" s="311"/>
    </row>
    <row r="335" spans="1:44" s="475" customFormat="1" ht="12" customHeight="1">
      <c r="A335" s="311"/>
      <c r="B335" s="311"/>
      <c r="C335" s="311"/>
      <c r="D335" s="311"/>
      <c r="E335" s="311"/>
      <c r="F335" s="311"/>
      <c r="G335" s="311"/>
      <c r="H335" s="311"/>
      <c r="I335" s="311"/>
      <c r="J335" s="311"/>
      <c r="K335" s="311"/>
      <c r="L335" s="311"/>
      <c r="M335" s="311"/>
      <c r="N335" s="311"/>
      <c r="O335" s="311"/>
      <c r="P335" s="1033"/>
      <c r="Q335" s="1031"/>
      <c r="R335" s="1031"/>
      <c r="X335" s="311"/>
      <c r="Y335" s="311"/>
      <c r="Z335" s="311"/>
      <c r="AA335" s="311"/>
      <c r="AB335" s="311"/>
      <c r="AC335" s="311"/>
      <c r="AD335" s="311"/>
      <c r="AE335" s="311"/>
      <c r="AF335" s="311"/>
      <c r="AG335" s="311"/>
      <c r="AH335" s="311"/>
      <c r="AI335" s="311"/>
      <c r="AJ335" s="311"/>
      <c r="AK335" s="311"/>
      <c r="AL335" s="311"/>
      <c r="AM335" s="311"/>
      <c r="AN335" s="311"/>
      <c r="AO335" s="311"/>
      <c r="AP335" s="311"/>
      <c r="AQ335" s="311"/>
      <c r="AR335" s="311"/>
    </row>
    <row r="336" spans="1:44" s="475" customFormat="1" ht="12" customHeight="1">
      <c r="A336" s="311"/>
      <c r="B336" s="311"/>
      <c r="C336" s="311"/>
      <c r="D336" s="311"/>
      <c r="E336" s="311"/>
      <c r="F336" s="311"/>
      <c r="G336" s="311"/>
      <c r="H336" s="311"/>
      <c r="I336" s="311"/>
      <c r="J336" s="311"/>
      <c r="K336" s="311"/>
      <c r="L336" s="311"/>
      <c r="M336" s="311"/>
      <c r="N336" s="311"/>
      <c r="O336" s="311"/>
      <c r="P336" s="1033"/>
      <c r="Q336" s="3652"/>
      <c r="R336" s="1031"/>
      <c r="X336" s="311"/>
      <c r="Y336" s="311"/>
      <c r="Z336" s="311"/>
      <c r="AA336" s="311"/>
      <c r="AB336" s="311"/>
      <c r="AC336" s="311"/>
      <c r="AD336" s="311"/>
      <c r="AE336" s="311"/>
      <c r="AF336" s="311"/>
      <c r="AG336" s="311"/>
      <c r="AH336" s="311"/>
      <c r="AI336" s="311"/>
      <c r="AJ336" s="311"/>
      <c r="AK336" s="311"/>
      <c r="AL336" s="311"/>
      <c r="AM336" s="311"/>
      <c r="AN336" s="311"/>
      <c r="AO336" s="311"/>
      <c r="AP336" s="311"/>
      <c r="AQ336" s="311"/>
      <c r="AR336" s="311"/>
    </row>
    <row r="337" spans="1:44" s="475" customFormat="1" ht="12" customHeight="1">
      <c r="A337" s="311"/>
      <c r="B337" s="311"/>
      <c r="C337" s="311"/>
      <c r="D337" s="311"/>
      <c r="E337" s="311"/>
      <c r="F337" s="311"/>
      <c r="G337" s="311"/>
      <c r="H337" s="311"/>
      <c r="I337" s="311"/>
      <c r="J337" s="311"/>
      <c r="K337" s="311"/>
      <c r="L337" s="311"/>
      <c r="M337" s="311"/>
      <c r="N337" s="311"/>
      <c r="O337" s="311"/>
      <c r="P337" s="1033"/>
      <c r="Q337" s="3652"/>
      <c r="R337" s="1031"/>
      <c r="X337" s="311"/>
      <c r="Y337" s="311"/>
      <c r="Z337" s="311"/>
      <c r="AA337" s="311"/>
      <c r="AB337" s="311"/>
      <c r="AC337" s="311"/>
      <c r="AD337" s="311"/>
      <c r="AE337" s="311"/>
      <c r="AF337" s="311"/>
      <c r="AG337" s="311"/>
      <c r="AH337" s="311"/>
      <c r="AI337" s="311"/>
      <c r="AJ337" s="311"/>
      <c r="AK337" s="311"/>
      <c r="AL337" s="311"/>
      <c r="AM337" s="311"/>
      <c r="AN337" s="311"/>
      <c r="AO337" s="311"/>
      <c r="AP337" s="311"/>
      <c r="AQ337" s="311"/>
      <c r="AR337" s="311"/>
    </row>
    <row r="338" spans="1:44" s="475" customFormat="1" ht="12" customHeight="1">
      <c r="A338" s="311"/>
      <c r="B338" s="311"/>
      <c r="C338" s="311"/>
      <c r="D338" s="311"/>
      <c r="E338" s="311"/>
      <c r="F338" s="311"/>
      <c r="G338" s="311"/>
      <c r="H338" s="311"/>
      <c r="I338" s="311"/>
      <c r="J338" s="311"/>
      <c r="K338" s="311"/>
      <c r="L338" s="311"/>
      <c r="M338" s="311"/>
      <c r="N338" s="311"/>
      <c r="O338" s="311"/>
      <c r="P338" s="1033"/>
      <c r="Q338" s="3652"/>
      <c r="R338" s="1031"/>
      <c r="X338" s="311"/>
      <c r="Y338" s="311"/>
      <c r="Z338" s="311"/>
      <c r="AA338" s="311"/>
      <c r="AB338" s="311"/>
      <c r="AC338" s="311"/>
      <c r="AD338" s="311"/>
      <c r="AE338" s="311"/>
      <c r="AF338" s="311"/>
      <c r="AG338" s="311"/>
      <c r="AH338" s="311"/>
      <c r="AI338" s="311"/>
      <c r="AJ338" s="311"/>
      <c r="AK338" s="311"/>
      <c r="AL338" s="311"/>
      <c r="AM338" s="311"/>
      <c r="AN338" s="311"/>
      <c r="AO338" s="311"/>
      <c r="AP338" s="311"/>
      <c r="AQ338" s="311"/>
      <c r="AR338" s="311"/>
    </row>
    <row r="339" spans="1:44" s="475" customFormat="1" ht="12" customHeight="1">
      <c r="A339" s="311"/>
      <c r="B339" s="311"/>
      <c r="C339" s="311"/>
      <c r="D339" s="311"/>
      <c r="E339" s="311"/>
      <c r="F339" s="311"/>
      <c r="G339" s="311"/>
      <c r="H339" s="311"/>
      <c r="I339" s="311"/>
      <c r="J339" s="311"/>
      <c r="K339" s="311"/>
      <c r="L339" s="311"/>
      <c r="M339" s="311"/>
      <c r="N339" s="311"/>
      <c r="O339" s="311"/>
      <c r="P339" s="1033"/>
      <c r="Q339" s="1031"/>
      <c r="R339" s="1031"/>
      <c r="X339" s="311"/>
      <c r="Y339" s="311"/>
      <c r="Z339" s="311"/>
      <c r="AA339" s="311"/>
      <c r="AB339" s="311"/>
      <c r="AC339" s="311"/>
      <c r="AD339" s="311"/>
      <c r="AE339" s="311"/>
      <c r="AF339" s="311"/>
      <c r="AG339" s="311"/>
      <c r="AH339" s="311"/>
      <c r="AI339" s="311"/>
      <c r="AJ339" s="311"/>
      <c r="AK339" s="311"/>
      <c r="AL339" s="311"/>
      <c r="AM339" s="311"/>
      <c r="AN339" s="311"/>
      <c r="AO339" s="311"/>
      <c r="AP339" s="311"/>
      <c r="AQ339" s="311"/>
      <c r="AR339" s="311"/>
    </row>
    <row r="340" spans="1:44" s="475" customFormat="1" ht="12" customHeight="1">
      <c r="A340" s="311"/>
      <c r="B340" s="311"/>
      <c r="C340" s="311"/>
      <c r="D340" s="311"/>
      <c r="E340" s="311"/>
      <c r="F340" s="311"/>
      <c r="G340" s="311"/>
      <c r="H340" s="311"/>
      <c r="I340" s="311"/>
      <c r="J340" s="311"/>
      <c r="K340" s="311"/>
      <c r="L340" s="311"/>
      <c r="M340" s="311"/>
      <c r="N340" s="311"/>
      <c r="O340" s="311"/>
      <c r="P340" s="3653"/>
      <c r="Q340" s="3652"/>
      <c r="R340" s="1031"/>
      <c r="X340" s="311"/>
      <c r="Y340" s="311"/>
      <c r="Z340" s="311"/>
      <c r="AA340" s="311"/>
      <c r="AB340" s="311"/>
      <c r="AC340" s="311"/>
      <c r="AD340" s="311"/>
      <c r="AE340" s="311"/>
      <c r="AF340" s="311"/>
      <c r="AG340" s="311"/>
      <c r="AH340" s="311"/>
      <c r="AI340" s="311"/>
      <c r="AJ340" s="311"/>
      <c r="AK340" s="311"/>
      <c r="AL340" s="311"/>
      <c r="AM340" s="311"/>
      <c r="AN340" s="311"/>
      <c r="AO340" s="311"/>
      <c r="AP340" s="311"/>
      <c r="AQ340" s="311"/>
      <c r="AR340" s="311"/>
    </row>
    <row r="341" spans="1:44" s="475" customFormat="1" ht="12" customHeight="1">
      <c r="A341" s="311"/>
      <c r="B341" s="311"/>
      <c r="C341" s="311"/>
      <c r="D341" s="311"/>
      <c r="E341" s="311"/>
      <c r="F341" s="311"/>
      <c r="G341" s="311"/>
      <c r="H341" s="311"/>
      <c r="I341" s="311"/>
      <c r="J341" s="311"/>
      <c r="K341" s="311"/>
      <c r="L341" s="311"/>
      <c r="M341" s="311"/>
      <c r="N341" s="311"/>
      <c r="O341" s="311"/>
      <c r="P341" s="1033"/>
      <c r="Q341" s="3652"/>
      <c r="R341" s="1031"/>
      <c r="X341" s="311"/>
      <c r="Y341" s="311"/>
      <c r="Z341" s="311"/>
      <c r="AA341" s="311"/>
      <c r="AB341" s="311"/>
      <c r="AC341" s="311"/>
      <c r="AD341" s="311"/>
      <c r="AE341" s="311"/>
      <c r="AF341" s="311"/>
      <c r="AG341" s="311"/>
      <c r="AH341" s="311"/>
      <c r="AI341" s="311"/>
      <c r="AJ341" s="311"/>
      <c r="AK341" s="311"/>
      <c r="AL341" s="311"/>
      <c r="AM341" s="311"/>
      <c r="AN341" s="311"/>
      <c r="AO341" s="311"/>
      <c r="AP341" s="311"/>
      <c r="AQ341" s="311"/>
      <c r="AR341" s="311"/>
    </row>
    <row r="342" spans="1:44" s="475" customFormat="1" ht="12" customHeight="1">
      <c r="A342" s="311"/>
      <c r="B342" s="311"/>
      <c r="C342" s="311"/>
      <c r="D342" s="311"/>
      <c r="E342" s="311"/>
      <c r="F342" s="311"/>
      <c r="G342" s="311"/>
      <c r="H342" s="311"/>
      <c r="I342" s="311"/>
      <c r="J342" s="311"/>
      <c r="K342" s="311"/>
      <c r="L342" s="311"/>
      <c r="M342" s="311"/>
      <c r="N342" s="311"/>
      <c r="O342" s="311"/>
      <c r="P342" s="1033"/>
      <c r="Q342" s="3652"/>
      <c r="R342" s="1031"/>
      <c r="X342" s="311"/>
      <c r="Y342" s="311"/>
      <c r="Z342" s="311"/>
      <c r="AA342" s="311"/>
      <c r="AB342" s="311"/>
      <c r="AC342" s="311"/>
      <c r="AD342" s="311"/>
      <c r="AE342" s="311"/>
      <c r="AF342" s="311"/>
      <c r="AG342" s="311"/>
      <c r="AH342" s="311"/>
      <c r="AI342" s="311"/>
      <c r="AJ342" s="311"/>
      <c r="AK342" s="311"/>
      <c r="AL342" s="311"/>
      <c r="AM342" s="311"/>
      <c r="AN342" s="311"/>
      <c r="AO342" s="311"/>
      <c r="AP342" s="311"/>
      <c r="AQ342" s="311"/>
      <c r="AR342" s="311"/>
    </row>
    <row r="343" spans="1:44" s="475" customFormat="1" ht="12" customHeight="1">
      <c r="A343" s="311"/>
      <c r="B343" s="311"/>
      <c r="C343" s="311"/>
      <c r="D343" s="311"/>
      <c r="E343" s="311"/>
      <c r="F343" s="311"/>
      <c r="G343" s="311"/>
      <c r="H343" s="311"/>
      <c r="I343" s="311"/>
      <c r="J343" s="311"/>
      <c r="K343" s="311"/>
      <c r="L343" s="311"/>
      <c r="M343" s="311"/>
      <c r="N343" s="311"/>
      <c r="O343" s="311"/>
      <c r="P343" s="1033"/>
      <c r="Q343" s="3652"/>
      <c r="R343" s="1031"/>
      <c r="X343" s="311"/>
      <c r="Y343" s="311"/>
      <c r="Z343" s="311"/>
      <c r="AA343" s="311"/>
      <c r="AB343" s="311"/>
      <c r="AC343" s="311"/>
      <c r="AD343" s="311"/>
      <c r="AE343" s="311"/>
      <c r="AF343" s="311"/>
      <c r="AG343" s="311"/>
      <c r="AH343" s="311"/>
      <c r="AI343" s="311"/>
      <c r="AJ343" s="311"/>
      <c r="AK343" s="311"/>
      <c r="AL343" s="311"/>
      <c r="AM343" s="311"/>
      <c r="AN343" s="311"/>
      <c r="AO343" s="311"/>
      <c r="AP343" s="311"/>
      <c r="AQ343" s="311"/>
      <c r="AR343" s="311"/>
    </row>
    <row r="344" spans="1:44" s="475" customFormat="1" ht="12" customHeight="1">
      <c r="A344" s="311"/>
      <c r="B344" s="311"/>
      <c r="C344" s="311"/>
      <c r="D344" s="311"/>
      <c r="E344" s="311"/>
      <c r="F344" s="311"/>
      <c r="G344" s="311"/>
      <c r="H344" s="311"/>
      <c r="I344" s="311"/>
      <c r="J344" s="311"/>
      <c r="K344" s="311"/>
      <c r="L344" s="311"/>
      <c r="M344" s="311"/>
      <c r="N344" s="311"/>
      <c r="O344" s="311"/>
      <c r="P344" s="1033"/>
      <c r="Q344" s="3652"/>
      <c r="R344" s="1031"/>
      <c r="X344" s="311"/>
      <c r="Y344" s="311"/>
      <c r="Z344" s="311"/>
      <c r="AA344" s="311"/>
      <c r="AB344" s="311"/>
      <c r="AC344" s="311"/>
      <c r="AD344" s="311"/>
      <c r="AE344" s="311"/>
      <c r="AF344" s="311"/>
      <c r="AG344" s="311"/>
      <c r="AH344" s="311"/>
      <c r="AI344" s="311"/>
      <c r="AJ344" s="311"/>
      <c r="AK344" s="311"/>
      <c r="AL344" s="311"/>
      <c r="AM344" s="311"/>
      <c r="AN344" s="311"/>
      <c r="AO344" s="311"/>
      <c r="AP344" s="311"/>
      <c r="AQ344" s="311"/>
      <c r="AR344" s="311"/>
    </row>
    <row r="345" spans="1:44" s="475" customFormat="1" ht="12" customHeight="1">
      <c r="A345" s="311"/>
      <c r="B345" s="311"/>
      <c r="C345" s="311"/>
      <c r="D345" s="311"/>
      <c r="E345" s="311"/>
      <c r="F345" s="311"/>
      <c r="G345" s="311"/>
      <c r="H345" s="311"/>
      <c r="I345" s="311"/>
      <c r="J345" s="311"/>
      <c r="K345" s="311"/>
      <c r="L345" s="311"/>
      <c r="M345" s="311"/>
      <c r="N345" s="311"/>
      <c r="O345" s="311"/>
      <c r="P345" s="1033"/>
      <c r="Q345" s="3652"/>
      <c r="R345" s="1031"/>
      <c r="X345" s="311"/>
      <c r="Y345" s="311"/>
      <c r="Z345" s="311"/>
      <c r="AA345" s="311"/>
      <c r="AB345" s="311"/>
      <c r="AC345" s="311"/>
      <c r="AD345" s="311"/>
      <c r="AE345" s="311"/>
      <c r="AF345" s="311"/>
      <c r="AG345" s="311"/>
      <c r="AH345" s="311"/>
      <c r="AI345" s="311"/>
      <c r="AJ345" s="311"/>
      <c r="AK345" s="311"/>
      <c r="AL345" s="311"/>
      <c r="AM345" s="311"/>
      <c r="AN345" s="311"/>
      <c r="AO345" s="311"/>
      <c r="AP345" s="311"/>
      <c r="AQ345" s="311"/>
      <c r="AR345" s="311"/>
    </row>
    <row r="346" spans="1:44" s="475" customFormat="1" ht="12" customHeight="1">
      <c r="A346" s="311"/>
      <c r="B346" s="311"/>
      <c r="C346" s="311"/>
      <c r="D346" s="311"/>
      <c r="E346" s="311"/>
      <c r="F346" s="311"/>
      <c r="G346" s="311"/>
      <c r="H346" s="311"/>
      <c r="I346" s="311"/>
      <c r="J346" s="311"/>
      <c r="K346" s="311"/>
      <c r="L346" s="311"/>
      <c r="M346" s="311"/>
      <c r="N346" s="311"/>
      <c r="O346" s="311"/>
      <c r="P346" s="1033"/>
      <c r="Q346" s="3652"/>
      <c r="R346" s="1031"/>
      <c r="X346" s="311"/>
      <c r="Y346" s="311"/>
      <c r="Z346" s="311"/>
      <c r="AA346" s="311"/>
      <c r="AB346" s="311"/>
      <c r="AC346" s="311"/>
      <c r="AD346" s="311"/>
      <c r="AE346" s="311"/>
      <c r="AF346" s="311"/>
      <c r="AG346" s="311"/>
      <c r="AH346" s="311"/>
      <c r="AI346" s="311"/>
      <c r="AJ346" s="311"/>
      <c r="AK346" s="311"/>
      <c r="AL346" s="311"/>
      <c r="AM346" s="311"/>
      <c r="AN346" s="311"/>
      <c r="AO346" s="311"/>
      <c r="AP346" s="311"/>
      <c r="AQ346" s="311"/>
      <c r="AR346" s="311"/>
    </row>
    <row r="347" spans="1:44" s="475" customFormat="1" ht="12" customHeight="1">
      <c r="A347" s="311"/>
      <c r="B347" s="311"/>
      <c r="C347" s="311"/>
      <c r="D347" s="311"/>
      <c r="E347" s="311"/>
      <c r="F347" s="311"/>
      <c r="G347" s="311"/>
      <c r="H347" s="311"/>
      <c r="I347" s="311"/>
      <c r="J347" s="311"/>
      <c r="K347" s="311"/>
      <c r="L347" s="311"/>
      <c r="M347" s="311"/>
      <c r="N347" s="311"/>
      <c r="O347" s="311"/>
      <c r="P347" s="1033"/>
      <c r="Q347" s="3652"/>
      <c r="R347" s="1031"/>
      <c r="X347" s="311"/>
      <c r="Y347" s="311"/>
      <c r="Z347" s="311"/>
      <c r="AA347" s="311"/>
      <c r="AB347" s="311"/>
      <c r="AC347" s="311"/>
      <c r="AD347" s="311"/>
      <c r="AE347" s="311"/>
      <c r="AF347" s="311"/>
      <c r="AG347" s="311"/>
      <c r="AH347" s="311"/>
      <c r="AI347" s="311"/>
      <c r="AJ347" s="311"/>
      <c r="AK347" s="311"/>
      <c r="AL347" s="311"/>
      <c r="AM347" s="311"/>
      <c r="AN347" s="311"/>
      <c r="AO347" s="311"/>
      <c r="AP347" s="311"/>
      <c r="AQ347" s="311"/>
      <c r="AR347" s="311"/>
    </row>
    <row r="348" spans="1:44" s="475" customFormat="1" ht="12" customHeight="1">
      <c r="A348" s="311"/>
      <c r="B348" s="311"/>
      <c r="C348" s="311"/>
      <c r="D348" s="311"/>
      <c r="E348" s="311"/>
      <c r="F348" s="311"/>
      <c r="G348" s="311"/>
      <c r="H348" s="311"/>
      <c r="I348" s="311"/>
      <c r="J348" s="311"/>
      <c r="K348" s="311"/>
      <c r="L348" s="311"/>
      <c r="M348" s="311"/>
      <c r="N348" s="311"/>
      <c r="O348" s="311"/>
      <c r="P348" s="1033"/>
      <c r="Q348" s="3652"/>
      <c r="R348" s="1031"/>
      <c r="X348" s="311"/>
      <c r="Y348" s="311"/>
      <c r="Z348" s="311"/>
      <c r="AA348" s="311"/>
      <c r="AB348" s="311"/>
      <c r="AC348" s="311"/>
      <c r="AD348" s="311"/>
      <c r="AE348" s="311"/>
      <c r="AF348" s="311"/>
      <c r="AG348" s="311"/>
      <c r="AH348" s="311"/>
      <c r="AI348" s="311"/>
      <c r="AJ348" s="311"/>
      <c r="AK348" s="311"/>
      <c r="AL348" s="311"/>
      <c r="AM348" s="311"/>
      <c r="AN348" s="311"/>
      <c r="AO348" s="311"/>
      <c r="AP348" s="311"/>
      <c r="AQ348" s="311"/>
      <c r="AR348" s="311"/>
    </row>
    <row r="349" spans="1:44" s="475" customFormat="1" ht="12" customHeight="1">
      <c r="A349" s="311"/>
      <c r="B349" s="311"/>
      <c r="C349" s="311"/>
      <c r="D349" s="311"/>
      <c r="E349" s="311"/>
      <c r="F349" s="311"/>
      <c r="G349" s="311"/>
      <c r="H349" s="311"/>
      <c r="I349" s="311"/>
      <c r="J349" s="311"/>
      <c r="K349" s="311"/>
      <c r="L349" s="311"/>
      <c r="M349" s="311"/>
      <c r="N349" s="311"/>
      <c r="O349" s="311"/>
      <c r="P349" s="1033"/>
      <c r="Q349" s="3652"/>
      <c r="R349" s="1031"/>
      <c r="X349" s="311"/>
      <c r="Y349" s="311"/>
      <c r="Z349" s="311"/>
      <c r="AA349" s="311"/>
      <c r="AB349" s="311"/>
      <c r="AC349" s="311"/>
      <c r="AD349" s="311"/>
      <c r="AE349" s="311"/>
      <c r="AF349" s="311"/>
      <c r="AG349" s="311"/>
      <c r="AH349" s="311"/>
      <c r="AI349" s="311"/>
      <c r="AJ349" s="311"/>
      <c r="AK349" s="311"/>
      <c r="AL349" s="311"/>
      <c r="AM349" s="311"/>
      <c r="AN349" s="311"/>
      <c r="AO349" s="311"/>
      <c r="AP349" s="311"/>
      <c r="AQ349" s="311"/>
      <c r="AR349" s="311"/>
    </row>
    <row r="350" spans="1:44" s="475" customFormat="1" ht="12" customHeight="1">
      <c r="A350" s="311"/>
      <c r="B350" s="311"/>
      <c r="C350" s="311"/>
      <c r="D350" s="311"/>
      <c r="E350" s="311"/>
      <c r="F350" s="311"/>
      <c r="G350" s="311"/>
      <c r="H350" s="311"/>
      <c r="I350" s="311"/>
      <c r="J350" s="311"/>
      <c r="K350" s="311"/>
      <c r="L350" s="311"/>
      <c r="M350" s="311"/>
      <c r="N350" s="311"/>
      <c r="O350" s="311"/>
      <c r="P350" s="1033"/>
      <c r="Q350" s="3652"/>
      <c r="R350" s="1031"/>
      <c r="X350" s="311"/>
      <c r="Y350" s="311"/>
      <c r="Z350" s="311"/>
      <c r="AA350" s="311"/>
      <c r="AB350" s="311"/>
      <c r="AC350" s="311"/>
      <c r="AD350" s="311"/>
      <c r="AE350" s="311"/>
      <c r="AF350" s="311"/>
      <c r="AG350" s="311"/>
      <c r="AH350" s="311"/>
      <c r="AI350" s="311"/>
      <c r="AJ350" s="311"/>
      <c r="AK350" s="311"/>
      <c r="AL350" s="311"/>
      <c r="AM350" s="311"/>
      <c r="AN350" s="311"/>
      <c r="AO350" s="311"/>
      <c r="AP350" s="311"/>
      <c r="AQ350" s="311"/>
      <c r="AR350" s="311"/>
    </row>
    <row r="351" spans="1:44" s="475" customFormat="1" ht="12" customHeight="1">
      <c r="A351" s="311"/>
      <c r="B351" s="311"/>
      <c r="C351" s="311"/>
      <c r="D351" s="311"/>
      <c r="E351" s="311"/>
      <c r="F351" s="311"/>
      <c r="G351" s="311"/>
      <c r="H351" s="311"/>
      <c r="I351" s="311"/>
      <c r="J351" s="311"/>
      <c r="K351" s="311"/>
      <c r="L351" s="311"/>
      <c r="M351" s="311"/>
      <c r="N351" s="311"/>
      <c r="O351" s="311"/>
      <c r="P351" s="1033"/>
      <c r="Q351" s="3652"/>
      <c r="R351" s="1031"/>
      <c r="X351" s="311"/>
      <c r="Y351" s="311"/>
      <c r="Z351" s="311"/>
      <c r="AA351" s="311"/>
      <c r="AB351" s="311"/>
      <c r="AC351" s="311"/>
      <c r="AD351" s="311"/>
      <c r="AE351" s="311"/>
      <c r="AF351" s="311"/>
      <c r="AG351" s="311"/>
      <c r="AH351" s="311"/>
      <c r="AI351" s="311"/>
      <c r="AJ351" s="311"/>
      <c r="AK351" s="311"/>
      <c r="AL351" s="311"/>
      <c r="AM351" s="311"/>
      <c r="AN351" s="311"/>
      <c r="AO351" s="311"/>
      <c r="AP351" s="311"/>
      <c r="AQ351" s="311"/>
      <c r="AR351" s="311"/>
    </row>
    <row r="352" spans="1:44" s="475" customFormat="1" ht="12" customHeight="1">
      <c r="A352" s="311"/>
      <c r="B352" s="311"/>
      <c r="C352" s="311"/>
      <c r="D352" s="311"/>
      <c r="E352" s="311"/>
      <c r="F352" s="311"/>
      <c r="G352" s="311"/>
      <c r="H352" s="311"/>
      <c r="I352" s="311"/>
      <c r="J352" s="311"/>
      <c r="K352" s="311"/>
      <c r="L352" s="311"/>
      <c r="M352" s="311"/>
      <c r="N352" s="311"/>
      <c r="O352" s="311"/>
      <c r="P352" s="1033"/>
      <c r="Q352" s="3652"/>
      <c r="R352" s="1031"/>
      <c r="X352" s="311"/>
      <c r="Y352" s="311"/>
      <c r="Z352" s="311"/>
      <c r="AA352" s="311"/>
      <c r="AB352" s="311"/>
      <c r="AC352" s="311"/>
      <c r="AD352" s="311"/>
      <c r="AE352" s="311"/>
      <c r="AF352" s="311"/>
      <c r="AG352" s="311"/>
      <c r="AH352" s="311"/>
      <c r="AI352" s="311"/>
      <c r="AJ352" s="311"/>
      <c r="AK352" s="311"/>
      <c r="AL352" s="311"/>
      <c r="AM352" s="311"/>
      <c r="AN352" s="311"/>
      <c r="AO352" s="311"/>
      <c r="AP352" s="311"/>
      <c r="AQ352" s="311"/>
      <c r="AR352" s="311"/>
    </row>
    <row r="353" spans="1:44" s="475" customFormat="1" ht="12" customHeight="1">
      <c r="A353" s="311"/>
      <c r="B353" s="311"/>
      <c r="C353" s="311"/>
      <c r="D353" s="311"/>
      <c r="E353" s="311"/>
      <c r="F353" s="311"/>
      <c r="G353" s="311"/>
      <c r="H353" s="311"/>
      <c r="I353" s="311"/>
      <c r="J353" s="311"/>
      <c r="K353" s="311"/>
      <c r="L353" s="311"/>
      <c r="M353" s="311"/>
      <c r="N353" s="311"/>
      <c r="O353" s="311"/>
      <c r="P353" s="1033"/>
      <c r="Q353" s="3652"/>
      <c r="R353" s="1031"/>
      <c r="X353" s="311"/>
      <c r="Y353" s="311"/>
      <c r="Z353" s="311"/>
      <c r="AA353" s="311"/>
      <c r="AB353" s="311"/>
      <c r="AC353" s="311"/>
      <c r="AD353" s="311"/>
      <c r="AE353" s="311"/>
      <c r="AF353" s="311"/>
      <c r="AG353" s="311"/>
      <c r="AH353" s="311"/>
      <c r="AI353" s="311"/>
      <c r="AJ353" s="311"/>
      <c r="AK353" s="311"/>
      <c r="AL353" s="311"/>
      <c r="AM353" s="311"/>
      <c r="AN353" s="311"/>
      <c r="AO353" s="311"/>
      <c r="AP353" s="311"/>
      <c r="AQ353" s="311"/>
      <c r="AR353" s="311"/>
    </row>
    <row r="354" spans="1:44" s="475" customFormat="1" ht="12" customHeight="1">
      <c r="A354" s="311"/>
      <c r="B354" s="311"/>
      <c r="C354" s="311"/>
      <c r="D354" s="311"/>
      <c r="E354" s="311"/>
      <c r="F354" s="311"/>
      <c r="G354" s="311"/>
      <c r="H354" s="311"/>
      <c r="I354" s="311"/>
      <c r="J354" s="311"/>
      <c r="K354" s="311"/>
      <c r="L354" s="311"/>
      <c r="M354" s="311"/>
      <c r="N354" s="311"/>
      <c r="O354" s="311"/>
      <c r="P354" s="1033"/>
      <c r="Q354" s="3652"/>
      <c r="R354" s="1031"/>
      <c r="X354" s="311"/>
      <c r="Y354" s="311"/>
      <c r="Z354" s="311"/>
      <c r="AA354" s="311"/>
      <c r="AB354" s="311"/>
      <c r="AC354" s="311"/>
      <c r="AD354" s="311"/>
      <c r="AE354" s="311"/>
      <c r="AF354" s="311"/>
      <c r="AG354" s="311"/>
      <c r="AH354" s="311"/>
      <c r="AI354" s="311"/>
      <c r="AJ354" s="311"/>
      <c r="AK354" s="311"/>
      <c r="AL354" s="311"/>
      <c r="AM354" s="311"/>
      <c r="AN354" s="311"/>
      <c r="AO354" s="311"/>
      <c r="AP354" s="311"/>
      <c r="AQ354" s="311"/>
      <c r="AR354" s="311"/>
    </row>
    <row r="355" spans="1:44" s="475" customFormat="1" ht="12" customHeight="1">
      <c r="A355" s="311"/>
      <c r="B355" s="311"/>
      <c r="C355" s="311"/>
      <c r="D355" s="311"/>
      <c r="E355" s="311"/>
      <c r="F355" s="311"/>
      <c r="G355" s="311"/>
      <c r="H355" s="311"/>
      <c r="I355" s="311"/>
      <c r="J355" s="311"/>
      <c r="K355" s="311"/>
      <c r="L355" s="311"/>
      <c r="M355" s="311"/>
      <c r="N355" s="311"/>
      <c r="O355" s="311"/>
      <c r="P355" s="1033"/>
      <c r="Q355" s="3652"/>
      <c r="R355" s="1031"/>
      <c r="X355" s="311"/>
      <c r="Y355" s="311"/>
      <c r="Z355" s="311"/>
      <c r="AA355" s="311"/>
      <c r="AB355" s="311"/>
      <c r="AC355" s="311"/>
      <c r="AD355" s="311"/>
      <c r="AE355" s="311"/>
      <c r="AF355" s="311"/>
      <c r="AG355" s="311"/>
      <c r="AH355" s="311"/>
      <c r="AI355" s="311"/>
      <c r="AJ355" s="311"/>
      <c r="AK355" s="311"/>
      <c r="AL355" s="311"/>
      <c r="AM355" s="311"/>
      <c r="AN355" s="311"/>
      <c r="AO355" s="311"/>
      <c r="AP355" s="311"/>
      <c r="AQ355" s="311"/>
      <c r="AR355" s="311"/>
    </row>
    <row r="356" spans="1:44" s="475" customFormat="1" ht="12" customHeight="1">
      <c r="A356" s="311"/>
      <c r="B356" s="311"/>
      <c r="C356" s="311"/>
      <c r="D356" s="311"/>
      <c r="E356" s="311"/>
      <c r="F356" s="311"/>
      <c r="G356" s="311"/>
      <c r="H356" s="311"/>
      <c r="I356" s="311"/>
      <c r="J356" s="311"/>
      <c r="K356" s="311"/>
      <c r="L356" s="311"/>
      <c r="M356" s="311"/>
      <c r="N356" s="311"/>
      <c r="O356" s="311"/>
      <c r="P356" s="1033"/>
      <c r="Q356" s="3652"/>
      <c r="R356" s="1031"/>
      <c r="X356" s="311"/>
      <c r="Y356" s="311"/>
      <c r="Z356" s="311"/>
      <c r="AA356" s="311"/>
      <c r="AB356" s="311"/>
      <c r="AC356" s="311"/>
      <c r="AD356" s="311"/>
      <c r="AE356" s="311"/>
      <c r="AF356" s="311"/>
      <c r="AG356" s="311"/>
      <c r="AH356" s="311"/>
      <c r="AI356" s="311"/>
      <c r="AJ356" s="311"/>
      <c r="AK356" s="311"/>
      <c r="AL356" s="311"/>
      <c r="AM356" s="311"/>
      <c r="AN356" s="311"/>
      <c r="AO356" s="311"/>
      <c r="AP356" s="311"/>
      <c r="AQ356" s="311"/>
      <c r="AR356" s="311"/>
    </row>
    <row r="357" spans="1:44" s="475" customFormat="1" ht="12" customHeight="1">
      <c r="A357" s="311"/>
      <c r="B357" s="311"/>
      <c r="C357" s="311"/>
      <c r="D357" s="311"/>
      <c r="E357" s="311"/>
      <c r="F357" s="311"/>
      <c r="G357" s="311"/>
      <c r="H357" s="311"/>
      <c r="I357" s="311"/>
      <c r="J357" s="311"/>
      <c r="K357" s="311"/>
      <c r="L357" s="311"/>
      <c r="M357" s="311"/>
      <c r="N357" s="311"/>
      <c r="O357" s="311"/>
      <c r="P357" s="1033"/>
      <c r="Q357" s="3652"/>
      <c r="R357" s="1031"/>
      <c r="X357" s="311"/>
      <c r="Y357" s="311"/>
      <c r="Z357" s="311"/>
      <c r="AA357" s="311"/>
      <c r="AB357" s="311"/>
      <c r="AC357" s="311"/>
      <c r="AD357" s="311"/>
      <c r="AE357" s="311"/>
      <c r="AF357" s="311"/>
      <c r="AG357" s="311"/>
      <c r="AH357" s="311"/>
      <c r="AI357" s="311"/>
      <c r="AJ357" s="311"/>
      <c r="AK357" s="311"/>
      <c r="AL357" s="311"/>
      <c r="AM357" s="311"/>
      <c r="AN357" s="311"/>
      <c r="AO357" s="311"/>
      <c r="AP357" s="311"/>
      <c r="AQ357" s="311"/>
      <c r="AR357" s="311"/>
    </row>
    <row r="358" spans="1:44" s="475" customFormat="1" ht="12" customHeight="1">
      <c r="A358" s="311"/>
      <c r="B358" s="311"/>
      <c r="C358" s="311"/>
      <c r="D358" s="311"/>
      <c r="E358" s="311"/>
      <c r="F358" s="311"/>
      <c r="G358" s="311"/>
      <c r="H358" s="311"/>
      <c r="I358" s="311"/>
      <c r="J358" s="311"/>
      <c r="K358" s="311"/>
      <c r="L358" s="311"/>
      <c r="M358" s="311"/>
      <c r="N358" s="311"/>
      <c r="O358" s="311"/>
      <c r="P358" s="3654"/>
      <c r="Q358" s="3652"/>
      <c r="R358" s="1031"/>
      <c r="X358" s="311"/>
      <c r="Y358" s="311"/>
      <c r="Z358" s="311"/>
      <c r="AA358" s="311"/>
      <c r="AB358" s="311"/>
      <c r="AC358" s="311"/>
      <c r="AD358" s="311"/>
      <c r="AE358" s="311"/>
      <c r="AF358" s="311"/>
      <c r="AG358" s="311"/>
      <c r="AH358" s="311"/>
      <c r="AI358" s="311"/>
      <c r="AJ358" s="311"/>
      <c r="AK358" s="311"/>
      <c r="AL358" s="311"/>
      <c r="AM358" s="311"/>
      <c r="AN358" s="311"/>
      <c r="AO358" s="311"/>
      <c r="AP358" s="311"/>
      <c r="AQ358" s="311"/>
      <c r="AR358" s="311"/>
    </row>
    <row r="359" spans="1:44" s="475" customFormat="1" ht="12" customHeight="1">
      <c r="A359" s="311"/>
      <c r="B359" s="311"/>
      <c r="C359" s="311"/>
      <c r="D359" s="311"/>
      <c r="E359" s="311"/>
      <c r="F359" s="311"/>
      <c r="G359" s="311"/>
      <c r="H359" s="311"/>
      <c r="I359" s="311"/>
      <c r="J359" s="311"/>
      <c r="K359" s="311"/>
      <c r="L359" s="311"/>
      <c r="M359" s="311"/>
      <c r="N359" s="311"/>
      <c r="O359" s="311"/>
      <c r="P359" s="1033"/>
      <c r="Q359" s="3652"/>
      <c r="R359" s="1031"/>
      <c r="X359" s="311"/>
      <c r="Y359" s="311"/>
      <c r="Z359" s="311"/>
      <c r="AA359" s="311"/>
      <c r="AB359" s="311"/>
      <c r="AC359" s="311"/>
      <c r="AD359" s="311"/>
      <c r="AE359" s="311"/>
      <c r="AF359" s="311"/>
      <c r="AG359" s="311"/>
      <c r="AH359" s="311"/>
      <c r="AI359" s="311"/>
      <c r="AJ359" s="311"/>
      <c r="AK359" s="311"/>
      <c r="AL359" s="311"/>
      <c r="AM359" s="311"/>
      <c r="AN359" s="311"/>
      <c r="AO359" s="311"/>
      <c r="AP359" s="311"/>
      <c r="AQ359" s="311"/>
      <c r="AR359" s="311"/>
    </row>
    <row r="360" spans="1:44" s="475" customFormat="1" ht="12" customHeight="1">
      <c r="A360" s="311"/>
      <c r="B360" s="311"/>
      <c r="C360" s="311"/>
      <c r="D360" s="311"/>
      <c r="E360" s="311"/>
      <c r="F360" s="311"/>
      <c r="G360" s="311"/>
      <c r="H360" s="311"/>
      <c r="I360" s="311"/>
      <c r="J360" s="311"/>
      <c r="K360" s="311"/>
      <c r="L360" s="311"/>
      <c r="M360" s="311"/>
      <c r="N360" s="311"/>
      <c r="O360" s="311"/>
      <c r="P360" s="1033"/>
      <c r="Q360" s="3652"/>
      <c r="R360" s="1033"/>
      <c r="S360" s="3655"/>
      <c r="X360" s="311"/>
      <c r="Y360" s="311"/>
      <c r="Z360" s="311"/>
      <c r="AA360" s="311"/>
      <c r="AB360" s="311"/>
      <c r="AC360" s="311"/>
      <c r="AD360" s="311"/>
      <c r="AE360" s="311"/>
      <c r="AF360" s="311"/>
      <c r="AG360" s="311"/>
      <c r="AH360" s="311"/>
      <c r="AI360" s="311"/>
      <c r="AJ360" s="311"/>
      <c r="AK360" s="311"/>
      <c r="AL360" s="311"/>
      <c r="AM360" s="311"/>
      <c r="AN360" s="311"/>
      <c r="AO360" s="311"/>
      <c r="AP360" s="311"/>
      <c r="AQ360" s="311"/>
      <c r="AR360" s="311"/>
    </row>
    <row r="361" spans="1:44" s="475" customFormat="1" ht="12" customHeight="1">
      <c r="A361" s="311"/>
      <c r="B361" s="311"/>
      <c r="C361" s="311"/>
      <c r="D361" s="311"/>
      <c r="E361" s="311"/>
      <c r="F361" s="311"/>
      <c r="G361" s="311"/>
      <c r="H361" s="311"/>
      <c r="I361" s="311"/>
      <c r="J361" s="311"/>
      <c r="K361" s="311"/>
      <c r="L361" s="311"/>
      <c r="M361" s="311"/>
      <c r="N361" s="311"/>
      <c r="O361" s="311"/>
      <c r="P361" s="1033"/>
      <c r="Q361" s="3652"/>
      <c r="R361" s="1033"/>
      <c r="S361" s="3655"/>
      <c r="X361" s="311"/>
      <c r="Y361" s="311"/>
      <c r="Z361" s="311"/>
      <c r="AA361" s="311"/>
      <c r="AB361" s="311"/>
      <c r="AC361" s="311"/>
      <c r="AD361" s="311"/>
      <c r="AE361" s="311"/>
      <c r="AF361" s="311"/>
      <c r="AG361" s="311"/>
      <c r="AH361" s="311"/>
      <c r="AI361" s="311"/>
      <c r="AJ361" s="311"/>
      <c r="AK361" s="311"/>
      <c r="AL361" s="311"/>
      <c r="AM361" s="311"/>
      <c r="AN361" s="311"/>
      <c r="AO361" s="311"/>
      <c r="AP361" s="311"/>
      <c r="AQ361" s="311"/>
      <c r="AR361" s="311"/>
    </row>
    <row r="362" spans="1:44" s="475" customFormat="1" ht="12" customHeight="1">
      <c r="A362" s="311"/>
      <c r="B362" s="311"/>
      <c r="C362" s="311"/>
      <c r="D362" s="311"/>
      <c r="E362" s="311"/>
      <c r="F362" s="311"/>
      <c r="G362" s="311"/>
      <c r="H362" s="311"/>
      <c r="I362" s="311"/>
      <c r="J362" s="311"/>
      <c r="K362" s="311"/>
      <c r="L362" s="311"/>
      <c r="M362" s="311"/>
      <c r="N362" s="311"/>
      <c r="O362" s="311"/>
      <c r="P362" s="1033"/>
      <c r="Q362" s="3652"/>
      <c r="R362" s="1033"/>
      <c r="S362" s="3655"/>
      <c r="X362" s="311"/>
      <c r="Y362" s="311"/>
      <c r="Z362" s="311"/>
      <c r="AA362" s="311"/>
      <c r="AB362" s="311"/>
      <c r="AC362" s="311"/>
      <c r="AD362" s="311"/>
      <c r="AE362" s="311"/>
      <c r="AF362" s="311"/>
      <c r="AG362" s="311"/>
      <c r="AH362" s="311"/>
      <c r="AI362" s="311"/>
      <c r="AJ362" s="311"/>
      <c r="AK362" s="311"/>
      <c r="AL362" s="311"/>
      <c r="AM362" s="311"/>
      <c r="AN362" s="311"/>
      <c r="AO362" s="311"/>
      <c r="AP362" s="311"/>
      <c r="AQ362" s="311"/>
      <c r="AR362" s="311"/>
    </row>
    <row r="363" spans="1:44" s="475" customFormat="1" ht="12" customHeight="1">
      <c r="A363" s="311"/>
      <c r="B363" s="311"/>
      <c r="C363" s="311"/>
      <c r="D363" s="311"/>
      <c r="E363" s="311"/>
      <c r="F363" s="311"/>
      <c r="G363" s="311"/>
      <c r="H363" s="311"/>
      <c r="I363" s="311"/>
      <c r="J363" s="311"/>
      <c r="K363" s="311"/>
      <c r="L363" s="311"/>
      <c r="M363" s="311"/>
      <c r="N363" s="311"/>
      <c r="O363" s="311"/>
      <c r="P363" s="1033"/>
      <c r="Q363" s="1031"/>
      <c r="R363" s="1033"/>
      <c r="S363" s="3655"/>
      <c r="X363" s="311"/>
      <c r="Y363" s="311"/>
      <c r="Z363" s="311"/>
      <c r="AA363" s="311"/>
      <c r="AB363" s="311"/>
      <c r="AC363" s="311"/>
      <c r="AD363" s="311"/>
      <c r="AE363" s="311"/>
      <c r="AF363" s="311"/>
      <c r="AG363" s="311"/>
      <c r="AH363" s="311"/>
      <c r="AI363" s="311"/>
      <c r="AJ363" s="311"/>
      <c r="AK363" s="311"/>
      <c r="AL363" s="311"/>
      <c r="AM363" s="311"/>
      <c r="AN363" s="311"/>
      <c r="AO363" s="311"/>
      <c r="AP363" s="311"/>
      <c r="AQ363" s="311"/>
      <c r="AR363" s="311"/>
    </row>
    <row r="364" spans="1:44" s="475" customFormat="1" ht="12" customHeight="1">
      <c r="A364" s="311"/>
      <c r="B364" s="311"/>
      <c r="C364" s="311"/>
      <c r="D364" s="311"/>
      <c r="E364" s="311"/>
      <c r="F364" s="311"/>
      <c r="G364" s="311"/>
      <c r="H364" s="311"/>
      <c r="I364" s="311"/>
      <c r="J364" s="311"/>
      <c r="K364" s="311"/>
      <c r="L364" s="311"/>
      <c r="M364" s="311"/>
      <c r="N364" s="311"/>
      <c r="O364" s="311"/>
      <c r="P364" s="3654"/>
      <c r="Q364" s="1031"/>
      <c r="R364" s="1033"/>
      <c r="S364" s="3655"/>
      <c r="X364" s="311"/>
      <c r="Y364" s="311"/>
      <c r="Z364" s="311"/>
      <c r="AA364" s="311"/>
      <c r="AB364" s="311"/>
      <c r="AC364" s="311"/>
      <c r="AD364" s="311"/>
      <c r="AE364" s="311"/>
      <c r="AF364" s="311"/>
      <c r="AG364" s="311"/>
      <c r="AH364" s="311"/>
      <c r="AI364" s="311"/>
      <c r="AJ364" s="311"/>
      <c r="AK364" s="311"/>
      <c r="AL364" s="311"/>
      <c r="AM364" s="311"/>
      <c r="AN364" s="311"/>
      <c r="AO364" s="311"/>
      <c r="AP364" s="311"/>
      <c r="AQ364" s="311"/>
      <c r="AR364" s="311"/>
    </row>
    <row r="365" spans="1:44" s="475" customFormat="1" ht="12" customHeight="1">
      <c r="A365" s="311"/>
      <c r="B365" s="311"/>
      <c r="C365" s="311"/>
      <c r="D365" s="311"/>
      <c r="E365" s="311"/>
      <c r="F365" s="311"/>
      <c r="G365" s="311"/>
      <c r="H365" s="311"/>
      <c r="I365" s="311"/>
      <c r="J365" s="311"/>
      <c r="K365" s="311"/>
      <c r="L365" s="311"/>
      <c r="M365" s="311"/>
      <c r="N365" s="311"/>
      <c r="O365" s="311"/>
      <c r="P365" s="1033"/>
      <c r="Q365" s="1031"/>
      <c r="R365" s="1033"/>
      <c r="S365" s="3655"/>
      <c r="X365" s="311"/>
      <c r="Y365" s="311"/>
      <c r="Z365" s="311"/>
      <c r="AA365" s="311"/>
      <c r="AB365" s="311"/>
      <c r="AC365" s="311"/>
      <c r="AD365" s="311"/>
      <c r="AE365" s="311"/>
      <c r="AF365" s="311"/>
      <c r="AG365" s="311"/>
      <c r="AH365" s="311"/>
      <c r="AI365" s="311"/>
      <c r="AJ365" s="311"/>
      <c r="AK365" s="311"/>
      <c r="AL365" s="311"/>
      <c r="AM365" s="311"/>
      <c r="AN365" s="311"/>
      <c r="AO365" s="311"/>
      <c r="AP365" s="311"/>
      <c r="AQ365" s="311"/>
      <c r="AR365" s="311"/>
    </row>
    <row r="366" spans="1:44" s="475" customFormat="1" ht="12" customHeight="1">
      <c r="A366" s="311"/>
      <c r="B366" s="311"/>
      <c r="C366" s="311"/>
      <c r="D366" s="311"/>
      <c r="E366" s="311"/>
      <c r="F366" s="311"/>
      <c r="G366" s="311"/>
      <c r="H366" s="311"/>
      <c r="I366" s="311"/>
      <c r="J366" s="311"/>
      <c r="K366" s="311"/>
      <c r="L366" s="311"/>
      <c r="M366" s="311"/>
      <c r="N366" s="311"/>
      <c r="O366" s="311"/>
      <c r="P366" s="1033"/>
      <c r="Q366" s="1031"/>
      <c r="R366" s="1033"/>
      <c r="S366" s="3655"/>
      <c r="X366" s="311"/>
      <c r="Y366" s="311"/>
      <c r="Z366" s="311"/>
      <c r="AA366" s="311"/>
      <c r="AB366" s="311"/>
      <c r="AC366" s="311"/>
      <c r="AD366" s="311"/>
      <c r="AE366" s="311"/>
      <c r="AF366" s="311"/>
      <c r="AG366" s="311"/>
      <c r="AH366" s="311"/>
      <c r="AI366" s="311"/>
      <c r="AJ366" s="311"/>
      <c r="AK366" s="311"/>
      <c r="AL366" s="311"/>
      <c r="AM366" s="311"/>
      <c r="AN366" s="311"/>
      <c r="AO366" s="311"/>
      <c r="AP366" s="311"/>
      <c r="AQ366" s="311"/>
      <c r="AR366" s="311"/>
    </row>
    <row r="367" spans="1:44" s="475" customFormat="1" ht="12" customHeight="1">
      <c r="A367" s="311"/>
      <c r="B367" s="311"/>
      <c r="C367" s="311"/>
      <c r="D367" s="311"/>
      <c r="E367" s="311"/>
      <c r="F367" s="311"/>
      <c r="G367" s="311"/>
      <c r="H367" s="311"/>
      <c r="I367" s="311"/>
      <c r="J367" s="311"/>
      <c r="K367" s="311"/>
      <c r="L367" s="311"/>
      <c r="M367" s="311"/>
      <c r="N367" s="311"/>
      <c r="O367" s="311"/>
      <c r="P367" s="1033"/>
      <c r="Q367" s="1031"/>
      <c r="R367" s="1031"/>
      <c r="X367" s="311"/>
      <c r="Y367" s="311"/>
      <c r="Z367" s="311"/>
      <c r="AA367" s="311"/>
      <c r="AB367" s="311"/>
      <c r="AC367" s="311"/>
      <c r="AD367" s="311"/>
      <c r="AE367" s="311"/>
      <c r="AF367" s="311"/>
      <c r="AG367" s="311"/>
      <c r="AH367" s="311"/>
      <c r="AI367" s="311"/>
      <c r="AJ367" s="311"/>
      <c r="AK367" s="311"/>
      <c r="AL367" s="311"/>
      <c r="AM367" s="311"/>
      <c r="AN367" s="311"/>
      <c r="AO367" s="311"/>
      <c r="AP367" s="311"/>
      <c r="AQ367" s="311"/>
      <c r="AR367" s="311"/>
    </row>
    <row r="368" spans="1:44" s="475" customFormat="1" ht="12" customHeight="1">
      <c r="A368" s="311"/>
      <c r="B368" s="311"/>
      <c r="C368" s="311"/>
      <c r="D368" s="311"/>
      <c r="E368" s="311"/>
      <c r="F368" s="311"/>
      <c r="G368" s="311"/>
      <c r="H368" s="311"/>
      <c r="I368" s="311"/>
      <c r="J368" s="311"/>
      <c r="K368" s="311"/>
      <c r="L368" s="311"/>
      <c r="M368" s="311"/>
      <c r="N368" s="311"/>
      <c r="O368" s="311"/>
      <c r="P368" s="1033"/>
      <c r="Q368" s="1031"/>
      <c r="R368" s="1031"/>
      <c r="X368" s="311"/>
      <c r="Y368" s="311"/>
      <c r="Z368" s="311"/>
      <c r="AA368" s="311"/>
      <c r="AB368" s="311"/>
      <c r="AC368" s="311"/>
      <c r="AD368" s="311"/>
      <c r="AE368" s="311"/>
      <c r="AF368" s="311"/>
      <c r="AG368" s="311"/>
      <c r="AH368" s="311"/>
      <c r="AI368" s="311"/>
      <c r="AJ368" s="311"/>
      <c r="AK368" s="311"/>
      <c r="AL368" s="311"/>
      <c r="AM368" s="311"/>
      <c r="AN368" s="311"/>
      <c r="AO368" s="311"/>
      <c r="AP368" s="311"/>
      <c r="AQ368" s="311"/>
      <c r="AR368" s="311"/>
    </row>
    <row r="369" spans="1:44" s="475" customFormat="1" ht="12" customHeight="1">
      <c r="A369" s="311"/>
      <c r="B369" s="311"/>
      <c r="C369" s="311"/>
      <c r="D369" s="311"/>
      <c r="E369" s="311"/>
      <c r="F369" s="311"/>
      <c r="G369" s="311"/>
      <c r="H369" s="311"/>
      <c r="I369" s="311"/>
      <c r="J369" s="311"/>
      <c r="K369" s="311"/>
      <c r="L369" s="311"/>
      <c r="M369" s="311"/>
      <c r="N369" s="311"/>
      <c r="O369" s="311"/>
      <c r="P369" s="1033"/>
      <c r="Q369" s="1031"/>
      <c r="R369" s="1031"/>
      <c r="X369" s="311"/>
      <c r="Y369" s="311"/>
      <c r="Z369" s="311"/>
      <c r="AA369" s="311"/>
      <c r="AB369" s="311"/>
      <c r="AC369" s="311"/>
      <c r="AD369" s="311"/>
      <c r="AE369" s="311"/>
      <c r="AF369" s="311"/>
      <c r="AG369" s="311"/>
      <c r="AH369" s="311"/>
      <c r="AI369" s="311"/>
      <c r="AJ369" s="311"/>
      <c r="AK369" s="311"/>
      <c r="AL369" s="311"/>
      <c r="AM369" s="311"/>
      <c r="AN369" s="311"/>
      <c r="AO369" s="311"/>
      <c r="AP369" s="311"/>
      <c r="AQ369" s="311"/>
      <c r="AR369" s="311"/>
    </row>
    <row r="370" spans="1:44" s="475" customFormat="1" ht="12" customHeight="1">
      <c r="A370" s="311"/>
      <c r="B370" s="311"/>
      <c r="C370" s="311"/>
      <c r="D370" s="311"/>
      <c r="E370" s="311"/>
      <c r="F370" s="311"/>
      <c r="G370" s="311"/>
      <c r="H370" s="311"/>
      <c r="I370" s="311"/>
      <c r="J370" s="311"/>
      <c r="K370" s="311"/>
      <c r="L370" s="311"/>
      <c r="M370" s="311"/>
      <c r="N370" s="311"/>
      <c r="O370" s="311"/>
      <c r="P370" s="1033"/>
      <c r="Q370" s="1031"/>
      <c r="R370" s="1031"/>
      <c r="X370" s="311"/>
      <c r="Y370" s="311"/>
      <c r="Z370" s="311"/>
      <c r="AA370" s="311"/>
      <c r="AB370" s="311"/>
      <c r="AC370" s="311"/>
      <c r="AD370" s="311"/>
      <c r="AE370" s="311"/>
      <c r="AF370" s="311"/>
      <c r="AG370" s="311"/>
      <c r="AH370" s="311"/>
      <c r="AI370" s="311"/>
      <c r="AJ370" s="311"/>
      <c r="AK370" s="311"/>
      <c r="AL370" s="311"/>
      <c r="AM370" s="311"/>
      <c r="AN370" s="311"/>
      <c r="AO370" s="311"/>
      <c r="AP370" s="311"/>
      <c r="AQ370" s="311"/>
      <c r="AR370" s="311"/>
    </row>
    <row r="371" spans="1:44" s="475" customFormat="1" ht="12" customHeight="1">
      <c r="A371" s="311"/>
      <c r="B371" s="311"/>
      <c r="C371" s="311"/>
      <c r="D371" s="311"/>
      <c r="E371" s="311"/>
      <c r="F371" s="311"/>
      <c r="G371" s="311"/>
      <c r="H371" s="311"/>
      <c r="I371" s="311"/>
      <c r="J371" s="311"/>
      <c r="K371" s="311"/>
      <c r="L371" s="311"/>
      <c r="M371" s="311"/>
      <c r="N371" s="311"/>
      <c r="O371" s="311"/>
      <c r="P371" s="3654"/>
      <c r="Q371" s="1031"/>
      <c r="R371" s="1031"/>
      <c r="X371" s="311"/>
      <c r="Y371" s="311"/>
      <c r="Z371" s="311"/>
      <c r="AA371" s="311"/>
      <c r="AB371" s="311"/>
      <c r="AC371" s="311"/>
      <c r="AD371" s="311"/>
      <c r="AE371" s="311"/>
      <c r="AF371" s="311"/>
      <c r="AG371" s="311"/>
      <c r="AH371" s="311"/>
      <c r="AI371" s="311"/>
      <c r="AJ371" s="311"/>
      <c r="AK371" s="311"/>
      <c r="AL371" s="311"/>
      <c r="AM371" s="311"/>
      <c r="AN371" s="311"/>
      <c r="AO371" s="311"/>
      <c r="AP371" s="311"/>
      <c r="AQ371" s="311"/>
      <c r="AR371" s="311"/>
    </row>
    <row r="372" spans="1:44" s="475" customFormat="1" ht="12" customHeight="1">
      <c r="A372" s="311"/>
      <c r="B372" s="311"/>
      <c r="C372" s="311"/>
      <c r="D372" s="311"/>
      <c r="E372" s="311"/>
      <c r="F372" s="311"/>
      <c r="G372" s="311"/>
      <c r="H372" s="311"/>
      <c r="I372" s="311"/>
      <c r="J372" s="311"/>
      <c r="K372" s="311"/>
      <c r="L372" s="311"/>
      <c r="M372" s="311"/>
      <c r="N372" s="311"/>
      <c r="O372" s="311"/>
      <c r="P372" s="1033"/>
      <c r="Q372" s="1031"/>
      <c r="R372" s="1031"/>
      <c r="X372" s="311"/>
      <c r="Y372" s="311"/>
      <c r="Z372" s="311"/>
      <c r="AA372" s="311"/>
      <c r="AB372" s="311"/>
      <c r="AC372" s="311"/>
      <c r="AD372" s="311"/>
      <c r="AE372" s="311"/>
      <c r="AF372" s="311"/>
      <c r="AG372" s="311"/>
      <c r="AH372" s="311"/>
      <c r="AI372" s="311"/>
      <c r="AJ372" s="311"/>
      <c r="AK372" s="311"/>
      <c r="AL372" s="311"/>
      <c r="AM372" s="311"/>
      <c r="AN372" s="311"/>
      <c r="AO372" s="311"/>
      <c r="AP372" s="311"/>
      <c r="AQ372" s="311"/>
      <c r="AR372" s="311"/>
    </row>
    <row r="373" spans="1:44" s="475" customFormat="1" ht="12" customHeight="1">
      <c r="A373" s="311"/>
      <c r="B373" s="311"/>
      <c r="C373" s="311"/>
      <c r="D373" s="311"/>
      <c r="E373" s="311"/>
      <c r="F373" s="311"/>
      <c r="G373" s="311"/>
      <c r="H373" s="311"/>
      <c r="I373" s="311"/>
      <c r="J373" s="311"/>
      <c r="K373" s="311"/>
      <c r="L373" s="311"/>
      <c r="M373" s="311"/>
      <c r="N373" s="311"/>
      <c r="O373" s="311"/>
      <c r="P373" s="1033"/>
      <c r="Q373" s="1031"/>
      <c r="R373" s="1031"/>
      <c r="X373" s="311"/>
      <c r="Y373" s="311"/>
      <c r="Z373" s="311"/>
      <c r="AA373" s="311"/>
      <c r="AB373" s="311"/>
      <c r="AC373" s="311"/>
      <c r="AD373" s="311"/>
      <c r="AE373" s="311"/>
      <c r="AF373" s="311"/>
      <c r="AG373" s="311"/>
      <c r="AH373" s="311"/>
      <c r="AI373" s="311"/>
      <c r="AJ373" s="311"/>
      <c r="AK373" s="311"/>
      <c r="AL373" s="311"/>
      <c r="AM373" s="311"/>
      <c r="AN373" s="311"/>
      <c r="AO373" s="311"/>
      <c r="AP373" s="311"/>
      <c r="AQ373" s="311"/>
      <c r="AR373" s="311"/>
    </row>
    <row r="374" spans="1:44" s="475" customFormat="1" ht="12" customHeight="1">
      <c r="A374" s="311"/>
      <c r="B374" s="311"/>
      <c r="C374" s="311"/>
      <c r="D374" s="311"/>
      <c r="E374" s="311"/>
      <c r="F374" s="311"/>
      <c r="G374" s="311"/>
      <c r="H374" s="311"/>
      <c r="I374" s="311"/>
      <c r="J374" s="311"/>
      <c r="K374" s="311"/>
      <c r="L374" s="311"/>
      <c r="M374" s="311"/>
      <c r="N374" s="311"/>
      <c r="O374" s="311"/>
      <c r="P374" s="1033"/>
      <c r="Q374" s="1031"/>
      <c r="R374" s="1031"/>
      <c r="X374" s="311"/>
      <c r="Y374" s="311"/>
      <c r="Z374" s="311"/>
      <c r="AA374" s="311"/>
      <c r="AB374" s="311"/>
      <c r="AC374" s="311"/>
      <c r="AD374" s="311"/>
      <c r="AE374" s="311"/>
      <c r="AF374" s="311"/>
      <c r="AG374" s="311"/>
      <c r="AH374" s="311"/>
      <c r="AI374" s="311"/>
      <c r="AJ374" s="311"/>
      <c r="AK374" s="311"/>
      <c r="AL374" s="311"/>
      <c r="AM374" s="311"/>
      <c r="AN374" s="311"/>
      <c r="AO374" s="311"/>
      <c r="AP374" s="311"/>
      <c r="AQ374" s="311"/>
      <c r="AR374" s="311"/>
    </row>
    <row r="375" spans="1:44" s="475" customFormat="1" ht="12" customHeight="1">
      <c r="A375" s="311"/>
      <c r="B375" s="311"/>
      <c r="C375" s="311"/>
      <c r="D375" s="311"/>
      <c r="E375" s="311"/>
      <c r="F375" s="311"/>
      <c r="G375" s="311"/>
      <c r="H375" s="311"/>
      <c r="I375" s="311"/>
      <c r="J375" s="311"/>
      <c r="K375" s="311"/>
      <c r="L375" s="311"/>
      <c r="M375" s="311"/>
      <c r="N375" s="311"/>
      <c r="O375" s="311"/>
      <c r="P375" s="1033"/>
      <c r="Q375" s="1031"/>
      <c r="R375" s="1031"/>
      <c r="X375" s="311"/>
      <c r="Y375" s="311"/>
      <c r="Z375" s="311"/>
      <c r="AA375" s="311"/>
      <c r="AB375" s="311"/>
      <c r="AC375" s="311"/>
      <c r="AD375" s="311"/>
      <c r="AE375" s="311"/>
      <c r="AF375" s="311"/>
      <c r="AG375" s="311"/>
      <c r="AH375" s="311"/>
      <c r="AI375" s="311"/>
      <c r="AJ375" s="311"/>
      <c r="AK375" s="311"/>
      <c r="AL375" s="311"/>
      <c r="AM375" s="311"/>
      <c r="AN375" s="311"/>
      <c r="AO375" s="311"/>
      <c r="AP375" s="311"/>
      <c r="AQ375" s="311"/>
      <c r="AR375" s="311"/>
    </row>
    <row r="376" spans="1:44" s="475" customFormat="1" ht="12" customHeight="1">
      <c r="A376" s="311"/>
      <c r="B376" s="311"/>
      <c r="C376" s="311"/>
      <c r="D376" s="311"/>
      <c r="E376" s="311"/>
      <c r="F376" s="311"/>
      <c r="G376" s="311"/>
      <c r="H376" s="311"/>
      <c r="I376" s="311"/>
      <c r="J376" s="311"/>
      <c r="K376" s="311"/>
      <c r="L376" s="311"/>
      <c r="M376" s="311"/>
      <c r="N376" s="311"/>
      <c r="O376" s="311"/>
      <c r="P376" s="1033"/>
      <c r="Q376" s="1031"/>
      <c r="R376" s="1031"/>
      <c r="X376" s="311"/>
      <c r="Y376" s="311"/>
      <c r="Z376" s="311"/>
      <c r="AA376" s="311"/>
      <c r="AB376" s="311"/>
      <c r="AC376" s="311"/>
      <c r="AD376" s="311"/>
      <c r="AE376" s="311"/>
      <c r="AF376" s="311"/>
      <c r="AG376" s="311"/>
      <c r="AH376" s="311"/>
      <c r="AI376" s="311"/>
      <c r="AJ376" s="311"/>
      <c r="AK376" s="311"/>
      <c r="AL376" s="311"/>
      <c r="AM376" s="311"/>
      <c r="AN376" s="311"/>
      <c r="AO376" s="311"/>
      <c r="AP376" s="311"/>
      <c r="AQ376" s="311"/>
      <c r="AR376" s="311"/>
    </row>
    <row r="377" spans="1:44" s="475" customFormat="1" ht="12" customHeight="1">
      <c r="A377" s="311"/>
      <c r="B377" s="311"/>
      <c r="C377" s="311"/>
      <c r="D377" s="311"/>
      <c r="E377" s="311"/>
      <c r="F377" s="311"/>
      <c r="G377" s="311"/>
      <c r="H377" s="311"/>
      <c r="I377" s="311"/>
      <c r="J377" s="311"/>
      <c r="K377" s="311"/>
      <c r="L377" s="311"/>
      <c r="M377" s="311"/>
      <c r="N377" s="311"/>
      <c r="O377" s="311"/>
      <c r="P377" s="1033"/>
      <c r="Q377" s="1031"/>
      <c r="R377" s="1031"/>
      <c r="X377" s="311"/>
      <c r="Y377" s="311"/>
      <c r="Z377" s="311"/>
      <c r="AA377" s="311"/>
      <c r="AB377" s="311"/>
      <c r="AC377" s="311"/>
      <c r="AD377" s="311"/>
      <c r="AE377" s="311"/>
      <c r="AF377" s="311"/>
      <c r="AG377" s="311"/>
      <c r="AH377" s="311"/>
      <c r="AI377" s="311"/>
      <c r="AJ377" s="311"/>
      <c r="AK377" s="311"/>
      <c r="AL377" s="311"/>
      <c r="AM377" s="311"/>
      <c r="AN377" s="311"/>
      <c r="AO377" s="311"/>
      <c r="AP377" s="311"/>
      <c r="AQ377" s="311"/>
      <c r="AR377" s="311"/>
    </row>
    <row r="378" spans="1:44" s="475" customFormat="1" ht="12" customHeight="1">
      <c r="A378" s="311"/>
      <c r="B378" s="311"/>
      <c r="C378" s="311"/>
      <c r="D378" s="311"/>
      <c r="E378" s="311"/>
      <c r="F378" s="311"/>
      <c r="G378" s="311"/>
      <c r="H378" s="311"/>
      <c r="I378" s="311"/>
      <c r="J378" s="311"/>
      <c r="K378" s="311"/>
      <c r="L378" s="311"/>
      <c r="M378" s="311"/>
      <c r="N378" s="311"/>
      <c r="O378" s="311"/>
      <c r="P378" s="1032"/>
      <c r="Q378" s="1031"/>
      <c r="R378" s="1031"/>
      <c r="X378" s="311"/>
      <c r="Y378" s="311"/>
      <c r="Z378" s="311"/>
      <c r="AA378" s="311"/>
      <c r="AB378" s="311"/>
      <c r="AC378" s="311"/>
      <c r="AD378" s="311"/>
      <c r="AE378" s="311"/>
      <c r="AF378" s="311"/>
      <c r="AG378" s="311"/>
      <c r="AH378" s="311"/>
      <c r="AI378" s="311"/>
      <c r="AJ378" s="311"/>
      <c r="AK378" s="311"/>
      <c r="AL378" s="311"/>
      <c r="AM378" s="311"/>
      <c r="AN378" s="311"/>
      <c r="AO378" s="311"/>
      <c r="AP378" s="311"/>
      <c r="AQ378" s="311"/>
      <c r="AR378" s="311"/>
    </row>
    <row r="379" spans="1:44" s="475" customFormat="1" ht="12" customHeight="1">
      <c r="A379" s="311"/>
      <c r="B379" s="311"/>
      <c r="C379" s="311"/>
      <c r="D379" s="311"/>
      <c r="E379" s="311"/>
      <c r="F379" s="311"/>
      <c r="G379" s="311"/>
      <c r="H379" s="311"/>
      <c r="I379" s="311"/>
      <c r="J379" s="311"/>
      <c r="K379" s="311"/>
      <c r="L379" s="311"/>
      <c r="M379" s="311"/>
      <c r="N379" s="311"/>
      <c r="O379" s="311"/>
      <c r="P379" s="3654"/>
      <c r="Q379" s="1031"/>
      <c r="R379" s="1031"/>
      <c r="X379" s="311"/>
      <c r="Y379" s="311"/>
      <c r="Z379" s="311"/>
      <c r="AA379" s="311"/>
      <c r="AB379" s="311"/>
      <c r="AC379" s="311"/>
      <c r="AD379" s="311"/>
      <c r="AE379" s="311"/>
      <c r="AF379" s="311"/>
      <c r="AG379" s="311"/>
      <c r="AH379" s="311"/>
      <c r="AI379" s="311"/>
      <c r="AJ379" s="311"/>
      <c r="AK379" s="311"/>
      <c r="AL379" s="311"/>
      <c r="AM379" s="311"/>
      <c r="AN379" s="311"/>
      <c r="AO379" s="311"/>
      <c r="AP379" s="311"/>
      <c r="AQ379" s="311"/>
      <c r="AR379" s="311"/>
    </row>
    <row r="380" spans="1:44" s="475" customFormat="1" ht="12" customHeight="1">
      <c r="A380" s="311"/>
      <c r="B380" s="311"/>
      <c r="C380" s="311"/>
      <c r="D380" s="311"/>
      <c r="E380" s="311"/>
      <c r="F380" s="311"/>
      <c r="G380" s="311"/>
      <c r="H380" s="311"/>
      <c r="I380" s="311"/>
      <c r="J380" s="311"/>
      <c r="K380" s="311"/>
      <c r="L380" s="311"/>
      <c r="M380" s="311"/>
      <c r="N380" s="311"/>
      <c r="O380" s="311"/>
      <c r="P380" s="3654"/>
      <c r="Q380" s="1031"/>
      <c r="R380" s="1031"/>
      <c r="X380" s="311"/>
      <c r="Y380" s="311"/>
      <c r="Z380" s="311"/>
      <c r="AA380" s="311"/>
      <c r="AB380" s="311"/>
      <c r="AC380" s="311"/>
      <c r="AD380" s="311"/>
      <c r="AE380" s="311"/>
      <c r="AF380" s="311"/>
      <c r="AG380" s="311"/>
      <c r="AH380" s="311"/>
      <c r="AI380" s="311"/>
      <c r="AJ380" s="311"/>
      <c r="AK380" s="311"/>
      <c r="AL380" s="311"/>
      <c r="AM380" s="311"/>
      <c r="AN380" s="311"/>
      <c r="AO380" s="311"/>
      <c r="AP380" s="311"/>
      <c r="AQ380" s="311"/>
      <c r="AR380" s="311"/>
    </row>
    <row r="381" spans="1:44" s="475" customFormat="1" ht="12" customHeight="1">
      <c r="A381" s="311"/>
      <c r="B381" s="311"/>
      <c r="C381" s="311"/>
      <c r="D381" s="311"/>
      <c r="E381" s="311"/>
      <c r="F381" s="311"/>
      <c r="G381" s="311"/>
      <c r="H381" s="311"/>
      <c r="I381" s="311"/>
      <c r="J381" s="311"/>
      <c r="K381" s="311"/>
      <c r="L381" s="311"/>
      <c r="M381" s="311"/>
      <c r="N381" s="311"/>
      <c r="O381" s="311"/>
      <c r="P381" s="1032"/>
      <c r="Q381" s="1031"/>
      <c r="R381" s="1031"/>
      <c r="X381" s="311"/>
      <c r="Y381" s="311"/>
      <c r="Z381" s="311"/>
      <c r="AA381" s="311"/>
      <c r="AB381" s="311"/>
      <c r="AC381" s="311"/>
      <c r="AD381" s="311"/>
      <c r="AE381" s="311"/>
      <c r="AF381" s="311"/>
      <c r="AG381" s="311"/>
      <c r="AH381" s="311"/>
      <c r="AI381" s="311"/>
      <c r="AJ381" s="311"/>
      <c r="AK381" s="311"/>
      <c r="AL381" s="311"/>
      <c r="AM381" s="311"/>
      <c r="AN381" s="311"/>
      <c r="AO381" s="311"/>
      <c r="AP381" s="311"/>
      <c r="AQ381" s="311"/>
      <c r="AR381" s="311"/>
    </row>
    <row r="382" spans="1:44" s="475" customFormat="1" ht="12" customHeight="1">
      <c r="A382" s="311"/>
      <c r="B382" s="311"/>
      <c r="C382" s="311"/>
      <c r="D382" s="311"/>
      <c r="E382" s="311"/>
      <c r="F382" s="311"/>
      <c r="G382" s="311"/>
      <c r="H382" s="311"/>
      <c r="I382" s="311"/>
      <c r="J382" s="311"/>
      <c r="K382" s="311"/>
      <c r="L382" s="311"/>
      <c r="M382" s="311"/>
      <c r="N382" s="311"/>
      <c r="O382" s="311"/>
      <c r="P382" s="1032"/>
      <c r="Q382" s="1031"/>
      <c r="R382" s="1031"/>
      <c r="X382" s="311"/>
      <c r="Y382" s="311"/>
      <c r="Z382" s="311"/>
      <c r="AA382" s="311"/>
      <c r="AB382" s="311"/>
      <c r="AC382" s="311"/>
      <c r="AD382" s="311"/>
      <c r="AE382" s="311"/>
      <c r="AF382" s="311"/>
      <c r="AG382" s="311"/>
      <c r="AH382" s="311"/>
      <c r="AI382" s="311"/>
      <c r="AJ382" s="311"/>
      <c r="AK382" s="311"/>
      <c r="AL382" s="311"/>
      <c r="AM382" s="311"/>
      <c r="AN382" s="311"/>
      <c r="AO382" s="311"/>
      <c r="AP382" s="311"/>
      <c r="AQ382" s="311"/>
      <c r="AR382" s="311"/>
    </row>
    <row r="383" spans="1:44" s="475" customFormat="1" ht="12" customHeight="1">
      <c r="A383" s="311"/>
      <c r="B383" s="311"/>
      <c r="C383" s="311"/>
      <c r="D383" s="311"/>
      <c r="E383" s="311"/>
      <c r="F383" s="311"/>
      <c r="G383" s="311"/>
      <c r="H383" s="311"/>
      <c r="I383" s="311"/>
      <c r="J383" s="311"/>
      <c r="K383" s="311"/>
      <c r="L383" s="311"/>
      <c r="M383" s="311"/>
      <c r="N383" s="311"/>
      <c r="O383" s="311"/>
      <c r="P383" s="1032"/>
      <c r="Q383" s="1031"/>
      <c r="R383" s="1031"/>
      <c r="X383" s="311"/>
      <c r="Y383" s="311"/>
      <c r="Z383" s="311"/>
      <c r="AA383" s="311"/>
      <c r="AB383" s="311"/>
      <c r="AC383" s="311"/>
      <c r="AD383" s="311"/>
      <c r="AE383" s="311"/>
      <c r="AF383" s="311"/>
      <c r="AG383" s="311"/>
      <c r="AH383" s="311"/>
      <c r="AI383" s="311"/>
      <c r="AJ383" s="311"/>
      <c r="AK383" s="311"/>
      <c r="AL383" s="311"/>
      <c r="AM383" s="311"/>
      <c r="AN383" s="311"/>
      <c r="AO383" s="311"/>
      <c r="AP383" s="311"/>
      <c r="AQ383" s="311"/>
      <c r="AR383" s="311"/>
    </row>
    <row r="384" spans="1:44" s="475" customFormat="1" ht="12" customHeight="1">
      <c r="A384" s="311"/>
      <c r="B384" s="311"/>
      <c r="C384" s="311"/>
      <c r="D384" s="311"/>
      <c r="E384" s="311"/>
      <c r="F384" s="311"/>
      <c r="G384" s="311"/>
      <c r="H384" s="311"/>
      <c r="I384" s="311"/>
      <c r="J384" s="311"/>
      <c r="K384" s="311"/>
      <c r="L384" s="311"/>
      <c r="M384" s="311"/>
      <c r="N384" s="311"/>
      <c r="O384" s="311"/>
      <c r="P384" s="1032"/>
      <c r="Q384" s="1031"/>
      <c r="R384" s="1031"/>
      <c r="X384" s="311"/>
      <c r="Y384" s="311"/>
      <c r="Z384" s="311"/>
      <c r="AA384" s="311"/>
      <c r="AB384" s="311"/>
      <c r="AC384" s="311"/>
      <c r="AD384" s="311"/>
      <c r="AE384" s="311"/>
      <c r="AF384" s="311"/>
      <c r="AG384" s="311"/>
      <c r="AH384" s="311"/>
      <c r="AI384" s="311"/>
      <c r="AJ384" s="311"/>
      <c r="AK384" s="311"/>
      <c r="AL384" s="311"/>
      <c r="AM384" s="311"/>
      <c r="AN384" s="311"/>
      <c r="AO384" s="311"/>
      <c r="AP384" s="311"/>
      <c r="AQ384" s="311"/>
      <c r="AR384" s="311"/>
    </row>
    <row r="385" spans="1:44" s="475" customFormat="1" ht="12" customHeight="1">
      <c r="A385" s="311"/>
      <c r="B385" s="311"/>
      <c r="C385" s="311"/>
      <c r="D385" s="311"/>
      <c r="E385" s="311"/>
      <c r="F385" s="311"/>
      <c r="G385" s="311"/>
      <c r="H385" s="311"/>
      <c r="I385" s="311"/>
      <c r="J385" s="311"/>
      <c r="K385" s="311"/>
      <c r="L385" s="311"/>
      <c r="M385" s="311"/>
      <c r="N385" s="311"/>
      <c r="O385" s="311"/>
      <c r="P385" s="1032"/>
      <c r="Q385" s="1031"/>
      <c r="R385" s="1031"/>
      <c r="X385" s="311"/>
      <c r="Y385" s="311"/>
      <c r="Z385" s="311"/>
      <c r="AA385" s="311"/>
      <c r="AB385" s="311"/>
      <c r="AC385" s="311"/>
      <c r="AD385" s="311"/>
      <c r="AE385" s="311"/>
      <c r="AF385" s="311"/>
      <c r="AG385" s="311"/>
      <c r="AH385" s="311"/>
      <c r="AI385" s="311"/>
      <c r="AJ385" s="311"/>
      <c r="AK385" s="311"/>
      <c r="AL385" s="311"/>
      <c r="AM385" s="311"/>
      <c r="AN385" s="311"/>
      <c r="AO385" s="311"/>
      <c r="AP385" s="311"/>
      <c r="AQ385" s="311"/>
      <c r="AR385" s="311"/>
    </row>
    <row r="386" spans="1:44" s="475" customFormat="1" ht="12" customHeight="1">
      <c r="A386" s="311"/>
      <c r="B386" s="311"/>
      <c r="C386" s="311"/>
      <c r="D386" s="311"/>
      <c r="E386" s="311"/>
      <c r="F386" s="311"/>
      <c r="G386" s="311"/>
      <c r="H386" s="311"/>
      <c r="I386" s="311"/>
      <c r="J386" s="311"/>
      <c r="K386" s="311"/>
      <c r="L386" s="311"/>
      <c r="M386" s="311"/>
      <c r="N386" s="311"/>
      <c r="O386" s="311"/>
      <c r="P386" s="1032"/>
      <c r="Q386" s="1031"/>
      <c r="R386" s="1031"/>
      <c r="X386" s="311"/>
      <c r="Y386" s="311"/>
      <c r="Z386" s="311"/>
      <c r="AA386" s="311"/>
      <c r="AB386" s="311"/>
      <c r="AC386" s="311"/>
      <c r="AD386" s="311"/>
      <c r="AE386" s="311"/>
      <c r="AF386" s="311"/>
      <c r="AG386" s="311"/>
      <c r="AH386" s="311"/>
      <c r="AI386" s="311"/>
      <c r="AJ386" s="311"/>
      <c r="AK386" s="311"/>
      <c r="AL386" s="311"/>
      <c r="AM386" s="311"/>
      <c r="AN386" s="311"/>
      <c r="AO386" s="311"/>
      <c r="AP386" s="311"/>
      <c r="AQ386" s="311"/>
      <c r="AR386" s="311"/>
    </row>
    <row r="387" spans="1:44" s="475" customFormat="1" ht="12" customHeight="1">
      <c r="A387" s="311"/>
      <c r="B387" s="311"/>
      <c r="C387" s="311"/>
      <c r="D387" s="311"/>
      <c r="E387" s="311"/>
      <c r="F387" s="311"/>
      <c r="G387" s="311"/>
      <c r="H387" s="311"/>
      <c r="I387" s="311"/>
      <c r="J387" s="311"/>
      <c r="K387" s="311"/>
      <c r="L387" s="311"/>
      <c r="M387" s="311"/>
      <c r="N387" s="311"/>
      <c r="O387" s="311"/>
      <c r="P387" s="1032"/>
      <c r="Q387" s="1031"/>
      <c r="R387" s="1031"/>
      <c r="X387" s="311"/>
      <c r="Y387" s="311"/>
      <c r="Z387" s="311"/>
      <c r="AA387" s="311"/>
      <c r="AB387" s="311"/>
      <c r="AC387" s="311"/>
      <c r="AD387" s="311"/>
      <c r="AE387" s="311"/>
      <c r="AF387" s="311"/>
      <c r="AG387" s="311"/>
      <c r="AH387" s="311"/>
      <c r="AI387" s="311"/>
      <c r="AJ387" s="311"/>
      <c r="AK387" s="311"/>
      <c r="AL387" s="311"/>
      <c r="AM387" s="311"/>
      <c r="AN387" s="311"/>
      <c r="AO387" s="311"/>
      <c r="AP387" s="311"/>
      <c r="AQ387" s="311"/>
      <c r="AR387" s="311"/>
    </row>
    <row r="388" spans="1:44" s="475" customFormat="1" ht="12" customHeight="1">
      <c r="A388" s="311"/>
      <c r="B388" s="311"/>
      <c r="C388" s="311"/>
      <c r="D388" s="311"/>
      <c r="E388" s="311"/>
      <c r="F388" s="311"/>
      <c r="G388" s="311"/>
      <c r="H388" s="311"/>
      <c r="I388" s="311"/>
      <c r="J388" s="311"/>
      <c r="K388" s="311"/>
      <c r="L388" s="311"/>
      <c r="M388" s="311"/>
      <c r="N388" s="311"/>
      <c r="O388" s="311"/>
      <c r="P388" s="1032"/>
      <c r="Q388" s="1031"/>
      <c r="R388" s="1031"/>
      <c r="X388" s="311"/>
      <c r="Y388" s="311"/>
      <c r="Z388" s="311"/>
      <c r="AA388" s="311"/>
      <c r="AB388" s="311"/>
      <c r="AC388" s="311"/>
      <c r="AD388" s="311"/>
      <c r="AE388" s="311"/>
      <c r="AF388" s="311"/>
      <c r="AG388" s="311"/>
      <c r="AH388" s="311"/>
      <c r="AI388" s="311"/>
      <c r="AJ388" s="311"/>
      <c r="AK388" s="311"/>
      <c r="AL388" s="311"/>
      <c r="AM388" s="311"/>
      <c r="AN388" s="311"/>
      <c r="AO388" s="311"/>
      <c r="AP388" s="311"/>
      <c r="AQ388" s="311"/>
      <c r="AR388" s="311"/>
    </row>
    <row r="389" spans="1:44" s="475" customFormat="1" ht="12" customHeight="1">
      <c r="A389" s="311"/>
      <c r="B389" s="1031"/>
      <c r="C389" s="1031"/>
      <c r="D389" s="1031"/>
      <c r="E389" s="1031"/>
      <c r="F389" s="1031"/>
      <c r="G389" s="1031"/>
      <c r="H389" s="1031"/>
      <c r="I389" s="1031"/>
      <c r="J389" s="1031"/>
      <c r="K389" s="1031"/>
      <c r="L389" s="1031"/>
      <c r="M389" s="1031"/>
      <c r="N389" s="1031"/>
      <c r="O389" s="1031"/>
      <c r="P389" s="1032"/>
      <c r="Q389" s="1031"/>
      <c r="R389" s="1031"/>
      <c r="X389" s="311"/>
      <c r="Y389" s="311"/>
      <c r="Z389" s="311"/>
      <c r="AA389" s="311"/>
      <c r="AB389" s="311"/>
      <c r="AC389" s="311"/>
      <c r="AD389" s="311"/>
      <c r="AE389" s="311"/>
      <c r="AF389" s="311"/>
      <c r="AG389" s="311"/>
      <c r="AH389" s="311"/>
      <c r="AI389" s="311"/>
      <c r="AJ389" s="311"/>
      <c r="AK389" s="311"/>
      <c r="AL389" s="311"/>
      <c r="AM389" s="311"/>
      <c r="AN389" s="311"/>
      <c r="AO389" s="311"/>
      <c r="AP389" s="311"/>
      <c r="AQ389" s="311"/>
      <c r="AR389" s="311"/>
    </row>
    <row r="390" spans="1:44" s="475" customFormat="1" ht="12" customHeight="1">
      <c r="A390" s="311"/>
      <c r="B390" s="1031"/>
      <c r="C390" s="1031"/>
      <c r="D390" s="1031"/>
      <c r="E390" s="1031"/>
      <c r="F390" s="1031"/>
      <c r="G390" s="1031"/>
      <c r="H390" s="1031"/>
      <c r="I390" s="1031"/>
      <c r="J390" s="1031"/>
      <c r="K390" s="1031"/>
      <c r="L390" s="1031"/>
      <c r="M390" s="1031"/>
      <c r="N390" s="1031"/>
      <c r="O390" s="1031"/>
      <c r="P390" s="1032"/>
      <c r="Q390" s="1031"/>
      <c r="R390" s="1031"/>
      <c r="X390" s="311"/>
      <c r="Y390" s="311"/>
      <c r="Z390" s="311"/>
      <c r="AA390" s="311"/>
      <c r="AB390" s="311"/>
      <c r="AC390" s="311"/>
      <c r="AD390" s="311"/>
      <c r="AE390" s="311"/>
      <c r="AF390" s="311"/>
      <c r="AG390" s="311"/>
      <c r="AH390" s="311"/>
      <c r="AI390" s="311"/>
      <c r="AJ390" s="311"/>
      <c r="AK390" s="311"/>
      <c r="AL390" s="311"/>
      <c r="AM390" s="311"/>
      <c r="AN390" s="311"/>
      <c r="AO390" s="311"/>
      <c r="AP390" s="311"/>
      <c r="AQ390" s="311"/>
      <c r="AR390" s="311"/>
    </row>
    <row r="391" spans="1:44" s="475" customFormat="1" ht="12" customHeight="1">
      <c r="A391" s="311"/>
      <c r="B391" s="1031"/>
      <c r="C391" s="1031"/>
      <c r="D391" s="1031"/>
      <c r="E391" s="1031"/>
      <c r="F391" s="1031"/>
      <c r="G391" s="1031"/>
      <c r="H391" s="1031"/>
      <c r="I391" s="1031"/>
      <c r="J391" s="1031"/>
      <c r="K391" s="1031"/>
      <c r="L391" s="1031"/>
      <c r="M391" s="1031"/>
      <c r="N391" s="1031"/>
      <c r="O391" s="1031"/>
      <c r="P391" s="1032"/>
      <c r="Q391" s="1031"/>
      <c r="R391" s="1031"/>
      <c r="X391" s="311"/>
      <c r="Y391" s="311"/>
      <c r="Z391" s="311"/>
      <c r="AA391" s="311"/>
      <c r="AB391" s="311"/>
      <c r="AC391" s="311"/>
      <c r="AD391" s="311"/>
      <c r="AE391" s="311"/>
      <c r="AF391" s="311"/>
      <c r="AG391" s="311"/>
      <c r="AH391" s="311"/>
      <c r="AI391" s="311"/>
      <c r="AJ391" s="311"/>
      <c r="AK391" s="311"/>
      <c r="AL391" s="311"/>
      <c r="AM391" s="311"/>
      <c r="AN391" s="311"/>
      <c r="AO391" s="311"/>
      <c r="AP391" s="311"/>
      <c r="AQ391" s="311"/>
      <c r="AR391" s="311"/>
    </row>
    <row r="392" spans="1:44" s="475" customFormat="1" ht="12" customHeight="1">
      <c r="A392" s="311"/>
      <c r="B392" s="1031"/>
      <c r="C392" s="1031"/>
      <c r="D392" s="1031"/>
      <c r="E392" s="1031"/>
      <c r="F392" s="1031"/>
      <c r="G392" s="1031"/>
      <c r="H392" s="1031"/>
      <c r="I392" s="1031"/>
      <c r="J392" s="1031"/>
      <c r="K392" s="1031"/>
      <c r="L392" s="1031"/>
      <c r="M392" s="1031"/>
      <c r="N392" s="1031"/>
      <c r="O392" s="1031"/>
      <c r="P392" s="1032"/>
      <c r="Q392" s="1031"/>
      <c r="R392" s="1031"/>
      <c r="X392" s="311"/>
      <c r="Y392" s="311"/>
      <c r="Z392" s="311"/>
      <c r="AA392" s="311"/>
      <c r="AB392" s="311"/>
      <c r="AC392" s="311"/>
      <c r="AD392" s="311"/>
      <c r="AE392" s="311"/>
      <c r="AF392" s="311"/>
      <c r="AG392" s="311"/>
      <c r="AH392" s="311"/>
      <c r="AI392" s="311"/>
      <c r="AJ392" s="311"/>
      <c r="AK392" s="311"/>
      <c r="AL392" s="311"/>
      <c r="AM392" s="311"/>
      <c r="AN392" s="311"/>
      <c r="AO392" s="311"/>
      <c r="AP392" s="311"/>
      <c r="AQ392" s="311"/>
      <c r="AR392" s="311"/>
    </row>
    <row r="393" spans="1:44" s="475" customFormat="1" ht="12" customHeight="1">
      <c r="A393" s="311"/>
      <c r="B393" s="1031"/>
      <c r="C393" s="1031"/>
      <c r="D393" s="1031"/>
      <c r="E393" s="1031"/>
      <c r="F393" s="1031"/>
      <c r="G393" s="1031"/>
      <c r="H393" s="1031"/>
      <c r="I393" s="1031"/>
      <c r="J393" s="1031"/>
      <c r="K393" s="1031"/>
      <c r="L393" s="1031"/>
      <c r="M393" s="1031"/>
      <c r="N393" s="1031"/>
      <c r="O393" s="1031"/>
      <c r="P393" s="1032"/>
      <c r="Q393" s="1031"/>
      <c r="R393" s="1031"/>
      <c r="X393" s="311"/>
      <c r="Y393" s="311"/>
      <c r="Z393" s="311"/>
      <c r="AA393" s="311"/>
      <c r="AB393" s="311"/>
      <c r="AC393" s="311"/>
      <c r="AD393" s="311"/>
      <c r="AE393" s="311"/>
      <c r="AF393" s="311"/>
      <c r="AG393" s="311"/>
      <c r="AH393" s="311"/>
      <c r="AI393" s="311"/>
      <c r="AJ393" s="311"/>
      <c r="AK393" s="311"/>
      <c r="AL393" s="311"/>
      <c r="AM393" s="311"/>
      <c r="AN393" s="311"/>
      <c r="AO393" s="311"/>
      <c r="AP393" s="311"/>
      <c r="AQ393" s="311"/>
      <c r="AR393" s="311"/>
    </row>
    <row r="394" spans="1:44" s="475" customFormat="1" ht="12" customHeight="1">
      <c r="A394" s="311"/>
      <c r="B394" s="1031"/>
      <c r="C394" s="1031"/>
      <c r="D394" s="1031"/>
      <c r="E394" s="1031"/>
      <c r="F394" s="1031"/>
      <c r="G394" s="1031"/>
      <c r="H394" s="1031"/>
      <c r="I394" s="1031"/>
      <c r="J394" s="1031"/>
      <c r="K394" s="1031"/>
      <c r="L394" s="1031"/>
      <c r="M394" s="1031"/>
      <c r="N394" s="1031"/>
      <c r="O394" s="1031"/>
      <c r="P394" s="1032"/>
      <c r="Q394" s="1031"/>
      <c r="R394" s="1031"/>
      <c r="X394" s="311"/>
      <c r="Y394" s="311"/>
      <c r="Z394" s="311"/>
      <c r="AA394" s="311"/>
      <c r="AB394" s="311"/>
      <c r="AC394" s="311"/>
      <c r="AD394" s="311"/>
      <c r="AE394" s="311"/>
      <c r="AF394" s="311"/>
      <c r="AG394" s="311"/>
      <c r="AH394" s="311"/>
      <c r="AI394" s="311"/>
      <c r="AJ394" s="311"/>
      <c r="AK394" s="311"/>
      <c r="AL394" s="311"/>
      <c r="AM394" s="311"/>
      <c r="AN394" s="311"/>
      <c r="AO394" s="311"/>
      <c r="AP394" s="311"/>
      <c r="AQ394" s="311"/>
      <c r="AR394" s="311"/>
    </row>
    <row r="395" spans="1:44" s="475" customFormat="1" ht="12" customHeight="1">
      <c r="A395" s="311"/>
      <c r="B395" s="1031"/>
      <c r="C395" s="1031"/>
      <c r="D395" s="1031"/>
      <c r="E395" s="1031"/>
      <c r="F395" s="1031"/>
      <c r="G395" s="1031"/>
      <c r="H395" s="1031"/>
      <c r="I395" s="1031"/>
      <c r="J395" s="1031"/>
      <c r="K395" s="1031"/>
      <c r="L395" s="1031"/>
      <c r="M395" s="1031"/>
      <c r="N395" s="1031"/>
      <c r="O395" s="1031"/>
      <c r="P395" s="3654"/>
      <c r="Q395" s="1031"/>
      <c r="R395" s="1031"/>
      <c r="X395" s="311"/>
      <c r="Y395" s="311"/>
      <c r="Z395" s="311"/>
      <c r="AA395" s="311"/>
      <c r="AB395" s="311"/>
      <c r="AC395" s="311"/>
      <c r="AD395" s="311"/>
      <c r="AE395" s="311"/>
      <c r="AF395" s="311"/>
      <c r="AG395" s="311"/>
      <c r="AH395" s="311"/>
      <c r="AI395" s="311"/>
      <c r="AJ395" s="311"/>
      <c r="AK395" s="311"/>
      <c r="AL395" s="311"/>
      <c r="AM395" s="311"/>
      <c r="AN395" s="311"/>
      <c r="AO395" s="311"/>
      <c r="AP395" s="311"/>
      <c r="AQ395" s="311"/>
      <c r="AR395" s="311"/>
    </row>
    <row r="396" spans="1:44" s="475" customFormat="1" ht="12" customHeight="1">
      <c r="A396" s="311"/>
      <c r="B396" s="1031"/>
      <c r="C396" s="1031"/>
      <c r="D396" s="1031"/>
      <c r="E396" s="1031"/>
      <c r="F396" s="1031"/>
      <c r="G396" s="1031"/>
      <c r="H396" s="1031"/>
      <c r="I396" s="1031"/>
      <c r="J396" s="1031"/>
      <c r="K396" s="1031"/>
      <c r="L396" s="1031"/>
      <c r="M396" s="1031"/>
      <c r="N396" s="1031"/>
      <c r="O396" s="1031"/>
      <c r="P396" s="3654"/>
      <c r="Q396" s="1031"/>
      <c r="R396" s="1031"/>
      <c r="X396" s="311"/>
      <c r="Y396" s="311"/>
      <c r="Z396" s="311"/>
      <c r="AA396" s="311"/>
      <c r="AB396" s="311"/>
      <c r="AC396" s="311"/>
      <c r="AD396" s="311"/>
      <c r="AE396" s="311"/>
      <c r="AF396" s="311"/>
      <c r="AG396" s="311"/>
      <c r="AH396" s="311"/>
      <c r="AI396" s="311"/>
      <c r="AJ396" s="311"/>
      <c r="AK396" s="311"/>
      <c r="AL396" s="311"/>
      <c r="AM396" s="311"/>
      <c r="AN396" s="311"/>
      <c r="AO396" s="311"/>
      <c r="AP396" s="311"/>
      <c r="AQ396" s="311"/>
      <c r="AR396" s="311"/>
    </row>
    <row r="397" spans="1:44" s="475" customFormat="1" ht="12" customHeight="1">
      <c r="A397" s="311"/>
      <c r="B397" s="1031"/>
      <c r="C397" s="1031"/>
      <c r="D397" s="1031"/>
      <c r="E397" s="1031"/>
      <c r="F397" s="1031"/>
      <c r="G397" s="1031"/>
      <c r="H397" s="1031"/>
      <c r="I397" s="1031"/>
      <c r="J397" s="1031"/>
      <c r="K397" s="1031"/>
      <c r="L397" s="1031"/>
      <c r="M397" s="1031"/>
      <c r="N397" s="1031"/>
      <c r="O397" s="1031"/>
      <c r="P397" s="3654"/>
      <c r="Q397" s="1031"/>
      <c r="R397" s="1031"/>
      <c r="X397" s="311"/>
      <c r="Y397" s="311"/>
      <c r="Z397" s="311"/>
      <c r="AA397" s="311"/>
      <c r="AB397" s="311"/>
      <c r="AC397" s="311"/>
      <c r="AD397" s="311"/>
      <c r="AE397" s="311"/>
      <c r="AF397" s="311"/>
      <c r="AG397" s="311"/>
      <c r="AH397" s="311"/>
      <c r="AI397" s="311"/>
      <c r="AJ397" s="311"/>
      <c r="AK397" s="311"/>
      <c r="AL397" s="311"/>
      <c r="AM397" s="311"/>
      <c r="AN397" s="311"/>
      <c r="AO397" s="311"/>
      <c r="AP397" s="311"/>
      <c r="AQ397" s="311"/>
      <c r="AR397" s="311"/>
    </row>
    <row r="398" spans="1:44" s="475" customFormat="1" ht="12" customHeight="1">
      <c r="A398" s="311"/>
      <c r="B398" s="1031"/>
      <c r="C398" s="1031"/>
      <c r="D398" s="1031"/>
      <c r="E398" s="1031"/>
      <c r="F398" s="1031"/>
      <c r="G398" s="1031"/>
      <c r="H398" s="1031"/>
      <c r="I398" s="1031"/>
      <c r="J398" s="1031"/>
      <c r="K398" s="1031"/>
      <c r="L398" s="1031"/>
      <c r="M398" s="1031"/>
      <c r="N398" s="1031"/>
      <c r="O398" s="1031"/>
      <c r="P398" s="1032"/>
      <c r="Q398" s="1031"/>
      <c r="R398" s="1031"/>
      <c r="X398" s="311"/>
      <c r="Y398" s="311"/>
      <c r="Z398" s="311"/>
      <c r="AA398" s="311"/>
      <c r="AB398" s="311"/>
      <c r="AC398" s="311"/>
      <c r="AD398" s="311"/>
      <c r="AE398" s="311"/>
      <c r="AF398" s="311"/>
      <c r="AG398" s="311"/>
      <c r="AH398" s="311"/>
      <c r="AI398" s="311"/>
      <c r="AJ398" s="311"/>
      <c r="AK398" s="311"/>
      <c r="AL398" s="311"/>
      <c r="AM398" s="311"/>
      <c r="AN398" s="311"/>
      <c r="AO398" s="311"/>
      <c r="AP398" s="311"/>
      <c r="AQ398" s="311"/>
      <c r="AR398" s="311"/>
    </row>
    <row r="399" spans="1:44" s="475" customFormat="1" ht="12" customHeight="1">
      <c r="A399" s="311"/>
      <c r="B399" s="1031"/>
      <c r="C399" s="1031"/>
      <c r="D399" s="1031"/>
      <c r="E399" s="1031"/>
      <c r="F399" s="1031"/>
      <c r="G399" s="1031"/>
      <c r="H399" s="1031"/>
      <c r="I399" s="1031"/>
      <c r="J399" s="1031"/>
      <c r="K399" s="1031"/>
      <c r="L399" s="1031"/>
      <c r="M399" s="1031"/>
      <c r="N399" s="1031"/>
      <c r="O399" s="1031"/>
      <c r="P399" s="1032"/>
      <c r="Q399" s="1031"/>
      <c r="R399" s="1031"/>
      <c r="X399" s="311"/>
      <c r="Y399" s="311"/>
      <c r="Z399" s="311"/>
      <c r="AA399" s="311"/>
      <c r="AB399" s="311"/>
      <c r="AC399" s="311"/>
      <c r="AD399" s="311"/>
      <c r="AE399" s="311"/>
      <c r="AF399" s="311"/>
      <c r="AG399" s="311"/>
      <c r="AH399" s="311"/>
      <c r="AI399" s="311"/>
      <c r="AJ399" s="311"/>
      <c r="AK399" s="311"/>
      <c r="AL399" s="311"/>
      <c r="AM399" s="311"/>
      <c r="AN399" s="311"/>
      <c r="AO399" s="311"/>
      <c r="AP399" s="311"/>
      <c r="AQ399" s="311"/>
      <c r="AR399" s="311"/>
    </row>
    <row r="400" spans="1:44" s="475" customFormat="1" ht="12" customHeight="1">
      <c r="A400" s="311"/>
      <c r="B400" s="1031"/>
      <c r="C400" s="1031"/>
      <c r="D400" s="1031"/>
      <c r="E400" s="1031"/>
      <c r="F400" s="1031"/>
      <c r="G400" s="1031"/>
      <c r="H400" s="1031"/>
      <c r="I400" s="1031"/>
      <c r="J400" s="1031"/>
      <c r="K400" s="1031"/>
      <c r="L400" s="1031"/>
      <c r="M400" s="1031"/>
      <c r="N400" s="1031"/>
      <c r="O400" s="1031"/>
      <c r="P400" s="3654"/>
      <c r="Q400" s="1031"/>
      <c r="R400" s="1031"/>
      <c r="X400" s="311"/>
      <c r="Y400" s="311"/>
      <c r="Z400" s="311"/>
      <c r="AA400" s="311"/>
      <c r="AB400" s="311"/>
      <c r="AC400" s="311"/>
      <c r="AD400" s="311"/>
      <c r="AE400" s="311"/>
      <c r="AF400" s="311"/>
      <c r="AG400" s="311"/>
      <c r="AH400" s="311"/>
      <c r="AI400" s="311"/>
      <c r="AJ400" s="311"/>
      <c r="AK400" s="311"/>
      <c r="AL400" s="311"/>
      <c r="AM400" s="311"/>
      <c r="AN400" s="311"/>
      <c r="AO400" s="311"/>
      <c r="AP400" s="311"/>
      <c r="AQ400" s="311"/>
      <c r="AR400" s="311"/>
    </row>
    <row r="401" spans="1:44" s="475" customFormat="1" ht="12" customHeight="1">
      <c r="A401" s="311"/>
      <c r="B401" s="1031"/>
      <c r="C401" s="1031"/>
      <c r="D401" s="1031"/>
      <c r="E401" s="1031"/>
      <c r="F401" s="1031"/>
      <c r="G401" s="1031"/>
      <c r="H401" s="1031"/>
      <c r="I401" s="1031"/>
      <c r="J401" s="1031"/>
      <c r="K401" s="1031"/>
      <c r="L401" s="1031"/>
      <c r="M401" s="1031"/>
      <c r="N401" s="1031"/>
      <c r="O401" s="1031"/>
      <c r="P401" s="1032"/>
      <c r="Q401" s="1031"/>
      <c r="R401" s="1031"/>
      <c r="X401" s="311"/>
      <c r="Y401" s="311"/>
      <c r="Z401" s="311"/>
      <c r="AA401" s="311"/>
      <c r="AB401" s="311"/>
      <c r="AC401" s="311"/>
      <c r="AD401" s="311"/>
      <c r="AE401" s="311"/>
      <c r="AF401" s="311"/>
      <c r="AG401" s="311"/>
      <c r="AH401" s="311"/>
      <c r="AI401" s="311"/>
      <c r="AJ401" s="311"/>
      <c r="AK401" s="311"/>
      <c r="AL401" s="311"/>
      <c r="AM401" s="311"/>
      <c r="AN401" s="311"/>
      <c r="AO401" s="311"/>
      <c r="AP401" s="311"/>
      <c r="AQ401" s="311"/>
      <c r="AR401" s="311"/>
    </row>
    <row r="402" spans="1:44" s="475" customFormat="1" ht="12" customHeight="1">
      <c r="A402" s="311"/>
      <c r="B402" s="1031"/>
      <c r="C402" s="1031"/>
      <c r="D402" s="1031"/>
      <c r="E402" s="1031"/>
      <c r="F402" s="1031"/>
      <c r="G402" s="1031"/>
      <c r="H402" s="1031"/>
      <c r="I402" s="1031"/>
      <c r="J402" s="1031"/>
      <c r="K402" s="1031"/>
      <c r="L402" s="1031"/>
      <c r="M402" s="1031"/>
      <c r="N402" s="1031"/>
      <c r="O402" s="1031"/>
      <c r="P402" s="1032"/>
      <c r="Q402" s="1031"/>
      <c r="R402" s="1031"/>
      <c r="X402" s="311"/>
      <c r="Y402" s="311"/>
      <c r="Z402" s="311"/>
      <c r="AA402" s="311"/>
      <c r="AB402" s="311"/>
      <c r="AC402" s="311"/>
      <c r="AD402" s="311"/>
      <c r="AE402" s="311"/>
      <c r="AF402" s="311"/>
      <c r="AG402" s="311"/>
      <c r="AH402" s="311"/>
      <c r="AI402" s="311"/>
      <c r="AJ402" s="311"/>
      <c r="AK402" s="311"/>
      <c r="AL402" s="311"/>
      <c r="AM402" s="311"/>
      <c r="AN402" s="311"/>
      <c r="AO402" s="311"/>
      <c r="AP402" s="311"/>
      <c r="AQ402" s="311"/>
      <c r="AR402" s="311"/>
    </row>
    <row r="403" spans="1:44" s="475" customFormat="1" ht="12" customHeight="1">
      <c r="A403" s="311"/>
      <c r="B403" s="1031"/>
      <c r="C403" s="1031"/>
      <c r="D403" s="1031"/>
      <c r="E403" s="1031"/>
      <c r="F403" s="1031"/>
      <c r="G403" s="1031"/>
      <c r="H403" s="1031"/>
      <c r="I403" s="1031"/>
      <c r="J403" s="1031"/>
      <c r="K403" s="1031"/>
      <c r="L403" s="1031"/>
      <c r="M403" s="1031"/>
      <c r="N403" s="1031"/>
      <c r="O403" s="1031"/>
      <c r="P403" s="1032"/>
      <c r="Q403" s="1031"/>
      <c r="R403" s="1031"/>
      <c r="X403" s="311"/>
      <c r="Y403" s="311"/>
      <c r="Z403" s="311"/>
      <c r="AA403" s="311"/>
      <c r="AB403" s="311"/>
      <c r="AC403" s="311"/>
      <c r="AD403" s="311"/>
      <c r="AE403" s="311"/>
      <c r="AF403" s="311"/>
      <c r="AG403" s="311"/>
      <c r="AH403" s="311"/>
      <c r="AI403" s="311"/>
      <c r="AJ403" s="311"/>
      <c r="AK403" s="311"/>
      <c r="AL403" s="311"/>
      <c r="AM403" s="311"/>
      <c r="AN403" s="311"/>
      <c r="AO403" s="311"/>
      <c r="AP403" s="311"/>
      <c r="AQ403" s="311"/>
      <c r="AR403" s="311"/>
    </row>
    <row r="404" spans="1:44" s="475" customFormat="1" ht="12" customHeight="1">
      <c r="A404" s="311"/>
      <c r="B404" s="1031"/>
      <c r="C404" s="1031"/>
      <c r="D404" s="1031"/>
      <c r="E404" s="1031"/>
      <c r="F404" s="1031"/>
      <c r="G404" s="1031"/>
      <c r="H404" s="1031"/>
      <c r="I404" s="1031"/>
      <c r="J404" s="1031"/>
      <c r="K404" s="1031"/>
      <c r="L404" s="1031"/>
      <c r="M404" s="1031"/>
      <c r="N404" s="1031"/>
      <c r="O404" s="1031"/>
      <c r="P404" s="1032"/>
      <c r="Q404" s="1031"/>
      <c r="R404" s="1031"/>
      <c r="X404" s="311"/>
      <c r="Y404" s="311"/>
      <c r="Z404" s="311"/>
      <c r="AA404" s="311"/>
      <c r="AB404" s="311"/>
      <c r="AC404" s="311"/>
      <c r="AD404" s="311"/>
      <c r="AE404" s="311"/>
      <c r="AF404" s="311"/>
      <c r="AG404" s="311"/>
      <c r="AH404" s="311"/>
      <c r="AI404" s="311"/>
      <c r="AJ404" s="311"/>
      <c r="AK404" s="311"/>
      <c r="AL404" s="311"/>
      <c r="AM404" s="311"/>
      <c r="AN404" s="311"/>
      <c r="AO404" s="311"/>
      <c r="AP404" s="311"/>
      <c r="AQ404" s="311"/>
      <c r="AR404" s="311"/>
    </row>
    <row r="405" spans="1:44" s="475" customFormat="1" ht="12" customHeight="1">
      <c r="A405" s="311"/>
      <c r="B405" s="1031"/>
      <c r="C405" s="1031"/>
      <c r="D405" s="1031"/>
      <c r="E405" s="1031"/>
      <c r="F405" s="1031"/>
      <c r="G405" s="1031"/>
      <c r="H405" s="1031"/>
      <c r="I405" s="1031"/>
      <c r="J405" s="1031"/>
      <c r="K405" s="1031"/>
      <c r="L405" s="1031"/>
      <c r="M405" s="1031"/>
      <c r="N405" s="1031"/>
      <c r="O405" s="1031"/>
      <c r="P405" s="1032"/>
      <c r="Q405" s="1031"/>
      <c r="R405" s="1031"/>
      <c r="X405" s="311"/>
      <c r="Y405" s="311"/>
      <c r="Z405" s="311"/>
      <c r="AA405" s="311"/>
      <c r="AB405" s="311"/>
      <c r="AC405" s="311"/>
      <c r="AD405" s="311"/>
      <c r="AE405" s="311"/>
      <c r="AF405" s="311"/>
      <c r="AG405" s="311"/>
      <c r="AH405" s="311"/>
      <c r="AI405" s="311"/>
      <c r="AJ405" s="311"/>
      <c r="AK405" s="311"/>
      <c r="AL405" s="311"/>
      <c r="AM405" s="311"/>
      <c r="AN405" s="311"/>
      <c r="AO405" s="311"/>
      <c r="AP405" s="311"/>
      <c r="AQ405" s="311"/>
      <c r="AR405" s="311"/>
    </row>
    <row r="406" spans="1:44" s="475" customFormat="1" ht="12" customHeight="1">
      <c r="A406" s="311"/>
      <c r="B406" s="1031"/>
      <c r="C406" s="1031"/>
      <c r="D406" s="1031"/>
      <c r="E406" s="1031"/>
      <c r="F406" s="1031"/>
      <c r="G406" s="1031"/>
      <c r="H406" s="1031"/>
      <c r="I406" s="1031"/>
      <c r="J406" s="1031"/>
      <c r="K406" s="1031"/>
      <c r="L406" s="1031"/>
      <c r="M406" s="1031"/>
      <c r="N406" s="1031"/>
      <c r="O406" s="1031"/>
      <c r="P406" s="1032"/>
      <c r="Q406" s="1031"/>
      <c r="R406" s="1031"/>
      <c r="X406" s="311"/>
      <c r="Y406" s="311"/>
      <c r="Z406" s="311"/>
      <c r="AA406" s="311"/>
      <c r="AB406" s="311"/>
      <c r="AC406" s="311"/>
      <c r="AD406" s="311"/>
      <c r="AE406" s="311"/>
      <c r="AF406" s="311"/>
      <c r="AG406" s="311"/>
      <c r="AH406" s="311"/>
      <c r="AI406" s="311"/>
      <c r="AJ406" s="311"/>
      <c r="AK406" s="311"/>
      <c r="AL406" s="311"/>
      <c r="AM406" s="311"/>
      <c r="AN406" s="311"/>
      <c r="AO406" s="311"/>
      <c r="AP406" s="311"/>
      <c r="AQ406" s="311"/>
      <c r="AR406" s="311"/>
    </row>
    <row r="407" spans="1:44" s="475" customFormat="1" ht="12" customHeight="1">
      <c r="A407" s="311"/>
      <c r="B407" s="1031"/>
      <c r="C407" s="1031"/>
      <c r="D407" s="1031"/>
      <c r="E407" s="1031"/>
      <c r="F407" s="1031"/>
      <c r="G407" s="1031"/>
      <c r="H407" s="1031"/>
      <c r="I407" s="1031"/>
      <c r="J407" s="1031"/>
      <c r="K407" s="1031"/>
      <c r="L407" s="1031"/>
      <c r="M407" s="1031"/>
      <c r="N407" s="1031"/>
      <c r="O407" s="1031"/>
      <c r="P407" s="1032"/>
      <c r="Q407" s="1031"/>
      <c r="R407" s="1031"/>
      <c r="X407" s="311"/>
      <c r="Y407" s="311"/>
      <c r="Z407" s="311"/>
      <c r="AA407" s="311"/>
      <c r="AB407" s="311"/>
      <c r="AC407" s="311"/>
      <c r="AD407" s="311"/>
      <c r="AE407" s="311"/>
      <c r="AF407" s="311"/>
      <c r="AG407" s="311"/>
      <c r="AH407" s="311"/>
      <c r="AI407" s="311"/>
      <c r="AJ407" s="311"/>
      <c r="AK407" s="311"/>
      <c r="AL407" s="311"/>
      <c r="AM407" s="311"/>
      <c r="AN407" s="311"/>
      <c r="AO407" s="311"/>
      <c r="AP407" s="311"/>
      <c r="AQ407" s="311"/>
      <c r="AR407" s="311"/>
    </row>
    <row r="408" spans="1:44" s="475" customFormat="1" ht="12" customHeight="1">
      <c r="A408" s="311"/>
      <c r="B408" s="1031"/>
      <c r="C408" s="1031"/>
      <c r="D408" s="1031"/>
      <c r="E408" s="1031"/>
      <c r="F408" s="1031"/>
      <c r="G408" s="1031"/>
      <c r="H408" s="1031"/>
      <c r="I408" s="1031"/>
      <c r="J408" s="1031"/>
      <c r="K408" s="1031"/>
      <c r="L408" s="1031"/>
      <c r="M408" s="1031"/>
      <c r="N408" s="1031"/>
      <c r="O408" s="1031"/>
      <c r="P408" s="1032"/>
      <c r="Q408" s="1031"/>
      <c r="R408" s="1031"/>
      <c r="X408" s="311"/>
      <c r="Y408" s="311"/>
      <c r="Z408" s="311"/>
      <c r="AA408" s="311"/>
      <c r="AB408" s="311"/>
      <c r="AC408" s="311"/>
      <c r="AD408" s="311"/>
      <c r="AE408" s="311"/>
      <c r="AF408" s="311"/>
      <c r="AG408" s="311"/>
      <c r="AH408" s="311"/>
      <c r="AI408" s="311"/>
      <c r="AJ408" s="311"/>
      <c r="AK408" s="311"/>
      <c r="AL408" s="311"/>
      <c r="AM408" s="311"/>
      <c r="AN408" s="311"/>
      <c r="AO408" s="311"/>
      <c r="AP408" s="311"/>
      <c r="AQ408" s="311"/>
      <c r="AR408" s="311"/>
    </row>
    <row r="409" spans="1:44" s="475" customFormat="1" ht="12" customHeight="1">
      <c r="A409" s="311"/>
      <c r="B409" s="1031"/>
      <c r="C409" s="1031"/>
      <c r="D409" s="1031"/>
      <c r="E409" s="1031"/>
      <c r="F409" s="1031"/>
      <c r="G409" s="1031"/>
      <c r="H409" s="1031"/>
      <c r="I409" s="1031"/>
      <c r="J409" s="1031"/>
      <c r="K409" s="1031"/>
      <c r="L409" s="1031"/>
      <c r="M409" s="1031"/>
      <c r="N409" s="1031"/>
      <c r="O409" s="1031"/>
      <c r="P409" s="1032"/>
      <c r="Q409" s="1031"/>
      <c r="R409" s="1031"/>
      <c r="X409" s="311"/>
      <c r="Y409" s="311"/>
      <c r="Z409" s="311"/>
      <c r="AA409" s="311"/>
      <c r="AB409" s="311"/>
      <c r="AC409" s="311"/>
      <c r="AD409" s="311"/>
      <c r="AE409" s="311"/>
      <c r="AF409" s="311"/>
      <c r="AG409" s="311"/>
      <c r="AH409" s="311"/>
      <c r="AI409" s="311"/>
      <c r="AJ409" s="311"/>
      <c r="AK409" s="311"/>
      <c r="AL409" s="311"/>
      <c r="AM409" s="311"/>
      <c r="AN409" s="311"/>
      <c r="AO409" s="311"/>
      <c r="AP409" s="311"/>
      <c r="AQ409" s="311"/>
      <c r="AR409" s="311"/>
    </row>
    <row r="410" spans="1:44" s="475" customFormat="1" ht="12" customHeight="1">
      <c r="A410" s="311"/>
      <c r="B410" s="1031"/>
      <c r="C410" s="1031"/>
      <c r="D410" s="1031"/>
      <c r="E410" s="1031"/>
      <c r="F410" s="1031"/>
      <c r="G410" s="1031"/>
      <c r="H410" s="1031"/>
      <c r="I410" s="1031"/>
      <c r="J410" s="1031"/>
      <c r="K410" s="1031"/>
      <c r="L410" s="1031"/>
      <c r="M410" s="1031"/>
      <c r="N410" s="1031"/>
      <c r="O410" s="1031"/>
      <c r="P410" s="1032"/>
      <c r="Q410" s="1031"/>
      <c r="R410" s="1031"/>
      <c r="X410" s="311"/>
      <c r="Y410" s="311"/>
      <c r="Z410" s="311"/>
      <c r="AA410" s="311"/>
      <c r="AB410" s="311"/>
      <c r="AC410" s="311"/>
      <c r="AD410" s="311"/>
      <c r="AE410" s="311"/>
      <c r="AF410" s="311"/>
      <c r="AG410" s="311"/>
      <c r="AH410" s="311"/>
      <c r="AI410" s="311"/>
      <c r="AJ410" s="311"/>
      <c r="AK410" s="311"/>
      <c r="AL410" s="311"/>
      <c r="AM410" s="311"/>
      <c r="AN410" s="311"/>
      <c r="AO410" s="311"/>
      <c r="AP410" s="311"/>
      <c r="AQ410" s="311"/>
      <c r="AR410" s="311"/>
    </row>
    <row r="411" spans="1:44" s="475" customFormat="1" ht="12" customHeight="1">
      <c r="A411" s="311"/>
      <c r="B411" s="1031"/>
      <c r="C411" s="1031"/>
      <c r="D411" s="1031"/>
      <c r="E411" s="1031"/>
      <c r="F411" s="1031"/>
      <c r="G411" s="1031"/>
      <c r="H411" s="1031"/>
      <c r="I411" s="1031"/>
      <c r="J411" s="1031"/>
      <c r="K411" s="1031"/>
      <c r="L411" s="1031"/>
      <c r="M411" s="1031"/>
      <c r="N411" s="1031"/>
      <c r="O411" s="1031"/>
      <c r="P411" s="1032"/>
      <c r="Q411" s="1031"/>
      <c r="R411" s="1031"/>
      <c r="X411" s="311"/>
      <c r="Y411" s="311"/>
      <c r="Z411" s="311"/>
      <c r="AA411" s="311"/>
      <c r="AB411" s="311"/>
      <c r="AC411" s="311"/>
      <c r="AD411" s="311"/>
      <c r="AE411" s="311"/>
      <c r="AF411" s="311"/>
      <c r="AG411" s="311"/>
      <c r="AH411" s="311"/>
      <c r="AI411" s="311"/>
      <c r="AJ411" s="311"/>
      <c r="AK411" s="311"/>
      <c r="AL411" s="311"/>
      <c r="AM411" s="311"/>
      <c r="AN411" s="311"/>
      <c r="AO411" s="311"/>
      <c r="AP411" s="311"/>
      <c r="AQ411" s="311"/>
      <c r="AR411" s="311"/>
    </row>
    <row r="412" spans="1:44" s="475" customFormat="1" ht="12" customHeight="1">
      <c r="A412" s="311"/>
      <c r="B412" s="1031"/>
      <c r="C412" s="1031"/>
      <c r="D412" s="1031"/>
      <c r="E412" s="1031"/>
      <c r="F412" s="1031"/>
      <c r="G412" s="1031"/>
      <c r="H412" s="1031"/>
      <c r="I412" s="1031"/>
      <c r="J412" s="1031"/>
      <c r="K412" s="1031"/>
      <c r="L412" s="1031"/>
      <c r="M412" s="1031"/>
      <c r="N412" s="1031"/>
      <c r="O412" s="1031"/>
      <c r="P412" s="3654"/>
      <c r="Q412" s="1031"/>
      <c r="R412" s="1031"/>
      <c r="X412" s="311"/>
      <c r="Y412" s="311"/>
      <c r="Z412" s="311"/>
      <c r="AA412" s="311"/>
      <c r="AB412" s="311"/>
      <c r="AC412" s="311"/>
      <c r="AD412" s="311"/>
      <c r="AE412" s="311"/>
      <c r="AF412" s="311"/>
      <c r="AG412" s="311"/>
      <c r="AH412" s="311"/>
      <c r="AI412" s="311"/>
      <c r="AJ412" s="311"/>
      <c r="AK412" s="311"/>
      <c r="AL412" s="311"/>
      <c r="AM412" s="311"/>
      <c r="AN412" s="311"/>
      <c r="AO412" s="311"/>
      <c r="AP412" s="311"/>
      <c r="AQ412" s="311"/>
      <c r="AR412" s="311"/>
    </row>
    <row r="413" spans="1:44" s="475" customFormat="1" ht="12" customHeight="1">
      <c r="A413" s="311"/>
      <c r="B413" s="1031"/>
      <c r="C413" s="1031"/>
      <c r="D413" s="1031"/>
      <c r="E413" s="1031"/>
      <c r="F413" s="1031"/>
      <c r="G413" s="1031"/>
      <c r="H413" s="1031"/>
      <c r="I413" s="1031"/>
      <c r="J413" s="1031"/>
      <c r="K413" s="1031"/>
      <c r="L413" s="1031"/>
      <c r="M413" s="1031"/>
      <c r="N413" s="1031"/>
      <c r="O413" s="1031"/>
      <c r="P413" s="1032"/>
      <c r="Q413" s="1031"/>
      <c r="R413" s="1031"/>
      <c r="X413" s="311"/>
      <c r="Y413" s="311"/>
      <c r="Z413" s="311"/>
      <c r="AA413" s="311"/>
      <c r="AB413" s="311"/>
      <c r="AC413" s="311"/>
      <c r="AD413" s="311"/>
      <c r="AE413" s="311"/>
      <c r="AF413" s="311"/>
      <c r="AG413" s="311"/>
      <c r="AH413" s="311"/>
      <c r="AI413" s="311"/>
      <c r="AJ413" s="311"/>
      <c r="AK413" s="311"/>
      <c r="AL413" s="311"/>
      <c r="AM413" s="311"/>
      <c r="AN413" s="311"/>
      <c r="AO413" s="311"/>
      <c r="AP413" s="311"/>
      <c r="AQ413" s="311"/>
      <c r="AR413" s="311"/>
    </row>
    <row r="414" spans="1:44" s="475" customFormat="1" ht="12" customHeight="1">
      <c r="A414" s="311"/>
      <c r="B414" s="1031"/>
      <c r="C414" s="1031"/>
      <c r="D414" s="1031"/>
      <c r="E414" s="1031"/>
      <c r="F414" s="1031"/>
      <c r="G414" s="1031"/>
      <c r="H414" s="1031"/>
      <c r="I414" s="1031"/>
      <c r="J414" s="1031"/>
      <c r="K414" s="1031"/>
      <c r="L414" s="1031"/>
      <c r="M414" s="1031"/>
      <c r="N414" s="1031"/>
      <c r="O414" s="1031"/>
      <c r="P414" s="1032"/>
      <c r="Q414" s="1031"/>
      <c r="R414" s="1031"/>
      <c r="X414" s="311"/>
      <c r="Y414" s="311"/>
      <c r="Z414" s="311"/>
      <c r="AA414" s="311"/>
      <c r="AB414" s="311"/>
      <c r="AC414" s="311"/>
      <c r="AD414" s="311"/>
      <c r="AE414" s="311"/>
      <c r="AF414" s="311"/>
      <c r="AG414" s="311"/>
      <c r="AH414" s="311"/>
      <c r="AI414" s="311"/>
      <c r="AJ414" s="311"/>
      <c r="AK414" s="311"/>
      <c r="AL414" s="311"/>
      <c r="AM414" s="311"/>
      <c r="AN414" s="311"/>
      <c r="AO414" s="311"/>
      <c r="AP414" s="311"/>
      <c r="AQ414" s="311"/>
      <c r="AR414" s="311"/>
    </row>
    <row r="415" spans="1:44" s="475" customFormat="1" ht="12" customHeight="1">
      <c r="A415" s="311"/>
      <c r="B415" s="1031"/>
      <c r="C415" s="1031"/>
      <c r="D415" s="1031"/>
      <c r="E415" s="1031"/>
      <c r="F415" s="1031"/>
      <c r="G415" s="1031"/>
      <c r="H415" s="1031"/>
      <c r="I415" s="1031"/>
      <c r="J415" s="1031"/>
      <c r="K415" s="1031"/>
      <c r="L415" s="1031"/>
      <c r="M415" s="1031"/>
      <c r="N415" s="1031"/>
      <c r="O415" s="1031"/>
      <c r="P415" s="1032"/>
      <c r="Q415" s="1031"/>
      <c r="R415" s="1031"/>
      <c r="X415" s="311"/>
      <c r="Y415" s="311"/>
      <c r="Z415" s="311"/>
      <c r="AA415" s="311"/>
      <c r="AB415" s="311"/>
      <c r="AC415" s="311"/>
      <c r="AD415" s="311"/>
      <c r="AE415" s="311"/>
      <c r="AF415" s="311"/>
      <c r="AG415" s="311"/>
      <c r="AH415" s="311"/>
      <c r="AI415" s="311"/>
      <c r="AJ415" s="311"/>
      <c r="AK415" s="311"/>
      <c r="AL415" s="311"/>
      <c r="AM415" s="311"/>
      <c r="AN415" s="311"/>
      <c r="AO415" s="311"/>
      <c r="AP415" s="311"/>
      <c r="AQ415" s="311"/>
      <c r="AR415" s="311"/>
    </row>
    <row r="416" spans="1:44" s="475" customFormat="1" ht="12" customHeight="1">
      <c r="A416" s="311"/>
      <c r="B416" s="1031"/>
      <c r="C416" s="1031"/>
      <c r="D416" s="1031"/>
      <c r="E416" s="1031"/>
      <c r="F416" s="1031"/>
      <c r="G416" s="1031"/>
      <c r="H416" s="1031"/>
      <c r="I416" s="1031"/>
      <c r="J416" s="1031"/>
      <c r="K416" s="1031"/>
      <c r="L416" s="1031"/>
      <c r="M416" s="1031"/>
      <c r="N416" s="1031"/>
      <c r="O416" s="1031"/>
      <c r="P416" s="1032"/>
      <c r="Q416" s="1031"/>
      <c r="R416" s="1031"/>
      <c r="X416" s="311"/>
      <c r="Y416" s="311"/>
      <c r="Z416" s="311"/>
      <c r="AA416" s="311"/>
      <c r="AB416" s="311"/>
      <c r="AC416" s="311"/>
      <c r="AD416" s="311"/>
      <c r="AE416" s="311"/>
      <c r="AF416" s="311"/>
      <c r="AG416" s="311"/>
      <c r="AH416" s="311"/>
      <c r="AI416" s="311"/>
      <c r="AJ416" s="311"/>
      <c r="AK416" s="311"/>
      <c r="AL416" s="311"/>
      <c r="AM416" s="311"/>
      <c r="AN416" s="311"/>
      <c r="AO416" s="311"/>
      <c r="AP416" s="311"/>
      <c r="AQ416" s="311"/>
      <c r="AR416" s="311"/>
    </row>
    <row r="417" spans="1:44" s="475" customFormat="1" ht="12" customHeight="1">
      <c r="A417" s="311"/>
      <c r="B417" s="1031"/>
      <c r="C417" s="1031"/>
      <c r="D417" s="1031"/>
      <c r="E417" s="1031"/>
      <c r="F417" s="1031"/>
      <c r="G417" s="1031"/>
      <c r="H417" s="1031"/>
      <c r="I417" s="1031"/>
      <c r="J417" s="1031"/>
      <c r="K417" s="1031"/>
      <c r="L417" s="1031"/>
      <c r="M417" s="1031"/>
      <c r="N417" s="1031"/>
      <c r="O417" s="1031"/>
      <c r="P417" s="1032"/>
      <c r="Q417" s="1031"/>
      <c r="R417" s="1031"/>
      <c r="X417" s="311"/>
      <c r="Y417" s="311"/>
      <c r="Z417" s="311"/>
      <c r="AA417" s="311"/>
      <c r="AB417" s="311"/>
      <c r="AC417" s="311"/>
      <c r="AD417" s="311"/>
      <c r="AE417" s="311"/>
      <c r="AF417" s="311"/>
      <c r="AG417" s="311"/>
      <c r="AH417" s="311"/>
      <c r="AI417" s="311"/>
      <c r="AJ417" s="311"/>
      <c r="AK417" s="311"/>
      <c r="AL417" s="311"/>
      <c r="AM417" s="311"/>
      <c r="AN417" s="311"/>
      <c r="AO417" s="311"/>
      <c r="AP417" s="311"/>
      <c r="AQ417" s="311"/>
      <c r="AR417" s="311"/>
    </row>
    <row r="418" spans="1:44" s="475" customFormat="1" ht="12" customHeight="1">
      <c r="A418" s="311"/>
      <c r="B418" s="1031"/>
      <c r="C418" s="1031"/>
      <c r="D418" s="1031"/>
      <c r="E418" s="1031"/>
      <c r="F418" s="1031"/>
      <c r="G418" s="1031"/>
      <c r="H418" s="1031"/>
      <c r="I418" s="1031"/>
      <c r="J418" s="1031"/>
      <c r="K418" s="1031"/>
      <c r="L418" s="1031"/>
      <c r="M418" s="1031"/>
      <c r="N418" s="1031"/>
      <c r="O418" s="1031"/>
      <c r="P418" s="1032"/>
      <c r="Q418" s="1031"/>
      <c r="R418" s="1031"/>
      <c r="X418" s="311"/>
      <c r="Y418" s="311"/>
      <c r="Z418" s="311"/>
      <c r="AA418" s="311"/>
      <c r="AB418" s="311"/>
      <c r="AC418" s="311"/>
      <c r="AD418" s="311"/>
      <c r="AE418" s="311"/>
      <c r="AF418" s="311"/>
      <c r="AG418" s="311"/>
      <c r="AH418" s="311"/>
      <c r="AI418" s="311"/>
      <c r="AJ418" s="311"/>
      <c r="AK418" s="311"/>
      <c r="AL418" s="311"/>
      <c r="AM418" s="311"/>
      <c r="AN418" s="311"/>
      <c r="AO418" s="311"/>
      <c r="AP418" s="311"/>
      <c r="AQ418" s="311"/>
      <c r="AR418" s="311"/>
    </row>
    <row r="419" spans="1:44" s="475" customFormat="1" ht="12" customHeight="1">
      <c r="A419" s="311"/>
      <c r="P419" s="387"/>
      <c r="X419" s="311"/>
      <c r="Y419" s="311"/>
      <c r="Z419" s="311"/>
      <c r="AA419" s="311"/>
      <c r="AB419" s="311"/>
      <c r="AC419" s="311"/>
      <c r="AD419" s="311"/>
      <c r="AE419" s="311"/>
      <c r="AF419" s="311"/>
      <c r="AG419" s="311"/>
      <c r="AH419" s="311"/>
      <c r="AI419" s="311"/>
      <c r="AJ419" s="311"/>
      <c r="AK419" s="311"/>
      <c r="AL419" s="311"/>
      <c r="AM419" s="311"/>
      <c r="AN419" s="311"/>
      <c r="AO419" s="311"/>
      <c r="AP419" s="311"/>
      <c r="AQ419" s="311"/>
      <c r="AR419" s="311"/>
    </row>
    <row r="420" spans="1:44" s="475" customFormat="1" ht="12" customHeight="1">
      <c r="A420" s="311"/>
      <c r="P420" s="387"/>
      <c r="X420" s="311"/>
      <c r="Y420" s="311"/>
      <c r="Z420" s="311"/>
      <c r="AA420" s="311"/>
      <c r="AB420" s="311"/>
      <c r="AC420" s="311"/>
      <c r="AD420" s="311"/>
      <c r="AE420" s="311"/>
      <c r="AF420" s="311"/>
      <c r="AG420" s="311"/>
      <c r="AH420" s="311"/>
      <c r="AI420" s="311"/>
      <c r="AJ420" s="311"/>
      <c r="AK420" s="311"/>
      <c r="AL420" s="311"/>
      <c r="AM420" s="311"/>
      <c r="AN420" s="311"/>
      <c r="AO420" s="311"/>
      <c r="AP420" s="311"/>
      <c r="AQ420" s="311"/>
      <c r="AR420" s="311"/>
    </row>
    <row r="421" spans="1:44" s="475" customFormat="1" ht="12" customHeight="1">
      <c r="A421" s="311"/>
      <c r="P421" s="387"/>
      <c r="X421" s="311"/>
      <c r="Y421" s="311"/>
      <c r="Z421" s="311"/>
      <c r="AA421" s="311"/>
      <c r="AB421" s="311"/>
      <c r="AC421" s="311"/>
      <c r="AD421" s="311"/>
      <c r="AE421" s="311"/>
      <c r="AF421" s="311"/>
      <c r="AG421" s="311"/>
      <c r="AH421" s="311"/>
      <c r="AI421" s="311"/>
      <c r="AJ421" s="311"/>
      <c r="AK421" s="311"/>
      <c r="AL421" s="311"/>
      <c r="AM421" s="311"/>
      <c r="AN421" s="311"/>
      <c r="AO421" s="311"/>
      <c r="AP421" s="311"/>
      <c r="AQ421" s="311"/>
      <c r="AR421" s="311"/>
    </row>
    <row r="422" spans="1:44" s="475" customFormat="1" ht="12" customHeight="1">
      <c r="A422" s="311"/>
      <c r="P422" s="3656"/>
      <c r="X422" s="311"/>
      <c r="Y422" s="311"/>
      <c r="Z422" s="311"/>
      <c r="AA422" s="311"/>
      <c r="AB422" s="311"/>
      <c r="AC422" s="311"/>
      <c r="AD422" s="311"/>
      <c r="AE422" s="311"/>
      <c r="AF422" s="311"/>
      <c r="AG422" s="311"/>
      <c r="AH422" s="311"/>
      <c r="AI422" s="311"/>
      <c r="AJ422" s="311"/>
      <c r="AK422" s="311"/>
      <c r="AL422" s="311"/>
      <c r="AM422" s="311"/>
      <c r="AN422" s="311"/>
      <c r="AO422" s="311"/>
      <c r="AP422" s="311"/>
      <c r="AQ422" s="311"/>
      <c r="AR422" s="311"/>
    </row>
    <row r="423" spans="1:44" s="475" customFormat="1" ht="12" customHeight="1">
      <c r="A423" s="311"/>
      <c r="P423" s="387"/>
      <c r="X423" s="311"/>
      <c r="Y423" s="311"/>
      <c r="Z423" s="311"/>
      <c r="AA423" s="311"/>
      <c r="AB423" s="311"/>
      <c r="AC423" s="311"/>
      <c r="AD423" s="311"/>
      <c r="AE423" s="311"/>
      <c r="AF423" s="311"/>
      <c r="AG423" s="311"/>
      <c r="AH423" s="311"/>
      <c r="AI423" s="311"/>
      <c r="AJ423" s="311"/>
      <c r="AK423" s="311"/>
      <c r="AL423" s="311"/>
      <c r="AM423" s="311"/>
      <c r="AN423" s="311"/>
      <c r="AO423" s="311"/>
      <c r="AP423" s="311"/>
      <c r="AQ423" s="311"/>
      <c r="AR423" s="311"/>
    </row>
    <row r="424" spans="1:44" s="475" customFormat="1" ht="12" customHeight="1">
      <c r="A424" s="311"/>
      <c r="P424" s="387"/>
      <c r="X424" s="311"/>
      <c r="Y424" s="311"/>
      <c r="Z424" s="311"/>
      <c r="AA424" s="311"/>
      <c r="AB424" s="311"/>
      <c r="AC424" s="311"/>
      <c r="AD424" s="311"/>
      <c r="AE424" s="311"/>
      <c r="AF424" s="311"/>
      <c r="AG424" s="311"/>
      <c r="AH424" s="311"/>
      <c r="AI424" s="311"/>
      <c r="AJ424" s="311"/>
      <c r="AK424" s="311"/>
      <c r="AL424" s="311"/>
      <c r="AM424" s="311"/>
      <c r="AN424" s="311"/>
      <c r="AO424" s="311"/>
      <c r="AP424" s="311"/>
      <c r="AQ424" s="311"/>
      <c r="AR424" s="311"/>
    </row>
    <row r="425" spans="1:44" s="475" customFormat="1" ht="12" customHeight="1">
      <c r="A425" s="311"/>
      <c r="P425" s="387"/>
      <c r="X425" s="311"/>
      <c r="Y425" s="311"/>
      <c r="Z425" s="311"/>
      <c r="AA425" s="311"/>
      <c r="AB425" s="311"/>
      <c r="AC425" s="311"/>
      <c r="AD425" s="311"/>
      <c r="AE425" s="311"/>
      <c r="AF425" s="311"/>
      <c r="AG425" s="311"/>
      <c r="AH425" s="311"/>
      <c r="AI425" s="311"/>
      <c r="AJ425" s="311"/>
      <c r="AK425" s="311"/>
      <c r="AL425" s="311"/>
      <c r="AM425" s="311"/>
      <c r="AN425" s="311"/>
      <c r="AO425" s="311"/>
      <c r="AP425" s="311"/>
      <c r="AQ425" s="311"/>
      <c r="AR425" s="311"/>
    </row>
    <row r="426" spans="1:44" s="475" customFormat="1" ht="12" customHeight="1">
      <c r="A426" s="311"/>
      <c r="P426" s="387"/>
      <c r="X426" s="311"/>
      <c r="Y426" s="311"/>
      <c r="Z426" s="311"/>
      <c r="AA426" s="311"/>
      <c r="AB426" s="311"/>
      <c r="AC426" s="311"/>
      <c r="AD426" s="311"/>
      <c r="AE426" s="311"/>
      <c r="AF426" s="311"/>
      <c r="AG426" s="311"/>
      <c r="AH426" s="311"/>
      <c r="AI426" s="311"/>
      <c r="AJ426" s="311"/>
      <c r="AK426" s="311"/>
      <c r="AL426" s="311"/>
      <c r="AM426" s="311"/>
      <c r="AN426" s="311"/>
      <c r="AO426" s="311"/>
      <c r="AP426" s="311"/>
      <c r="AQ426" s="311"/>
      <c r="AR426" s="311"/>
    </row>
    <row r="427" spans="1:44" s="475" customFormat="1" ht="12" customHeight="1">
      <c r="A427" s="311"/>
      <c r="P427" s="387"/>
      <c r="X427" s="311"/>
      <c r="Y427" s="311"/>
      <c r="Z427" s="311"/>
      <c r="AA427" s="311"/>
      <c r="AB427" s="311"/>
      <c r="AC427" s="311"/>
      <c r="AD427" s="311"/>
      <c r="AE427" s="311"/>
      <c r="AF427" s="311"/>
      <c r="AG427" s="311"/>
      <c r="AH427" s="311"/>
      <c r="AI427" s="311"/>
      <c r="AJ427" s="311"/>
      <c r="AK427" s="311"/>
      <c r="AL427" s="311"/>
      <c r="AM427" s="311"/>
      <c r="AN427" s="311"/>
      <c r="AO427" s="311"/>
      <c r="AP427" s="311"/>
      <c r="AQ427" s="311"/>
      <c r="AR427" s="311"/>
    </row>
    <row r="428" spans="1:44" s="475" customFormat="1" ht="12" customHeight="1">
      <c r="A428" s="311"/>
      <c r="P428" s="387"/>
      <c r="X428" s="311"/>
      <c r="Y428" s="311"/>
      <c r="Z428" s="311"/>
      <c r="AA428" s="311"/>
      <c r="AB428" s="311"/>
      <c r="AC428" s="311"/>
      <c r="AD428" s="311"/>
      <c r="AE428" s="311"/>
      <c r="AF428" s="311"/>
      <c r="AG428" s="311"/>
      <c r="AH428" s="311"/>
      <c r="AI428" s="311"/>
      <c r="AJ428" s="311"/>
      <c r="AK428" s="311"/>
      <c r="AL428" s="311"/>
      <c r="AM428" s="311"/>
      <c r="AN428" s="311"/>
      <c r="AO428" s="311"/>
      <c r="AP428" s="311"/>
      <c r="AQ428" s="311"/>
      <c r="AR428" s="311"/>
    </row>
    <row r="429" spans="1:44" s="475" customFormat="1" ht="12" customHeight="1">
      <c r="A429" s="311"/>
      <c r="P429" s="387"/>
      <c r="X429" s="311"/>
      <c r="Y429" s="311"/>
      <c r="Z429" s="311"/>
      <c r="AA429" s="311"/>
      <c r="AB429" s="311"/>
      <c r="AC429" s="311"/>
      <c r="AD429" s="311"/>
      <c r="AE429" s="311"/>
      <c r="AF429" s="311"/>
      <c r="AG429" s="311"/>
      <c r="AH429" s="311"/>
      <c r="AI429" s="311"/>
      <c r="AJ429" s="311"/>
      <c r="AK429" s="311"/>
      <c r="AL429" s="311"/>
      <c r="AM429" s="311"/>
      <c r="AN429" s="311"/>
      <c r="AO429" s="311"/>
      <c r="AP429" s="311"/>
      <c r="AQ429" s="311"/>
      <c r="AR429" s="311"/>
    </row>
    <row r="430" spans="1:44" s="475" customFormat="1" ht="12" customHeight="1">
      <c r="A430" s="311"/>
      <c r="P430" s="387"/>
      <c r="X430" s="311"/>
      <c r="Y430" s="311"/>
      <c r="Z430" s="311"/>
      <c r="AA430" s="311"/>
      <c r="AB430" s="311"/>
      <c r="AC430" s="311"/>
      <c r="AD430" s="311"/>
      <c r="AE430" s="311"/>
      <c r="AF430" s="311"/>
      <c r="AG430" s="311"/>
      <c r="AH430" s="311"/>
      <c r="AI430" s="311"/>
      <c r="AJ430" s="311"/>
      <c r="AK430" s="311"/>
      <c r="AL430" s="311"/>
      <c r="AM430" s="311"/>
      <c r="AN430" s="311"/>
      <c r="AO430" s="311"/>
      <c r="AP430" s="311"/>
      <c r="AQ430" s="311"/>
      <c r="AR430" s="311"/>
    </row>
    <row r="431" spans="1:44" s="475" customFormat="1" ht="12" customHeight="1">
      <c r="A431" s="311"/>
      <c r="P431" s="387"/>
      <c r="X431" s="311"/>
      <c r="Y431" s="311"/>
      <c r="Z431" s="311"/>
      <c r="AA431" s="311"/>
      <c r="AB431" s="311"/>
      <c r="AC431" s="311"/>
      <c r="AD431" s="311"/>
      <c r="AE431" s="311"/>
      <c r="AF431" s="311"/>
      <c r="AG431" s="311"/>
      <c r="AH431" s="311"/>
      <c r="AI431" s="311"/>
      <c r="AJ431" s="311"/>
      <c r="AK431" s="311"/>
      <c r="AL431" s="311"/>
      <c r="AM431" s="311"/>
      <c r="AN431" s="311"/>
      <c r="AO431" s="311"/>
      <c r="AP431" s="311"/>
      <c r="AQ431" s="311"/>
      <c r="AR431" s="311"/>
    </row>
    <row r="432" spans="1:44" s="475" customFormat="1" ht="12" customHeight="1">
      <c r="A432" s="311"/>
      <c r="P432" s="387"/>
      <c r="X432" s="311"/>
      <c r="Y432" s="311"/>
      <c r="Z432" s="311"/>
      <c r="AA432" s="311"/>
      <c r="AB432" s="311"/>
      <c r="AC432" s="311"/>
      <c r="AD432" s="311"/>
      <c r="AE432" s="311"/>
      <c r="AF432" s="311"/>
      <c r="AG432" s="311"/>
      <c r="AH432" s="311"/>
      <c r="AI432" s="311"/>
      <c r="AJ432" s="311"/>
      <c r="AK432" s="311"/>
      <c r="AL432" s="311"/>
      <c r="AM432" s="311"/>
      <c r="AN432" s="311"/>
      <c r="AO432" s="311"/>
      <c r="AP432" s="311"/>
      <c r="AQ432" s="311"/>
      <c r="AR432" s="311"/>
    </row>
    <row r="433" spans="1:44" s="475" customFormat="1" ht="12" customHeight="1">
      <c r="A433" s="311"/>
      <c r="P433" s="387"/>
      <c r="X433" s="311"/>
      <c r="Y433" s="311"/>
      <c r="Z433" s="311"/>
      <c r="AA433" s="311"/>
      <c r="AB433" s="311"/>
      <c r="AC433" s="311"/>
      <c r="AD433" s="311"/>
      <c r="AE433" s="311"/>
      <c r="AF433" s="311"/>
      <c r="AG433" s="311"/>
      <c r="AH433" s="311"/>
      <c r="AI433" s="311"/>
      <c r="AJ433" s="311"/>
      <c r="AK433" s="311"/>
      <c r="AL433" s="311"/>
      <c r="AM433" s="311"/>
      <c r="AN433" s="311"/>
      <c r="AO433" s="311"/>
      <c r="AP433" s="311"/>
      <c r="AQ433" s="311"/>
      <c r="AR433" s="311"/>
    </row>
    <row r="434" spans="1:44" s="475" customFormat="1" ht="12" customHeight="1">
      <c r="A434" s="311"/>
      <c r="P434" s="387"/>
      <c r="X434" s="311"/>
      <c r="Y434" s="311"/>
      <c r="Z434" s="311"/>
      <c r="AA434" s="311"/>
      <c r="AB434" s="311"/>
      <c r="AC434" s="311"/>
      <c r="AD434" s="311"/>
      <c r="AE434" s="311"/>
      <c r="AF434" s="311"/>
      <c r="AG434" s="311"/>
      <c r="AH434" s="311"/>
      <c r="AI434" s="311"/>
      <c r="AJ434" s="311"/>
      <c r="AK434" s="311"/>
      <c r="AL434" s="311"/>
      <c r="AM434" s="311"/>
      <c r="AN434" s="311"/>
      <c r="AO434" s="311"/>
      <c r="AP434" s="311"/>
      <c r="AQ434" s="311"/>
      <c r="AR434" s="311"/>
    </row>
    <row r="435" spans="1:44" s="475" customFormat="1" ht="12" customHeight="1">
      <c r="A435" s="311"/>
      <c r="P435" s="387"/>
      <c r="X435" s="311"/>
      <c r="Y435" s="311"/>
      <c r="Z435" s="311"/>
      <c r="AA435" s="311"/>
      <c r="AB435" s="311"/>
      <c r="AC435" s="311"/>
      <c r="AD435" s="311"/>
      <c r="AE435" s="311"/>
      <c r="AF435" s="311"/>
      <c r="AG435" s="311"/>
      <c r="AH435" s="311"/>
      <c r="AI435" s="311"/>
      <c r="AJ435" s="311"/>
      <c r="AK435" s="311"/>
      <c r="AL435" s="311"/>
      <c r="AM435" s="311"/>
      <c r="AN435" s="311"/>
      <c r="AO435" s="311"/>
      <c r="AP435" s="311"/>
      <c r="AQ435" s="311"/>
      <c r="AR435" s="311"/>
    </row>
    <row r="436" spans="1:44" s="475" customFormat="1" ht="12" customHeight="1">
      <c r="A436" s="311"/>
      <c r="P436" s="3657"/>
      <c r="X436" s="311"/>
      <c r="Y436" s="311"/>
      <c r="Z436" s="311"/>
      <c r="AA436" s="311"/>
      <c r="AB436" s="311"/>
      <c r="AC436" s="311"/>
      <c r="AD436" s="311"/>
      <c r="AE436" s="311"/>
      <c r="AF436" s="311"/>
      <c r="AG436" s="311"/>
      <c r="AH436" s="311"/>
      <c r="AI436" s="311"/>
      <c r="AJ436" s="311"/>
      <c r="AK436" s="311"/>
      <c r="AL436" s="311"/>
      <c r="AM436" s="311"/>
      <c r="AN436" s="311"/>
      <c r="AO436" s="311"/>
      <c r="AP436" s="311"/>
      <c r="AQ436" s="311"/>
      <c r="AR436" s="311"/>
    </row>
    <row r="437" spans="1:44" s="475" customFormat="1" ht="12" customHeight="1">
      <c r="A437" s="311"/>
      <c r="P437" s="387"/>
      <c r="X437" s="311"/>
      <c r="Y437" s="311"/>
      <c r="Z437" s="311"/>
      <c r="AA437" s="311"/>
      <c r="AB437" s="311"/>
      <c r="AC437" s="311"/>
      <c r="AD437" s="311"/>
      <c r="AE437" s="311"/>
      <c r="AF437" s="311"/>
      <c r="AG437" s="311"/>
      <c r="AH437" s="311"/>
      <c r="AI437" s="311"/>
      <c r="AJ437" s="311"/>
      <c r="AK437" s="311"/>
      <c r="AL437" s="311"/>
      <c r="AM437" s="311"/>
      <c r="AN437" s="311"/>
      <c r="AO437" s="311"/>
      <c r="AP437" s="311"/>
      <c r="AQ437" s="311"/>
      <c r="AR437" s="311"/>
    </row>
    <row r="438" spans="1:44" s="475" customFormat="1" ht="12" customHeight="1">
      <c r="A438" s="311"/>
      <c r="P438" s="387"/>
      <c r="X438" s="311"/>
      <c r="Y438" s="311"/>
      <c r="Z438" s="311"/>
      <c r="AA438" s="311"/>
      <c r="AB438" s="311"/>
      <c r="AC438" s="311"/>
      <c r="AD438" s="311"/>
      <c r="AE438" s="311"/>
      <c r="AF438" s="311"/>
      <c r="AG438" s="311"/>
      <c r="AH438" s="311"/>
      <c r="AI438" s="311"/>
      <c r="AJ438" s="311"/>
      <c r="AK438" s="311"/>
      <c r="AL438" s="311"/>
      <c r="AM438" s="311"/>
      <c r="AN438" s="311"/>
      <c r="AO438" s="311"/>
      <c r="AP438" s="311"/>
      <c r="AQ438" s="311"/>
      <c r="AR438" s="311"/>
    </row>
    <row r="439" spans="1:44" s="475" customFormat="1" ht="12" customHeight="1">
      <c r="A439" s="311"/>
      <c r="P439" s="387"/>
      <c r="X439" s="311"/>
      <c r="Y439" s="311"/>
      <c r="Z439" s="311"/>
      <c r="AA439" s="311"/>
      <c r="AB439" s="311"/>
      <c r="AC439" s="311"/>
      <c r="AD439" s="311"/>
      <c r="AE439" s="311"/>
      <c r="AF439" s="311"/>
      <c r="AG439" s="311"/>
      <c r="AH439" s="311"/>
      <c r="AI439" s="311"/>
      <c r="AJ439" s="311"/>
      <c r="AK439" s="311"/>
      <c r="AL439" s="311"/>
      <c r="AM439" s="311"/>
      <c r="AN439" s="311"/>
      <c r="AO439" s="311"/>
      <c r="AP439" s="311"/>
      <c r="AQ439" s="311"/>
      <c r="AR439" s="311"/>
    </row>
    <row r="440" spans="1:44" s="475" customFormat="1" ht="12" customHeight="1">
      <c r="A440" s="311"/>
      <c r="P440" s="3657"/>
      <c r="X440" s="311"/>
      <c r="Y440" s="311"/>
      <c r="Z440" s="311"/>
      <c r="AA440" s="311"/>
      <c r="AB440" s="311"/>
      <c r="AC440" s="311"/>
      <c r="AD440" s="311"/>
      <c r="AE440" s="311"/>
      <c r="AF440" s="311"/>
      <c r="AG440" s="311"/>
      <c r="AH440" s="311"/>
      <c r="AI440" s="311"/>
      <c r="AJ440" s="311"/>
      <c r="AK440" s="311"/>
      <c r="AL440" s="311"/>
      <c r="AM440" s="311"/>
      <c r="AN440" s="311"/>
      <c r="AO440" s="311"/>
      <c r="AP440" s="311"/>
      <c r="AQ440" s="311"/>
      <c r="AR440" s="311"/>
    </row>
    <row r="441" spans="1:44" s="475" customFormat="1" ht="12" customHeight="1">
      <c r="A441" s="311"/>
      <c r="P441" s="387"/>
      <c r="X441" s="311"/>
      <c r="Y441" s="311"/>
      <c r="Z441" s="311"/>
      <c r="AA441" s="311"/>
      <c r="AB441" s="311"/>
      <c r="AC441" s="311"/>
      <c r="AD441" s="311"/>
      <c r="AE441" s="311"/>
      <c r="AF441" s="311"/>
      <c r="AG441" s="311"/>
      <c r="AH441" s="311"/>
      <c r="AI441" s="311"/>
      <c r="AJ441" s="311"/>
      <c r="AK441" s="311"/>
      <c r="AL441" s="311"/>
      <c r="AM441" s="311"/>
      <c r="AN441" s="311"/>
      <c r="AO441" s="311"/>
      <c r="AP441" s="311"/>
      <c r="AQ441" s="311"/>
      <c r="AR441" s="311"/>
    </row>
    <row r="442" spans="1:44" s="475" customFormat="1" ht="12" customHeight="1">
      <c r="A442" s="311"/>
      <c r="P442" s="387"/>
      <c r="X442" s="311"/>
      <c r="Y442" s="311"/>
      <c r="Z442" s="311"/>
      <c r="AA442" s="311"/>
      <c r="AB442" s="311"/>
      <c r="AC442" s="311"/>
      <c r="AD442" s="311"/>
      <c r="AE442" s="311"/>
      <c r="AF442" s="311"/>
      <c r="AG442" s="311"/>
      <c r="AH442" s="311"/>
      <c r="AI442" s="311"/>
      <c r="AJ442" s="311"/>
      <c r="AK442" s="311"/>
      <c r="AL442" s="311"/>
      <c r="AM442" s="311"/>
      <c r="AN442" s="311"/>
      <c r="AO442" s="311"/>
      <c r="AP442" s="311"/>
      <c r="AQ442" s="311"/>
      <c r="AR442" s="311"/>
    </row>
    <row r="443" spans="1:44" s="475" customFormat="1" ht="12" customHeight="1">
      <c r="A443" s="311"/>
      <c r="P443" s="387"/>
      <c r="X443" s="311"/>
      <c r="Y443" s="311"/>
      <c r="Z443" s="311"/>
      <c r="AA443" s="311"/>
      <c r="AB443" s="311"/>
      <c r="AC443" s="311"/>
      <c r="AD443" s="311"/>
      <c r="AE443" s="311"/>
      <c r="AF443" s="311"/>
      <c r="AG443" s="311"/>
      <c r="AH443" s="311"/>
      <c r="AI443" s="311"/>
      <c r="AJ443" s="311"/>
      <c r="AK443" s="311"/>
      <c r="AL443" s="311"/>
      <c r="AM443" s="311"/>
      <c r="AN443" s="311"/>
      <c r="AO443" s="311"/>
      <c r="AP443" s="311"/>
      <c r="AQ443" s="311"/>
      <c r="AR443" s="311"/>
    </row>
    <row r="444" spans="1:44" s="475" customFormat="1" ht="12" customHeight="1">
      <c r="A444" s="311"/>
      <c r="P444" s="387"/>
      <c r="X444" s="311"/>
      <c r="Y444" s="311"/>
      <c r="Z444" s="311"/>
      <c r="AA444" s="311"/>
      <c r="AB444" s="311"/>
      <c r="AC444" s="311"/>
      <c r="AD444" s="311"/>
      <c r="AE444" s="311"/>
      <c r="AF444" s="311"/>
      <c r="AG444" s="311"/>
      <c r="AH444" s="311"/>
      <c r="AI444" s="311"/>
      <c r="AJ444" s="311"/>
      <c r="AK444" s="311"/>
      <c r="AL444" s="311"/>
      <c r="AM444" s="311"/>
      <c r="AN444" s="311"/>
      <c r="AO444" s="311"/>
      <c r="AP444" s="311"/>
      <c r="AQ444" s="311"/>
      <c r="AR444" s="311"/>
    </row>
    <row r="445" spans="1:44" s="475" customFormat="1" ht="12" customHeight="1">
      <c r="A445" s="311"/>
      <c r="P445" s="387"/>
      <c r="X445" s="311"/>
      <c r="Y445" s="311"/>
      <c r="Z445" s="311"/>
      <c r="AA445" s="311"/>
      <c r="AB445" s="311"/>
      <c r="AC445" s="311"/>
      <c r="AD445" s="311"/>
      <c r="AE445" s="311"/>
      <c r="AF445" s="311"/>
      <c r="AG445" s="311"/>
      <c r="AH445" s="311"/>
      <c r="AI445" s="311"/>
      <c r="AJ445" s="311"/>
      <c r="AK445" s="311"/>
      <c r="AL445" s="311"/>
      <c r="AM445" s="311"/>
      <c r="AN445" s="311"/>
      <c r="AO445" s="311"/>
      <c r="AP445" s="311"/>
      <c r="AQ445" s="311"/>
      <c r="AR445" s="311"/>
    </row>
    <row r="446" spans="1:44" s="475" customFormat="1" ht="12" customHeight="1">
      <c r="A446" s="311"/>
      <c r="P446" s="3657"/>
      <c r="X446" s="311"/>
      <c r="Y446" s="311"/>
      <c r="Z446" s="311"/>
      <c r="AA446" s="311"/>
      <c r="AB446" s="311"/>
      <c r="AC446" s="311"/>
      <c r="AD446" s="311"/>
      <c r="AE446" s="311"/>
      <c r="AF446" s="311"/>
      <c r="AG446" s="311"/>
      <c r="AH446" s="311"/>
      <c r="AI446" s="311"/>
      <c r="AJ446" s="311"/>
      <c r="AK446" s="311"/>
      <c r="AL446" s="311"/>
      <c r="AM446" s="311"/>
      <c r="AN446" s="311"/>
      <c r="AO446" s="311"/>
      <c r="AP446" s="311"/>
      <c r="AQ446" s="311"/>
      <c r="AR446" s="311"/>
    </row>
    <row r="447" spans="1:44" s="475" customFormat="1" ht="12" customHeight="1">
      <c r="A447" s="311"/>
      <c r="P447" s="387"/>
      <c r="X447" s="311"/>
      <c r="Y447" s="311"/>
      <c r="Z447" s="311"/>
      <c r="AA447" s="311"/>
      <c r="AB447" s="311"/>
      <c r="AC447" s="311"/>
      <c r="AD447" s="311"/>
      <c r="AE447" s="311"/>
      <c r="AF447" s="311"/>
      <c r="AG447" s="311"/>
      <c r="AH447" s="311"/>
      <c r="AI447" s="311"/>
      <c r="AJ447" s="311"/>
      <c r="AK447" s="311"/>
      <c r="AL447" s="311"/>
      <c r="AM447" s="311"/>
      <c r="AN447" s="311"/>
      <c r="AO447" s="311"/>
      <c r="AP447" s="311"/>
      <c r="AQ447" s="311"/>
      <c r="AR447" s="311"/>
    </row>
    <row r="448" spans="1:44" s="475" customFormat="1" ht="12" customHeight="1">
      <c r="A448" s="311"/>
      <c r="P448" s="387"/>
      <c r="X448" s="311"/>
      <c r="Y448" s="311"/>
      <c r="Z448" s="311"/>
      <c r="AA448" s="311"/>
      <c r="AB448" s="311"/>
      <c r="AC448" s="311"/>
      <c r="AD448" s="311"/>
      <c r="AE448" s="311"/>
      <c r="AF448" s="311"/>
      <c r="AG448" s="311"/>
      <c r="AH448" s="311"/>
      <c r="AI448" s="311"/>
      <c r="AJ448" s="311"/>
      <c r="AK448" s="311"/>
      <c r="AL448" s="311"/>
      <c r="AM448" s="311"/>
      <c r="AN448" s="311"/>
      <c r="AO448" s="311"/>
      <c r="AP448" s="311"/>
      <c r="AQ448" s="311"/>
      <c r="AR448" s="311"/>
    </row>
    <row r="449" spans="1:44" s="475" customFormat="1" ht="12" customHeight="1">
      <c r="A449" s="311"/>
      <c r="P449" s="387"/>
      <c r="X449" s="311"/>
      <c r="Y449" s="311"/>
      <c r="Z449" s="311"/>
      <c r="AA449" s="311"/>
      <c r="AB449" s="311"/>
      <c r="AC449" s="311"/>
      <c r="AD449" s="311"/>
      <c r="AE449" s="311"/>
      <c r="AF449" s="311"/>
      <c r="AG449" s="311"/>
      <c r="AH449" s="311"/>
      <c r="AI449" s="311"/>
      <c r="AJ449" s="311"/>
      <c r="AK449" s="311"/>
      <c r="AL449" s="311"/>
      <c r="AM449" s="311"/>
      <c r="AN449" s="311"/>
      <c r="AO449" s="311"/>
      <c r="AP449" s="311"/>
      <c r="AQ449" s="311"/>
      <c r="AR449" s="311"/>
    </row>
    <row r="450" spans="1:44" s="475" customFormat="1" ht="12" customHeight="1">
      <c r="A450" s="311"/>
      <c r="P450" s="387"/>
      <c r="X450" s="311"/>
      <c r="Y450" s="311"/>
      <c r="Z450" s="311"/>
      <c r="AA450" s="311"/>
      <c r="AB450" s="311"/>
      <c r="AC450" s="311"/>
      <c r="AD450" s="311"/>
      <c r="AE450" s="311"/>
      <c r="AF450" s="311"/>
      <c r="AG450" s="311"/>
      <c r="AH450" s="311"/>
      <c r="AI450" s="311"/>
      <c r="AJ450" s="311"/>
      <c r="AK450" s="311"/>
      <c r="AL450" s="311"/>
      <c r="AM450" s="311"/>
      <c r="AN450" s="311"/>
      <c r="AO450" s="311"/>
      <c r="AP450" s="311"/>
      <c r="AQ450" s="311"/>
      <c r="AR450" s="311"/>
    </row>
    <row r="451" spans="1:44" s="475" customFormat="1" ht="12" customHeight="1">
      <c r="A451" s="311"/>
      <c r="P451" s="387"/>
      <c r="X451" s="311"/>
      <c r="Y451" s="311"/>
      <c r="Z451" s="311"/>
      <c r="AA451" s="311"/>
      <c r="AB451" s="311"/>
      <c r="AC451" s="311"/>
      <c r="AD451" s="311"/>
      <c r="AE451" s="311"/>
      <c r="AF451" s="311"/>
      <c r="AG451" s="311"/>
      <c r="AH451" s="311"/>
      <c r="AI451" s="311"/>
      <c r="AJ451" s="311"/>
      <c r="AK451" s="311"/>
      <c r="AL451" s="311"/>
      <c r="AM451" s="311"/>
      <c r="AN451" s="311"/>
      <c r="AO451" s="311"/>
      <c r="AP451" s="311"/>
      <c r="AQ451" s="311"/>
      <c r="AR451" s="311"/>
    </row>
    <row r="452" spans="1:44" s="475" customFormat="1" ht="12" customHeight="1">
      <c r="A452" s="311"/>
      <c r="P452" s="387"/>
      <c r="X452" s="311"/>
      <c r="Y452" s="311"/>
      <c r="Z452" s="311"/>
      <c r="AA452" s="311"/>
      <c r="AB452" s="311"/>
      <c r="AC452" s="311"/>
      <c r="AD452" s="311"/>
      <c r="AE452" s="311"/>
      <c r="AF452" s="311"/>
      <c r="AG452" s="311"/>
      <c r="AH452" s="311"/>
      <c r="AI452" s="311"/>
      <c r="AJ452" s="311"/>
      <c r="AK452" s="311"/>
      <c r="AL452" s="311"/>
      <c r="AM452" s="311"/>
      <c r="AN452" s="311"/>
      <c r="AO452" s="311"/>
      <c r="AP452" s="311"/>
      <c r="AQ452" s="311"/>
      <c r="AR452" s="311"/>
    </row>
    <row r="453" spans="1:44" s="475" customFormat="1" ht="12" customHeight="1">
      <c r="A453" s="311"/>
      <c r="P453" s="387"/>
      <c r="X453" s="311"/>
      <c r="Y453" s="311"/>
      <c r="Z453" s="311"/>
      <c r="AA453" s="311"/>
      <c r="AB453" s="311"/>
      <c r="AC453" s="311"/>
      <c r="AD453" s="311"/>
      <c r="AE453" s="311"/>
      <c r="AF453" s="311"/>
      <c r="AG453" s="311"/>
      <c r="AH453" s="311"/>
      <c r="AI453" s="311"/>
      <c r="AJ453" s="311"/>
      <c r="AK453" s="311"/>
      <c r="AL453" s="311"/>
      <c r="AM453" s="311"/>
      <c r="AN453" s="311"/>
      <c r="AO453" s="311"/>
      <c r="AP453" s="311"/>
      <c r="AQ453" s="311"/>
      <c r="AR453" s="311"/>
    </row>
    <row r="454" spans="1:44" s="475" customFormat="1" ht="12" customHeight="1">
      <c r="A454" s="311"/>
      <c r="P454" s="387"/>
      <c r="X454" s="311"/>
      <c r="Y454" s="311"/>
      <c r="Z454" s="311"/>
      <c r="AA454" s="311"/>
      <c r="AB454" s="311"/>
      <c r="AC454" s="311"/>
      <c r="AD454" s="311"/>
      <c r="AE454" s="311"/>
      <c r="AF454" s="311"/>
      <c r="AG454" s="311"/>
      <c r="AH454" s="311"/>
      <c r="AI454" s="311"/>
      <c r="AJ454" s="311"/>
      <c r="AK454" s="311"/>
      <c r="AL454" s="311"/>
      <c r="AM454" s="311"/>
      <c r="AN454" s="311"/>
      <c r="AO454" s="311"/>
      <c r="AP454" s="311"/>
      <c r="AQ454" s="311"/>
      <c r="AR454" s="311"/>
    </row>
    <row r="455" spans="1:44" s="475" customFormat="1" ht="12" customHeight="1">
      <c r="A455" s="311"/>
      <c r="P455" s="387"/>
      <c r="X455" s="311"/>
      <c r="Y455" s="311"/>
      <c r="Z455" s="311"/>
      <c r="AA455" s="311"/>
      <c r="AB455" s="311"/>
      <c r="AC455" s="311"/>
      <c r="AD455" s="311"/>
      <c r="AE455" s="311"/>
      <c r="AF455" s="311"/>
      <c r="AG455" s="311"/>
      <c r="AH455" s="311"/>
      <c r="AI455" s="311"/>
      <c r="AJ455" s="311"/>
      <c r="AK455" s="311"/>
      <c r="AL455" s="311"/>
      <c r="AM455" s="311"/>
      <c r="AN455" s="311"/>
      <c r="AO455" s="311"/>
      <c r="AP455" s="311"/>
      <c r="AQ455" s="311"/>
      <c r="AR455" s="311"/>
    </row>
    <row r="456" spans="1:44" s="475" customFormat="1" ht="12" customHeight="1">
      <c r="A456" s="311"/>
      <c r="P456" s="387"/>
      <c r="X456" s="311"/>
      <c r="Y456" s="311"/>
      <c r="Z456" s="311"/>
      <c r="AA456" s="311"/>
      <c r="AB456" s="311"/>
      <c r="AC456" s="311"/>
      <c r="AD456" s="311"/>
      <c r="AE456" s="311"/>
      <c r="AF456" s="311"/>
      <c r="AG456" s="311"/>
      <c r="AH456" s="311"/>
      <c r="AI456" s="311"/>
      <c r="AJ456" s="311"/>
      <c r="AK456" s="311"/>
      <c r="AL456" s="311"/>
      <c r="AM456" s="311"/>
      <c r="AN456" s="311"/>
      <c r="AO456" s="311"/>
      <c r="AP456" s="311"/>
      <c r="AQ456" s="311"/>
      <c r="AR456" s="311"/>
    </row>
    <row r="457" spans="1:44" s="475" customFormat="1" ht="12" customHeight="1">
      <c r="A457" s="311"/>
      <c r="P457" s="387"/>
      <c r="X457" s="311"/>
      <c r="Y457" s="311"/>
      <c r="Z457" s="311"/>
      <c r="AA457" s="311"/>
      <c r="AB457" s="311"/>
      <c r="AC457" s="311"/>
      <c r="AD457" s="311"/>
      <c r="AE457" s="311"/>
      <c r="AF457" s="311"/>
      <c r="AG457" s="311"/>
      <c r="AH457" s="311"/>
      <c r="AI457" s="311"/>
      <c r="AJ457" s="311"/>
      <c r="AK457" s="311"/>
      <c r="AL457" s="311"/>
      <c r="AM457" s="311"/>
      <c r="AN457" s="311"/>
      <c r="AO457" s="311"/>
      <c r="AP457" s="311"/>
      <c r="AQ457" s="311"/>
      <c r="AR457" s="311"/>
    </row>
    <row r="458" spans="1:44" s="475" customFormat="1" ht="12" customHeight="1">
      <c r="A458" s="311"/>
      <c r="P458" s="387"/>
      <c r="X458" s="311"/>
      <c r="Y458" s="311"/>
      <c r="Z458" s="311"/>
      <c r="AA458" s="311"/>
      <c r="AB458" s="311"/>
      <c r="AC458" s="311"/>
      <c r="AD458" s="311"/>
      <c r="AE458" s="311"/>
      <c r="AF458" s="311"/>
      <c r="AG458" s="311"/>
      <c r="AH458" s="311"/>
      <c r="AI458" s="311"/>
      <c r="AJ458" s="311"/>
      <c r="AK458" s="311"/>
      <c r="AL458" s="311"/>
      <c r="AM458" s="311"/>
      <c r="AN458" s="311"/>
      <c r="AO458" s="311"/>
      <c r="AP458" s="311"/>
      <c r="AQ458" s="311"/>
      <c r="AR458" s="311"/>
    </row>
    <row r="459" spans="1:44" s="475" customFormat="1" ht="12" customHeight="1">
      <c r="A459" s="311"/>
      <c r="P459" s="3657"/>
      <c r="X459" s="311"/>
      <c r="Y459" s="311"/>
      <c r="Z459" s="311"/>
      <c r="AA459" s="311"/>
      <c r="AB459" s="311"/>
      <c r="AC459" s="311"/>
      <c r="AD459" s="311"/>
      <c r="AE459" s="311"/>
      <c r="AF459" s="311"/>
      <c r="AG459" s="311"/>
      <c r="AH459" s="311"/>
      <c r="AI459" s="311"/>
      <c r="AJ459" s="311"/>
      <c r="AK459" s="311"/>
      <c r="AL459" s="311"/>
      <c r="AM459" s="311"/>
      <c r="AN459" s="311"/>
      <c r="AO459" s="311"/>
      <c r="AP459" s="311"/>
      <c r="AQ459" s="311"/>
      <c r="AR459" s="311"/>
    </row>
    <row r="460" spans="1:44" s="475" customFormat="1" ht="12" customHeight="1">
      <c r="A460" s="311"/>
      <c r="P460" s="387"/>
      <c r="X460" s="311"/>
      <c r="Y460" s="311"/>
      <c r="Z460" s="311"/>
      <c r="AA460" s="311"/>
      <c r="AB460" s="311"/>
      <c r="AC460" s="311"/>
      <c r="AD460" s="311"/>
      <c r="AE460" s="311"/>
      <c r="AF460" s="311"/>
      <c r="AG460" s="311"/>
      <c r="AH460" s="311"/>
      <c r="AI460" s="311"/>
      <c r="AJ460" s="311"/>
      <c r="AK460" s="311"/>
      <c r="AL460" s="311"/>
      <c r="AM460" s="311"/>
      <c r="AN460" s="311"/>
      <c r="AO460" s="311"/>
      <c r="AP460" s="311"/>
      <c r="AQ460" s="311"/>
      <c r="AR460" s="311"/>
    </row>
    <row r="461" spans="1:44" s="475" customFormat="1" ht="12" customHeight="1">
      <c r="A461" s="311"/>
      <c r="P461" s="387"/>
      <c r="X461" s="311"/>
      <c r="Y461" s="311"/>
      <c r="Z461" s="311"/>
      <c r="AA461" s="311"/>
      <c r="AB461" s="311"/>
      <c r="AC461" s="311"/>
      <c r="AD461" s="311"/>
      <c r="AE461" s="311"/>
      <c r="AF461" s="311"/>
      <c r="AG461" s="311"/>
      <c r="AH461" s="311"/>
      <c r="AI461" s="311"/>
      <c r="AJ461" s="311"/>
      <c r="AK461" s="311"/>
      <c r="AL461" s="311"/>
      <c r="AM461" s="311"/>
      <c r="AN461" s="311"/>
      <c r="AO461" s="311"/>
      <c r="AP461" s="311"/>
      <c r="AQ461" s="311"/>
      <c r="AR461" s="311"/>
    </row>
    <row r="462" spans="1:44" s="475" customFormat="1" ht="12" customHeight="1">
      <c r="A462" s="311"/>
      <c r="P462" s="387"/>
      <c r="X462" s="311"/>
      <c r="Y462" s="311"/>
      <c r="Z462" s="311"/>
      <c r="AA462" s="311"/>
      <c r="AB462" s="311"/>
      <c r="AC462" s="311"/>
      <c r="AD462" s="311"/>
      <c r="AE462" s="311"/>
      <c r="AF462" s="311"/>
      <c r="AG462" s="311"/>
      <c r="AH462" s="311"/>
      <c r="AI462" s="311"/>
      <c r="AJ462" s="311"/>
      <c r="AK462" s="311"/>
      <c r="AL462" s="311"/>
      <c r="AM462" s="311"/>
      <c r="AN462" s="311"/>
      <c r="AO462" s="311"/>
      <c r="AP462" s="311"/>
      <c r="AQ462" s="311"/>
      <c r="AR462" s="311"/>
    </row>
    <row r="463" spans="1:44" s="475" customFormat="1" ht="12" customHeight="1">
      <c r="A463" s="311"/>
      <c r="P463" s="387"/>
      <c r="X463" s="311"/>
      <c r="Y463" s="311"/>
      <c r="Z463" s="311"/>
      <c r="AA463" s="311"/>
      <c r="AB463" s="311"/>
      <c r="AC463" s="311"/>
      <c r="AD463" s="311"/>
      <c r="AE463" s="311"/>
      <c r="AF463" s="311"/>
      <c r="AG463" s="311"/>
      <c r="AH463" s="311"/>
      <c r="AI463" s="311"/>
      <c r="AJ463" s="311"/>
      <c r="AK463" s="311"/>
      <c r="AL463" s="311"/>
      <c r="AM463" s="311"/>
      <c r="AN463" s="311"/>
      <c r="AO463" s="311"/>
      <c r="AP463" s="311"/>
      <c r="AQ463" s="311"/>
      <c r="AR463" s="311"/>
    </row>
    <row r="464" spans="1:44" s="475" customFormat="1" ht="12" customHeight="1">
      <c r="A464" s="311"/>
      <c r="P464" s="387"/>
      <c r="X464" s="311"/>
      <c r="Y464" s="311"/>
      <c r="Z464" s="311"/>
      <c r="AA464" s="311"/>
      <c r="AB464" s="311"/>
      <c r="AC464" s="311"/>
      <c r="AD464" s="311"/>
      <c r="AE464" s="311"/>
      <c r="AF464" s="311"/>
      <c r="AG464" s="311"/>
      <c r="AH464" s="311"/>
      <c r="AI464" s="311"/>
      <c r="AJ464" s="311"/>
      <c r="AK464" s="311"/>
      <c r="AL464" s="311"/>
      <c r="AM464" s="311"/>
      <c r="AN464" s="311"/>
      <c r="AO464" s="311"/>
      <c r="AP464" s="311"/>
      <c r="AQ464" s="311"/>
      <c r="AR464" s="311"/>
    </row>
    <row r="465" spans="1:44" s="475" customFormat="1" ht="12" customHeight="1">
      <c r="A465" s="311"/>
      <c r="P465" s="387"/>
      <c r="X465" s="311"/>
      <c r="Y465" s="311"/>
      <c r="Z465" s="311"/>
      <c r="AA465" s="311"/>
      <c r="AB465" s="311"/>
      <c r="AC465" s="311"/>
      <c r="AD465" s="311"/>
      <c r="AE465" s="311"/>
      <c r="AF465" s="311"/>
      <c r="AG465" s="311"/>
      <c r="AH465" s="311"/>
      <c r="AI465" s="311"/>
      <c r="AJ465" s="311"/>
      <c r="AK465" s="311"/>
      <c r="AL465" s="311"/>
      <c r="AM465" s="311"/>
      <c r="AN465" s="311"/>
      <c r="AO465" s="311"/>
      <c r="AP465" s="311"/>
      <c r="AQ465" s="311"/>
      <c r="AR465" s="311"/>
    </row>
    <row r="466" spans="1:44" s="475" customFormat="1" ht="12" customHeight="1">
      <c r="A466" s="311"/>
      <c r="P466" s="387"/>
      <c r="X466" s="311"/>
      <c r="Y466" s="311"/>
      <c r="Z466" s="311"/>
      <c r="AA466" s="311"/>
      <c r="AB466" s="311"/>
      <c r="AC466" s="311"/>
      <c r="AD466" s="311"/>
      <c r="AE466" s="311"/>
      <c r="AF466" s="311"/>
      <c r="AG466" s="311"/>
      <c r="AH466" s="311"/>
      <c r="AI466" s="311"/>
      <c r="AJ466" s="311"/>
      <c r="AK466" s="311"/>
      <c r="AL466" s="311"/>
      <c r="AM466" s="311"/>
      <c r="AN466" s="311"/>
      <c r="AO466" s="311"/>
      <c r="AP466" s="311"/>
      <c r="AQ466" s="311"/>
      <c r="AR466" s="311"/>
    </row>
    <row r="467" spans="1:44" s="475" customFormat="1" ht="12" customHeight="1">
      <c r="A467" s="311"/>
      <c r="P467" s="387"/>
      <c r="X467" s="311"/>
      <c r="Y467" s="311"/>
      <c r="Z467" s="311"/>
      <c r="AA467" s="311"/>
      <c r="AB467" s="311"/>
      <c r="AC467" s="311"/>
      <c r="AD467" s="311"/>
      <c r="AE467" s="311"/>
      <c r="AF467" s="311"/>
      <c r="AG467" s="311"/>
      <c r="AH467" s="311"/>
      <c r="AI467" s="311"/>
      <c r="AJ467" s="311"/>
      <c r="AK467" s="311"/>
      <c r="AL467" s="311"/>
      <c r="AM467" s="311"/>
      <c r="AN467" s="311"/>
      <c r="AO467" s="311"/>
      <c r="AP467" s="311"/>
      <c r="AQ467" s="311"/>
      <c r="AR467" s="311"/>
    </row>
    <row r="468" spans="1:44" s="475" customFormat="1" ht="12" customHeight="1">
      <c r="A468" s="311"/>
      <c r="P468" s="387"/>
      <c r="X468" s="311"/>
      <c r="Y468" s="311"/>
      <c r="Z468" s="311"/>
      <c r="AA468" s="311"/>
      <c r="AB468" s="311"/>
      <c r="AC468" s="311"/>
      <c r="AD468" s="311"/>
      <c r="AE468" s="311"/>
      <c r="AF468" s="311"/>
      <c r="AG468" s="311"/>
      <c r="AH468" s="311"/>
      <c r="AI468" s="311"/>
      <c r="AJ468" s="311"/>
      <c r="AK468" s="311"/>
      <c r="AL468" s="311"/>
      <c r="AM468" s="311"/>
      <c r="AN468" s="311"/>
      <c r="AO468" s="311"/>
      <c r="AP468" s="311"/>
      <c r="AQ468" s="311"/>
      <c r="AR468" s="311"/>
    </row>
    <row r="469" spans="1:44" s="475" customFormat="1" ht="12" customHeight="1">
      <c r="A469" s="311"/>
      <c r="P469" s="387"/>
      <c r="X469" s="311"/>
      <c r="Y469" s="311"/>
      <c r="Z469" s="311"/>
      <c r="AA469" s="311"/>
      <c r="AB469" s="311"/>
      <c r="AC469" s="311"/>
      <c r="AD469" s="311"/>
      <c r="AE469" s="311"/>
      <c r="AF469" s="311"/>
      <c r="AG469" s="311"/>
      <c r="AH469" s="311"/>
      <c r="AI469" s="311"/>
      <c r="AJ469" s="311"/>
      <c r="AK469" s="311"/>
      <c r="AL469" s="311"/>
      <c r="AM469" s="311"/>
      <c r="AN469" s="311"/>
      <c r="AO469" s="311"/>
      <c r="AP469" s="311"/>
      <c r="AQ469" s="311"/>
      <c r="AR469" s="311"/>
    </row>
    <row r="470" spans="1:44" s="475" customFormat="1" ht="12" customHeight="1">
      <c r="A470" s="311"/>
      <c r="P470" s="387"/>
      <c r="X470" s="311"/>
      <c r="Y470" s="311"/>
      <c r="Z470" s="311"/>
      <c r="AA470" s="311"/>
      <c r="AB470" s="311"/>
      <c r="AC470" s="311"/>
      <c r="AD470" s="311"/>
      <c r="AE470" s="311"/>
      <c r="AF470" s="311"/>
      <c r="AG470" s="311"/>
      <c r="AH470" s="311"/>
      <c r="AI470" s="311"/>
      <c r="AJ470" s="311"/>
      <c r="AK470" s="311"/>
      <c r="AL470" s="311"/>
      <c r="AM470" s="311"/>
      <c r="AN470" s="311"/>
      <c r="AO470" s="311"/>
      <c r="AP470" s="311"/>
      <c r="AQ470" s="311"/>
      <c r="AR470" s="311"/>
    </row>
    <row r="471" spans="1:44" s="475" customFormat="1" ht="12" customHeight="1">
      <c r="A471" s="311"/>
      <c r="P471" s="387"/>
      <c r="X471" s="311"/>
      <c r="Y471" s="311"/>
      <c r="Z471" s="311"/>
      <c r="AA471" s="311"/>
      <c r="AB471" s="311"/>
      <c r="AC471" s="311"/>
      <c r="AD471" s="311"/>
      <c r="AE471" s="311"/>
      <c r="AF471" s="311"/>
      <c r="AG471" s="311"/>
      <c r="AH471" s="311"/>
      <c r="AI471" s="311"/>
      <c r="AJ471" s="311"/>
      <c r="AK471" s="311"/>
      <c r="AL471" s="311"/>
      <c r="AM471" s="311"/>
      <c r="AN471" s="311"/>
      <c r="AO471" s="311"/>
      <c r="AP471" s="311"/>
      <c r="AQ471" s="311"/>
      <c r="AR471" s="311"/>
    </row>
    <row r="472" spans="1:44" s="475" customFormat="1" ht="12" customHeight="1">
      <c r="A472" s="311"/>
      <c r="P472" s="387"/>
      <c r="X472" s="311"/>
      <c r="Y472" s="311"/>
      <c r="Z472" s="311"/>
      <c r="AA472" s="311"/>
      <c r="AB472" s="311"/>
      <c r="AC472" s="311"/>
      <c r="AD472" s="311"/>
      <c r="AE472" s="311"/>
      <c r="AF472" s="311"/>
      <c r="AG472" s="311"/>
      <c r="AH472" s="311"/>
      <c r="AI472" s="311"/>
      <c r="AJ472" s="311"/>
      <c r="AK472" s="311"/>
      <c r="AL472" s="311"/>
      <c r="AM472" s="311"/>
      <c r="AN472" s="311"/>
      <c r="AO472" s="311"/>
      <c r="AP472" s="311"/>
      <c r="AQ472" s="311"/>
      <c r="AR472" s="311"/>
    </row>
    <row r="473" spans="1:44" s="475" customFormat="1" ht="12" customHeight="1">
      <c r="A473" s="311"/>
      <c r="P473" s="3657"/>
      <c r="X473" s="311"/>
      <c r="Y473" s="311"/>
      <c r="Z473" s="311"/>
      <c r="AA473" s="311"/>
      <c r="AB473" s="311"/>
      <c r="AC473" s="311"/>
      <c r="AD473" s="311"/>
      <c r="AE473" s="311"/>
      <c r="AF473" s="311"/>
      <c r="AG473" s="311"/>
      <c r="AH473" s="311"/>
      <c r="AI473" s="311"/>
      <c r="AJ473" s="311"/>
      <c r="AK473" s="311"/>
      <c r="AL473" s="311"/>
      <c r="AM473" s="311"/>
      <c r="AN473" s="311"/>
      <c r="AO473" s="311"/>
      <c r="AP473" s="311"/>
      <c r="AQ473" s="311"/>
      <c r="AR473" s="311"/>
    </row>
    <row r="474" spans="1:44" s="475" customFormat="1" ht="12" customHeight="1">
      <c r="A474" s="311"/>
      <c r="P474" s="387"/>
      <c r="X474" s="311"/>
      <c r="Y474" s="311"/>
      <c r="Z474" s="311"/>
      <c r="AA474" s="311"/>
      <c r="AB474" s="311"/>
      <c r="AC474" s="311"/>
      <c r="AD474" s="311"/>
      <c r="AE474" s="311"/>
      <c r="AF474" s="311"/>
      <c r="AG474" s="311"/>
      <c r="AH474" s="311"/>
      <c r="AI474" s="311"/>
      <c r="AJ474" s="311"/>
      <c r="AK474" s="311"/>
      <c r="AL474" s="311"/>
      <c r="AM474" s="311"/>
      <c r="AN474" s="311"/>
      <c r="AO474" s="311"/>
      <c r="AP474" s="311"/>
      <c r="AQ474" s="311"/>
      <c r="AR474" s="311"/>
    </row>
    <row r="475" spans="1:44" s="475" customFormat="1" ht="12" customHeight="1">
      <c r="A475" s="311"/>
      <c r="P475" s="3657"/>
      <c r="X475" s="311"/>
      <c r="Y475" s="311"/>
      <c r="Z475" s="311"/>
      <c r="AA475" s="311"/>
      <c r="AB475" s="311"/>
      <c r="AC475" s="311"/>
      <c r="AD475" s="311"/>
      <c r="AE475" s="311"/>
      <c r="AF475" s="311"/>
      <c r="AG475" s="311"/>
      <c r="AH475" s="311"/>
      <c r="AI475" s="311"/>
      <c r="AJ475" s="311"/>
      <c r="AK475" s="311"/>
      <c r="AL475" s="311"/>
      <c r="AM475" s="311"/>
      <c r="AN475" s="311"/>
      <c r="AO475" s="311"/>
      <c r="AP475" s="311"/>
      <c r="AQ475" s="311"/>
      <c r="AR475" s="311"/>
    </row>
    <row r="476" spans="1:44" s="475" customFormat="1" ht="12" customHeight="1">
      <c r="A476" s="311"/>
      <c r="P476" s="387"/>
      <c r="X476" s="311"/>
      <c r="Y476" s="311"/>
      <c r="Z476" s="311"/>
      <c r="AA476" s="311"/>
      <c r="AB476" s="311"/>
      <c r="AC476" s="311"/>
      <c r="AD476" s="311"/>
      <c r="AE476" s="311"/>
      <c r="AF476" s="311"/>
      <c r="AG476" s="311"/>
      <c r="AH476" s="311"/>
      <c r="AI476" s="311"/>
      <c r="AJ476" s="311"/>
      <c r="AK476" s="311"/>
      <c r="AL476" s="311"/>
      <c r="AM476" s="311"/>
      <c r="AN476" s="311"/>
      <c r="AO476" s="311"/>
      <c r="AP476" s="311"/>
      <c r="AQ476" s="311"/>
      <c r="AR476" s="311"/>
    </row>
    <row r="477" spans="1:44" s="475" customFormat="1" ht="12" customHeight="1">
      <c r="A477" s="311"/>
      <c r="P477" s="3657"/>
      <c r="X477" s="311"/>
      <c r="Y477" s="311"/>
      <c r="Z477" s="311"/>
      <c r="AA477" s="311"/>
      <c r="AB477" s="311"/>
      <c r="AC477" s="311"/>
      <c r="AD477" s="311"/>
      <c r="AE477" s="311"/>
      <c r="AF477" s="311"/>
      <c r="AG477" s="311"/>
      <c r="AH477" s="311"/>
      <c r="AI477" s="311"/>
      <c r="AJ477" s="311"/>
      <c r="AK477" s="311"/>
      <c r="AL477" s="311"/>
      <c r="AM477" s="311"/>
      <c r="AN477" s="311"/>
      <c r="AO477" s="311"/>
      <c r="AP477" s="311"/>
      <c r="AQ477" s="311"/>
      <c r="AR477" s="311"/>
    </row>
    <row r="478" spans="1:44" s="475" customFormat="1" ht="12" customHeight="1">
      <c r="A478" s="311"/>
      <c r="P478" s="387"/>
      <c r="X478" s="311"/>
      <c r="Y478" s="311"/>
      <c r="Z478" s="311"/>
      <c r="AA478" s="311"/>
      <c r="AB478" s="311"/>
      <c r="AC478" s="311"/>
      <c r="AD478" s="311"/>
      <c r="AE478" s="311"/>
      <c r="AF478" s="311"/>
      <c r="AG478" s="311"/>
      <c r="AH478" s="311"/>
      <c r="AI478" s="311"/>
      <c r="AJ478" s="311"/>
      <c r="AK478" s="311"/>
      <c r="AL478" s="311"/>
      <c r="AM478" s="311"/>
      <c r="AN478" s="311"/>
      <c r="AO478" s="311"/>
      <c r="AP478" s="311"/>
      <c r="AQ478" s="311"/>
      <c r="AR478" s="311"/>
    </row>
    <row r="479" spans="1:44" s="475" customFormat="1" ht="12" customHeight="1">
      <c r="A479" s="311"/>
      <c r="P479" s="387"/>
      <c r="X479" s="311"/>
      <c r="Y479" s="311"/>
      <c r="Z479" s="311"/>
      <c r="AA479" s="311"/>
      <c r="AB479" s="311"/>
      <c r="AC479" s="311"/>
      <c r="AD479" s="311"/>
      <c r="AE479" s="311"/>
      <c r="AF479" s="311"/>
      <c r="AG479" s="311"/>
      <c r="AH479" s="311"/>
      <c r="AI479" s="311"/>
      <c r="AJ479" s="311"/>
      <c r="AK479" s="311"/>
      <c r="AL479" s="311"/>
      <c r="AM479" s="311"/>
      <c r="AN479" s="311"/>
      <c r="AO479" s="311"/>
      <c r="AP479" s="311"/>
      <c r="AQ479" s="311"/>
      <c r="AR479" s="311"/>
    </row>
    <row r="480" spans="1:44" s="475" customFormat="1" ht="12" customHeight="1">
      <c r="A480" s="311"/>
      <c r="P480" s="387"/>
      <c r="X480" s="311"/>
      <c r="Y480" s="311"/>
      <c r="Z480" s="311"/>
      <c r="AA480" s="311"/>
      <c r="AB480" s="311"/>
      <c r="AC480" s="311"/>
      <c r="AD480" s="311"/>
      <c r="AE480" s="311"/>
      <c r="AF480" s="311"/>
      <c r="AG480" s="311"/>
      <c r="AH480" s="311"/>
      <c r="AI480" s="311"/>
      <c r="AJ480" s="311"/>
      <c r="AK480" s="311"/>
      <c r="AL480" s="311"/>
      <c r="AM480" s="311"/>
      <c r="AN480" s="311"/>
      <c r="AO480" s="311"/>
      <c r="AP480" s="311"/>
      <c r="AQ480" s="311"/>
      <c r="AR480" s="311"/>
    </row>
    <row r="481" spans="1:44" s="475" customFormat="1" ht="12" customHeight="1">
      <c r="A481" s="311"/>
      <c r="P481" s="387"/>
      <c r="X481" s="311"/>
      <c r="Y481" s="311"/>
      <c r="Z481" s="311"/>
      <c r="AA481" s="311"/>
      <c r="AB481" s="311"/>
      <c r="AC481" s="311"/>
      <c r="AD481" s="311"/>
      <c r="AE481" s="311"/>
      <c r="AF481" s="311"/>
      <c r="AG481" s="311"/>
      <c r="AH481" s="311"/>
      <c r="AI481" s="311"/>
      <c r="AJ481" s="311"/>
      <c r="AK481" s="311"/>
      <c r="AL481" s="311"/>
      <c r="AM481" s="311"/>
      <c r="AN481" s="311"/>
      <c r="AO481" s="311"/>
      <c r="AP481" s="311"/>
      <c r="AQ481" s="311"/>
      <c r="AR481" s="311"/>
    </row>
    <row r="482" spans="1:44" s="475" customFormat="1" ht="12" customHeight="1">
      <c r="A482" s="311"/>
      <c r="P482" s="387"/>
      <c r="X482" s="311"/>
      <c r="Y482" s="311"/>
      <c r="Z482" s="311"/>
      <c r="AA482" s="311"/>
      <c r="AB482" s="311"/>
      <c r="AC482" s="311"/>
      <c r="AD482" s="311"/>
      <c r="AE482" s="311"/>
      <c r="AF482" s="311"/>
      <c r="AG482" s="311"/>
      <c r="AH482" s="311"/>
      <c r="AI482" s="311"/>
      <c r="AJ482" s="311"/>
      <c r="AK482" s="311"/>
      <c r="AL482" s="311"/>
      <c r="AM482" s="311"/>
      <c r="AN482" s="311"/>
      <c r="AO482" s="311"/>
      <c r="AP482" s="311"/>
      <c r="AQ482" s="311"/>
      <c r="AR482" s="311"/>
    </row>
    <row r="483" spans="1:44" s="475" customFormat="1" ht="12" customHeight="1">
      <c r="A483" s="311"/>
      <c r="P483" s="387"/>
      <c r="X483" s="311"/>
      <c r="Y483" s="311"/>
      <c r="Z483" s="311"/>
      <c r="AA483" s="311"/>
      <c r="AB483" s="311"/>
      <c r="AC483" s="311"/>
      <c r="AD483" s="311"/>
      <c r="AE483" s="311"/>
      <c r="AF483" s="311"/>
      <c r="AG483" s="311"/>
      <c r="AH483" s="311"/>
      <c r="AI483" s="311"/>
      <c r="AJ483" s="311"/>
      <c r="AK483" s="311"/>
      <c r="AL483" s="311"/>
      <c r="AM483" s="311"/>
      <c r="AN483" s="311"/>
      <c r="AO483" s="311"/>
      <c r="AP483" s="311"/>
      <c r="AQ483" s="311"/>
      <c r="AR483" s="311"/>
    </row>
    <row r="484" spans="1:44" s="475" customFormat="1" ht="12" customHeight="1">
      <c r="A484" s="311"/>
      <c r="P484" s="387"/>
      <c r="X484" s="311"/>
      <c r="Y484" s="311"/>
      <c r="Z484" s="311"/>
      <c r="AA484" s="311"/>
      <c r="AB484" s="311"/>
      <c r="AC484" s="311"/>
      <c r="AD484" s="311"/>
      <c r="AE484" s="311"/>
      <c r="AF484" s="311"/>
      <c r="AG484" s="311"/>
      <c r="AH484" s="311"/>
      <c r="AI484" s="311"/>
      <c r="AJ484" s="311"/>
      <c r="AK484" s="311"/>
      <c r="AL484" s="311"/>
      <c r="AM484" s="311"/>
      <c r="AN484" s="311"/>
      <c r="AO484" s="311"/>
      <c r="AP484" s="311"/>
      <c r="AQ484" s="311"/>
      <c r="AR484" s="311"/>
    </row>
    <row r="485" spans="1:44" s="475" customFormat="1" ht="12" customHeight="1">
      <c r="A485" s="311"/>
      <c r="P485" s="387"/>
      <c r="X485" s="311"/>
      <c r="Y485" s="311"/>
      <c r="Z485" s="311"/>
      <c r="AA485" s="311"/>
      <c r="AB485" s="311"/>
      <c r="AC485" s="311"/>
      <c r="AD485" s="311"/>
      <c r="AE485" s="311"/>
      <c r="AF485" s="311"/>
      <c r="AG485" s="311"/>
      <c r="AH485" s="311"/>
      <c r="AI485" s="311"/>
      <c r="AJ485" s="311"/>
      <c r="AK485" s="311"/>
      <c r="AL485" s="311"/>
      <c r="AM485" s="311"/>
      <c r="AN485" s="311"/>
      <c r="AO485" s="311"/>
      <c r="AP485" s="311"/>
      <c r="AQ485" s="311"/>
      <c r="AR485" s="311"/>
    </row>
    <row r="486" spans="1:44" s="475" customFormat="1" ht="12" customHeight="1">
      <c r="A486" s="311"/>
      <c r="P486" s="387"/>
      <c r="X486" s="311"/>
      <c r="Y486" s="311"/>
      <c r="Z486" s="311"/>
      <c r="AA486" s="311"/>
      <c r="AB486" s="311"/>
      <c r="AC486" s="311"/>
      <c r="AD486" s="311"/>
      <c r="AE486" s="311"/>
      <c r="AF486" s="311"/>
      <c r="AG486" s="311"/>
      <c r="AH486" s="311"/>
      <c r="AI486" s="311"/>
      <c r="AJ486" s="311"/>
      <c r="AK486" s="311"/>
      <c r="AL486" s="311"/>
      <c r="AM486" s="311"/>
      <c r="AN486" s="311"/>
      <c r="AO486" s="311"/>
      <c r="AP486" s="311"/>
      <c r="AQ486" s="311"/>
      <c r="AR486" s="311"/>
    </row>
    <row r="487" spans="1:44" s="475" customFormat="1" ht="12" customHeight="1">
      <c r="A487" s="311"/>
      <c r="P487" s="387"/>
      <c r="X487" s="311"/>
      <c r="Y487" s="311"/>
      <c r="Z487" s="311"/>
      <c r="AA487" s="311"/>
      <c r="AB487" s="311"/>
      <c r="AC487" s="311"/>
      <c r="AD487" s="311"/>
      <c r="AE487" s="311"/>
      <c r="AF487" s="311"/>
      <c r="AG487" s="311"/>
      <c r="AH487" s="311"/>
      <c r="AI487" s="311"/>
      <c r="AJ487" s="311"/>
      <c r="AK487" s="311"/>
      <c r="AL487" s="311"/>
      <c r="AM487" s="311"/>
      <c r="AN487" s="311"/>
      <c r="AO487" s="311"/>
      <c r="AP487" s="311"/>
      <c r="AQ487" s="311"/>
      <c r="AR487" s="311"/>
    </row>
    <row r="488" spans="1:44" s="475" customFormat="1" ht="12" customHeight="1">
      <c r="A488" s="311"/>
      <c r="P488" s="387"/>
      <c r="X488" s="311"/>
      <c r="Y488" s="311"/>
      <c r="Z488" s="311"/>
      <c r="AA488" s="311"/>
      <c r="AB488" s="311"/>
      <c r="AC488" s="311"/>
      <c r="AD488" s="311"/>
      <c r="AE488" s="311"/>
      <c r="AF488" s="311"/>
      <c r="AG488" s="311"/>
      <c r="AH488" s="311"/>
      <c r="AI488" s="311"/>
      <c r="AJ488" s="311"/>
      <c r="AK488" s="311"/>
      <c r="AL488" s="311"/>
      <c r="AM488" s="311"/>
      <c r="AN488" s="311"/>
      <c r="AO488" s="311"/>
      <c r="AP488" s="311"/>
      <c r="AQ488" s="311"/>
      <c r="AR488" s="311"/>
    </row>
    <row r="489" spans="1:44" s="475" customFormat="1" ht="12" customHeight="1">
      <c r="A489" s="311"/>
      <c r="P489" s="387"/>
      <c r="X489" s="311"/>
      <c r="Y489" s="311"/>
      <c r="Z489" s="311"/>
      <c r="AA489" s="311"/>
      <c r="AB489" s="311"/>
      <c r="AC489" s="311"/>
      <c r="AD489" s="311"/>
      <c r="AE489" s="311"/>
      <c r="AF489" s="311"/>
      <c r="AG489" s="311"/>
      <c r="AH489" s="311"/>
      <c r="AI489" s="311"/>
      <c r="AJ489" s="311"/>
      <c r="AK489" s="311"/>
      <c r="AL489" s="311"/>
      <c r="AM489" s="311"/>
      <c r="AN489" s="311"/>
      <c r="AO489" s="311"/>
      <c r="AP489" s="311"/>
      <c r="AQ489" s="311"/>
      <c r="AR489" s="311"/>
    </row>
    <row r="490" spans="1:44" s="475" customFormat="1" ht="12" customHeight="1">
      <c r="A490" s="311"/>
      <c r="P490" s="387"/>
      <c r="X490" s="311"/>
      <c r="Y490" s="311"/>
      <c r="Z490" s="311"/>
      <c r="AA490" s="311"/>
      <c r="AB490" s="311"/>
      <c r="AC490" s="311"/>
      <c r="AD490" s="311"/>
      <c r="AE490" s="311"/>
      <c r="AF490" s="311"/>
      <c r="AG490" s="311"/>
      <c r="AH490" s="311"/>
      <c r="AI490" s="311"/>
      <c r="AJ490" s="311"/>
      <c r="AK490" s="311"/>
      <c r="AL490" s="311"/>
      <c r="AM490" s="311"/>
      <c r="AN490" s="311"/>
      <c r="AO490" s="311"/>
      <c r="AP490" s="311"/>
      <c r="AQ490" s="311"/>
      <c r="AR490" s="311"/>
    </row>
    <row r="491" spans="1:44" s="475" customFormat="1" ht="12" customHeight="1">
      <c r="A491" s="311"/>
      <c r="P491" s="387"/>
      <c r="X491" s="311"/>
      <c r="Y491" s="311"/>
      <c r="Z491" s="311"/>
      <c r="AA491" s="311"/>
      <c r="AB491" s="311"/>
      <c r="AC491" s="311"/>
      <c r="AD491" s="311"/>
      <c r="AE491" s="311"/>
      <c r="AF491" s="311"/>
      <c r="AG491" s="311"/>
      <c r="AH491" s="311"/>
      <c r="AI491" s="311"/>
      <c r="AJ491" s="311"/>
      <c r="AK491" s="311"/>
      <c r="AL491" s="311"/>
      <c r="AM491" s="311"/>
      <c r="AN491" s="311"/>
      <c r="AO491" s="311"/>
      <c r="AP491" s="311"/>
      <c r="AQ491" s="311"/>
      <c r="AR491" s="311"/>
    </row>
    <row r="492" spans="1:44" s="475" customFormat="1" ht="12" customHeight="1">
      <c r="A492" s="311"/>
      <c r="P492" s="387"/>
      <c r="X492" s="311"/>
      <c r="Y492" s="311"/>
      <c r="Z492" s="311"/>
      <c r="AA492" s="311"/>
      <c r="AB492" s="311"/>
      <c r="AC492" s="311"/>
      <c r="AD492" s="311"/>
      <c r="AE492" s="311"/>
      <c r="AF492" s="311"/>
      <c r="AG492" s="311"/>
      <c r="AH492" s="311"/>
      <c r="AI492" s="311"/>
      <c r="AJ492" s="311"/>
      <c r="AK492" s="311"/>
      <c r="AL492" s="311"/>
      <c r="AM492" s="311"/>
      <c r="AN492" s="311"/>
      <c r="AO492" s="311"/>
      <c r="AP492" s="311"/>
      <c r="AQ492" s="311"/>
      <c r="AR492" s="311"/>
    </row>
    <row r="493" spans="1:44" s="475" customFormat="1" ht="12" customHeight="1">
      <c r="A493" s="311"/>
      <c r="P493" s="3657"/>
      <c r="X493" s="311"/>
      <c r="Y493" s="311"/>
      <c r="Z493" s="311"/>
      <c r="AA493" s="311"/>
      <c r="AB493" s="311"/>
      <c r="AC493" s="311"/>
      <c r="AD493" s="311"/>
      <c r="AE493" s="311"/>
      <c r="AF493" s="311"/>
      <c r="AG493" s="311"/>
      <c r="AH493" s="311"/>
      <c r="AI493" s="311"/>
      <c r="AJ493" s="311"/>
      <c r="AK493" s="311"/>
      <c r="AL493" s="311"/>
      <c r="AM493" s="311"/>
      <c r="AN493" s="311"/>
      <c r="AO493" s="311"/>
      <c r="AP493" s="311"/>
      <c r="AQ493" s="311"/>
      <c r="AR493" s="311"/>
    </row>
    <row r="494" spans="1:44" s="475" customFormat="1" ht="12" customHeight="1">
      <c r="A494" s="311"/>
      <c r="P494" s="387"/>
      <c r="X494" s="311"/>
      <c r="Y494" s="311"/>
      <c r="Z494" s="311"/>
      <c r="AA494" s="311"/>
      <c r="AB494" s="311"/>
      <c r="AC494" s="311"/>
      <c r="AD494" s="311"/>
      <c r="AE494" s="311"/>
      <c r="AF494" s="311"/>
      <c r="AG494" s="311"/>
      <c r="AH494" s="311"/>
      <c r="AI494" s="311"/>
      <c r="AJ494" s="311"/>
      <c r="AK494" s="311"/>
      <c r="AL494" s="311"/>
      <c r="AM494" s="311"/>
      <c r="AN494" s="311"/>
      <c r="AO494" s="311"/>
      <c r="AP494" s="311"/>
      <c r="AQ494" s="311"/>
      <c r="AR494" s="311"/>
    </row>
    <row r="495" spans="1:44" s="475" customFormat="1" ht="12" customHeight="1">
      <c r="A495" s="311"/>
      <c r="P495" s="387"/>
      <c r="X495" s="311"/>
      <c r="Y495" s="311"/>
      <c r="Z495" s="311"/>
      <c r="AA495" s="311"/>
      <c r="AB495" s="311"/>
      <c r="AC495" s="311"/>
      <c r="AD495" s="311"/>
      <c r="AE495" s="311"/>
      <c r="AF495" s="311"/>
      <c r="AG495" s="311"/>
      <c r="AH495" s="311"/>
      <c r="AI495" s="311"/>
      <c r="AJ495" s="311"/>
      <c r="AK495" s="311"/>
      <c r="AL495" s="311"/>
      <c r="AM495" s="311"/>
      <c r="AN495" s="311"/>
      <c r="AO495" s="311"/>
      <c r="AP495" s="311"/>
      <c r="AQ495" s="311"/>
      <c r="AR495" s="311"/>
    </row>
    <row r="496" spans="1:44" s="475" customFormat="1" ht="12" customHeight="1">
      <c r="A496" s="311"/>
      <c r="P496" s="387"/>
      <c r="X496" s="311"/>
      <c r="Y496" s="311"/>
      <c r="Z496" s="311"/>
      <c r="AA496" s="311"/>
      <c r="AB496" s="311"/>
      <c r="AC496" s="311"/>
      <c r="AD496" s="311"/>
      <c r="AE496" s="311"/>
      <c r="AF496" s="311"/>
      <c r="AG496" s="311"/>
      <c r="AH496" s="311"/>
      <c r="AI496" s="311"/>
      <c r="AJ496" s="311"/>
      <c r="AK496" s="311"/>
      <c r="AL496" s="311"/>
      <c r="AM496" s="311"/>
      <c r="AN496" s="311"/>
      <c r="AO496" s="311"/>
      <c r="AP496" s="311"/>
      <c r="AQ496" s="311"/>
      <c r="AR496" s="311"/>
    </row>
    <row r="497" spans="1:44" s="475" customFormat="1" ht="12" customHeight="1">
      <c r="A497" s="311"/>
      <c r="P497" s="387"/>
      <c r="X497" s="311"/>
      <c r="Y497" s="311"/>
      <c r="Z497" s="311"/>
      <c r="AA497" s="311"/>
      <c r="AB497" s="311"/>
      <c r="AC497" s="311"/>
      <c r="AD497" s="311"/>
      <c r="AE497" s="311"/>
      <c r="AF497" s="311"/>
      <c r="AG497" s="311"/>
      <c r="AH497" s="311"/>
      <c r="AI497" s="311"/>
      <c r="AJ497" s="311"/>
      <c r="AK497" s="311"/>
      <c r="AL497" s="311"/>
      <c r="AM497" s="311"/>
      <c r="AN497" s="311"/>
      <c r="AO497" s="311"/>
      <c r="AP497" s="311"/>
      <c r="AQ497" s="311"/>
      <c r="AR497" s="311"/>
    </row>
    <row r="498" spans="1:44" s="475" customFormat="1" ht="12" customHeight="1">
      <c r="A498" s="311"/>
      <c r="P498" s="387"/>
      <c r="X498" s="311"/>
      <c r="Y498" s="311"/>
      <c r="Z498" s="311"/>
      <c r="AA498" s="311"/>
      <c r="AB498" s="311"/>
      <c r="AC498" s="311"/>
      <c r="AD498" s="311"/>
      <c r="AE498" s="311"/>
      <c r="AF498" s="311"/>
      <c r="AG498" s="311"/>
      <c r="AH498" s="311"/>
      <c r="AI498" s="311"/>
      <c r="AJ498" s="311"/>
      <c r="AK498" s="311"/>
      <c r="AL498" s="311"/>
      <c r="AM498" s="311"/>
      <c r="AN498" s="311"/>
      <c r="AO498" s="311"/>
      <c r="AP498" s="311"/>
      <c r="AQ498" s="311"/>
      <c r="AR498" s="311"/>
    </row>
    <row r="499" spans="1:44" s="475" customFormat="1" ht="12" customHeight="1">
      <c r="A499" s="311"/>
      <c r="P499" s="387"/>
      <c r="X499" s="311"/>
      <c r="Y499" s="311"/>
      <c r="Z499" s="311"/>
      <c r="AA499" s="311"/>
      <c r="AB499" s="311"/>
      <c r="AC499" s="311"/>
      <c r="AD499" s="311"/>
      <c r="AE499" s="311"/>
      <c r="AF499" s="311"/>
      <c r="AG499" s="311"/>
      <c r="AH499" s="311"/>
      <c r="AI499" s="311"/>
      <c r="AJ499" s="311"/>
      <c r="AK499" s="311"/>
      <c r="AL499" s="311"/>
      <c r="AM499" s="311"/>
      <c r="AN499" s="311"/>
      <c r="AO499" s="311"/>
      <c r="AP499" s="311"/>
      <c r="AQ499" s="311"/>
      <c r="AR499" s="311"/>
    </row>
    <row r="500" spans="1:44" s="475" customFormat="1" ht="12" customHeight="1">
      <c r="A500" s="311"/>
      <c r="P500" s="387"/>
      <c r="X500" s="311"/>
      <c r="Y500" s="311"/>
      <c r="Z500" s="311"/>
      <c r="AA500" s="311"/>
      <c r="AB500" s="311"/>
      <c r="AC500" s="311"/>
      <c r="AD500" s="311"/>
      <c r="AE500" s="311"/>
      <c r="AF500" s="311"/>
      <c r="AG500" s="311"/>
      <c r="AH500" s="311"/>
      <c r="AI500" s="311"/>
      <c r="AJ500" s="311"/>
      <c r="AK500" s="311"/>
      <c r="AL500" s="311"/>
      <c r="AM500" s="311"/>
      <c r="AN500" s="311"/>
      <c r="AO500" s="311"/>
      <c r="AP500" s="311"/>
      <c r="AQ500" s="311"/>
      <c r="AR500" s="311"/>
    </row>
    <row r="501" spans="1:44" s="475" customFormat="1" ht="12" customHeight="1">
      <c r="A501" s="311"/>
      <c r="P501" s="387"/>
      <c r="X501" s="311"/>
      <c r="Y501" s="311"/>
      <c r="Z501" s="311"/>
      <c r="AA501" s="311"/>
      <c r="AB501" s="311"/>
      <c r="AC501" s="311"/>
      <c r="AD501" s="311"/>
      <c r="AE501" s="311"/>
      <c r="AF501" s="311"/>
      <c r="AG501" s="311"/>
      <c r="AH501" s="311"/>
      <c r="AI501" s="311"/>
      <c r="AJ501" s="311"/>
      <c r="AK501" s="311"/>
      <c r="AL501" s="311"/>
      <c r="AM501" s="311"/>
      <c r="AN501" s="311"/>
      <c r="AO501" s="311"/>
      <c r="AP501" s="311"/>
      <c r="AQ501" s="311"/>
      <c r="AR501" s="311"/>
    </row>
    <row r="502" spans="1:44" s="475" customFormat="1" ht="12" customHeight="1">
      <c r="A502" s="311"/>
      <c r="P502" s="3657"/>
      <c r="X502" s="311"/>
      <c r="Y502" s="311"/>
      <c r="Z502" s="311"/>
      <c r="AA502" s="311"/>
      <c r="AB502" s="311"/>
      <c r="AC502" s="311"/>
      <c r="AD502" s="311"/>
      <c r="AE502" s="311"/>
      <c r="AF502" s="311"/>
      <c r="AG502" s="311"/>
      <c r="AH502" s="311"/>
      <c r="AI502" s="311"/>
      <c r="AJ502" s="311"/>
      <c r="AK502" s="311"/>
      <c r="AL502" s="311"/>
      <c r="AM502" s="311"/>
      <c r="AN502" s="311"/>
      <c r="AO502" s="311"/>
      <c r="AP502" s="311"/>
      <c r="AQ502" s="311"/>
      <c r="AR502" s="311"/>
    </row>
    <row r="503" spans="1:44" s="475" customFormat="1" ht="12" customHeight="1">
      <c r="A503" s="311"/>
      <c r="P503" s="3657"/>
      <c r="X503" s="311"/>
      <c r="Y503" s="311"/>
      <c r="Z503" s="311"/>
      <c r="AA503" s="311"/>
      <c r="AB503" s="311"/>
      <c r="AC503" s="311"/>
      <c r="AD503" s="311"/>
      <c r="AE503" s="311"/>
      <c r="AF503" s="311"/>
      <c r="AG503" s="311"/>
      <c r="AH503" s="311"/>
      <c r="AI503" s="311"/>
      <c r="AJ503" s="311"/>
      <c r="AK503" s="311"/>
      <c r="AL503" s="311"/>
      <c r="AM503" s="311"/>
      <c r="AN503" s="311"/>
      <c r="AO503" s="311"/>
      <c r="AP503" s="311"/>
      <c r="AQ503" s="311"/>
      <c r="AR503" s="311"/>
    </row>
    <row r="504" spans="1:44" s="475" customFormat="1" ht="12" customHeight="1">
      <c r="A504" s="311"/>
      <c r="P504" s="387"/>
      <c r="X504" s="311"/>
      <c r="Y504" s="311"/>
      <c r="Z504" s="311"/>
      <c r="AA504" s="311"/>
      <c r="AB504" s="311"/>
      <c r="AC504" s="311"/>
      <c r="AD504" s="311"/>
      <c r="AE504" s="311"/>
      <c r="AF504" s="311"/>
      <c r="AG504" s="311"/>
      <c r="AH504" s="311"/>
      <c r="AI504" s="311"/>
      <c r="AJ504" s="311"/>
      <c r="AK504" s="311"/>
      <c r="AL504" s="311"/>
      <c r="AM504" s="311"/>
      <c r="AN504" s="311"/>
      <c r="AO504" s="311"/>
      <c r="AP504" s="311"/>
      <c r="AQ504" s="311"/>
      <c r="AR504" s="311"/>
    </row>
    <row r="505" spans="1:44" s="475" customFormat="1" ht="12" customHeight="1">
      <c r="A505" s="311"/>
      <c r="P505" s="387"/>
      <c r="X505" s="311"/>
      <c r="Y505" s="311"/>
      <c r="Z505" s="311"/>
      <c r="AA505" s="311"/>
      <c r="AB505" s="311"/>
      <c r="AC505" s="311"/>
      <c r="AD505" s="311"/>
      <c r="AE505" s="311"/>
      <c r="AF505" s="311"/>
      <c r="AG505" s="311"/>
      <c r="AH505" s="311"/>
      <c r="AI505" s="311"/>
      <c r="AJ505" s="311"/>
      <c r="AK505" s="311"/>
      <c r="AL505" s="311"/>
      <c r="AM505" s="311"/>
      <c r="AN505" s="311"/>
      <c r="AO505" s="311"/>
      <c r="AP505" s="311"/>
      <c r="AQ505" s="311"/>
      <c r="AR505" s="311"/>
    </row>
    <row r="506" spans="1:44" s="475" customFormat="1" ht="12" customHeight="1">
      <c r="A506" s="311"/>
      <c r="P506" s="387"/>
      <c r="X506" s="311"/>
      <c r="Y506" s="311"/>
      <c r="Z506" s="311"/>
      <c r="AA506" s="311"/>
      <c r="AB506" s="311"/>
      <c r="AC506" s="311"/>
      <c r="AD506" s="311"/>
      <c r="AE506" s="311"/>
      <c r="AF506" s="311"/>
      <c r="AG506" s="311"/>
      <c r="AH506" s="311"/>
      <c r="AI506" s="311"/>
      <c r="AJ506" s="311"/>
      <c r="AK506" s="311"/>
      <c r="AL506" s="311"/>
      <c r="AM506" s="311"/>
      <c r="AN506" s="311"/>
      <c r="AO506" s="311"/>
      <c r="AP506" s="311"/>
      <c r="AQ506" s="311"/>
      <c r="AR506" s="311"/>
    </row>
    <row r="507" spans="1:44" s="475" customFormat="1" ht="12" customHeight="1">
      <c r="A507" s="311"/>
      <c r="P507" s="387"/>
      <c r="X507" s="311"/>
      <c r="Y507" s="311"/>
      <c r="Z507" s="311"/>
      <c r="AA507" s="311"/>
      <c r="AB507" s="311"/>
      <c r="AC507" s="311"/>
      <c r="AD507" s="311"/>
      <c r="AE507" s="311"/>
      <c r="AF507" s="311"/>
      <c r="AG507" s="311"/>
      <c r="AH507" s="311"/>
      <c r="AI507" s="311"/>
      <c r="AJ507" s="311"/>
      <c r="AK507" s="311"/>
      <c r="AL507" s="311"/>
      <c r="AM507" s="311"/>
      <c r="AN507" s="311"/>
      <c r="AO507" s="311"/>
      <c r="AP507" s="311"/>
      <c r="AQ507" s="311"/>
      <c r="AR507" s="311"/>
    </row>
    <row r="508" spans="1:44" s="475" customFormat="1" ht="12" customHeight="1">
      <c r="A508" s="311"/>
      <c r="P508" s="387"/>
      <c r="X508" s="311"/>
      <c r="Y508" s="311"/>
      <c r="Z508" s="311"/>
      <c r="AA508" s="311"/>
      <c r="AB508" s="311"/>
      <c r="AC508" s="311"/>
      <c r="AD508" s="311"/>
      <c r="AE508" s="311"/>
      <c r="AF508" s="311"/>
      <c r="AG508" s="311"/>
      <c r="AH508" s="311"/>
      <c r="AI508" s="311"/>
      <c r="AJ508" s="311"/>
      <c r="AK508" s="311"/>
      <c r="AL508" s="311"/>
      <c r="AM508" s="311"/>
      <c r="AN508" s="311"/>
      <c r="AO508" s="311"/>
      <c r="AP508" s="311"/>
      <c r="AQ508" s="311"/>
      <c r="AR508" s="311"/>
    </row>
    <row r="509" spans="1:44" s="475" customFormat="1" ht="12" customHeight="1">
      <c r="A509" s="311"/>
      <c r="P509" s="387"/>
      <c r="X509" s="311"/>
      <c r="Y509" s="311"/>
      <c r="Z509" s="311"/>
      <c r="AA509" s="311"/>
      <c r="AB509" s="311"/>
      <c r="AC509" s="311"/>
      <c r="AD509" s="311"/>
      <c r="AE509" s="311"/>
      <c r="AF509" s="311"/>
      <c r="AG509" s="311"/>
      <c r="AH509" s="311"/>
      <c r="AI509" s="311"/>
      <c r="AJ509" s="311"/>
      <c r="AK509" s="311"/>
      <c r="AL509" s="311"/>
      <c r="AM509" s="311"/>
      <c r="AN509" s="311"/>
      <c r="AO509" s="311"/>
      <c r="AP509" s="311"/>
      <c r="AQ509" s="311"/>
      <c r="AR509" s="311"/>
    </row>
    <row r="510" spans="1:44" s="475" customFormat="1" ht="12" customHeight="1">
      <c r="A510" s="311"/>
      <c r="P510" s="387"/>
      <c r="X510" s="311"/>
      <c r="Y510" s="311"/>
      <c r="Z510" s="311"/>
      <c r="AA510" s="311"/>
      <c r="AB510" s="311"/>
      <c r="AC510" s="311"/>
      <c r="AD510" s="311"/>
      <c r="AE510" s="311"/>
      <c r="AF510" s="311"/>
      <c r="AG510" s="311"/>
      <c r="AH510" s="311"/>
      <c r="AI510" s="311"/>
      <c r="AJ510" s="311"/>
      <c r="AK510" s="311"/>
      <c r="AL510" s="311"/>
      <c r="AM510" s="311"/>
      <c r="AN510" s="311"/>
      <c r="AO510" s="311"/>
      <c r="AP510" s="311"/>
      <c r="AQ510" s="311"/>
      <c r="AR510" s="311"/>
    </row>
    <row r="511" spans="1:44" s="475" customFormat="1" ht="12" customHeight="1">
      <c r="A511" s="311"/>
      <c r="P511" s="387"/>
      <c r="X511" s="311"/>
      <c r="Y511" s="311"/>
      <c r="Z511" s="311"/>
      <c r="AA511" s="311"/>
      <c r="AB511" s="311"/>
      <c r="AC511" s="311"/>
      <c r="AD511" s="311"/>
      <c r="AE511" s="311"/>
      <c r="AF511" s="311"/>
      <c r="AG511" s="311"/>
      <c r="AH511" s="311"/>
      <c r="AI511" s="311"/>
      <c r="AJ511" s="311"/>
      <c r="AK511" s="311"/>
      <c r="AL511" s="311"/>
      <c r="AM511" s="311"/>
      <c r="AN511" s="311"/>
      <c r="AO511" s="311"/>
      <c r="AP511" s="311"/>
      <c r="AQ511" s="311"/>
      <c r="AR511" s="311"/>
    </row>
    <row r="512" spans="1:44" s="475" customFormat="1" ht="12" customHeight="1">
      <c r="A512" s="311"/>
      <c r="P512" s="387"/>
      <c r="X512" s="311"/>
      <c r="Y512" s="311"/>
      <c r="Z512" s="311"/>
      <c r="AA512" s="311"/>
      <c r="AB512" s="311"/>
      <c r="AC512" s="311"/>
      <c r="AD512" s="311"/>
      <c r="AE512" s="311"/>
      <c r="AF512" s="311"/>
      <c r="AG512" s="311"/>
      <c r="AH512" s="311"/>
      <c r="AI512" s="311"/>
      <c r="AJ512" s="311"/>
      <c r="AK512" s="311"/>
      <c r="AL512" s="311"/>
      <c r="AM512" s="311"/>
      <c r="AN512" s="311"/>
      <c r="AO512" s="311"/>
      <c r="AP512" s="311"/>
      <c r="AQ512" s="311"/>
      <c r="AR512" s="311"/>
    </row>
    <row r="513" spans="1:44" s="475" customFormat="1" ht="12" customHeight="1">
      <c r="A513" s="311"/>
      <c r="P513" s="3657"/>
      <c r="X513" s="311"/>
      <c r="Y513" s="311"/>
      <c r="Z513" s="311"/>
      <c r="AA513" s="311"/>
      <c r="AB513" s="311"/>
      <c r="AC513" s="311"/>
      <c r="AD513" s="311"/>
      <c r="AE513" s="311"/>
      <c r="AF513" s="311"/>
      <c r="AG513" s="311"/>
      <c r="AH513" s="311"/>
      <c r="AI513" s="311"/>
      <c r="AJ513" s="311"/>
      <c r="AK513" s="311"/>
      <c r="AL513" s="311"/>
      <c r="AM513" s="311"/>
      <c r="AN513" s="311"/>
      <c r="AO513" s="311"/>
      <c r="AP513" s="311"/>
      <c r="AQ513" s="311"/>
      <c r="AR513" s="311"/>
    </row>
    <row r="514" spans="1:44" s="475" customFormat="1" ht="12" customHeight="1">
      <c r="A514" s="311"/>
      <c r="P514" s="387"/>
      <c r="X514" s="311"/>
      <c r="Y514" s="311"/>
      <c r="Z514" s="311"/>
      <c r="AA514" s="311"/>
      <c r="AB514" s="311"/>
      <c r="AC514" s="311"/>
      <c r="AD514" s="311"/>
      <c r="AE514" s="311"/>
      <c r="AF514" s="311"/>
      <c r="AG514" s="311"/>
      <c r="AH514" s="311"/>
      <c r="AI514" s="311"/>
      <c r="AJ514" s="311"/>
      <c r="AK514" s="311"/>
      <c r="AL514" s="311"/>
      <c r="AM514" s="311"/>
      <c r="AN514" s="311"/>
      <c r="AO514" s="311"/>
      <c r="AP514" s="311"/>
      <c r="AQ514" s="311"/>
      <c r="AR514" s="311"/>
    </row>
    <row r="515" spans="1:44" s="475" customFormat="1" ht="12" customHeight="1">
      <c r="A515" s="311"/>
      <c r="P515" s="3656"/>
      <c r="X515" s="311"/>
      <c r="Y515" s="311"/>
      <c r="Z515" s="311"/>
      <c r="AA515" s="311"/>
      <c r="AB515" s="311"/>
      <c r="AC515" s="311"/>
      <c r="AD515" s="311"/>
      <c r="AE515" s="311"/>
      <c r="AF515" s="311"/>
      <c r="AG515" s="311"/>
      <c r="AH515" s="311"/>
      <c r="AI515" s="311"/>
      <c r="AJ515" s="311"/>
      <c r="AK515" s="311"/>
      <c r="AL515" s="311"/>
      <c r="AM515" s="311"/>
      <c r="AN515" s="311"/>
      <c r="AO515" s="311"/>
      <c r="AP515" s="311"/>
      <c r="AQ515" s="311"/>
      <c r="AR515" s="311"/>
    </row>
    <row r="516" spans="1:44" s="475" customFormat="1" ht="12" customHeight="1">
      <c r="A516" s="311"/>
      <c r="P516" s="3656"/>
      <c r="X516" s="311"/>
      <c r="Y516" s="311"/>
      <c r="Z516" s="311"/>
      <c r="AA516" s="311"/>
      <c r="AB516" s="311"/>
      <c r="AC516" s="311"/>
      <c r="AD516" s="311"/>
      <c r="AE516" s="311"/>
      <c r="AF516" s="311"/>
      <c r="AG516" s="311"/>
      <c r="AH516" s="311"/>
      <c r="AI516" s="311"/>
      <c r="AJ516" s="311"/>
      <c r="AK516" s="311"/>
      <c r="AL516" s="311"/>
      <c r="AM516" s="311"/>
      <c r="AN516" s="311"/>
      <c r="AO516" s="311"/>
      <c r="AP516" s="311"/>
      <c r="AQ516" s="311"/>
      <c r="AR516" s="311"/>
    </row>
    <row r="517" spans="1:44" s="475" customFormat="1" ht="12" customHeight="1">
      <c r="A517" s="311"/>
      <c r="P517" s="387"/>
      <c r="X517" s="311"/>
      <c r="Y517" s="311"/>
      <c r="Z517" s="311"/>
      <c r="AA517" s="311"/>
      <c r="AB517" s="311"/>
      <c r="AC517" s="311"/>
      <c r="AD517" s="311"/>
      <c r="AE517" s="311"/>
      <c r="AF517" s="311"/>
      <c r="AG517" s="311"/>
      <c r="AH517" s="311"/>
      <c r="AI517" s="311"/>
      <c r="AJ517" s="311"/>
      <c r="AK517" s="311"/>
      <c r="AL517" s="311"/>
      <c r="AM517" s="311"/>
      <c r="AN517" s="311"/>
      <c r="AO517" s="311"/>
      <c r="AP517" s="311"/>
      <c r="AQ517" s="311"/>
      <c r="AR517" s="311"/>
    </row>
    <row r="518" spans="1:44" s="475" customFormat="1" ht="12" customHeight="1">
      <c r="A518" s="311"/>
      <c r="P518" s="387"/>
      <c r="X518" s="311"/>
      <c r="Y518" s="311"/>
      <c r="Z518" s="311"/>
      <c r="AA518" s="311"/>
      <c r="AB518" s="311"/>
      <c r="AC518" s="311"/>
      <c r="AD518" s="311"/>
      <c r="AE518" s="311"/>
      <c r="AF518" s="311"/>
      <c r="AG518" s="311"/>
      <c r="AH518" s="311"/>
      <c r="AI518" s="311"/>
      <c r="AJ518" s="311"/>
      <c r="AK518" s="311"/>
      <c r="AL518" s="311"/>
      <c r="AM518" s="311"/>
      <c r="AN518" s="311"/>
      <c r="AO518" s="311"/>
      <c r="AP518" s="311"/>
      <c r="AQ518" s="311"/>
      <c r="AR518" s="311"/>
    </row>
    <row r="519" spans="1:44" s="475" customFormat="1" ht="12" customHeight="1">
      <c r="A519" s="311"/>
      <c r="P519" s="387"/>
      <c r="X519" s="311"/>
      <c r="Y519" s="311"/>
      <c r="Z519" s="311"/>
      <c r="AA519" s="311"/>
      <c r="AB519" s="311"/>
      <c r="AC519" s="311"/>
      <c r="AD519" s="311"/>
      <c r="AE519" s="311"/>
      <c r="AF519" s="311"/>
      <c r="AG519" s="311"/>
      <c r="AH519" s="311"/>
      <c r="AI519" s="311"/>
      <c r="AJ519" s="311"/>
      <c r="AK519" s="311"/>
      <c r="AL519" s="311"/>
      <c r="AM519" s="311"/>
      <c r="AN519" s="311"/>
      <c r="AO519" s="311"/>
      <c r="AP519" s="311"/>
      <c r="AQ519" s="311"/>
      <c r="AR519" s="311"/>
    </row>
    <row r="520" spans="1:44" s="475" customFormat="1" ht="12" customHeight="1">
      <c r="A520" s="311"/>
      <c r="P520" s="387"/>
      <c r="X520" s="311"/>
      <c r="Y520" s="311"/>
      <c r="Z520" s="311"/>
      <c r="AA520" s="311"/>
      <c r="AB520" s="311"/>
      <c r="AC520" s="311"/>
      <c r="AD520" s="311"/>
      <c r="AE520" s="311"/>
      <c r="AF520" s="311"/>
      <c r="AG520" s="311"/>
      <c r="AH520" s="311"/>
      <c r="AI520" s="311"/>
      <c r="AJ520" s="311"/>
      <c r="AK520" s="311"/>
      <c r="AL520" s="311"/>
      <c r="AM520" s="311"/>
      <c r="AN520" s="311"/>
      <c r="AO520" s="311"/>
      <c r="AP520" s="311"/>
      <c r="AQ520" s="311"/>
      <c r="AR520" s="311"/>
    </row>
    <row r="521" spans="1:44" s="475" customFormat="1" ht="12" customHeight="1">
      <c r="A521" s="311"/>
      <c r="P521" s="387"/>
      <c r="X521" s="311"/>
      <c r="Y521" s="311"/>
      <c r="Z521" s="311"/>
      <c r="AA521" s="311"/>
      <c r="AB521" s="311"/>
      <c r="AC521" s="311"/>
      <c r="AD521" s="311"/>
      <c r="AE521" s="311"/>
      <c r="AF521" s="311"/>
      <c r="AG521" s="311"/>
      <c r="AH521" s="311"/>
      <c r="AI521" s="311"/>
      <c r="AJ521" s="311"/>
      <c r="AK521" s="311"/>
      <c r="AL521" s="311"/>
      <c r="AM521" s="311"/>
      <c r="AN521" s="311"/>
      <c r="AO521" s="311"/>
      <c r="AP521" s="311"/>
      <c r="AQ521" s="311"/>
      <c r="AR521" s="311"/>
    </row>
    <row r="522" spans="1:44" s="475" customFormat="1" ht="12" customHeight="1">
      <c r="A522" s="311"/>
      <c r="P522" s="387"/>
      <c r="X522" s="311"/>
      <c r="Y522" s="311"/>
      <c r="Z522" s="311"/>
      <c r="AA522" s="311"/>
      <c r="AB522" s="311"/>
      <c r="AC522" s="311"/>
      <c r="AD522" s="311"/>
      <c r="AE522" s="311"/>
      <c r="AF522" s="311"/>
      <c r="AG522" s="311"/>
      <c r="AH522" s="311"/>
      <c r="AI522" s="311"/>
      <c r="AJ522" s="311"/>
      <c r="AK522" s="311"/>
      <c r="AL522" s="311"/>
      <c r="AM522" s="311"/>
      <c r="AN522" s="311"/>
      <c r="AO522" s="311"/>
      <c r="AP522" s="311"/>
      <c r="AQ522" s="311"/>
      <c r="AR522" s="311"/>
    </row>
    <row r="523" spans="1:44" s="475" customFormat="1" ht="12" customHeight="1">
      <c r="A523" s="311"/>
      <c r="P523" s="387"/>
      <c r="X523" s="311"/>
      <c r="Y523" s="311"/>
      <c r="Z523" s="311"/>
      <c r="AA523" s="311"/>
      <c r="AB523" s="311"/>
      <c r="AC523" s="311"/>
      <c r="AD523" s="311"/>
      <c r="AE523" s="311"/>
      <c r="AF523" s="311"/>
      <c r="AG523" s="311"/>
      <c r="AH523" s="311"/>
      <c r="AI523" s="311"/>
      <c r="AJ523" s="311"/>
      <c r="AK523" s="311"/>
      <c r="AL523" s="311"/>
      <c r="AM523" s="311"/>
      <c r="AN523" s="311"/>
      <c r="AO523" s="311"/>
      <c r="AP523" s="311"/>
      <c r="AQ523" s="311"/>
      <c r="AR523" s="311"/>
    </row>
    <row r="524" spans="1:44" s="475" customFormat="1" ht="12" customHeight="1">
      <c r="A524" s="311"/>
      <c r="P524" s="387"/>
      <c r="X524" s="311"/>
      <c r="Y524" s="311"/>
      <c r="Z524" s="311"/>
      <c r="AA524" s="311"/>
      <c r="AB524" s="311"/>
      <c r="AC524" s="311"/>
      <c r="AD524" s="311"/>
      <c r="AE524" s="311"/>
      <c r="AF524" s="311"/>
      <c r="AG524" s="311"/>
      <c r="AH524" s="311"/>
      <c r="AI524" s="311"/>
      <c r="AJ524" s="311"/>
      <c r="AK524" s="311"/>
      <c r="AL524" s="311"/>
      <c r="AM524" s="311"/>
      <c r="AN524" s="311"/>
      <c r="AO524" s="311"/>
      <c r="AP524" s="311"/>
      <c r="AQ524" s="311"/>
      <c r="AR524" s="311"/>
    </row>
    <row r="525" spans="1:44" s="475" customFormat="1" ht="12" customHeight="1">
      <c r="A525" s="311"/>
      <c r="P525" s="387"/>
      <c r="X525" s="311"/>
      <c r="Y525" s="311"/>
      <c r="Z525" s="311"/>
      <c r="AA525" s="311"/>
      <c r="AB525" s="311"/>
      <c r="AC525" s="311"/>
      <c r="AD525" s="311"/>
      <c r="AE525" s="311"/>
      <c r="AF525" s="311"/>
      <c r="AG525" s="311"/>
      <c r="AH525" s="311"/>
      <c r="AI525" s="311"/>
      <c r="AJ525" s="311"/>
      <c r="AK525" s="311"/>
      <c r="AL525" s="311"/>
      <c r="AM525" s="311"/>
      <c r="AN525" s="311"/>
      <c r="AO525" s="311"/>
      <c r="AP525" s="311"/>
      <c r="AQ525" s="311"/>
      <c r="AR525" s="311"/>
    </row>
    <row r="526" spans="1:44" s="475" customFormat="1" ht="12" customHeight="1">
      <c r="A526" s="311"/>
      <c r="P526" s="387"/>
      <c r="X526" s="311"/>
      <c r="Y526" s="311"/>
      <c r="Z526" s="311"/>
      <c r="AA526" s="311"/>
      <c r="AB526" s="311"/>
      <c r="AC526" s="311"/>
      <c r="AD526" s="311"/>
      <c r="AE526" s="311"/>
      <c r="AF526" s="311"/>
      <c r="AG526" s="311"/>
      <c r="AH526" s="311"/>
      <c r="AI526" s="311"/>
      <c r="AJ526" s="311"/>
      <c r="AK526" s="311"/>
      <c r="AL526" s="311"/>
      <c r="AM526" s="311"/>
      <c r="AN526" s="311"/>
      <c r="AO526" s="311"/>
      <c r="AP526" s="311"/>
      <c r="AQ526" s="311"/>
      <c r="AR526" s="311"/>
    </row>
    <row r="527" spans="1:44" s="475" customFormat="1" ht="12" customHeight="1">
      <c r="A527" s="311"/>
      <c r="P527" s="387"/>
      <c r="X527" s="311"/>
      <c r="Y527" s="311"/>
      <c r="Z527" s="311"/>
      <c r="AA527" s="311"/>
      <c r="AB527" s="311"/>
      <c r="AC527" s="311"/>
      <c r="AD527" s="311"/>
      <c r="AE527" s="311"/>
      <c r="AF527" s="311"/>
      <c r="AG527" s="311"/>
      <c r="AH527" s="311"/>
      <c r="AI527" s="311"/>
      <c r="AJ527" s="311"/>
      <c r="AK527" s="311"/>
      <c r="AL527" s="311"/>
      <c r="AM527" s="311"/>
      <c r="AN527" s="311"/>
      <c r="AO527" s="311"/>
      <c r="AP527" s="311"/>
      <c r="AQ527" s="311"/>
      <c r="AR527" s="311"/>
    </row>
    <row r="528" spans="1:44" s="475" customFormat="1" ht="12" customHeight="1">
      <c r="A528" s="311"/>
      <c r="P528" s="387"/>
      <c r="X528" s="311"/>
      <c r="Y528" s="311"/>
      <c r="Z528" s="311"/>
      <c r="AA528" s="311"/>
      <c r="AB528" s="311"/>
      <c r="AC528" s="311"/>
      <c r="AD528" s="311"/>
      <c r="AE528" s="311"/>
      <c r="AF528" s="311"/>
      <c r="AG528" s="311"/>
      <c r="AH528" s="311"/>
      <c r="AI528" s="311"/>
      <c r="AJ528" s="311"/>
      <c r="AK528" s="311"/>
      <c r="AL528" s="311"/>
      <c r="AM528" s="311"/>
      <c r="AN528" s="311"/>
      <c r="AO528" s="311"/>
      <c r="AP528" s="311"/>
      <c r="AQ528" s="311"/>
      <c r="AR528" s="311"/>
    </row>
    <row r="529" spans="1:44" s="475" customFormat="1" ht="12" customHeight="1">
      <c r="A529" s="311"/>
      <c r="P529" s="387"/>
      <c r="X529" s="311"/>
      <c r="Y529" s="311"/>
      <c r="Z529" s="311"/>
      <c r="AA529" s="311"/>
      <c r="AB529" s="311"/>
      <c r="AC529" s="311"/>
      <c r="AD529" s="311"/>
      <c r="AE529" s="311"/>
      <c r="AF529" s="311"/>
      <c r="AG529" s="311"/>
      <c r="AH529" s="311"/>
      <c r="AI529" s="311"/>
      <c r="AJ529" s="311"/>
      <c r="AK529" s="311"/>
      <c r="AL529" s="311"/>
      <c r="AM529" s="311"/>
      <c r="AN529" s="311"/>
      <c r="AO529" s="311"/>
      <c r="AP529" s="311"/>
      <c r="AQ529" s="311"/>
      <c r="AR529" s="311"/>
    </row>
    <row r="530" spans="1:44" s="475" customFormat="1" ht="12" customHeight="1">
      <c r="A530" s="311"/>
      <c r="P530" s="387"/>
      <c r="X530" s="311"/>
      <c r="Y530" s="311"/>
      <c r="Z530" s="311"/>
      <c r="AA530" s="311"/>
      <c r="AB530" s="311"/>
      <c r="AC530" s="311"/>
      <c r="AD530" s="311"/>
      <c r="AE530" s="311"/>
      <c r="AF530" s="311"/>
      <c r="AG530" s="311"/>
      <c r="AH530" s="311"/>
      <c r="AI530" s="311"/>
      <c r="AJ530" s="311"/>
      <c r="AK530" s="311"/>
      <c r="AL530" s="311"/>
      <c r="AM530" s="311"/>
      <c r="AN530" s="311"/>
      <c r="AO530" s="311"/>
      <c r="AP530" s="311"/>
      <c r="AQ530" s="311"/>
      <c r="AR530" s="311"/>
    </row>
    <row r="531" spans="1:44" s="475" customFormat="1" ht="12" customHeight="1">
      <c r="A531" s="311"/>
      <c r="P531" s="3657"/>
      <c r="X531" s="311"/>
      <c r="Y531" s="311"/>
      <c r="Z531" s="311"/>
      <c r="AA531" s="311"/>
      <c r="AB531" s="311"/>
      <c r="AC531" s="311"/>
      <c r="AD531" s="311"/>
      <c r="AE531" s="311"/>
      <c r="AF531" s="311"/>
      <c r="AG531" s="311"/>
      <c r="AH531" s="311"/>
      <c r="AI531" s="311"/>
      <c r="AJ531" s="311"/>
      <c r="AK531" s="311"/>
      <c r="AL531" s="311"/>
      <c r="AM531" s="311"/>
      <c r="AN531" s="311"/>
      <c r="AO531" s="311"/>
      <c r="AP531" s="311"/>
      <c r="AQ531" s="311"/>
      <c r="AR531" s="311"/>
    </row>
    <row r="532" spans="1:44" s="475" customFormat="1" ht="12" customHeight="1">
      <c r="A532" s="311"/>
      <c r="P532" s="387"/>
      <c r="X532" s="311"/>
      <c r="Y532" s="311"/>
      <c r="Z532" s="311"/>
      <c r="AA532" s="311"/>
      <c r="AB532" s="311"/>
      <c r="AC532" s="311"/>
      <c r="AD532" s="311"/>
      <c r="AE532" s="311"/>
      <c r="AF532" s="311"/>
      <c r="AG532" s="311"/>
      <c r="AH532" s="311"/>
      <c r="AI532" s="311"/>
      <c r="AJ532" s="311"/>
      <c r="AK532" s="311"/>
      <c r="AL532" s="311"/>
      <c r="AM532" s="311"/>
      <c r="AN532" s="311"/>
      <c r="AO532" s="311"/>
      <c r="AP532" s="311"/>
      <c r="AQ532" s="311"/>
      <c r="AR532" s="311"/>
    </row>
    <row r="533" spans="1:44" s="475" customFormat="1" ht="12" customHeight="1">
      <c r="A533" s="311"/>
      <c r="P533" s="387"/>
      <c r="X533" s="311"/>
      <c r="Y533" s="311"/>
      <c r="Z533" s="311"/>
      <c r="AA533" s="311"/>
      <c r="AB533" s="311"/>
      <c r="AC533" s="311"/>
      <c r="AD533" s="311"/>
      <c r="AE533" s="311"/>
      <c r="AF533" s="311"/>
      <c r="AG533" s="311"/>
      <c r="AH533" s="311"/>
      <c r="AI533" s="311"/>
      <c r="AJ533" s="311"/>
      <c r="AK533" s="311"/>
      <c r="AL533" s="311"/>
      <c r="AM533" s="311"/>
      <c r="AN533" s="311"/>
      <c r="AO533" s="311"/>
      <c r="AP533" s="311"/>
      <c r="AQ533" s="311"/>
      <c r="AR533" s="311"/>
    </row>
    <row r="534" spans="1:44" s="475" customFormat="1" ht="12" customHeight="1">
      <c r="A534" s="311"/>
      <c r="P534" s="387"/>
      <c r="X534" s="311"/>
      <c r="Y534" s="311"/>
      <c r="Z534" s="311"/>
      <c r="AA534" s="311"/>
      <c r="AB534" s="311"/>
      <c r="AC534" s="311"/>
      <c r="AD534" s="311"/>
      <c r="AE534" s="311"/>
      <c r="AF534" s="311"/>
      <c r="AG534" s="311"/>
      <c r="AH534" s="311"/>
      <c r="AI534" s="311"/>
      <c r="AJ534" s="311"/>
      <c r="AK534" s="311"/>
      <c r="AL534" s="311"/>
      <c r="AM534" s="311"/>
      <c r="AN534" s="311"/>
      <c r="AO534" s="311"/>
      <c r="AP534" s="311"/>
      <c r="AQ534" s="311"/>
      <c r="AR534" s="311"/>
    </row>
    <row r="535" spans="1:44" s="475" customFormat="1" ht="12" customHeight="1">
      <c r="A535" s="311"/>
      <c r="P535" s="387"/>
      <c r="X535" s="311"/>
      <c r="Y535" s="311"/>
      <c r="Z535" s="311"/>
      <c r="AA535" s="311"/>
      <c r="AB535" s="311"/>
      <c r="AC535" s="311"/>
      <c r="AD535" s="311"/>
      <c r="AE535" s="311"/>
      <c r="AF535" s="311"/>
      <c r="AG535" s="311"/>
      <c r="AH535" s="311"/>
      <c r="AI535" s="311"/>
      <c r="AJ535" s="311"/>
      <c r="AK535" s="311"/>
      <c r="AL535" s="311"/>
      <c r="AM535" s="311"/>
      <c r="AN535" s="311"/>
      <c r="AO535" s="311"/>
      <c r="AP535" s="311"/>
      <c r="AQ535" s="311"/>
      <c r="AR535" s="311"/>
    </row>
    <row r="536" spans="1:44" s="475" customFormat="1" ht="12" customHeight="1">
      <c r="A536" s="311"/>
      <c r="P536" s="387"/>
      <c r="X536" s="311"/>
      <c r="Y536" s="311"/>
      <c r="Z536" s="311"/>
      <c r="AA536" s="311"/>
      <c r="AB536" s="311"/>
      <c r="AC536" s="311"/>
      <c r="AD536" s="311"/>
      <c r="AE536" s="311"/>
      <c r="AF536" s="311"/>
      <c r="AG536" s="311"/>
      <c r="AH536" s="311"/>
      <c r="AI536" s="311"/>
      <c r="AJ536" s="311"/>
      <c r="AK536" s="311"/>
      <c r="AL536" s="311"/>
      <c r="AM536" s="311"/>
      <c r="AN536" s="311"/>
      <c r="AO536" s="311"/>
      <c r="AP536" s="311"/>
      <c r="AQ536" s="311"/>
      <c r="AR536" s="311"/>
    </row>
    <row r="537" spans="1:44" s="475" customFormat="1" ht="12" customHeight="1">
      <c r="A537" s="311"/>
      <c r="P537" s="387"/>
      <c r="X537" s="311"/>
      <c r="Y537" s="311"/>
      <c r="Z537" s="311"/>
      <c r="AA537" s="311"/>
      <c r="AB537" s="311"/>
      <c r="AC537" s="311"/>
      <c r="AD537" s="311"/>
      <c r="AE537" s="311"/>
      <c r="AF537" s="311"/>
      <c r="AG537" s="311"/>
      <c r="AH537" s="311"/>
      <c r="AI537" s="311"/>
      <c r="AJ537" s="311"/>
      <c r="AK537" s="311"/>
      <c r="AL537" s="311"/>
      <c r="AM537" s="311"/>
      <c r="AN537" s="311"/>
      <c r="AO537" s="311"/>
      <c r="AP537" s="311"/>
      <c r="AQ537" s="311"/>
      <c r="AR537" s="311"/>
    </row>
    <row r="538" spans="1:44" s="475" customFormat="1" ht="12" customHeight="1">
      <c r="A538" s="311"/>
      <c r="P538" s="387"/>
      <c r="X538" s="311"/>
      <c r="Y538" s="311"/>
      <c r="Z538" s="311"/>
      <c r="AA538" s="311"/>
      <c r="AB538" s="311"/>
      <c r="AC538" s="311"/>
      <c r="AD538" s="311"/>
      <c r="AE538" s="311"/>
      <c r="AF538" s="311"/>
      <c r="AG538" s="311"/>
      <c r="AH538" s="311"/>
      <c r="AI538" s="311"/>
      <c r="AJ538" s="311"/>
      <c r="AK538" s="311"/>
      <c r="AL538" s="311"/>
      <c r="AM538" s="311"/>
      <c r="AN538" s="311"/>
      <c r="AO538" s="311"/>
      <c r="AP538" s="311"/>
      <c r="AQ538" s="311"/>
      <c r="AR538" s="311"/>
    </row>
    <row r="539" spans="1:44" s="475" customFormat="1" ht="12" customHeight="1">
      <c r="A539" s="311"/>
      <c r="P539" s="387"/>
      <c r="X539" s="311"/>
      <c r="Y539" s="311"/>
      <c r="Z539" s="311"/>
      <c r="AA539" s="311"/>
      <c r="AB539" s="311"/>
      <c r="AC539" s="311"/>
      <c r="AD539" s="311"/>
      <c r="AE539" s="311"/>
      <c r="AF539" s="311"/>
      <c r="AG539" s="311"/>
      <c r="AH539" s="311"/>
      <c r="AI539" s="311"/>
      <c r="AJ539" s="311"/>
      <c r="AK539" s="311"/>
      <c r="AL539" s="311"/>
      <c r="AM539" s="311"/>
      <c r="AN539" s="311"/>
      <c r="AO539" s="311"/>
      <c r="AP539" s="311"/>
      <c r="AQ539" s="311"/>
      <c r="AR539" s="311"/>
    </row>
    <row r="540" spans="1:44" s="475" customFormat="1" ht="12" customHeight="1">
      <c r="A540" s="311"/>
      <c r="P540" s="3657"/>
      <c r="X540" s="311"/>
      <c r="Y540" s="311"/>
      <c r="Z540" s="311"/>
      <c r="AA540" s="311"/>
      <c r="AB540" s="311"/>
      <c r="AC540" s="311"/>
      <c r="AD540" s="311"/>
      <c r="AE540" s="311"/>
      <c r="AF540" s="311"/>
      <c r="AG540" s="311"/>
      <c r="AH540" s="311"/>
      <c r="AI540" s="311"/>
      <c r="AJ540" s="311"/>
      <c r="AK540" s="311"/>
      <c r="AL540" s="311"/>
      <c r="AM540" s="311"/>
      <c r="AN540" s="311"/>
      <c r="AO540" s="311"/>
      <c r="AP540" s="311"/>
      <c r="AQ540" s="311"/>
      <c r="AR540" s="311"/>
    </row>
    <row r="541" spans="1:44" s="475" customFormat="1" ht="12" customHeight="1">
      <c r="A541" s="311"/>
      <c r="P541" s="387"/>
      <c r="X541" s="311"/>
      <c r="Y541" s="311"/>
      <c r="Z541" s="311"/>
      <c r="AA541" s="311"/>
      <c r="AB541" s="311"/>
      <c r="AC541" s="311"/>
      <c r="AD541" s="311"/>
      <c r="AE541" s="311"/>
      <c r="AF541" s="311"/>
      <c r="AG541" s="311"/>
      <c r="AH541" s="311"/>
      <c r="AI541" s="311"/>
      <c r="AJ541" s="311"/>
      <c r="AK541" s="311"/>
      <c r="AL541" s="311"/>
      <c r="AM541" s="311"/>
      <c r="AN541" s="311"/>
      <c r="AO541" s="311"/>
      <c r="AP541" s="311"/>
      <c r="AQ541" s="311"/>
      <c r="AR541" s="311"/>
    </row>
    <row r="542" spans="1:44" s="475" customFormat="1" ht="12" customHeight="1">
      <c r="A542" s="311"/>
      <c r="P542" s="387"/>
      <c r="X542" s="311"/>
      <c r="Y542" s="311"/>
      <c r="Z542" s="311"/>
      <c r="AA542" s="311"/>
      <c r="AB542" s="311"/>
      <c r="AC542" s="311"/>
      <c r="AD542" s="311"/>
      <c r="AE542" s="311"/>
      <c r="AF542" s="311"/>
      <c r="AG542" s="311"/>
      <c r="AH542" s="311"/>
      <c r="AI542" s="311"/>
      <c r="AJ542" s="311"/>
      <c r="AK542" s="311"/>
      <c r="AL542" s="311"/>
      <c r="AM542" s="311"/>
      <c r="AN542" s="311"/>
      <c r="AO542" s="311"/>
      <c r="AP542" s="311"/>
      <c r="AQ542" s="311"/>
      <c r="AR542" s="311"/>
    </row>
    <row r="543" spans="1:44" s="475" customFormat="1" ht="12" customHeight="1">
      <c r="A543" s="311"/>
      <c r="P543" s="387"/>
      <c r="X543" s="311"/>
      <c r="Y543" s="311"/>
      <c r="Z543" s="311"/>
      <c r="AA543" s="311"/>
      <c r="AB543" s="311"/>
      <c r="AC543" s="311"/>
      <c r="AD543" s="311"/>
      <c r="AE543" s="311"/>
      <c r="AF543" s="311"/>
      <c r="AG543" s="311"/>
      <c r="AH543" s="311"/>
      <c r="AI543" s="311"/>
      <c r="AJ543" s="311"/>
      <c r="AK543" s="311"/>
      <c r="AL543" s="311"/>
      <c r="AM543" s="311"/>
      <c r="AN543" s="311"/>
      <c r="AO543" s="311"/>
      <c r="AP543" s="311"/>
      <c r="AQ543" s="311"/>
      <c r="AR543" s="311"/>
    </row>
    <row r="544" spans="1:44" s="475" customFormat="1" ht="12" customHeight="1">
      <c r="A544" s="311"/>
      <c r="P544" s="387"/>
      <c r="X544" s="311"/>
      <c r="Y544" s="311"/>
      <c r="Z544" s="311"/>
      <c r="AA544" s="311"/>
      <c r="AB544" s="311"/>
      <c r="AC544" s="311"/>
      <c r="AD544" s="311"/>
      <c r="AE544" s="311"/>
      <c r="AF544" s="311"/>
      <c r="AG544" s="311"/>
      <c r="AH544" s="311"/>
      <c r="AI544" s="311"/>
      <c r="AJ544" s="311"/>
      <c r="AK544" s="311"/>
      <c r="AL544" s="311"/>
      <c r="AM544" s="311"/>
      <c r="AN544" s="311"/>
      <c r="AO544" s="311"/>
      <c r="AP544" s="311"/>
      <c r="AQ544" s="311"/>
      <c r="AR544" s="311"/>
    </row>
    <row r="545" spans="1:44" s="475" customFormat="1" ht="12" customHeight="1">
      <c r="A545" s="311"/>
      <c r="P545" s="387"/>
      <c r="X545" s="311"/>
      <c r="Y545" s="311"/>
      <c r="Z545" s="311"/>
      <c r="AA545" s="311"/>
      <c r="AB545" s="311"/>
      <c r="AC545" s="311"/>
      <c r="AD545" s="311"/>
      <c r="AE545" s="311"/>
      <c r="AF545" s="311"/>
      <c r="AG545" s="311"/>
      <c r="AH545" s="311"/>
      <c r="AI545" s="311"/>
      <c r="AJ545" s="311"/>
      <c r="AK545" s="311"/>
      <c r="AL545" s="311"/>
      <c r="AM545" s="311"/>
      <c r="AN545" s="311"/>
      <c r="AO545" s="311"/>
      <c r="AP545" s="311"/>
      <c r="AQ545" s="311"/>
      <c r="AR545" s="311"/>
    </row>
    <row r="546" spans="1:44" s="475" customFormat="1" ht="12" customHeight="1">
      <c r="A546" s="311"/>
      <c r="P546" s="387"/>
      <c r="X546" s="311"/>
      <c r="Y546" s="311"/>
      <c r="Z546" s="311"/>
      <c r="AA546" s="311"/>
      <c r="AB546" s="311"/>
      <c r="AC546" s="311"/>
      <c r="AD546" s="311"/>
      <c r="AE546" s="311"/>
      <c r="AF546" s="311"/>
      <c r="AG546" s="311"/>
      <c r="AH546" s="311"/>
      <c r="AI546" s="311"/>
      <c r="AJ546" s="311"/>
      <c r="AK546" s="311"/>
      <c r="AL546" s="311"/>
      <c r="AM546" s="311"/>
      <c r="AN546" s="311"/>
      <c r="AO546" s="311"/>
      <c r="AP546" s="311"/>
      <c r="AQ546" s="311"/>
      <c r="AR546" s="311"/>
    </row>
    <row r="547" spans="1:44" s="475" customFormat="1" ht="12" customHeight="1">
      <c r="A547" s="311"/>
      <c r="P547" s="387"/>
      <c r="X547" s="311"/>
      <c r="Y547" s="311"/>
      <c r="Z547" s="311"/>
      <c r="AA547" s="311"/>
      <c r="AB547" s="311"/>
      <c r="AC547" s="311"/>
      <c r="AD547" s="311"/>
      <c r="AE547" s="311"/>
      <c r="AF547" s="311"/>
      <c r="AG547" s="311"/>
      <c r="AH547" s="311"/>
      <c r="AI547" s="311"/>
      <c r="AJ547" s="311"/>
      <c r="AK547" s="311"/>
      <c r="AL547" s="311"/>
      <c r="AM547" s="311"/>
      <c r="AN547" s="311"/>
      <c r="AO547" s="311"/>
      <c r="AP547" s="311"/>
      <c r="AQ547" s="311"/>
      <c r="AR547" s="311"/>
    </row>
    <row r="548" spans="1:44" s="475" customFormat="1" ht="12" customHeight="1">
      <c r="A548" s="311"/>
      <c r="P548" s="387"/>
      <c r="X548" s="311"/>
      <c r="Y548" s="311"/>
      <c r="Z548" s="311"/>
      <c r="AA548" s="311"/>
      <c r="AB548" s="311"/>
      <c r="AC548" s="311"/>
      <c r="AD548" s="311"/>
      <c r="AE548" s="311"/>
      <c r="AF548" s="311"/>
      <c r="AG548" s="311"/>
      <c r="AH548" s="311"/>
      <c r="AI548" s="311"/>
      <c r="AJ548" s="311"/>
      <c r="AK548" s="311"/>
      <c r="AL548" s="311"/>
      <c r="AM548" s="311"/>
      <c r="AN548" s="311"/>
      <c r="AO548" s="311"/>
      <c r="AP548" s="311"/>
      <c r="AQ548" s="311"/>
      <c r="AR548" s="311"/>
    </row>
    <row r="549" spans="1:44" s="475" customFormat="1" ht="12" customHeight="1">
      <c r="A549" s="311"/>
      <c r="P549" s="387"/>
      <c r="X549" s="311"/>
      <c r="Y549" s="311"/>
      <c r="Z549" s="311"/>
      <c r="AA549" s="311"/>
      <c r="AB549" s="311"/>
      <c r="AC549" s="311"/>
      <c r="AD549" s="311"/>
      <c r="AE549" s="311"/>
      <c r="AF549" s="311"/>
      <c r="AG549" s="311"/>
      <c r="AH549" s="311"/>
      <c r="AI549" s="311"/>
      <c r="AJ549" s="311"/>
      <c r="AK549" s="311"/>
      <c r="AL549" s="311"/>
      <c r="AM549" s="311"/>
      <c r="AN549" s="311"/>
      <c r="AO549" s="311"/>
      <c r="AP549" s="311"/>
      <c r="AQ549" s="311"/>
      <c r="AR549" s="311"/>
    </row>
    <row r="550" spans="1:44" s="475" customFormat="1" ht="12" customHeight="1">
      <c r="A550" s="311"/>
      <c r="P550" s="387"/>
      <c r="X550" s="311"/>
      <c r="Y550" s="311"/>
      <c r="Z550" s="311"/>
      <c r="AA550" s="311"/>
      <c r="AB550" s="311"/>
      <c r="AC550" s="311"/>
      <c r="AD550" s="311"/>
      <c r="AE550" s="311"/>
      <c r="AF550" s="311"/>
      <c r="AG550" s="311"/>
      <c r="AH550" s="311"/>
      <c r="AI550" s="311"/>
      <c r="AJ550" s="311"/>
      <c r="AK550" s="311"/>
      <c r="AL550" s="311"/>
      <c r="AM550" s="311"/>
      <c r="AN550" s="311"/>
      <c r="AO550" s="311"/>
      <c r="AP550" s="311"/>
      <c r="AQ550" s="311"/>
      <c r="AR550" s="311"/>
    </row>
    <row r="551" spans="1:44" s="475" customFormat="1" ht="12" customHeight="1">
      <c r="A551" s="311"/>
      <c r="P551" s="387"/>
      <c r="X551" s="311"/>
      <c r="Y551" s="311"/>
      <c r="Z551" s="311"/>
      <c r="AA551" s="311"/>
      <c r="AB551" s="311"/>
      <c r="AC551" s="311"/>
      <c r="AD551" s="311"/>
      <c r="AE551" s="311"/>
      <c r="AF551" s="311"/>
      <c r="AG551" s="311"/>
      <c r="AH551" s="311"/>
      <c r="AI551" s="311"/>
      <c r="AJ551" s="311"/>
      <c r="AK551" s="311"/>
      <c r="AL551" s="311"/>
      <c r="AM551" s="311"/>
      <c r="AN551" s="311"/>
      <c r="AO551" s="311"/>
      <c r="AP551" s="311"/>
      <c r="AQ551" s="311"/>
      <c r="AR551" s="311"/>
    </row>
    <row r="552" spans="1:44" s="475" customFormat="1" ht="12" customHeight="1">
      <c r="A552" s="311"/>
      <c r="P552" s="387"/>
      <c r="X552" s="311"/>
      <c r="Y552" s="311"/>
      <c r="Z552" s="311"/>
      <c r="AA552" s="311"/>
      <c r="AB552" s="311"/>
      <c r="AC552" s="311"/>
      <c r="AD552" s="311"/>
      <c r="AE552" s="311"/>
      <c r="AF552" s="311"/>
      <c r="AG552" s="311"/>
      <c r="AH552" s="311"/>
      <c r="AI552" s="311"/>
      <c r="AJ552" s="311"/>
      <c r="AK552" s="311"/>
      <c r="AL552" s="311"/>
      <c r="AM552" s="311"/>
      <c r="AN552" s="311"/>
      <c r="AO552" s="311"/>
      <c r="AP552" s="311"/>
      <c r="AQ552" s="311"/>
      <c r="AR552" s="311"/>
    </row>
    <row r="553" spans="1:44" s="475" customFormat="1" ht="12" customHeight="1">
      <c r="A553" s="311"/>
      <c r="P553" s="387"/>
      <c r="X553" s="311"/>
      <c r="Y553" s="311"/>
      <c r="Z553" s="311"/>
      <c r="AA553" s="311"/>
      <c r="AB553" s="311"/>
      <c r="AC553" s="311"/>
      <c r="AD553" s="311"/>
      <c r="AE553" s="311"/>
      <c r="AF553" s="311"/>
      <c r="AG553" s="311"/>
      <c r="AH553" s="311"/>
      <c r="AI553" s="311"/>
      <c r="AJ553" s="311"/>
      <c r="AK553" s="311"/>
      <c r="AL553" s="311"/>
      <c r="AM553" s="311"/>
      <c r="AN553" s="311"/>
      <c r="AO553" s="311"/>
      <c r="AP553" s="311"/>
      <c r="AQ553" s="311"/>
      <c r="AR553" s="311"/>
    </row>
    <row r="554" spans="1:44" s="475" customFormat="1" ht="12" customHeight="1">
      <c r="A554" s="311"/>
      <c r="P554" s="387"/>
      <c r="X554" s="311"/>
      <c r="Y554" s="311"/>
      <c r="Z554" s="311"/>
      <c r="AA554" s="311"/>
      <c r="AB554" s="311"/>
      <c r="AC554" s="311"/>
      <c r="AD554" s="311"/>
      <c r="AE554" s="311"/>
      <c r="AF554" s="311"/>
      <c r="AG554" s="311"/>
      <c r="AH554" s="311"/>
      <c r="AI554" s="311"/>
      <c r="AJ554" s="311"/>
      <c r="AK554" s="311"/>
      <c r="AL554" s="311"/>
      <c r="AM554" s="311"/>
      <c r="AN554" s="311"/>
      <c r="AO554" s="311"/>
      <c r="AP554" s="311"/>
      <c r="AQ554" s="311"/>
      <c r="AR554" s="311"/>
    </row>
    <row r="555" spans="1:44" s="475" customFormat="1" ht="12" customHeight="1">
      <c r="A555" s="311"/>
      <c r="P555" s="387"/>
      <c r="X555" s="311"/>
      <c r="Y555" s="311"/>
      <c r="Z555" s="311"/>
      <c r="AA555" s="311"/>
      <c r="AB555" s="311"/>
      <c r="AC555" s="311"/>
      <c r="AD555" s="311"/>
      <c r="AE555" s="311"/>
      <c r="AF555" s="311"/>
      <c r="AG555" s="311"/>
      <c r="AH555" s="311"/>
      <c r="AI555" s="311"/>
      <c r="AJ555" s="311"/>
      <c r="AK555" s="311"/>
      <c r="AL555" s="311"/>
      <c r="AM555" s="311"/>
      <c r="AN555" s="311"/>
      <c r="AO555" s="311"/>
      <c r="AP555" s="311"/>
      <c r="AQ555" s="311"/>
      <c r="AR555" s="311"/>
    </row>
    <row r="556" spans="1:44" s="475" customFormat="1" ht="12" customHeight="1">
      <c r="A556" s="311"/>
      <c r="P556" s="387"/>
      <c r="X556" s="311"/>
      <c r="Y556" s="311"/>
      <c r="Z556" s="311"/>
      <c r="AA556" s="311"/>
      <c r="AB556" s="311"/>
      <c r="AC556" s="311"/>
      <c r="AD556" s="311"/>
      <c r="AE556" s="311"/>
      <c r="AF556" s="311"/>
      <c r="AG556" s="311"/>
      <c r="AH556" s="311"/>
      <c r="AI556" s="311"/>
      <c r="AJ556" s="311"/>
      <c r="AK556" s="311"/>
      <c r="AL556" s="311"/>
      <c r="AM556" s="311"/>
      <c r="AN556" s="311"/>
      <c r="AO556" s="311"/>
      <c r="AP556" s="311"/>
      <c r="AQ556" s="311"/>
      <c r="AR556" s="311"/>
    </row>
    <row r="557" spans="1:44" s="475" customFormat="1" ht="12" customHeight="1">
      <c r="A557" s="311"/>
      <c r="P557" s="387"/>
      <c r="X557" s="311"/>
      <c r="Y557" s="311"/>
      <c r="Z557" s="311"/>
      <c r="AA557" s="311"/>
      <c r="AB557" s="311"/>
      <c r="AC557" s="311"/>
      <c r="AD557" s="311"/>
      <c r="AE557" s="311"/>
      <c r="AF557" s="311"/>
      <c r="AG557" s="311"/>
      <c r="AH557" s="311"/>
      <c r="AI557" s="311"/>
      <c r="AJ557" s="311"/>
      <c r="AK557" s="311"/>
      <c r="AL557" s="311"/>
      <c r="AM557" s="311"/>
      <c r="AN557" s="311"/>
      <c r="AO557" s="311"/>
      <c r="AP557" s="311"/>
      <c r="AQ557" s="311"/>
      <c r="AR557" s="311"/>
    </row>
    <row r="558" spans="1:44" s="475" customFormat="1" ht="12" customHeight="1">
      <c r="A558" s="311"/>
      <c r="P558" s="3656"/>
      <c r="X558" s="311"/>
      <c r="Y558" s="311"/>
      <c r="Z558" s="311"/>
      <c r="AA558" s="311"/>
      <c r="AB558" s="311"/>
      <c r="AC558" s="311"/>
      <c r="AD558" s="311"/>
      <c r="AE558" s="311"/>
      <c r="AF558" s="311"/>
      <c r="AG558" s="311"/>
      <c r="AH558" s="311"/>
      <c r="AI558" s="311"/>
      <c r="AJ558" s="311"/>
      <c r="AK558" s="311"/>
      <c r="AL558" s="311"/>
      <c r="AM558" s="311"/>
      <c r="AN558" s="311"/>
      <c r="AO558" s="311"/>
      <c r="AP558" s="311"/>
      <c r="AQ558" s="311"/>
      <c r="AR558" s="311"/>
    </row>
    <row r="559" spans="1:44" s="475" customFormat="1" ht="12" customHeight="1">
      <c r="A559" s="311"/>
      <c r="P559" s="387"/>
      <c r="X559" s="311"/>
      <c r="Y559" s="311"/>
      <c r="Z559" s="311"/>
      <c r="AA559" s="311"/>
      <c r="AB559" s="311"/>
      <c r="AC559" s="311"/>
      <c r="AD559" s="311"/>
      <c r="AE559" s="311"/>
      <c r="AF559" s="311"/>
      <c r="AG559" s="311"/>
      <c r="AH559" s="311"/>
      <c r="AI559" s="311"/>
      <c r="AJ559" s="311"/>
      <c r="AK559" s="311"/>
      <c r="AL559" s="311"/>
      <c r="AM559" s="311"/>
      <c r="AN559" s="311"/>
      <c r="AO559" s="311"/>
      <c r="AP559" s="311"/>
      <c r="AQ559" s="311"/>
      <c r="AR559" s="311"/>
    </row>
    <row r="560" spans="1:44" s="475" customFormat="1" ht="12" customHeight="1">
      <c r="A560" s="311"/>
      <c r="P560" s="387"/>
      <c r="X560" s="311"/>
      <c r="Y560" s="311"/>
      <c r="Z560" s="311"/>
      <c r="AA560" s="311"/>
      <c r="AB560" s="311"/>
      <c r="AC560" s="311"/>
      <c r="AD560" s="311"/>
      <c r="AE560" s="311"/>
      <c r="AF560" s="311"/>
      <c r="AG560" s="311"/>
      <c r="AH560" s="311"/>
      <c r="AI560" s="311"/>
      <c r="AJ560" s="311"/>
      <c r="AK560" s="311"/>
      <c r="AL560" s="311"/>
      <c r="AM560" s="311"/>
      <c r="AN560" s="311"/>
      <c r="AO560" s="311"/>
      <c r="AP560" s="311"/>
      <c r="AQ560" s="311"/>
      <c r="AR560" s="311"/>
    </row>
    <row r="561" spans="1:44" s="475" customFormat="1" ht="12" customHeight="1">
      <c r="A561" s="311"/>
      <c r="P561" s="387"/>
      <c r="X561" s="311"/>
      <c r="Y561" s="311"/>
      <c r="Z561" s="311"/>
      <c r="AA561" s="311"/>
      <c r="AB561" s="311"/>
      <c r="AC561" s="311"/>
      <c r="AD561" s="311"/>
      <c r="AE561" s="311"/>
      <c r="AF561" s="311"/>
      <c r="AG561" s="311"/>
      <c r="AH561" s="311"/>
      <c r="AI561" s="311"/>
      <c r="AJ561" s="311"/>
      <c r="AK561" s="311"/>
      <c r="AL561" s="311"/>
      <c r="AM561" s="311"/>
      <c r="AN561" s="311"/>
      <c r="AO561" s="311"/>
      <c r="AP561" s="311"/>
      <c r="AQ561" s="311"/>
      <c r="AR561" s="311"/>
    </row>
    <row r="562" spans="1:44" s="475" customFormat="1" ht="12" customHeight="1">
      <c r="A562" s="311"/>
      <c r="P562" s="387"/>
      <c r="X562" s="311"/>
      <c r="Y562" s="311"/>
      <c r="Z562" s="311"/>
      <c r="AA562" s="311"/>
      <c r="AB562" s="311"/>
      <c r="AC562" s="311"/>
      <c r="AD562" s="311"/>
      <c r="AE562" s="311"/>
      <c r="AF562" s="311"/>
      <c r="AG562" s="311"/>
      <c r="AH562" s="311"/>
      <c r="AI562" s="311"/>
      <c r="AJ562" s="311"/>
      <c r="AK562" s="311"/>
      <c r="AL562" s="311"/>
      <c r="AM562" s="311"/>
      <c r="AN562" s="311"/>
      <c r="AO562" s="311"/>
      <c r="AP562" s="311"/>
      <c r="AQ562" s="311"/>
      <c r="AR562" s="311"/>
    </row>
    <row r="563" spans="1:44" s="475" customFormat="1" ht="12" customHeight="1">
      <c r="A563" s="311"/>
      <c r="P563" s="3657"/>
      <c r="X563" s="311"/>
      <c r="Y563" s="311"/>
      <c r="Z563" s="311"/>
      <c r="AA563" s="311"/>
      <c r="AB563" s="311"/>
      <c r="AC563" s="311"/>
      <c r="AD563" s="311"/>
      <c r="AE563" s="311"/>
      <c r="AF563" s="311"/>
      <c r="AG563" s="311"/>
      <c r="AH563" s="311"/>
      <c r="AI563" s="311"/>
      <c r="AJ563" s="311"/>
      <c r="AK563" s="311"/>
      <c r="AL563" s="311"/>
      <c r="AM563" s="311"/>
      <c r="AN563" s="311"/>
      <c r="AO563" s="311"/>
      <c r="AP563" s="311"/>
      <c r="AQ563" s="311"/>
      <c r="AR563" s="311"/>
    </row>
    <row r="564" spans="1:44" s="475" customFormat="1" ht="12" customHeight="1">
      <c r="A564" s="311"/>
      <c r="P564" s="387"/>
      <c r="X564" s="311"/>
      <c r="Y564" s="311"/>
      <c r="Z564" s="311"/>
      <c r="AA564" s="311"/>
      <c r="AB564" s="311"/>
      <c r="AC564" s="311"/>
      <c r="AD564" s="311"/>
      <c r="AE564" s="311"/>
      <c r="AF564" s="311"/>
      <c r="AG564" s="311"/>
      <c r="AH564" s="311"/>
      <c r="AI564" s="311"/>
      <c r="AJ564" s="311"/>
      <c r="AK564" s="311"/>
      <c r="AL564" s="311"/>
      <c r="AM564" s="311"/>
      <c r="AN564" s="311"/>
      <c r="AO564" s="311"/>
      <c r="AP564" s="311"/>
      <c r="AQ564" s="311"/>
      <c r="AR564" s="311"/>
    </row>
    <row r="565" spans="1:44" s="475" customFormat="1" ht="12" customHeight="1">
      <c r="A565" s="311"/>
      <c r="P565" s="387"/>
      <c r="X565" s="311"/>
      <c r="Y565" s="311"/>
      <c r="Z565" s="311"/>
      <c r="AA565" s="311"/>
      <c r="AB565" s="311"/>
      <c r="AC565" s="311"/>
      <c r="AD565" s="311"/>
      <c r="AE565" s="311"/>
      <c r="AF565" s="311"/>
      <c r="AG565" s="311"/>
      <c r="AH565" s="311"/>
      <c r="AI565" s="311"/>
      <c r="AJ565" s="311"/>
      <c r="AK565" s="311"/>
      <c r="AL565" s="311"/>
      <c r="AM565" s="311"/>
      <c r="AN565" s="311"/>
      <c r="AO565" s="311"/>
      <c r="AP565" s="311"/>
      <c r="AQ565" s="311"/>
      <c r="AR565" s="311"/>
    </row>
    <row r="566" spans="1:44" s="475" customFormat="1" ht="12" customHeight="1">
      <c r="A566" s="311"/>
      <c r="P566" s="3657"/>
      <c r="X566" s="311"/>
      <c r="Y566" s="311"/>
      <c r="Z566" s="311"/>
      <c r="AA566" s="311"/>
      <c r="AB566" s="311"/>
      <c r="AC566" s="311"/>
      <c r="AD566" s="311"/>
      <c r="AE566" s="311"/>
      <c r="AF566" s="311"/>
      <c r="AG566" s="311"/>
      <c r="AH566" s="311"/>
      <c r="AI566" s="311"/>
      <c r="AJ566" s="311"/>
      <c r="AK566" s="311"/>
      <c r="AL566" s="311"/>
      <c r="AM566" s="311"/>
      <c r="AN566" s="311"/>
      <c r="AO566" s="311"/>
      <c r="AP566" s="311"/>
      <c r="AQ566" s="311"/>
      <c r="AR566" s="311"/>
    </row>
    <row r="567" spans="1:44" s="475" customFormat="1" ht="12" customHeight="1">
      <c r="A567" s="311"/>
      <c r="P567" s="387"/>
      <c r="X567" s="311"/>
      <c r="Y567" s="311"/>
      <c r="Z567" s="311"/>
      <c r="AA567" s="311"/>
      <c r="AB567" s="311"/>
      <c r="AC567" s="311"/>
      <c r="AD567" s="311"/>
      <c r="AE567" s="311"/>
      <c r="AF567" s="311"/>
      <c r="AG567" s="311"/>
      <c r="AH567" s="311"/>
      <c r="AI567" s="311"/>
      <c r="AJ567" s="311"/>
      <c r="AK567" s="311"/>
      <c r="AL567" s="311"/>
      <c r="AM567" s="311"/>
      <c r="AN567" s="311"/>
      <c r="AO567" s="311"/>
      <c r="AP567" s="311"/>
      <c r="AQ567" s="311"/>
      <c r="AR567" s="311"/>
    </row>
    <row r="568" spans="1:44" s="475" customFormat="1" ht="12" customHeight="1">
      <c r="A568" s="311"/>
      <c r="P568" s="387"/>
      <c r="X568" s="311"/>
      <c r="Y568" s="311"/>
      <c r="Z568" s="311"/>
      <c r="AA568" s="311"/>
      <c r="AB568" s="311"/>
      <c r="AC568" s="311"/>
      <c r="AD568" s="311"/>
      <c r="AE568" s="311"/>
      <c r="AF568" s="311"/>
      <c r="AG568" s="311"/>
      <c r="AH568" s="311"/>
      <c r="AI568" s="311"/>
      <c r="AJ568" s="311"/>
      <c r="AK568" s="311"/>
      <c r="AL568" s="311"/>
      <c r="AM568" s="311"/>
      <c r="AN568" s="311"/>
      <c r="AO568" s="311"/>
      <c r="AP568" s="311"/>
      <c r="AQ568" s="311"/>
      <c r="AR568" s="311"/>
    </row>
    <row r="569" spans="1:44" s="475" customFormat="1" ht="12" customHeight="1">
      <c r="A569" s="311"/>
      <c r="P569" s="387"/>
      <c r="X569" s="311"/>
      <c r="Y569" s="311"/>
      <c r="Z569" s="311"/>
      <c r="AA569" s="311"/>
      <c r="AB569" s="311"/>
      <c r="AC569" s="311"/>
      <c r="AD569" s="311"/>
      <c r="AE569" s="311"/>
      <c r="AF569" s="311"/>
      <c r="AG569" s="311"/>
      <c r="AH569" s="311"/>
      <c r="AI569" s="311"/>
      <c r="AJ569" s="311"/>
      <c r="AK569" s="311"/>
      <c r="AL569" s="311"/>
      <c r="AM569" s="311"/>
      <c r="AN569" s="311"/>
      <c r="AO569" s="311"/>
      <c r="AP569" s="311"/>
      <c r="AQ569" s="311"/>
      <c r="AR569" s="311"/>
    </row>
    <row r="570" spans="1:44" s="475" customFormat="1" ht="12" customHeight="1">
      <c r="A570" s="311"/>
      <c r="P570" s="387"/>
      <c r="X570" s="311"/>
      <c r="Y570" s="311"/>
      <c r="Z570" s="311"/>
      <c r="AA570" s="311"/>
      <c r="AB570" s="311"/>
      <c r="AC570" s="311"/>
      <c r="AD570" s="311"/>
      <c r="AE570" s="311"/>
      <c r="AF570" s="311"/>
      <c r="AG570" s="311"/>
      <c r="AH570" s="311"/>
      <c r="AI570" s="311"/>
      <c r="AJ570" s="311"/>
      <c r="AK570" s="311"/>
      <c r="AL570" s="311"/>
      <c r="AM570" s="311"/>
      <c r="AN570" s="311"/>
      <c r="AO570" s="311"/>
      <c r="AP570" s="311"/>
      <c r="AQ570" s="311"/>
      <c r="AR570" s="311"/>
    </row>
    <row r="571" spans="1:44" s="475" customFormat="1" ht="12" customHeight="1">
      <c r="A571" s="311"/>
      <c r="P571" s="387"/>
      <c r="X571" s="311"/>
      <c r="Y571" s="311"/>
      <c r="Z571" s="311"/>
      <c r="AA571" s="311"/>
      <c r="AB571" s="311"/>
      <c r="AC571" s="311"/>
      <c r="AD571" s="311"/>
      <c r="AE571" s="311"/>
      <c r="AF571" s="311"/>
      <c r="AG571" s="311"/>
      <c r="AH571" s="311"/>
      <c r="AI571" s="311"/>
      <c r="AJ571" s="311"/>
      <c r="AK571" s="311"/>
      <c r="AL571" s="311"/>
      <c r="AM571" s="311"/>
      <c r="AN571" s="311"/>
      <c r="AO571" s="311"/>
      <c r="AP571" s="311"/>
      <c r="AQ571" s="311"/>
      <c r="AR571" s="311"/>
    </row>
    <row r="572" spans="1:44" s="475" customFormat="1" ht="12" customHeight="1">
      <c r="A572" s="311"/>
      <c r="P572" s="387"/>
      <c r="X572" s="311"/>
      <c r="Y572" s="311"/>
      <c r="Z572" s="311"/>
      <c r="AA572" s="311"/>
      <c r="AB572" s="311"/>
      <c r="AC572" s="311"/>
      <c r="AD572" s="311"/>
      <c r="AE572" s="311"/>
      <c r="AF572" s="311"/>
      <c r="AG572" s="311"/>
      <c r="AH572" s="311"/>
      <c r="AI572" s="311"/>
      <c r="AJ572" s="311"/>
      <c r="AK572" s="311"/>
      <c r="AL572" s="311"/>
      <c r="AM572" s="311"/>
      <c r="AN572" s="311"/>
      <c r="AO572" s="311"/>
      <c r="AP572" s="311"/>
      <c r="AQ572" s="311"/>
      <c r="AR572" s="311"/>
    </row>
    <row r="573" spans="1:44" s="475" customFormat="1" ht="12" customHeight="1">
      <c r="A573" s="311"/>
      <c r="P573" s="387"/>
      <c r="X573" s="311"/>
      <c r="Y573" s="311"/>
      <c r="Z573" s="311"/>
      <c r="AA573" s="311"/>
      <c r="AB573" s="311"/>
      <c r="AC573" s="311"/>
      <c r="AD573" s="311"/>
      <c r="AE573" s="311"/>
      <c r="AF573" s="311"/>
      <c r="AG573" s="311"/>
      <c r="AH573" s="311"/>
      <c r="AI573" s="311"/>
      <c r="AJ573" s="311"/>
      <c r="AK573" s="311"/>
      <c r="AL573" s="311"/>
      <c r="AM573" s="311"/>
      <c r="AN573" s="311"/>
      <c r="AO573" s="311"/>
      <c r="AP573" s="311"/>
      <c r="AQ573" s="311"/>
      <c r="AR573" s="311"/>
    </row>
    <row r="574" spans="1:44" s="475" customFormat="1" ht="12" customHeight="1">
      <c r="A574" s="311"/>
      <c r="P574" s="387"/>
      <c r="X574" s="311"/>
      <c r="Y574" s="311"/>
      <c r="Z574" s="311"/>
      <c r="AA574" s="311"/>
      <c r="AB574" s="311"/>
      <c r="AC574" s="311"/>
      <c r="AD574" s="311"/>
      <c r="AE574" s="311"/>
      <c r="AF574" s="311"/>
      <c r="AG574" s="311"/>
      <c r="AH574" s="311"/>
      <c r="AI574" s="311"/>
      <c r="AJ574" s="311"/>
      <c r="AK574" s="311"/>
      <c r="AL574" s="311"/>
      <c r="AM574" s="311"/>
      <c r="AN574" s="311"/>
      <c r="AO574" s="311"/>
      <c r="AP574" s="311"/>
      <c r="AQ574" s="311"/>
      <c r="AR574" s="311"/>
    </row>
    <row r="575" spans="1:44" s="475" customFormat="1" ht="12" customHeight="1">
      <c r="A575" s="311"/>
      <c r="P575" s="387"/>
      <c r="X575" s="311"/>
      <c r="Y575" s="311"/>
      <c r="Z575" s="311"/>
      <c r="AA575" s="311"/>
      <c r="AB575" s="311"/>
      <c r="AC575" s="311"/>
      <c r="AD575" s="311"/>
      <c r="AE575" s="311"/>
      <c r="AF575" s="311"/>
      <c r="AG575" s="311"/>
      <c r="AH575" s="311"/>
      <c r="AI575" s="311"/>
      <c r="AJ575" s="311"/>
      <c r="AK575" s="311"/>
      <c r="AL575" s="311"/>
      <c r="AM575" s="311"/>
      <c r="AN575" s="311"/>
      <c r="AO575" s="311"/>
      <c r="AP575" s="311"/>
      <c r="AQ575" s="311"/>
      <c r="AR575" s="311"/>
    </row>
    <row r="576" spans="1:44" s="475" customFormat="1" ht="12" customHeight="1">
      <c r="A576" s="311"/>
      <c r="P576" s="387"/>
      <c r="X576" s="311"/>
      <c r="Y576" s="311"/>
      <c r="Z576" s="311"/>
      <c r="AA576" s="311"/>
      <c r="AB576" s="311"/>
      <c r="AC576" s="311"/>
      <c r="AD576" s="311"/>
      <c r="AE576" s="311"/>
      <c r="AF576" s="311"/>
      <c r="AG576" s="311"/>
      <c r="AH576" s="311"/>
      <c r="AI576" s="311"/>
      <c r="AJ576" s="311"/>
      <c r="AK576" s="311"/>
      <c r="AL576" s="311"/>
      <c r="AM576" s="311"/>
      <c r="AN576" s="311"/>
      <c r="AO576" s="311"/>
      <c r="AP576" s="311"/>
      <c r="AQ576" s="311"/>
      <c r="AR576" s="311"/>
    </row>
    <row r="577" spans="1:44" s="475" customFormat="1" ht="12" customHeight="1">
      <c r="A577" s="311"/>
      <c r="P577" s="387"/>
      <c r="X577" s="311"/>
      <c r="Y577" s="311"/>
      <c r="Z577" s="311"/>
      <c r="AA577" s="311"/>
      <c r="AB577" s="311"/>
      <c r="AC577" s="311"/>
      <c r="AD577" s="311"/>
      <c r="AE577" s="311"/>
      <c r="AF577" s="311"/>
      <c r="AG577" s="311"/>
      <c r="AH577" s="311"/>
      <c r="AI577" s="311"/>
      <c r="AJ577" s="311"/>
      <c r="AK577" s="311"/>
      <c r="AL577" s="311"/>
      <c r="AM577" s="311"/>
      <c r="AN577" s="311"/>
      <c r="AO577" s="311"/>
      <c r="AP577" s="311"/>
      <c r="AQ577" s="311"/>
      <c r="AR577" s="311"/>
    </row>
    <row r="578" spans="1:44" s="475" customFormat="1" ht="12" customHeight="1">
      <c r="A578" s="311"/>
      <c r="P578" s="3657"/>
      <c r="X578" s="311"/>
      <c r="Y578" s="311"/>
      <c r="Z578" s="311"/>
      <c r="AA578" s="311"/>
      <c r="AB578" s="311"/>
      <c r="AC578" s="311"/>
      <c r="AD578" s="311"/>
      <c r="AE578" s="311"/>
      <c r="AF578" s="311"/>
      <c r="AG578" s="311"/>
      <c r="AH578" s="311"/>
      <c r="AI578" s="311"/>
      <c r="AJ578" s="311"/>
      <c r="AK578" s="311"/>
      <c r="AL578" s="311"/>
      <c r="AM578" s="311"/>
      <c r="AN578" s="311"/>
      <c r="AO578" s="311"/>
      <c r="AP578" s="311"/>
      <c r="AQ578" s="311"/>
      <c r="AR578" s="311"/>
    </row>
    <row r="579" spans="1:44" s="475" customFormat="1" ht="12" customHeight="1">
      <c r="A579" s="311"/>
      <c r="P579" s="387"/>
      <c r="X579" s="311"/>
      <c r="Y579" s="311"/>
      <c r="Z579" s="311"/>
      <c r="AA579" s="311"/>
      <c r="AB579" s="311"/>
      <c r="AC579" s="311"/>
      <c r="AD579" s="311"/>
      <c r="AE579" s="311"/>
      <c r="AF579" s="311"/>
      <c r="AG579" s="311"/>
      <c r="AH579" s="311"/>
      <c r="AI579" s="311"/>
      <c r="AJ579" s="311"/>
      <c r="AK579" s="311"/>
      <c r="AL579" s="311"/>
      <c r="AM579" s="311"/>
      <c r="AN579" s="311"/>
      <c r="AO579" s="311"/>
      <c r="AP579" s="311"/>
      <c r="AQ579" s="311"/>
      <c r="AR579" s="311"/>
    </row>
    <row r="580" spans="1:44" s="475" customFormat="1" ht="12" customHeight="1">
      <c r="A580" s="311"/>
      <c r="P580" s="387"/>
      <c r="X580" s="311"/>
      <c r="Y580" s="311"/>
      <c r="Z580" s="311"/>
      <c r="AA580" s="311"/>
      <c r="AB580" s="311"/>
      <c r="AC580" s="311"/>
      <c r="AD580" s="311"/>
      <c r="AE580" s="311"/>
      <c r="AF580" s="311"/>
      <c r="AG580" s="311"/>
      <c r="AH580" s="311"/>
      <c r="AI580" s="311"/>
      <c r="AJ580" s="311"/>
      <c r="AK580" s="311"/>
      <c r="AL580" s="311"/>
      <c r="AM580" s="311"/>
      <c r="AN580" s="311"/>
      <c r="AO580" s="311"/>
      <c r="AP580" s="311"/>
      <c r="AQ580" s="311"/>
      <c r="AR580" s="311"/>
    </row>
    <row r="581" spans="1:44" s="475" customFormat="1" ht="12" customHeight="1">
      <c r="A581" s="311"/>
      <c r="P581" s="3656"/>
      <c r="X581" s="311"/>
      <c r="Y581" s="311"/>
      <c r="Z581" s="311"/>
      <c r="AA581" s="311"/>
      <c r="AB581" s="311"/>
      <c r="AC581" s="311"/>
      <c r="AD581" s="311"/>
      <c r="AE581" s="311"/>
      <c r="AF581" s="311"/>
      <c r="AG581" s="311"/>
      <c r="AH581" s="311"/>
      <c r="AI581" s="311"/>
      <c r="AJ581" s="311"/>
      <c r="AK581" s="311"/>
      <c r="AL581" s="311"/>
      <c r="AM581" s="311"/>
      <c r="AN581" s="311"/>
      <c r="AO581" s="311"/>
      <c r="AP581" s="311"/>
      <c r="AQ581" s="311"/>
      <c r="AR581" s="311"/>
    </row>
    <row r="582" spans="1:44" s="475" customFormat="1" ht="12" customHeight="1">
      <c r="A582" s="311"/>
      <c r="P582" s="387"/>
      <c r="X582" s="311"/>
      <c r="Y582" s="311"/>
      <c r="Z582" s="311"/>
      <c r="AA582" s="311"/>
      <c r="AB582" s="311"/>
      <c r="AC582" s="311"/>
      <c r="AD582" s="311"/>
      <c r="AE582" s="311"/>
      <c r="AF582" s="311"/>
      <c r="AG582" s="311"/>
      <c r="AH582" s="311"/>
      <c r="AI582" s="311"/>
      <c r="AJ582" s="311"/>
      <c r="AK582" s="311"/>
      <c r="AL582" s="311"/>
      <c r="AM582" s="311"/>
      <c r="AN582" s="311"/>
      <c r="AO582" s="311"/>
      <c r="AP582" s="311"/>
      <c r="AQ582" s="311"/>
      <c r="AR582" s="311"/>
    </row>
    <row r="583" spans="1:44" s="475" customFormat="1" ht="12" customHeight="1">
      <c r="A583" s="311"/>
      <c r="P583" s="387"/>
      <c r="X583" s="311"/>
      <c r="Y583" s="311"/>
      <c r="Z583" s="311"/>
      <c r="AA583" s="311"/>
      <c r="AB583" s="311"/>
      <c r="AC583" s="311"/>
      <c r="AD583" s="311"/>
      <c r="AE583" s="311"/>
      <c r="AF583" s="311"/>
      <c r="AG583" s="311"/>
      <c r="AH583" s="311"/>
      <c r="AI583" s="311"/>
      <c r="AJ583" s="311"/>
      <c r="AK583" s="311"/>
      <c r="AL583" s="311"/>
      <c r="AM583" s="311"/>
      <c r="AN583" s="311"/>
      <c r="AO583" s="311"/>
      <c r="AP583" s="311"/>
      <c r="AQ583" s="311"/>
      <c r="AR583" s="311"/>
    </row>
    <row r="584" spans="1:44" s="475" customFormat="1" ht="12" customHeight="1">
      <c r="A584" s="311"/>
      <c r="P584" s="387"/>
      <c r="X584" s="311"/>
      <c r="Y584" s="311"/>
      <c r="Z584" s="311"/>
      <c r="AA584" s="311"/>
      <c r="AB584" s="311"/>
      <c r="AC584" s="311"/>
      <c r="AD584" s="311"/>
      <c r="AE584" s="311"/>
      <c r="AF584" s="311"/>
      <c r="AG584" s="311"/>
      <c r="AH584" s="311"/>
      <c r="AI584" s="311"/>
      <c r="AJ584" s="311"/>
      <c r="AK584" s="311"/>
      <c r="AL584" s="311"/>
      <c r="AM584" s="311"/>
      <c r="AN584" s="311"/>
      <c r="AO584" s="311"/>
      <c r="AP584" s="311"/>
      <c r="AQ584" s="311"/>
      <c r="AR584" s="311"/>
    </row>
    <row r="585" spans="1:44" s="475" customFormat="1" ht="12" customHeight="1">
      <c r="A585" s="311"/>
      <c r="P585" s="387"/>
      <c r="X585" s="311"/>
      <c r="Y585" s="311"/>
      <c r="Z585" s="311"/>
      <c r="AA585" s="311"/>
      <c r="AB585" s="311"/>
      <c r="AC585" s="311"/>
      <c r="AD585" s="311"/>
      <c r="AE585" s="311"/>
      <c r="AF585" s="311"/>
      <c r="AG585" s="311"/>
      <c r="AH585" s="311"/>
      <c r="AI585" s="311"/>
      <c r="AJ585" s="311"/>
      <c r="AK585" s="311"/>
      <c r="AL585" s="311"/>
      <c r="AM585" s="311"/>
      <c r="AN585" s="311"/>
      <c r="AO585" s="311"/>
      <c r="AP585" s="311"/>
      <c r="AQ585" s="311"/>
      <c r="AR585" s="311"/>
    </row>
    <row r="586" spans="1:44" s="475" customFormat="1" ht="12" customHeight="1">
      <c r="A586" s="311"/>
      <c r="P586" s="387"/>
      <c r="X586" s="311"/>
      <c r="Y586" s="311"/>
      <c r="Z586" s="311"/>
      <c r="AA586" s="311"/>
      <c r="AB586" s="311"/>
      <c r="AC586" s="311"/>
      <c r="AD586" s="311"/>
      <c r="AE586" s="311"/>
      <c r="AF586" s="311"/>
      <c r="AG586" s="311"/>
      <c r="AH586" s="311"/>
      <c r="AI586" s="311"/>
      <c r="AJ586" s="311"/>
      <c r="AK586" s="311"/>
      <c r="AL586" s="311"/>
      <c r="AM586" s="311"/>
      <c r="AN586" s="311"/>
      <c r="AO586" s="311"/>
      <c r="AP586" s="311"/>
      <c r="AQ586" s="311"/>
      <c r="AR586" s="311"/>
    </row>
    <row r="587" spans="1:44" s="475" customFormat="1" ht="12" customHeight="1">
      <c r="A587" s="311"/>
      <c r="P587" s="387"/>
      <c r="X587" s="311"/>
      <c r="Y587" s="311"/>
      <c r="Z587" s="311"/>
      <c r="AA587" s="311"/>
      <c r="AB587" s="311"/>
      <c r="AC587" s="311"/>
      <c r="AD587" s="311"/>
      <c r="AE587" s="311"/>
      <c r="AF587" s="311"/>
      <c r="AG587" s="311"/>
      <c r="AH587" s="311"/>
      <c r="AI587" s="311"/>
      <c r="AJ587" s="311"/>
      <c r="AK587" s="311"/>
      <c r="AL587" s="311"/>
      <c r="AM587" s="311"/>
      <c r="AN587" s="311"/>
      <c r="AO587" s="311"/>
      <c r="AP587" s="311"/>
      <c r="AQ587" s="311"/>
      <c r="AR587" s="311"/>
    </row>
    <row r="588" spans="1:44" s="475" customFormat="1" ht="12" customHeight="1">
      <c r="A588" s="311"/>
      <c r="P588" s="387"/>
      <c r="X588" s="311"/>
      <c r="Y588" s="311"/>
      <c r="Z588" s="311"/>
      <c r="AA588" s="311"/>
      <c r="AB588" s="311"/>
      <c r="AC588" s="311"/>
      <c r="AD588" s="311"/>
      <c r="AE588" s="311"/>
      <c r="AF588" s="311"/>
      <c r="AG588" s="311"/>
      <c r="AH588" s="311"/>
      <c r="AI588" s="311"/>
      <c r="AJ588" s="311"/>
      <c r="AK588" s="311"/>
      <c r="AL588" s="311"/>
      <c r="AM588" s="311"/>
      <c r="AN588" s="311"/>
      <c r="AO588" s="311"/>
      <c r="AP588" s="311"/>
      <c r="AQ588" s="311"/>
      <c r="AR588" s="311"/>
    </row>
    <row r="589" spans="1:44" s="475" customFormat="1" ht="12" customHeight="1">
      <c r="A589" s="311"/>
      <c r="P589" s="387"/>
      <c r="X589" s="311"/>
      <c r="Y589" s="311"/>
      <c r="Z589" s="311"/>
      <c r="AA589" s="311"/>
      <c r="AB589" s="311"/>
      <c r="AC589" s="311"/>
      <c r="AD589" s="311"/>
      <c r="AE589" s="311"/>
      <c r="AF589" s="311"/>
      <c r="AG589" s="311"/>
      <c r="AH589" s="311"/>
      <c r="AI589" s="311"/>
      <c r="AJ589" s="311"/>
      <c r="AK589" s="311"/>
      <c r="AL589" s="311"/>
      <c r="AM589" s="311"/>
      <c r="AN589" s="311"/>
      <c r="AO589" s="311"/>
      <c r="AP589" s="311"/>
      <c r="AQ589" s="311"/>
      <c r="AR589" s="311"/>
    </row>
    <row r="590" spans="1:44" s="475" customFormat="1" ht="12" customHeight="1">
      <c r="A590" s="311"/>
      <c r="P590" s="387"/>
      <c r="X590" s="311"/>
      <c r="Y590" s="311"/>
      <c r="Z590" s="311"/>
      <c r="AA590" s="311"/>
      <c r="AB590" s="311"/>
      <c r="AC590" s="311"/>
      <c r="AD590" s="311"/>
      <c r="AE590" s="311"/>
      <c r="AF590" s="311"/>
      <c r="AG590" s="311"/>
      <c r="AH590" s="311"/>
      <c r="AI590" s="311"/>
      <c r="AJ590" s="311"/>
      <c r="AK590" s="311"/>
      <c r="AL590" s="311"/>
      <c r="AM590" s="311"/>
      <c r="AN590" s="311"/>
      <c r="AO590" s="311"/>
      <c r="AP590" s="311"/>
      <c r="AQ590" s="311"/>
      <c r="AR590" s="311"/>
    </row>
    <row r="591" spans="1:44" s="475" customFormat="1" ht="12" customHeight="1">
      <c r="A591" s="311"/>
      <c r="P591" s="3657"/>
      <c r="X591" s="311"/>
      <c r="Y591" s="311"/>
      <c r="Z591" s="311"/>
      <c r="AA591" s="311"/>
      <c r="AB591" s="311"/>
      <c r="AC591" s="311"/>
      <c r="AD591" s="311"/>
      <c r="AE591" s="311"/>
      <c r="AF591" s="311"/>
      <c r="AG591" s="311"/>
      <c r="AH591" s="311"/>
      <c r="AI591" s="311"/>
      <c r="AJ591" s="311"/>
      <c r="AK591" s="311"/>
      <c r="AL591" s="311"/>
      <c r="AM591" s="311"/>
      <c r="AN591" s="311"/>
      <c r="AO591" s="311"/>
      <c r="AP591" s="311"/>
      <c r="AQ591" s="311"/>
      <c r="AR591" s="311"/>
    </row>
    <row r="592" spans="1:44" s="475" customFormat="1" ht="12" customHeight="1">
      <c r="A592" s="311"/>
      <c r="P592" s="3657"/>
      <c r="X592" s="311"/>
      <c r="Y592" s="311"/>
      <c r="Z592" s="311"/>
      <c r="AA592" s="311"/>
      <c r="AB592" s="311"/>
      <c r="AC592" s="311"/>
      <c r="AD592" s="311"/>
      <c r="AE592" s="311"/>
      <c r="AF592" s="311"/>
      <c r="AG592" s="311"/>
      <c r="AH592" s="311"/>
      <c r="AI592" s="311"/>
      <c r="AJ592" s="311"/>
      <c r="AK592" s="311"/>
      <c r="AL592" s="311"/>
      <c r="AM592" s="311"/>
      <c r="AN592" s="311"/>
      <c r="AO592" s="311"/>
      <c r="AP592" s="311"/>
      <c r="AQ592" s="311"/>
      <c r="AR592" s="311"/>
    </row>
    <row r="593" spans="1:44" s="475" customFormat="1" ht="12" customHeight="1">
      <c r="A593" s="311"/>
      <c r="P593" s="3657"/>
      <c r="X593" s="311"/>
      <c r="Y593" s="311"/>
      <c r="Z593" s="311"/>
      <c r="AA593" s="311"/>
      <c r="AB593" s="311"/>
      <c r="AC593" s="311"/>
      <c r="AD593" s="311"/>
      <c r="AE593" s="311"/>
      <c r="AF593" s="311"/>
      <c r="AG593" s="311"/>
      <c r="AH593" s="311"/>
      <c r="AI593" s="311"/>
      <c r="AJ593" s="311"/>
      <c r="AK593" s="311"/>
      <c r="AL593" s="311"/>
      <c r="AM593" s="311"/>
      <c r="AN593" s="311"/>
      <c r="AO593" s="311"/>
      <c r="AP593" s="311"/>
      <c r="AQ593" s="311"/>
      <c r="AR593" s="311"/>
    </row>
    <row r="594" spans="1:44" s="475" customFormat="1" ht="12" customHeight="1">
      <c r="A594" s="311"/>
      <c r="P594" s="387"/>
      <c r="X594" s="311"/>
      <c r="Y594" s="311"/>
      <c r="Z594" s="311"/>
      <c r="AA594" s="311"/>
      <c r="AB594" s="311"/>
      <c r="AC594" s="311"/>
      <c r="AD594" s="311"/>
      <c r="AE594" s="311"/>
      <c r="AF594" s="311"/>
      <c r="AG594" s="311"/>
      <c r="AH594" s="311"/>
      <c r="AI594" s="311"/>
      <c r="AJ594" s="311"/>
      <c r="AK594" s="311"/>
      <c r="AL594" s="311"/>
      <c r="AM594" s="311"/>
      <c r="AN594" s="311"/>
      <c r="AO594" s="311"/>
      <c r="AP594" s="311"/>
      <c r="AQ594" s="311"/>
      <c r="AR594" s="311"/>
    </row>
    <row r="595" spans="1:44" s="475" customFormat="1" ht="12" customHeight="1">
      <c r="A595" s="311"/>
      <c r="P595" s="387"/>
      <c r="X595" s="311"/>
      <c r="Y595" s="311"/>
      <c r="Z595" s="311"/>
      <c r="AA595" s="311"/>
      <c r="AB595" s="311"/>
      <c r="AC595" s="311"/>
      <c r="AD595" s="311"/>
      <c r="AE595" s="311"/>
      <c r="AF595" s="311"/>
      <c r="AG595" s="311"/>
      <c r="AH595" s="311"/>
      <c r="AI595" s="311"/>
      <c r="AJ595" s="311"/>
      <c r="AK595" s="311"/>
      <c r="AL595" s="311"/>
      <c r="AM595" s="311"/>
      <c r="AN595" s="311"/>
      <c r="AO595" s="311"/>
      <c r="AP595" s="311"/>
      <c r="AQ595" s="311"/>
      <c r="AR595" s="311"/>
    </row>
    <row r="596" spans="1:44" s="475" customFormat="1" ht="12" customHeight="1">
      <c r="A596" s="311"/>
      <c r="P596" s="387"/>
      <c r="X596" s="311"/>
      <c r="Y596" s="311"/>
      <c r="Z596" s="311"/>
      <c r="AA596" s="311"/>
      <c r="AB596" s="311"/>
      <c r="AC596" s="311"/>
      <c r="AD596" s="311"/>
      <c r="AE596" s="311"/>
      <c r="AF596" s="311"/>
      <c r="AG596" s="311"/>
      <c r="AH596" s="311"/>
      <c r="AI596" s="311"/>
      <c r="AJ596" s="311"/>
      <c r="AK596" s="311"/>
      <c r="AL596" s="311"/>
      <c r="AM596" s="311"/>
      <c r="AN596" s="311"/>
      <c r="AO596" s="311"/>
      <c r="AP596" s="311"/>
      <c r="AQ596" s="311"/>
      <c r="AR596" s="311"/>
    </row>
    <row r="597" spans="1:44" s="475" customFormat="1" ht="12" customHeight="1">
      <c r="A597" s="311"/>
      <c r="P597" s="387"/>
      <c r="X597" s="311"/>
      <c r="Y597" s="311"/>
      <c r="Z597" s="311"/>
      <c r="AA597" s="311"/>
      <c r="AB597" s="311"/>
      <c r="AC597" s="311"/>
      <c r="AD597" s="311"/>
      <c r="AE597" s="311"/>
      <c r="AF597" s="311"/>
      <c r="AG597" s="311"/>
      <c r="AH597" s="311"/>
      <c r="AI597" s="311"/>
      <c r="AJ597" s="311"/>
      <c r="AK597" s="311"/>
      <c r="AL597" s="311"/>
      <c r="AM597" s="311"/>
      <c r="AN597" s="311"/>
      <c r="AO597" s="311"/>
      <c r="AP597" s="311"/>
      <c r="AQ597" s="311"/>
      <c r="AR597" s="311"/>
    </row>
    <row r="598" spans="1:44" s="475" customFormat="1" ht="12" customHeight="1">
      <c r="A598" s="311"/>
      <c r="P598" s="387"/>
      <c r="X598" s="311"/>
      <c r="Y598" s="311"/>
      <c r="Z598" s="311"/>
      <c r="AA598" s="311"/>
      <c r="AB598" s="311"/>
      <c r="AC598" s="311"/>
      <c r="AD598" s="311"/>
      <c r="AE598" s="311"/>
      <c r="AF598" s="311"/>
      <c r="AG598" s="311"/>
      <c r="AH598" s="311"/>
      <c r="AI598" s="311"/>
      <c r="AJ598" s="311"/>
      <c r="AK598" s="311"/>
      <c r="AL598" s="311"/>
      <c r="AM598" s="311"/>
      <c r="AN598" s="311"/>
      <c r="AO598" s="311"/>
      <c r="AP598" s="311"/>
      <c r="AQ598" s="311"/>
      <c r="AR598" s="311"/>
    </row>
    <row r="599" spans="1:44" s="475" customFormat="1" ht="12" customHeight="1">
      <c r="A599" s="311"/>
      <c r="P599" s="387"/>
      <c r="X599" s="311"/>
      <c r="Y599" s="311"/>
      <c r="Z599" s="311"/>
      <c r="AA599" s="311"/>
      <c r="AB599" s="311"/>
      <c r="AC599" s="311"/>
      <c r="AD599" s="311"/>
      <c r="AE599" s="311"/>
      <c r="AF599" s="311"/>
      <c r="AG599" s="311"/>
      <c r="AH599" s="311"/>
      <c r="AI599" s="311"/>
      <c r="AJ599" s="311"/>
      <c r="AK599" s="311"/>
      <c r="AL599" s="311"/>
      <c r="AM599" s="311"/>
      <c r="AN599" s="311"/>
      <c r="AO599" s="311"/>
      <c r="AP599" s="311"/>
      <c r="AQ599" s="311"/>
      <c r="AR599" s="311"/>
    </row>
    <row r="600" spans="1:44" s="475" customFormat="1" ht="12" customHeight="1">
      <c r="A600" s="311"/>
      <c r="P600" s="387"/>
      <c r="X600" s="311"/>
      <c r="Y600" s="311"/>
      <c r="Z600" s="311"/>
      <c r="AA600" s="311"/>
      <c r="AB600" s="311"/>
      <c r="AC600" s="311"/>
      <c r="AD600" s="311"/>
      <c r="AE600" s="311"/>
      <c r="AF600" s="311"/>
      <c r="AG600" s="311"/>
      <c r="AH600" s="311"/>
      <c r="AI600" s="311"/>
      <c r="AJ600" s="311"/>
      <c r="AK600" s="311"/>
      <c r="AL600" s="311"/>
      <c r="AM600" s="311"/>
      <c r="AN600" s="311"/>
      <c r="AO600" s="311"/>
      <c r="AP600" s="311"/>
      <c r="AQ600" s="311"/>
      <c r="AR600" s="311"/>
    </row>
    <row r="601" spans="1:44" s="475" customFormat="1" ht="12" customHeight="1">
      <c r="A601" s="311"/>
      <c r="P601" s="387"/>
      <c r="X601" s="311"/>
      <c r="Y601" s="311"/>
      <c r="Z601" s="311"/>
      <c r="AA601" s="311"/>
      <c r="AB601" s="311"/>
      <c r="AC601" s="311"/>
      <c r="AD601" s="311"/>
      <c r="AE601" s="311"/>
      <c r="AF601" s="311"/>
      <c r="AG601" s="311"/>
      <c r="AH601" s="311"/>
      <c r="AI601" s="311"/>
      <c r="AJ601" s="311"/>
      <c r="AK601" s="311"/>
      <c r="AL601" s="311"/>
      <c r="AM601" s="311"/>
      <c r="AN601" s="311"/>
      <c r="AO601" s="311"/>
      <c r="AP601" s="311"/>
      <c r="AQ601" s="311"/>
      <c r="AR601" s="311"/>
    </row>
    <row r="602" spans="1:44" s="475" customFormat="1" ht="12" customHeight="1">
      <c r="A602" s="311"/>
      <c r="P602" s="387"/>
      <c r="X602" s="311"/>
      <c r="Y602" s="311"/>
      <c r="Z602" s="311"/>
      <c r="AA602" s="311"/>
      <c r="AB602" s="311"/>
      <c r="AC602" s="311"/>
      <c r="AD602" s="311"/>
      <c r="AE602" s="311"/>
      <c r="AF602" s="311"/>
      <c r="AG602" s="311"/>
      <c r="AH602" s="311"/>
      <c r="AI602" s="311"/>
      <c r="AJ602" s="311"/>
      <c r="AK602" s="311"/>
      <c r="AL602" s="311"/>
      <c r="AM602" s="311"/>
      <c r="AN602" s="311"/>
      <c r="AO602" s="311"/>
      <c r="AP602" s="311"/>
      <c r="AQ602" s="311"/>
      <c r="AR602" s="311"/>
    </row>
    <row r="603" spans="1:44" s="475" customFormat="1" ht="12" customHeight="1">
      <c r="A603" s="311"/>
      <c r="P603" s="387"/>
      <c r="X603" s="311"/>
      <c r="Y603" s="311"/>
      <c r="Z603" s="311"/>
      <c r="AA603" s="311"/>
      <c r="AB603" s="311"/>
      <c r="AC603" s="311"/>
      <c r="AD603" s="311"/>
      <c r="AE603" s="311"/>
      <c r="AF603" s="311"/>
      <c r="AG603" s="311"/>
      <c r="AH603" s="311"/>
      <c r="AI603" s="311"/>
      <c r="AJ603" s="311"/>
      <c r="AK603" s="311"/>
      <c r="AL603" s="311"/>
      <c r="AM603" s="311"/>
      <c r="AN603" s="311"/>
      <c r="AO603" s="311"/>
      <c r="AP603" s="311"/>
      <c r="AQ603" s="311"/>
      <c r="AR603" s="311"/>
    </row>
    <row r="604" spans="1:44" s="475" customFormat="1" ht="12" customHeight="1">
      <c r="A604" s="311"/>
      <c r="P604" s="387"/>
      <c r="X604" s="311"/>
      <c r="Y604" s="311"/>
      <c r="Z604" s="311"/>
      <c r="AA604" s="311"/>
      <c r="AB604" s="311"/>
      <c r="AC604" s="311"/>
      <c r="AD604" s="311"/>
      <c r="AE604" s="311"/>
      <c r="AF604" s="311"/>
      <c r="AG604" s="311"/>
      <c r="AH604" s="311"/>
      <c r="AI604" s="311"/>
      <c r="AJ604" s="311"/>
      <c r="AK604" s="311"/>
      <c r="AL604" s="311"/>
      <c r="AM604" s="311"/>
      <c r="AN604" s="311"/>
      <c r="AO604" s="311"/>
      <c r="AP604" s="311"/>
      <c r="AQ604" s="311"/>
      <c r="AR604" s="311"/>
    </row>
    <row r="605" spans="1:44" s="475" customFormat="1" ht="12" customHeight="1">
      <c r="A605" s="311"/>
      <c r="P605" s="387"/>
      <c r="X605" s="311"/>
      <c r="Y605" s="311"/>
      <c r="Z605" s="311"/>
      <c r="AA605" s="311"/>
      <c r="AB605" s="311"/>
      <c r="AC605" s="311"/>
      <c r="AD605" s="311"/>
      <c r="AE605" s="311"/>
      <c r="AF605" s="311"/>
      <c r="AG605" s="311"/>
      <c r="AH605" s="311"/>
      <c r="AI605" s="311"/>
      <c r="AJ605" s="311"/>
      <c r="AK605" s="311"/>
      <c r="AL605" s="311"/>
      <c r="AM605" s="311"/>
      <c r="AN605" s="311"/>
      <c r="AO605" s="311"/>
      <c r="AP605" s="311"/>
      <c r="AQ605" s="311"/>
      <c r="AR605" s="311"/>
    </row>
    <row r="606" spans="1:44" s="475" customFormat="1" ht="12" customHeight="1">
      <c r="A606" s="311"/>
      <c r="P606" s="3656"/>
      <c r="X606" s="311"/>
      <c r="Y606" s="311"/>
      <c r="Z606" s="311"/>
      <c r="AA606" s="311"/>
      <c r="AB606" s="311"/>
      <c r="AC606" s="311"/>
      <c r="AD606" s="311"/>
      <c r="AE606" s="311"/>
      <c r="AF606" s="311"/>
      <c r="AG606" s="311"/>
      <c r="AH606" s="311"/>
      <c r="AI606" s="311"/>
      <c r="AJ606" s="311"/>
      <c r="AK606" s="311"/>
      <c r="AL606" s="311"/>
      <c r="AM606" s="311"/>
      <c r="AN606" s="311"/>
      <c r="AO606" s="311"/>
      <c r="AP606" s="311"/>
      <c r="AQ606" s="311"/>
      <c r="AR606" s="311"/>
    </row>
    <row r="607" spans="1:44" s="475" customFormat="1" ht="12" customHeight="1">
      <c r="A607" s="311"/>
      <c r="P607" s="387"/>
      <c r="X607" s="311"/>
      <c r="Y607" s="311"/>
      <c r="Z607" s="311"/>
      <c r="AA607" s="311"/>
      <c r="AB607" s="311"/>
      <c r="AC607" s="311"/>
      <c r="AD607" s="311"/>
      <c r="AE607" s="311"/>
      <c r="AF607" s="311"/>
      <c r="AG607" s="311"/>
      <c r="AH607" s="311"/>
      <c r="AI607" s="311"/>
      <c r="AJ607" s="311"/>
      <c r="AK607" s="311"/>
      <c r="AL607" s="311"/>
      <c r="AM607" s="311"/>
      <c r="AN607" s="311"/>
      <c r="AO607" s="311"/>
      <c r="AP607" s="311"/>
      <c r="AQ607" s="311"/>
      <c r="AR607" s="311"/>
    </row>
    <row r="608" spans="1:44" s="475" customFormat="1" ht="12" customHeight="1">
      <c r="A608" s="311"/>
      <c r="P608" s="387"/>
      <c r="X608" s="311"/>
      <c r="Y608" s="311"/>
      <c r="Z608" s="311"/>
      <c r="AA608" s="311"/>
      <c r="AB608" s="311"/>
      <c r="AC608" s="311"/>
      <c r="AD608" s="311"/>
      <c r="AE608" s="311"/>
      <c r="AF608" s="311"/>
      <c r="AG608" s="311"/>
      <c r="AH608" s="311"/>
      <c r="AI608" s="311"/>
      <c r="AJ608" s="311"/>
      <c r="AK608" s="311"/>
      <c r="AL608" s="311"/>
      <c r="AM608" s="311"/>
      <c r="AN608" s="311"/>
      <c r="AO608" s="311"/>
      <c r="AP608" s="311"/>
      <c r="AQ608" s="311"/>
      <c r="AR608" s="311"/>
    </row>
    <row r="609" spans="1:44" s="475" customFormat="1" ht="12" customHeight="1">
      <c r="A609" s="311"/>
      <c r="P609" s="387"/>
      <c r="X609" s="311"/>
      <c r="Y609" s="311"/>
      <c r="Z609" s="311"/>
      <c r="AA609" s="311"/>
      <c r="AB609" s="311"/>
      <c r="AC609" s="311"/>
      <c r="AD609" s="311"/>
      <c r="AE609" s="311"/>
      <c r="AF609" s="311"/>
      <c r="AG609" s="311"/>
      <c r="AH609" s="311"/>
      <c r="AI609" s="311"/>
      <c r="AJ609" s="311"/>
      <c r="AK609" s="311"/>
      <c r="AL609" s="311"/>
      <c r="AM609" s="311"/>
      <c r="AN609" s="311"/>
      <c r="AO609" s="311"/>
      <c r="AP609" s="311"/>
      <c r="AQ609" s="311"/>
      <c r="AR609" s="311"/>
    </row>
    <row r="610" spans="1:44" s="475" customFormat="1" ht="12" customHeight="1">
      <c r="A610" s="311"/>
      <c r="P610" s="387"/>
      <c r="X610" s="311"/>
      <c r="Y610" s="311"/>
      <c r="Z610" s="311"/>
      <c r="AA610" s="311"/>
      <c r="AB610" s="311"/>
      <c r="AC610" s="311"/>
      <c r="AD610" s="311"/>
      <c r="AE610" s="311"/>
      <c r="AF610" s="311"/>
      <c r="AG610" s="311"/>
      <c r="AH610" s="311"/>
      <c r="AI610" s="311"/>
      <c r="AJ610" s="311"/>
      <c r="AK610" s="311"/>
      <c r="AL610" s="311"/>
      <c r="AM610" s="311"/>
      <c r="AN610" s="311"/>
      <c r="AO610" s="311"/>
      <c r="AP610" s="311"/>
      <c r="AQ610" s="311"/>
      <c r="AR610" s="311"/>
    </row>
    <row r="611" spans="1:44" s="475" customFormat="1" ht="12" customHeight="1">
      <c r="A611" s="311"/>
      <c r="P611" s="3657"/>
      <c r="X611" s="311"/>
      <c r="Y611" s="311"/>
      <c r="Z611" s="311"/>
      <c r="AA611" s="311"/>
      <c r="AB611" s="311"/>
      <c r="AC611" s="311"/>
      <c r="AD611" s="311"/>
      <c r="AE611" s="311"/>
      <c r="AF611" s="311"/>
      <c r="AG611" s="311"/>
      <c r="AH611" s="311"/>
      <c r="AI611" s="311"/>
      <c r="AJ611" s="311"/>
      <c r="AK611" s="311"/>
      <c r="AL611" s="311"/>
      <c r="AM611" s="311"/>
      <c r="AN611" s="311"/>
      <c r="AO611" s="311"/>
      <c r="AP611" s="311"/>
      <c r="AQ611" s="311"/>
      <c r="AR611" s="311"/>
    </row>
    <row r="612" spans="1:44" s="475" customFormat="1" ht="12" customHeight="1">
      <c r="A612" s="311"/>
      <c r="P612" s="387"/>
      <c r="X612" s="311"/>
      <c r="Y612" s="311"/>
      <c r="Z612" s="311"/>
      <c r="AA612" s="311"/>
      <c r="AB612" s="311"/>
      <c r="AC612" s="311"/>
      <c r="AD612" s="311"/>
      <c r="AE612" s="311"/>
      <c r="AF612" s="311"/>
      <c r="AG612" s="311"/>
      <c r="AH612" s="311"/>
      <c r="AI612" s="311"/>
      <c r="AJ612" s="311"/>
      <c r="AK612" s="311"/>
      <c r="AL612" s="311"/>
      <c r="AM612" s="311"/>
      <c r="AN612" s="311"/>
      <c r="AO612" s="311"/>
      <c r="AP612" s="311"/>
      <c r="AQ612" s="311"/>
      <c r="AR612" s="311"/>
    </row>
    <row r="613" spans="1:44" s="475" customFormat="1" ht="12" customHeight="1">
      <c r="A613" s="311"/>
      <c r="P613" s="387"/>
      <c r="X613" s="311"/>
      <c r="Y613" s="311"/>
      <c r="Z613" s="311"/>
      <c r="AA613" s="311"/>
      <c r="AB613" s="311"/>
      <c r="AC613" s="311"/>
      <c r="AD613" s="311"/>
      <c r="AE613" s="311"/>
      <c r="AF613" s="311"/>
      <c r="AG613" s="311"/>
      <c r="AH613" s="311"/>
      <c r="AI613" s="311"/>
      <c r="AJ613" s="311"/>
      <c r="AK613" s="311"/>
      <c r="AL613" s="311"/>
      <c r="AM613" s="311"/>
      <c r="AN613" s="311"/>
      <c r="AO613" s="311"/>
      <c r="AP613" s="311"/>
      <c r="AQ613" s="311"/>
      <c r="AR613" s="311"/>
    </row>
    <row r="614" spans="1:44" s="475" customFormat="1" ht="12" customHeight="1">
      <c r="A614" s="311"/>
      <c r="P614" s="387"/>
      <c r="X614" s="311"/>
      <c r="Y614" s="311"/>
      <c r="Z614" s="311"/>
      <c r="AA614" s="311"/>
      <c r="AB614" s="311"/>
      <c r="AC614" s="311"/>
      <c r="AD614" s="311"/>
      <c r="AE614" s="311"/>
      <c r="AF614" s="311"/>
      <c r="AG614" s="311"/>
      <c r="AH614" s="311"/>
      <c r="AI614" s="311"/>
      <c r="AJ614" s="311"/>
      <c r="AK614" s="311"/>
      <c r="AL614" s="311"/>
      <c r="AM614" s="311"/>
      <c r="AN614" s="311"/>
      <c r="AO614" s="311"/>
      <c r="AP614" s="311"/>
      <c r="AQ614" s="311"/>
      <c r="AR614" s="311"/>
    </row>
    <row r="615" spans="1:44" s="475" customFormat="1" ht="12" customHeight="1">
      <c r="A615" s="311"/>
      <c r="P615" s="387"/>
      <c r="X615" s="311"/>
      <c r="Y615" s="311"/>
      <c r="Z615" s="311"/>
      <c r="AA615" s="311"/>
      <c r="AB615" s="311"/>
      <c r="AC615" s="311"/>
      <c r="AD615" s="311"/>
      <c r="AE615" s="311"/>
      <c r="AF615" s="311"/>
      <c r="AG615" s="311"/>
      <c r="AH615" s="311"/>
      <c r="AI615" s="311"/>
      <c r="AJ615" s="311"/>
      <c r="AK615" s="311"/>
      <c r="AL615" s="311"/>
      <c r="AM615" s="311"/>
      <c r="AN615" s="311"/>
      <c r="AO615" s="311"/>
      <c r="AP615" s="311"/>
      <c r="AQ615" s="311"/>
      <c r="AR615" s="311"/>
    </row>
    <row r="616" spans="1:44" s="475" customFormat="1" ht="12" customHeight="1">
      <c r="A616" s="311"/>
      <c r="P616" s="387"/>
      <c r="X616" s="311"/>
      <c r="Y616" s="311"/>
      <c r="Z616" s="311"/>
      <c r="AA616" s="311"/>
      <c r="AB616" s="311"/>
      <c r="AC616" s="311"/>
      <c r="AD616" s="311"/>
      <c r="AE616" s="311"/>
      <c r="AF616" s="311"/>
      <c r="AG616" s="311"/>
      <c r="AH616" s="311"/>
      <c r="AI616" s="311"/>
      <c r="AJ616" s="311"/>
      <c r="AK616" s="311"/>
      <c r="AL616" s="311"/>
      <c r="AM616" s="311"/>
      <c r="AN616" s="311"/>
      <c r="AO616" s="311"/>
      <c r="AP616" s="311"/>
      <c r="AQ616" s="311"/>
      <c r="AR616" s="311"/>
    </row>
    <row r="617" spans="1:44" s="475" customFormat="1" ht="12" customHeight="1">
      <c r="A617" s="311"/>
      <c r="P617" s="387"/>
      <c r="X617" s="311"/>
      <c r="Y617" s="311"/>
      <c r="Z617" s="311"/>
      <c r="AA617" s="311"/>
      <c r="AB617" s="311"/>
      <c r="AC617" s="311"/>
      <c r="AD617" s="311"/>
      <c r="AE617" s="311"/>
      <c r="AF617" s="311"/>
      <c r="AG617" s="311"/>
      <c r="AH617" s="311"/>
      <c r="AI617" s="311"/>
      <c r="AJ617" s="311"/>
      <c r="AK617" s="311"/>
      <c r="AL617" s="311"/>
      <c r="AM617" s="311"/>
      <c r="AN617" s="311"/>
      <c r="AO617" s="311"/>
      <c r="AP617" s="311"/>
      <c r="AQ617" s="311"/>
      <c r="AR617" s="311"/>
    </row>
    <row r="618" spans="1:44" s="475" customFormat="1" ht="12" customHeight="1">
      <c r="A618" s="311"/>
      <c r="P618" s="387"/>
      <c r="X618" s="311"/>
      <c r="Y618" s="311"/>
      <c r="Z618" s="311"/>
      <c r="AA618" s="311"/>
      <c r="AB618" s="311"/>
      <c r="AC618" s="311"/>
      <c r="AD618" s="311"/>
      <c r="AE618" s="311"/>
      <c r="AF618" s="311"/>
      <c r="AG618" s="311"/>
      <c r="AH618" s="311"/>
      <c r="AI618" s="311"/>
      <c r="AJ618" s="311"/>
      <c r="AK618" s="311"/>
      <c r="AL618" s="311"/>
      <c r="AM618" s="311"/>
      <c r="AN618" s="311"/>
      <c r="AO618" s="311"/>
      <c r="AP618" s="311"/>
      <c r="AQ618" s="311"/>
      <c r="AR618" s="311"/>
    </row>
    <row r="619" spans="1:44" s="475" customFormat="1" ht="12" customHeight="1">
      <c r="A619" s="311"/>
      <c r="P619" s="387"/>
      <c r="X619" s="311"/>
      <c r="Y619" s="311"/>
      <c r="Z619" s="311"/>
      <c r="AA619" s="311"/>
      <c r="AB619" s="311"/>
      <c r="AC619" s="311"/>
      <c r="AD619" s="311"/>
      <c r="AE619" s="311"/>
      <c r="AF619" s="311"/>
      <c r="AG619" s="311"/>
      <c r="AH619" s="311"/>
      <c r="AI619" s="311"/>
      <c r="AJ619" s="311"/>
      <c r="AK619" s="311"/>
      <c r="AL619" s="311"/>
      <c r="AM619" s="311"/>
      <c r="AN619" s="311"/>
      <c r="AO619" s="311"/>
      <c r="AP619" s="311"/>
      <c r="AQ619" s="311"/>
      <c r="AR619" s="311"/>
    </row>
    <row r="620" spans="1:44" s="475" customFormat="1" ht="12" customHeight="1">
      <c r="A620" s="311"/>
      <c r="P620" s="387"/>
      <c r="R620" s="3655" t="s">
        <v>92</v>
      </c>
      <c r="S620" s="3655" t="s">
        <v>94</v>
      </c>
      <c r="T620" s="3655" t="s">
        <v>93</v>
      </c>
      <c r="X620" s="311"/>
      <c r="Y620" s="311"/>
      <c r="Z620" s="311"/>
      <c r="AA620" s="311"/>
      <c r="AB620" s="311"/>
      <c r="AC620" s="311"/>
      <c r="AD620" s="311"/>
      <c r="AE620" s="311"/>
      <c r="AF620" s="311"/>
      <c r="AG620" s="311"/>
      <c r="AH620" s="311"/>
      <c r="AI620" s="311"/>
      <c r="AJ620" s="311"/>
      <c r="AK620" s="311"/>
      <c r="AL620" s="311"/>
      <c r="AM620" s="311"/>
      <c r="AN620" s="311"/>
      <c r="AO620" s="311"/>
      <c r="AP620" s="311"/>
      <c r="AQ620" s="311"/>
      <c r="AR620" s="311"/>
    </row>
    <row r="621" spans="1:44" s="475" customFormat="1" ht="12" customHeight="1">
      <c r="A621" s="311"/>
      <c r="P621" s="387"/>
      <c r="R621" s="3655" t="s">
        <v>2495</v>
      </c>
      <c r="S621" s="3655" t="s">
        <v>610</v>
      </c>
      <c r="T621" s="3658" t="s">
        <v>2091</v>
      </c>
      <c r="X621" s="311"/>
      <c r="Y621" s="311"/>
      <c r="Z621" s="311"/>
      <c r="AA621" s="311"/>
      <c r="AB621" s="311"/>
      <c r="AC621" s="311"/>
      <c r="AD621" s="311"/>
      <c r="AE621" s="311"/>
      <c r="AF621" s="311"/>
      <c r="AG621" s="311"/>
      <c r="AH621" s="311"/>
      <c r="AI621" s="311"/>
      <c r="AJ621" s="311"/>
      <c r="AK621" s="311"/>
      <c r="AL621" s="311"/>
      <c r="AM621" s="311"/>
      <c r="AN621" s="311"/>
      <c r="AO621" s="311"/>
      <c r="AP621" s="311"/>
      <c r="AQ621" s="311"/>
      <c r="AR621" s="311"/>
    </row>
    <row r="622" spans="1:44" s="475" customFormat="1" ht="12" customHeight="1">
      <c r="A622" s="311"/>
      <c r="P622" s="3657"/>
      <c r="R622" s="3655" t="s">
        <v>2496</v>
      </c>
      <c r="S622" s="3655" t="s">
        <v>314</v>
      </c>
      <c r="T622" s="3658" t="s">
        <v>2091</v>
      </c>
      <c r="X622" s="311"/>
      <c r="Y622" s="311"/>
      <c r="Z622" s="311"/>
      <c r="AA622" s="311"/>
      <c r="AB622" s="311"/>
      <c r="AC622" s="311"/>
      <c r="AD622" s="311"/>
      <c r="AE622" s="311"/>
      <c r="AF622" s="311"/>
      <c r="AG622" s="311"/>
      <c r="AH622" s="311"/>
      <c r="AI622" s="311"/>
      <c r="AJ622" s="311"/>
      <c r="AK622" s="311"/>
      <c r="AL622" s="311"/>
      <c r="AM622" s="311"/>
      <c r="AN622" s="311"/>
      <c r="AO622" s="311"/>
      <c r="AP622" s="311"/>
      <c r="AQ622" s="311"/>
      <c r="AR622" s="311"/>
    </row>
    <row r="623" spans="1:44" s="475" customFormat="1" ht="12" customHeight="1">
      <c r="A623" s="311"/>
      <c r="P623" s="387"/>
      <c r="R623" s="3655" t="s">
        <v>2497</v>
      </c>
      <c r="S623" s="3655" t="s">
        <v>2419</v>
      </c>
      <c r="T623" s="3658" t="s">
        <v>2091</v>
      </c>
      <c r="X623" s="311"/>
      <c r="Y623" s="311"/>
      <c r="Z623" s="311"/>
      <c r="AA623" s="311"/>
      <c r="AB623" s="311"/>
      <c r="AC623" s="311"/>
      <c r="AD623" s="311"/>
      <c r="AE623" s="311"/>
      <c r="AF623" s="311"/>
      <c r="AG623" s="311"/>
      <c r="AH623" s="311"/>
      <c r="AI623" s="311"/>
      <c r="AJ623" s="311"/>
      <c r="AK623" s="311"/>
      <c r="AL623" s="311"/>
      <c r="AM623" s="311"/>
      <c r="AN623" s="311"/>
      <c r="AO623" s="311"/>
      <c r="AP623" s="311"/>
      <c r="AQ623" s="311"/>
      <c r="AR623" s="311"/>
    </row>
    <row r="624" spans="1:44" s="475" customFormat="1" ht="12" customHeight="1">
      <c r="A624" s="311"/>
      <c r="P624" s="387"/>
      <c r="R624" s="3655" t="s">
        <v>2498</v>
      </c>
      <c r="S624" s="3655"/>
      <c r="T624" s="3658" t="s">
        <v>2091</v>
      </c>
      <c r="X624" s="311"/>
      <c r="Y624" s="311"/>
      <c r="Z624" s="311"/>
      <c r="AA624" s="311"/>
      <c r="AB624" s="311"/>
      <c r="AC624" s="311"/>
      <c r="AD624" s="311"/>
      <c r="AE624" s="311"/>
      <c r="AF624" s="311"/>
      <c r="AG624" s="311"/>
      <c r="AH624" s="311"/>
      <c r="AI624" s="311"/>
      <c r="AJ624" s="311"/>
      <c r="AK624" s="311"/>
      <c r="AL624" s="311"/>
      <c r="AM624" s="311"/>
      <c r="AN624" s="311"/>
      <c r="AO624" s="311"/>
      <c r="AP624" s="311"/>
      <c r="AQ624" s="311"/>
      <c r="AR624" s="311"/>
    </row>
    <row r="625" spans="1:44" s="475" customFormat="1" ht="12" customHeight="1">
      <c r="A625" s="311"/>
      <c r="P625" s="387"/>
      <c r="R625" s="3655" t="s">
        <v>2499</v>
      </c>
      <c r="S625" s="3655" t="s">
        <v>1960</v>
      </c>
      <c r="T625" s="3658" t="s">
        <v>2091</v>
      </c>
      <c r="X625" s="311"/>
      <c r="Y625" s="311"/>
      <c r="Z625" s="311"/>
      <c r="AA625" s="311"/>
      <c r="AB625" s="311"/>
      <c r="AC625" s="311"/>
      <c r="AD625" s="311"/>
      <c r="AE625" s="311"/>
      <c r="AF625" s="311"/>
      <c r="AG625" s="311"/>
      <c r="AH625" s="311"/>
      <c r="AI625" s="311"/>
      <c r="AJ625" s="311"/>
      <c r="AK625" s="311"/>
      <c r="AL625" s="311"/>
      <c r="AM625" s="311"/>
      <c r="AN625" s="311"/>
      <c r="AO625" s="311"/>
      <c r="AP625" s="311"/>
      <c r="AQ625" s="311"/>
      <c r="AR625" s="311"/>
    </row>
    <row r="626" spans="1:44" s="475" customFormat="1" ht="12" customHeight="1">
      <c r="A626" s="311"/>
      <c r="P626" s="387"/>
      <c r="R626" s="3655" t="s">
        <v>2500</v>
      </c>
      <c r="S626" s="3655" t="s">
        <v>2419</v>
      </c>
      <c r="T626" s="3658" t="s">
        <v>2091</v>
      </c>
      <c r="X626" s="311"/>
      <c r="Y626" s="311"/>
      <c r="Z626" s="311"/>
      <c r="AA626" s="311"/>
      <c r="AB626" s="311"/>
      <c r="AC626" s="311"/>
      <c r="AD626" s="311"/>
      <c r="AE626" s="311"/>
      <c r="AF626" s="311"/>
      <c r="AG626" s="311"/>
      <c r="AH626" s="311"/>
      <c r="AI626" s="311"/>
      <c r="AJ626" s="311"/>
      <c r="AK626" s="311"/>
      <c r="AL626" s="311"/>
      <c r="AM626" s="311"/>
      <c r="AN626" s="311"/>
      <c r="AO626" s="311"/>
      <c r="AP626" s="311"/>
      <c r="AQ626" s="311"/>
      <c r="AR626" s="311"/>
    </row>
    <row r="627" spans="1:44" s="475" customFormat="1" ht="12" customHeight="1">
      <c r="A627" s="311"/>
      <c r="P627" s="387"/>
      <c r="R627" s="3655" t="s">
        <v>2501</v>
      </c>
      <c r="S627" s="3655" t="s">
        <v>1300</v>
      </c>
      <c r="T627" s="3658" t="s">
        <v>2091</v>
      </c>
      <c r="X627" s="311"/>
      <c r="Y627" s="311"/>
      <c r="Z627" s="311"/>
      <c r="AA627" s="311"/>
      <c r="AB627" s="311"/>
      <c r="AC627" s="311"/>
      <c r="AD627" s="311"/>
      <c r="AE627" s="311"/>
      <c r="AF627" s="311"/>
      <c r="AG627" s="311"/>
      <c r="AH627" s="311"/>
      <c r="AI627" s="311"/>
      <c r="AJ627" s="311"/>
      <c r="AK627" s="311"/>
      <c r="AL627" s="311"/>
      <c r="AM627" s="311"/>
      <c r="AN627" s="311"/>
      <c r="AO627" s="311"/>
      <c r="AP627" s="311"/>
      <c r="AQ627" s="311"/>
      <c r="AR627" s="311"/>
    </row>
    <row r="628" spans="1:44" s="475" customFormat="1" ht="12" customHeight="1">
      <c r="A628" s="311"/>
      <c r="P628" s="387"/>
      <c r="R628" s="3655" t="s">
        <v>2502</v>
      </c>
      <c r="S628" s="3655" t="s">
        <v>1962</v>
      </c>
      <c r="T628" s="3658" t="s">
        <v>2091</v>
      </c>
      <c r="X628" s="311"/>
      <c r="Y628" s="311"/>
      <c r="Z628" s="311"/>
      <c r="AA628" s="311"/>
      <c r="AB628" s="311"/>
      <c r="AC628" s="311"/>
      <c r="AD628" s="311"/>
      <c r="AE628" s="311"/>
      <c r="AF628" s="311"/>
      <c r="AG628" s="311"/>
      <c r="AH628" s="311"/>
      <c r="AI628" s="311"/>
      <c r="AJ628" s="311"/>
      <c r="AK628" s="311"/>
      <c r="AL628" s="311"/>
      <c r="AM628" s="311"/>
      <c r="AN628" s="311"/>
      <c r="AO628" s="311"/>
      <c r="AP628" s="311"/>
      <c r="AQ628" s="311"/>
      <c r="AR628" s="311"/>
    </row>
    <row r="629" spans="1:44" s="475" customFormat="1" ht="12" customHeight="1">
      <c r="A629" s="311"/>
      <c r="P629" s="387"/>
      <c r="R629" s="3655" t="s">
        <v>2503</v>
      </c>
      <c r="S629" s="3655" t="s">
        <v>648</v>
      </c>
      <c r="T629" s="3658" t="s">
        <v>2091</v>
      </c>
      <c r="X629" s="311"/>
      <c r="Y629" s="311"/>
      <c r="Z629" s="311"/>
      <c r="AA629" s="311"/>
      <c r="AB629" s="311"/>
      <c r="AC629" s="311"/>
      <c r="AD629" s="311"/>
      <c r="AE629" s="311"/>
      <c r="AF629" s="311"/>
      <c r="AG629" s="311"/>
      <c r="AH629" s="311"/>
      <c r="AI629" s="311"/>
      <c r="AJ629" s="311"/>
      <c r="AK629" s="311"/>
      <c r="AL629" s="311"/>
      <c r="AM629" s="311"/>
      <c r="AN629" s="311"/>
      <c r="AO629" s="311"/>
      <c r="AP629" s="311"/>
      <c r="AQ629" s="311"/>
      <c r="AR629" s="311"/>
    </row>
    <row r="630" spans="1:44" s="475" customFormat="1" ht="12" customHeight="1">
      <c r="A630" s="311"/>
      <c r="P630" s="387"/>
      <c r="R630" s="3655" t="s">
        <v>2504</v>
      </c>
      <c r="S630" s="3655" t="s">
        <v>610</v>
      </c>
      <c r="T630" s="3658" t="s">
        <v>2091</v>
      </c>
      <c r="X630" s="311"/>
      <c r="Y630" s="311"/>
      <c r="Z630" s="311"/>
      <c r="AA630" s="311"/>
      <c r="AB630" s="311"/>
      <c r="AC630" s="311"/>
      <c r="AD630" s="311"/>
      <c r="AE630" s="311"/>
      <c r="AF630" s="311"/>
      <c r="AG630" s="311"/>
      <c r="AH630" s="311"/>
      <c r="AI630" s="311"/>
      <c r="AJ630" s="311"/>
      <c r="AK630" s="311"/>
      <c r="AL630" s="311"/>
      <c r="AM630" s="311"/>
      <c r="AN630" s="311"/>
      <c r="AO630" s="311"/>
      <c r="AP630" s="311"/>
      <c r="AQ630" s="311"/>
      <c r="AR630" s="311"/>
    </row>
    <row r="631" spans="1:44" s="475" customFormat="1" ht="12" customHeight="1">
      <c r="A631" s="311"/>
      <c r="P631" s="387"/>
      <c r="R631" s="3655" t="s">
        <v>2505</v>
      </c>
      <c r="S631" s="3655" t="s">
        <v>2122</v>
      </c>
      <c r="T631" s="3658" t="s">
        <v>2091</v>
      </c>
      <c r="X631" s="311"/>
      <c r="Y631" s="311"/>
      <c r="Z631" s="311"/>
      <c r="AA631" s="311"/>
      <c r="AB631" s="311"/>
      <c r="AC631" s="311"/>
      <c r="AD631" s="311"/>
      <c r="AE631" s="311"/>
      <c r="AF631" s="311"/>
      <c r="AG631" s="311"/>
      <c r="AH631" s="311"/>
      <c r="AI631" s="311"/>
      <c r="AJ631" s="311"/>
      <c r="AK631" s="311"/>
      <c r="AL631" s="311"/>
      <c r="AM631" s="311"/>
      <c r="AN631" s="311"/>
      <c r="AO631" s="311"/>
      <c r="AP631" s="311"/>
      <c r="AQ631" s="311"/>
      <c r="AR631" s="311"/>
    </row>
    <row r="632" spans="1:44" s="475" customFormat="1" ht="12" customHeight="1">
      <c r="A632" s="311"/>
      <c r="P632" s="387"/>
      <c r="R632" s="3655" t="s">
        <v>2506</v>
      </c>
      <c r="S632" s="3655" t="s">
        <v>2465</v>
      </c>
      <c r="T632" s="3658" t="s">
        <v>2091</v>
      </c>
      <c r="X632" s="311"/>
      <c r="Y632" s="311"/>
      <c r="Z632" s="311"/>
      <c r="AA632" s="311"/>
      <c r="AB632" s="311"/>
      <c r="AC632" s="311"/>
      <c r="AD632" s="311"/>
      <c r="AE632" s="311"/>
      <c r="AF632" s="311"/>
      <c r="AG632" s="311"/>
      <c r="AH632" s="311"/>
      <c r="AI632" s="311"/>
      <c r="AJ632" s="311"/>
      <c r="AK632" s="311"/>
      <c r="AL632" s="311"/>
      <c r="AM632" s="311"/>
      <c r="AN632" s="311"/>
      <c r="AO632" s="311"/>
      <c r="AP632" s="311"/>
      <c r="AQ632" s="311"/>
      <c r="AR632" s="311"/>
    </row>
    <row r="633" spans="1:44" s="475" customFormat="1" ht="12" customHeight="1">
      <c r="A633" s="311"/>
      <c r="P633" s="387"/>
      <c r="R633" s="3655" t="s">
        <v>2187</v>
      </c>
      <c r="S633" s="3655" t="s">
        <v>2462</v>
      </c>
      <c r="T633" s="3658" t="s">
        <v>2091</v>
      </c>
      <c r="X633" s="311"/>
      <c r="Y633" s="311"/>
      <c r="Z633" s="311"/>
      <c r="AA633" s="311"/>
      <c r="AB633" s="311"/>
      <c r="AC633" s="311"/>
      <c r="AD633" s="311"/>
      <c r="AE633" s="311"/>
      <c r="AF633" s="311"/>
      <c r="AG633" s="311"/>
      <c r="AH633" s="311"/>
      <c r="AI633" s="311"/>
      <c r="AJ633" s="311"/>
      <c r="AK633" s="311"/>
      <c r="AL633" s="311"/>
      <c r="AM633" s="311"/>
      <c r="AN633" s="311"/>
      <c r="AO633" s="311"/>
      <c r="AP633" s="311"/>
      <c r="AQ633" s="311"/>
      <c r="AR633" s="311"/>
    </row>
    <row r="634" spans="1:44" s="475" customFormat="1" ht="12" customHeight="1">
      <c r="A634" s="311"/>
      <c r="P634" s="387"/>
      <c r="R634" s="3655" t="s">
        <v>2507</v>
      </c>
      <c r="S634" s="3655" t="s">
        <v>2122</v>
      </c>
      <c r="T634" s="3658" t="s">
        <v>2091</v>
      </c>
      <c r="X634" s="311"/>
      <c r="Y634" s="311"/>
      <c r="Z634" s="311"/>
      <c r="AA634" s="311"/>
      <c r="AB634" s="311"/>
      <c r="AC634" s="311"/>
      <c r="AD634" s="311"/>
      <c r="AE634" s="311"/>
      <c r="AF634" s="311"/>
      <c r="AG634" s="311"/>
      <c r="AH634" s="311"/>
      <c r="AI634" s="311"/>
      <c r="AJ634" s="311"/>
      <c r="AK634" s="311"/>
      <c r="AL634" s="311"/>
      <c r="AM634" s="311"/>
      <c r="AN634" s="311"/>
      <c r="AO634" s="311"/>
      <c r="AP634" s="311"/>
      <c r="AQ634" s="311"/>
      <c r="AR634" s="311"/>
    </row>
    <row r="635" spans="1:44" s="475" customFormat="1" ht="12" customHeight="1">
      <c r="A635" s="311"/>
      <c r="P635" s="387"/>
      <c r="R635" s="3655" t="s">
        <v>2508</v>
      </c>
      <c r="S635" s="3655" t="s">
        <v>2422</v>
      </c>
      <c r="T635" s="3658" t="s">
        <v>2091</v>
      </c>
      <c r="X635" s="311"/>
      <c r="Y635" s="311"/>
      <c r="Z635" s="311"/>
      <c r="AA635" s="311"/>
      <c r="AB635" s="311"/>
      <c r="AC635" s="311"/>
      <c r="AD635" s="311"/>
      <c r="AE635" s="311"/>
      <c r="AF635" s="311"/>
      <c r="AG635" s="311"/>
      <c r="AH635" s="311"/>
      <c r="AI635" s="311"/>
      <c r="AJ635" s="311"/>
      <c r="AK635" s="311"/>
      <c r="AL635" s="311"/>
      <c r="AM635" s="311"/>
      <c r="AN635" s="311"/>
      <c r="AO635" s="311"/>
      <c r="AP635" s="311"/>
      <c r="AQ635" s="311"/>
      <c r="AR635" s="311"/>
    </row>
    <row r="636" spans="1:44" s="475" customFormat="1" ht="12" customHeight="1">
      <c r="A636" s="311"/>
      <c r="P636" s="3656"/>
      <c r="R636" s="3655" t="s">
        <v>2509</v>
      </c>
      <c r="S636" s="3655" t="s">
        <v>1960</v>
      </c>
      <c r="T636" s="3658" t="s">
        <v>2091</v>
      </c>
      <c r="X636" s="311"/>
      <c r="Y636" s="311"/>
      <c r="Z636" s="311"/>
      <c r="AA636" s="311"/>
      <c r="AB636" s="311"/>
      <c r="AC636" s="311"/>
      <c r="AD636" s="311"/>
      <c r="AE636" s="311"/>
      <c r="AF636" s="311"/>
      <c r="AG636" s="311"/>
      <c r="AH636" s="311"/>
      <c r="AI636" s="311"/>
      <c r="AJ636" s="311"/>
      <c r="AK636" s="311"/>
      <c r="AL636" s="311"/>
      <c r="AM636" s="311"/>
      <c r="AN636" s="311"/>
      <c r="AO636" s="311"/>
      <c r="AP636" s="311"/>
      <c r="AQ636" s="311"/>
      <c r="AR636" s="311"/>
    </row>
    <row r="637" spans="1:44" s="475" customFormat="1" ht="12" customHeight="1">
      <c r="A637" s="311"/>
      <c r="P637" s="387"/>
      <c r="R637" s="3655" t="s">
        <v>1023</v>
      </c>
      <c r="S637" s="3655" t="s">
        <v>1427</v>
      </c>
      <c r="T637" s="3658" t="s">
        <v>2091</v>
      </c>
      <c r="X637" s="311"/>
      <c r="Y637" s="311"/>
      <c r="Z637" s="311"/>
      <c r="AA637" s="311"/>
      <c r="AB637" s="311"/>
      <c r="AC637" s="311"/>
      <c r="AD637" s="311"/>
      <c r="AE637" s="311"/>
      <c r="AF637" s="311"/>
      <c r="AG637" s="311"/>
      <c r="AH637" s="311"/>
      <c r="AI637" s="311"/>
      <c r="AJ637" s="311"/>
      <c r="AK637" s="311"/>
      <c r="AL637" s="311"/>
      <c r="AM637" s="311"/>
      <c r="AN637" s="311"/>
      <c r="AO637" s="311"/>
      <c r="AP637" s="311"/>
      <c r="AQ637" s="311"/>
      <c r="AR637" s="311"/>
    </row>
    <row r="638" spans="1:44" s="475" customFormat="1" ht="12" customHeight="1">
      <c r="A638" s="311"/>
      <c r="P638" s="3657"/>
      <c r="R638" s="3655" t="s">
        <v>883</v>
      </c>
      <c r="S638" s="3655" t="s">
        <v>1081</v>
      </c>
      <c r="T638" s="3658" t="s">
        <v>2091</v>
      </c>
      <c r="X638" s="311"/>
      <c r="Y638" s="311"/>
      <c r="Z638" s="311"/>
      <c r="AA638" s="311"/>
      <c r="AB638" s="311"/>
      <c r="AC638" s="311"/>
      <c r="AD638" s="311"/>
      <c r="AE638" s="311"/>
      <c r="AF638" s="311"/>
      <c r="AG638" s="311"/>
      <c r="AH638" s="311"/>
      <c r="AI638" s="311"/>
      <c r="AJ638" s="311"/>
      <c r="AK638" s="311"/>
      <c r="AL638" s="311"/>
      <c r="AM638" s="311"/>
      <c r="AN638" s="311"/>
      <c r="AO638" s="311"/>
      <c r="AP638" s="311"/>
      <c r="AQ638" s="311"/>
      <c r="AR638" s="311"/>
    </row>
    <row r="639" spans="1:44" s="475" customFormat="1" ht="12" customHeight="1">
      <c r="A639" s="311"/>
      <c r="P639" s="387"/>
      <c r="R639" s="3655" t="s">
        <v>1024</v>
      </c>
      <c r="S639" s="3655" t="s">
        <v>610</v>
      </c>
      <c r="T639" s="3658" t="s">
        <v>2091</v>
      </c>
      <c r="X639" s="311"/>
      <c r="Y639" s="311"/>
      <c r="Z639" s="311"/>
      <c r="AA639" s="311"/>
      <c r="AB639" s="311"/>
      <c r="AC639" s="311"/>
      <c r="AD639" s="311"/>
      <c r="AE639" s="311"/>
      <c r="AF639" s="311"/>
      <c r="AG639" s="311"/>
      <c r="AH639" s="311"/>
      <c r="AI639" s="311"/>
      <c r="AJ639" s="311"/>
      <c r="AK639" s="311"/>
      <c r="AL639" s="311"/>
      <c r="AM639" s="311"/>
      <c r="AN639" s="311"/>
      <c r="AO639" s="311"/>
      <c r="AP639" s="311"/>
      <c r="AQ639" s="311"/>
      <c r="AR639" s="311"/>
    </row>
    <row r="640" spans="1:44" s="475" customFormat="1" ht="12" customHeight="1">
      <c r="A640" s="311"/>
      <c r="P640" s="387"/>
      <c r="R640" s="3655" t="s">
        <v>1025</v>
      </c>
      <c r="S640" s="3655" t="s">
        <v>1864</v>
      </c>
      <c r="T640" s="3658" t="s">
        <v>2091</v>
      </c>
      <c r="X640" s="311"/>
      <c r="Y640" s="311"/>
      <c r="Z640" s="311"/>
      <c r="AA640" s="311"/>
      <c r="AB640" s="311"/>
      <c r="AC640" s="311"/>
      <c r="AD640" s="311"/>
      <c r="AE640" s="311"/>
      <c r="AF640" s="311"/>
      <c r="AG640" s="311"/>
      <c r="AH640" s="311"/>
      <c r="AI640" s="311"/>
      <c r="AJ640" s="311"/>
      <c r="AK640" s="311"/>
      <c r="AL640" s="311"/>
      <c r="AM640" s="311"/>
      <c r="AN640" s="311"/>
      <c r="AO640" s="311"/>
      <c r="AP640" s="311"/>
      <c r="AQ640" s="311"/>
      <c r="AR640" s="311"/>
    </row>
    <row r="641" spans="1:44" s="475" customFormat="1" ht="12" customHeight="1">
      <c r="A641" s="311"/>
      <c r="P641" s="3657"/>
      <c r="R641" s="3655" t="s">
        <v>1026</v>
      </c>
      <c r="S641" s="3655" t="s">
        <v>1958</v>
      </c>
      <c r="T641" s="3658" t="s">
        <v>2091</v>
      </c>
      <c r="X641" s="311"/>
      <c r="Y641" s="311"/>
      <c r="Z641" s="311"/>
      <c r="AA641" s="311"/>
      <c r="AB641" s="311"/>
      <c r="AC641" s="311"/>
      <c r="AD641" s="311"/>
      <c r="AE641" s="311"/>
      <c r="AF641" s="311"/>
      <c r="AG641" s="311"/>
      <c r="AH641" s="311"/>
      <c r="AI641" s="311"/>
      <c r="AJ641" s="311"/>
      <c r="AK641" s="311"/>
      <c r="AL641" s="311"/>
      <c r="AM641" s="311"/>
      <c r="AN641" s="311"/>
      <c r="AO641" s="311"/>
      <c r="AP641" s="311"/>
      <c r="AQ641" s="311"/>
      <c r="AR641" s="311"/>
    </row>
    <row r="642" spans="1:44" s="475" customFormat="1" ht="12" customHeight="1">
      <c r="A642" s="311"/>
      <c r="P642" s="387"/>
      <c r="R642" s="3655" t="s">
        <v>1027</v>
      </c>
      <c r="S642" s="3655" t="s">
        <v>1074</v>
      </c>
      <c r="T642" s="3658" t="s">
        <v>2091</v>
      </c>
      <c r="X642" s="311"/>
      <c r="Y642" s="311"/>
      <c r="Z642" s="311"/>
      <c r="AA642" s="311"/>
      <c r="AB642" s="311"/>
      <c r="AC642" s="311"/>
      <c r="AD642" s="311"/>
      <c r="AE642" s="311"/>
      <c r="AF642" s="311"/>
      <c r="AG642" s="311"/>
      <c r="AH642" s="311"/>
      <c r="AI642" s="311"/>
      <c r="AJ642" s="311"/>
      <c r="AK642" s="311"/>
      <c r="AL642" s="311"/>
      <c r="AM642" s="311"/>
      <c r="AN642" s="311"/>
      <c r="AO642" s="311"/>
      <c r="AP642" s="311"/>
      <c r="AQ642" s="311"/>
      <c r="AR642" s="311"/>
    </row>
    <row r="643" spans="1:44" s="475" customFormat="1" ht="12" customHeight="1">
      <c r="A643" s="311"/>
      <c r="P643" s="387"/>
      <c r="Q643" s="3659"/>
      <c r="R643" s="3655" t="s">
        <v>1028</v>
      </c>
      <c r="S643" s="3655" t="s">
        <v>1488</v>
      </c>
      <c r="T643" s="3658" t="s">
        <v>2091</v>
      </c>
      <c r="X643" s="311"/>
      <c r="Y643" s="311"/>
      <c r="Z643" s="311"/>
      <c r="AA643" s="311"/>
      <c r="AB643" s="311"/>
      <c r="AC643" s="311"/>
      <c r="AD643" s="311"/>
      <c r="AE643" s="311"/>
      <c r="AF643" s="311"/>
      <c r="AG643" s="311"/>
      <c r="AH643" s="311"/>
      <c r="AI643" s="311"/>
      <c r="AJ643" s="311"/>
      <c r="AK643" s="311"/>
      <c r="AL643" s="311"/>
      <c r="AM643" s="311"/>
      <c r="AN643" s="311"/>
      <c r="AO643" s="311"/>
      <c r="AP643" s="311"/>
      <c r="AQ643" s="311"/>
      <c r="AR643" s="311"/>
    </row>
    <row r="644" spans="1:44" s="475" customFormat="1" ht="12" customHeight="1">
      <c r="A644" s="311"/>
      <c r="P644" s="387"/>
      <c r="R644" s="3655" t="s">
        <v>1029</v>
      </c>
      <c r="S644" s="3655" t="s">
        <v>2419</v>
      </c>
      <c r="T644" s="3658" t="s">
        <v>2091</v>
      </c>
      <c r="X644" s="311"/>
      <c r="Y644" s="311"/>
      <c r="Z644" s="311"/>
      <c r="AA644" s="311"/>
      <c r="AB644" s="311"/>
      <c r="AC644" s="311"/>
      <c r="AD644" s="311"/>
      <c r="AE644" s="311"/>
      <c r="AF644" s="311"/>
      <c r="AG644" s="311"/>
      <c r="AH644" s="311"/>
      <c r="AI644" s="311"/>
      <c r="AJ644" s="311"/>
      <c r="AK644" s="311"/>
      <c r="AL644" s="311"/>
      <c r="AM644" s="311"/>
      <c r="AN644" s="311"/>
      <c r="AO644" s="311"/>
      <c r="AP644" s="311"/>
      <c r="AQ644" s="311"/>
      <c r="AR644" s="311"/>
    </row>
    <row r="645" spans="1:44" s="475" customFormat="1" ht="12" customHeight="1">
      <c r="A645" s="311"/>
      <c r="P645" s="3657"/>
      <c r="R645" s="3655" t="s">
        <v>1030</v>
      </c>
      <c r="S645" s="3655" t="s">
        <v>155</v>
      </c>
      <c r="T645" s="3658" t="s">
        <v>2091</v>
      </c>
      <c r="X645" s="311"/>
      <c r="Y645" s="311"/>
      <c r="Z645" s="311"/>
      <c r="AA645" s="311"/>
      <c r="AB645" s="311"/>
      <c r="AC645" s="311"/>
      <c r="AD645" s="311"/>
      <c r="AE645" s="311"/>
      <c r="AF645" s="311"/>
      <c r="AG645" s="311"/>
      <c r="AH645" s="311"/>
      <c r="AI645" s="311"/>
      <c r="AJ645" s="311"/>
      <c r="AK645" s="311"/>
      <c r="AL645" s="311"/>
      <c r="AM645" s="311"/>
      <c r="AN645" s="311"/>
      <c r="AO645" s="311"/>
      <c r="AP645" s="311"/>
      <c r="AQ645" s="311"/>
      <c r="AR645" s="311"/>
    </row>
    <row r="646" spans="1:44" s="475" customFormat="1" ht="12" customHeight="1">
      <c r="A646" s="311"/>
      <c r="P646" s="3657"/>
      <c r="R646" s="3655" t="s">
        <v>1031</v>
      </c>
      <c r="S646" s="3655" t="s">
        <v>1307</v>
      </c>
      <c r="T646" s="3658" t="s">
        <v>2091</v>
      </c>
      <c r="X646" s="311"/>
      <c r="Y646" s="311"/>
      <c r="Z646" s="311"/>
      <c r="AA646" s="311"/>
      <c r="AB646" s="311"/>
      <c r="AC646" s="311"/>
      <c r="AD646" s="311"/>
      <c r="AE646" s="311"/>
      <c r="AF646" s="311"/>
      <c r="AG646" s="311"/>
      <c r="AH646" s="311"/>
      <c r="AI646" s="311"/>
      <c r="AJ646" s="311"/>
      <c r="AK646" s="311"/>
      <c r="AL646" s="311"/>
      <c r="AM646" s="311"/>
      <c r="AN646" s="311"/>
      <c r="AO646" s="311"/>
      <c r="AP646" s="311"/>
      <c r="AQ646" s="311"/>
      <c r="AR646" s="311"/>
    </row>
    <row r="647" spans="1:44" s="475" customFormat="1" ht="12" customHeight="1">
      <c r="A647" s="311"/>
      <c r="P647" s="387"/>
      <c r="R647" s="3655" t="s">
        <v>1032</v>
      </c>
      <c r="S647" s="3655" t="s">
        <v>1488</v>
      </c>
      <c r="T647" s="3658" t="s">
        <v>2091</v>
      </c>
      <c r="X647" s="311"/>
      <c r="Y647" s="311"/>
      <c r="Z647" s="311"/>
      <c r="AA647" s="311"/>
      <c r="AB647" s="311"/>
      <c r="AC647" s="311"/>
      <c r="AD647" s="311"/>
      <c r="AE647" s="311"/>
      <c r="AF647" s="311"/>
      <c r="AG647" s="311"/>
      <c r="AH647" s="311"/>
      <c r="AI647" s="311"/>
      <c r="AJ647" s="311"/>
      <c r="AK647" s="311"/>
      <c r="AL647" s="311"/>
      <c r="AM647" s="311"/>
      <c r="AN647" s="311"/>
      <c r="AO647" s="311"/>
      <c r="AP647" s="311"/>
      <c r="AQ647" s="311"/>
      <c r="AR647" s="311"/>
    </row>
    <row r="648" spans="1:44" s="475" customFormat="1" ht="12" customHeight="1">
      <c r="A648" s="311"/>
      <c r="P648" s="387"/>
      <c r="R648" s="3655" t="s">
        <v>1033</v>
      </c>
      <c r="S648" s="3655" t="s">
        <v>1088</v>
      </c>
      <c r="T648" s="3658" t="s">
        <v>2091</v>
      </c>
      <c r="X648" s="311"/>
      <c r="Y648" s="311"/>
      <c r="Z648" s="311"/>
      <c r="AA648" s="311"/>
      <c r="AB648" s="311"/>
      <c r="AC648" s="311"/>
      <c r="AD648" s="311"/>
      <c r="AE648" s="311"/>
      <c r="AF648" s="311"/>
      <c r="AG648" s="311"/>
      <c r="AH648" s="311"/>
      <c r="AI648" s="311"/>
      <c r="AJ648" s="311"/>
      <c r="AK648" s="311"/>
      <c r="AL648" s="311"/>
      <c r="AM648" s="311"/>
      <c r="AN648" s="311"/>
      <c r="AO648" s="311"/>
      <c r="AP648" s="311"/>
      <c r="AQ648" s="311"/>
      <c r="AR648" s="311"/>
    </row>
    <row r="649" spans="1:44" s="475" customFormat="1" ht="12" customHeight="1">
      <c r="A649" s="311"/>
      <c r="P649" s="387"/>
      <c r="R649" s="3655" t="s">
        <v>1034</v>
      </c>
      <c r="S649" s="3655" t="s">
        <v>1958</v>
      </c>
      <c r="T649" s="3658" t="s">
        <v>2091</v>
      </c>
      <c r="X649" s="311"/>
      <c r="Y649" s="311"/>
      <c r="Z649" s="311"/>
      <c r="AA649" s="311"/>
      <c r="AB649" s="311"/>
      <c r="AC649" s="311"/>
      <c r="AD649" s="311"/>
      <c r="AE649" s="311"/>
      <c r="AF649" s="311"/>
      <c r="AG649" s="311"/>
      <c r="AH649" s="311"/>
      <c r="AI649" s="311"/>
      <c r="AJ649" s="311"/>
      <c r="AK649" s="311"/>
      <c r="AL649" s="311"/>
      <c r="AM649" s="311"/>
      <c r="AN649" s="311"/>
      <c r="AO649" s="311"/>
      <c r="AP649" s="311"/>
      <c r="AQ649" s="311"/>
      <c r="AR649" s="311"/>
    </row>
    <row r="650" spans="1:44" s="475" customFormat="1" ht="12" customHeight="1">
      <c r="A650" s="311"/>
      <c r="P650" s="387"/>
      <c r="R650" s="476" t="s">
        <v>808</v>
      </c>
      <c r="S650" s="476" t="s">
        <v>852</v>
      </c>
      <c r="T650" s="3658" t="s">
        <v>2091</v>
      </c>
      <c r="X650" s="311"/>
      <c r="Y650" s="311"/>
      <c r="Z650" s="311"/>
      <c r="AA650" s="311"/>
      <c r="AB650" s="311"/>
      <c r="AC650" s="311"/>
      <c r="AD650" s="311"/>
      <c r="AE650" s="311"/>
      <c r="AF650" s="311"/>
      <c r="AG650" s="311"/>
      <c r="AH650" s="311"/>
      <c r="AI650" s="311"/>
      <c r="AJ650" s="311"/>
      <c r="AK650" s="311"/>
      <c r="AL650" s="311"/>
      <c r="AM650" s="311"/>
      <c r="AN650" s="311"/>
      <c r="AO650" s="311"/>
      <c r="AP650" s="311"/>
      <c r="AQ650" s="311"/>
      <c r="AR650" s="311"/>
    </row>
    <row r="651" spans="1:44" s="475" customFormat="1" ht="12" customHeight="1">
      <c r="A651" s="311"/>
      <c r="P651" s="387"/>
      <c r="R651" s="3655" t="s">
        <v>1035</v>
      </c>
      <c r="S651" s="3655" t="s">
        <v>2422</v>
      </c>
      <c r="T651" s="3658" t="s">
        <v>2091</v>
      </c>
      <c r="X651" s="311"/>
      <c r="Y651" s="311"/>
      <c r="Z651" s="311"/>
      <c r="AA651" s="311"/>
      <c r="AB651" s="311"/>
      <c r="AC651" s="311"/>
      <c r="AD651" s="311"/>
      <c r="AE651" s="311"/>
      <c r="AF651" s="311"/>
      <c r="AG651" s="311"/>
      <c r="AH651" s="311"/>
      <c r="AI651" s="311"/>
      <c r="AJ651" s="311"/>
      <c r="AK651" s="311"/>
      <c r="AL651" s="311"/>
      <c r="AM651" s="311"/>
      <c r="AN651" s="311"/>
      <c r="AO651" s="311"/>
      <c r="AP651" s="311"/>
      <c r="AQ651" s="311"/>
      <c r="AR651" s="311"/>
    </row>
    <row r="652" spans="1:44" s="475" customFormat="1" ht="12" customHeight="1">
      <c r="A652" s="311"/>
      <c r="P652" s="387"/>
      <c r="R652" s="3655" t="s">
        <v>1574</v>
      </c>
      <c r="S652" s="3655" t="s">
        <v>2462</v>
      </c>
      <c r="T652" s="3658" t="s">
        <v>2091</v>
      </c>
      <c r="X652" s="311"/>
      <c r="Y652" s="311"/>
      <c r="Z652" s="311"/>
      <c r="AA652" s="311"/>
      <c r="AB652" s="311"/>
      <c r="AC652" s="311"/>
      <c r="AD652" s="311"/>
      <c r="AE652" s="311"/>
      <c r="AF652" s="311"/>
      <c r="AG652" s="311"/>
      <c r="AH652" s="311"/>
      <c r="AI652" s="311"/>
      <c r="AJ652" s="311"/>
      <c r="AK652" s="311"/>
      <c r="AL652" s="311"/>
      <c r="AM652" s="311"/>
      <c r="AN652" s="311"/>
      <c r="AO652" s="311"/>
      <c r="AP652" s="311"/>
      <c r="AQ652" s="311"/>
      <c r="AR652" s="311"/>
    </row>
    <row r="653" spans="1:44" s="475" customFormat="1" ht="12" customHeight="1">
      <c r="A653" s="311"/>
      <c r="P653" s="387"/>
      <c r="R653" s="3655" t="s">
        <v>1036</v>
      </c>
      <c r="S653" s="3655"/>
      <c r="T653" s="3658" t="s">
        <v>2091</v>
      </c>
      <c r="X653" s="311"/>
      <c r="Y653" s="311"/>
      <c r="Z653" s="311"/>
      <c r="AA653" s="311"/>
      <c r="AB653" s="311"/>
      <c r="AC653" s="311"/>
      <c r="AD653" s="311"/>
      <c r="AE653" s="311"/>
      <c r="AF653" s="311"/>
      <c r="AG653" s="311"/>
      <c r="AH653" s="311"/>
      <c r="AI653" s="311"/>
      <c r="AJ653" s="311"/>
      <c r="AK653" s="311"/>
      <c r="AL653" s="311"/>
      <c r="AM653" s="311"/>
      <c r="AN653" s="311"/>
      <c r="AO653" s="311"/>
      <c r="AP653" s="311"/>
      <c r="AQ653" s="311"/>
      <c r="AR653" s="311"/>
    </row>
    <row r="654" spans="1:44" s="475" customFormat="1" ht="12" customHeight="1">
      <c r="A654" s="311"/>
      <c r="P654" s="387"/>
      <c r="R654" s="3655" t="s">
        <v>180</v>
      </c>
      <c r="S654" s="3655" t="s">
        <v>155</v>
      </c>
      <c r="T654" s="3658" t="s">
        <v>2091</v>
      </c>
      <c r="X654" s="311"/>
      <c r="Y654" s="311"/>
      <c r="Z654" s="311"/>
      <c r="AA654" s="311"/>
      <c r="AB654" s="311"/>
      <c r="AC654" s="311"/>
      <c r="AD654" s="311"/>
      <c r="AE654" s="311"/>
      <c r="AF654" s="311"/>
      <c r="AG654" s="311"/>
      <c r="AH654" s="311"/>
      <c r="AI654" s="311"/>
      <c r="AJ654" s="311"/>
      <c r="AK654" s="311"/>
      <c r="AL654" s="311"/>
      <c r="AM654" s="311"/>
      <c r="AN654" s="311"/>
      <c r="AO654" s="311"/>
      <c r="AP654" s="311"/>
      <c r="AQ654" s="311"/>
      <c r="AR654" s="311"/>
    </row>
    <row r="655" spans="1:44" s="475" customFormat="1" ht="12" customHeight="1">
      <c r="A655" s="311"/>
      <c r="P655" s="387"/>
      <c r="R655" s="3655" t="s">
        <v>1037</v>
      </c>
      <c r="S655" s="3655" t="s">
        <v>171</v>
      </c>
      <c r="T655" s="3658" t="s">
        <v>2091</v>
      </c>
      <c r="X655" s="311"/>
      <c r="Y655" s="311"/>
      <c r="Z655" s="311"/>
      <c r="AA655" s="311"/>
      <c r="AB655" s="311"/>
      <c r="AC655" s="311"/>
      <c r="AD655" s="311"/>
      <c r="AE655" s="311"/>
      <c r="AF655" s="311"/>
      <c r="AG655" s="311"/>
      <c r="AH655" s="311"/>
      <c r="AI655" s="311"/>
      <c r="AJ655" s="311"/>
      <c r="AK655" s="311"/>
      <c r="AL655" s="311"/>
      <c r="AM655" s="311"/>
      <c r="AN655" s="311"/>
      <c r="AO655" s="311"/>
      <c r="AP655" s="311"/>
      <c r="AQ655" s="311"/>
      <c r="AR655" s="311"/>
    </row>
    <row r="656" spans="1:44" s="475" customFormat="1" ht="12" customHeight="1">
      <c r="A656" s="311"/>
      <c r="P656" s="387"/>
      <c r="R656" s="3655" t="s">
        <v>2227</v>
      </c>
      <c r="S656" s="3655" t="s">
        <v>1180</v>
      </c>
      <c r="T656" s="3658" t="s">
        <v>2091</v>
      </c>
      <c r="X656" s="311"/>
      <c r="Y656" s="311"/>
      <c r="Z656" s="311"/>
      <c r="AA656" s="311"/>
      <c r="AB656" s="311"/>
      <c r="AC656" s="311"/>
      <c r="AD656" s="311"/>
      <c r="AE656" s="311"/>
      <c r="AF656" s="311"/>
      <c r="AG656" s="311"/>
      <c r="AH656" s="311"/>
      <c r="AI656" s="311"/>
      <c r="AJ656" s="311"/>
      <c r="AK656" s="311"/>
      <c r="AL656" s="311"/>
      <c r="AM656" s="311"/>
      <c r="AN656" s="311"/>
      <c r="AO656" s="311"/>
      <c r="AP656" s="311"/>
      <c r="AQ656" s="311"/>
      <c r="AR656" s="311"/>
    </row>
    <row r="657" spans="1:44" s="475" customFormat="1" ht="12" customHeight="1">
      <c r="A657" s="311"/>
      <c r="P657" s="387"/>
      <c r="R657" s="3655" t="s">
        <v>1038</v>
      </c>
      <c r="S657" s="3655" t="s">
        <v>610</v>
      </c>
      <c r="T657" s="3658" t="s">
        <v>2091</v>
      </c>
      <c r="X657" s="311"/>
      <c r="Y657" s="311"/>
      <c r="Z657" s="311"/>
      <c r="AA657" s="311"/>
      <c r="AB657" s="311"/>
      <c r="AC657" s="311"/>
      <c r="AD657" s="311"/>
      <c r="AE657" s="311"/>
      <c r="AF657" s="311"/>
      <c r="AG657" s="311"/>
      <c r="AH657" s="311"/>
      <c r="AI657" s="311"/>
      <c r="AJ657" s="311"/>
      <c r="AK657" s="311"/>
      <c r="AL657" s="311"/>
      <c r="AM657" s="311"/>
      <c r="AN657" s="311"/>
      <c r="AO657" s="311"/>
      <c r="AP657" s="311"/>
      <c r="AQ657" s="311"/>
      <c r="AR657" s="311"/>
    </row>
    <row r="658" spans="1:44" s="475" customFormat="1" ht="12" customHeight="1">
      <c r="A658" s="311"/>
      <c r="P658" s="387"/>
      <c r="R658" s="3655" t="s">
        <v>1039</v>
      </c>
      <c r="S658" s="3655" t="s">
        <v>610</v>
      </c>
      <c r="T658" s="3658" t="s">
        <v>2091</v>
      </c>
      <c r="X658" s="311"/>
      <c r="Y658" s="311"/>
      <c r="Z658" s="311"/>
      <c r="AA658" s="311"/>
      <c r="AB658" s="311"/>
      <c r="AC658" s="311"/>
      <c r="AD658" s="311"/>
      <c r="AE658" s="311"/>
      <c r="AF658" s="311"/>
      <c r="AG658" s="311"/>
      <c r="AH658" s="311"/>
      <c r="AI658" s="311"/>
      <c r="AJ658" s="311"/>
      <c r="AK658" s="311"/>
      <c r="AL658" s="311"/>
      <c r="AM658" s="311"/>
      <c r="AN658" s="311"/>
      <c r="AO658" s="311"/>
      <c r="AP658" s="311"/>
      <c r="AQ658" s="311"/>
      <c r="AR658" s="311"/>
    </row>
    <row r="659" spans="1:44" s="475" customFormat="1" ht="12" customHeight="1">
      <c r="A659" s="311"/>
      <c r="P659" s="387"/>
      <c r="R659" s="3655" t="s">
        <v>1040</v>
      </c>
      <c r="S659" s="3655" t="s">
        <v>610</v>
      </c>
      <c r="T659" s="3658" t="s">
        <v>2091</v>
      </c>
      <c r="X659" s="311"/>
      <c r="Y659" s="311"/>
      <c r="Z659" s="311"/>
      <c r="AA659" s="311"/>
      <c r="AB659" s="311"/>
      <c r="AC659" s="311"/>
      <c r="AD659" s="311"/>
      <c r="AE659" s="311"/>
      <c r="AF659" s="311"/>
      <c r="AG659" s="311"/>
      <c r="AH659" s="311"/>
      <c r="AI659" s="311"/>
      <c r="AJ659" s="311"/>
      <c r="AK659" s="311"/>
      <c r="AL659" s="311"/>
      <c r="AM659" s="311"/>
      <c r="AN659" s="311"/>
      <c r="AO659" s="311"/>
      <c r="AP659" s="311"/>
      <c r="AQ659" s="311"/>
      <c r="AR659" s="311"/>
    </row>
    <row r="660" spans="1:44" s="475" customFormat="1" ht="12" customHeight="1">
      <c r="A660" s="311"/>
      <c r="P660" s="387"/>
      <c r="R660" s="3655" t="s">
        <v>1041</v>
      </c>
      <c r="S660" s="3655" t="s">
        <v>610</v>
      </c>
      <c r="T660" s="3658" t="s">
        <v>2091</v>
      </c>
      <c r="X660" s="311"/>
      <c r="Y660" s="311"/>
      <c r="Z660" s="311"/>
      <c r="AA660" s="311"/>
      <c r="AB660" s="311"/>
      <c r="AC660" s="311"/>
      <c r="AD660" s="311"/>
      <c r="AE660" s="311"/>
      <c r="AF660" s="311"/>
      <c r="AG660" s="311"/>
      <c r="AH660" s="311"/>
      <c r="AI660" s="311"/>
      <c r="AJ660" s="311"/>
      <c r="AK660" s="311"/>
      <c r="AL660" s="311"/>
      <c r="AM660" s="311"/>
      <c r="AN660" s="311"/>
      <c r="AO660" s="311"/>
      <c r="AP660" s="311"/>
      <c r="AQ660" s="311"/>
      <c r="AR660" s="311"/>
    </row>
    <row r="661" spans="1:44" s="475" customFormat="1" ht="12" customHeight="1">
      <c r="A661" s="311"/>
      <c r="P661" s="387"/>
      <c r="R661" s="3655" t="s">
        <v>1042</v>
      </c>
      <c r="S661" s="3655" t="s">
        <v>1629</v>
      </c>
      <c r="T661" s="3658" t="s">
        <v>2091</v>
      </c>
      <c r="X661" s="311"/>
      <c r="Y661" s="311"/>
      <c r="Z661" s="311"/>
      <c r="AA661" s="311"/>
      <c r="AB661" s="311"/>
      <c r="AC661" s="311"/>
      <c r="AD661" s="311"/>
      <c r="AE661" s="311"/>
      <c r="AF661" s="311"/>
      <c r="AG661" s="311"/>
      <c r="AH661" s="311"/>
      <c r="AI661" s="311"/>
      <c r="AJ661" s="311"/>
      <c r="AK661" s="311"/>
      <c r="AL661" s="311"/>
      <c r="AM661" s="311"/>
      <c r="AN661" s="311"/>
      <c r="AO661" s="311"/>
      <c r="AP661" s="311"/>
      <c r="AQ661" s="311"/>
      <c r="AR661" s="311"/>
    </row>
    <row r="662" spans="1:44" s="475" customFormat="1" ht="12" customHeight="1">
      <c r="A662" s="311"/>
      <c r="P662" s="387"/>
      <c r="R662" s="3655" t="s">
        <v>1043</v>
      </c>
      <c r="S662" s="3655" t="s">
        <v>933</v>
      </c>
      <c r="T662" s="3658" t="s">
        <v>2091</v>
      </c>
      <c r="X662" s="311"/>
      <c r="Y662" s="311"/>
      <c r="Z662" s="311"/>
      <c r="AA662" s="311"/>
      <c r="AB662" s="311"/>
      <c r="AC662" s="311"/>
      <c r="AD662" s="311"/>
      <c r="AE662" s="311"/>
      <c r="AF662" s="311"/>
      <c r="AG662" s="311"/>
      <c r="AH662" s="311"/>
      <c r="AI662" s="311"/>
      <c r="AJ662" s="311"/>
      <c r="AK662" s="311"/>
      <c r="AL662" s="311"/>
      <c r="AM662" s="311"/>
      <c r="AN662" s="311"/>
      <c r="AO662" s="311"/>
      <c r="AP662" s="311"/>
      <c r="AQ662" s="311"/>
      <c r="AR662" s="311"/>
    </row>
    <row r="663" spans="1:44" s="475" customFormat="1" ht="12" customHeight="1">
      <c r="A663" s="311"/>
      <c r="P663" s="387"/>
      <c r="R663" s="3655" t="s">
        <v>1044</v>
      </c>
      <c r="S663" s="3655" t="s">
        <v>119</v>
      </c>
      <c r="T663" s="3658" t="s">
        <v>2091</v>
      </c>
      <c r="X663" s="311"/>
      <c r="Y663" s="311"/>
      <c r="Z663" s="311"/>
      <c r="AA663" s="311"/>
      <c r="AB663" s="311"/>
      <c r="AC663" s="311"/>
      <c r="AD663" s="311"/>
      <c r="AE663" s="311"/>
      <c r="AF663" s="311"/>
      <c r="AG663" s="311"/>
      <c r="AH663" s="311"/>
      <c r="AI663" s="311"/>
      <c r="AJ663" s="311"/>
      <c r="AK663" s="311"/>
      <c r="AL663" s="311"/>
      <c r="AM663" s="311"/>
      <c r="AN663" s="311"/>
      <c r="AO663" s="311"/>
      <c r="AP663" s="311"/>
      <c r="AQ663" s="311"/>
      <c r="AR663" s="311"/>
    </row>
    <row r="664" spans="1:44" s="475" customFormat="1" ht="12" customHeight="1">
      <c r="A664" s="311"/>
      <c r="P664" s="3657"/>
      <c r="R664" s="3655" t="s">
        <v>1045</v>
      </c>
      <c r="S664" s="3655" t="s">
        <v>610</v>
      </c>
      <c r="T664" s="3658" t="s">
        <v>2091</v>
      </c>
      <c r="X664" s="311"/>
      <c r="Y664" s="311"/>
      <c r="Z664" s="311"/>
      <c r="AA664" s="311"/>
      <c r="AB664" s="311"/>
      <c r="AC664" s="311"/>
      <c r="AD664" s="311"/>
      <c r="AE664" s="311"/>
      <c r="AF664" s="311"/>
      <c r="AG664" s="311"/>
      <c r="AH664" s="311"/>
      <c r="AI664" s="311"/>
      <c r="AJ664" s="311"/>
      <c r="AK664" s="311"/>
      <c r="AL664" s="311"/>
      <c r="AM664" s="311"/>
      <c r="AN664" s="311"/>
      <c r="AO664" s="311"/>
      <c r="AP664" s="311"/>
      <c r="AQ664" s="311"/>
      <c r="AR664" s="311"/>
    </row>
    <row r="665" spans="1:44" s="475" customFormat="1" ht="12" customHeight="1">
      <c r="A665" s="311"/>
      <c r="P665" s="387"/>
      <c r="R665" s="3655" t="s">
        <v>1046</v>
      </c>
      <c r="S665" s="3655" t="s">
        <v>311</v>
      </c>
      <c r="T665" s="3658" t="s">
        <v>2091</v>
      </c>
      <c r="X665" s="311"/>
      <c r="Y665" s="311"/>
      <c r="Z665" s="311"/>
      <c r="AA665" s="311"/>
      <c r="AB665" s="311"/>
      <c r="AC665" s="311"/>
      <c r="AD665" s="311"/>
      <c r="AE665" s="311"/>
      <c r="AF665" s="311"/>
      <c r="AG665" s="311"/>
      <c r="AH665" s="311"/>
      <c r="AI665" s="311"/>
      <c r="AJ665" s="311"/>
      <c r="AK665" s="311"/>
      <c r="AL665" s="311"/>
      <c r="AM665" s="311"/>
      <c r="AN665" s="311"/>
      <c r="AO665" s="311"/>
      <c r="AP665" s="311"/>
      <c r="AQ665" s="311"/>
      <c r="AR665" s="311"/>
    </row>
    <row r="666" spans="1:44" s="475" customFormat="1" ht="12" customHeight="1">
      <c r="A666" s="311"/>
      <c r="P666" s="387"/>
      <c r="R666" s="3655" t="s">
        <v>1047</v>
      </c>
      <c r="S666" s="3655" t="s">
        <v>315</v>
      </c>
      <c r="T666" s="3658" t="s">
        <v>2091</v>
      </c>
      <c r="X666" s="311"/>
      <c r="Y666" s="311"/>
      <c r="Z666" s="311"/>
      <c r="AA666" s="311"/>
      <c r="AB666" s="311"/>
      <c r="AC666" s="311"/>
      <c r="AD666" s="311"/>
      <c r="AE666" s="311"/>
      <c r="AF666" s="311"/>
      <c r="AG666" s="311"/>
      <c r="AH666" s="311"/>
      <c r="AI666" s="311"/>
      <c r="AJ666" s="311"/>
      <c r="AK666" s="311"/>
      <c r="AL666" s="311"/>
      <c r="AM666" s="311"/>
      <c r="AN666" s="311"/>
      <c r="AO666" s="311"/>
      <c r="AP666" s="311"/>
      <c r="AQ666" s="311"/>
      <c r="AR666" s="311"/>
    </row>
    <row r="667" spans="1:44" s="475" customFormat="1" ht="12" customHeight="1">
      <c r="A667" s="311"/>
      <c r="P667" s="387"/>
      <c r="R667" s="3655" t="s">
        <v>812</v>
      </c>
      <c r="S667" s="3655" t="s">
        <v>1286</v>
      </c>
      <c r="T667" s="3658" t="s">
        <v>2091</v>
      </c>
      <c r="X667" s="311"/>
      <c r="Y667" s="311"/>
      <c r="Z667" s="311"/>
      <c r="AA667" s="311"/>
      <c r="AB667" s="311"/>
      <c r="AC667" s="311"/>
      <c r="AD667" s="311"/>
      <c r="AE667" s="311"/>
      <c r="AF667" s="311"/>
      <c r="AG667" s="311"/>
      <c r="AH667" s="311"/>
      <c r="AI667" s="311"/>
      <c r="AJ667" s="311"/>
      <c r="AK667" s="311"/>
      <c r="AL667" s="311"/>
      <c r="AM667" s="311"/>
      <c r="AN667" s="311"/>
      <c r="AO667" s="311"/>
      <c r="AP667" s="311"/>
      <c r="AQ667" s="311"/>
      <c r="AR667" s="311"/>
    </row>
    <row r="668" spans="1:44" s="475" customFormat="1" ht="12" customHeight="1">
      <c r="A668" s="311"/>
      <c r="P668" s="387"/>
      <c r="R668" s="3655" t="s">
        <v>1048</v>
      </c>
      <c r="S668" s="3655" t="s">
        <v>648</v>
      </c>
      <c r="T668" s="3658" t="s">
        <v>2091</v>
      </c>
      <c r="X668" s="311"/>
      <c r="Y668" s="311"/>
      <c r="Z668" s="311"/>
      <c r="AA668" s="311"/>
      <c r="AB668" s="311"/>
      <c r="AC668" s="311"/>
      <c r="AD668" s="311"/>
      <c r="AE668" s="311"/>
      <c r="AF668" s="311"/>
      <c r="AG668" s="311"/>
      <c r="AH668" s="311"/>
      <c r="AI668" s="311"/>
      <c r="AJ668" s="311"/>
      <c r="AK668" s="311"/>
      <c r="AL668" s="311"/>
      <c r="AM668" s="311"/>
      <c r="AN668" s="311"/>
      <c r="AO668" s="311"/>
      <c r="AP668" s="311"/>
      <c r="AQ668" s="311"/>
      <c r="AR668" s="311"/>
    </row>
    <row r="669" spans="1:44" s="475" customFormat="1" ht="12" customHeight="1">
      <c r="A669" s="311"/>
      <c r="P669" s="387"/>
      <c r="R669" s="3655" t="s">
        <v>1049</v>
      </c>
      <c r="S669" s="3655" t="s">
        <v>1488</v>
      </c>
      <c r="T669" s="3658" t="s">
        <v>2091</v>
      </c>
      <c r="X669" s="311"/>
      <c r="Y669" s="311"/>
      <c r="Z669" s="311"/>
      <c r="AA669" s="311"/>
      <c r="AB669" s="311"/>
      <c r="AC669" s="311"/>
      <c r="AD669" s="311"/>
      <c r="AE669" s="311"/>
      <c r="AF669" s="311"/>
      <c r="AG669" s="311"/>
      <c r="AH669" s="311"/>
      <c r="AI669" s="311"/>
      <c r="AJ669" s="311"/>
      <c r="AK669" s="311"/>
      <c r="AL669" s="311"/>
      <c r="AM669" s="311"/>
      <c r="AN669" s="311"/>
      <c r="AO669" s="311"/>
      <c r="AP669" s="311"/>
      <c r="AQ669" s="311"/>
      <c r="AR669" s="311"/>
    </row>
    <row r="670" spans="1:44" s="475" customFormat="1" ht="12" customHeight="1">
      <c r="A670" s="311"/>
      <c r="P670" s="387"/>
      <c r="R670" s="3655" t="s">
        <v>1050</v>
      </c>
      <c r="S670" s="3655" t="s">
        <v>610</v>
      </c>
      <c r="T670" s="3658" t="s">
        <v>2091</v>
      </c>
      <c r="X670" s="311"/>
      <c r="Y670" s="311"/>
      <c r="Z670" s="311"/>
      <c r="AA670" s="311"/>
      <c r="AB670" s="311"/>
      <c r="AC670" s="311"/>
      <c r="AD670" s="311"/>
      <c r="AE670" s="311"/>
      <c r="AF670" s="311"/>
      <c r="AG670" s="311"/>
      <c r="AH670" s="311"/>
      <c r="AI670" s="311"/>
      <c r="AJ670" s="311"/>
      <c r="AK670" s="311"/>
      <c r="AL670" s="311"/>
      <c r="AM670" s="311"/>
      <c r="AN670" s="311"/>
      <c r="AO670" s="311"/>
      <c r="AP670" s="311"/>
      <c r="AQ670" s="311"/>
      <c r="AR670" s="311"/>
    </row>
    <row r="671" spans="1:44" s="475" customFormat="1" ht="12" customHeight="1">
      <c r="A671" s="311"/>
      <c r="P671" s="387"/>
      <c r="R671" s="3655" t="s">
        <v>1051</v>
      </c>
      <c r="S671" s="3655" t="s">
        <v>640</v>
      </c>
      <c r="T671" s="3658" t="s">
        <v>2091</v>
      </c>
      <c r="X671" s="311"/>
      <c r="Y671" s="311"/>
      <c r="Z671" s="311"/>
      <c r="AA671" s="311"/>
      <c r="AB671" s="311"/>
      <c r="AC671" s="311"/>
      <c r="AD671" s="311"/>
      <c r="AE671" s="311"/>
      <c r="AF671" s="311"/>
      <c r="AG671" s="311"/>
      <c r="AH671" s="311"/>
      <c r="AI671" s="311"/>
      <c r="AJ671" s="311"/>
      <c r="AK671" s="311"/>
      <c r="AL671" s="311"/>
      <c r="AM671" s="311"/>
      <c r="AN671" s="311"/>
      <c r="AO671" s="311"/>
      <c r="AP671" s="311"/>
      <c r="AQ671" s="311"/>
      <c r="AR671" s="311"/>
    </row>
    <row r="672" spans="1:44" s="475" customFormat="1" ht="12" customHeight="1">
      <c r="A672" s="311"/>
      <c r="P672" s="387"/>
      <c r="R672" s="3655" t="s">
        <v>1052</v>
      </c>
      <c r="S672" s="3655" t="s">
        <v>155</v>
      </c>
      <c r="T672" s="3658" t="s">
        <v>2091</v>
      </c>
      <c r="X672" s="311"/>
      <c r="Y672" s="311"/>
      <c r="Z672" s="311"/>
      <c r="AA672" s="311"/>
      <c r="AB672" s="311"/>
      <c r="AC672" s="311"/>
      <c r="AD672" s="311"/>
      <c r="AE672" s="311"/>
      <c r="AF672" s="311"/>
      <c r="AG672" s="311"/>
      <c r="AH672" s="311"/>
      <c r="AI672" s="311"/>
      <c r="AJ672" s="311"/>
      <c r="AK672" s="311"/>
      <c r="AL672" s="311"/>
      <c r="AM672" s="311"/>
      <c r="AN672" s="311"/>
      <c r="AO672" s="311"/>
      <c r="AP672" s="311"/>
      <c r="AQ672" s="311"/>
      <c r="AR672" s="311"/>
    </row>
    <row r="673" spans="1:44" s="475" customFormat="1" ht="12" customHeight="1">
      <c r="A673" s="311"/>
      <c r="P673" s="3656"/>
      <c r="R673" s="3655" t="s">
        <v>1053</v>
      </c>
      <c r="S673" s="3655" t="s">
        <v>1864</v>
      </c>
      <c r="T673" s="3658" t="s">
        <v>2091</v>
      </c>
      <c r="X673" s="311"/>
      <c r="Y673" s="311"/>
      <c r="Z673" s="311"/>
      <c r="AA673" s="311"/>
      <c r="AB673" s="311"/>
      <c r="AC673" s="311"/>
      <c r="AD673" s="311"/>
      <c r="AE673" s="311"/>
      <c r="AF673" s="311"/>
      <c r="AG673" s="311"/>
      <c r="AH673" s="311"/>
      <c r="AI673" s="311"/>
      <c r="AJ673" s="311"/>
      <c r="AK673" s="311"/>
      <c r="AL673" s="311"/>
      <c r="AM673" s="311"/>
      <c r="AN673" s="311"/>
      <c r="AO673" s="311"/>
      <c r="AP673" s="311"/>
      <c r="AQ673" s="311"/>
      <c r="AR673" s="311"/>
    </row>
    <row r="674" spans="1:44" s="475" customFormat="1" ht="12" customHeight="1">
      <c r="A674" s="311"/>
      <c r="P674" s="3657"/>
      <c r="R674" s="3655" t="s">
        <v>1054</v>
      </c>
      <c r="S674" s="3655" t="s">
        <v>1958</v>
      </c>
      <c r="T674" s="3658" t="s">
        <v>2091</v>
      </c>
      <c r="X674" s="311"/>
      <c r="Y674" s="311"/>
      <c r="Z674" s="311"/>
      <c r="AA674" s="311"/>
      <c r="AB674" s="311"/>
      <c r="AC674" s="311"/>
      <c r="AD674" s="311"/>
      <c r="AE674" s="311"/>
      <c r="AF674" s="311"/>
      <c r="AG674" s="311"/>
      <c r="AH674" s="311"/>
      <c r="AI674" s="311"/>
      <c r="AJ674" s="311"/>
      <c r="AK674" s="311"/>
      <c r="AL674" s="311"/>
      <c r="AM674" s="311"/>
      <c r="AN674" s="311"/>
      <c r="AO674" s="311"/>
      <c r="AP674" s="311"/>
      <c r="AQ674" s="311"/>
      <c r="AR674" s="311"/>
    </row>
    <row r="675" spans="1:44" s="475" customFormat="1" ht="12" customHeight="1">
      <c r="A675" s="311"/>
      <c r="P675" s="387"/>
      <c r="R675" s="3655" t="s">
        <v>1055</v>
      </c>
      <c r="S675" s="3655" t="s">
        <v>610</v>
      </c>
      <c r="T675" s="3658" t="s">
        <v>2091</v>
      </c>
      <c r="X675" s="311"/>
      <c r="Y675" s="311"/>
      <c r="Z675" s="311"/>
      <c r="AA675" s="311"/>
      <c r="AB675" s="311"/>
      <c r="AC675" s="311"/>
      <c r="AD675" s="311"/>
      <c r="AE675" s="311"/>
      <c r="AF675" s="311"/>
      <c r="AG675" s="311"/>
      <c r="AH675" s="311"/>
      <c r="AI675" s="311"/>
      <c r="AJ675" s="311"/>
      <c r="AK675" s="311"/>
      <c r="AL675" s="311"/>
      <c r="AM675" s="311"/>
      <c r="AN675" s="311"/>
      <c r="AO675" s="311"/>
      <c r="AP675" s="311"/>
      <c r="AQ675" s="311"/>
      <c r="AR675" s="311"/>
    </row>
    <row r="676" spans="1:44" s="475" customFormat="1" ht="12" customHeight="1">
      <c r="A676" s="311"/>
      <c r="P676" s="387"/>
      <c r="R676" s="3655" t="s">
        <v>1056</v>
      </c>
      <c r="S676" s="3655" t="s">
        <v>1629</v>
      </c>
      <c r="T676" s="3658" t="s">
        <v>2091</v>
      </c>
      <c r="X676" s="311"/>
      <c r="Y676" s="311"/>
      <c r="Z676" s="311"/>
      <c r="AA676" s="311"/>
      <c r="AB676" s="311"/>
      <c r="AC676" s="311"/>
      <c r="AD676" s="311"/>
      <c r="AE676" s="311"/>
      <c r="AF676" s="311"/>
      <c r="AG676" s="311"/>
      <c r="AH676" s="311"/>
      <c r="AI676" s="311"/>
      <c r="AJ676" s="311"/>
      <c r="AK676" s="311"/>
      <c r="AL676" s="311"/>
      <c r="AM676" s="311"/>
      <c r="AN676" s="311"/>
      <c r="AO676" s="311"/>
      <c r="AP676" s="311"/>
      <c r="AQ676" s="311"/>
      <c r="AR676" s="311"/>
    </row>
    <row r="677" spans="1:44" s="475" customFormat="1" ht="12" customHeight="1">
      <c r="A677" s="311"/>
      <c r="P677" s="3657"/>
      <c r="R677" s="3655" t="s">
        <v>1057</v>
      </c>
      <c r="S677" s="3655" t="s">
        <v>2422</v>
      </c>
      <c r="T677" s="3658" t="s">
        <v>2091</v>
      </c>
      <c r="X677" s="311"/>
      <c r="Y677" s="311"/>
      <c r="Z677" s="311"/>
      <c r="AA677" s="311"/>
      <c r="AB677" s="311"/>
      <c r="AC677" s="311"/>
      <c r="AD677" s="311"/>
      <c r="AE677" s="311"/>
      <c r="AF677" s="311"/>
      <c r="AG677" s="311"/>
      <c r="AH677" s="311"/>
      <c r="AI677" s="311"/>
      <c r="AJ677" s="311"/>
      <c r="AK677" s="311"/>
      <c r="AL677" s="311"/>
      <c r="AM677" s="311"/>
      <c r="AN677" s="311"/>
      <c r="AO677" s="311"/>
      <c r="AP677" s="311"/>
      <c r="AQ677" s="311"/>
      <c r="AR677" s="311"/>
    </row>
    <row r="678" spans="1:44" s="475" customFormat="1" ht="12" customHeight="1">
      <c r="A678" s="311"/>
      <c r="P678" s="387"/>
      <c r="R678" s="3655" t="s">
        <v>1058</v>
      </c>
      <c r="S678" s="3655" t="s">
        <v>155</v>
      </c>
      <c r="T678" s="3658" t="s">
        <v>2091</v>
      </c>
      <c r="X678" s="311"/>
      <c r="Y678" s="311"/>
      <c r="Z678" s="311"/>
      <c r="AA678" s="311"/>
      <c r="AB678" s="311"/>
      <c r="AC678" s="311"/>
      <c r="AD678" s="311"/>
      <c r="AE678" s="311"/>
      <c r="AF678" s="311"/>
      <c r="AG678" s="311"/>
      <c r="AH678" s="311"/>
      <c r="AI678" s="311"/>
      <c r="AJ678" s="311"/>
      <c r="AK678" s="311"/>
      <c r="AL678" s="311"/>
      <c r="AM678" s="311"/>
      <c r="AN678" s="311"/>
      <c r="AO678" s="311"/>
      <c r="AP678" s="311"/>
      <c r="AQ678" s="311"/>
      <c r="AR678" s="311"/>
    </row>
    <row r="679" spans="1:44" s="475" customFormat="1" ht="12" customHeight="1">
      <c r="A679" s="311"/>
      <c r="P679" s="387"/>
      <c r="R679" s="3655" t="s">
        <v>1059</v>
      </c>
      <c r="S679" s="3655" t="s">
        <v>155</v>
      </c>
      <c r="T679" s="3658" t="s">
        <v>2091</v>
      </c>
      <c r="X679" s="311"/>
      <c r="Y679" s="311"/>
      <c r="Z679" s="311"/>
      <c r="AA679" s="311"/>
      <c r="AB679" s="311"/>
      <c r="AC679" s="311"/>
      <c r="AD679" s="311"/>
      <c r="AE679" s="311"/>
      <c r="AF679" s="311"/>
      <c r="AG679" s="311"/>
      <c r="AH679" s="311"/>
      <c r="AI679" s="311"/>
      <c r="AJ679" s="311"/>
      <c r="AK679" s="311"/>
      <c r="AL679" s="311"/>
      <c r="AM679" s="311"/>
      <c r="AN679" s="311"/>
      <c r="AO679" s="311"/>
      <c r="AP679" s="311"/>
      <c r="AQ679" s="311"/>
      <c r="AR679" s="311"/>
    </row>
    <row r="680" spans="1:44" s="475" customFormat="1" ht="12" customHeight="1">
      <c r="A680" s="311"/>
      <c r="P680" s="387"/>
      <c r="X680" s="311"/>
      <c r="Y680" s="311"/>
      <c r="Z680" s="311"/>
      <c r="AA680" s="311"/>
      <c r="AB680" s="311"/>
      <c r="AC680" s="311"/>
      <c r="AD680" s="311"/>
      <c r="AE680" s="311"/>
      <c r="AF680" s="311"/>
      <c r="AG680" s="311"/>
      <c r="AH680" s="311"/>
      <c r="AI680" s="311"/>
      <c r="AJ680" s="311"/>
      <c r="AK680" s="311"/>
      <c r="AL680" s="311"/>
      <c r="AM680" s="311"/>
      <c r="AN680" s="311"/>
      <c r="AO680" s="311"/>
      <c r="AP680" s="311"/>
      <c r="AQ680" s="311"/>
      <c r="AR680" s="311"/>
    </row>
    <row r="681" spans="1:44" s="475" customFormat="1" ht="12" customHeight="1">
      <c r="A681" s="311"/>
      <c r="P681" s="387"/>
      <c r="X681" s="311"/>
      <c r="Y681" s="311"/>
      <c r="Z681" s="311"/>
      <c r="AA681" s="311"/>
      <c r="AB681" s="311"/>
      <c r="AC681" s="311"/>
      <c r="AD681" s="311"/>
      <c r="AE681" s="311"/>
      <c r="AF681" s="311"/>
      <c r="AG681" s="311"/>
      <c r="AH681" s="311"/>
      <c r="AI681" s="311"/>
      <c r="AJ681" s="311"/>
      <c r="AK681" s="311"/>
      <c r="AL681" s="311"/>
      <c r="AM681" s="311"/>
      <c r="AN681" s="311"/>
      <c r="AO681" s="311"/>
      <c r="AP681" s="311"/>
      <c r="AQ681" s="311"/>
      <c r="AR681" s="311"/>
    </row>
    <row r="682" spans="1:44" s="475" customFormat="1" ht="12" customHeight="1">
      <c r="A682" s="311"/>
      <c r="P682" s="387"/>
      <c r="X682" s="311"/>
      <c r="Y682" s="311"/>
      <c r="Z682" s="311"/>
      <c r="AA682" s="311"/>
      <c r="AB682" s="311"/>
      <c r="AC682" s="311"/>
      <c r="AD682" s="311"/>
      <c r="AE682" s="311"/>
      <c r="AF682" s="311"/>
      <c r="AG682" s="311"/>
      <c r="AH682" s="311"/>
      <c r="AI682" s="311"/>
      <c r="AJ682" s="311"/>
      <c r="AK682" s="311"/>
      <c r="AL682" s="311"/>
      <c r="AM682" s="311"/>
      <c r="AN682" s="311"/>
      <c r="AO682" s="311"/>
      <c r="AP682" s="311"/>
      <c r="AQ682" s="311"/>
      <c r="AR682" s="311"/>
    </row>
    <row r="683" spans="1:44" s="475" customFormat="1" ht="12" customHeight="1">
      <c r="A683" s="311"/>
      <c r="P683" s="387"/>
      <c r="X683" s="311"/>
      <c r="Y683" s="311"/>
      <c r="Z683" s="311"/>
      <c r="AA683" s="311"/>
      <c r="AB683" s="311"/>
      <c r="AC683" s="311"/>
      <c r="AD683" s="311"/>
      <c r="AE683" s="311"/>
      <c r="AF683" s="311"/>
      <c r="AG683" s="311"/>
      <c r="AH683" s="311"/>
      <c r="AI683" s="311"/>
      <c r="AJ683" s="311"/>
      <c r="AK683" s="311"/>
      <c r="AL683" s="311"/>
      <c r="AM683" s="311"/>
      <c r="AN683" s="311"/>
      <c r="AO683" s="311"/>
      <c r="AP683" s="311"/>
      <c r="AQ683" s="311"/>
      <c r="AR683" s="311"/>
    </row>
    <row r="684" spans="1:44" s="475" customFormat="1" ht="12" customHeight="1">
      <c r="A684" s="311"/>
      <c r="P684" s="387"/>
      <c r="X684" s="311"/>
      <c r="Y684" s="311"/>
      <c r="Z684" s="311"/>
      <c r="AA684" s="311"/>
      <c r="AB684" s="311"/>
      <c r="AC684" s="311"/>
      <c r="AD684" s="311"/>
      <c r="AE684" s="311"/>
      <c r="AF684" s="311"/>
      <c r="AG684" s="311"/>
      <c r="AH684" s="311"/>
      <c r="AI684" s="311"/>
      <c r="AJ684" s="311"/>
      <c r="AK684" s="311"/>
      <c r="AL684" s="311"/>
      <c r="AM684" s="311"/>
      <c r="AN684" s="311"/>
      <c r="AO684" s="311"/>
      <c r="AP684" s="311"/>
      <c r="AQ684" s="311"/>
      <c r="AR684" s="311"/>
    </row>
    <row r="685" spans="1:44" s="475" customFormat="1" ht="12" customHeight="1">
      <c r="A685" s="311"/>
      <c r="P685" s="3657"/>
      <c r="X685" s="311"/>
      <c r="Y685" s="311"/>
      <c r="Z685" s="311"/>
      <c r="AA685" s="311"/>
      <c r="AB685" s="311"/>
      <c r="AC685" s="311"/>
      <c r="AD685" s="311"/>
      <c r="AE685" s="311"/>
      <c r="AF685" s="311"/>
      <c r="AG685" s="311"/>
      <c r="AH685" s="311"/>
      <c r="AI685" s="311"/>
      <c r="AJ685" s="311"/>
      <c r="AK685" s="311"/>
      <c r="AL685" s="311"/>
      <c r="AM685" s="311"/>
      <c r="AN685" s="311"/>
      <c r="AO685" s="311"/>
      <c r="AP685" s="311"/>
      <c r="AQ685" s="311"/>
      <c r="AR685" s="311"/>
    </row>
    <row r="686" spans="1:44" s="475" customFormat="1" ht="12" customHeight="1">
      <c r="A686" s="311"/>
      <c r="P686" s="387"/>
      <c r="X686" s="311"/>
      <c r="Y686" s="311"/>
      <c r="Z686" s="311"/>
      <c r="AA686" s="311"/>
      <c r="AB686" s="311"/>
      <c r="AC686" s="311"/>
      <c r="AD686" s="311"/>
      <c r="AE686" s="311"/>
      <c r="AF686" s="311"/>
      <c r="AG686" s="311"/>
      <c r="AH686" s="311"/>
      <c r="AI686" s="311"/>
      <c r="AJ686" s="311"/>
      <c r="AK686" s="311"/>
      <c r="AL686" s="311"/>
      <c r="AM686" s="311"/>
      <c r="AN686" s="311"/>
      <c r="AO686" s="311"/>
      <c r="AP686" s="311"/>
      <c r="AQ686" s="311"/>
      <c r="AR686" s="311"/>
    </row>
    <row r="687" spans="1:44" s="475" customFormat="1" ht="12" customHeight="1">
      <c r="A687" s="311"/>
      <c r="P687" s="387"/>
      <c r="X687" s="311"/>
      <c r="Y687" s="311"/>
      <c r="Z687" s="311"/>
      <c r="AA687" s="311"/>
      <c r="AB687" s="311"/>
      <c r="AC687" s="311"/>
      <c r="AD687" s="311"/>
      <c r="AE687" s="311"/>
      <c r="AF687" s="311"/>
      <c r="AG687" s="311"/>
      <c r="AH687" s="311"/>
      <c r="AI687" s="311"/>
      <c r="AJ687" s="311"/>
      <c r="AK687" s="311"/>
      <c r="AL687" s="311"/>
      <c r="AM687" s="311"/>
      <c r="AN687" s="311"/>
      <c r="AO687" s="311"/>
      <c r="AP687" s="311"/>
      <c r="AQ687" s="311"/>
      <c r="AR687" s="311"/>
    </row>
    <row r="688" spans="1:44" s="475" customFormat="1" ht="12" customHeight="1">
      <c r="A688" s="311"/>
      <c r="P688" s="387"/>
      <c r="X688" s="311"/>
      <c r="Y688" s="311"/>
      <c r="Z688" s="311"/>
      <c r="AA688" s="311"/>
      <c r="AB688" s="311"/>
      <c r="AC688" s="311"/>
      <c r="AD688" s="311"/>
      <c r="AE688" s="311"/>
      <c r="AF688" s="311"/>
      <c r="AG688" s="311"/>
      <c r="AH688" s="311"/>
      <c r="AI688" s="311"/>
      <c r="AJ688" s="311"/>
      <c r="AK688" s="311"/>
      <c r="AL688" s="311"/>
      <c r="AM688" s="311"/>
      <c r="AN688" s="311"/>
      <c r="AO688" s="311"/>
      <c r="AP688" s="311"/>
      <c r="AQ688" s="311"/>
      <c r="AR688" s="311"/>
    </row>
    <row r="689" spans="1:44" s="475" customFormat="1" ht="12" customHeight="1">
      <c r="A689" s="311"/>
      <c r="P689" s="387"/>
      <c r="X689" s="311"/>
      <c r="Y689" s="311"/>
      <c r="Z689" s="311"/>
      <c r="AA689" s="311"/>
      <c r="AB689" s="311"/>
      <c r="AC689" s="311"/>
      <c r="AD689" s="311"/>
      <c r="AE689" s="311"/>
      <c r="AF689" s="311"/>
      <c r="AG689" s="311"/>
      <c r="AH689" s="311"/>
      <c r="AI689" s="311"/>
      <c r="AJ689" s="311"/>
      <c r="AK689" s="311"/>
      <c r="AL689" s="311"/>
      <c r="AM689" s="311"/>
      <c r="AN689" s="311"/>
      <c r="AO689" s="311"/>
      <c r="AP689" s="311"/>
      <c r="AQ689" s="311"/>
      <c r="AR689" s="311"/>
    </row>
    <row r="690" spans="1:44" s="475" customFormat="1" ht="12" customHeight="1">
      <c r="A690" s="311"/>
      <c r="P690" s="3657"/>
      <c r="X690" s="311"/>
      <c r="Y690" s="311"/>
      <c r="Z690" s="311"/>
      <c r="AA690" s="311"/>
      <c r="AB690" s="311"/>
      <c r="AC690" s="311"/>
      <c r="AD690" s="311"/>
      <c r="AE690" s="311"/>
      <c r="AF690" s="311"/>
      <c r="AG690" s="311"/>
      <c r="AH690" s="311"/>
      <c r="AI690" s="311"/>
      <c r="AJ690" s="311"/>
      <c r="AK690" s="311"/>
      <c r="AL690" s="311"/>
      <c r="AM690" s="311"/>
      <c r="AN690" s="311"/>
      <c r="AO690" s="311"/>
      <c r="AP690" s="311"/>
      <c r="AQ690" s="311"/>
      <c r="AR690" s="311"/>
    </row>
    <row r="691" spans="1:44" s="475" customFormat="1" ht="12" customHeight="1">
      <c r="A691" s="311"/>
      <c r="P691" s="387"/>
      <c r="X691" s="311"/>
      <c r="Y691" s="311"/>
      <c r="Z691" s="311"/>
      <c r="AA691" s="311"/>
      <c r="AB691" s="311"/>
      <c r="AC691" s="311"/>
      <c r="AD691" s="311"/>
      <c r="AE691" s="311"/>
      <c r="AF691" s="311"/>
      <c r="AG691" s="311"/>
      <c r="AH691" s="311"/>
      <c r="AI691" s="311"/>
      <c r="AJ691" s="311"/>
      <c r="AK691" s="311"/>
      <c r="AL691" s="311"/>
      <c r="AM691" s="311"/>
      <c r="AN691" s="311"/>
      <c r="AO691" s="311"/>
      <c r="AP691" s="311"/>
      <c r="AQ691" s="311"/>
      <c r="AR691" s="311"/>
    </row>
    <row r="692" spans="1:44" s="475" customFormat="1" ht="12" customHeight="1">
      <c r="A692" s="311"/>
      <c r="P692" s="387"/>
      <c r="X692" s="311"/>
      <c r="Y692" s="311"/>
      <c r="Z692" s="311"/>
      <c r="AA692" s="311"/>
      <c r="AB692" s="311"/>
      <c r="AC692" s="311"/>
      <c r="AD692" s="311"/>
      <c r="AE692" s="311"/>
      <c r="AF692" s="311"/>
      <c r="AG692" s="311"/>
      <c r="AH692" s="311"/>
      <c r="AI692" s="311"/>
      <c r="AJ692" s="311"/>
      <c r="AK692" s="311"/>
      <c r="AL692" s="311"/>
      <c r="AM692" s="311"/>
      <c r="AN692" s="311"/>
      <c r="AO692" s="311"/>
      <c r="AP692" s="311"/>
      <c r="AQ692" s="311"/>
      <c r="AR692" s="311"/>
    </row>
    <row r="693" spans="1:44" s="475" customFormat="1" ht="12" customHeight="1">
      <c r="A693" s="311"/>
      <c r="P693" s="387"/>
      <c r="X693" s="311"/>
      <c r="Y693" s="311"/>
      <c r="Z693" s="311"/>
      <c r="AA693" s="311"/>
      <c r="AB693" s="311"/>
      <c r="AC693" s="311"/>
      <c r="AD693" s="311"/>
      <c r="AE693" s="311"/>
      <c r="AF693" s="311"/>
      <c r="AG693" s="311"/>
      <c r="AH693" s="311"/>
      <c r="AI693" s="311"/>
      <c r="AJ693" s="311"/>
      <c r="AK693" s="311"/>
      <c r="AL693" s="311"/>
      <c r="AM693" s="311"/>
      <c r="AN693" s="311"/>
      <c r="AO693" s="311"/>
      <c r="AP693" s="311"/>
      <c r="AQ693" s="311"/>
      <c r="AR693" s="311"/>
    </row>
    <row r="694" spans="1:44" s="475" customFormat="1" ht="12" customHeight="1">
      <c r="A694" s="311"/>
      <c r="P694" s="387"/>
      <c r="X694" s="311"/>
      <c r="Y694" s="311"/>
      <c r="Z694" s="311"/>
      <c r="AA694" s="311"/>
      <c r="AB694" s="311"/>
      <c r="AC694" s="311"/>
      <c r="AD694" s="311"/>
      <c r="AE694" s="311"/>
      <c r="AF694" s="311"/>
      <c r="AG694" s="311"/>
      <c r="AH694" s="311"/>
      <c r="AI694" s="311"/>
      <c r="AJ694" s="311"/>
      <c r="AK694" s="311"/>
      <c r="AL694" s="311"/>
      <c r="AM694" s="311"/>
      <c r="AN694" s="311"/>
      <c r="AO694" s="311"/>
      <c r="AP694" s="311"/>
      <c r="AQ694" s="311"/>
      <c r="AR694" s="311"/>
    </row>
    <row r="695" spans="1:44" s="475" customFormat="1" ht="12" customHeight="1">
      <c r="A695" s="311"/>
      <c r="P695" s="387"/>
      <c r="X695" s="311"/>
      <c r="Y695" s="311"/>
      <c r="Z695" s="311"/>
      <c r="AA695" s="311"/>
      <c r="AB695" s="311"/>
      <c r="AC695" s="311"/>
      <c r="AD695" s="311"/>
      <c r="AE695" s="311"/>
      <c r="AF695" s="311"/>
      <c r="AG695" s="311"/>
      <c r="AH695" s="311"/>
      <c r="AI695" s="311"/>
      <c r="AJ695" s="311"/>
      <c r="AK695" s="311"/>
      <c r="AL695" s="311"/>
      <c r="AM695" s="311"/>
      <c r="AN695" s="311"/>
      <c r="AO695" s="311"/>
      <c r="AP695" s="311"/>
      <c r="AQ695" s="311"/>
      <c r="AR695" s="311"/>
    </row>
    <row r="696" spans="1:44" s="475" customFormat="1" ht="12" customHeight="1">
      <c r="A696" s="311"/>
      <c r="P696" s="3657"/>
      <c r="X696" s="311"/>
      <c r="Y696" s="311"/>
      <c r="Z696" s="311"/>
      <c r="AA696" s="311"/>
      <c r="AB696" s="311"/>
      <c r="AC696" s="311"/>
      <c r="AD696" s="311"/>
      <c r="AE696" s="311"/>
      <c r="AF696" s="311"/>
      <c r="AG696" s="311"/>
      <c r="AH696" s="311"/>
      <c r="AI696" s="311"/>
      <c r="AJ696" s="311"/>
      <c r="AK696" s="311"/>
      <c r="AL696" s="311"/>
      <c r="AM696" s="311"/>
      <c r="AN696" s="311"/>
      <c r="AO696" s="311"/>
      <c r="AP696" s="311"/>
      <c r="AQ696" s="311"/>
      <c r="AR696" s="311"/>
    </row>
    <row r="697" spans="1:44" s="475" customFormat="1" ht="12" customHeight="1">
      <c r="A697" s="311"/>
      <c r="P697" s="387"/>
      <c r="X697" s="311"/>
      <c r="Y697" s="311"/>
      <c r="Z697" s="311"/>
      <c r="AA697" s="311"/>
      <c r="AB697" s="311"/>
      <c r="AC697" s="311"/>
      <c r="AD697" s="311"/>
      <c r="AE697" s="311"/>
      <c r="AF697" s="311"/>
      <c r="AG697" s="311"/>
      <c r="AH697" s="311"/>
      <c r="AI697" s="311"/>
      <c r="AJ697" s="311"/>
      <c r="AK697" s="311"/>
      <c r="AL697" s="311"/>
      <c r="AM697" s="311"/>
      <c r="AN697" s="311"/>
      <c r="AO697" s="311"/>
      <c r="AP697" s="311"/>
      <c r="AQ697" s="311"/>
      <c r="AR697" s="311"/>
    </row>
    <row r="698" spans="1:44" s="475" customFormat="1" ht="12" customHeight="1">
      <c r="A698" s="311"/>
      <c r="P698" s="387"/>
      <c r="X698" s="311"/>
      <c r="Y698" s="311"/>
      <c r="Z698" s="311"/>
      <c r="AA698" s="311"/>
      <c r="AB698" s="311"/>
      <c r="AC698" s="311"/>
      <c r="AD698" s="311"/>
      <c r="AE698" s="311"/>
      <c r="AF698" s="311"/>
      <c r="AG698" s="311"/>
      <c r="AH698" s="311"/>
      <c r="AI698" s="311"/>
      <c r="AJ698" s="311"/>
      <c r="AK698" s="311"/>
      <c r="AL698" s="311"/>
      <c r="AM698" s="311"/>
      <c r="AN698" s="311"/>
      <c r="AO698" s="311"/>
      <c r="AP698" s="311"/>
      <c r="AQ698" s="311"/>
      <c r="AR698" s="311"/>
    </row>
    <row r="699" spans="1:44" s="475" customFormat="1" ht="12" customHeight="1">
      <c r="A699" s="311"/>
      <c r="P699" s="387"/>
      <c r="X699" s="311"/>
      <c r="Y699" s="311"/>
      <c r="Z699" s="311"/>
      <c r="AA699" s="311"/>
      <c r="AB699" s="311"/>
      <c r="AC699" s="311"/>
      <c r="AD699" s="311"/>
      <c r="AE699" s="311"/>
      <c r="AF699" s="311"/>
      <c r="AG699" s="311"/>
      <c r="AH699" s="311"/>
      <c r="AI699" s="311"/>
      <c r="AJ699" s="311"/>
      <c r="AK699" s="311"/>
      <c r="AL699" s="311"/>
      <c r="AM699" s="311"/>
      <c r="AN699" s="311"/>
      <c r="AO699" s="311"/>
      <c r="AP699" s="311"/>
      <c r="AQ699" s="311"/>
      <c r="AR699" s="311"/>
    </row>
    <row r="700" spans="1:44" s="475" customFormat="1" ht="12" customHeight="1">
      <c r="A700" s="311"/>
      <c r="P700" s="387"/>
      <c r="X700" s="311"/>
      <c r="Y700" s="311"/>
      <c r="Z700" s="311"/>
      <c r="AA700" s="311"/>
      <c r="AB700" s="311"/>
      <c r="AC700" s="311"/>
      <c r="AD700" s="311"/>
      <c r="AE700" s="311"/>
      <c r="AF700" s="311"/>
      <c r="AG700" s="311"/>
      <c r="AH700" s="311"/>
      <c r="AI700" s="311"/>
      <c r="AJ700" s="311"/>
      <c r="AK700" s="311"/>
      <c r="AL700" s="311"/>
      <c r="AM700" s="311"/>
      <c r="AN700" s="311"/>
      <c r="AO700" s="311"/>
      <c r="AP700" s="311"/>
      <c r="AQ700" s="311"/>
      <c r="AR700" s="311"/>
    </row>
    <row r="701" spans="1:44" s="475" customFormat="1" ht="12" customHeight="1">
      <c r="A701" s="311"/>
      <c r="P701" s="387"/>
      <c r="X701" s="311"/>
      <c r="Y701" s="311"/>
      <c r="Z701" s="311"/>
      <c r="AA701" s="311"/>
      <c r="AB701" s="311"/>
      <c r="AC701" s="311"/>
      <c r="AD701" s="311"/>
      <c r="AE701" s="311"/>
      <c r="AF701" s="311"/>
      <c r="AG701" s="311"/>
      <c r="AH701" s="311"/>
      <c r="AI701" s="311"/>
      <c r="AJ701" s="311"/>
      <c r="AK701" s="311"/>
      <c r="AL701" s="311"/>
      <c r="AM701" s="311"/>
      <c r="AN701" s="311"/>
      <c r="AO701" s="311"/>
      <c r="AP701" s="311"/>
      <c r="AQ701" s="311"/>
      <c r="AR701" s="311"/>
    </row>
    <row r="702" spans="1:44" s="475" customFormat="1" ht="12" customHeight="1">
      <c r="A702" s="311"/>
      <c r="P702" s="387"/>
      <c r="X702" s="311"/>
      <c r="Y702" s="311"/>
      <c r="Z702" s="311"/>
      <c r="AA702" s="311"/>
      <c r="AB702" s="311"/>
      <c r="AC702" s="311"/>
      <c r="AD702" s="311"/>
      <c r="AE702" s="311"/>
      <c r="AF702" s="311"/>
      <c r="AG702" s="311"/>
      <c r="AH702" s="311"/>
      <c r="AI702" s="311"/>
      <c r="AJ702" s="311"/>
      <c r="AK702" s="311"/>
      <c r="AL702" s="311"/>
      <c r="AM702" s="311"/>
      <c r="AN702" s="311"/>
      <c r="AO702" s="311"/>
      <c r="AP702" s="311"/>
      <c r="AQ702" s="311"/>
      <c r="AR702" s="311"/>
    </row>
    <row r="703" spans="1:44" s="475" customFormat="1" ht="12" customHeight="1">
      <c r="A703" s="311"/>
      <c r="P703" s="387"/>
      <c r="X703" s="311"/>
      <c r="Y703" s="311"/>
      <c r="Z703" s="311"/>
      <c r="AA703" s="311"/>
      <c r="AB703" s="311"/>
      <c r="AC703" s="311"/>
      <c r="AD703" s="311"/>
      <c r="AE703" s="311"/>
      <c r="AF703" s="311"/>
      <c r="AG703" s="311"/>
      <c r="AH703" s="311"/>
      <c r="AI703" s="311"/>
      <c r="AJ703" s="311"/>
      <c r="AK703" s="311"/>
      <c r="AL703" s="311"/>
      <c r="AM703" s="311"/>
      <c r="AN703" s="311"/>
      <c r="AO703" s="311"/>
      <c r="AP703" s="311"/>
      <c r="AQ703" s="311"/>
      <c r="AR703" s="311"/>
    </row>
    <row r="704" spans="1:44" s="475" customFormat="1" ht="12" customHeight="1">
      <c r="A704" s="311"/>
      <c r="P704" s="387"/>
      <c r="X704" s="311"/>
      <c r="Y704" s="311"/>
      <c r="Z704" s="311"/>
      <c r="AA704" s="311"/>
      <c r="AB704" s="311"/>
      <c r="AC704" s="311"/>
      <c r="AD704" s="311"/>
      <c r="AE704" s="311"/>
      <c r="AF704" s="311"/>
      <c r="AG704" s="311"/>
      <c r="AH704" s="311"/>
      <c r="AI704" s="311"/>
      <c r="AJ704" s="311"/>
      <c r="AK704" s="311"/>
      <c r="AL704" s="311"/>
      <c r="AM704" s="311"/>
      <c r="AN704" s="311"/>
      <c r="AO704" s="311"/>
      <c r="AP704" s="311"/>
      <c r="AQ704" s="311"/>
      <c r="AR704" s="311"/>
    </row>
    <row r="705" spans="1:44" s="475" customFormat="1" ht="12" customHeight="1">
      <c r="A705" s="311"/>
      <c r="P705" s="387"/>
      <c r="X705" s="311"/>
      <c r="Y705" s="311"/>
      <c r="Z705" s="311"/>
      <c r="AA705" s="311"/>
      <c r="AB705" s="311"/>
      <c r="AC705" s="311"/>
      <c r="AD705" s="311"/>
      <c r="AE705" s="311"/>
      <c r="AF705" s="311"/>
      <c r="AG705" s="311"/>
      <c r="AH705" s="311"/>
      <c r="AI705" s="311"/>
      <c r="AJ705" s="311"/>
      <c r="AK705" s="311"/>
      <c r="AL705" s="311"/>
      <c r="AM705" s="311"/>
      <c r="AN705" s="311"/>
      <c r="AO705" s="311"/>
      <c r="AP705" s="311"/>
      <c r="AQ705" s="311"/>
      <c r="AR705" s="311"/>
    </row>
    <row r="706" spans="1:44" s="475" customFormat="1" ht="12" customHeight="1">
      <c r="A706" s="311"/>
      <c r="P706" s="387"/>
      <c r="X706" s="311"/>
      <c r="Y706" s="311"/>
      <c r="Z706" s="311"/>
      <c r="AA706" s="311"/>
      <c r="AB706" s="311"/>
      <c r="AC706" s="311"/>
      <c r="AD706" s="311"/>
      <c r="AE706" s="311"/>
      <c r="AF706" s="311"/>
      <c r="AG706" s="311"/>
      <c r="AH706" s="311"/>
      <c r="AI706" s="311"/>
      <c r="AJ706" s="311"/>
      <c r="AK706" s="311"/>
      <c r="AL706" s="311"/>
      <c r="AM706" s="311"/>
      <c r="AN706" s="311"/>
      <c r="AO706" s="311"/>
      <c r="AP706" s="311"/>
      <c r="AQ706" s="311"/>
      <c r="AR706" s="311"/>
    </row>
    <row r="707" spans="1:44" s="475" customFormat="1" ht="12" customHeight="1">
      <c r="A707" s="311"/>
      <c r="P707" s="3657"/>
      <c r="X707" s="311"/>
      <c r="Y707" s="311"/>
      <c r="Z707" s="311"/>
      <c r="AA707" s="311"/>
      <c r="AB707" s="311"/>
      <c r="AC707" s="311"/>
      <c r="AD707" s="311"/>
      <c r="AE707" s="311"/>
      <c r="AF707" s="311"/>
      <c r="AG707" s="311"/>
      <c r="AH707" s="311"/>
      <c r="AI707" s="311"/>
      <c r="AJ707" s="311"/>
      <c r="AK707" s="311"/>
      <c r="AL707" s="311"/>
      <c r="AM707" s="311"/>
      <c r="AN707" s="311"/>
      <c r="AO707" s="311"/>
      <c r="AP707" s="311"/>
      <c r="AQ707" s="311"/>
      <c r="AR707" s="311"/>
    </row>
    <row r="708" spans="1:44" s="475" customFormat="1" ht="12" customHeight="1">
      <c r="A708" s="311"/>
      <c r="P708" s="387"/>
      <c r="X708" s="311"/>
      <c r="Y708" s="311"/>
      <c r="Z708" s="311"/>
      <c r="AA708" s="311"/>
      <c r="AB708" s="311"/>
      <c r="AC708" s="311"/>
      <c r="AD708" s="311"/>
      <c r="AE708" s="311"/>
      <c r="AF708" s="311"/>
      <c r="AG708" s="311"/>
      <c r="AH708" s="311"/>
      <c r="AI708" s="311"/>
      <c r="AJ708" s="311"/>
      <c r="AK708" s="311"/>
      <c r="AL708" s="311"/>
      <c r="AM708" s="311"/>
      <c r="AN708" s="311"/>
      <c r="AO708" s="311"/>
      <c r="AP708" s="311"/>
      <c r="AQ708" s="311"/>
      <c r="AR708" s="311"/>
    </row>
    <row r="709" spans="1:44" s="475" customFormat="1" ht="12" customHeight="1">
      <c r="A709" s="311"/>
      <c r="P709" s="387"/>
      <c r="X709" s="311"/>
      <c r="Y709" s="311"/>
      <c r="Z709" s="311"/>
      <c r="AA709" s="311"/>
      <c r="AB709" s="311"/>
      <c r="AC709" s="311"/>
      <c r="AD709" s="311"/>
      <c r="AE709" s="311"/>
      <c r="AF709" s="311"/>
      <c r="AG709" s="311"/>
      <c r="AH709" s="311"/>
      <c r="AI709" s="311"/>
      <c r="AJ709" s="311"/>
      <c r="AK709" s="311"/>
      <c r="AL709" s="311"/>
      <c r="AM709" s="311"/>
      <c r="AN709" s="311"/>
      <c r="AO709" s="311"/>
      <c r="AP709" s="311"/>
      <c r="AQ709" s="311"/>
      <c r="AR709" s="311"/>
    </row>
    <row r="710" spans="1:44" s="475" customFormat="1" ht="12" customHeight="1">
      <c r="A710" s="311"/>
      <c r="P710" s="387"/>
      <c r="X710" s="311"/>
      <c r="Y710" s="311"/>
      <c r="Z710" s="311"/>
      <c r="AA710" s="311"/>
      <c r="AB710" s="311"/>
      <c r="AC710" s="311"/>
      <c r="AD710" s="311"/>
      <c r="AE710" s="311"/>
      <c r="AF710" s="311"/>
      <c r="AG710" s="311"/>
      <c r="AH710" s="311"/>
      <c r="AI710" s="311"/>
      <c r="AJ710" s="311"/>
      <c r="AK710" s="311"/>
      <c r="AL710" s="311"/>
      <c r="AM710" s="311"/>
      <c r="AN710" s="311"/>
      <c r="AO710" s="311"/>
      <c r="AP710" s="311"/>
      <c r="AQ710" s="311"/>
      <c r="AR710" s="311"/>
    </row>
    <row r="711" spans="1:44" s="475" customFormat="1" ht="12" customHeight="1">
      <c r="A711" s="311"/>
      <c r="P711" s="387"/>
      <c r="X711" s="311"/>
      <c r="Y711" s="311"/>
      <c r="Z711" s="311"/>
      <c r="AA711" s="311"/>
      <c r="AB711" s="311"/>
      <c r="AC711" s="311"/>
      <c r="AD711" s="311"/>
      <c r="AE711" s="311"/>
      <c r="AF711" s="311"/>
      <c r="AG711" s="311"/>
      <c r="AH711" s="311"/>
      <c r="AI711" s="311"/>
      <c r="AJ711" s="311"/>
      <c r="AK711" s="311"/>
      <c r="AL711" s="311"/>
      <c r="AM711" s="311"/>
      <c r="AN711" s="311"/>
      <c r="AO711" s="311"/>
      <c r="AP711" s="311"/>
      <c r="AQ711" s="311"/>
      <c r="AR711" s="311"/>
    </row>
    <row r="712" spans="1:44" s="475" customFormat="1" ht="12" customHeight="1">
      <c r="A712" s="311"/>
      <c r="P712" s="387"/>
      <c r="X712" s="311"/>
      <c r="Y712" s="311"/>
      <c r="Z712" s="311"/>
      <c r="AA712" s="311"/>
      <c r="AB712" s="311"/>
      <c r="AC712" s="311"/>
      <c r="AD712" s="311"/>
      <c r="AE712" s="311"/>
      <c r="AF712" s="311"/>
      <c r="AG712" s="311"/>
      <c r="AH712" s="311"/>
      <c r="AI712" s="311"/>
      <c r="AJ712" s="311"/>
      <c r="AK712" s="311"/>
      <c r="AL712" s="311"/>
      <c r="AM712" s="311"/>
      <c r="AN712" s="311"/>
      <c r="AO712" s="311"/>
      <c r="AP712" s="311"/>
      <c r="AQ712" s="311"/>
      <c r="AR712" s="311"/>
    </row>
    <row r="713" spans="1:44" s="475" customFormat="1" ht="12" customHeight="1">
      <c r="A713" s="311"/>
      <c r="P713" s="387"/>
      <c r="X713" s="311"/>
      <c r="Y713" s="311"/>
      <c r="Z713" s="311"/>
      <c r="AA713" s="311"/>
      <c r="AB713" s="311"/>
      <c r="AC713" s="311"/>
      <c r="AD713" s="311"/>
      <c r="AE713" s="311"/>
      <c r="AF713" s="311"/>
      <c r="AG713" s="311"/>
      <c r="AH713" s="311"/>
      <c r="AI713" s="311"/>
      <c r="AJ713" s="311"/>
      <c r="AK713" s="311"/>
      <c r="AL713" s="311"/>
      <c r="AM713" s="311"/>
      <c r="AN713" s="311"/>
      <c r="AO713" s="311"/>
      <c r="AP713" s="311"/>
      <c r="AQ713" s="311"/>
      <c r="AR713" s="311"/>
    </row>
    <row r="714" spans="1:44" s="475" customFormat="1" ht="12" customHeight="1">
      <c r="A714" s="311"/>
      <c r="P714" s="387"/>
      <c r="X714" s="311"/>
      <c r="Y714" s="311"/>
      <c r="Z714" s="311"/>
      <c r="AA714" s="311"/>
      <c r="AB714" s="311"/>
      <c r="AC714" s="311"/>
      <c r="AD714" s="311"/>
      <c r="AE714" s="311"/>
      <c r="AF714" s="311"/>
      <c r="AG714" s="311"/>
      <c r="AH714" s="311"/>
      <c r="AI714" s="311"/>
      <c r="AJ714" s="311"/>
      <c r="AK714" s="311"/>
      <c r="AL714" s="311"/>
      <c r="AM714" s="311"/>
      <c r="AN714" s="311"/>
      <c r="AO714" s="311"/>
      <c r="AP714" s="311"/>
      <c r="AQ714" s="311"/>
      <c r="AR714" s="311"/>
    </row>
    <row r="715" spans="1:44" s="475" customFormat="1" ht="12" customHeight="1">
      <c r="A715" s="311"/>
      <c r="P715" s="387"/>
      <c r="X715" s="311"/>
      <c r="Y715" s="311"/>
      <c r="Z715" s="311"/>
      <c r="AA715" s="311"/>
      <c r="AB715" s="311"/>
      <c r="AC715" s="311"/>
      <c r="AD715" s="311"/>
      <c r="AE715" s="311"/>
      <c r="AF715" s="311"/>
      <c r="AG715" s="311"/>
      <c r="AH715" s="311"/>
      <c r="AI715" s="311"/>
      <c r="AJ715" s="311"/>
      <c r="AK715" s="311"/>
      <c r="AL715" s="311"/>
      <c r="AM715" s="311"/>
      <c r="AN715" s="311"/>
      <c r="AO715" s="311"/>
      <c r="AP715" s="311"/>
      <c r="AQ715" s="311"/>
      <c r="AR715" s="311"/>
    </row>
    <row r="716" spans="1:44" s="475" customFormat="1" ht="12" customHeight="1">
      <c r="A716" s="311"/>
      <c r="P716" s="387"/>
      <c r="X716" s="311"/>
      <c r="Y716" s="311"/>
      <c r="Z716" s="311"/>
      <c r="AA716" s="311"/>
      <c r="AB716" s="311"/>
      <c r="AC716" s="311"/>
      <c r="AD716" s="311"/>
      <c r="AE716" s="311"/>
      <c r="AF716" s="311"/>
      <c r="AG716" s="311"/>
      <c r="AH716" s="311"/>
      <c r="AI716" s="311"/>
      <c r="AJ716" s="311"/>
      <c r="AK716" s="311"/>
      <c r="AL716" s="311"/>
      <c r="AM716" s="311"/>
      <c r="AN716" s="311"/>
      <c r="AO716" s="311"/>
      <c r="AP716" s="311"/>
      <c r="AQ716" s="311"/>
      <c r="AR716" s="311"/>
    </row>
    <row r="717" spans="1:44" s="475" customFormat="1" ht="12" customHeight="1">
      <c r="A717" s="311"/>
      <c r="P717" s="387"/>
      <c r="X717" s="311"/>
      <c r="Y717" s="311"/>
      <c r="Z717" s="311"/>
      <c r="AA717" s="311"/>
      <c r="AB717" s="311"/>
      <c r="AC717" s="311"/>
      <c r="AD717" s="311"/>
      <c r="AE717" s="311"/>
      <c r="AF717" s="311"/>
      <c r="AG717" s="311"/>
      <c r="AH717" s="311"/>
      <c r="AI717" s="311"/>
      <c r="AJ717" s="311"/>
      <c r="AK717" s="311"/>
      <c r="AL717" s="311"/>
      <c r="AM717" s="311"/>
      <c r="AN717" s="311"/>
      <c r="AO717" s="311"/>
      <c r="AP717" s="311"/>
      <c r="AQ717" s="311"/>
      <c r="AR717" s="311"/>
    </row>
    <row r="718" spans="1:44" s="475" customFormat="1" ht="12" customHeight="1">
      <c r="A718" s="311"/>
      <c r="P718" s="387"/>
      <c r="X718" s="311"/>
      <c r="Y718" s="311"/>
      <c r="Z718" s="311"/>
      <c r="AA718" s="311"/>
      <c r="AB718" s="311"/>
      <c r="AC718" s="311"/>
      <c r="AD718" s="311"/>
      <c r="AE718" s="311"/>
      <c r="AF718" s="311"/>
      <c r="AG718" s="311"/>
      <c r="AH718" s="311"/>
      <c r="AI718" s="311"/>
      <c r="AJ718" s="311"/>
      <c r="AK718" s="311"/>
      <c r="AL718" s="311"/>
      <c r="AM718" s="311"/>
      <c r="AN718" s="311"/>
      <c r="AO718" s="311"/>
      <c r="AP718" s="311"/>
      <c r="AQ718" s="311"/>
      <c r="AR718" s="311"/>
    </row>
    <row r="719" spans="1:44" s="475" customFormat="1" ht="12" customHeight="1">
      <c r="A719" s="311"/>
      <c r="P719" s="3657"/>
      <c r="X719" s="311"/>
      <c r="Y719" s="311"/>
      <c r="Z719" s="311"/>
      <c r="AA719" s="311"/>
      <c r="AB719" s="311"/>
      <c r="AC719" s="311"/>
      <c r="AD719" s="311"/>
      <c r="AE719" s="311"/>
      <c r="AF719" s="311"/>
      <c r="AG719" s="311"/>
      <c r="AH719" s="311"/>
      <c r="AI719" s="311"/>
      <c r="AJ719" s="311"/>
      <c r="AK719" s="311"/>
      <c r="AL719" s="311"/>
      <c r="AM719" s="311"/>
      <c r="AN719" s="311"/>
      <c r="AO719" s="311"/>
      <c r="AP719" s="311"/>
      <c r="AQ719" s="311"/>
      <c r="AR719" s="311"/>
    </row>
    <row r="720" spans="1:44" s="475" customFormat="1" ht="12" customHeight="1">
      <c r="A720" s="311"/>
      <c r="P720" s="3657"/>
      <c r="X720" s="311"/>
      <c r="Y720" s="311"/>
      <c r="Z720" s="311"/>
      <c r="AA720" s="311"/>
      <c r="AB720" s="311"/>
      <c r="AC720" s="311"/>
      <c r="AD720" s="311"/>
      <c r="AE720" s="311"/>
      <c r="AF720" s="311"/>
      <c r="AG720" s="311"/>
      <c r="AH720" s="311"/>
      <c r="AI720" s="311"/>
      <c r="AJ720" s="311"/>
      <c r="AK720" s="311"/>
      <c r="AL720" s="311"/>
      <c r="AM720" s="311"/>
      <c r="AN720" s="311"/>
      <c r="AO720" s="311"/>
      <c r="AP720" s="311"/>
      <c r="AQ720" s="311"/>
      <c r="AR720" s="311"/>
    </row>
    <row r="721" spans="1:44" s="475" customFormat="1" ht="12" customHeight="1">
      <c r="A721" s="311"/>
      <c r="P721" s="387"/>
      <c r="X721" s="311"/>
      <c r="Y721" s="311"/>
      <c r="Z721" s="311"/>
      <c r="AA721" s="311"/>
      <c r="AB721" s="311"/>
      <c r="AC721" s="311"/>
      <c r="AD721" s="311"/>
      <c r="AE721" s="311"/>
      <c r="AF721" s="311"/>
      <c r="AG721" s="311"/>
      <c r="AH721" s="311"/>
      <c r="AI721" s="311"/>
      <c r="AJ721" s="311"/>
      <c r="AK721" s="311"/>
      <c r="AL721" s="311"/>
      <c r="AM721" s="311"/>
      <c r="AN721" s="311"/>
      <c r="AO721" s="311"/>
      <c r="AP721" s="311"/>
      <c r="AQ721" s="311"/>
      <c r="AR721" s="311"/>
    </row>
    <row r="722" spans="1:44" s="475" customFormat="1" ht="12" customHeight="1">
      <c r="A722" s="311"/>
      <c r="P722" s="387"/>
      <c r="X722" s="311"/>
      <c r="Y722" s="311"/>
      <c r="Z722" s="311"/>
      <c r="AA722" s="311"/>
      <c r="AB722" s="311"/>
      <c r="AC722" s="311"/>
      <c r="AD722" s="311"/>
      <c r="AE722" s="311"/>
      <c r="AF722" s="311"/>
      <c r="AG722" s="311"/>
      <c r="AH722" s="311"/>
      <c r="AI722" s="311"/>
      <c r="AJ722" s="311"/>
      <c r="AK722" s="311"/>
      <c r="AL722" s="311"/>
      <c r="AM722" s="311"/>
      <c r="AN722" s="311"/>
      <c r="AO722" s="311"/>
      <c r="AP722" s="311"/>
      <c r="AQ722" s="311"/>
      <c r="AR722" s="311"/>
    </row>
    <row r="723" spans="1:44" s="475" customFormat="1" ht="12" customHeight="1">
      <c r="A723" s="311"/>
      <c r="P723" s="387"/>
      <c r="X723" s="311"/>
      <c r="Y723" s="311"/>
      <c r="Z723" s="311"/>
      <c r="AA723" s="311"/>
      <c r="AB723" s="311"/>
      <c r="AC723" s="311"/>
      <c r="AD723" s="311"/>
      <c r="AE723" s="311"/>
      <c r="AF723" s="311"/>
      <c r="AG723" s="311"/>
      <c r="AH723" s="311"/>
      <c r="AI723" s="311"/>
      <c r="AJ723" s="311"/>
      <c r="AK723" s="311"/>
      <c r="AL723" s="311"/>
      <c r="AM723" s="311"/>
      <c r="AN723" s="311"/>
      <c r="AO723" s="311"/>
      <c r="AP723" s="311"/>
      <c r="AQ723" s="311"/>
      <c r="AR723" s="311"/>
    </row>
    <row r="724" spans="1:44" s="475" customFormat="1" ht="12" customHeight="1">
      <c r="A724" s="311"/>
      <c r="P724" s="387"/>
      <c r="X724" s="311"/>
      <c r="Y724" s="311"/>
      <c r="Z724" s="311"/>
      <c r="AA724" s="311"/>
      <c r="AB724" s="311"/>
      <c r="AC724" s="311"/>
      <c r="AD724" s="311"/>
      <c r="AE724" s="311"/>
      <c r="AF724" s="311"/>
      <c r="AG724" s="311"/>
      <c r="AH724" s="311"/>
      <c r="AI724" s="311"/>
      <c r="AJ724" s="311"/>
      <c r="AK724" s="311"/>
      <c r="AL724" s="311"/>
      <c r="AM724" s="311"/>
      <c r="AN724" s="311"/>
      <c r="AO724" s="311"/>
      <c r="AP724" s="311"/>
      <c r="AQ724" s="311"/>
      <c r="AR724" s="311"/>
    </row>
    <row r="725" spans="1:44" s="475" customFormat="1" ht="12" customHeight="1">
      <c r="A725" s="311"/>
      <c r="P725" s="387"/>
      <c r="X725" s="311"/>
      <c r="Y725" s="311"/>
      <c r="Z725" s="311"/>
      <c r="AA725" s="311"/>
      <c r="AB725" s="311"/>
      <c r="AC725" s="311"/>
      <c r="AD725" s="311"/>
      <c r="AE725" s="311"/>
      <c r="AF725" s="311"/>
      <c r="AG725" s="311"/>
      <c r="AH725" s="311"/>
      <c r="AI725" s="311"/>
      <c r="AJ725" s="311"/>
      <c r="AK725" s="311"/>
      <c r="AL725" s="311"/>
      <c r="AM725" s="311"/>
      <c r="AN725" s="311"/>
      <c r="AO725" s="311"/>
      <c r="AP725" s="311"/>
      <c r="AQ725" s="311"/>
      <c r="AR725" s="311"/>
    </row>
    <row r="726" spans="1:44" s="475" customFormat="1" ht="12" customHeight="1">
      <c r="A726" s="311"/>
      <c r="P726" s="387"/>
      <c r="X726" s="311"/>
      <c r="Y726" s="311"/>
      <c r="Z726" s="311"/>
      <c r="AA726" s="311"/>
      <c r="AB726" s="311"/>
      <c r="AC726" s="311"/>
      <c r="AD726" s="311"/>
      <c r="AE726" s="311"/>
      <c r="AF726" s="311"/>
      <c r="AG726" s="311"/>
      <c r="AH726" s="311"/>
      <c r="AI726" s="311"/>
      <c r="AJ726" s="311"/>
      <c r="AK726" s="311"/>
      <c r="AL726" s="311"/>
      <c r="AM726" s="311"/>
      <c r="AN726" s="311"/>
      <c r="AO726" s="311"/>
      <c r="AP726" s="311"/>
      <c r="AQ726" s="311"/>
      <c r="AR726" s="311"/>
    </row>
    <row r="727" spans="1:44" s="475" customFormat="1" ht="12" customHeight="1">
      <c r="A727" s="311"/>
      <c r="P727" s="387"/>
      <c r="X727" s="311"/>
      <c r="Y727" s="311"/>
      <c r="Z727" s="311"/>
      <c r="AA727" s="311"/>
      <c r="AB727" s="311"/>
      <c r="AC727" s="311"/>
      <c r="AD727" s="311"/>
      <c r="AE727" s="311"/>
      <c r="AF727" s="311"/>
      <c r="AG727" s="311"/>
      <c r="AH727" s="311"/>
      <c r="AI727" s="311"/>
      <c r="AJ727" s="311"/>
      <c r="AK727" s="311"/>
      <c r="AL727" s="311"/>
      <c r="AM727" s="311"/>
      <c r="AN727" s="311"/>
      <c r="AO727" s="311"/>
      <c r="AP727" s="311"/>
      <c r="AQ727" s="311"/>
      <c r="AR727" s="311"/>
    </row>
    <row r="728" spans="1:44" s="475" customFormat="1" ht="12" customHeight="1">
      <c r="A728" s="311"/>
      <c r="P728" s="387"/>
      <c r="X728" s="311"/>
      <c r="Y728" s="311"/>
      <c r="Z728" s="311"/>
      <c r="AA728" s="311"/>
      <c r="AB728" s="311"/>
      <c r="AC728" s="311"/>
      <c r="AD728" s="311"/>
      <c r="AE728" s="311"/>
      <c r="AF728" s="311"/>
      <c r="AG728" s="311"/>
      <c r="AH728" s="311"/>
      <c r="AI728" s="311"/>
      <c r="AJ728" s="311"/>
      <c r="AK728" s="311"/>
      <c r="AL728" s="311"/>
      <c r="AM728" s="311"/>
      <c r="AN728" s="311"/>
      <c r="AO728" s="311"/>
      <c r="AP728" s="311"/>
      <c r="AQ728" s="311"/>
      <c r="AR728" s="311"/>
    </row>
    <row r="729" spans="1:44" s="475" customFormat="1" ht="12" customHeight="1">
      <c r="A729" s="311"/>
      <c r="P729" s="387"/>
      <c r="X729" s="311"/>
      <c r="Y729" s="311"/>
      <c r="Z729" s="311"/>
      <c r="AA729" s="311"/>
      <c r="AB729" s="311"/>
      <c r="AC729" s="311"/>
      <c r="AD729" s="311"/>
      <c r="AE729" s="311"/>
      <c r="AF729" s="311"/>
      <c r="AG729" s="311"/>
      <c r="AH729" s="311"/>
      <c r="AI729" s="311"/>
      <c r="AJ729" s="311"/>
      <c r="AK729" s="311"/>
      <c r="AL729" s="311"/>
      <c r="AM729" s="311"/>
      <c r="AN729" s="311"/>
      <c r="AO729" s="311"/>
      <c r="AP729" s="311"/>
      <c r="AQ729" s="311"/>
      <c r="AR729" s="311"/>
    </row>
    <row r="730" spans="1:44" s="475" customFormat="1" ht="12" customHeight="1">
      <c r="A730" s="311"/>
      <c r="P730" s="387"/>
      <c r="X730" s="311"/>
      <c r="Y730" s="311"/>
      <c r="Z730" s="311"/>
      <c r="AA730" s="311"/>
      <c r="AB730" s="311"/>
      <c r="AC730" s="311"/>
      <c r="AD730" s="311"/>
      <c r="AE730" s="311"/>
      <c r="AF730" s="311"/>
      <c r="AG730" s="311"/>
      <c r="AH730" s="311"/>
      <c r="AI730" s="311"/>
      <c r="AJ730" s="311"/>
      <c r="AK730" s="311"/>
      <c r="AL730" s="311"/>
      <c r="AM730" s="311"/>
      <c r="AN730" s="311"/>
      <c r="AO730" s="311"/>
      <c r="AP730" s="311"/>
      <c r="AQ730" s="311"/>
      <c r="AR730" s="311"/>
    </row>
    <row r="731" spans="1:44" s="475" customFormat="1" ht="12" customHeight="1">
      <c r="A731" s="311"/>
      <c r="P731" s="387"/>
      <c r="Q731" s="3659"/>
      <c r="X731" s="311"/>
      <c r="Y731" s="311"/>
      <c r="Z731" s="311"/>
      <c r="AA731" s="311"/>
      <c r="AB731" s="311"/>
      <c r="AC731" s="311"/>
      <c r="AD731" s="311"/>
      <c r="AE731" s="311"/>
      <c r="AF731" s="311"/>
      <c r="AG731" s="311"/>
      <c r="AH731" s="311"/>
      <c r="AI731" s="311"/>
      <c r="AJ731" s="311"/>
      <c r="AK731" s="311"/>
      <c r="AL731" s="311"/>
      <c r="AM731" s="311"/>
      <c r="AN731" s="311"/>
      <c r="AO731" s="311"/>
      <c r="AP731" s="311"/>
      <c r="AQ731" s="311"/>
      <c r="AR731" s="311"/>
    </row>
    <row r="732" spans="1:44" s="475" customFormat="1" ht="12" customHeight="1">
      <c r="A732" s="311"/>
      <c r="P732" s="387"/>
      <c r="X732" s="311"/>
      <c r="Y732" s="311"/>
      <c r="Z732" s="311"/>
      <c r="AA732" s="311"/>
      <c r="AB732" s="311"/>
      <c r="AC732" s="311"/>
      <c r="AD732" s="311"/>
      <c r="AE732" s="311"/>
      <c r="AF732" s="311"/>
      <c r="AG732" s="311"/>
      <c r="AH732" s="311"/>
      <c r="AI732" s="311"/>
      <c r="AJ732" s="311"/>
      <c r="AK732" s="311"/>
      <c r="AL732" s="311"/>
      <c r="AM732" s="311"/>
      <c r="AN732" s="311"/>
      <c r="AO732" s="311"/>
      <c r="AP732" s="311"/>
      <c r="AQ732" s="311"/>
      <c r="AR732" s="311"/>
    </row>
    <row r="733" spans="1:44" s="475" customFormat="1" ht="12" customHeight="1">
      <c r="A733" s="311"/>
      <c r="P733" s="387"/>
      <c r="X733" s="311"/>
      <c r="Y733" s="311"/>
      <c r="Z733" s="311"/>
      <c r="AA733" s="311"/>
      <c r="AB733" s="311"/>
      <c r="AC733" s="311"/>
      <c r="AD733" s="311"/>
      <c r="AE733" s="311"/>
      <c r="AF733" s="311"/>
      <c r="AG733" s="311"/>
      <c r="AH733" s="311"/>
      <c r="AI733" s="311"/>
      <c r="AJ733" s="311"/>
      <c r="AK733" s="311"/>
      <c r="AL733" s="311"/>
      <c r="AM733" s="311"/>
      <c r="AN733" s="311"/>
      <c r="AO733" s="311"/>
      <c r="AP733" s="311"/>
      <c r="AQ733" s="311"/>
      <c r="AR733" s="311"/>
    </row>
    <row r="734" spans="1:44" s="475" customFormat="1" ht="12" customHeight="1">
      <c r="A734" s="311"/>
      <c r="P734" s="387"/>
      <c r="X734" s="311"/>
      <c r="Y734" s="311"/>
      <c r="Z734" s="311"/>
      <c r="AA734" s="311"/>
      <c r="AB734" s="311"/>
      <c r="AC734" s="311"/>
      <c r="AD734" s="311"/>
      <c r="AE734" s="311"/>
      <c r="AF734" s="311"/>
      <c r="AG734" s="311"/>
      <c r="AH734" s="311"/>
      <c r="AI734" s="311"/>
      <c r="AJ734" s="311"/>
      <c r="AK734" s="311"/>
      <c r="AL734" s="311"/>
      <c r="AM734" s="311"/>
      <c r="AN734" s="311"/>
      <c r="AO734" s="311"/>
      <c r="AP734" s="311"/>
      <c r="AQ734" s="311"/>
      <c r="AR734" s="311"/>
    </row>
    <row r="735" spans="1:44" s="475" customFormat="1" ht="12" customHeight="1">
      <c r="A735" s="311"/>
      <c r="P735" s="387"/>
      <c r="X735" s="311"/>
      <c r="Y735" s="311"/>
      <c r="Z735" s="311"/>
      <c r="AA735" s="311"/>
      <c r="AB735" s="311"/>
      <c r="AC735" s="311"/>
      <c r="AD735" s="311"/>
      <c r="AE735" s="311"/>
      <c r="AF735" s="311"/>
      <c r="AG735" s="311"/>
      <c r="AH735" s="311"/>
      <c r="AI735" s="311"/>
      <c r="AJ735" s="311"/>
      <c r="AK735" s="311"/>
      <c r="AL735" s="311"/>
      <c r="AM735" s="311"/>
      <c r="AN735" s="311"/>
      <c r="AO735" s="311"/>
      <c r="AP735" s="311"/>
      <c r="AQ735" s="311"/>
      <c r="AR735" s="311"/>
    </row>
    <row r="736" spans="1:44" s="475" customFormat="1" ht="12" customHeight="1">
      <c r="A736" s="311"/>
      <c r="P736" s="3656"/>
      <c r="X736" s="311"/>
      <c r="Y736" s="311"/>
      <c r="Z736" s="311"/>
      <c r="AA736" s="311"/>
      <c r="AB736" s="311"/>
      <c r="AC736" s="311"/>
      <c r="AD736" s="311"/>
      <c r="AE736" s="311"/>
      <c r="AF736" s="311"/>
      <c r="AG736" s="311"/>
      <c r="AH736" s="311"/>
      <c r="AI736" s="311"/>
      <c r="AJ736" s="311"/>
      <c r="AK736" s="311"/>
      <c r="AL736" s="311"/>
      <c r="AM736" s="311"/>
      <c r="AN736" s="311"/>
      <c r="AO736" s="311"/>
      <c r="AP736" s="311"/>
      <c r="AQ736" s="311"/>
      <c r="AR736" s="311"/>
    </row>
    <row r="737" spans="1:44" s="475" customFormat="1" ht="12" customHeight="1">
      <c r="A737" s="311"/>
      <c r="P737" s="387"/>
      <c r="X737" s="311"/>
      <c r="Y737" s="311"/>
      <c r="Z737" s="311"/>
      <c r="AA737" s="311"/>
      <c r="AB737" s="311"/>
      <c r="AC737" s="311"/>
      <c r="AD737" s="311"/>
      <c r="AE737" s="311"/>
      <c r="AF737" s="311"/>
      <c r="AG737" s="311"/>
      <c r="AH737" s="311"/>
      <c r="AI737" s="311"/>
      <c r="AJ737" s="311"/>
      <c r="AK737" s="311"/>
      <c r="AL737" s="311"/>
      <c r="AM737" s="311"/>
      <c r="AN737" s="311"/>
      <c r="AO737" s="311"/>
      <c r="AP737" s="311"/>
      <c r="AQ737" s="311"/>
      <c r="AR737" s="311"/>
    </row>
    <row r="738" spans="1:44" s="475" customFormat="1" ht="12" customHeight="1">
      <c r="A738" s="311"/>
      <c r="P738" s="387"/>
      <c r="X738" s="311"/>
      <c r="Y738" s="311"/>
      <c r="Z738" s="311"/>
      <c r="AA738" s="311"/>
      <c r="AB738" s="311"/>
      <c r="AC738" s="311"/>
      <c r="AD738" s="311"/>
      <c r="AE738" s="311"/>
      <c r="AF738" s="311"/>
      <c r="AG738" s="311"/>
      <c r="AH738" s="311"/>
      <c r="AI738" s="311"/>
      <c r="AJ738" s="311"/>
      <c r="AK738" s="311"/>
      <c r="AL738" s="311"/>
      <c r="AM738" s="311"/>
      <c r="AN738" s="311"/>
      <c r="AO738" s="311"/>
      <c r="AP738" s="311"/>
      <c r="AQ738" s="311"/>
      <c r="AR738" s="311"/>
    </row>
    <row r="739" spans="1:44" s="475" customFormat="1" ht="12" customHeight="1">
      <c r="A739" s="311"/>
      <c r="P739" s="387"/>
      <c r="X739" s="311"/>
      <c r="Y739" s="311"/>
      <c r="Z739" s="311"/>
      <c r="AA739" s="311"/>
      <c r="AB739" s="311"/>
      <c r="AC739" s="311"/>
      <c r="AD739" s="311"/>
      <c r="AE739" s="311"/>
      <c r="AF739" s="311"/>
      <c r="AG739" s="311"/>
      <c r="AH739" s="311"/>
      <c r="AI739" s="311"/>
      <c r="AJ739" s="311"/>
      <c r="AK739" s="311"/>
      <c r="AL739" s="311"/>
      <c r="AM739" s="311"/>
      <c r="AN739" s="311"/>
      <c r="AO739" s="311"/>
      <c r="AP739" s="311"/>
      <c r="AQ739" s="311"/>
      <c r="AR739" s="311"/>
    </row>
    <row r="740" spans="1:44" s="475" customFormat="1" ht="12" customHeight="1">
      <c r="A740" s="311"/>
      <c r="P740" s="387"/>
      <c r="X740" s="311"/>
      <c r="Y740" s="311"/>
      <c r="Z740" s="311"/>
      <c r="AA740" s="311"/>
      <c r="AB740" s="311"/>
      <c r="AC740" s="311"/>
      <c r="AD740" s="311"/>
      <c r="AE740" s="311"/>
      <c r="AF740" s="311"/>
      <c r="AG740" s="311"/>
      <c r="AH740" s="311"/>
      <c r="AI740" s="311"/>
      <c r="AJ740" s="311"/>
      <c r="AK740" s="311"/>
      <c r="AL740" s="311"/>
      <c r="AM740" s="311"/>
      <c r="AN740" s="311"/>
      <c r="AO740" s="311"/>
      <c r="AP740" s="311"/>
      <c r="AQ740" s="311"/>
      <c r="AR740" s="311"/>
    </row>
    <row r="741" spans="1:44" s="475" customFormat="1" ht="12" customHeight="1">
      <c r="A741" s="311"/>
      <c r="P741" s="387"/>
      <c r="X741" s="311"/>
      <c r="Y741" s="311"/>
      <c r="Z741" s="311"/>
      <c r="AA741" s="311"/>
      <c r="AB741" s="311"/>
      <c r="AC741" s="311"/>
      <c r="AD741" s="311"/>
      <c r="AE741" s="311"/>
      <c r="AF741" s="311"/>
      <c r="AG741" s="311"/>
      <c r="AH741" s="311"/>
      <c r="AI741" s="311"/>
      <c r="AJ741" s="311"/>
      <c r="AK741" s="311"/>
      <c r="AL741" s="311"/>
      <c r="AM741" s="311"/>
      <c r="AN741" s="311"/>
      <c r="AO741" s="311"/>
      <c r="AP741" s="311"/>
      <c r="AQ741" s="311"/>
      <c r="AR741" s="311"/>
    </row>
    <row r="742" spans="1:44" s="475" customFormat="1" ht="12" customHeight="1">
      <c r="A742" s="311"/>
      <c r="P742" s="387"/>
      <c r="X742" s="311"/>
      <c r="Y742" s="311"/>
      <c r="Z742" s="311"/>
      <c r="AA742" s="311"/>
      <c r="AB742" s="311"/>
      <c r="AC742" s="311"/>
      <c r="AD742" s="311"/>
      <c r="AE742" s="311"/>
      <c r="AF742" s="311"/>
      <c r="AG742" s="311"/>
      <c r="AH742" s="311"/>
      <c r="AI742" s="311"/>
      <c r="AJ742" s="311"/>
      <c r="AK742" s="311"/>
      <c r="AL742" s="311"/>
      <c r="AM742" s="311"/>
      <c r="AN742" s="311"/>
      <c r="AO742" s="311"/>
      <c r="AP742" s="311"/>
      <c r="AQ742" s="311"/>
      <c r="AR742" s="311"/>
    </row>
    <row r="743" spans="1:44" s="475" customFormat="1" ht="12" customHeight="1">
      <c r="A743" s="311"/>
      <c r="P743" s="387"/>
      <c r="X743" s="311"/>
      <c r="Y743" s="311"/>
      <c r="Z743" s="311"/>
      <c r="AA743" s="311"/>
      <c r="AB743" s="311"/>
      <c r="AC743" s="311"/>
      <c r="AD743" s="311"/>
      <c r="AE743" s="311"/>
      <c r="AF743" s="311"/>
      <c r="AG743" s="311"/>
      <c r="AH743" s="311"/>
      <c r="AI743" s="311"/>
      <c r="AJ743" s="311"/>
      <c r="AK743" s="311"/>
      <c r="AL743" s="311"/>
      <c r="AM743" s="311"/>
      <c r="AN743" s="311"/>
      <c r="AO743" s="311"/>
      <c r="AP743" s="311"/>
      <c r="AQ743" s="311"/>
      <c r="AR743" s="311"/>
    </row>
    <row r="744" spans="1:44" s="475" customFormat="1" ht="12" customHeight="1">
      <c r="A744" s="311"/>
      <c r="P744" s="387"/>
      <c r="X744" s="311"/>
      <c r="Y744" s="311"/>
      <c r="Z744" s="311"/>
      <c r="AA744" s="311"/>
      <c r="AB744" s="311"/>
      <c r="AC744" s="311"/>
      <c r="AD744" s="311"/>
      <c r="AE744" s="311"/>
      <c r="AF744" s="311"/>
      <c r="AG744" s="311"/>
      <c r="AH744" s="311"/>
      <c r="AI744" s="311"/>
      <c r="AJ744" s="311"/>
      <c r="AK744" s="311"/>
      <c r="AL744" s="311"/>
      <c r="AM744" s="311"/>
      <c r="AN744" s="311"/>
      <c r="AO744" s="311"/>
      <c r="AP744" s="311"/>
      <c r="AQ744" s="311"/>
      <c r="AR744" s="311"/>
    </row>
    <row r="745" spans="1:44" s="475" customFormat="1" ht="12" customHeight="1">
      <c r="A745" s="311"/>
      <c r="P745" s="387"/>
      <c r="X745" s="311"/>
      <c r="Y745" s="311"/>
      <c r="Z745" s="311"/>
      <c r="AA745" s="311"/>
      <c r="AB745" s="311"/>
      <c r="AC745" s="311"/>
      <c r="AD745" s="311"/>
      <c r="AE745" s="311"/>
      <c r="AF745" s="311"/>
      <c r="AG745" s="311"/>
      <c r="AH745" s="311"/>
      <c r="AI745" s="311"/>
      <c r="AJ745" s="311"/>
      <c r="AK745" s="311"/>
      <c r="AL745" s="311"/>
      <c r="AM745" s="311"/>
      <c r="AN745" s="311"/>
      <c r="AO745" s="311"/>
      <c r="AP745" s="311"/>
      <c r="AQ745" s="311"/>
      <c r="AR745" s="311"/>
    </row>
    <row r="746" spans="1:44" s="475" customFormat="1" ht="12" customHeight="1">
      <c r="A746" s="311"/>
      <c r="P746" s="387"/>
      <c r="X746" s="311"/>
      <c r="Y746" s="311"/>
      <c r="Z746" s="311"/>
      <c r="AA746" s="311"/>
      <c r="AB746" s="311"/>
      <c r="AC746" s="311"/>
      <c r="AD746" s="311"/>
      <c r="AE746" s="311"/>
      <c r="AF746" s="311"/>
      <c r="AG746" s="311"/>
      <c r="AH746" s="311"/>
      <c r="AI746" s="311"/>
      <c r="AJ746" s="311"/>
      <c r="AK746" s="311"/>
      <c r="AL746" s="311"/>
      <c r="AM746" s="311"/>
      <c r="AN746" s="311"/>
      <c r="AO746" s="311"/>
      <c r="AP746" s="311"/>
      <c r="AQ746" s="311"/>
      <c r="AR746" s="311"/>
    </row>
    <row r="747" spans="1:44" s="475" customFormat="1" ht="12" customHeight="1">
      <c r="A747" s="311"/>
      <c r="P747" s="387"/>
      <c r="X747" s="311"/>
      <c r="Y747" s="311"/>
      <c r="Z747" s="311"/>
      <c r="AA747" s="311"/>
      <c r="AB747" s="311"/>
      <c r="AC747" s="311"/>
      <c r="AD747" s="311"/>
      <c r="AE747" s="311"/>
      <c r="AF747" s="311"/>
      <c r="AG747" s="311"/>
      <c r="AH747" s="311"/>
      <c r="AI747" s="311"/>
      <c r="AJ747" s="311"/>
      <c r="AK747" s="311"/>
      <c r="AL747" s="311"/>
      <c r="AM747" s="311"/>
      <c r="AN747" s="311"/>
      <c r="AO747" s="311"/>
      <c r="AP747" s="311"/>
      <c r="AQ747" s="311"/>
      <c r="AR747" s="311"/>
    </row>
    <row r="748" spans="1:44" s="475" customFormat="1" ht="12" customHeight="1">
      <c r="A748" s="311"/>
      <c r="P748" s="3657"/>
      <c r="X748" s="311"/>
      <c r="Y748" s="311"/>
      <c r="Z748" s="311"/>
      <c r="AA748" s="311"/>
      <c r="AB748" s="311"/>
      <c r="AC748" s="311"/>
      <c r="AD748" s="311"/>
      <c r="AE748" s="311"/>
      <c r="AF748" s="311"/>
      <c r="AG748" s="311"/>
      <c r="AH748" s="311"/>
      <c r="AI748" s="311"/>
      <c r="AJ748" s="311"/>
      <c r="AK748" s="311"/>
      <c r="AL748" s="311"/>
      <c r="AM748" s="311"/>
      <c r="AN748" s="311"/>
      <c r="AO748" s="311"/>
      <c r="AP748" s="311"/>
      <c r="AQ748" s="311"/>
      <c r="AR748" s="311"/>
    </row>
    <row r="749" spans="1:44" s="475" customFormat="1" ht="12" customHeight="1">
      <c r="A749" s="311"/>
      <c r="P749" s="387"/>
      <c r="X749" s="311"/>
      <c r="Y749" s="311"/>
      <c r="Z749" s="311"/>
      <c r="AA749" s="311"/>
      <c r="AB749" s="311"/>
      <c r="AC749" s="311"/>
      <c r="AD749" s="311"/>
      <c r="AE749" s="311"/>
      <c r="AF749" s="311"/>
      <c r="AG749" s="311"/>
      <c r="AH749" s="311"/>
      <c r="AI749" s="311"/>
      <c r="AJ749" s="311"/>
      <c r="AK749" s="311"/>
      <c r="AL749" s="311"/>
      <c r="AM749" s="311"/>
      <c r="AN749" s="311"/>
      <c r="AO749" s="311"/>
      <c r="AP749" s="311"/>
      <c r="AQ749" s="311"/>
      <c r="AR749" s="311"/>
    </row>
    <row r="750" spans="1:44" s="475" customFormat="1" ht="12" customHeight="1">
      <c r="A750" s="311"/>
      <c r="P750" s="387"/>
      <c r="X750" s="311"/>
      <c r="Y750" s="311"/>
      <c r="Z750" s="311"/>
      <c r="AA750" s="311"/>
      <c r="AB750" s="311"/>
      <c r="AC750" s="311"/>
      <c r="AD750" s="311"/>
      <c r="AE750" s="311"/>
      <c r="AF750" s="311"/>
      <c r="AG750" s="311"/>
      <c r="AH750" s="311"/>
      <c r="AI750" s="311"/>
      <c r="AJ750" s="311"/>
      <c r="AK750" s="311"/>
      <c r="AL750" s="311"/>
      <c r="AM750" s="311"/>
      <c r="AN750" s="311"/>
      <c r="AO750" s="311"/>
      <c r="AP750" s="311"/>
      <c r="AQ750" s="311"/>
      <c r="AR750" s="311"/>
    </row>
    <row r="751" spans="1:44" s="475" customFormat="1" ht="12" customHeight="1">
      <c r="A751" s="311"/>
      <c r="P751" s="387"/>
      <c r="X751" s="311"/>
      <c r="Y751" s="311"/>
      <c r="Z751" s="311"/>
      <c r="AA751" s="311"/>
      <c r="AB751" s="311"/>
      <c r="AC751" s="311"/>
      <c r="AD751" s="311"/>
      <c r="AE751" s="311"/>
      <c r="AF751" s="311"/>
      <c r="AG751" s="311"/>
      <c r="AH751" s="311"/>
      <c r="AI751" s="311"/>
      <c r="AJ751" s="311"/>
      <c r="AK751" s="311"/>
      <c r="AL751" s="311"/>
      <c r="AM751" s="311"/>
      <c r="AN751" s="311"/>
      <c r="AO751" s="311"/>
      <c r="AP751" s="311"/>
      <c r="AQ751" s="311"/>
      <c r="AR751" s="311"/>
    </row>
    <row r="752" spans="1:44" s="475" customFormat="1" ht="12" customHeight="1">
      <c r="A752" s="311"/>
      <c r="P752" s="387"/>
      <c r="X752" s="311"/>
      <c r="Y752" s="311"/>
      <c r="Z752" s="311"/>
      <c r="AA752" s="311"/>
      <c r="AB752" s="311"/>
      <c r="AC752" s="311"/>
      <c r="AD752" s="311"/>
      <c r="AE752" s="311"/>
      <c r="AF752" s="311"/>
      <c r="AG752" s="311"/>
      <c r="AH752" s="311"/>
      <c r="AI752" s="311"/>
      <c r="AJ752" s="311"/>
      <c r="AK752" s="311"/>
      <c r="AL752" s="311"/>
      <c r="AM752" s="311"/>
      <c r="AN752" s="311"/>
      <c r="AO752" s="311"/>
      <c r="AP752" s="311"/>
      <c r="AQ752" s="311"/>
      <c r="AR752" s="311"/>
    </row>
    <row r="753" spans="1:44" s="475" customFormat="1" ht="12" customHeight="1">
      <c r="A753" s="311"/>
      <c r="P753" s="387"/>
      <c r="X753" s="311"/>
      <c r="Y753" s="311"/>
      <c r="Z753" s="311"/>
      <c r="AA753" s="311"/>
      <c r="AB753" s="311"/>
      <c r="AC753" s="311"/>
      <c r="AD753" s="311"/>
      <c r="AE753" s="311"/>
      <c r="AF753" s="311"/>
      <c r="AG753" s="311"/>
      <c r="AH753" s="311"/>
      <c r="AI753" s="311"/>
      <c r="AJ753" s="311"/>
      <c r="AK753" s="311"/>
      <c r="AL753" s="311"/>
      <c r="AM753" s="311"/>
      <c r="AN753" s="311"/>
      <c r="AO753" s="311"/>
      <c r="AP753" s="311"/>
      <c r="AQ753" s="311"/>
      <c r="AR753" s="311"/>
    </row>
    <row r="754" spans="1:44" s="475" customFormat="1" ht="12" customHeight="1">
      <c r="A754" s="311"/>
      <c r="P754" s="387"/>
      <c r="X754" s="311"/>
      <c r="Y754" s="311"/>
      <c r="Z754" s="311"/>
      <c r="AA754" s="311"/>
      <c r="AB754" s="311"/>
      <c r="AC754" s="311"/>
      <c r="AD754" s="311"/>
      <c r="AE754" s="311"/>
      <c r="AF754" s="311"/>
      <c r="AG754" s="311"/>
      <c r="AH754" s="311"/>
      <c r="AI754" s="311"/>
      <c r="AJ754" s="311"/>
      <c r="AK754" s="311"/>
      <c r="AL754" s="311"/>
      <c r="AM754" s="311"/>
      <c r="AN754" s="311"/>
      <c r="AO754" s="311"/>
      <c r="AP754" s="311"/>
      <c r="AQ754" s="311"/>
      <c r="AR754" s="311"/>
    </row>
    <row r="755" spans="1:44" s="475" customFormat="1" ht="12" customHeight="1">
      <c r="A755" s="311"/>
      <c r="P755" s="387"/>
      <c r="X755" s="311"/>
      <c r="Y755" s="311"/>
      <c r="Z755" s="311"/>
      <c r="AA755" s="311"/>
      <c r="AB755" s="311"/>
      <c r="AC755" s="311"/>
      <c r="AD755" s="311"/>
      <c r="AE755" s="311"/>
      <c r="AF755" s="311"/>
      <c r="AG755" s="311"/>
      <c r="AH755" s="311"/>
      <c r="AI755" s="311"/>
      <c r="AJ755" s="311"/>
      <c r="AK755" s="311"/>
      <c r="AL755" s="311"/>
      <c r="AM755" s="311"/>
      <c r="AN755" s="311"/>
      <c r="AO755" s="311"/>
      <c r="AP755" s="311"/>
      <c r="AQ755" s="311"/>
      <c r="AR755" s="311"/>
    </row>
    <row r="756" spans="1:44" s="475" customFormat="1" ht="12" customHeight="1">
      <c r="A756" s="311"/>
      <c r="P756" s="387"/>
      <c r="X756" s="311"/>
      <c r="Y756" s="311"/>
      <c r="Z756" s="311"/>
      <c r="AA756" s="311"/>
      <c r="AB756" s="311"/>
      <c r="AC756" s="311"/>
      <c r="AD756" s="311"/>
      <c r="AE756" s="311"/>
      <c r="AF756" s="311"/>
      <c r="AG756" s="311"/>
      <c r="AH756" s="311"/>
      <c r="AI756" s="311"/>
      <c r="AJ756" s="311"/>
      <c r="AK756" s="311"/>
      <c r="AL756" s="311"/>
      <c r="AM756" s="311"/>
      <c r="AN756" s="311"/>
      <c r="AO756" s="311"/>
      <c r="AP756" s="311"/>
      <c r="AQ756" s="311"/>
      <c r="AR756" s="311"/>
    </row>
    <row r="757" spans="1:44" s="475" customFormat="1" ht="12" customHeight="1">
      <c r="A757" s="311"/>
      <c r="P757" s="387"/>
      <c r="X757" s="311"/>
      <c r="Y757" s="311"/>
      <c r="Z757" s="311"/>
      <c r="AA757" s="311"/>
      <c r="AB757" s="311"/>
      <c r="AC757" s="311"/>
      <c r="AD757" s="311"/>
      <c r="AE757" s="311"/>
      <c r="AF757" s="311"/>
      <c r="AG757" s="311"/>
      <c r="AH757" s="311"/>
      <c r="AI757" s="311"/>
      <c r="AJ757" s="311"/>
      <c r="AK757" s="311"/>
      <c r="AL757" s="311"/>
      <c r="AM757" s="311"/>
      <c r="AN757" s="311"/>
      <c r="AO757" s="311"/>
      <c r="AP757" s="311"/>
      <c r="AQ757" s="311"/>
      <c r="AR757" s="311"/>
    </row>
    <row r="758" spans="1:44" s="475" customFormat="1" ht="12" customHeight="1">
      <c r="A758" s="311"/>
      <c r="P758" s="3657"/>
      <c r="X758" s="311"/>
      <c r="Y758" s="311"/>
      <c r="Z758" s="311"/>
      <c r="AA758" s="311"/>
      <c r="AB758" s="311"/>
      <c r="AC758" s="311"/>
      <c r="AD758" s="311"/>
      <c r="AE758" s="311"/>
      <c r="AF758" s="311"/>
      <c r="AG758" s="311"/>
      <c r="AH758" s="311"/>
      <c r="AI758" s="311"/>
      <c r="AJ758" s="311"/>
      <c r="AK758" s="311"/>
      <c r="AL758" s="311"/>
      <c r="AM758" s="311"/>
      <c r="AN758" s="311"/>
      <c r="AO758" s="311"/>
      <c r="AP758" s="311"/>
      <c r="AQ758" s="311"/>
      <c r="AR758" s="311"/>
    </row>
    <row r="759" spans="1:44" s="475" customFormat="1" ht="12" customHeight="1">
      <c r="A759" s="311"/>
      <c r="P759" s="387"/>
      <c r="X759" s="311"/>
      <c r="Y759" s="311"/>
      <c r="Z759" s="311"/>
      <c r="AA759" s="311"/>
      <c r="AB759" s="311"/>
      <c r="AC759" s="311"/>
      <c r="AD759" s="311"/>
      <c r="AE759" s="311"/>
      <c r="AF759" s="311"/>
      <c r="AG759" s="311"/>
      <c r="AH759" s="311"/>
      <c r="AI759" s="311"/>
      <c r="AJ759" s="311"/>
      <c r="AK759" s="311"/>
      <c r="AL759" s="311"/>
      <c r="AM759" s="311"/>
      <c r="AN759" s="311"/>
      <c r="AO759" s="311"/>
      <c r="AP759" s="311"/>
      <c r="AQ759" s="311"/>
      <c r="AR759" s="311"/>
    </row>
    <row r="760" spans="1:44" s="475" customFormat="1" ht="12" customHeight="1">
      <c r="A760" s="311"/>
      <c r="P760" s="387"/>
      <c r="X760" s="311"/>
      <c r="Y760" s="311"/>
      <c r="Z760" s="311"/>
      <c r="AA760" s="311"/>
      <c r="AB760" s="311"/>
      <c r="AC760" s="311"/>
      <c r="AD760" s="311"/>
      <c r="AE760" s="311"/>
      <c r="AF760" s="311"/>
      <c r="AG760" s="311"/>
      <c r="AH760" s="311"/>
      <c r="AI760" s="311"/>
      <c r="AJ760" s="311"/>
      <c r="AK760" s="311"/>
      <c r="AL760" s="311"/>
      <c r="AM760" s="311"/>
      <c r="AN760" s="311"/>
      <c r="AO760" s="311"/>
      <c r="AP760" s="311"/>
      <c r="AQ760" s="311"/>
      <c r="AR760" s="311"/>
    </row>
    <row r="761" spans="1:44" s="475" customFormat="1" ht="12" customHeight="1">
      <c r="A761" s="311"/>
      <c r="P761" s="387"/>
      <c r="X761" s="311"/>
      <c r="Y761" s="311"/>
      <c r="Z761" s="311"/>
      <c r="AA761" s="311"/>
      <c r="AB761" s="311"/>
      <c r="AC761" s="311"/>
      <c r="AD761" s="311"/>
      <c r="AE761" s="311"/>
      <c r="AF761" s="311"/>
      <c r="AG761" s="311"/>
      <c r="AH761" s="311"/>
      <c r="AI761" s="311"/>
      <c r="AJ761" s="311"/>
      <c r="AK761" s="311"/>
      <c r="AL761" s="311"/>
      <c r="AM761" s="311"/>
      <c r="AN761" s="311"/>
      <c r="AO761" s="311"/>
      <c r="AP761" s="311"/>
      <c r="AQ761" s="311"/>
      <c r="AR761" s="311"/>
    </row>
    <row r="762" spans="1:44" s="475" customFormat="1" ht="12" customHeight="1">
      <c r="A762" s="311"/>
      <c r="P762" s="387"/>
      <c r="X762" s="311"/>
      <c r="Y762" s="311"/>
      <c r="Z762" s="311"/>
      <c r="AA762" s="311"/>
      <c r="AB762" s="311"/>
      <c r="AC762" s="311"/>
      <c r="AD762" s="311"/>
      <c r="AE762" s="311"/>
      <c r="AF762" s="311"/>
      <c r="AG762" s="311"/>
      <c r="AH762" s="311"/>
      <c r="AI762" s="311"/>
      <c r="AJ762" s="311"/>
      <c r="AK762" s="311"/>
      <c r="AL762" s="311"/>
      <c r="AM762" s="311"/>
      <c r="AN762" s="311"/>
      <c r="AO762" s="311"/>
      <c r="AP762" s="311"/>
      <c r="AQ762" s="311"/>
      <c r="AR762" s="311"/>
    </row>
    <row r="763" spans="1:44" s="475" customFormat="1" ht="12" customHeight="1">
      <c r="A763" s="311"/>
      <c r="P763" s="387"/>
      <c r="X763" s="311"/>
      <c r="Y763" s="311"/>
      <c r="Z763" s="311"/>
      <c r="AA763" s="311"/>
      <c r="AB763" s="311"/>
      <c r="AC763" s="311"/>
      <c r="AD763" s="311"/>
      <c r="AE763" s="311"/>
      <c r="AF763" s="311"/>
      <c r="AG763" s="311"/>
      <c r="AH763" s="311"/>
      <c r="AI763" s="311"/>
      <c r="AJ763" s="311"/>
      <c r="AK763" s="311"/>
      <c r="AL763" s="311"/>
      <c r="AM763" s="311"/>
      <c r="AN763" s="311"/>
      <c r="AO763" s="311"/>
      <c r="AP763" s="311"/>
      <c r="AQ763" s="311"/>
      <c r="AR763" s="311"/>
    </row>
    <row r="764" spans="1:44" s="475" customFormat="1" ht="12" customHeight="1">
      <c r="A764" s="311"/>
      <c r="P764" s="3656"/>
      <c r="X764" s="311"/>
      <c r="Y764" s="311"/>
      <c r="Z764" s="311"/>
      <c r="AA764" s="311"/>
      <c r="AB764" s="311"/>
      <c r="AC764" s="311"/>
      <c r="AD764" s="311"/>
      <c r="AE764" s="311"/>
      <c r="AF764" s="311"/>
      <c r="AG764" s="311"/>
      <c r="AH764" s="311"/>
      <c r="AI764" s="311"/>
      <c r="AJ764" s="311"/>
      <c r="AK764" s="311"/>
      <c r="AL764" s="311"/>
      <c r="AM764" s="311"/>
      <c r="AN764" s="311"/>
      <c r="AO764" s="311"/>
      <c r="AP764" s="311"/>
      <c r="AQ764" s="311"/>
      <c r="AR764" s="311"/>
    </row>
    <row r="765" spans="1:44" s="475" customFormat="1" ht="12" customHeight="1">
      <c r="A765" s="311"/>
      <c r="P765" s="387"/>
      <c r="X765" s="311"/>
      <c r="Y765" s="311"/>
      <c r="Z765" s="311"/>
      <c r="AA765" s="311"/>
      <c r="AB765" s="311"/>
      <c r="AC765" s="311"/>
      <c r="AD765" s="311"/>
      <c r="AE765" s="311"/>
      <c r="AF765" s="311"/>
      <c r="AG765" s="311"/>
      <c r="AH765" s="311"/>
      <c r="AI765" s="311"/>
      <c r="AJ765" s="311"/>
      <c r="AK765" s="311"/>
      <c r="AL765" s="311"/>
      <c r="AM765" s="311"/>
      <c r="AN765" s="311"/>
      <c r="AO765" s="311"/>
      <c r="AP765" s="311"/>
      <c r="AQ765" s="311"/>
      <c r="AR765" s="311"/>
    </row>
    <row r="766" spans="1:44" s="475" customFormat="1" ht="12" customHeight="1">
      <c r="A766" s="311"/>
      <c r="P766" s="387"/>
      <c r="X766" s="311"/>
      <c r="Y766" s="311"/>
      <c r="Z766" s="311"/>
      <c r="AA766" s="311"/>
      <c r="AB766" s="311"/>
      <c r="AC766" s="311"/>
      <c r="AD766" s="311"/>
      <c r="AE766" s="311"/>
      <c r="AF766" s="311"/>
      <c r="AG766" s="311"/>
      <c r="AH766" s="311"/>
      <c r="AI766" s="311"/>
      <c r="AJ766" s="311"/>
      <c r="AK766" s="311"/>
      <c r="AL766" s="311"/>
      <c r="AM766" s="311"/>
      <c r="AN766" s="311"/>
      <c r="AO766" s="311"/>
      <c r="AP766" s="311"/>
      <c r="AQ766" s="311"/>
      <c r="AR766" s="311"/>
    </row>
    <row r="767" spans="1:44" s="475" customFormat="1" ht="12" customHeight="1">
      <c r="A767" s="311"/>
      <c r="P767" s="3657"/>
      <c r="X767" s="311"/>
      <c r="Y767" s="311"/>
      <c r="Z767" s="311"/>
      <c r="AA767" s="311"/>
      <c r="AB767" s="311"/>
      <c r="AC767" s="311"/>
      <c r="AD767" s="311"/>
      <c r="AE767" s="311"/>
      <c r="AF767" s="311"/>
      <c r="AG767" s="311"/>
      <c r="AH767" s="311"/>
      <c r="AI767" s="311"/>
      <c r="AJ767" s="311"/>
      <c r="AK767" s="311"/>
      <c r="AL767" s="311"/>
      <c r="AM767" s="311"/>
      <c r="AN767" s="311"/>
      <c r="AO767" s="311"/>
      <c r="AP767" s="311"/>
      <c r="AQ767" s="311"/>
      <c r="AR767" s="311"/>
    </row>
    <row r="768" spans="1:44" s="475" customFormat="1" ht="12" customHeight="1">
      <c r="A768" s="311"/>
      <c r="P768" s="387"/>
      <c r="X768" s="311"/>
      <c r="Y768" s="311"/>
      <c r="Z768" s="311"/>
      <c r="AA768" s="311"/>
      <c r="AB768" s="311"/>
      <c r="AC768" s="311"/>
      <c r="AD768" s="311"/>
      <c r="AE768" s="311"/>
      <c r="AF768" s="311"/>
      <c r="AG768" s="311"/>
      <c r="AH768" s="311"/>
      <c r="AI768" s="311"/>
      <c r="AJ768" s="311"/>
      <c r="AK768" s="311"/>
      <c r="AL768" s="311"/>
      <c r="AM768" s="311"/>
      <c r="AN768" s="311"/>
      <c r="AO768" s="311"/>
      <c r="AP768" s="311"/>
      <c r="AQ768" s="311"/>
      <c r="AR768" s="311"/>
    </row>
    <row r="769" spans="1:44" s="475" customFormat="1" ht="12" customHeight="1">
      <c r="A769" s="311"/>
      <c r="P769" s="387"/>
      <c r="X769" s="311"/>
      <c r="Y769" s="311"/>
      <c r="Z769" s="311"/>
      <c r="AA769" s="311"/>
      <c r="AB769" s="311"/>
      <c r="AC769" s="311"/>
      <c r="AD769" s="311"/>
      <c r="AE769" s="311"/>
      <c r="AF769" s="311"/>
      <c r="AG769" s="311"/>
      <c r="AH769" s="311"/>
      <c r="AI769" s="311"/>
      <c r="AJ769" s="311"/>
      <c r="AK769" s="311"/>
      <c r="AL769" s="311"/>
      <c r="AM769" s="311"/>
      <c r="AN769" s="311"/>
      <c r="AO769" s="311"/>
      <c r="AP769" s="311"/>
      <c r="AQ769" s="311"/>
      <c r="AR769" s="311"/>
    </row>
    <row r="770" spans="1:44" s="475" customFormat="1" ht="12" customHeight="1">
      <c r="A770" s="311"/>
      <c r="P770" s="387"/>
      <c r="X770" s="311"/>
      <c r="Y770" s="311"/>
      <c r="Z770" s="311"/>
      <c r="AA770" s="311"/>
      <c r="AB770" s="311"/>
      <c r="AC770" s="311"/>
      <c r="AD770" s="311"/>
      <c r="AE770" s="311"/>
      <c r="AF770" s="311"/>
      <c r="AG770" s="311"/>
      <c r="AH770" s="311"/>
      <c r="AI770" s="311"/>
      <c r="AJ770" s="311"/>
      <c r="AK770" s="311"/>
      <c r="AL770" s="311"/>
      <c r="AM770" s="311"/>
      <c r="AN770" s="311"/>
      <c r="AO770" s="311"/>
      <c r="AP770" s="311"/>
      <c r="AQ770" s="311"/>
      <c r="AR770" s="311"/>
    </row>
    <row r="771" spans="1:44" s="475" customFormat="1" ht="12" customHeight="1">
      <c r="A771" s="311"/>
      <c r="P771" s="387"/>
      <c r="X771" s="311"/>
      <c r="Y771" s="311"/>
      <c r="Z771" s="311"/>
      <c r="AA771" s="311"/>
      <c r="AB771" s="311"/>
      <c r="AC771" s="311"/>
      <c r="AD771" s="311"/>
      <c r="AE771" s="311"/>
      <c r="AF771" s="311"/>
      <c r="AG771" s="311"/>
      <c r="AH771" s="311"/>
      <c r="AI771" s="311"/>
      <c r="AJ771" s="311"/>
      <c r="AK771" s="311"/>
      <c r="AL771" s="311"/>
      <c r="AM771" s="311"/>
      <c r="AN771" s="311"/>
      <c r="AO771" s="311"/>
      <c r="AP771" s="311"/>
      <c r="AQ771" s="311"/>
      <c r="AR771" s="311"/>
    </row>
    <row r="772" spans="1:44" s="475" customFormat="1" ht="12" customHeight="1">
      <c r="A772" s="311"/>
      <c r="P772" s="387"/>
      <c r="X772" s="311"/>
      <c r="Y772" s="311"/>
      <c r="Z772" s="311"/>
      <c r="AA772" s="311"/>
      <c r="AB772" s="311"/>
      <c r="AC772" s="311"/>
      <c r="AD772" s="311"/>
      <c r="AE772" s="311"/>
      <c r="AF772" s="311"/>
      <c r="AG772" s="311"/>
      <c r="AH772" s="311"/>
      <c r="AI772" s="311"/>
      <c r="AJ772" s="311"/>
      <c r="AK772" s="311"/>
      <c r="AL772" s="311"/>
      <c r="AM772" s="311"/>
      <c r="AN772" s="311"/>
      <c r="AO772" s="311"/>
      <c r="AP772" s="311"/>
      <c r="AQ772" s="311"/>
      <c r="AR772" s="311"/>
    </row>
    <row r="773" spans="1:44" s="475" customFormat="1" ht="12" customHeight="1">
      <c r="A773" s="311"/>
      <c r="P773" s="387"/>
      <c r="X773" s="311"/>
      <c r="Y773" s="311"/>
      <c r="Z773" s="311"/>
      <c r="AA773" s="311"/>
      <c r="AB773" s="311"/>
      <c r="AC773" s="311"/>
      <c r="AD773" s="311"/>
      <c r="AE773" s="311"/>
      <c r="AF773" s="311"/>
      <c r="AG773" s="311"/>
      <c r="AH773" s="311"/>
      <c r="AI773" s="311"/>
      <c r="AJ773" s="311"/>
      <c r="AK773" s="311"/>
      <c r="AL773" s="311"/>
      <c r="AM773" s="311"/>
      <c r="AN773" s="311"/>
      <c r="AO773" s="311"/>
      <c r="AP773" s="311"/>
      <c r="AQ773" s="311"/>
      <c r="AR773" s="311"/>
    </row>
    <row r="774" spans="1:44" s="475" customFormat="1" ht="12" customHeight="1">
      <c r="A774" s="311"/>
      <c r="P774" s="387"/>
      <c r="X774" s="311"/>
      <c r="Y774" s="311"/>
      <c r="Z774" s="311"/>
      <c r="AA774" s="311"/>
      <c r="AB774" s="311"/>
      <c r="AC774" s="311"/>
      <c r="AD774" s="311"/>
      <c r="AE774" s="311"/>
      <c r="AF774" s="311"/>
      <c r="AG774" s="311"/>
      <c r="AH774" s="311"/>
      <c r="AI774" s="311"/>
      <c r="AJ774" s="311"/>
      <c r="AK774" s="311"/>
      <c r="AL774" s="311"/>
      <c r="AM774" s="311"/>
      <c r="AN774" s="311"/>
      <c r="AO774" s="311"/>
      <c r="AP774" s="311"/>
      <c r="AQ774" s="311"/>
      <c r="AR774" s="311"/>
    </row>
    <row r="775" spans="1:44" s="475" customFormat="1" ht="12" customHeight="1">
      <c r="A775" s="311"/>
      <c r="P775" s="387"/>
      <c r="X775" s="311"/>
      <c r="Y775" s="311"/>
      <c r="Z775" s="311"/>
      <c r="AA775" s="311"/>
      <c r="AB775" s="311"/>
      <c r="AC775" s="311"/>
      <c r="AD775" s="311"/>
      <c r="AE775" s="311"/>
      <c r="AF775" s="311"/>
      <c r="AG775" s="311"/>
      <c r="AH775" s="311"/>
      <c r="AI775" s="311"/>
      <c r="AJ775" s="311"/>
      <c r="AK775" s="311"/>
      <c r="AL775" s="311"/>
      <c r="AM775" s="311"/>
      <c r="AN775" s="311"/>
      <c r="AO775" s="311"/>
      <c r="AP775" s="311"/>
      <c r="AQ775" s="311"/>
      <c r="AR775" s="311"/>
    </row>
    <row r="776" spans="1:44" s="475" customFormat="1" ht="12" customHeight="1">
      <c r="A776" s="311"/>
      <c r="P776" s="387"/>
      <c r="X776" s="311"/>
      <c r="Y776" s="311"/>
      <c r="Z776" s="311"/>
      <c r="AA776" s="311"/>
      <c r="AB776" s="311"/>
      <c r="AC776" s="311"/>
      <c r="AD776" s="311"/>
      <c r="AE776" s="311"/>
      <c r="AF776" s="311"/>
      <c r="AG776" s="311"/>
      <c r="AH776" s="311"/>
      <c r="AI776" s="311"/>
      <c r="AJ776" s="311"/>
      <c r="AK776" s="311"/>
      <c r="AL776" s="311"/>
      <c r="AM776" s="311"/>
      <c r="AN776" s="311"/>
      <c r="AO776" s="311"/>
      <c r="AP776" s="311"/>
      <c r="AQ776" s="311"/>
      <c r="AR776" s="311"/>
    </row>
    <row r="777" spans="1:44" s="475" customFormat="1" ht="12" customHeight="1">
      <c r="A777" s="311"/>
      <c r="P777" s="387"/>
      <c r="X777" s="311"/>
      <c r="Y777" s="311"/>
      <c r="Z777" s="311"/>
      <c r="AA777" s="311"/>
      <c r="AB777" s="311"/>
      <c r="AC777" s="311"/>
      <c r="AD777" s="311"/>
      <c r="AE777" s="311"/>
      <c r="AF777" s="311"/>
      <c r="AG777" s="311"/>
      <c r="AH777" s="311"/>
      <c r="AI777" s="311"/>
      <c r="AJ777" s="311"/>
      <c r="AK777" s="311"/>
      <c r="AL777" s="311"/>
      <c r="AM777" s="311"/>
      <c r="AN777" s="311"/>
      <c r="AO777" s="311"/>
      <c r="AP777" s="311"/>
      <c r="AQ777" s="311"/>
      <c r="AR777" s="311"/>
    </row>
    <row r="778" spans="1:44" s="475" customFormat="1" ht="12" customHeight="1">
      <c r="A778" s="311"/>
      <c r="P778" s="387"/>
      <c r="X778" s="311"/>
      <c r="Y778" s="311"/>
      <c r="Z778" s="311"/>
      <c r="AA778" s="311"/>
      <c r="AB778" s="311"/>
      <c r="AC778" s="311"/>
      <c r="AD778" s="311"/>
      <c r="AE778" s="311"/>
      <c r="AF778" s="311"/>
      <c r="AG778" s="311"/>
      <c r="AH778" s="311"/>
      <c r="AI778" s="311"/>
      <c r="AJ778" s="311"/>
      <c r="AK778" s="311"/>
      <c r="AL778" s="311"/>
      <c r="AM778" s="311"/>
      <c r="AN778" s="311"/>
      <c r="AO778" s="311"/>
      <c r="AP778" s="311"/>
      <c r="AQ778" s="311"/>
      <c r="AR778" s="311"/>
    </row>
    <row r="779" spans="1:44" s="475" customFormat="1" ht="12" customHeight="1">
      <c r="A779" s="311"/>
      <c r="P779" s="387"/>
      <c r="X779" s="311"/>
      <c r="Y779" s="311"/>
      <c r="Z779" s="311"/>
      <c r="AA779" s="311"/>
      <c r="AB779" s="311"/>
      <c r="AC779" s="311"/>
      <c r="AD779" s="311"/>
      <c r="AE779" s="311"/>
      <c r="AF779" s="311"/>
      <c r="AG779" s="311"/>
      <c r="AH779" s="311"/>
      <c r="AI779" s="311"/>
      <c r="AJ779" s="311"/>
      <c r="AK779" s="311"/>
      <c r="AL779" s="311"/>
      <c r="AM779" s="311"/>
      <c r="AN779" s="311"/>
      <c r="AO779" s="311"/>
      <c r="AP779" s="311"/>
      <c r="AQ779" s="311"/>
      <c r="AR779" s="311"/>
    </row>
    <row r="780" spans="1:44" s="475" customFormat="1" ht="12" customHeight="1">
      <c r="A780" s="311"/>
      <c r="P780" s="387"/>
      <c r="X780" s="311"/>
      <c r="Y780" s="311"/>
      <c r="Z780" s="311"/>
      <c r="AA780" s="311"/>
      <c r="AB780" s="311"/>
      <c r="AC780" s="311"/>
      <c r="AD780" s="311"/>
      <c r="AE780" s="311"/>
      <c r="AF780" s="311"/>
      <c r="AG780" s="311"/>
      <c r="AH780" s="311"/>
      <c r="AI780" s="311"/>
      <c r="AJ780" s="311"/>
      <c r="AK780" s="311"/>
      <c r="AL780" s="311"/>
      <c r="AM780" s="311"/>
      <c r="AN780" s="311"/>
      <c r="AO780" s="311"/>
      <c r="AP780" s="311"/>
      <c r="AQ780" s="311"/>
      <c r="AR780" s="311"/>
    </row>
    <row r="781" spans="1:44" s="475" customFormat="1" ht="12" customHeight="1">
      <c r="A781" s="311"/>
      <c r="P781" s="387"/>
      <c r="X781" s="311"/>
      <c r="Y781" s="311"/>
      <c r="Z781" s="311"/>
      <c r="AA781" s="311"/>
      <c r="AB781" s="311"/>
      <c r="AC781" s="311"/>
      <c r="AD781" s="311"/>
      <c r="AE781" s="311"/>
      <c r="AF781" s="311"/>
      <c r="AG781" s="311"/>
      <c r="AH781" s="311"/>
      <c r="AI781" s="311"/>
      <c r="AJ781" s="311"/>
      <c r="AK781" s="311"/>
      <c r="AL781" s="311"/>
      <c r="AM781" s="311"/>
      <c r="AN781" s="311"/>
      <c r="AO781" s="311"/>
      <c r="AP781" s="311"/>
      <c r="AQ781" s="311"/>
      <c r="AR781" s="311"/>
    </row>
    <row r="782" spans="1:44" s="475" customFormat="1" ht="12" customHeight="1">
      <c r="A782" s="311"/>
      <c r="P782" s="387"/>
      <c r="X782" s="311"/>
      <c r="Y782" s="311"/>
      <c r="Z782" s="311"/>
      <c r="AA782" s="311"/>
      <c r="AB782" s="311"/>
      <c r="AC782" s="311"/>
      <c r="AD782" s="311"/>
      <c r="AE782" s="311"/>
      <c r="AF782" s="311"/>
      <c r="AG782" s="311"/>
      <c r="AH782" s="311"/>
      <c r="AI782" s="311"/>
      <c r="AJ782" s="311"/>
      <c r="AK782" s="311"/>
      <c r="AL782" s="311"/>
      <c r="AM782" s="311"/>
      <c r="AN782" s="311"/>
      <c r="AO782" s="311"/>
      <c r="AP782" s="311"/>
      <c r="AQ782" s="311"/>
      <c r="AR782" s="311"/>
    </row>
    <row r="783" spans="1:44" s="475" customFormat="1" ht="12" customHeight="1">
      <c r="A783" s="311"/>
      <c r="P783" s="3656"/>
      <c r="X783" s="311"/>
      <c r="Y783" s="311"/>
      <c r="Z783" s="311"/>
      <c r="AA783" s="311"/>
      <c r="AB783" s="311"/>
      <c r="AC783" s="311"/>
      <c r="AD783" s="311"/>
      <c r="AE783" s="311"/>
      <c r="AF783" s="311"/>
      <c r="AG783" s="311"/>
      <c r="AH783" s="311"/>
      <c r="AI783" s="311"/>
      <c r="AJ783" s="311"/>
      <c r="AK783" s="311"/>
      <c r="AL783" s="311"/>
      <c r="AM783" s="311"/>
      <c r="AN783" s="311"/>
      <c r="AO783" s="311"/>
      <c r="AP783" s="311"/>
      <c r="AQ783" s="311"/>
      <c r="AR783" s="311"/>
    </row>
    <row r="784" spans="1:44" s="475" customFormat="1" ht="12" customHeight="1">
      <c r="A784" s="311"/>
      <c r="P784" s="387"/>
      <c r="X784" s="311"/>
      <c r="Y784" s="311"/>
      <c r="Z784" s="311"/>
      <c r="AA784" s="311"/>
      <c r="AB784" s="311"/>
      <c r="AC784" s="311"/>
      <c r="AD784" s="311"/>
      <c r="AE784" s="311"/>
      <c r="AF784" s="311"/>
      <c r="AG784" s="311"/>
      <c r="AH784" s="311"/>
      <c r="AI784" s="311"/>
      <c r="AJ784" s="311"/>
      <c r="AK784" s="311"/>
      <c r="AL784" s="311"/>
      <c r="AM784" s="311"/>
      <c r="AN784" s="311"/>
      <c r="AO784" s="311"/>
      <c r="AP784" s="311"/>
      <c r="AQ784" s="311"/>
      <c r="AR784" s="311"/>
    </row>
    <row r="785" spans="1:44" s="475" customFormat="1" ht="12" customHeight="1">
      <c r="A785" s="311"/>
      <c r="P785" s="387"/>
      <c r="X785" s="311"/>
      <c r="Y785" s="311"/>
      <c r="Z785" s="311"/>
      <c r="AA785" s="311"/>
      <c r="AB785" s="311"/>
      <c r="AC785" s="311"/>
      <c r="AD785" s="311"/>
      <c r="AE785" s="311"/>
      <c r="AF785" s="311"/>
      <c r="AG785" s="311"/>
      <c r="AH785" s="311"/>
      <c r="AI785" s="311"/>
      <c r="AJ785" s="311"/>
      <c r="AK785" s="311"/>
      <c r="AL785" s="311"/>
      <c r="AM785" s="311"/>
      <c r="AN785" s="311"/>
      <c r="AO785" s="311"/>
      <c r="AP785" s="311"/>
      <c r="AQ785" s="311"/>
      <c r="AR785" s="311"/>
    </row>
    <row r="786" spans="1:44" s="475" customFormat="1" ht="12" customHeight="1">
      <c r="A786" s="311"/>
      <c r="P786" s="387"/>
      <c r="X786" s="311"/>
      <c r="Y786" s="311"/>
      <c r="Z786" s="311"/>
      <c r="AA786" s="311"/>
      <c r="AB786" s="311"/>
      <c r="AC786" s="311"/>
      <c r="AD786" s="311"/>
      <c r="AE786" s="311"/>
      <c r="AF786" s="311"/>
      <c r="AG786" s="311"/>
      <c r="AH786" s="311"/>
      <c r="AI786" s="311"/>
      <c r="AJ786" s="311"/>
      <c r="AK786" s="311"/>
      <c r="AL786" s="311"/>
      <c r="AM786" s="311"/>
      <c r="AN786" s="311"/>
      <c r="AO786" s="311"/>
      <c r="AP786" s="311"/>
      <c r="AQ786" s="311"/>
      <c r="AR786" s="311"/>
    </row>
    <row r="787" spans="1:44" s="475" customFormat="1" ht="12" customHeight="1">
      <c r="A787" s="311"/>
      <c r="P787" s="3657"/>
      <c r="X787" s="311"/>
      <c r="Y787" s="311"/>
      <c r="Z787" s="311"/>
      <c r="AA787" s="311"/>
      <c r="AB787" s="311"/>
      <c r="AC787" s="311"/>
      <c r="AD787" s="311"/>
      <c r="AE787" s="311"/>
      <c r="AF787" s="311"/>
      <c r="AG787" s="311"/>
      <c r="AH787" s="311"/>
      <c r="AI787" s="311"/>
      <c r="AJ787" s="311"/>
      <c r="AK787" s="311"/>
      <c r="AL787" s="311"/>
      <c r="AM787" s="311"/>
      <c r="AN787" s="311"/>
      <c r="AO787" s="311"/>
      <c r="AP787" s="311"/>
      <c r="AQ787" s="311"/>
      <c r="AR787" s="311"/>
    </row>
    <row r="788" spans="1:44" s="475" customFormat="1" ht="12" customHeight="1">
      <c r="A788" s="311"/>
      <c r="P788" s="387"/>
      <c r="X788" s="311"/>
      <c r="Y788" s="311"/>
      <c r="Z788" s="311"/>
      <c r="AA788" s="311"/>
      <c r="AB788" s="311"/>
      <c r="AC788" s="311"/>
      <c r="AD788" s="311"/>
      <c r="AE788" s="311"/>
      <c r="AF788" s="311"/>
      <c r="AG788" s="311"/>
      <c r="AH788" s="311"/>
      <c r="AI788" s="311"/>
      <c r="AJ788" s="311"/>
      <c r="AK788" s="311"/>
      <c r="AL788" s="311"/>
      <c r="AM788" s="311"/>
      <c r="AN788" s="311"/>
      <c r="AO788" s="311"/>
      <c r="AP788" s="311"/>
      <c r="AQ788" s="311"/>
      <c r="AR788" s="311"/>
    </row>
    <row r="789" spans="1:44" s="475" customFormat="1" ht="12" customHeight="1">
      <c r="A789" s="311"/>
      <c r="P789" s="387"/>
      <c r="X789" s="311"/>
      <c r="Y789" s="311"/>
      <c r="Z789" s="311"/>
      <c r="AA789" s="311"/>
      <c r="AB789" s="311"/>
      <c r="AC789" s="311"/>
      <c r="AD789" s="311"/>
      <c r="AE789" s="311"/>
      <c r="AF789" s="311"/>
      <c r="AG789" s="311"/>
      <c r="AH789" s="311"/>
      <c r="AI789" s="311"/>
      <c r="AJ789" s="311"/>
      <c r="AK789" s="311"/>
      <c r="AL789" s="311"/>
      <c r="AM789" s="311"/>
      <c r="AN789" s="311"/>
      <c r="AO789" s="311"/>
      <c r="AP789" s="311"/>
      <c r="AQ789" s="311"/>
      <c r="AR789" s="311"/>
    </row>
    <row r="790" spans="1:44" s="475" customFormat="1" ht="12" customHeight="1">
      <c r="A790" s="311"/>
      <c r="P790" s="387"/>
      <c r="X790" s="311"/>
      <c r="Y790" s="311"/>
      <c r="Z790" s="311"/>
      <c r="AA790" s="311"/>
      <c r="AB790" s="311"/>
      <c r="AC790" s="311"/>
      <c r="AD790" s="311"/>
      <c r="AE790" s="311"/>
      <c r="AF790" s="311"/>
      <c r="AG790" s="311"/>
      <c r="AH790" s="311"/>
      <c r="AI790" s="311"/>
      <c r="AJ790" s="311"/>
      <c r="AK790" s="311"/>
      <c r="AL790" s="311"/>
      <c r="AM790" s="311"/>
      <c r="AN790" s="311"/>
      <c r="AO790" s="311"/>
      <c r="AP790" s="311"/>
      <c r="AQ790" s="311"/>
      <c r="AR790" s="311"/>
    </row>
    <row r="791" spans="1:44" s="475" customFormat="1" ht="12" customHeight="1">
      <c r="A791" s="311"/>
      <c r="P791" s="3657"/>
      <c r="X791" s="311"/>
      <c r="Y791" s="311"/>
      <c r="Z791" s="311"/>
      <c r="AA791" s="311"/>
      <c r="AB791" s="311"/>
      <c r="AC791" s="311"/>
      <c r="AD791" s="311"/>
      <c r="AE791" s="311"/>
      <c r="AF791" s="311"/>
      <c r="AG791" s="311"/>
      <c r="AH791" s="311"/>
      <c r="AI791" s="311"/>
      <c r="AJ791" s="311"/>
      <c r="AK791" s="311"/>
      <c r="AL791" s="311"/>
      <c r="AM791" s="311"/>
      <c r="AN791" s="311"/>
      <c r="AO791" s="311"/>
      <c r="AP791" s="311"/>
      <c r="AQ791" s="311"/>
      <c r="AR791" s="311"/>
    </row>
    <row r="792" spans="1:44" s="475" customFormat="1" ht="12" customHeight="1">
      <c r="A792" s="311"/>
      <c r="P792" s="387"/>
      <c r="X792" s="311"/>
      <c r="Y792" s="311"/>
      <c r="Z792" s="311"/>
      <c r="AA792" s="311"/>
      <c r="AB792" s="311"/>
      <c r="AC792" s="311"/>
      <c r="AD792" s="311"/>
      <c r="AE792" s="311"/>
      <c r="AF792" s="311"/>
      <c r="AG792" s="311"/>
      <c r="AH792" s="311"/>
      <c r="AI792" s="311"/>
      <c r="AJ792" s="311"/>
      <c r="AK792" s="311"/>
      <c r="AL792" s="311"/>
      <c r="AM792" s="311"/>
      <c r="AN792" s="311"/>
      <c r="AO792" s="311"/>
      <c r="AP792" s="311"/>
      <c r="AQ792" s="311"/>
      <c r="AR792" s="311"/>
    </row>
    <row r="793" spans="1:44" s="475" customFormat="1" ht="12" customHeight="1">
      <c r="A793" s="311"/>
      <c r="P793" s="387"/>
      <c r="X793" s="311"/>
      <c r="Y793" s="311"/>
      <c r="Z793" s="311"/>
      <c r="AA793" s="311"/>
      <c r="AB793" s="311"/>
      <c r="AC793" s="311"/>
      <c r="AD793" s="311"/>
      <c r="AE793" s="311"/>
      <c r="AF793" s="311"/>
      <c r="AG793" s="311"/>
      <c r="AH793" s="311"/>
      <c r="AI793" s="311"/>
      <c r="AJ793" s="311"/>
      <c r="AK793" s="311"/>
      <c r="AL793" s="311"/>
      <c r="AM793" s="311"/>
      <c r="AN793" s="311"/>
      <c r="AO793" s="311"/>
      <c r="AP793" s="311"/>
      <c r="AQ793" s="311"/>
      <c r="AR793" s="311"/>
    </row>
    <row r="794" spans="1:44" s="475" customFormat="1" ht="12" customHeight="1">
      <c r="A794" s="311"/>
      <c r="P794" s="387"/>
      <c r="X794" s="311"/>
      <c r="Y794" s="311"/>
      <c r="Z794" s="311"/>
      <c r="AA794" s="311"/>
      <c r="AB794" s="311"/>
      <c r="AC794" s="311"/>
      <c r="AD794" s="311"/>
      <c r="AE794" s="311"/>
      <c r="AF794" s="311"/>
      <c r="AG794" s="311"/>
      <c r="AH794" s="311"/>
      <c r="AI794" s="311"/>
      <c r="AJ794" s="311"/>
      <c r="AK794" s="311"/>
      <c r="AL794" s="311"/>
      <c r="AM794" s="311"/>
      <c r="AN794" s="311"/>
      <c r="AO794" s="311"/>
      <c r="AP794" s="311"/>
      <c r="AQ794" s="311"/>
      <c r="AR794" s="311"/>
    </row>
    <row r="795" spans="1:44" s="475" customFormat="1" ht="12" customHeight="1">
      <c r="A795" s="311"/>
      <c r="P795" s="387"/>
      <c r="X795" s="311"/>
      <c r="Y795" s="311"/>
      <c r="Z795" s="311"/>
      <c r="AA795" s="311"/>
      <c r="AB795" s="311"/>
      <c r="AC795" s="311"/>
      <c r="AD795" s="311"/>
      <c r="AE795" s="311"/>
      <c r="AF795" s="311"/>
      <c r="AG795" s="311"/>
      <c r="AH795" s="311"/>
      <c r="AI795" s="311"/>
      <c r="AJ795" s="311"/>
      <c r="AK795" s="311"/>
      <c r="AL795" s="311"/>
      <c r="AM795" s="311"/>
      <c r="AN795" s="311"/>
      <c r="AO795" s="311"/>
      <c r="AP795" s="311"/>
      <c r="AQ795" s="311"/>
      <c r="AR795" s="311"/>
    </row>
    <row r="796" spans="1:44" s="475" customFormat="1" ht="12" customHeight="1">
      <c r="A796" s="311"/>
      <c r="P796" s="387"/>
      <c r="X796" s="311"/>
      <c r="Y796" s="311"/>
      <c r="Z796" s="311"/>
      <c r="AA796" s="311"/>
      <c r="AB796" s="311"/>
      <c r="AC796" s="311"/>
      <c r="AD796" s="311"/>
      <c r="AE796" s="311"/>
      <c r="AF796" s="311"/>
      <c r="AG796" s="311"/>
      <c r="AH796" s="311"/>
      <c r="AI796" s="311"/>
      <c r="AJ796" s="311"/>
      <c r="AK796" s="311"/>
      <c r="AL796" s="311"/>
      <c r="AM796" s="311"/>
      <c r="AN796" s="311"/>
      <c r="AO796" s="311"/>
      <c r="AP796" s="311"/>
      <c r="AQ796" s="311"/>
      <c r="AR796" s="311"/>
    </row>
    <row r="797" spans="1:44" s="475" customFormat="1" ht="12" customHeight="1">
      <c r="A797" s="311"/>
      <c r="P797" s="387"/>
      <c r="X797" s="311"/>
      <c r="Y797" s="311"/>
      <c r="Z797" s="311"/>
      <c r="AA797" s="311"/>
      <c r="AB797" s="311"/>
      <c r="AC797" s="311"/>
      <c r="AD797" s="311"/>
      <c r="AE797" s="311"/>
      <c r="AF797" s="311"/>
      <c r="AG797" s="311"/>
      <c r="AH797" s="311"/>
      <c r="AI797" s="311"/>
      <c r="AJ797" s="311"/>
      <c r="AK797" s="311"/>
      <c r="AL797" s="311"/>
      <c r="AM797" s="311"/>
      <c r="AN797" s="311"/>
      <c r="AO797" s="311"/>
      <c r="AP797" s="311"/>
      <c r="AQ797" s="311"/>
      <c r="AR797" s="311"/>
    </row>
    <row r="798" spans="1:44" s="475" customFormat="1" ht="12" customHeight="1">
      <c r="A798" s="311"/>
      <c r="P798" s="387"/>
      <c r="X798" s="311"/>
      <c r="Y798" s="311"/>
      <c r="Z798" s="311"/>
      <c r="AA798" s="311"/>
      <c r="AB798" s="311"/>
      <c r="AC798" s="311"/>
      <c r="AD798" s="311"/>
      <c r="AE798" s="311"/>
      <c r="AF798" s="311"/>
      <c r="AG798" s="311"/>
      <c r="AH798" s="311"/>
      <c r="AI798" s="311"/>
      <c r="AJ798" s="311"/>
      <c r="AK798" s="311"/>
      <c r="AL798" s="311"/>
      <c r="AM798" s="311"/>
      <c r="AN798" s="311"/>
      <c r="AO798" s="311"/>
      <c r="AP798" s="311"/>
      <c r="AQ798" s="311"/>
      <c r="AR798" s="311"/>
    </row>
    <row r="799" spans="1:44" s="475" customFormat="1" ht="12" customHeight="1">
      <c r="A799" s="311"/>
      <c r="P799" s="387"/>
      <c r="X799" s="311"/>
      <c r="Y799" s="311"/>
      <c r="Z799" s="311"/>
      <c r="AA799" s="311"/>
      <c r="AB799" s="311"/>
      <c r="AC799" s="311"/>
      <c r="AD799" s="311"/>
      <c r="AE799" s="311"/>
      <c r="AF799" s="311"/>
      <c r="AG799" s="311"/>
      <c r="AH799" s="311"/>
      <c r="AI799" s="311"/>
      <c r="AJ799" s="311"/>
      <c r="AK799" s="311"/>
      <c r="AL799" s="311"/>
      <c r="AM799" s="311"/>
      <c r="AN799" s="311"/>
      <c r="AO799" s="311"/>
      <c r="AP799" s="311"/>
      <c r="AQ799" s="311"/>
      <c r="AR799" s="311"/>
    </row>
    <row r="800" spans="1:44" s="475" customFormat="1" ht="12" customHeight="1">
      <c r="A800" s="311"/>
      <c r="P800" s="387"/>
      <c r="X800" s="311"/>
      <c r="Y800" s="311"/>
      <c r="Z800" s="311"/>
      <c r="AA800" s="311"/>
      <c r="AB800" s="311"/>
      <c r="AC800" s="311"/>
      <c r="AD800" s="311"/>
      <c r="AE800" s="311"/>
      <c r="AF800" s="311"/>
      <c r="AG800" s="311"/>
      <c r="AH800" s="311"/>
      <c r="AI800" s="311"/>
      <c r="AJ800" s="311"/>
      <c r="AK800" s="311"/>
      <c r="AL800" s="311"/>
      <c r="AM800" s="311"/>
      <c r="AN800" s="311"/>
      <c r="AO800" s="311"/>
      <c r="AP800" s="311"/>
      <c r="AQ800" s="311"/>
      <c r="AR800" s="311"/>
    </row>
    <row r="801" spans="1:44" s="475" customFormat="1" ht="12" customHeight="1">
      <c r="A801" s="311"/>
      <c r="P801" s="387"/>
      <c r="X801" s="311"/>
      <c r="Y801" s="311"/>
      <c r="Z801" s="311"/>
      <c r="AA801" s="311"/>
      <c r="AB801" s="311"/>
      <c r="AC801" s="311"/>
      <c r="AD801" s="311"/>
      <c r="AE801" s="311"/>
      <c r="AF801" s="311"/>
      <c r="AG801" s="311"/>
      <c r="AH801" s="311"/>
      <c r="AI801" s="311"/>
      <c r="AJ801" s="311"/>
      <c r="AK801" s="311"/>
      <c r="AL801" s="311"/>
      <c r="AM801" s="311"/>
      <c r="AN801" s="311"/>
      <c r="AO801" s="311"/>
      <c r="AP801" s="311"/>
      <c r="AQ801" s="311"/>
      <c r="AR801" s="311"/>
    </row>
    <row r="802" spans="1:44" s="475" customFormat="1" ht="12" customHeight="1">
      <c r="A802" s="311"/>
      <c r="P802" s="387"/>
      <c r="X802" s="311"/>
      <c r="Y802" s="311"/>
      <c r="Z802" s="311"/>
      <c r="AA802" s="311"/>
      <c r="AB802" s="311"/>
      <c r="AC802" s="311"/>
      <c r="AD802" s="311"/>
      <c r="AE802" s="311"/>
      <c r="AF802" s="311"/>
      <c r="AG802" s="311"/>
      <c r="AH802" s="311"/>
      <c r="AI802" s="311"/>
      <c r="AJ802" s="311"/>
      <c r="AK802" s="311"/>
      <c r="AL802" s="311"/>
      <c r="AM802" s="311"/>
      <c r="AN802" s="311"/>
      <c r="AO802" s="311"/>
      <c r="AP802" s="311"/>
      <c r="AQ802" s="311"/>
      <c r="AR802" s="311"/>
    </row>
    <row r="803" spans="1:44" s="475" customFormat="1" ht="12" customHeight="1">
      <c r="A803" s="311"/>
      <c r="P803" s="387"/>
      <c r="X803" s="311"/>
      <c r="Y803" s="311"/>
      <c r="Z803" s="311"/>
      <c r="AA803" s="311"/>
      <c r="AB803" s="311"/>
      <c r="AC803" s="311"/>
      <c r="AD803" s="311"/>
      <c r="AE803" s="311"/>
      <c r="AF803" s="311"/>
      <c r="AG803" s="311"/>
      <c r="AH803" s="311"/>
      <c r="AI803" s="311"/>
      <c r="AJ803" s="311"/>
      <c r="AK803" s="311"/>
      <c r="AL803" s="311"/>
      <c r="AM803" s="311"/>
      <c r="AN803" s="311"/>
      <c r="AO803" s="311"/>
      <c r="AP803" s="311"/>
      <c r="AQ803" s="311"/>
      <c r="AR803" s="311"/>
    </row>
    <row r="804" spans="1:44" s="475" customFormat="1" ht="12" customHeight="1">
      <c r="A804" s="311"/>
      <c r="P804" s="387"/>
      <c r="X804" s="311"/>
      <c r="Y804" s="311"/>
      <c r="Z804" s="311"/>
      <c r="AA804" s="311"/>
      <c r="AB804" s="311"/>
      <c r="AC804" s="311"/>
      <c r="AD804" s="311"/>
      <c r="AE804" s="311"/>
      <c r="AF804" s="311"/>
      <c r="AG804" s="311"/>
      <c r="AH804" s="311"/>
      <c r="AI804" s="311"/>
      <c r="AJ804" s="311"/>
      <c r="AK804" s="311"/>
      <c r="AL804" s="311"/>
      <c r="AM804" s="311"/>
      <c r="AN804" s="311"/>
      <c r="AO804" s="311"/>
      <c r="AP804" s="311"/>
      <c r="AQ804" s="311"/>
      <c r="AR804" s="311"/>
    </row>
    <row r="805" spans="1:44" s="475" customFormat="1" ht="12" customHeight="1">
      <c r="A805" s="311"/>
      <c r="P805" s="311"/>
      <c r="X805" s="311"/>
      <c r="Y805" s="311"/>
      <c r="Z805" s="311"/>
      <c r="AA805" s="311"/>
      <c r="AB805" s="311"/>
      <c r="AC805" s="311"/>
      <c r="AD805" s="311"/>
      <c r="AE805" s="311"/>
      <c r="AF805" s="311"/>
      <c r="AG805" s="311"/>
      <c r="AH805" s="311"/>
      <c r="AI805" s="311"/>
      <c r="AJ805" s="311"/>
      <c r="AK805" s="311"/>
      <c r="AL805" s="311"/>
      <c r="AM805" s="311"/>
      <c r="AN805" s="311"/>
      <c r="AO805" s="311"/>
      <c r="AP805" s="311"/>
      <c r="AQ805" s="311"/>
      <c r="AR805" s="311"/>
    </row>
    <row r="806" spans="1:44" s="475" customFormat="1" ht="12" customHeight="1">
      <c r="A806" s="311"/>
      <c r="P806" s="311"/>
      <c r="X806" s="311"/>
      <c r="Y806" s="311"/>
      <c r="Z806" s="311"/>
      <c r="AA806" s="311"/>
      <c r="AB806" s="311"/>
      <c r="AC806" s="311"/>
      <c r="AD806" s="311"/>
      <c r="AE806" s="311"/>
      <c r="AF806" s="311"/>
      <c r="AG806" s="311"/>
      <c r="AH806" s="311"/>
      <c r="AI806" s="311"/>
      <c r="AJ806" s="311"/>
      <c r="AK806" s="311"/>
      <c r="AL806" s="311"/>
      <c r="AM806" s="311"/>
      <c r="AN806" s="311"/>
      <c r="AO806" s="311"/>
      <c r="AP806" s="311"/>
      <c r="AQ806" s="311"/>
      <c r="AR806" s="311"/>
    </row>
    <row r="807" spans="1:44" s="475" customFormat="1" ht="12" customHeight="1">
      <c r="A807" s="311"/>
      <c r="P807" s="311"/>
      <c r="X807" s="311"/>
      <c r="Y807" s="311"/>
      <c r="Z807" s="311"/>
      <c r="AA807" s="311"/>
      <c r="AB807" s="311"/>
      <c r="AC807" s="311"/>
      <c r="AD807" s="311"/>
      <c r="AE807" s="311"/>
      <c r="AF807" s="311"/>
      <c r="AG807" s="311"/>
      <c r="AH807" s="311"/>
      <c r="AI807" s="311"/>
      <c r="AJ807" s="311"/>
      <c r="AK807" s="311"/>
      <c r="AL807" s="311"/>
      <c r="AM807" s="311"/>
      <c r="AN807" s="311"/>
      <c r="AO807" s="311"/>
      <c r="AP807" s="311"/>
      <c r="AQ807" s="311"/>
      <c r="AR807" s="311"/>
    </row>
    <row r="808" spans="1:44" s="475" customFormat="1" ht="12" customHeight="1">
      <c r="A808" s="311"/>
      <c r="P808" s="311"/>
      <c r="X808" s="311"/>
      <c r="Y808" s="311"/>
      <c r="Z808" s="311"/>
      <c r="AA808" s="311"/>
      <c r="AB808" s="311"/>
      <c r="AC808" s="311"/>
      <c r="AD808" s="311"/>
      <c r="AE808" s="311"/>
      <c r="AF808" s="311"/>
      <c r="AG808" s="311"/>
      <c r="AH808" s="311"/>
      <c r="AI808" s="311"/>
      <c r="AJ808" s="311"/>
      <c r="AK808" s="311"/>
      <c r="AL808" s="311"/>
      <c r="AM808" s="311"/>
      <c r="AN808" s="311"/>
      <c r="AO808" s="311"/>
      <c r="AP808" s="311"/>
      <c r="AQ808" s="311"/>
      <c r="AR808" s="311"/>
    </row>
    <row r="809" spans="1:44" s="475" customFormat="1" ht="12" customHeight="1">
      <c r="A809" s="311"/>
      <c r="P809" s="311"/>
      <c r="X809" s="311"/>
      <c r="Y809" s="311"/>
      <c r="Z809" s="311"/>
      <c r="AA809" s="311"/>
      <c r="AB809" s="311"/>
      <c r="AC809" s="311"/>
      <c r="AD809" s="311"/>
      <c r="AE809" s="311"/>
      <c r="AF809" s="311"/>
      <c r="AG809" s="311"/>
      <c r="AH809" s="311"/>
      <c r="AI809" s="311"/>
      <c r="AJ809" s="311"/>
      <c r="AK809" s="311"/>
      <c r="AL809" s="311"/>
      <c r="AM809" s="311"/>
      <c r="AN809" s="311"/>
      <c r="AO809" s="311"/>
      <c r="AP809" s="311"/>
      <c r="AQ809" s="311"/>
      <c r="AR809" s="311"/>
    </row>
    <row r="810" spans="1:44" s="475" customFormat="1" ht="12" customHeight="1">
      <c r="A810" s="311"/>
      <c r="P810" s="311"/>
      <c r="X810" s="311"/>
      <c r="Y810" s="311"/>
      <c r="Z810" s="311"/>
      <c r="AA810" s="311"/>
      <c r="AB810" s="311"/>
      <c r="AC810" s="311"/>
      <c r="AD810" s="311"/>
      <c r="AE810" s="311"/>
      <c r="AF810" s="311"/>
      <c r="AG810" s="311"/>
      <c r="AH810" s="311"/>
      <c r="AI810" s="311"/>
      <c r="AJ810" s="311"/>
      <c r="AK810" s="311"/>
      <c r="AL810" s="311"/>
      <c r="AM810" s="311"/>
      <c r="AN810" s="311"/>
      <c r="AO810" s="311"/>
      <c r="AP810" s="311"/>
      <c r="AQ810" s="311"/>
      <c r="AR810" s="311"/>
    </row>
    <row r="811" spans="1:44" s="475" customFormat="1" ht="12" customHeight="1">
      <c r="A811" s="311"/>
      <c r="P811" s="311"/>
      <c r="X811" s="311"/>
      <c r="Y811" s="311"/>
      <c r="Z811" s="311"/>
      <c r="AA811" s="311"/>
      <c r="AB811" s="311"/>
      <c r="AC811" s="311"/>
      <c r="AD811" s="311"/>
      <c r="AE811" s="311"/>
      <c r="AF811" s="311"/>
      <c r="AG811" s="311"/>
      <c r="AH811" s="311"/>
      <c r="AI811" s="311"/>
      <c r="AJ811" s="311"/>
      <c r="AK811" s="311"/>
      <c r="AL811" s="311"/>
      <c r="AM811" s="311"/>
      <c r="AN811" s="311"/>
      <c r="AO811" s="311"/>
      <c r="AP811" s="311"/>
      <c r="AQ811" s="311"/>
      <c r="AR811" s="311"/>
    </row>
    <row r="812" spans="1:44" s="475" customFormat="1" ht="12" customHeight="1">
      <c r="A812" s="311"/>
      <c r="P812" s="311"/>
      <c r="X812" s="311"/>
      <c r="Y812" s="311"/>
      <c r="Z812" s="311"/>
      <c r="AA812" s="311"/>
      <c r="AB812" s="311"/>
      <c r="AC812" s="311"/>
      <c r="AD812" s="311"/>
      <c r="AE812" s="311"/>
      <c r="AF812" s="311"/>
      <c r="AG812" s="311"/>
      <c r="AH812" s="311"/>
      <c r="AI812" s="311"/>
      <c r="AJ812" s="311"/>
      <c r="AK812" s="311"/>
      <c r="AL812" s="311"/>
      <c r="AM812" s="311"/>
      <c r="AN812" s="311"/>
      <c r="AO812" s="311"/>
      <c r="AP812" s="311"/>
      <c r="AQ812" s="311"/>
      <c r="AR812" s="311"/>
    </row>
    <row r="813" spans="1:44" s="475" customFormat="1" ht="12" customHeight="1">
      <c r="A813" s="311"/>
      <c r="P813" s="311"/>
      <c r="X813" s="311"/>
      <c r="Y813" s="311"/>
      <c r="Z813" s="311"/>
      <c r="AA813" s="311"/>
      <c r="AB813" s="311"/>
      <c r="AC813" s="311"/>
      <c r="AD813" s="311"/>
      <c r="AE813" s="311"/>
      <c r="AF813" s="311"/>
      <c r="AG813" s="311"/>
      <c r="AH813" s="311"/>
      <c r="AI813" s="311"/>
      <c r="AJ813" s="311"/>
      <c r="AK813" s="311"/>
      <c r="AL813" s="311"/>
      <c r="AM813" s="311"/>
      <c r="AN813" s="311"/>
      <c r="AO813" s="311"/>
      <c r="AP813" s="311"/>
      <c r="AQ813" s="311"/>
      <c r="AR813" s="311"/>
    </row>
    <row r="814" spans="1:44" s="475" customFormat="1" ht="12" customHeight="1">
      <c r="A814" s="311"/>
      <c r="P814" s="311"/>
      <c r="X814" s="311"/>
      <c r="Y814" s="311"/>
      <c r="Z814" s="311"/>
      <c r="AA814" s="311"/>
      <c r="AB814" s="311"/>
      <c r="AC814" s="311"/>
      <c r="AD814" s="311"/>
      <c r="AE814" s="311"/>
      <c r="AF814" s="311"/>
      <c r="AG814" s="311"/>
      <c r="AH814" s="311"/>
      <c r="AI814" s="311"/>
      <c r="AJ814" s="311"/>
      <c r="AK814" s="311"/>
      <c r="AL814" s="311"/>
      <c r="AM814" s="311"/>
      <c r="AN814" s="311"/>
      <c r="AO814" s="311"/>
      <c r="AP814" s="311"/>
      <c r="AQ814" s="311"/>
      <c r="AR814" s="311"/>
    </row>
    <row r="815" spans="1:44" s="475" customFormat="1" ht="12" customHeight="1">
      <c r="A815" s="311"/>
      <c r="P815" s="311"/>
      <c r="X815" s="311"/>
      <c r="Y815" s="311"/>
      <c r="Z815" s="311"/>
      <c r="AA815" s="311"/>
      <c r="AB815" s="311"/>
      <c r="AC815" s="311"/>
      <c r="AD815" s="311"/>
      <c r="AE815" s="311"/>
      <c r="AF815" s="311"/>
      <c r="AG815" s="311"/>
      <c r="AH815" s="311"/>
      <c r="AI815" s="311"/>
      <c r="AJ815" s="311"/>
      <c r="AK815" s="311"/>
      <c r="AL815" s="311"/>
      <c r="AM815" s="311"/>
      <c r="AN815" s="311"/>
      <c r="AO815" s="311"/>
      <c r="AP815" s="311"/>
      <c r="AQ815" s="311"/>
      <c r="AR815" s="311"/>
    </row>
    <row r="816" spans="1:44" s="475" customFormat="1" ht="12" customHeight="1">
      <c r="A816" s="311"/>
      <c r="P816" s="311"/>
      <c r="X816" s="311"/>
      <c r="Y816" s="311"/>
      <c r="Z816" s="311"/>
      <c r="AA816" s="311"/>
      <c r="AB816" s="311"/>
      <c r="AC816" s="311"/>
      <c r="AD816" s="311"/>
      <c r="AE816" s="311"/>
      <c r="AF816" s="311"/>
      <c r="AG816" s="311"/>
      <c r="AH816" s="311"/>
      <c r="AI816" s="311"/>
      <c r="AJ816" s="311"/>
      <c r="AK816" s="311"/>
      <c r="AL816" s="311"/>
      <c r="AM816" s="311"/>
      <c r="AN816" s="311"/>
      <c r="AO816" s="311"/>
      <c r="AP816" s="311"/>
      <c r="AQ816" s="311"/>
      <c r="AR816" s="311"/>
    </row>
    <row r="817" spans="1:44" s="475" customFormat="1" ht="12" customHeight="1">
      <c r="A817" s="311"/>
      <c r="P817" s="311"/>
      <c r="X817" s="311"/>
      <c r="Y817" s="311"/>
      <c r="Z817" s="311"/>
      <c r="AA817" s="311"/>
      <c r="AB817" s="311"/>
      <c r="AC817" s="311"/>
      <c r="AD817" s="311"/>
      <c r="AE817" s="311"/>
      <c r="AF817" s="311"/>
      <c r="AG817" s="311"/>
      <c r="AH817" s="311"/>
      <c r="AI817" s="311"/>
      <c r="AJ817" s="311"/>
      <c r="AK817" s="311"/>
      <c r="AL817" s="311"/>
      <c r="AM817" s="311"/>
      <c r="AN817" s="311"/>
      <c r="AO817" s="311"/>
      <c r="AP817" s="311"/>
      <c r="AQ817" s="311"/>
      <c r="AR817" s="311"/>
    </row>
    <row r="818" spans="1:44" s="475" customFormat="1" ht="12" customHeight="1">
      <c r="A818" s="311"/>
      <c r="P818" s="311"/>
      <c r="X818" s="311"/>
      <c r="Y818" s="311"/>
      <c r="Z818" s="311"/>
      <c r="AA818" s="311"/>
      <c r="AB818" s="311"/>
      <c r="AC818" s="311"/>
      <c r="AD818" s="311"/>
      <c r="AE818" s="311"/>
      <c r="AF818" s="311"/>
      <c r="AG818" s="311"/>
      <c r="AH818" s="311"/>
      <c r="AI818" s="311"/>
      <c r="AJ818" s="311"/>
      <c r="AK818" s="311"/>
      <c r="AL818" s="311"/>
      <c r="AM818" s="311"/>
      <c r="AN818" s="311"/>
      <c r="AO818" s="311"/>
      <c r="AP818" s="311"/>
      <c r="AQ818" s="311"/>
      <c r="AR818" s="311"/>
    </row>
    <row r="819" spans="1:44" s="475" customFormat="1" ht="12" customHeight="1">
      <c r="A819" s="311"/>
      <c r="P819" s="311"/>
      <c r="X819" s="311"/>
      <c r="Y819" s="311"/>
      <c r="Z819" s="311"/>
      <c r="AA819" s="311"/>
      <c r="AB819" s="311"/>
      <c r="AC819" s="311"/>
      <c r="AD819" s="311"/>
      <c r="AE819" s="311"/>
      <c r="AF819" s="311"/>
      <c r="AG819" s="311"/>
    </row>
    <row r="820" spans="1:44" s="475" customFormat="1" ht="12" customHeight="1">
      <c r="A820" s="311"/>
      <c r="P820" s="311"/>
      <c r="X820" s="311"/>
      <c r="Y820" s="311"/>
      <c r="Z820" s="311"/>
      <c r="AA820" s="311"/>
      <c r="AB820" s="311"/>
      <c r="AC820" s="311"/>
      <c r="AD820" s="311"/>
      <c r="AE820" s="311"/>
      <c r="AF820" s="311"/>
      <c r="AG820" s="311"/>
    </row>
    <row r="821" spans="1:44" s="475" customFormat="1" ht="12" customHeight="1">
      <c r="A821" s="311"/>
      <c r="P821" s="311"/>
      <c r="X821" s="311"/>
      <c r="Y821" s="311"/>
      <c r="Z821" s="311"/>
      <c r="AA821" s="311"/>
      <c r="AB821" s="311"/>
      <c r="AC821" s="311"/>
      <c r="AD821" s="311"/>
      <c r="AE821" s="311"/>
      <c r="AF821" s="311"/>
      <c r="AG821" s="311"/>
    </row>
    <row r="822" spans="1:44" s="475" customFormat="1" ht="12" customHeight="1">
      <c r="A822" s="311"/>
      <c r="P822" s="311"/>
      <c r="X822" s="311"/>
      <c r="Y822" s="311"/>
      <c r="Z822" s="311"/>
      <c r="AA822" s="311"/>
      <c r="AB822" s="311"/>
      <c r="AC822" s="311"/>
      <c r="AD822" s="311"/>
      <c r="AE822" s="311"/>
      <c r="AF822" s="311"/>
      <c r="AG822" s="311"/>
    </row>
    <row r="823" spans="1:44" s="475" customFormat="1" ht="12" customHeight="1">
      <c r="A823" s="311"/>
      <c r="P823" s="311"/>
      <c r="X823" s="311"/>
      <c r="Y823" s="311"/>
      <c r="Z823" s="311"/>
      <c r="AA823" s="311"/>
      <c r="AB823" s="311"/>
      <c r="AC823" s="311"/>
      <c r="AD823" s="311"/>
      <c r="AE823" s="311"/>
      <c r="AF823" s="311"/>
      <c r="AG823" s="311"/>
    </row>
    <row r="824" spans="1:44" s="475" customFormat="1" ht="12" customHeight="1">
      <c r="A824" s="311"/>
      <c r="P824" s="311"/>
      <c r="X824" s="311"/>
      <c r="Y824" s="311"/>
      <c r="Z824" s="311"/>
      <c r="AA824" s="311"/>
      <c r="AB824" s="311"/>
      <c r="AC824" s="311"/>
      <c r="AD824" s="311"/>
      <c r="AE824" s="311"/>
      <c r="AF824" s="311"/>
      <c r="AG824" s="311"/>
    </row>
    <row r="825" spans="1:44" s="475" customFormat="1" ht="12" customHeight="1">
      <c r="A825" s="311"/>
      <c r="P825" s="311"/>
      <c r="X825" s="311"/>
      <c r="Y825" s="311"/>
      <c r="Z825" s="311"/>
      <c r="AA825" s="311"/>
      <c r="AB825" s="311"/>
      <c r="AC825" s="311"/>
      <c r="AD825" s="311"/>
      <c r="AE825" s="311"/>
      <c r="AF825" s="311"/>
      <c r="AG825" s="311"/>
    </row>
    <row r="826" spans="1:44" s="475" customFormat="1" ht="12" customHeight="1">
      <c r="A826" s="311"/>
      <c r="P826" s="311"/>
      <c r="X826" s="311"/>
      <c r="Y826" s="311"/>
      <c r="Z826" s="311"/>
      <c r="AA826" s="311"/>
      <c r="AB826" s="311"/>
      <c r="AC826" s="311"/>
      <c r="AD826" s="311"/>
      <c r="AE826" s="311"/>
      <c r="AF826" s="311"/>
      <c r="AG826" s="311"/>
    </row>
    <row r="827" spans="1:44" s="475" customFormat="1" ht="12" customHeight="1">
      <c r="A827" s="311"/>
      <c r="P827" s="311"/>
      <c r="X827" s="311"/>
      <c r="Y827" s="311"/>
      <c r="Z827" s="311"/>
      <c r="AA827" s="311"/>
      <c r="AB827" s="311"/>
      <c r="AC827" s="311"/>
      <c r="AD827" s="311"/>
      <c r="AE827" s="311"/>
      <c r="AF827" s="311"/>
      <c r="AG827" s="311"/>
    </row>
    <row r="828" spans="1:44" s="475" customFormat="1" ht="12" customHeight="1">
      <c r="A828" s="311"/>
      <c r="P828" s="311"/>
      <c r="X828" s="311"/>
      <c r="Y828" s="311"/>
      <c r="Z828" s="311"/>
      <c r="AA828" s="311"/>
      <c r="AB828" s="311"/>
      <c r="AC828" s="311"/>
      <c r="AD828" s="311"/>
      <c r="AE828" s="311"/>
      <c r="AF828" s="311"/>
      <c r="AG828" s="311"/>
    </row>
    <row r="829" spans="1:44" s="475" customFormat="1" ht="12" customHeight="1">
      <c r="A829" s="311"/>
      <c r="P829" s="311"/>
      <c r="X829" s="311"/>
      <c r="Y829" s="311"/>
      <c r="Z829" s="311"/>
      <c r="AA829" s="311"/>
      <c r="AB829" s="311"/>
      <c r="AC829" s="311"/>
      <c r="AD829" s="311"/>
      <c r="AE829" s="311"/>
      <c r="AF829" s="311"/>
      <c r="AG829" s="311"/>
    </row>
    <row r="830" spans="1:44" s="475" customFormat="1" ht="12" customHeight="1">
      <c r="A830" s="311"/>
      <c r="P830" s="311"/>
      <c r="X830" s="311"/>
      <c r="Y830" s="311"/>
      <c r="Z830" s="311"/>
      <c r="AA830" s="311"/>
      <c r="AB830" s="311"/>
      <c r="AC830" s="311"/>
      <c r="AD830" s="311"/>
      <c r="AE830" s="311"/>
      <c r="AF830" s="311"/>
      <c r="AG830" s="311"/>
    </row>
    <row r="831" spans="1:44" s="475" customFormat="1" ht="12" customHeight="1">
      <c r="A831" s="311"/>
      <c r="P831" s="311"/>
      <c r="X831" s="311"/>
      <c r="Y831" s="311"/>
      <c r="Z831" s="311"/>
      <c r="AA831" s="311"/>
      <c r="AB831" s="311"/>
      <c r="AC831" s="311"/>
      <c r="AD831" s="311"/>
      <c r="AE831" s="311"/>
      <c r="AF831" s="311"/>
      <c r="AG831" s="311"/>
    </row>
    <row r="832" spans="1:44" s="475" customFormat="1" ht="12" customHeight="1">
      <c r="A832" s="311"/>
      <c r="P832" s="311"/>
      <c r="X832" s="311"/>
      <c r="Y832" s="311"/>
      <c r="Z832" s="311"/>
      <c r="AA832" s="311"/>
      <c r="AB832" s="311"/>
      <c r="AC832" s="311"/>
      <c r="AD832" s="311"/>
      <c r="AE832" s="311"/>
      <c r="AF832" s="311"/>
      <c r="AG832" s="311"/>
    </row>
    <row r="833" spans="1:33" s="475" customFormat="1" ht="12" customHeight="1">
      <c r="A833" s="311"/>
      <c r="P833" s="311"/>
      <c r="X833" s="311"/>
      <c r="Y833" s="311"/>
      <c r="Z833" s="311"/>
      <c r="AA833" s="311"/>
      <c r="AB833" s="311"/>
      <c r="AC833" s="311"/>
      <c r="AD833" s="311"/>
      <c r="AE833" s="311"/>
      <c r="AF833" s="311"/>
      <c r="AG833" s="311"/>
    </row>
    <row r="834" spans="1:33" s="475" customFormat="1" ht="12" customHeight="1">
      <c r="B834" s="474"/>
      <c r="X834" s="311"/>
      <c r="Y834" s="311"/>
      <c r="Z834" s="311"/>
      <c r="AA834" s="311"/>
      <c r="AB834" s="311"/>
      <c r="AC834" s="311"/>
      <c r="AD834" s="311"/>
      <c r="AE834" s="311"/>
      <c r="AF834" s="311"/>
      <c r="AG834" s="311"/>
    </row>
    <row r="835" spans="1:33" s="475" customFormat="1" ht="12" customHeight="1">
      <c r="B835" s="474"/>
    </row>
    <row r="836" spans="1:33" s="475" customFormat="1" ht="12" customHeight="1">
      <c r="B836" s="474"/>
    </row>
    <row r="837" spans="1:33" s="475" customFormat="1" ht="12" customHeight="1">
      <c r="B837" s="474"/>
    </row>
    <row r="838" spans="1:33" s="475" customFormat="1" ht="12" customHeight="1">
      <c r="B838" s="474"/>
    </row>
    <row r="839" spans="1:33" s="475" customFormat="1" ht="12" customHeight="1">
      <c r="B839" s="474"/>
    </row>
    <row r="840" spans="1:33" s="475" customFormat="1" ht="12" customHeight="1">
      <c r="B840" s="474"/>
    </row>
    <row r="841" spans="1:33" s="475" customFormat="1" ht="12" customHeight="1">
      <c r="B841" s="474"/>
    </row>
    <row r="842" spans="1:33" s="475" customFormat="1" ht="12" customHeight="1">
      <c r="B842" s="474"/>
    </row>
    <row r="843" spans="1:33" s="475" customFormat="1" ht="12" customHeight="1">
      <c r="B843" s="474"/>
    </row>
    <row r="844" spans="1:33" s="475" customFormat="1" ht="12" customHeight="1">
      <c r="B844" s="474"/>
    </row>
    <row r="845" spans="1:33" s="475" customFormat="1" ht="12" customHeight="1">
      <c r="B845" s="474"/>
    </row>
    <row r="846" spans="1:33" s="475" customFormat="1" ht="12" customHeight="1">
      <c r="B846" s="474"/>
    </row>
    <row r="847" spans="1:33" s="475" customFormat="1" ht="12" customHeight="1">
      <c r="B847" s="474"/>
    </row>
    <row r="848" spans="1:33" s="475" customFormat="1" ht="12" customHeight="1">
      <c r="B848" s="474"/>
    </row>
    <row r="849" spans="2:27" s="475" customFormat="1" ht="12" customHeight="1">
      <c r="B849" s="474"/>
    </row>
    <row r="850" spans="2:27" s="475" customFormat="1" ht="12" customHeight="1">
      <c r="B850" s="474"/>
    </row>
    <row r="851" spans="2:27" s="475" customFormat="1" ht="12" customHeight="1">
      <c r="B851" s="474"/>
    </row>
    <row r="852" spans="2:27" s="475" customFormat="1" ht="12" customHeight="1">
      <c r="B852" s="474"/>
    </row>
    <row r="853" spans="2:27" s="475" customFormat="1" ht="12" customHeight="1">
      <c r="B853" s="474"/>
    </row>
    <row r="854" spans="2:27" s="475" customFormat="1" ht="12" customHeight="1">
      <c r="B854" s="474"/>
    </row>
    <row r="855" spans="2:27" s="475" customFormat="1" ht="12" customHeight="1">
      <c r="B855" s="474"/>
    </row>
    <row r="856" spans="2:27" s="475" customFormat="1" ht="12" customHeight="1">
      <c r="B856" s="474"/>
    </row>
    <row r="857" spans="2:27" s="475" customFormat="1" ht="12" customHeight="1">
      <c r="B857" s="474"/>
    </row>
    <row r="858" spans="2:27" s="475" customFormat="1" ht="12" customHeight="1">
      <c r="B858" s="474"/>
    </row>
    <row r="859" spans="2:27" s="475" customFormat="1" ht="12" customHeight="1">
      <c r="B859" s="474"/>
    </row>
    <row r="860" spans="2:27" s="475" customFormat="1" ht="12" customHeight="1">
      <c r="B860" s="474"/>
    </row>
    <row r="861" spans="2:27" s="475" customFormat="1" ht="12" customHeight="1">
      <c r="B861" s="474"/>
    </row>
    <row r="862" spans="2:27" s="475" customFormat="1" ht="12" customHeight="1">
      <c r="B862" s="474"/>
      <c r="N862" s="311"/>
      <c r="O862" s="311"/>
    </row>
    <row r="863" spans="2:27" ht="12" customHeight="1">
      <c r="I863" s="475"/>
      <c r="Z863" s="392"/>
      <c r="AA863" s="392"/>
    </row>
    <row r="864" spans="2:27" ht="12" customHeight="1">
      <c r="Z864" s="392"/>
      <c r="AA864" s="392"/>
    </row>
    <row r="865" spans="26:27" ht="12" customHeight="1">
      <c r="Z865" s="392"/>
      <c r="AA865" s="392"/>
    </row>
    <row r="866" spans="26:27" ht="12" customHeight="1">
      <c r="Z866" s="392"/>
      <c r="AA866" s="392"/>
    </row>
  </sheetData>
  <sheetProtection algorithmName="SHA-512" hashValue="aIJ1rPokwByv8k8hZl31/dUvv+E2zBWhgKz542QkPlzIdjTR7NhF4fkmc3ffZTmcYtWGlRLCkFAB3aaf6/wTjw==" saltValue="9Vw+Ysx6qF/UFotIZnJJZA==" spinCount="100000" sheet="1" objects="1" scenarios="1" selectLockedCells="1" selectUnlockedCells="1"/>
  <mergeCells count="177">
    <mergeCell ref="F30:K30"/>
    <mergeCell ref="O30:P30"/>
    <mergeCell ref="F29:H29"/>
    <mergeCell ref="J29:K29"/>
    <mergeCell ref="O29:P29"/>
    <mergeCell ref="J26:L26"/>
    <mergeCell ref="N26:P26"/>
    <mergeCell ref="F27:L27"/>
    <mergeCell ref="M27:P28"/>
    <mergeCell ref="F28:H28"/>
    <mergeCell ref="F26:H26"/>
    <mergeCell ref="F43:G43"/>
    <mergeCell ref="H43:I43"/>
    <mergeCell ref="J43:K43"/>
    <mergeCell ref="N43:P43"/>
    <mergeCell ref="F44:G44"/>
    <mergeCell ref="H44:I44"/>
    <mergeCell ref="J44:K44"/>
    <mergeCell ref="N44:O44"/>
    <mergeCell ref="F39:H39"/>
    <mergeCell ref="J39:K39"/>
    <mergeCell ref="G40:H40"/>
    <mergeCell ref="O40:P40"/>
    <mergeCell ref="F42:G42"/>
    <mergeCell ref="H42:I42"/>
    <mergeCell ref="J42:K42"/>
    <mergeCell ref="F38:H38"/>
    <mergeCell ref="A1:P1"/>
    <mergeCell ref="O6:P6"/>
    <mergeCell ref="I9:J9"/>
    <mergeCell ref="O9:P9"/>
    <mergeCell ref="F11:H11"/>
    <mergeCell ref="O11:P11"/>
    <mergeCell ref="F21:L21"/>
    <mergeCell ref="O23:P23"/>
    <mergeCell ref="F22:H22"/>
    <mergeCell ref="M21:P22"/>
    <mergeCell ref="F23:H23"/>
    <mergeCell ref="J20:L20"/>
    <mergeCell ref="F20:H20"/>
    <mergeCell ref="A3:P3"/>
    <mergeCell ref="B6:D8"/>
    <mergeCell ref="O12:P12"/>
    <mergeCell ref="O24:P24"/>
    <mergeCell ref="O34:P34"/>
    <mergeCell ref="F35:K35"/>
    <mergeCell ref="O35:P35"/>
    <mergeCell ref="F24:K24"/>
    <mergeCell ref="N20:P20"/>
    <mergeCell ref="F15:I15"/>
    <mergeCell ref="N14:P14"/>
    <mergeCell ref="L15:M15"/>
    <mergeCell ref="J23:K23"/>
    <mergeCell ref="N16:P16"/>
    <mergeCell ref="H82:I82"/>
    <mergeCell ref="K82:L82"/>
    <mergeCell ref="F46:K46"/>
    <mergeCell ref="M46:P46"/>
    <mergeCell ref="F47:H47"/>
    <mergeCell ref="J47:K47"/>
    <mergeCell ref="F48:K48"/>
    <mergeCell ref="M48:P48"/>
    <mergeCell ref="K78:P80"/>
    <mergeCell ref="M82:P82"/>
    <mergeCell ref="F49:G49"/>
    <mergeCell ref="I49:K49"/>
    <mergeCell ref="M49:P49"/>
    <mergeCell ref="F36:K36"/>
    <mergeCell ref="G37:H37"/>
    <mergeCell ref="J37:K37"/>
    <mergeCell ref="J38:K38"/>
    <mergeCell ref="O38:P38"/>
    <mergeCell ref="F34:K34"/>
    <mergeCell ref="O37:P37"/>
    <mergeCell ref="M109:N109"/>
    <mergeCell ref="O109:P109"/>
    <mergeCell ref="E110:L110"/>
    <mergeCell ref="M110:N110"/>
    <mergeCell ref="O110:P110"/>
    <mergeCell ref="E111:G111"/>
    <mergeCell ref="K111:L111"/>
    <mergeCell ref="O111:P111"/>
    <mergeCell ref="K87:L87"/>
    <mergeCell ref="K90:L90"/>
    <mergeCell ref="H105:I105"/>
    <mergeCell ref="E109:L109"/>
    <mergeCell ref="K94:M94"/>
    <mergeCell ref="C125:E125"/>
    <mergeCell ref="F125:H125"/>
    <mergeCell ref="J125:L125"/>
    <mergeCell ref="M125:O125"/>
    <mergeCell ref="C126:E126"/>
    <mergeCell ref="F126:H126"/>
    <mergeCell ref="J126:L126"/>
    <mergeCell ref="M126:O126"/>
    <mergeCell ref="E112:G112"/>
    <mergeCell ref="I112:K112"/>
    <mergeCell ref="M112:P112"/>
    <mergeCell ref="E113:G113"/>
    <mergeCell ref="I113:J113"/>
    <mergeCell ref="L113:P113"/>
    <mergeCell ref="C129:E129"/>
    <mergeCell ref="F129:H129"/>
    <mergeCell ref="J129:L129"/>
    <mergeCell ref="M129:O129"/>
    <mergeCell ref="C130:E130"/>
    <mergeCell ref="F130:H130"/>
    <mergeCell ref="J130:L130"/>
    <mergeCell ref="M130:O130"/>
    <mergeCell ref="C127:E127"/>
    <mergeCell ref="F127:H127"/>
    <mergeCell ref="J127:L127"/>
    <mergeCell ref="M127:O127"/>
    <mergeCell ref="C128:E128"/>
    <mergeCell ref="F128:H128"/>
    <mergeCell ref="J128:L128"/>
    <mergeCell ref="M128:O128"/>
    <mergeCell ref="C132:P133"/>
    <mergeCell ref="C135:E135"/>
    <mergeCell ref="F135:I135"/>
    <mergeCell ref="J135:L135"/>
    <mergeCell ref="M135:P135"/>
    <mergeCell ref="C136:E136"/>
    <mergeCell ref="F136:I136"/>
    <mergeCell ref="J136:L136"/>
    <mergeCell ref="M136:P136"/>
    <mergeCell ref="C138:E138"/>
    <mergeCell ref="F138:I138"/>
    <mergeCell ref="J138:L138"/>
    <mergeCell ref="M138:P138"/>
    <mergeCell ref="O147:P147"/>
    <mergeCell ref="O148:P148"/>
    <mergeCell ref="I149:J149"/>
    <mergeCell ref="C139:E139"/>
    <mergeCell ref="F139:I139"/>
    <mergeCell ref="J139:L139"/>
    <mergeCell ref="M139:P139"/>
    <mergeCell ref="C140:E140"/>
    <mergeCell ref="F140:I140"/>
    <mergeCell ref="J140:L140"/>
    <mergeCell ref="M140:P140"/>
    <mergeCell ref="Q193:U194"/>
    <mergeCell ref="L176:M176"/>
    <mergeCell ref="L177:M177"/>
    <mergeCell ref="N181:O181"/>
    <mergeCell ref="O183:P183"/>
    <mergeCell ref="O185:P185"/>
    <mergeCell ref="H188:I188"/>
    <mergeCell ref="A193:L193"/>
    <mergeCell ref="M193:P193"/>
    <mergeCell ref="H189:I189"/>
    <mergeCell ref="H190:I190"/>
    <mergeCell ref="O184:P184"/>
    <mergeCell ref="K84:K85"/>
    <mergeCell ref="J171:K171"/>
    <mergeCell ref="M171:O171"/>
    <mergeCell ref="C175:F175"/>
    <mergeCell ref="L175:M175"/>
    <mergeCell ref="J167:P167"/>
    <mergeCell ref="N166:P166"/>
    <mergeCell ref="N165:P165"/>
    <mergeCell ref="N164:P164"/>
    <mergeCell ref="D164:H164"/>
    <mergeCell ref="J166:L166"/>
    <mergeCell ref="J165:L165"/>
    <mergeCell ref="G166:H166"/>
    <mergeCell ref="D167:H167"/>
    <mergeCell ref="D166:E166"/>
    <mergeCell ref="D165:H165"/>
    <mergeCell ref="J170:K170"/>
    <mergeCell ref="C160:F161"/>
    <mergeCell ref="J168:K168"/>
    <mergeCell ref="M170:O170"/>
    <mergeCell ref="C137:E137"/>
    <mergeCell ref="F137:I137"/>
    <mergeCell ref="J137:L137"/>
    <mergeCell ref="M137:P137"/>
  </mergeCells>
  <dataValidations count="23">
    <dataValidation type="list" allowBlank="1" showInputMessage="1" showErrorMessage="1" sqref="I125:I130 P125:P130" xr:uid="{00000000-0002-0000-0100-000000000000}">
      <formula1>"&lt;Select&gt;, Direct, Indirect, Both"</formula1>
    </dataValidation>
    <dataValidation type="list" allowBlank="1" showInputMessage="1" showErrorMessage="1" sqref="F39:H39" xr:uid="{00000000-0002-0000-0100-000001000000}">
      <formula1>"&lt;&lt; Select from list &gt;&gt;,City Limits, Unincorporated County, Consolidated Government"</formula1>
    </dataValidation>
    <dataValidation type="list" allowBlank="1" showInputMessage="1" showErrorMessage="1" sqref="F11:H11" xr:uid="{00000000-0002-0000-0100-000002000000}">
      <formula1>"(Select an Application Type),9% Credit Competitive Round only, 9% Credit &amp; HOME, 4% Credit/TE Bond, 4% Credit/TE Bond &amp; HOME, 4% Credit/TE Bond &amp; HOME NOFA, 4% Credit &amp; NHTF, 4% Credit &amp; NHTF &amp; HOME"</formula1>
    </dataValidation>
    <dataValidation type="list" allowBlank="1" showInputMessage="1" showErrorMessage="1" sqref="O12:P12" xr:uid="{00000000-0002-0000-0100-000003000000}">
      <formula1>"&lt;&lt;Select&gt;&gt;,Yes - see Comment, No, N/A - no pre-app"</formula1>
    </dataValidation>
    <dataValidation type="list" allowBlank="1" showInputMessage="1" showErrorMessage="1" sqref="O34:P34" xr:uid="{00000000-0002-0000-0100-000004000000}">
      <formula1>"Yes - no Master Plan, Yes- w/Master Plan, No"</formula1>
    </dataValidation>
    <dataValidation allowBlank="1" showErrorMessage="1" error="This cell formatted for 10 digit phone numbers.  Please enter only numeric characters.  Do not enter hyphens, parentheses, or spaces." prompt="This cell formatted for 10 digit phone numbers.  Please enter only numeric characters.  Do not enter hyphens, parentheses, or spaces." sqref="I49:K49" xr:uid="{00000000-0002-0000-0100-000005000000}"/>
    <dataValidation type="list" operator="greaterThanOrEqual" showInputMessage="1" showErrorMessage="1" error="Please enter a whole number or leave this cell empty." sqref="N39 P39 F14 F16 P15" xr:uid="{00000000-0002-0000-0100-000006000000}">
      <formula1>"Yes, No"</formula1>
    </dataValidation>
    <dataValidation type="list" allowBlank="1" showInputMessage="1" showErrorMessage="1" sqref="H82:I82" xr:uid="{00000000-0002-0000-0100-000007000000}">
      <formula1>"&lt;&lt; Select Tenancy &gt;&gt;,Family,Elderly,HFOP,Other Senior/Elderly, Other Non-Senior"</formula1>
    </dataValidation>
    <dataValidation type="list" allowBlank="1" showInputMessage="1" showErrorMessage="1" sqref="H105:I105" xr:uid="{00000000-0002-0000-0100-000008000000}">
      <formula1>"&lt;&lt;Select Pool&gt;&gt;, Flexible, Rural, N/A - 4% Bond"</formula1>
    </dataValidation>
    <dataValidation type="list" allowBlank="1" showInputMessage="1" showErrorMessage="1" sqref="N104 N73 N86 N97 N91 S60 N83" xr:uid="{00000000-0002-0000-0100-000009000000}">
      <formula1>"Elderly, Housing for Older Persons"</formula1>
    </dataValidation>
    <dataValidation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I111" xr:uid="{00000000-0002-0000-0100-00000A000000}"/>
    <dataValidation type="whole" allowBlank="1" showInputMessage="1" showErrorMessage="1" error="This cell is formatted for 10 digit phone numbers.  Please enter only numeric characters.  Do not enter hyphens, parentheses, periods, or spaces." sqref="I113 O29:O30 J23 O23:O24 J29" xr:uid="{00000000-0002-0000-0100-00000B000000}">
      <formula1>1000000000</formula1>
      <formula2>9999999999</formula2>
    </dataValidation>
    <dataValidation type="whole" showInputMessage="1" showErrorMessage="1" error="This cell is formatted for 10 digit phone numbers.  Please enter only numeric characters.  Do not enter hyphens, parentheses, periods, or spaces." sqref="E113" xr:uid="{00000000-0002-0000-0100-00000C000000}">
      <formula1>1000000000</formula1>
      <formula2>9999999999</formula2>
    </dataValidation>
    <dataValidation type="whole" allowBlank="1" showInputMessage="1" showErrorMessage="1" errorTitle="9-digit zip code required" error="This cell is formatted for 9 digit zip codes.  Please enter only numeric characters.  Do not enter hyphens, parentheses, periods, or spaces." sqref="F49:G49 J38:K38 K111:L111 F23 F29 G166" xr:uid="{00000000-0002-0000-0100-00000D000000}">
      <formula1>1000000</formula1>
      <formula2>999999999</formula2>
    </dataValidation>
    <dataValidation type="whole" allowBlank="1" showInputMessage="1" showErrorMessage="1" errorTitle="10-digit number required" error="This cell is formatted for 10 digit phone numbers.  Please enter only numeric characters.  Do not enter hyphens, parentheses, periods, or spaces." sqref="J166 N166 N164" xr:uid="{00000000-0002-0000-0100-00000E000000}">
      <formula1>1000000000</formula1>
      <formula2>9999999999</formula2>
    </dataValidation>
    <dataValidation type="list" allowBlank="1" showInputMessage="1" showErrorMessage="1" sqref="P179:P182 H103 I175 H178 D50 I168 I148 D159 I159 I170:I171 H100:H101 I173 O153:O154 P100:P101 I151:I154 O151 I179:I185" xr:uid="{00000000-0002-0000-0100-00000F000000}">
      <formula1>"Yes, No"</formula1>
    </dataValidation>
    <dataValidation type="whole" operator="greaterThanOrEqual" showInputMessage="1" showErrorMessage="1" error="Please enter a whole number or leave this cell empty." sqref="H55 F43:H44 L41:P41 I43:K45 M59:P59 K59" xr:uid="{00000000-0002-0000-0100-000010000000}">
      <formula1>0</formula1>
    </dataValidation>
    <dataValidation type="list" showInputMessage="1" showErrorMessage="1" sqref="H58 N36 I144 F40" xr:uid="{00000000-0002-0000-0100-000011000000}">
      <formula1>"Yes, No"</formula1>
    </dataValidation>
    <dataValidation type="list" allowBlank="1" showInputMessage="1" showErrorMessage="1" sqref="K94:M94" xr:uid="{00000000-0002-0000-0100-000012000000}">
      <formula1>"&lt;&lt; Select LIHTC Election &gt;&gt;,Income Averaging, 20% of Units at 50% of AMI, 40% of Units at 60% of AMI"</formula1>
    </dataValidation>
    <dataValidation type="list" showInputMessage="1" showErrorMessage="1" sqref="P96" xr:uid="{00000000-0002-0000-0100-000013000000}">
      <formula1>"Select, Yes, No, N/a"</formula1>
    </dataValidation>
    <dataValidation type="list" allowBlank="1" showInputMessage="1" showErrorMessage="1" sqref="I142" xr:uid="{00000000-0002-0000-0100-000014000000}">
      <formula1>"&lt;&lt;Select&gt;&gt;,Yes, No"</formula1>
    </dataValidation>
    <dataValidation type="list" allowBlank="1" showInputMessage="1" showErrorMessage="1" sqref="N16" xr:uid="{00000000-0002-0000-0100-000015000000}">
      <formula1>$J$214:$J$223</formula1>
    </dataValidation>
    <dataValidation type="list" allowBlank="1" showInputMessage="1" showErrorMessage="1" sqref="N14:P14" xr:uid="{00000000-0002-0000-0100-000016000000}">
      <formula1>"&lt;&lt;Select previous Application Type&gt;&gt;, 9% Credit Competitive Round only, 9% Credit &amp; HOME, 9% Credit &amp; NHTF, 9% Credit &amp; NHTF &amp; HOME, 4% Credit/TE Bond, 4% Credit/TE Bond &amp; HOME, 4% Credit/TE Bond &amp; HOME NOFA"</formula1>
    </dataValidation>
  </dataValidations>
  <hyperlinks>
    <hyperlink ref="N43" r:id="rId1" xr:uid="{00000000-0004-0000-0100-000000000000}"/>
    <hyperlink ref="N44" r:id="rId2" xr:uid="{00000000-0004-0000-0100-000001000000}"/>
  </hyperlinks>
  <printOptions horizontalCentered="1"/>
  <pageMargins left="0.25" right="0.25" top="0.75" bottom="0.5" header="0.5" footer="0.25"/>
  <pageSetup scale="10" fitToHeight="0" orientation="landscape" r:id="rId3"/>
  <headerFooter alignWithMargins="0">
    <oddHeader>&amp;LGeorgia Department of Community Affairs&amp;C&amp;11 2020 Funding Application&amp;RHousing Finance and Development Division</oddHeader>
    <oddFooter>&amp;L&amp;G &amp;9&amp;F&amp;C&amp;9&amp;A&amp;R&amp;9&amp;P of &amp;N</oddFooter>
  </headerFooter>
  <rowBreaks count="4" manualBreakCount="4">
    <brk id="44" max="16383" man="1"/>
    <brk id="90" max="16383" man="1"/>
    <brk id="140" max="16383" man="1"/>
    <brk id="190" max="16383" man="1"/>
  </rowBreaks>
  <legacyDrawingHF r:id="rId4"/>
  <extLst>
    <ext xmlns:x14="http://schemas.microsoft.com/office/spreadsheetml/2009/9/main" uri="{CCE6A557-97BC-4b89-ADB6-D9C93CAAB3DF}">
      <x14:dataValidations xmlns:xm="http://schemas.microsoft.com/office/excel/2006/main" count="3">
        <x14:dataValidation type="list" allowBlank="1" showInputMessage="1" showErrorMessage="1" xr:uid="{00000000-0002-0000-0100-000017000000}">
          <x14:formula1>
            <xm:f>'DCA Underwriting Assumptions'!$F$173:$F$223</xm:f>
          </x14:formula1>
          <xm:sqref>J28 J22</xm:sqref>
        </x14:dataValidation>
        <x14:dataValidation type="list" allowBlank="1" showInputMessage="1" showErrorMessage="1" xr:uid="{00000000-0002-0000-0100-000018000000}">
          <x14:formula1>
            <xm:f>'DCA Underwriting Assumptions'!$P$173:$P$714</xm:f>
          </x14:formula1>
          <xm:sqref>E109:L109</xm:sqref>
        </x14:dataValidation>
        <x14:dataValidation type="list" allowBlank="1" showInputMessage="1" showErrorMessage="1" xr:uid="{00000000-0002-0000-0100-000019000000}">
          <x14:formula1>
            <xm:f>'DCA Underwriting Assumptions'!$T$173:$T$800</xm:f>
          </x14:formula1>
          <xm:sqref>F38:H38</xm:sqref>
        </x14:dataValidation>
      </x14:dataValidations>
    </ext>
  </extLst>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9"/>
  <dimension ref="A1:K40"/>
  <sheetViews>
    <sheetView showGridLines="0" zoomScaleNormal="100" workbookViewId="0">
      <selection activeCell="N39" sqref="N39"/>
    </sheetView>
  </sheetViews>
  <sheetFormatPr defaultColWidth="8.88671875" defaultRowHeight="13.2"/>
  <cols>
    <col min="1" max="1" width="12.44140625" style="730" customWidth="1"/>
    <col min="2" max="2" width="10.109375" style="730" customWidth="1"/>
    <col min="3" max="3" width="11.88671875" style="730" customWidth="1"/>
    <col min="4" max="4" width="8.5546875" style="730" customWidth="1"/>
    <col min="5" max="5" width="13.88671875" style="730" customWidth="1"/>
    <col min="6" max="6" width="2.88671875" style="730" customWidth="1"/>
    <col min="7" max="7" width="11.88671875" style="730" customWidth="1"/>
    <col min="8" max="8" width="8.5546875" style="730" customWidth="1"/>
    <col min="9" max="9" width="13.88671875" style="730" customWidth="1"/>
    <col min="10" max="10" width="4.88671875" style="730" customWidth="1"/>
    <col min="11" max="11" width="25.88671875" style="730" customWidth="1"/>
    <col min="12" max="256" width="8.88671875" style="730"/>
    <col min="257" max="257" width="11.5546875" style="730" bestFit="1" customWidth="1"/>
    <col min="258" max="258" width="12.5546875" style="730" customWidth="1"/>
    <col min="259" max="259" width="10.109375" style="730" customWidth="1"/>
    <col min="260" max="260" width="14.88671875" style="730" customWidth="1"/>
    <col min="261" max="261" width="13.109375" style="730" bestFit="1" customWidth="1"/>
    <col min="262" max="262" width="4.88671875" style="730" customWidth="1"/>
    <col min="263" max="263" width="11.88671875" style="730" customWidth="1"/>
    <col min="264" max="264" width="12" style="730" customWidth="1"/>
    <col min="265" max="265" width="9.88671875" style="730" customWidth="1"/>
    <col min="266" max="266" width="13.88671875" style="730" bestFit="1" customWidth="1"/>
    <col min="267" max="512" width="8.88671875" style="730"/>
    <col min="513" max="513" width="11.5546875" style="730" bestFit="1" customWidth="1"/>
    <col min="514" max="514" width="12.5546875" style="730" customWidth="1"/>
    <col min="515" max="515" width="10.109375" style="730" customWidth="1"/>
    <col min="516" max="516" width="14.88671875" style="730" customWidth="1"/>
    <col min="517" max="517" width="13.109375" style="730" bestFit="1" customWidth="1"/>
    <col min="518" max="518" width="4.88671875" style="730" customWidth="1"/>
    <col min="519" max="519" width="11.88671875" style="730" customWidth="1"/>
    <col min="520" max="520" width="12" style="730" customWidth="1"/>
    <col min="521" max="521" width="9.88671875" style="730" customWidth="1"/>
    <col min="522" max="522" width="13.88671875" style="730" bestFit="1" customWidth="1"/>
    <col min="523" max="768" width="8.88671875" style="730"/>
    <col min="769" max="769" width="11.5546875" style="730" bestFit="1" customWidth="1"/>
    <col min="770" max="770" width="12.5546875" style="730" customWidth="1"/>
    <col min="771" max="771" width="10.109375" style="730" customWidth="1"/>
    <col min="772" max="772" width="14.88671875" style="730" customWidth="1"/>
    <col min="773" max="773" width="13.109375" style="730" bestFit="1" customWidth="1"/>
    <col min="774" max="774" width="4.88671875" style="730" customWidth="1"/>
    <col min="775" max="775" width="11.88671875" style="730" customWidth="1"/>
    <col min="776" max="776" width="12" style="730" customWidth="1"/>
    <col min="777" max="777" width="9.88671875" style="730" customWidth="1"/>
    <col min="778" max="778" width="13.88671875" style="730" bestFit="1" customWidth="1"/>
    <col min="779" max="1024" width="8.88671875" style="730"/>
    <col min="1025" max="1025" width="11.5546875" style="730" bestFit="1" customWidth="1"/>
    <col min="1026" max="1026" width="12.5546875" style="730" customWidth="1"/>
    <col min="1027" max="1027" width="10.109375" style="730" customWidth="1"/>
    <col min="1028" max="1028" width="14.88671875" style="730" customWidth="1"/>
    <col min="1029" max="1029" width="13.109375" style="730" bestFit="1" customWidth="1"/>
    <col min="1030" max="1030" width="4.88671875" style="730" customWidth="1"/>
    <col min="1031" max="1031" width="11.88671875" style="730" customWidth="1"/>
    <col min="1032" max="1032" width="12" style="730" customWidth="1"/>
    <col min="1033" max="1033" width="9.88671875" style="730" customWidth="1"/>
    <col min="1034" max="1034" width="13.88671875" style="730" bestFit="1" customWidth="1"/>
    <col min="1035" max="1280" width="8.88671875" style="730"/>
    <col min="1281" max="1281" width="11.5546875" style="730" bestFit="1" customWidth="1"/>
    <col min="1282" max="1282" width="12.5546875" style="730" customWidth="1"/>
    <col min="1283" max="1283" width="10.109375" style="730" customWidth="1"/>
    <col min="1284" max="1284" width="14.88671875" style="730" customWidth="1"/>
    <col min="1285" max="1285" width="13.109375" style="730" bestFit="1" customWidth="1"/>
    <col min="1286" max="1286" width="4.88671875" style="730" customWidth="1"/>
    <col min="1287" max="1287" width="11.88671875" style="730" customWidth="1"/>
    <col min="1288" max="1288" width="12" style="730" customWidth="1"/>
    <col min="1289" max="1289" width="9.88671875" style="730" customWidth="1"/>
    <col min="1290" max="1290" width="13.88671875" style="730" bestFit="1" customWidth="1"/>
    <col min="1291" max="1536" width="8.88671875" style="730"/>
    <col min="1537" max="1537" width="11.5546875" style="730" bestFit="1" customWidth="1"/>
    <col min="1538" max="1538" width="12.5546875" style="730" customWidth="1"/>
    <col min="1539" max="1539" width="10.109375" style="730" customWidth="1"/>
    <col min="1540" max="1540" width="14.88671875" style="730" customWidth="1"/>
    <col min="1541" max="1541" width="13.109375" style="730" bestFit="1" customWidth="1"/>
    <col min="1542" max="1542" width="4.88671875" style="730" customWidth="1"/>
    <col min="1543" max="1543" width="11.88671875" style="730" customWidth="1"/>
    <col min="1544" max="1544" width="12" style="730" customWidth="1"/>
    <col min="1545" max="1545" width="9.88671875" style="730" customWidth="1"/>
    <col min="1546" max="1546" width="13.88671875" style="730" bestFit="1" customWidth="1"/>
    <col min="1547" max="1792" width="8.88671875" style="730"/>
    <col min="1793" max="1793" width="11.5546875" style="730" bestFit="1" customWidth="1"/>
    <col min="1794" max="1794" width="12.5546875" style="730" customWidth="1"/>
    <col min="1795" max="1795" width="10.109375" style="730" customWidth="1"/>
    <col min="1796" max="1796" width="14.88671875" style="730" customWidth="1"/>
    <col min="1797" max="1797" width="13.109375" style="730" bestFit="1" customWidth="1"/>
    <col min="1798" max="1798" width="4.88671875" style="730" customWidth="1"/>
    <col min="1799" max="1799" width="11.88671875" style="730" customWidth="1"/>
    <col min="1800" max="1800" width="12" style="730" customWidth="1"/>
    <col min="1801" max="1801" width="9.88671875" style="730" customWidth="1"/>
    <col min="1802" max="1802" width="13.88671875" style="730" bestFit="1" customWidth="1"/>
    <col min="1803" max="2048" width="8.88671875" style="730"/>
    <col min="2049" max="2049" width="11.5546875" style="730" bestFit="1" customWidth="1"/>
    <col min="2050" max="2050" width="12.5546875" style="730" customWidth="1"/>
    <col min="2051" max="2051" width="10.109375" style="730" customWidth="1"/>
    <col min="2052" max="2052" width="14.88671875" style="730" customWidth="1"/>
    <col min="2053" max="2053" width="13.109375" style="730" bestFit="1" customWidth="1"/>
    <col min="2054" max="2054" width="4.88671875" style="730" customWidth="1"/>
    <col min="2055" max="2055" width="11.88671875" style="730" customWidth="1"/>
    <col min="2056" max="2056" width="12" style="730" customWidth="1"/>
    <col min="2057" max="2057" width="9.88671875" style="730" customWidth="1"/>
    <col min="2058" max="2058" width="13.88671875" style="730" bestFit="1" customWidth="1"/>
    <col min="2059" max="2304" width="8.88671875" style="730"/>
    <col min="2305" max="2305" width="11.5546875" style="730" bestFit="1" customWidth="1"/>
    <col min="2306" max="2306" width="12.5546875" style="730" customWidth="1"/>
    <col min="2307" max="2307" width="10.109375" style="730" customWidth="1"/>
    <col min="2308" max="2308" width="14.88671875" style="730" customWidth="1"/>
    <col min="2309" max="2309" width="13.109375" style="730" bestFit="1" customWidth="1"/>
    <col min="2310" max="2310" width="4.88671875" style="730" customWidth="1"/>
    <col min="2311" max="2311" width="11.88671875" style="730" customWidth="1"/>
    <col min="2312" max="2312" width="12" style="730" customWidth="1"/>
    <col min="2313" max="2313" width="9.88671875" style="730" customWidth="1"/>
    <col min="2314" max="2314" width="13.88671875" style="730" bestFit="1" customWidth="1"/>
    <col min="2315" max="2560" width="8.88671875" style="730"/>
    <col min="2561" max="2561" width="11.5546875" style="730" bestFit="1" customWidth="1"/>
    <col min="2562" max="2562" width="12.5546875" style="730" customWidth="1"/>
    <col min="2563" max="2563" width="10.109375" style="730" customWidth="1"/>
    <col min="2564" max="2564" width="14.88671875" style="730" customWidth="1"/>
    <col min="2565" max="2565" width="13.109375" style="730" bestFit="1" customWidth="1"/>
    <col min="2566" max="2566" width="4.88671875" style="730" customWidth="1"/>
    <col min="2567" max="2567" width="11.88671875" style="730" customWidth="1"/>
    <col min="2568" max="2568" width="12" style="730" customWidth="1"/>
    <col min="2569" max="2569" width="9.88671875" style="730" customWidth="1"/>
    <col min="2570" max="2570" width="13.88671875" style="730" bestFit="1" customWidth="1"/>
    <col min="2571" max="2816" width="8.88671875" style="730"/>
    <col min="2817" max="2817" width="11.5546875" style="730" bestFit="1" customWidth="1"/>
    <col min="2818" max="2818" width="12.5546875" style="730" customWidth="1"/>
    <col min="2819" max="2819" width="10.109375" style="730" customWidth="1"/>
    <col min="2820" max="2820" width="14.88671875" style="730" customWidth="1"/>
    <col min="2821" max="2821" width="13.109375" style="730" bestFit="1" customWidth="1"/>
    <col min="2822" max="2822" width="4.88671875" style="730" customWidth="1"/>
    <col min="2823" max="2823" width="11.88671875" style="730" customWidth="1"/>
    <col min="2824" max="2824" width="12" style="730" customWidth="1"/>
    <col min="2825" max="2825" width="9.88671875" style="730" customWidth="1"/>
    <col min="2826" max="2826" width="13.88671875" style="730" bestFit="1" customWidth="1"/>
    <col min="2827" max="3072" width="8.88671875" style="730"/>
    <col min="3073" max="3073" width="11.5546875" style="730" bestFit="1" customWidth="1"/>
    <col min="3074" max="3074" width="12.5546875" style="730" customWidth="1"/>
    <col min="3075" max="3075" width="10.109375" style="730" customWidth="1"/>
    <col min="3076" max="3076" width="14.88671875" style="730" customWidth="1"/>
    <col min="3077" max="3077" width="13.109375" style="730" bestFit="1" customWidth="1"/>
    <col min="3078" max="3078" width="4.88671875" style="730" customWidth="1"/>
    <col min="3079" max="3079" width="11.88671875" style="730" customWidth="1"/>
    <col min="3080" max="3080" width="12" style="730" customWidth="1"/>
    <col min="3081" max="3081" width="9.88671875" style="730" customWidth="1"/>
    <col min="3082" max="3082" width="13.88671875" style="730" bestFit="1" customWidth="1"/>
    <col min="3083" max="3328" width="8.88671875" style="730"/>
    <col min="3329" max="3329" width="11.5546875" style="730" bestFit="1" customWidth="1"/>
    <col min="3330" max="3330" width="12.5546875" style="730" customWidth="1"/>
    <col min="3331" max="3331" width="10.109375" style="730" customWidth="1"/>
    <col min="3332" max="3332" width="14.88671875" style="730" customWidth="1"/>
    <col min="3333" max="3333" width="13.109375" style="730" bestFit="1" customWidth="1"/>
    <col min="3334" max="3334" width="4.88671875" style="730" customWidth="1"/>
    <col min="3335" max="3335" width="11.88671875" style="730" customWidth="1"/>
    <col min="3336" max="3336" width="12" style="730" customWidth="1"/>
    <col min="3337" max="3337" width="9.88671875" style="730" customWidth="1"/>
    <col min="3338" max="3338" width="13.88671875" style="730" bestFit="1" customWidth="1"/>
    <col min="3339" max="3584" width="8.88671875" style="730"/>
    <col min="3585" max="3585" width="11.5546875" style="730" bestFit="1" customWidth="1"/>
    <col min="3586" max="3586" width="12.5546875" style="730" customWidth="1"/>
    <col min="3587" max="3587" width="10.109375" style="730" customWidth="1"/>
    <col min="3588" max="3588" width="14.88671875" style="730" customWidth="1"/>
    <col min="3589" max="3589" width="13.109375" style="730" bestFit="1" customWidth="1"/>
    <col min="3590" max="3590" width="4.88671875" style="730" customWidth="1"/>
    <col min="3591" max="3591" width="11.88671875" style="730" customWidth="1"/>
    <col min="3592" max="3592" width="12" style="730" customWidth="1"/>
    <col min="3593" max="3593" width="9.88671875" style="730" customWidth="1"/>
    <col min="3594" max="3594" width="13.88671875" style="730" bestFit="1" customWidth="1"/>
    <col min="3595" max="3840" width="8.88671875" style="730"/>
    <col min="3841" max="3841" width="11.5546875" style="730" bestFit="1" customWidth="1"/>
    <col min="3842" max="3842" width="12.5546875" style="730" customWidth="1"/>
    <col min="3843" max="3843" width="10.109375" style="730" customWidth="1"/>
    <col min="3844" max="3844" width="14.88671875" style="730" customWidth="1"/>
    <col min="3845" max="3845" width="13.109375" style="730" bestFit="1" customWidth="1"/>
    <col min="3846" max="3846" width="4.88671875" style="730" customWidth="1"/>
    <col min="3847" max="3847" width="11.88671875" style="730" customWidth="1"/>
    <col min="3848" max="3848" width="12" style="730" customWidth="1"/>
    <col min="3849" max="3849" width="9.88671875" style="730" customWidth="1"/>
    <col min="3850" max="3850" width="13.88671875" style="730" bestFit="1" customWidth="1"/>
    <col min="3851" max="4096" width="8.88671875" style="730"/>
    <col min="4097" max="4097" width="11.5546875" style="730" bestFit="1" customWidth="1"/>
    <col min="4098" max="4098" width="12.5546875" style="730" customWidth="1"/>
    <col min="4099" max="4099" width="10.109375" style="730" customWidth="1"/>
    <col min="4100" max="4100" width="14.88671875" style="730" customWidth="1"/>
    <col min="4101" max="4101" width="13.109375" style="730" bestFit="1" customWidth="1"/>
    <col min="4102" max="4102" width="4.88671875" style="730" customWidth="1"/>
    <col min="4103" max="4103" width="11.88671875" style="730" customWidth="1"/>
    <col min="4104" max="4104" width="12" style="730" customWidth="1"/>
    <col min="4105" max="4105" width="9.88671875" style="730" customWidth="1"/>
    <col min="4106" max="4106" width="13.88671875" style="730" bestFit="1" customWidth="1"/>
    <col min="4107" max="4352" width="8.88671875" style="730"/>
    <col min="4353" max="4353" width="11.5546875" style="730" bestFit="1" customWidth="1"/>
    <col min="4354" max="4354" width="12.5546875" style="730" customWidth="1"/>
    <col min="4355" max="4355" width="10.109375" style="730" customWidth="1"/>
    <col min="4356" max="4356" width="14.88671875" style="730" customWidth="1"/>
    <col min="4357" max="4357" width="13.109375" style="730" bestFit="1" customWidth="1"/>
    <col min="4358" max="4358" width="4.88671875" style="730" customWidth="1"/>
    <col min="4359" max="4359" width="11.88671875" style="730" customWidth="1"/>
    <col min="4360" max="4360" width="12" style="730" customWidth="1"/>
    <col min="4361" max="4361" width="9.88671875" style="730" customWidth="1"/>
    <col min="4362" max="4362" width="13.88671875" style="730" bestFit="1" customWidth="1"/>
    <col min="4363" max="4608" width="8.88671875" style="730"/>
    <col min="4609" max="4609" width="11.5546875" style="730" bestFit="1" customWidth="1"/>
    <col min="4610" max="4610" width="12.5546875" style="730" customWidth="1"/>
    <col min="4611" max="4611" width="10.109375" style="730" customWidth="1"/>
    <col min="4612" max="4612" width="14.88671875" style="730" customWidth="1"/>
    <col min="4613" max="4613" width="13.109375" style="730" bestFit="1" customWidth="1"/>
    <col min="4614" max="4614" width="4.88671875" style="730" customWidth="1"/>
    <col min="4615" max="4615" width="11.88671875" style="730" customWidth="1"/>
    <col min="4616" max="4616" width="12" style="730" customWidth="1"/>
    <col min="4617" max="4617" width="9.88671875" style="730" customWidth="1"/>
    <col min="4618" max="4618" width="13.88671875" style="730" bestFit="1" customWidth="1"/>
    <col min="4619" max="4864" width="8.88671875" style="730"/>
    <col min="4865" max="4865" width="11.5546875" style="730" bestFit="1" customWidth="1"/>
    <col min="4866" max="4866" width="12.5546875" style="730" customWidth="1"/>
    <col min="4867" max="4867" width="10.109375" style="730" customWidth="1"/>
    <col min="4868" max="4868" width="14.88671875" style="730" customWidth="1"/>
    <col min="4869" max="4869" width="13.109375" style="730" bestFit="1" customWidth="1"/>
    <col min="4870" max="4870" width="4.88671875" style="730" customWidth="1"/>
    <col min="4871" max="4871" width="11.88671875" style="730" customWidth="1"/>
    <col min="4872" max="4872" width="12" style="730" customWidth="1"/>
    <col min="4873" max="4873" width="9.88671875" style="730" customWidth="1"/>
    <col min="4874" max="4874" width="13.88671875" style="730" bestFit="1" customWidth="1"/>
    <col min="4875" max="5120" width="8.88671875" style="730"/>
    <col min="5121" max="5121" width="11.5546875" style="730" bestFit="1" customWidth="1"/>
    <col min="5122" max="5122" width="12.5546875" style="730" customWidth="1"/>
    <col min="5123" max="5123" width="10.109375" style="730" customWidth="1"/>
    <col min="5124" max="5124" width="14.88671875" style="730" customWidth="1"/>
    <col min="5125" max="5125" width="13.109375" style="730" bestFit="1" customWidth="1"/>
    <col min="5126" max="5126" width="4.88671875" style="730" customWidth="1"/>
    <col min="5127" max="5127" width="11.88671875" style="730" customWidth="1"/>
    <col min="5128" max="5128" width="12" style="730" customWidth="1"/>
    <col min="5129" max="5129" width="9.88671875" style="730" customWidth="1"/>
    <col min="5130" max="5130" width="13.88671875" style="730" bestFit="1" customWidth="1"/>
    <col min="5131" max="5376" width="8.88671875" style="730"/>
    <col min="5377" max="5377" width="11.5546875" style="730" bestFit="1" customWidth="1"/>
    <col min="5378" max="5378" width="12.5546875" style="730" customWidth="1"/>
    <col min="5379" max="5379" width="10.109375" style="730" customWidth="1"/>
    <col min="5380" max="5380" width="14.88671875" style="730" customWidth="1"/>
    <col min="5381" max="5381" width="13.109375" style="730" bestFit="1" customWidth="1"/>
    <col min="5382" max="5382" width="4.88671875" style="730" customWidth="1"/>
    <col min="5383" max="5383" width="11.88671875" style="730" customWidth="1"/>
    <col min="5384" max="5384" width="12" style="730" customWidth="1"/>
    <col min="5385" max="5385" width="9.88671875" style="730" customWidth="1"/>
    <col min="5386" max="5386" width="13.88671875" style="730" bestFit="1" customWidth="1"/>
    <col min="5387" max="5632" width="8.88671875" style="730"/>
    <col min="5633" max="5633" width="11.5546875" style="730" bestFit="1" customWidth="1"/>
    <col min="5634" max="5634" width="12.5546875" style="730" customWidth="1"/>
    <col min="5635" max="5635" width="10.109375" style="730" customWidth="1"/>
    <col min="5636" max="5636" width="14.88671875" style="730" customWidth="1"/>
    <col min="5637" max="5637" width="13.109375" style="730" bestFit="1" customWidth="1"/>
    <col min="5638" max="5638" width="4.88671875" style="730" customWidth="1"/>
    <col min="5639" max="5639" width="11.88671875" style="730" customWidth="1"/>
    <col min="5640" max="5640" width="12" style="730" customWidth="1"/>
    <col min="5641" max="5641" width="9.88671875" style="730" customWidth="1"/>
    <col min="5642" max="5642" width="13.88671875" style="730" bestFit="1" customWidth="1"/>
    <col min="5643" max="5888" width="8.88671875" style="730"/>
    <col min="5889" max="5889" width="11.5546875" style="730" bestFit="1" customWidth="1"/>
    <col min="5890" max="5890" width="12.5546875" style="730" customWidth="1"/>
    <col min="5891" max="5891" width="10.109375" style="730" customWidth="1"/>
    <col min="5892" max="5892" width="14.88671875" style="730" customWidth="1"/>
    <col min="5893" max="5893" width="13.109375" style="730" bestFit="1" customWidth="1"/>
    <col min="5894" max="5894" width="4.88671875" style="730" customWidth="1"/>
    <col min="5895" max="5895" width="11.88671875" style="730" customWidth="1"/>
    <col min="5896" max="5896" width="12" style="730" customWidth="1"/>
    <col min="5897" max="5897" width="9.88671875" style="730" customWidth="1"/>
    <col min="5898" max="5898" width="13.88671875" style="730" bestFit="1" customWidth="1"/>
    <col min="5899" max="6144" width="8.88671875" style="730"/>
    <col min="6145" max="6145" width="11.5546875" style="730" bestFit="1" customWidth="1"/>
    <col min="6146" max="6146" width="12.5546875" style="730" customWidth="1"/>
    <col min="6147" max="6147" width="10.109375" style="730" customWidth="1"/>
    <col min="6148" max="6148" width="14.88671875" style="730" customWidth="1"/>
    <col min="6149" max="6149" width="13.109375" style="730" bestFit="1" customWidth="1"/>
    <col min="6150" max="6150" width="4.88671875" style="730" customWidth="1"/>
    <col min="6151" max="6151" width="11.88671875" style="730" customWidth="1"/>
    <col min="6152" max="6152" width="12" style="730" customWidth="1"/>
    <col min="6153" max="6153" width="9.88671875" style="730" customWidth="1"/>
    <col min="6154" max="6154" width="13.88671875" style="730" bestFit="1" customWidth="1"/>
    <col min="6155" max="6400" width="8.88671875" style="730"/>
    <col min="6401" max="6401" width="11.5546875" style="730" bestFit="1" customWidth="1"/>
    <col min="6402" max="6402" width="12.5546875" style="730" customWidth="1"/>
    <col min="6403" max="6403" width="10.109375" style="730" customWidth="1"/>
    <col min="6404" max="6404" width="14.88671875" style="730" customWidth="1"/>
    <col min="6405" max="6405" width="13.109375" style="730" bestFit="1" customWidth="1"/>
    <col min="6406" max="6406" width="4.88671875" style="730" customWidth="1"/>
    <col min="6407" max="6407" width="11.88671875" style="730" customWidth="1"/>
    <col min="6408" max="6408" width="12" style="730" customWidth="1"/>
    <col min="6409" max="6409" width="9.88671875" style="730" customWidth="1"/>
    <col min="6410" max="6410" width="13.88671875" style="730" bestFit="1" customWidth="1"/>
    <col min="6411" max="6656" width="8.88671875" style="730"/>
    <col min="6657" max="6657" width="11.5546875" style="730" bestFit="1" customWidth="1"/>
    <col min="6658" max="6658" width="12.5546875" style="730" customWidth="1"/>
    <col min="6659" max="6659" width="10.109375" style="730" customWidth="1"/>
    <col min="6660" max="6660" width="14.88671875" style="730" customWidth="1"/>
    <col min="6661" max="6661" width="13.109375" style="730" bestFit="1" customWidth="1"/>
    <col min="6662" max="6662" width="4.88671875" style="730" customWidth="1"/>
    <col min="6663" max="6663" width="11.88671875" style="730" customWidth="1"/>
    <col min="6664" max="6664" width="12" style="730" customWidth="1"/>
    <col min="6665" max="6665" width="9.88671875" style="730" customWidth="1"/>
    <col min="6666" max="6666" width="13.88671875" style="730" bestFit="1" customWidth="1"/>
    <col min="6667" max="6912" width="8.88671875" style="730"/>
    <col min="6913" max="6913" width="11.5546875" style="730" bestFit="1" customWidth="1"/>
    <col min="6914" max="6914" width="12.5546875" style="730" customWidth="1"/>
    <col min="6915" max="6915" width="10.109375" style="730" customWidth="1"/>
    <col min="6916" max="6916" width="14.88671875" style="730" customWidth="1"/>
    <col min="6917" max="6917" width="13.109375" style="730" bestFit="1" customWidth="1"/>
    <col min="6918" max="6918" width="4.88671875" style="730" customWidth="1"/>
    <col min="6919" max="6919" width="11.88671875" style="730" customWidth="1"/>
    <col min="6920" max="6920" width="12" style="730" customWidth="1"/>
    <col min="6921" max="6921" width="9.88671875" style="730" customWidth="1"/>
    <col min="6922" max="6922" width="13.88671875" style="730" bestFit="1" customWidth="1"/>
    <col min="6923" max="7168" width="8.88671875" style="730"/>
    <col min="7169" max="7169" width="11.5546875" style="730" bestFit="1" customWidth="1"/>
    <col min="7170" max="7170" width="12.5546875" style="730" customWidth="1"/>
    <col min="7171" max="7171" width="10.109375" style="730" customWidth="1"/>
    <col min="7172" max="7172" width="14.88671875" style="730" customWidth="1"/>
    <col min="7173" max="7173" width="13.109375" style="730" bestFit="1" customWidth="1"/>
    <col min="7174" max="7174" width="4.88671875" style="730" customWidth="1"/>
    <col min="7175" max="7175" width="11.88671875" style="730" customWidth="1"/>
    <col min="7176" max="7176" width="12" style="730" customWidth="1"/>
    <col min="7177" max="7177" width="9.88671875" style="730" customWidth="1"/>
    <col min="7178" max="7178" width="13.88671875" style="730" bestFit="1" customWidth="1"/>
    <col min="7179" max="7424" width="8.88671875" style="730"/>
    <col min="7425" max="7425" width="11.5546875" style="730" bestFit="1" customWidth="1"/>
    <col min="7426" max="7426" width="12.5546875" style="730" customWidth="1"/>
    <col min="7427" max="7427" width="10.109375" style="730" customWidth="1"/>
    <col min="7428" max="7428" width="14.88671875" style="730" customWidth="1"/>
    <col min="7429" max="7429" width="13.109375" style="730" bestFit="1" customWidth="1"/>
    <col min="7430" max="7430" width="4.88671875" style="730" customWidth="1"/>
    <col min="7431" max="7431" width="11.88671875" style="730" customWidth="1"/>
    <col min="7432" max="7432" width="12" style="730" customWidth="1"/>
    <col min="7433" max="7433" width="9.88671875" style="730" customWidth="1"/>
    <col min="7434" max="7434" width="13.88671875" style="730" bestFit="1" customWidth="1"/>
    <col min="7435" max="7680" width="8.88671875" style="730"/>
    <col min="7681" max="7681" width="11.5546875" style="730" bestFit="1" customWidth="1"/>
    <col min="7682" max="7682" width="12.5546875" style="730" customWidth="1"/>
    <col min="7683" max="7683" width="10.109375" style="730" customWidth="1"/>
    <col min="7684" max="7684" width="14.88671875" style="730" customWidth="1"/>
    <col min="7685" max="7685" width="13.109375" style="730" bestFit="1" customWidth="1"/>
    <col min="7686" max="7686" width="4.88671875" style="730" customWidth="1"/>
    <col min="7687" max="7687" width="11.88671875" style="730" customWidth="1"/>
    <col min="7688" max="7688" width="12" style="730" customWidth="1"/>
    <col min="7689" max="7689" width="9.88671875" style="730" customWidth="1"/>
    <col min="7690" max="7690" width="13.88671875" style="730" bestFit="1" customWidth="1"/>
    <col min="7691" max="7936" width="8.88671875" style="730"/>
    <col min="7937" max="7937" width="11.5546875" style="730" bestFit="1" customWidth="1"/>
    <col min="7938" max="7938" width="12.5546875" style="730" customWidth="1"/>
    <col min="7939" max="7939" width="10.109375" style="730" customWidth="1"/>
    <col min="7940" max="7940" width="14.88671875" style="730" customWidth="1"/>
    <col min="7941" max="7941" width="13.109375" style="730" bestFit="1" customWidth="1"/>
    <col min="7942" max="7942" width="4.88671875" style="730" customWidth="1"/>
    <col min="7943" max="7943" width="11.88671875" style="730" customWidth="1"/>
    <col min="7944" max="7944" width="12" style="730" customWidth="1"/>
    <col min="7945" max="7945" width="9.88671875" style="730" customWidth="1"/>
    <col min="7946" max="7946" width="13.88671875" style="730" bestFit="1" customWidth="1"/>
    <col min="7947" max="8192" width="8.88671875" style="730"/>
    <col min="8193" max="8193" width="11.5546875" style="730" bestFit="1" customWidth="1"/>
    <col min="8194" max="8194" width="12.5546875" style="730" customWidth="1"/>
    <col min="8195" max="8195" width="10.109375" style="730" customWidth="1"/>
    <col min="8196" max="8196" width="14.88671875" style="730" customWidth="1"/>
    <col min="8197" max="8197" width="13.109375" style="730" bestFit="1" customWidth="1"/>
    <col min="8198" max="8198" width="4.88671875" style="730" customWidth="1"/>
    <col min="8199" max="8199" width="11.88671875" style="730" customWidth="1"/>
    <col min="8200" max="8200" width="12" style="730" customWidth="1"/>
    <col min="8201" max="8201" width="9.88671875" style="730" customWidth="1"/>
    <col min="8202" max="8202" width="13.88671875" style="730" bestFit="1" customWidth="1"/>
    <col min="8203" max="8448" width="8.88671875" style="730"/>
    <col min="8449" max="8449" width="11.5546875" style="730" bestFit="1" customWidth="1"/>
    <col min="8450" max="8450" width="12.5546875" style="730" customWidth="1"/>
    <col min="8451" max="8451" width="10.109375" style="730" customWidth="1"/>
    <col min="8452" max="8452" width="14.88671875" style="730" customWidth="1"/>
    <col min="8453" max="8453" width="13.109375" style="730" bestFit="1" customWidth="1"/>
    <col min="8454" max="8454" width="4.88671875" style="730" customWidth="1"/>
    <col min="8455" max="8455" width="11.88671875" style="730" customWidth="1"/>
    <col min="8456" max="8456" width="12" style="730" customWidth="1"/>
    <col min="8457" max="8457" width="9.88671875" style="730" customWidth="1"/>
    <col min="8458" max="8458" width="13.88671875" style="730" bestFit="1" customWidth="1"/>
    <col min="8459" max="8704" width="8.88671875" style="730"/>
    <col min="8705" max="8705" width="11.5546875" style="730" bestFit="1" customWidth="1"/>
    <col min="8706" max="8706" width="12.5546875" style="730" customWidth="1"/>
    <col min="8707" max="8707" width="10.109375" style="730" customWidth="1"/>
    <col min="8708" max="8708" width="14.88671875" style="730" customWidth="1"/>
    <col min="8709" max="8709" width="13.109375" style="730" bestFit="1" customWidth="1"/>
    <col min="8710" max="8710" width="4.88671875" style="730" customWidth="1"/>
    <col min="8711" max="8711" width="11.88671875" style="730" customWidth="1"/>
    <col min="8712" max="8712" width="12" style="730" customWidth="1"/>
    <col min="8713" max="8713" width="9.88671875" style="730" customWidth="1"/>
    <col min="8714" max="8714" width="13.88671875" style="730" bestFit="1" customWidth="1"/>
    <col min="8715" max="8960" width="8.88671875" style="730"/>
    <col min="8961" max="8961" width="11.5546875" style="730" bestFit="1" customWidth="1"/>
    <col min="8962" max="8962" width="12.5546875" style="730" customWidth="1"/>
    <col min="8963" max="8963" width="10.109375" style="730" customWidth="1"/>
    <col min="8964" max="8964" width="14.88671875" style="730" customWidth="1"/>
    <col min="8965" max="8965" width="13.109375" style="730" bestFit="1" customWidth="1"/>
    <col min="8966" max="8966" width="4.88671875" style="730" customWidth="1"/>
    <col min="8967" max="8967" width="11.88671875" style="730" customWidth="1"/>
    <col min="8968" max="8968" width="12" style="730" customWidth="1"/>
    <col min="8969" max="8969" width="9.88671875" style="730" customWidth="1"/>
    <col min="8970" max="8970" width="13.88671875" style="730" bestFit="1" customWidth="1"/>
    <col min="8971" max="9216" width="8.88671875" style="730"/>
    <col min="9217" max="9217" width="11.5546875" style="730" bestFit="1" customWidth="1"/>
    <col min="9218" max="9218" width="12.5546875" style="730" customWidth="1"/>
    <col min="9219" max="9219" width="10.109375" style="730" customWidth="1"/>
    <col min="9220" max="9220" width="14.88671875" style="730" customWidth="1"/>
    <col min="9221" max="9221" width="13.109375" style="730" bestFit="1" customWidth="1"/>
    <col min="9222" max="9222" width="4.88671875" style="730" customWidth="1"/>
    <col min="9223" max="9223" width="11.88671875" style="730" customWidth="1"/>
    <col min="9224" max="9224" width="12" style="730" customWidth="1"/>
    <col min="9225" max="9225" width="9.88671875" style="730" customWidth="1"/>
    <col min="9226" max="9226" width="13.88671875" style="730" bestFit="1" customWidth="1"/>
    <col min="9227" max="9472" width="8.88671875" style="730"/>
    <col min="9473" max="9473" width="11.5546875" style="730" bestFit="1" customWidth="1"/>
    <col min="9474" max="9474" width="12.5546875" style="730" customWidth="1"/>
    <col min="9475" max="9475" width="10.109375" style="730" customWidth="1"/>
    <col min="9476" max="9476" width="14.88671875" style="730" customWidth="1"/>
    <col min="9477" max="9477" width="13.109375" style="730" bestFit="1" customWidth="1"/>
    <col min="9478" max="9478" width="4.88671875" style="730" customWidth="1"/>
    <col min="9479" max="9479" width="11.88671875" style="730" customWidth="1"/>
    <col min="9480" max="9480" width="12" style="730" customWidth="1"/>
    <col min="9481" max="9481" width="9.88671875" style="730" customWidth="1"/>
    <col min="9482" max="9482" width="13.88671875" style="730" bestFit="1" customWidth="1"/>
    <col min="9483" max="9728" width="8.88671875" style="730"/>
    <col min="9729" max="9729" width="11.5546875" style="730" bestFit="1" customWidth="1"/>
    <col min="9730" max="9730" width="12.5546875" style="730" customWidth="1"/>
    <col min="9731" max="9731" width="10.109375" style="730" customWidth="1"/>
    <col min="9732" max="9732" width="14.88671875" style="730" customWidth="1"/>
    <col min="9733" max="9733" width="13.109375" style="730" bestFit="1" customWidth="1"/>
    <col min="9734" max="9734" width="4.88671875" style="730" customWidth="1"/>
    <col min="9735" max="9735" width="11.88671875" style="730" customWidth="1"/>
    <col min="9736" max="9736" width="12" style="730" customWidth="1"/>
    <col min="9737" max="9737" width="9.88671875" style="730" customWidth="1"/>
    <col min="9738" max="9738" width="13.88671875" style="730" bestFit="1" customWidth="1"/>
    <col min="9739" max="9984" width="8.88671875" style="730"/>
    <col min="9985" max="9985" width="11.5546875" style="730" bestFit="1" customWidth="1"/>
    <col min="9986" max="9986" width="12.5546875" style="730" customWidth="1"/>
    <col min="9987" max="9987" width="10.109375" style="730" customWidth="1"/>
    <col min="9988" max="9988" width="14.88671875" style="730" customWidth="1"/>
    <col min="9989" max="9989" width="13.109375" style="730" bestFit="1" customWidth="1"/>
    <col min="9990" max="9990" width="4.88671875" style="730" customWidth="1"/>
    <col min="9991" max="9991" width="11.88671875" style="730" customWidth="1"/>
    <col min="9992" max="9992" width="12" style="730" customWidth="1"/>
    <col min="9993" max="9993" width="9.88671875" style="730" customWidth="1"/>
    <col min="9994" max="9994" width="13.88671875" style="730" bestFit="1" customWidth="1"/>
    <col min="9995" max="10240" width="8.88671875" style="730"/>
    <col min="10241" max="10241" width="11.5546875" style="730" bestFit="1" customWidth="1"/>
    <col min="10242" max="10242" width="12.5546875" style="730" customWidth="1"/>
    <col min="10243" max="10243" width="10.109375" style="730" customWidth="1"/>
    <col min="10244" max="10244" width="14.88671875" style="730" customWidth="1"/>
    <col min="10245" max="10245" width="13.109375" style="730" bestFit="1" customWidth="1"/>
    <col min="10246" max="10246" width="4.88671875" style="730" customWidth="1"/>
    <col min="10247" max="10247" width="11.88671875" style="730" customWidth="1"/>
    <col min="10248" max="10248" width="12" style="730" customWidth="1"/>
    <col min="10249" max="10249" width="9.88671875" style="730" customWidth="1"/>
    <col min="10250" max="10250" width="13.88671875" style="730" bestFit="1" customWidth="1"/>
    <col min="10251" max="10496" width="8.88671875" style="730"/>
    <col min="10497" max="10497" width="11.5546875" style="730" bestFit="1" customWidth="1"/>
    <col min="10498" max="10498" width="12.5546875" style="730" customWidth="1"/>
    <col min="10499" max="10499" width="10.109375" style="730" customWidth="1"/>
    <col min="10500" max="10500" width="14.88671875" style="730" customWidth="1"/>
    <col min="10501" max="10501" width="13.109375" style="730" bestFit="1" customWidth="1"/>
    <col min="10502" max="10502" width="4.88671875" style="730" customWidth="1"/>
    <col min="10503" max="10503" width="11.88671875" style="730" customWidth="1"/>
    <col min="10504" max="10504" width="12" style="730" customWidth="1"/>
    <col min="10505" max="10505" width="9.88671875" style="730" customWidth="1"/>
    <col min="10506" max="10506" width="13.88671875" style="730" bestFit="1" customWidth="1"/>
    <col min="10507" max="10752" width="8.88671875" style="730"/>
    <col min="10753" max="10753" width="11.5546875" style="730" bestFit="1" customWidth="1"/>
    <col min="10754" max="10754" width="12.5546875" style="730" customWidth="1"/>
    <col min="10755" max="10755" width="10.109375" style="730" customWidth="1"/>
    <col min="10756" max="10756" width="14.88671875" style="730" customWidth="1"/>
    <col min="10757" max="10757" width="13.109375" style="730" bestFit="1" customWidth="1"/>
    <col min="10758" max="10758" width="4.88671875" style="730" customWidth="1"/>
    <col min="10759" max="10759" width="11.88671875" style="730" customWidth="1"/>
    <col min="10760" max="10760" width="12" style="730" customWidth="1"/>
    <col min="10761" max="10761" width="9.88671875" style="730" customWidth="1"/>
    <col min="10762" max="10762" width="13.88671875" style="730" bestFit="1" customWidth="1"/>
    <col min="10763" max="11008" width="8.88671875" style="730"/>
    <col min="11009" max="11009" width="11.5546875" style="730" bestFit="1" customWidth="1"/>
    <col min="11010" max="11010" width="12.5546875" style="730" customWidth="1"/>
    <col min="11011" max="11011" width="10.109375" style="730" customWidth="1"/>
    <col min="11012" max="11012" width="14.88671875" style="730" customWidth="1"/>
    <col min="11013" max="11013" width="13.109375" style="730" bestFit="1" customWidth="1"/>
    <col min="11014" max="11014" width="4.88671875" style="730" customWidth="1"/>
    <col min="11015" max="11015" width="11.88671875" style="730" customWidth="1"/>
    <col min="11016" max="11016" width="12" style="730" customWidth="1"/>
    <col min="11017" max="11017" width="9.88671875" style="730" customWidth="1"/>
    <col min="11018" max="11018" width="13.88671875" style="730" bestFit="1" customWidth="1"/>
    <col min="11019" max="11264" width="8.88671875" style="730"/>
    <col min="11265" max="11265" width="11.5546875" style="730" bestFit="1" customWidth="1"/>
    <col min="11266" max="11266" width="12.5546875" style="730" customWidth="1"/>
    <col min="11267" max="11267" width="10.109375" style="730" customWidth="1"/>
    <col min="11268" max="11268" width="14.88671875" style="730" customWidth="1"/>
    <col min="11269" max="11269" width="13.109375" style="730" bestFit="1" customWidth="1"/>
    <col min="11270" max="11270" width="4.88671875" style="730" customWidth="1"/>
    <col min="11271" max="11271" width="11.88671875" style="730" customWidth="1"/>
    <col min="11272" max="11272" width="12" style="730" customWidth="1"/>
    <col min="11273" max="11273" width="9.88671875" style="730" customWidth="1"/>
    <col min="11274" max="11274" width="13.88671875" style="730" bestFit="1" customWidth="1"/>
    <col min="11275" max="11520" width="8.88671875" style="730"/>
    <col min="11521" max="11521" width="11.5546875" style="730" bestFit="1" customWidth="1"/>
    <col min="11522" max="11522" width="12.5546875" style="730" customWidth="1"/>
    <col min="11523" max="11523" width="10.109375" style="730" customWidth="1"/>
    <col min="11524" max="11524" width="14.88671875" style="730" customWidth="1"/>
    <col min="11525" max="11525" width="13.109375" style="730" bestFit="1" customWidth="1"/>
    <col min="11526" max="11526" width="4.88671875" style="730" customWidth="1"/>
    <col min="11527" max="11527" width="11.88671875" style="730" customWidth="1"/>
    <col min="11528" max="11528" width="12" style="730" customWidth="1"/>
    <col min="11529" max="11529" width="9.88671875" style="730" customWidth="1"/>
    <col min="11530" max="11530" width="13.88671875" style="730" bestFit="1" customWidth="1"/>
    <col min="11531" max="11776" width="8.88671875" style="730"/>
    <col min="11777" max="11777" width="11.5546875" style="730" bestFit="1" customWidth="1"/>
    <col min="11778" max="11778" width="12.5546875" style="730" customWidth="1"/>
    <col min="11779" max="11779" width="10.109375" style="730" customWidth="1"/>
    <col min="11780" max="11780" width="14.88671875" style="730" customWidth="1"/>
    <col min="11781" max="11781" width="13.109375" style="730" bestFit="1" customWidth="1"/>
    <col min="11782" max="11782" width="4.88671875" style="730" customWidth="1"/>
    <col min="11783" max="11783" width="11.88671875" style="730" customWidth="1"/>
    <col min="11784" max="11784" width="12" style="730" customWidth="1"/>
    <col min="11785" max="11785" width="9.88671875" style="730" customWidth="1"/>
    <col min="11786" max="11786" width="13.88671875" style="730" bestFit="1" customWidth="1"/>
    <col min="11787" max="12032" width="8.88671875" style="730"/>
    <col min="12033" max="12033" width="11.5546875" style="730" bestFit="1" customWidth="1"/>
    <col min="12034" max="12034" width="12.5546875" style="730" customWidth="1"/>
    <col min="12035" max="12035" width="10.109375" style="730" customWidth="1"/>
    <col min="12036" max="12036" width="14.88671875" style="730" customWidth="1"/>
    <col min="12037" max="12037" width="13.109375" style="730" bestFit="1" customWidth="1"/>
    <col min="12038" max="12038" width="4.88671875" style="730" customWidth="1"/>
    <col min="12039" max="12039" width="11.88671875" style="730" customWidth="1"/>
    <col min="12040" max="12040" width="12" style="730" customWidth="1"/>
    <col min="12041" max="12041" width="9.88671875" style="730" customWidth="1"/>
    <col min="12042" max="12042" width="13.88671875" style="730" bestFit="1" customWidth="1"/>
    <col min="12043" max="12288" width="8.88671875" style="730"/>
    <col min="12289" max="12289" width="11.5546875" style="730" bestFit="1" customWidth="1"/>
    <col min="12290" max="12290" width="12.5546875" style="730" customWidth="1"/>
    <col min="12291" max="12291" width="10.109375" style="730" customWidth="1"/>
    <col min="12292" max="12292" width="14.88671875" style="730" customWidth="1"/>
    <col min="12293" max="12293" width="13.109375" style="730" bestFit="1" customWidth="1"/>
    <col min="12294" max="12294" width="4.88671875" style="730" customWidth="1"/>
    <col min="12295" max="12295" width="11.88671875" style="730" customWidth="1"/>
    <col min="12296" max="12296" width="12" style="730" customWidth="1"/>
    <col min="12297" max="12297" width="9.88671875" style="730" customWidth="1"/>
    <col min="12298" max="12298" width="13.88671875" style="730" bestFit="1" customWidth="1"/>
    <col min="12299" max="12544" width="8.88671875" style="730"/>
    <col min="12545" max="12545" width="11.5546875" style="730" bestFit="1" customWidth="1"/>
    <col min="12546" max="12546" width="12.5546875" style="730" customWidth="1"/>
    <col min="12547" max="12547" width="10.109375" style="730" customWidth="1"/>
    <col min="12548" max="12548" width="14.88671875" style="730" customWidth="1"/>
    <col min="12549" max="12549" width="13.109375" style="730" bestFit="1" customWidth="1"/>
    <col min="12550" max="12550" width="4.88671875" style="730" customWidth="1"/>
    <col min="12551" max="12551" width="11.88671875" style="730" customWidth="1"/>
    <col min="12552" max="12552" width="12" style="730" customWidth="1"/>
    <col min="12553" max="12553" width="9.88671875" style="730" customWidth="1"/>
    <col min="12554" max="12554" width="13.88671875" style="730" bestFit="1" customWidth="1"/>
    <col min="12555" max="12800" width="8.88671875" style="730"/>
    <col min="12801" max="12801" width="11.5546875" style="730" bestFit="1" customWidth="1"/>
    <col min="12802" max="12802" width="12.5546875" style="730" customWidth="1"/>
    <col min="12803" max="12803" width="10.109375" style="730" customWidth="1"/>
    <col min="12804" max="12804" width="14.88671875" style="730" customWidth="1"/>
    <col min="12805" max="12805" width="13.109375" style="730" bestFit="1" customWidth="1"/>
    <col min="12806" max="12806" width="4.88671875" style="730" customWidth="1"/>
    <col min="12807" max="12807" width="11.88671875" style="730" customWidth="1"/>
    <col min="12808" max="12808" width="12" style="730" customWidth="1"/>
    <col min="12809" max="12809" width="9.88671875" style="730" customWidth="1"/>
    <col min="12810" max="12810" width="13.88671875" style="730" bestFit="1" customWidth="1"/>
    <col min="12811" max="13056" width="8.88671875" style="730"/>
    <col min="13057" max="13057" width="11.5546875" style="730" bestFit="1" customWidth="1"/>
    <col min="13058" max="13058" width="12.5546875" style="730" customWidth="1"/>
    <col min="13059" max="13059" width="10.109375" style="730" customWidth="1"/>
    <col min="13060" max="13060" width="14.88671875" style="730" customWidth="1"/>
    <col min="13061" max="13061" width="13.109375" style="730" bestFit="1" customWidth="1"/>
    <col min="13062" max="13062" width="4.88671875" style="730" customWidth="1"/>
    <col min="13063" max="13063" width="11.88671875" style="730" customWidth="1"/>
    <col min="13064" max="13064" width="12" style="730" customWidth="1"/>
    <col min="13065" max="13065" width="9.88671875" style="730" customWidth="1"/>
    <col min="13066" max="13066" width="13.88671875" style="730" bestFit="1" customWidth="1"/>
    <col min="13067" max="13312" width="8.88671875" style="730"/>
    <col min="13313" max="13313" width="11.5546875" style="730" bestFit="1" customWidth="1"/>
    <col min="13314" max="13314" width="12.5546875" style="730" customWidth="1"/>
    <col min="13315" max="13315" width="10.109375" style="730" customWidth="1"/>
    <col min="13316" max="13316" width="14.88671875" style="730" customWidth="1"/>
    <col min="13317" max="13317" width="13.109375" style="730" bestFit="1" customWidth="1"/>
    <col min="13318" max="13318" width="4.88671875" style="730" customWidth="1"/>
    <col min="13319" max="13319" width="11.88671875" style="730" customWidth="1"/>
    <col min="13320" max="13320" width="12" style="730" customWidth="1"/>
    <col min="13321" max="13321" width="9.88671875" style="730" customWidth="1"/>
    <col min="13322" max="13322" width="13.88671875" style="730" bestFit="1" customWidth="1"/>
    <col min="13323" max="13568" width="8.88671875" style="730"/>
    <col min="13569" max="13569" width="11.5546875" style="730" bestFit="1" customWidth="1"/>
    <col min="13570" max="13570" width="12.5546875" style="730" customWidth="1"/>
    <col min="13571" max="13571" width="10.109375" style="730" customWidth="1"/>
    <col min="13572" max="13572" width="14.88671875" style="730" customWidth="1"/>
    <col min="13573" max="13573" width="13.109375" style="730" bestFit="1" customWidth="1"/>
    <col min="13574" max="13574" width="4.88671875" style="730" customWidth="1"/>
    <col min="13575" max="13575" width="11.88671875" style="730" customWidth="1"/>
    <col min="13576" max="13576" width="12" style="730" customWidth="1"/>
    <col min="13577" max="13577" width="9.88671875" style="730" customWidth="1"/>
    <col min="13578" max="13578" width="13.88671875" style="730" bestFit="1" customWidth="1"/>
    <col min="13579" max="13824" width="8.88671875" style="730"/>
    <col min="13825" max="13825" width="11.5546875" style="730" bestFit="1" customWidth="1"/>
    <col min="13826" max="13826" width="12.5546875" style="730" customWidth="1"/>
    <col min="13827" max="13827" width="10.109375" style="730" customWidth="1"/>
    <col min="13828" max="13828" width="14.88671875" style="730" customWidth="1"/>
    <col min="13829" max="13829" width="13.109375" style="730" bestFit="1" customWidth="1"/>
    <col min="13830" max="13830" width="4.88671875" style="730" customWidth="1"/>
    <col min="13831" max="13831" width="11.88671875" style="730" customWidth="1"/>
    <col min="13832" max="13832" width="12" style="730" customWidth="1"/>
    <col min="13833" max="13833" width="9.88671875" style="730" customWidth="1"/>
    <col min="13834" max="13834" width="13.88671875" style="730" bestFit="1" customWidth="1"/>
    <col min="13835" max="14080" width="8.88671875" style="730"/>
    <col min="14081" max="14081" width="11.5546875" style="730" bestFit="1" customWidth="1"/>
    <col min="14082" max="14082" width="12.5546875" style="730" customWidth="1"/>
    <col min="14083" max="14083" width="10.109375" style="730" customWidth="1"/>
    <col min="14084" max="14084" width="14.88671875" style="730" customWidth="1"/>
    <col min="14085" max="14085" width="13.109375" style="730" bestFit="1" customWidth="1"/>
    <col min="14086" max="14086" width="4.88671875" style="730" customWidth="1"/>
    <col min="14087" max="14087" width="11.88671875" style="730" customWidth="1"/>
    <col min="14088" max="14088" width="12" style="730" customWidth="1"/>
    <col min="14089" max="14089" width="9.88671875" style="730" customWidth="1"/>
    <col min="14090" max="14090" width="13.88671875" style="730" bestFit="1" customWidth="1"/>
    <col min="14091" max="14336" width="8.88671875" style="730"/>
    <col min="14337" max="14337" width="11.5546875" style="730" bestFit="1" customWidth="1"/>
    <col min="14338" max="14338" width="12.5546875" style="730" customWidth="1"/>
    <col min="14339" max="14339" width="10.109375" style="730" customWidth="1"/>
    <col min="14340" max="14340" width="14.88671875" style="730" customWidth="1"/>
    <col min="14341" max="14341" width="13.109375" style="730" bestFit="1" customWidth="1"/>
    <col min="14342" max="14342" width="4.88671875" style="730" customWidth="1"/>
    <col min="14343" max="14343" width="11.88671875" style="730" customWidth="1"/>
    <col min="14344" max="14344" width="12" style="730" customWidth="1"/>
    <col min="14345" max="14345" width="9.88671875" style="730" customWidth="1"/>
    <col min="14346" max="14346" width="13.88671875" style="730" bestFit="1" customWidth="1"/>
    <col min="14347" max="14592" width="8.88671875" style="730"/>
    <col min="14593" max="14593" width="11.5546875" style="730" bestFit="1" customWidth="1"/>
    <col min="14594" max="14594" width="12.5546875" style="730" customWidth="1"/>
    <col min="14595" max="14595" width="10.109375" style="730" customWidth="1"/>
    <col min="14596" max="14596" width="14.88671875" style="730" customWidth="1"/>
    <col min="14597" max="14597" width="13.109375" style="730" bestFit="1" customWidth="1"/>
    <col min="14598" max="14598" width="4.88671875" style="730" customWidth="1"/>
    <col min="14599" max="14599" width="11.88671875" style="730" customWidth="1"/>
    <col min="14600" max="14600" width="12" style="730" customWidth="1"/>
    <col min="14601" max="14601" width="9.88671875" style="730" customWidth="1"/>
    <col min="14602" max="14602" width="13.88671875" style="730" bestFit="1" customWidth="1"/>
    <col min="14603" max="14848" width="8.88671875" style="730"/>
    <col min="14849" max="14849" width="11.5546875" style="730" bestFit="1" customWidth="1"/>
    <col min="14850" max="14850" width="12.5546875" style="730" customWidth="1"/>
    <col min="14851" max="14851" width="10.109375" style="730" customWidth="1"/>
    <col min="14852" max="14852" width="14.88671875" style="730" customWidth="1"/>
    <col min="14853" max="14853" width="13.109375" style="730" bestFit="1" customWidth="1"/>
    <col min="14854" max="14854" width="4.88671875" style="730" customWidth="1"/>
    <col min="14855" max="14855" width="11.88671875" style="730" customWidth="1"/>
    <col min="14856" max="14856" width="12" style="730" customWidth="1"/>
    <col min="14857" max="14857" width="9.88671875" style="730" customWidth="1"/>
    <col min="14858" max="14858" width="13.88671875" style="730" bestFit="1" customWidth="1"/>
    <col min="14859" max="15104" width="8.88671875" style="730"/>
    <col min="15105" max="15105" width="11.5546875" style="730" bestFit="1" customWidth="1"/>
    <col min="15106" max="15106" width="12.5546875" style="730" customWidth="1"/>
    <col min="15107" max="15107" width="10.109375" style="730" customWidth="1"/>
    <col min="15108" max="15108" width="14.88671875" style="730" customWidth="1"/>
    <col min="15109" max="15109" width="13.109375" style="730" bestFit="1" customWidth="1"/>
    <col min="15110" max="15110" width="4.88671875" style="730" customWidth="1"/>
    <col min="15111" max="15111" width="11.88671875" style="730" customWidth="1"/>
    <col min="15112" max="15112" width="12" style="730" customWidth="1"/>
    <col min="15113" max="15113" width="9.88671875" style="730" customWidth="1"/>
    <col min="15114" max="15114" width="13.88671875" style="730" bestFit="1" customWidth="1"/>
    <col min="15115" max="15360" width="8.88671875" style="730"/>
    <col min="15361" max="15361" width="11.5546875" style="730" bestFit="1" customWidth="1"/>
    <col min="15362" max="15362" width="12.5546875" style="730" customWidth="1"/>
    <col min="15363" max="15363" width="10.109375" style="730" customWidth="1"/>
    <col min="15364" max="15364" width="14.88671875" style="730" customWidth="1"/>
    <col min="15365" max="15365" width="13.109375" style="730" bestFit="1" customWidth="1"/>
    <col min="15366" max="15366" width="4.88671875" style="730" customWidth="1"/>
    <col min="15367" max="15367" width="11.88671875" style="730" customWidth="1"/>
    <col min="15368" max="15368" width="12" style="730" customWidth="1"/>
    <col min="15369" max="15369" width="9.88671875" style="730" customWidth="1"/>
    <col min="15370" max="15370" width="13.88671875" style="730" bestFit="1" customWidth="1"/>
    <col min="15371" max="15616" width="8.88671875" style="730"/>
    <col min="15617" max="15617" width="11.5546875" style="730" bestFit="1" customWidth="1"/>
    <col min="15618" max="15618" width="12.5546875" style="730" customWidth="1"/>
    <col min="15619" max="15619" width="10.109375" style="730" customWidth="1"/>
    <col min="15620" max="15620" width="14.88671875" style="730" customWidth="1"/>
    <col min="15621" max="15621" width="13.109375" style="730" bestFit="1" customWidth="1"/>
    <col min="15622" max="15622" width="4.88671875" style="730" customWidth="1"/>
    <col min="15623" max="15623" width="11.88671875" style="730" customWidth="1"/>
    <col min="15624" max="15624" width="12" style="730" customWidth="1"/>
    <col min="15625" max="15625" width="9.88671875" style="730" customWidth="1"/>
    <col min="15626" max="15626" width="13.88671875" style="730" bestFit="1" customWidth="1"/>
    <col min="15627" max="15872" width="8.88671875" style="730"/>
    <col min="15873" max="15873" width="11.5546875" style="730" bestFit="1" customWidth="1"/>
    <col min="15874" max="15874" width="12.5546875" style="730" customWidth="1"/>
    <col min="15875" max="15875" width="10.109375" style="730" customWidth="1"/>
    <col min="15876" max="15876" width="14.88671875" style="730" customWidth="1"/>
    <col min="15877" max="15877" width="13.109375" style="730" bestFit="1" customWidth="1"/>
    <col min="15878" max="15878" width="4.88671875" style="730" customWidth="1"/>
    <col min="15879" max="15879" width="11.88671875" style="730" customWidth="1"/>
    <col min="15880" max="15880" width="12" style="730" customWidth="1"/>
    <col min="15881" max="15881" width="9.88671875" style="730" customWidth="1"/>
    <col min="15882" max="15882" width="13.88671875" style="730" bestFit="1" customWidth="1"/>
    <col min="15883" max="16128" width="8.88671875" style="730"/>
    <col min="16129" max="16129" width="11.5546875" style="730" bestFit="1" customWidth="1"/>
    <col min="16130" max="16130" width="12.5546875" style="730" customWidth="1"/>
    <col min="16131" max="16131" width="10.109375" style="730" customWidth="1"/>
    <col min="16132" max="16132" width="14.88671875" style="730" customWidth="1"/>
    <col min="16133" max="16133" width="13.109375" style="730" bestFit="1" customWidth="1"/>
    <col min="16134" max="16134" width="4.88671875" style="730" customWidth="1"/>
    <col min="16135" max="16135" width="11.88671875" style="730" customWidth="1"/>
    <col min="16136" max="16136" width="12" style="730" customWidth="1"/>
    <col min="16137" max="16137" width="9.88671875" style="730" customWidth="1"/>
    <col min="16138" max="16138" width="13.88671875" style="730" bestFit="1" customWidth="1"/>
    <col min="16139" max="16384" width="8.88671875" style="730"/>
  </cols>
  <sheetData>
    <row r="1" spans="1:11" ht="22.8">
      <c r="A1" s="3257" t="s">
        <v>2976</v>
      </c>
      <c r="B1" s="3257"/>
      <c r="C1" s="3257"/>
      <c r="D1" s="3257"/>
      <c r="E1" s="3257"/>
      <c r="F1" s="3257"/>
      <c r="G1" s="3257"/>
      <c r="H1" s="3257"/>
      <c r="I1" s="3257"/>
      <c r="J1" s="3257"/>
      <c r="K1" s="3257"/>
    </row>
    <row r="2" spans="1:11" ht="15.6">
      <c r="A2" s="3271" t="str">
        <f>'Sensitivity Analysis'!C8</f>
        <v>Harper Woods II</v>
      </c>
      <c r="B2" s="3271"/>
      <c r="C2" s="3271"/>
      <c r="D2" s="3271"/>
      <c r="E2" s="3271"/>
      <c r="F2" s="3271"/>
      <c r="G2" s="3271"/>
      <c r="H2" s="3271"/>
      <c r="I2" s="3271"/>
      <c r="J2" s="3271"/>
      <c r="K2" s="3271"/>
    </row>
    <row r="3" spans="1:11" ht="9" customHeight="1">
      <c r="A3" s="731"/>
      <c r="B3" s="731"/>
      <c r="C3" s="731"/>
    </row>
    <row r="4" spans="1:11" ht="17.399999999999999">
      <c r="A4" s="732" t="s">
        <v>3421</v>
      </c>
      <c r="B4" s="731"/>
      <c r="C4" s="731"/>
      <c r="K4" s="733"/>
    </row>
    <row r="5" spans="1:11" s="688" customFormat="1" ht="42" customHeight="1">
      <c r="C5" s="3258" t="s">
        <v>4099</v>
      </c>
      <c r="D5" s="3259"/>
      <c r="E5" s="3260"/>
      <c r="F5" s="538"/>
      <c r="G5" s="3258" t="s">
        <v>4100</v>
      </c>
      <c r="H5" s="3259"/>
      <c r="I5" s="3260"/>
      <c r="J5" s="730"/>
      <c r="K5" s="3269" t="s">
        <v>4101</v>
      </c>
    </row>
    <row r="6" spans="1:11" s="735" customFormat="1" ht="15" customHeight="1">
      <c r="A6" s="734" t="s">
        <v>2634</v>
      </c>
      <c r="C6" s="736" t="s">
        <v>3406</v>
      </c>
      <c r="D6" s="736" t="s">
        <v>4102</v>
      </c>
      <c r="E6" s="736" t="s">
        <v>1943</v>
      </c>
      <c r="G6" s="736" t="s">
        <v>3407</v>
      </c>
      <c r="H6" s="736" t="s">
        <v>4103</v>
      </c>
      <c r="I6" s="736" t="s">
        <v>1943</v>
      </c>
      <c r="K6" s="3270"/>
    </row>
    <row r="7" spans="1:11" s="538" customFormat="1" ht="13.5" customHeight="1">
      <c r="A7" s="538" t="s">
        <v>2977</v>
      </c>
      <c r="C7" s="738"/>
      <c r="D7" s="1184">
        <f>'Part VI-Revenues &amp; Expenses'!$K$63</f>
        <v>0</v>
      </c>
      <c r="E7" s="740">
        <f>C7*D7</f>
        <v>0</v>
      </c>
      <c r="G7" s="738"/>
      <c r="H7" s="739">
        <f>'Part VI-Revenues &amp; Expenses'!$K$67</f>
        <v>0</v>
      </c>
      <c r="I7" s="740">
        <f>G7*H7</f>
        <v>0</v>
      </c>
      <c r="K7" s="1191">
        <f>'Part VIII-Threshold Criteria'!$P$50</f>
        <v>0</v>
      </c>
    </row>
    <row r="8" spans="1:11" s="538" customFormat="1" ht="13.5" customHeight="1">
      <c r="A8" s="538" t="s">
        <v>2632</v>
      </c>
      <c r="C8" s="738"/>
      <c r="D8" s="1184">
        <f>'Part VI-Revenues &amp; Expenses'!$L$63</f>
        <v>20</v>
      </c>
      <c r="E8" s="740">
        <f>C8*D8</f>
        <v>0</v>
      </c>
      <c r="G8" s="738"/>
      <c r="H8" s="739">
        <f>'Part VI-Revenues &amp; Expenses'!$L$67</f>
        <v>20</v>
      </c>
      <c r="I8" s="740">
        <f>G8*H8</f>
        <v>0</v>
      </c>
      <c r="K8" s="737" t="s">
        <v>3408</v>
      </c>
    </row>
    <row r="9" spans="1:11" s="538" customFormat="1" ht="13.5" customHeight="1">
      <c r="A9" s="538" t="s">
        <v>2633</v>
      </c>
      <c r="C9" s="738"/>
      <c r="D9" s="1184">
        <f>'Part VI-Revenues &amp; Expenses'!$M$63</f>
        <v>52</v>
      </c>
      <c r="E9" s="740">
        <f>C9*D9</f>
        <v>0</v>
      </c>
      <c r="G9" s="738"/>
      <c r="H9" s="739">
        <f>'Part VI-Revenues &amp; Expenses'!$M$67</f>
        <v>52</v>
      </c>
      <c r="I9" s="740">
        <f>G9*H9</f>
        <v>0</v>
      </c>
      <c r="K9" s="1191">
        <f>'Part IV-A-Uses of Funds'!$G$132</f>
        <v>12452350</v>
      </c>
    </row>
    <row r="10" spans="1:11" s="538" customFormat="1" ht="13.5" customHeight="1">
      <c r="A10" s="538" t="s">
        <v>2636</v>
      </c>
      <c r="C10" s="738"/>
      <c r="D10" s="1184">
        <f>'Part VI-Revenues &amp; Expenses'!$N$63</f>
        <v>0</v>
      </c>
      <c r="E10" s="740">
        <f>C10*D10</f>
        <v>0</v>
      </c>
      <c r="G10" s="738"/>
      <c r="H10" s="739">
        <f>'Part VI-Revenues &amp; Expenses'!$N$67</f>
        <v>0</v>
      </c>
      <c r="I10" s="740">
        <f>G10*H10</f>
        <v>0</v>
      </c>
      <c r="K10" s="737" t="s">
        <v>3409</v>
      </c>
    </row>
    <row r="11" spans="1:11" s="538" customFormat="1" ht="13.5" customHeight="1">
      <c r="A11" s="742" t="s">
        <v>3405</v>
      </c>
      <c r="C11" s="743"/>
      <c r="D11" s="1185">
        <f>'Part VI-Revenues &amp; Expenses'!$O$63</f>
        <v>0</v>
      </c>
      <c r="E11" s="745">
        <f>C11*D11</f>
        <v>0</v>
      </c>
      <c r="G11" s="743"/>
      <c r="H11" s="744">
        <f>'Part VI-Revenues &amp; Expenses'!$O$67</f>
        <v>0</v>
      </c>
      <c r="I11" s="745">
        <f>G11*H11</f>
        <v>0</v>
      </c>
      <c r="K11" s="3261" t="s">
        <v>3413</v>
      </c>
    </row>
    <row r="12" spans="1:11" ht="13.5" customHeight="1" thickBot="1">
      <c r="A12" s="746" t="s">
        <v>3380</v>
      </c>
      <c r="D12" s="777">
        <f>SUM(D7:D11)</f>
        <v>72</v>
      </c>
      <c r="E12" s="747"/>
      <c r="G12" s="746" t="s">
        <v>1749</v>
      </c>
      <c r="H12" s="1190">
        <f>SUM(H7:H11)</f>
        <v>72</v>
      </c>
      <c r="I12" s="747"/>
      <c r="K12" s="3262"/>
    </row>
    <row r="13" spans="1:11" s="538" customFormat="1" ht="13.5" customHeight="1" thickBot="1">
      <c r="A13" s="746" t="s">
        <v>2978</v>
      </c>
      <c r="B13" s="748"/>
      <c r="E13" s="749">
        <f>SUM(E7:E11)</f>
        <v>0</v>
      </c>
      <c r="G13" s="746" t="s">
        <v>3212</v>
      </c>
      <c r="H13" s="748"/>
      <c r="I13" s="750">
        <f>SUM(I7:I11)</f>
        <v>0</v>
      </c>
      <c r="K13" s="1191">
        <f>'Part VIII-Threshold Criteria'!$P$63</f>
        <v>15291752.399999999</v>
      </c>
    </row>
    <row r="14" spans="1:11" ht="11.25" customHeight="1">
      <c r="G14" s="751" t="s">
        <v>3410</v>
      </c>
    </row>
    <row r="15" spans="1:11" s="538" customFormat="1" ht="9" customHeight="1"/>
    <row r="16" spans="1:11" ht="16.5" customHeight="1">
      <c r="A16" s="732" t="s">
        <v>3422</v>
      </c>
    </row>
    <row r="17" spans="1:11" ht="6" customHeight="1"/>
    <row r="18" spans="1:11" s="538" customFormat="1" ht="13.5" customHeight="1">
      <c r="A18" s="538" t="s">
        <v>3412</v>
      </c>
      <c r="E18" s="1192" t="s">
        <v>3890</v>
      </c>
      <c r="F18" s="1193"/>
      <c r="G18" s="1193"/>
      <c r="H18" s="1193"/>
      <c r="I18" s="1193"/>
      <c r="K18" s="1169">
        <f>'Sensitivity Analysis'!$E$13</f>
        <v>72</v>
      </c>
    </row>
    <row r="19" spans="1:11" s="538" customFormat="1" ht="13.5" customHeight="1">
      <c r="A19" s="538" t="s">
        <v>2979</v>
      </c>
      <c r="E19" s="1187"/>
      <c r="K19" s="606">
        <f>'Sensitivity Analysis'!$C$13</f>
        <v>72</v>
      </c>
    </row>
    <row r="20" spans="1:11" ht="3" customHeight="1">
      <c r="A20" s="752"/>
      <c r="E20" s="1188"/>
    </row>
    <row r="21" spans="1:11" s="538" customFormat="1" ht="13.5" customHeight="1">
      <c r="A21" s="538" t="s">
        <v>2980</v>
      </c>
      <c r="E21" s="1186" t="s">
        <v>3411</v>
      </c>
      <c r="K21" s="753">
        <f>K18/K19</f>
        <v>1</v>
      </c>
    </row>
    <row r="22" spans="1:11" ht="6.75" customHeight="1">
      <c r="E22" s="1188"/>
    </row>
    <row r="23" spans="1:11" s="538" customFormat="1" ht="13.5" customHeight="1">
      <c r="A23" s="538" t="s">
        <v>3379</v>
      </c>
      <c r="C23" s="754"/>
      <c r="E23" s="1186" t="s">
        <v>2983</v>
      </c>
      <c r="K23" s="606">
        <f>K9</f>
        <v>12452350</v>
      </c>
    </row>
    <row r="24" spans="1:11" s="538" customFormat="1" ht="13.5" customHeight="1">
      <c r="A24" s="755" t="s">
        <v>1716</v>
      </c>
      <c r="E24" s="1187"/>
      <c r="K24" s="741">
        <f>'Part IV-A-Uses of Funds'!$G$122</f>
        <v>210929</v>
      </c>
    </row>
    <row r="25" spans="1:11" s="538" customFormat="1" ht="13.5" customHeight="1">
      <c r="A25" s="755" t="s">
        <v>2984</v>
      </c>
      <c r="E25" s="1187"/>
      <c r="K25" s="756">
        <v>0</v>
      </c>
    </row>
    <row r="26" spans="1:11" s="538" customFormat="1" ht="13.5" customHeight="1">
      <c r="A26" s="755" t="s">
        <v>2984</v>
      </c>
      <c r="E26" s="1187"/>
      <c r="K26" s="756">
        <v>0</v>
      </c>
    </row>
    <row r="27" spans="1:11" ht="3" customHeight="1">
      <c r="A27" s="757"/>
      <c r="E27" s="1188"/>
      <c r="K27" s="758">
        <v>0</v>
      </c>
    </row>
    <row r="28" spans="1:11" s="748" customFormat="1" ht="13.5" customHeight="1">
      <c r="A28" s="748" t="s">
        <v>2985</v>
      </c>
      <c r="E28" s="1189"/>
      <c r="K28" s="759">
        <f>K23-SUM(K24:K27)</f>
        <v>12241421</v>
      </c>
    </row>
    <row r="29" spans="1:11" ht="6.75" customHeight="1">
      <c r="A29" s="752"/>
      <c r="E29" s="1188"/>
      <c r="K29" s="760"/>
    </row>
    <row r="30" spans="1:11" s="538" customFormat="1" ht="15" customHeight="1">
      <c r="A30" s="748" t="s">
        <v>2986</v>
      </c>
      <c r="E30" s="1186" t="s">
        <v>3416</v>
      </c>
      <c r="F30" s="761"/>
      <c r="G30" s="761"/>
      <c r="H30" s="761"/>
      <c r="I30" s="761"/>
      <c r="K30" s="762">
        <f>K21*K28</f>
        <v>12241421</v>
      </c>
    </row>
    <row r="31" spans="1:11" ht="13.5" customHeight="1">
      <c r="E31" s="1188"/>
      <c r="K31" s="760"/>
    </row>
    <row r="32" spans="1:11" s="538" customFormat="1" ht="16.5" customHeight="1">
      <c r="A32" s="763" t="s">
        <v>3423</v>
      </c>
      <c r="B32" s="748"/>
      <c r="C32" s="748"/>
      <c r="D32" s="748"/>
      <c r="E32" s="1186"/>
    </row>
    <row r="33" spans="1:11" ht="6" customHeight="1" thickBot="1">
      <c r="E33" s="1188"/>
    </row>
    <row r="34" spans="1:11" s="538" customFormat="1" ht="18" customHeight="1" thickBot="1">
      <c r="A34" s="764" t="s">
        <v>3419</v>
      </c>
      <c r="B34" s="748"/>
      <c r="C34" s="748"/>
      <c r="D34" s="748"/>
      <c r="E34" s="1186" t="s">
        <v>3417</v>
      </c>
      <c r="K34" s="765">
        <f>MIN(E13,K30)</f>
        <v>0</v>
      </c>
    </row>
    <row r="35" spans="1:11" ht="6" customHeight="1">
      <c r="E35" s="1188"/>
    </row>
    <row r="36" spans="1:11" s="538" customFormat="1" ht="15" customHeight="1">
      <c r="A36" s="748" t="s">
        <v>3420</v>
      </c>
      <c r="E36" s="1186" t="s">
        <v>3418</v>
      </c>
      <c r="K36" s="766">
        <f>'Sensitivity Analysis'!C25</f>
        <v>930000</v>
      </c>
    </row>
    <row r="37" spans="1:11" s="538" customFormat="1" ht="9" customHeight="1" thickBot="1">
      <c r="E37" s="767"/>
      <c r="F37" s="767"/>
      <c r="G37" s="767"/>
      <c r="H37" s="767"/>
      <c r="K37" s="768"/>
    </row>
    <row r="38" spans="1:11" s="538" customFormat="1" ht="15.75" customHeight="1">
      <c r="A38" s="3263" t="s">
        <v>3414</v>
      </c>
      <c r="B38" s="3263"/>
      <c r="C38" s="3263"/>
      <c r="D38" s="3264" t="s">
        <v>2981</v>
      </c>
      <c r="E38" s="3264"/>
      <c r="F38" s="3264" t="s">
        <v>2982</v>
      </c>
      <c r="G38" s="3264"/>
      <c r="H38" s="3264"/>
      <c r="I38" s="1239" t="s">
        <v>2732</v>
      </c>
      <c r="K38" s="3265">
        <f>ROUND((D39/F39)*I39,0)</f>
        <v>5</v>
      </c>
    </row>
    <row r="39" spans="1:11" s="538" customFormat="1" ht="15.75" customHeight="1" thickBot="1">
      <c r="A39" s="3263"/>
      <c r="B39" s="3263"/>
      <c r="C39" s="3263"/>
      <c r="D39" s="3267">
        <f>K36</f>
        <v>930000</v>
      </c>
      <c r="E39" s="3267"/>
      <c r="F39" s="3268">
        <f>K28</f>
        <v>12241421</v>
      </c>
      <c r="G39" s="3268"/>
      <c r="H39" s="3268"/>
      <c r="I39" s="769">
        <f>K19</f>
        <v>72</v>
      </c>
      <c r="K39" s="3266"/>
    </row>
    <row r="40" spans="1:11" ht="12.75" customHeight="1">
      <c r="D40" s="770" t="s">
        <v>3415</v>
      </c>
      <c r="H40" s="770"/>
      <c r="I40" s="770"/>
      <c r="K40" s="770"/>
    </row>
  </sheetData>
  <sheetProtection algorithmName="SHA-512" hashValue="iVpwOgflAMut/H4Lc3is9Ju4byMEB9BWq6ao8VIHwMmPsAdOhUQAikEjj8WLEdBkst6/8H6TRo2IBkBFbwgWug==" saltValue="z0cNx3AwPK6Gu5XkTi7h1g==" spinCount="100000" sheet="1" objects="1" scenarios="1"/>
  <mergeCells count="12">
    <mergeCell ref="A1:K1"/>
    <mergeCell ref="C5:E5"/>
    <mergeCell ref="G5:I5"/>
    <mergeCell ref="K11:K12"/>
    <mergeCell ref="A38:C39"/>
    <mergeCell ref="D38:E38"/>
    <mergeCell ref="F38:H38"/>
    <mergeCell ref="K38:K39"/>
    <mergeCell ref="D39:E39"/>
    <mergeCell ref="F39:H39"/>
    <mergeCell ref="K5:K6"/>
    <mergeCell ref="A2:K2"/>
  </mergeCells>
  <printOptions horizontalCentered="1"/>
  <pageMargins left="0.5" right="0.5" top="0.75" bottom="0.5" header="0.3" footer="0.3"/>
  <pageSetup orientation="landscape" r:id="rId1"/>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0">
    <pageSetUpPr fitToPage="1"/>
  </sheetPr>
  <dimension ref="A1:M77"/>
  <sheetViews>
    <sheetView showGridLines="0" zoomScale="120" zoomScaleNormal="120" workbookViewId="0">
      <selection sqref="A1:H1"/>
    </sheetView>
  </sheetViews>
  <sheetFormatPr defaultColWidth="9.109375" defaultRowHeight="13.2"/>
  <cols>
    <col min="1" max="1" width="3" style="730" customWidth="1"/>
    <col min="2" max="2" width="0.88671875" style="730" customWidth="1"/>
    <col min="3" max="3" width="16.44140625" style="730" customWidth="1"/>
    <col min="4" max="4" width="18.109375" style="730" customWidth="1"/>
    <col min="5" max="5" width="16.44140625" style="730" customWidth="1"/>
    <col min="6" max="6" width="13.109375" style="730" customWidth="1"/>
    <col min="7" max="7" width="14.44140625" style="730" customWidth="1"/>
    <col min="8" max="8" width="5.88671875" style="730" customWidth="1"/>
    <col min="9" max="16384" width="9.109375" style="730"/>
  </cols>
  <sheetData>
    <row r="1" spans="1:13" ht="12" customHeight="1">
      <c r="A1" s="3272" t="str">
        <f>CONCATENATE('Sensitivity Analysis'!E8,"  ",'Sensitivity Analysis'!C8)</f>
        <v>2020-074  Harper Woods II</v>
      </c>
      <c r="B1" s="3272"/>
      <c r="C1" s="3272"/>
      <c r="D1" s="3272"/>
      <c r="E1" s="3272"/>
      <c r="F1" s="3272"/>
      <c r="G1" s="3272"/>
      <c r="H1" s="3272"/>
    </row>
    <row r="3" spans="1:13" ht="12" customHeight="1">
      <c r="A3" s="3273" t="s">
        <v>3382</v>
      </c>
      <c r="B3" s="3273"/>
      <c r="C3" s="3273"/>
      <c r="D3" s="3273"/>
      <c r="E3" s="3273"/>
      <c r="F3" s="3273"/>
      <c r="G3" s="3273"/>
      <c r="H3" s="3273"/>
      <c r="I3" s="1243"/>
      <c r="J3" s="3275" t="s">
        <v>3891</v>
      </c>
      <c r="K3" s="3275"/>
      <c r="L3" s="803"/>
      <c r="M3" s="803"/>
    </row>
    <row r="4" spans="1:13">
      <c r="J4" s="3275"/>
      <c r="K4" s="3275"/>
    </row>
    <row r="5" spans="1:13" ht="12" customHeight="1">
      <c r="A5" s="730">
        <v>1</v>
      </c>
      <c r="C5" s="730" t="s">
        <v>2988</v>
      </c>
      <c r="E5" s="785" t="str">
        <f>'Sensitivity Analysis'!H9</f>
        <v>Harper Woods Apartments II, LP</v>
      </c>
      <c r="J5" s="3275"/>
      <c r="K5" s="3275"/>
    </row>
    <row r="6" spans="1:13" ht="3" customHeight="1">
      <c r="H6" s="747"/>
      <c r="J6" s="3275"/>
      <c r="K6" s="3275"/>
    </row>
    <row r="7" spans="1:13" ht="12" customHeight="1">
      <c r="A7" s="730">
        <v>2</v>
      </c>
      <c r="C7" s="730" t="s">
        <v>2989</v>
      </c>
      <c r="E7" s="785" t="str">
        <f>'Part II-Development Team'!H6</f>
        <v>3825 Paces Walk SE, Suite 100</v>
      </c>
      <c r="J7" s="3275"/>
      <c r="K7" s="3275"/>
    </row>
    <row r="8" spans="1:13" ht="12" customHeight="1">
      <c r="E8" s="785" t="str">
        <f>+'Part II-Development Team'!H7&amp;","&amp;" "&amp;'Part II-Development Team'!H8&amp;" "&amp;LEFT('Part II-Development Team'!J8,5)</f>
        <v>Atlanta, GA 30339</v>
      </c>
      <c r="J8" s="3275"/>
      <c r="K8" s="3275"/>
    </row>
    <row r="9" spans="1:13" ht="12" customHeight="1">
      <c r="C9" s="730" t="s">
        <v>2990</v>
      </c>
      <c r="E9" s="3274" t="str">
        <f>'Part II-Development Team'!L7</f>
        <v>TBD</v>
      </c>
      <c r="F9" s="3274"/>
      <c r="J9" s="3275"/>
      <c r="K9" s="3275"/>
    </row>
    <row r="10" spans="1:13" ht="12" customHeight="1">
      <c r="C10" s="730" t="s">
        <v>2991</v>
      </c>
      <c r="E10" s="785" t="str">
        <f>'Part II-Development Team'!Q5</f>
        <v>Kevin Buckner</v>
      </c>
    </row>
    <row r="11" spans="1:13" ht="12" customHeight="1">
      <c r="C11" s="730" t="s">
        <v>3896</v>
      </c>
      <c r="E11" s="785" t="str">
        <f>'Part II-Development Team'!L9</f>
        <v xml:space="preserve">kbuckner@tbgresidential.com </v>
      </c>
    </row>
    <row r="12" spans="1:13" ht="12" customHeight="1">
      <c r="C12" s="730" t="s">
        <v>3892</v>
      </c>
      <c r="E12" s="1244">
        <f>'Part II-Development Team'!H9</f>
        <v>6783245540</v>
      </c>
    </row>
    <row r="13" spans="1:13" ht="12" customHeight="1">
      <c r="C13" s="730" t="s">
        <v>3895</v>
      </c>
      <c r="E13" s="1244">
        <f>'Part II-Development Team'!Q7</f>
        <v>6783245550</v>
      </c>
    </row>
    <row r="14" spans="1:13" ht="3" customHeight="1"/>
    <row r="15" spans="1:13" ht="12" customHeight="1">
      <c r="A15" s="730">
        <v>3</v>
      </c>
      <c r="C15" s="730" t="s">
        <v>2992</v>
      </c>
      <c r="E15" s="785" t="str">
        <f>'Sensitivity Analysis'!C8</f>
        <v>Harper Woods II</v>
      </c>
    </row>
    <row r="16" spans="1:13" ht="12" customHeight="1">
      <c r="C16" s="730" t="s">
        <v>2993</v>
      </c>
      <c r="E16" s="785" t="str">
        <f>'Part I-Project Information'!$F$35</f>
        <v xml:space="preserve">6000 Warm Springs Road </v>
      </c>
    </row>
    <row r="17" spans="1:8" ht="12" customHeight="1">
      <c r="E17" s="785" t="str">
        <f>+'Part I-Project Information'!$F$38&amp;","&amp;" GA "&amp;LEFT('Part I-Project Information'!$J$38,5)</f>
        <v>Columbus, GA 31909</v>
      </c>
    </row>
    <row r="18" spans="1:8" ht="3" customHeight="1"/>
    <row r="19" spans="1:8" ht="12" customHeight="1">
      <c r="A19" s="730">
        <v>4</v>
      </c>
      <c r="C19" s="730" t="s">
        <v>2994</v>
      </c>
      <c r="E19" s="785" t="str">
        <f>'Part II-Development Team'!H92</f>
        <v xml:space="preserve">TBG Management, Inc </v>
      </c>
    </row>
    <row r="20" spans="1:8" ht="12" customHeight="1">
      <c r="C20" s="730" t="s">
        <v>2995</v>
      </c>
      <c r="E20" s="785" t="str">
        <f>'Part II-Development Team'!H93</f>
        <v>3825 Paces Walk SE, Suite 100</v>
      </c>
    </row>
    <row r="21" spans="1:8" ht="12" customHeight="1">
      <c r="E21" s="785" t="str">
        <f>+'Part II-Development Team'!H94&amp;","&amp;" "&amp;'Part II-Development Team'!H95&amp;" "&amp;LEFT('Part II-Development Team'!L95,5)</f>
        <v>Atlanta, GA 30339</v>
      </c>
    </row>
    <row r="22" spans="1:8" ht="12" customHeight="1">
      <c r="C22" s="730" t="s">
        <v>3892</v>
      </c>
      <c r="E22" s="1244">
        <f>'Part II-Development Team'!H96</f>
        <v>6783245540</v>
      </c>
    </row>
    <row r="23" spans="1:8" ht="12" customHeight="1">
      <c r="C23" s="730" t="s">
        <v>3895</v>
      </c>
      <c r="E23" s="1244">
        <f>'Part II-Development Team'!Q94</f>
        <v>6783245550</v>
      </c>
    </row>
    <row r="24" spans="1:8" ht="12" customHeight="1">
      <c r="C24" s="730" t="s">
        <v>3896</v>
      </c>
      <c r="E24" s="1244" t="str">
        <f>'Part II-Development Team'!L96</f>
        <v xml:space="preserve">kbuckner@tbgresidential.com </v>
      </c>
    </row>
    <row r="25" spans="1:8" ht="3" customHeight="1">
      <c r="E25" s="785"/>
    </row>
    <row r="26" spans="1:8" ht="12" customHeight="1">
      <c r="A26" s="730">
        <v>5</v>
      </c>
      <c r="C26" s="730" t="s">
        <v>2996</v>
      </c>
      <c r="E26" s="785" t="str">
        <f>'Sensitivity Analysis'!$H$7</f>
        <v>New Construction</v>
      </c>
    </row>
    <row r="27" spans="1:8" ht="12" customHeight="1">
      <c r="E27" s="1242" t="s">
        <v>1727</v>
      </c>
    </row>
    <row r="28" spans="1:8" ht="12" customHeight="1">
      <c r="C28" s="730" t="s">
        <v>3381</v>
      </c>
      <c r="E28" s="730" t="str">
        <f>'Sensitivity Analysis'!$C$9</f>
        <v>&lt;&lt;Select&gt;&gt;</v>
      </c>
    </row>
    <row r="29" spans="1:8" ht="3" customHeight="1">
      <c r="H29" s="807"/>
    </row>
    <row r="30" spans="1:8" ht="12" customHeight="1">
      <c r="A30" s="730">
        <v>6</v>
      </c>
      <c r="C30" s="730" t="s">
        <v>2997</v>
      </c>
      <c r="E30" s="730" t="s">
        <v>2347</v>
      </c>
      <c r="F30" s="1245">
        <f>'Part III-Sources of Funds'!L20</f>
        <v>930000</v>
      </c>
      <c r="G30" s="730" t="s">
        <v>2998</v>
      </c>
    </row>
    <row r="31" spans="1:8" ht="12" customHeight="1">
      <c r="F31" s="1245" t="s">
        <v>2999</v>
      </c>
      <c r="G31" s="730" t="s">
        <v>3000</v>
      </c>
    </row>
    <row r="32" spans="1:8" ht="3" customHeight="1">
      <c r="F32" s="775"/>
    </row>
    <row r="33" spans="1:7" ht="12" customHeight="1">
      <c r="A33" s="730">
        <v>7</v>
      </c>
      <c r="C33" s="730" t="s">
        <v>3001</v>
      </c>
      <c r="F33" s="1246">
        <v>0</v>
      </c>
    </row>
    <row r="34" spans="1:7" ht="3" customHeight="1">
      <c r="F34" s="775"/>
    </row>
    <row r="35" spans="1:7" ht="12" customHeight="1">
      <c r="A35" s="730">
        <v>8</v>
      </c>
      <c r="C35" s="730" t="s">
        <v>3002</v>
      </c>
      <c r="E35" s="730" t="s">
        <v>2347</v>
      </c>
      <c r="F35" s="1247">
        <v>0.01</v>
      </c>
    </row>
    <row r="36" spans="1:7" ht="3" customHeight="1">
      <c r="F36" s="1246"/>
    </row>
    <row r="37" spans="1:7" ht="12" customHeight="1">
      <c r="A37" s="730">
        <v>9</v>
      </c>
      <c r="C37" s="730" t="s">
        <v>3003</v>
      </c>
      <c r="F37" s="1248">
        <v>24</v>
      </c>
      <c r="G37" s="730" t="s">
        <v>3004</v>
      </c>
    </row>
    <row r="38" spans="1:7" ht="3" customHeight="1">
      <c r="F38" s="1246"/>
    </row>
    <row r="39" spans="1:7" ht="12" customHeight="1">
      <c r="A39" s="730">
        <v>10</v>
      </c>
      <c r="C39" s="730" t="s">
        <v>3005</v>
      </c>
      <c r="E39" s="730" t="s">
        <v>2347</v>
      </c>
      <c r="F39" s="775">
        <f>'Part III-Sources of Funds'!L38*12</f>
        <v>180</v>
      </c>
      <c r="G39" s="730" t="s">
        <v>3004</v>
      </c>
    </row>
    <row r="40" spans="1:7" ht="3" customHeight="1">
      <c r="F40" s="775"/>
    </row>
    <row r="41" spans="1:7" ht="12" customHeight="1">
      <c r="A41" s="730">
        <v>11</v>
      </c>
      <c r="C41" s="730" t="s">
        <v>3006</v>
      </c>
      <c r="F41" s="1249">
        <v>24</v>
      </c>
      <c r="G41" s="730" t="s">
        <v>3004</v>
      </c>
    </row>
    <row r="42" spans="1:7" ht="3" customHeight="1"/>
    <row r="43" spans="1:7" ht="12" customHeight="1">
      <c r="A43" s="730">
        <v>12</v>
      </c>
      <c r="C43" s="730" t="s">
        <v>3007</v>
      </c>
      <c r="F43" s="1250" t="s">
        <v>3008</v>
      </c>
    </row>
    <row r="44" spans="1:7" ht="3" customHeight="1"/>
    <row r="45" spans="1:7" ht="12" customHeight="1">
      <c r="A45" s="730">
        <v>13</v>
      </c>
      <c r="C45" s="730" t="s">
        <v>3009</v>
      </c>
      <c r="E45" s="730" t="s">
        <v>2347</v>
      </c>
      <c r="F45" s="785" t="s">
        <v>3010</v>
      </c>
    </row>
    <row r="46" spans="1:7" ht="3" customHeight="1">
      <c r="F46" s="747"/>
    </row>
    <row r="47" spans="1:7" ht="12" customHeight="1">
      <c r="A47" s="730">
        <v>14</v>
      </c>
      <c r="C47" s="730" t="s">
        <v>3011</v>
      </c>
      <c r="E47" s="785" t="str">
        <f>'Part II-Development Team'!H14</f>
        <v>TBG Harper Woods II, LLC</v>
      </c>
    </row>
    <row r="48" spans="1:7" ht="3" customHeight="1">
      <c r="E48" s="785"/>
    </row>
    <row r="49" spans="1:7" ht="12" customHeight="1">
      <c r="A49" s="730">
        <v>15</v>
      </c>
      <c r="C49" s="730" t="s">
        <v>3898</v>
      </c>
      <c r="E49" s="785" t="str">
        <f>'Part II-Development Team'!Q98</f>
        <v>Greg Clark</v>
      </c>
      <c r="G49" s="785" t="str">
        <f>'Part II-Development Team'!H98</f>
        <v xml:space="preserve">Coleman Talley, LP </v>
      </c>
    </row>
    <row r="50" spans="1:7" ht="12" customHeight="1">
      <c r="C50" s="730" t="s">
        <v>3012</v>
      </c>
      <c r="E50" s="785">
        <f>'Part II-Development Team'!O102</f>
        <v>0</v>
      </c>
      <c r="F50" s="775"/>
    </row>
    <row r="51" spans="1:7" ht="3" customHeight="1">
      <c r="F51" s="775"/>
    </row>
    <row r="52" spans="1:7" ht="12" customHeight="1">
      <c r="A52" s="730">
        <v>16</v>
      </c>
      <c r="C52" s="730" t="s">
        <v>3013</v>
      </c>
      <c r="F52" s="1249">
        <f>'Sensitivity Analysis'!C13</f>
        <v>72</v>
      </c>
    </row>
    <row r="53" spans="1:7" ht="3" customHeight="1">
      <c r="F53" s="775"/>
    </row>
    <row r="54" spans="1:7" ht="12" customHeight="1">
      <c r="A54" s="803">
        <v>17</v>
      </c>
      <c r="B54" s="803"/>
      <c r="C54" s="803" t="s">
        <v>3014</v>
      </c>
      <c r="D54" s="803"/>
      <c r="E54" s="803"/>
      <c r="F54" s="1251">
        <f>'HOME Allocation Limit WS'!K18</f>
        <v>72</v>
      </c>
      <c r="G54" s="803"/>
    </row>
    <row r="55" spans="1:7" ht="3" customHeight="1">
      <c r="F55" s="775"/>
    </row>
    <row r="56" spans="1:7" ht="12" customHeight="1">
      <c r="A56" s="730">
        <v>18</v>
      </c>
      <c r="C56" s="730" t="s">
        <v>3015</v>
      </c>
      <c r="F56" s="1251">
        <f>'Part VI-Revenues &amp; Expenses'!P66</f>
        <v>0</v>
      </c>
      <c r="G56" s="730" t="s">
        <v>3897</v>
      </c>
    </row>
    <row r="57" spans="1:7" ht="3" customHeight="1">
      <c r="F57" s="775"/>
    </row>
    <row r="58" spans="1:7" ht="12" customHeight="1">
      <c r="A58" s="730">
        <v>19</v>
      </c>
      <c r="C58" s="730" t="s">
        <v>3016</v>
      </c>
      <c r="F58" s="1252"/>
      <c r="G58" s="730" t="s">
        <v>3383</v>
      </c>
    </row>
    <row r="59" spans="1:7" ht="3" customHeight="1">
      <c r="F59" s="775"/>
    </row>
    <row r="60" spans="1:7" ht="12" customHeight="1">
      <c r="A60" s="730">
        <v>20</v>
      </c>
      <c r="C60" s="730" t="s">
        <v>3017</v>
      </c>
      <c r="F60" s="1253" t="s">
        <v>948</v>
      </c>
      <c r="G60" s="803"/>
    </row>
    <row r="61" spans="1:7" ht="3" customHeight="1"/>
    <row r="62" spans="1:7" ht="12" customHeight="1">
      <c r="A62" s="730">
        <v>21</v>
      </c>
      <c r="C62" s="730" t="s">
        <v>3398</v>
      </c>
      <c r="E62" s="1254" t="s">
        <v>3384</v>
      </c>
      <c r="F62" s="1255" t="s">
        <v>3385</v>
      </c>
      <c r="G62" s="1254" t="s">
        <v>3018</v>
      </c>
    </row>
    <row r="63" spans="1:7" ht="12" customHeight="1">
      <c r="E63" s="1254" t="s">
        <v>3384</v>
      </c>
      <c r="F63" s="1255" t="s">
        <v>3385</v>
      </c>
      <c r="G63" s="1254"/>
    </row>
    <row r="64" spans="1:7" ht="3" customHeight="1"/>
    <row r="65" spans="1:7" ht="12" customHeight="1">
      <c r="A65" s="730">
        <v>22</v>
      </c>
      <c r="C65" s="730" t="s">
        <v>3019</v>
      </c>
      <c r="E65" s="785" t="str">
        <f>'Sensitivity Analysis'!H9</f>
        <v>Harper Woods Apartments II, LP</v>
      </c>
    </row>
    <row r="66" spans="1:7" ht="3" customHeight="1"/>
    <row r="67" spans="1:7" ht="12" customHeight="1">
      <c r="A67" s="730">
        <v>23</v>
      </c>
      <c r="C67" s="730" t="s">
        <v>3020</v>
      </c>
      <c r="F67" s="775" t="s">
        <v>3021</v>
      </c>
    </row>
    <row r="68" spans="1:7" ht="3" customHeight="1"/>
    <row r="69" spans="1:7" ht="12" customHeight="1">
      <c r="A69" s="730">
        <v>24</v>
      </c>
      <c r="C69" s="730" t="s">
        <v>3022</v>
      </c>
      <c r="E69" s="730" t="s">
        <v>2347</v>
      </c>
      <c r="F69" s="775">
        <v>20</v>
      </c>
      <c r="G69" s="730" t="s">
        <v>2405</v>
      </c>
    </row>
    <row r="70" spans="1:7" ht="3" customHeight="1"/>
    <row r="71" spans="1:7" ht="12" customHeight="1">
      <c r="A71" s="730">
        <v>25</v>
      </c>
      <c r="C71" s="730" t="s">
        <v>3023</v>
      </c>
      <c r="F71" s="1256">
        <f>'Part IV-A-Uses of Funds'!$G$122</f>
        <v>210929</v>
      </c>
    </row>
    <row r="72" spans="1:7" ht="3" customHeight="1">
      <c r="F72" s="1256"/>
    </row>
    <row r="73" spans="1:7" ht="12" customHeight="1">
      <c r="A73" s="730">
        <v>26</v>
      </c>
      <c r="C73" s="730" t="s">
        <v>3024</v>
      </c>
      <c r="F73" s="1256">
        <f>'Part IV-A-Uses of Funds'!$G$123</f>
        <v>0</v>
      </c>
    </row>
    <row r="74" spans="1:7" ht="3" customHeight="1">
      <c r="F74" s="1256"/>
    </row>
    <row r="75" spans="1:7" ht="12" customHeight="1">
      <c r="A75" s="730">
        <v>27</v>
      </c>
      <c r="C75" s="730" t="s">
        <v>3025</v>
      </c>
      <c r="F75" s="1257">
        <f>'Part IV-A-Uses of Funds'!$G$121</f>
        <v>81000</v>
      </c>
    </row>
    <row r="76" spans="1:7" ht="3" customHeight="1">
      <c r="F76" s="1256"/>
    </row>
    <row r="77" spans="1:7" ht="12" customHeight="1">
      <c r="A77" s="730">
        <v>28</v>
      </c>
      <c r="C77" s="730" t="s">
        <v>3026</v>
      </c>
      <c r="F77" s="1258"/>
    </row>
  </sheetData>
  <sheetProtection algorithmName="SHA-512" hashValue="AA9u/4d/nHJQeqo3jlfY5gtLDgq5IdFYt8Pd2NANuYwGhiM2uRmigRFZSecH202y04kcFHR/XCUXGFldSBlf3A==" saltValue="Rq7DqPEVoycaxEvJshYIvA==" spinCount="100000" sheet="1" objects="1" scenarios="1"/>
  <mergeCells count="4">
    <mergeCell ref="A1:H1"/>
    <mergeCell ref="A3:H3"/>
    <mergeCell ref="E9:F9"/>
    <mergeCell ref="J3:K9"/>
  </mergeCells>
  <dataValidations count="2">
    <dataValidation type="list" allowBlank="1" showInputMessage="1" showErrorMessage="1" sqref="E27" xr:uid="{00000000-0002-0000-1400-000000000000}">
      <formula1>"&lt;&lt;Select&gt;&gt;,HOME, HOME/CHDO, HOME/PSHP, HOME/TCAP2, NSP"</formula1>
    </dataValidation>
    <dataValidation type="list" allowBlank="1" showInputMessage="1" showErrorMessage="1" sqref="F67" xr:uid="{00000000-0002-0000-1400-000001000000}">
      <formula1>$J$49:$J$49</formula1>
    </dataValidation>
  </dataValidations>
  <printOptions horizontalCentered="1"/>
  <pageMargins left="0.7" right="0.7" top="0.75" bottom="0.5" header="0.3" footer="0.3"/>
  <pageSetup fitToHeight="0" orientation="portrait" r:id="rId1"/>
  <headerFooter>
    <oddFooter>&amp;C&amp;9page &amp;P of &amp;N</oddFooter>
  </headerFooter>
  <legacyDrawing r:id="rId2"/>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11">
    <pageSetUpPr fitToPage="1"/>
  </sheetPr>
  <dimension ref="A1:M213"/>
  <sheetViews>
    <sheetView showGridLines="0" zoomScale="120" zoomScaleNormal="120" workbookViewId="0">
      <selection activeCell="C10" sqref="C10"/>
    </sheetView>
  </sheetViews>
  <sheetFormatPr defaultColWidth="9.109375" defaultRowHeight="13.2"/>
  <cols>
    <col min="1" max="1" width="23.5546875" style="730" customWidth="1"/>
    <col min="2" max="2" width="11" style="730" customWidth="1"/>
    <col min="3" max="3" width="31" style="730" customWidth="1"/>
    <col min="4" max="4" width="14" style="730" customWidth="1"/>
    <col min="5" max="10" width="11.109375" style="730" customWidth="1"/>
    <col min="11" max="16384" width="9.109375" style="730"/>
  </cols>
  <sheetData>
    <row r="1" spans="1:13" ht="13.8">
      <c r="A1" s="3290" t="s">
        <v>3214</v>
      </c>
      <c r="B1" s="3290"/>
      <c r="C1" s="3290"/>
      <c r="D1" s="3290"/>
      <c r="E1" s="3290"/>
      <c r="F1" s="3290"/>
      <c r="G1" s="3290"/>
      <c r="H1" s="3290"/>
      <c r="I1" s="3290"/>
      <c r="J1" s="3290"/>
    </row>
    <row r="2" spans="1:13" ht="13.8">
      <c r="A2" s="3290" t="str">
        <f>'Sensitivity Analysis'!E8&amp;"  "&amp;'Sensitivity Analysis'!C8</f>
        <v>2020-074  Harper Woods II</v>
      </c>
      <c r="B2" s="3290"/>
      <c r="C2" s="3290"/>
      <c r="D2" s="3290"/>
      <c r="E2" s="3290"/>
      <c r="F2" s="3290"/>
      <c r="G2" s="3290"/>
      <c r="H2" s="3290"/>
      <c r="I2" s="3290"/>
      <c r="J2" s="3290"/>
    </row>
    <row r="3" spans="1:13" ht="6" customHeight="1">
      <c r="K3" s="3275" t="s">
        <v>3891</v>
      </c>
      <c r="L3" s="3275"/>
      <c r="M3" s="3275"/>
    </row>
    <row r="4" spans="1:13" ht="12" customHeight="1">
      <c r="A4" s="771" t="s">
        <v>3027</v>
      </c>
      <c r="K4" s="3275"/>
      <c r="L4" s="3275"/>
      <c r="M4" s="3275"/>
    </row>
    <row r="5" spans="1:13" ht="12" customHeight="1">
      <c r="A5" s="730" t="s">
        <v>3028</v>
      </c>
      <c r="C5" s="772" t="str">
        <f>'Subsidy Layering Memo'!D6</f>
        <v>(Underwriter)</v>
      </c>
      <c r="I5" s="772"/>
      <c r="K5" s="3275"/>
      <c r="L5" s="3275"/>
      <c r="M5" s="3275"/>
    </row>
    <row r="6" spans="1:13" ht="6" customHeight="1">
      <c r="C6" s="667"/>
      <c r="D6" s="772"/>
      <c r="I6" s="772"/>
      <c r="K6" s="3275"/>
      <c r="L6" s="3275"/>
      <c r="M6" s="3275"/>
    </row>
    <row r="7" spans="1:13" ht="12" customHeight="1">
      <c r="A7" s="771" t="s">
        <v>3029</v>
      </c>
      <c r="C7" s="667"/>
      <c r="D7" s="772"/>
      <c r="I7" s="772"/>
      <c r="K7" s="3275"/>
      <c r="L7" s="3275"/>
      <c r="M7" s="3275"/>
    </row>
    <row r="8" spans="1:13" ht="12" customHeight="1">
      <c r="A8" s="730" t="s">
        <v>3030</v>
      </c>
      <c r="C8" s="772" t="str">
        <f>'Sensitivity Analysis'!$H$9</f>
        <v>Harper Woods Apartments II, LP</v>
      </c>
      <c r="I8" s="772"/>
      <c r="K8" s="3275"/>
      <c r="L8" s="3275"/>
      <c r="M8" s="3275"/>
    </row>
    <row r="9" spans="1:13" ht="3" customHeight="1">
      <c r="C9" s="667"/>
      <c r="D9" s="772"/>
      <c r="I9" s="772"/>
    </row>
    <row r="10" spans="1:13" ht="12" customHeight="1">
      <c r="A10" s="730" t="s">
        <v>3031</v>
      </c>
      <c r="C10" s="1196" t="s">
        <v>1727</v>
      </c>
      <c r="I10" s="772"/>
    </row>
    <row r="11" spans="1:13" ht="12" customHeight="1">
      <c r="C11" s="1196" t="s">
        <v>1727</v>
      </c>
      <c r="I11" s="772"/>
    </row>
    <row r="12" spans="1:13" ht="12" customHeight="1">
      <c r="C12" s="772" t="s">
        <v>2603</v>
      </c>
      <c r="D12" s="793" t="s">
        <v>1727</v>
      </c>
      <c r="I12" s="772"/>
    </row>
    <row r="13" spans="1:13" ht="12" customHeight="1">
      <c r="C13" s="772" t="s">
        <v>3032</v>
      </c>
      <c r="D13" s="3283"/>
      <c r="E13" s="3283"/>
      <c r="F13" s="3283"/>
      <c r="G13" s="3283"/>
      <c r="H13" s="3283"/>
      <c r="I13" s="3283"/>
      <c r="J13" s="3283"/>
    </row>
    <row r="14" spans="1:13" ht="3" customHeight="1">
      <c r="G14" s="667"/>
      <c r="H14" s="772"/>
      <c r="I14" s="772"/>
    </row>
    <row r="15" spans="1:13" ht="12" customHeight="1">
      <c r="A15" s="730" t="s">
        <v>3033</v>
      </c>
      <c r="C15" s="774" t="str">
        <f>'Preview term'!E10</f>
        <v>Kevin Buckner</v>
      </c>
      <c r="G15" s="667"/>
      <c r="I15" s="772"/>
    </row>
    <row r="16" spans="1:13" ht="12" customHeight="1">
      <c r="A16" s="785" t="s">
        <v>4104</v>
      </c>
      <c r="C16" s="774" t="str">
        <f>'Part II-Development Team'!Q6</f>
        <v>Manager</v>
      </c>
      <c r="G16" s="667"/>
      <c r="I16" s="772"/>
    </row>
    <row r="17" spans="1:9" ht="3" customHeight="1">
      <c r="G17" s="667"/>
      <c r="H17" s="772"/>
      <c r="I17" s="772"/>
    </row>
    <row r="18" spans="1:9" ht="12" customHeight="1">
      <c r="A18" s="730" t="s">
        <v>3034</v>
      </c>
      <c r="C18" s="774" t="str">
        <f>'Preview term'!$E$7</f>
        <v>3825 Paces Walk SE, Suite 100</v>
      </c>
      <c r="G18" s="667"/>
      <c r="I18" s="772"/>
    </row>
    <row r="19" spans="1:9" ht="12" customHeight="1">
      <c r="C19" s="774" t="str">
        <f>'Preview term'!$E$8</f>
        <v>Atlanta, GA 30339</v>
      </c>
      <c r="G19" s="667"/>
      <c r="I19" s="772"/>
    </row>
    <row r="20" spans="1:9" ht="3" customHeight="1">
      <c r="G20" s="667"/>
      <c r="H20" s="772"/>
      <c r="I20" s="772"/>
    </row>
    <row r="21" spans="1:9" ht="12" customHeight="1">
      <c r="A21" s="730" t="s">
        <v>3035</v>
      </c>
      <c r="C21" s="774" t="str">
        <f>CONCATENATE('Preview term'!E49," of  ",'Preview term'!G49)</f>
        <v xml:space="preserve">Greg Clark of  Coleman Talley, LP </v>
      </c>
      <c r="G21" s="667"/>
      <c r="I21" s="772"/>
    </row>
    <row r="22" spans="1:9" ht="3" customHeight="1">
      <c r="C22" s="774"/>
      <c r="G22" s="667"/>
      <c r="I22" s="772"/>
    </row>
    <row r="23" spans="1:9" ht="12" customHeight="1">
      <c r="A23" s="730" t="s">
        <v>3036</v>
      </c>
      <c r="C23" s="774">
        <f>'Preview term'!E12</f>
        <v>6783245540</v>
      </c>
      <c r="G23" s="667"/>
      <c r="I23" s="772"/>
    </row>
    <row r="24" spans="1:9" ht="3" customHeight="1">
      <c r="C24" s="774"/>
      <c r="G24" s="667"/>
      <c r="I24" s="772"/>
    </row>
    <row r="25" spans="1:9" ht="12" customHeight="1">
      <c r="A25" s="730" t="s">
        <v>3037</v>
      </c>
      <c r="C25" s="1198" t="str">
        <f>'Preview term'!E11</f>
        <v xml:space="preserve">kbuckner@tbgresidential.com </v>
      </c>
      <c r="G25" s="667"/>
    </row>
    <row r="26" spans="1:9" ht="6" customHeight="1">
      <c r="G26" s="667"/>
      <c r="H26" s="772"/>
      <c r="I26" s="772"/>
    </row>
    <row r="27" spans="1:9" ht="12" customHeight="1">
      <c r="A27" s="771" t="s">
        <v>3038</v>
      </c>
      <c r="G27" s="667"/>
      <c r="H27" s="772"/>
      <c r="I27" s="772"/>
    </row>
    <row r="28" spans="1:9" ht="12" customHeight="1">
      <c r="A28" s="730" t="s">
        <v>3039</v>
      </c>
      <c r="C28" s="774" t="str">
        <f>'Sensitivity Analysis'!$C$8</f>
        <v>Harper Woods II</v>
      </c>
      <c r="I28" s="772"/>
    </row>
    <row r="29" spans="1:9" ht="3" customHeight="1">
      <c r="C29" s="774"/>
      <c r="I29" s="772"/>
    </row>
    <row r="30" spans="1:9" ht="12" customHeight="1">
      <c r="A30" s="730" t="s">
        <v>3040</v>
      </c>
      <c r="C30" s="774" t="str">
        <f>'Preview term'!E16</f>
        <v xml:space="preserve">6000 Warm Springs Road </v>
      </c>
      <c r="I30" s="772"/>
    </row>
    <row r="31" spans="1:9">
      <c r="C31" s="772" t="str">
        <f>'Preview term'!E17</f>
        <v>Columbus, GA 31909</v>
      </c>
      <c r="I31" s="772"/>
    </row>
    <row r="32" spans="1:9" ht="3" customHeight="1">
      <c r="C32" s="667"/>
      <c r="D32" s="667"/>
      <c r="I32" s="667"/>
    </row>
    <row r="33" spans="1:10" ht="12" customHeight="1">
      <c r="A33" s="730" t="s">
        <v>3041</v>
      </c>
      <c r="C33" s="667" t="s">
        <v>3042</v>
      </c>
      <c r="D33" s="1197">
        <f>'Preview term'!F54</f>
        <v>72</v>
      </c>
      <c r="I33" s="667"/>
    </row>
    <row r="34" spans="1:10" ht="12" customHeight="1">
      <c r="C34" s="667" t="s">
        <v>3043</v>
      </c>
      <c r="D34" s="776">
        <f>'HOME Allocation Limit WS'!H12-'HOME Allocation Limit WS'!D12</f>
        <v>0</v>
      </c>
      <c r="I34" s="667"/>
    </row>
    <row r="35" spans="1:10" ht="12" customHeight="1">
      <c r="C35" s="667" t="s">
        <v>3044</v>
      </c>
      <c r="D35" s="777">
        <f>SUM(D33:D34)</f>
        <v>72</v>
      </c>
      <c r="I35" s="667"/>
    </row>
    <row r="36" spans="1:10" ht="3" customHeight="1">
      <c r="C36" s="667"/>
      <c r="D36" s="667"/>
      <c r="I36" s="667"/>
    </row>
    <row r="37" spans="1:10" ht="12" customHeight="1">
      <c r="A37" s="730" t="s">
        <v>3045</v>
      </c>
      <c r="C37" s="1254" t="s">
        <v>1727</v>
      </c>
      <c r="D37" s="1195">
        <f>'Preview term'!F56</f>
        <v>0</v>
      </c>
      <c r="E37" s="667" t="s">
        <v>3046</v>
      </c>
      <c r="I37" s="667"/>
    </row>
    <row r="38" spans="1:10" ht="3" customHeight="1">
      <c r="G38" s="778"/>
      <c r="H38" s="667"/>
      <c r="I38" s="667"/>
    </row>
    <row r="39" spans="1:10" ht="25.5" customHeight="1">
      <c r="A39" s="779" t="s">
        <v>3047</v>
      </c>
      <c r="C39" s="3291"/>
      <c r="D39" s="3291"/>
      <c r="E39" s="3291"/>
      <c r="F39" s="3291"/>
      <c r="G39" s="3291"/>
      <c r="H39" s="3291"/>
      <c r="I39" s="3291"/>
      <c r="J39" s="3291"/>
    </row>
    <row r="40" spans="1:10" ht="3" customHeight="1">
      <c r="G40" s="667"/>
      <c r="H40" s="667"/>
      <c r="I40" s="667"/>
    </row>
    <row r="41" spans="1:10" ht="25.5" customHeight="1">
      <c r="A41" s="779" t="s">
        <v>3048</v>
      </c>
      <c r="C41" s="3292" t="s">
        <v>3386</v>
      </c>
      <c r="D41" s="3292"/>
      <c r="E41" s="3292"/>
      <c r="F41" s="3292"/>
      <c r="G41" s="3292"/>
      <c r="H41" s="3292"/>
      <c r="I41" s="3292"/>
      <c r="J41" s="3292"/>
    </row>
    <row r="42" spans="1:10" ht="3" customHeight="1">
      <c r="C42" s="536"/>
      <c r="D42" s="536"/>
      <c r="E42" s="536"/>
      <c r="F42" s="536"/>
      <c r="G42" s="536"/>
      <c r="H42" s="537"/>
      <c r="I42" s="538"/>
      <c r="J42" s="537"/>
    </row>
    <row r="43" spans="1:10" ht="12" customHeight="1">
      <c r="A43" s="730" t="s">
        <v>3049</v>
      </c>
      <c r="C43" s="604" t="str">
        <f>'Part I-Project Information'!J39</f>
        <v>Muscogee</v>
      </c>
      <c r="D43" s="536"/>
      <c r="F43" s="537"/>
      <c r="I43" s="538"/>
      <c r="J43" s="537"/>
    </row>
    <row r="44" spans="1:10" ht="3" customHeight="1">
      <c r="C44" s="536"/>
      <c r="D44" s="536"/>
      <c r="E44" s="536"/>
      <c r="F44" s="537"/>
      <c r="I44" s="538"/>
      <c r="J44" s="537"/>
    </row>
    <row r="45" spans="1:10" ht="12" customHeight="1">
      <c r="A45" s="730" t="s">
        <v>3050</v>
      </c>
      <c r="C45" s="793" t="s">
        <v>1727</v>
      </c>
      <c r="I45" s="538"/>
      <c r="J45" s="537"/>
    </row>
    <row r="46" spans="1:10" ht="3" customHeight="1">
      <c r="C46" s="667"/>
      <c r="D46" s="780"/>
      <c r="I46" s="667"/>
    </row>
    <row r="47" spans="1:10" ht="12" customHeight="1">
      <c r="A47" s="730" t="s">
        <v>3051</v>
      </c>
      <c r="C47" s="781"/>
      <c r="I47" s="782"/>
      <c r="J47" s="782"/>
    </row>
    <row r="48" spans="1:10" ht="3" customHeight="1">
      <c r="D48" s="782"/>
      <c r="E48" s="782"/>
      <c r="F48" s="782"/>
      <c r="G48" s="783"/>
      <c r="H48" s="667"/>
      <c r="I48" s="782"/>
      <c r="J48" s="782"/>
    </row>
    <row r="49" spans="1:10" ht="12" customHeight="1">
      <c r="A49" s="667"/>
      <c r="B49" s="730" t="s">
        <v>3052</v>
      </c>
      <c r="C49" s="3292" t="s">
        <v>558</v>
      </c>
      <c r="D49" s="3292"/>
      <c r="E49" s="3292"/>
      <c r="F49" s="3292"/>
      <c r="G49" s="3292"/>
      <c r="H49" s="3292"/>
      <c r="I49" s="3292"/>
      <c r="J49" s="3292"/>
    </row>
    <row r="50" spans="1:10" ht="12" customHeight="1">
      <c r="C50" s="3287" t="s">
        <v>1762</v>
      </c>
      <c r="D50" s="3287"/>
      <c r="E50" s="3287"/>
      <c r="F50" s="3287"/>
      <c r="G50" s="3287"/>
      <c r="H50" s="3287"/>
      <c r="I50" s="3287"/>
      <c r="J50" s="3287"/>
    </row>
    <row r="51" spans="1:10" ht="3" customHeight="1">
      <c r="D51" s="782"/>
      <c r="E51" s="782"/>
      <c r="F51" s="782"/>
      <c r="G51" s="783"/>
      <c r="H51" s="667"/>
      <c r="I51" s="782"/>
      <c r="J51" s="782"/>
    </row>
    <row r="52" spans="1:10" ht="12" customHeight="1">
      <c r="A52" s="779" t="s">
        <v>3053</v>
      </c>
      <c r="B52" s="779"/>
      <c r="C52" s="784" t="s">
        <v>3054</v>
      </c>
      <c r="D52" s="784" t="s">
        <v>3387</v>
      </c>
      <c r="E52" s="3288"/>
      <c r="F52" s="3288"/>
      <c r="G52" s="3288"/>
      <c r="H52" s="3288"/>
      <c r="I52" s="3288"/>
      <c r="J52" s="3288"/>
    </row>
    <row r="53" spans="1:10" ht="12" customHeight="1">
      <c r="A53" s="779"/>
      <c r="B53" s="779"/>
      <c r="C53" s="779"/>
      <c r="D53" s="784" t="s">
        <v>3388</v>
      </c>
      <c r="E53" s="3289"/>
      <c r="F53" s="3289"/>
      <c r="G53" s="3289"/>
      <c r="H53" s="3289"/>
      <c r="I53" s="3289"/>
      <c r="J53" s="3289"/>
    </row>
    <row r="54" spans="1:10" ht="12" customHeight="1">
      <c r="A54" s="771" t="s">
        <v>3055</v>
      </c>
      <c r="G54" s="667"/>
      <c r="H54" s="667"/>
      <c r="I54" s="667"/>
    </row>
    <row r="55" spans="1:10" ht="18" customHeight="1">
      <c r="A55" s="730" t="s">
        <v>3056</v>
      </c>
      <c r="C55" s="773" t="str">
        <f>'Sensitivity Analysis'!C10</f>
        <v>TBG Harper Woods II, LLC</v>
      </c>
      <c r="G55" s="667"/>
      <c r="I55" s="667"/>
    </row>
    <row r="56" spans="1:10" ht="3" customHeight="1">
      <c r="C56" s="773"/>
      <c r="G56" s="667"/>
      <c r="I56" s="667"/>
    </row>
    <row r="57" spans="1:10" ht="12" customHeight="1">
      <c r="A57" s="730" t="s">
        <v>3057</v>
      </c>
      <c r="C57" s="773" t="str">
        <f>'Sensitivity Analysis'!C11</f>
        <v/>
      </c>
      <c r="E57" s="773" t="str">
        <f>'Sensitivity Analysis'!E11</f>
        <v/>
      </c>
      <c r="G57" s="667"/>
      <c r="I57" s="667"/>
    </row>
    <row r="58" spans="1:10" ht="3" customHeight="1">
      <c r="C58" s="773"/>
      <c r="G58" s="667"/>
      <c r="I58" s="667"/>
    </row>
    <row r="59" spans="1:10" ht="12" customHeight="1">
      <c r="A59" s="730" t="s">
        <v>3058</v>
      </c>
      <c r="C59" s="773" t="s">
        <v>2728</v>
      </c>
      <c r="G59" s="667"/>
      <c r="I59" s="667"/>
    </row>
    <row r="60" spans="1:10" ht="6" customHeight="1">
      <c r="G60" s="667"/>
      <c r="H60" s="667"/>
      <c r="I60" s="667"/>
    </row>
    <row r="61" spans="1:10" ht="12" customHeight="1">
      <c r="A61" s="771" t="s">
        <v>3059</v>
      </c>
      <c r="G61" s="667"/>
      <c r="H61" s="667"/>
      <c r="I61" s="667"/>
    </row>
    <row r="62" spans="1:10" ht="12" customHeight="1">
      <c r="A62" s="730" t="s">
        <v>3060</v>
      </c>
      <c r="C62" s="730" t="s">
        <v>3061</v>
      </c>
      <c r="D62" s="1199">
        <f>'Preview term'!F30</f>
        <v>930000</v>
      </c>
      <c r="G62" s="667"/>
      <c r="I62" s="667"/>
    </row>
    <row r="63" spans="1:10" ht="3" customHeight="1">
      <c r="D63" s="785"/>
      <c r="G63" s="667"/>
      <c r="H63" s="786"/>
      <c r="I63" s="667"/>
    </row>
    <row r="64" spans="1:10" ht="12" customHeight="1">
      <c r="A64" s="730" t="s">
        <v>3062</v>
      </c>
      <c r="C64" s="730" t="s">
        <v>3064</v>
      </c>
      <c r="D64" s="773" t="s">
        <v>948</v>
      </c>
      <c r="G64" s="667"/>
      <c r="I64" s="667"/>
    </row>
    <row r="65" spans="1:10" ht="3" customHeight="1">
      <c r="D65" s="785"/>
      <c r="G65" s="667"/>
      <c r="H65" s="667"/>
      <c r="I65" s="667"/>
    </row>
    <row r="66" spans="1:10" ht="12" customHeight="1">
      <c r="A66" s="730" t="s">
        <v>3065</v>
      </c>
      <c r="C66" s="1200" t="s">
        <v>1727</v>
      </c>
      <c r="D66" s="799"/>
      <c r="I66" s="667"/>
    </row>
    <row r="67" spans="1:10" ht="12" customHeight="1">
      <c r="C67" s="730" t="s">
        <v>3066</v>
      </c>
      <c r="D67" s="1241" t="s">
        <v>1727</v>
      </c>
      <c r="I67" s="667"/>
    </row>
    <row r="68" spans="1:10" ht="12" customHeight="1">
      <c r="C68" s="730" t="s">
        <v>3032</v>
      </c>
      <c r="D68" s="3283"/>
      <c r="E68" s="3283"/>
      <c r="F68" s="3283"/>
      <c r="G68" s="3283"/>
      <c r="H68" s="3283"/>
      <c r="I68" s="3283"/>
      <c r="J68" s="3283"/>
    </row>
    <row r="69" spans="1:10" ht="3" customHeight="1">
      <c r="D69" s="785"/>
      <c r="E69" s="667"/>
      <c r="F69" s="667"/>
      <c r="I69" s="667"/>
    </row>
    <row r="70" spans="1:10" ht="12" customHeight="1">
      <c r="A70" s="730" t="s">
        <v>3067</v>
      </c>
      <c r="C70" s="730" t="s">
        <v>2347</v>
      </c>
      <c r="D70" s="793" t="s">
        <v>1727</v>
      </c>
      <c r="I70" s="667"/>
    </row>
    <row r="71" spans="1:10" ht="3" customHeight="1">
      <c r="D71" s="667"/>
      <c r="E71" s="667"/>
      <c r="I71" s="667"/>
    </row>
    <row r="72" spans="1:10" ht="12" customHeight="1">
      <c r="A72" s="730" t="s">
        <v>3068</v>
      </c>
      <c r="C72" s="1200" t="s">
        <v>1727</v>
      </c>
      <c r="I72" s="667"/>
    </row>
    <row r="73" spans="1:10" ht="3" customHeight="1">
      <c r="C73" s="785"/>
      <c r="G73" s="787"/>
      <c r="H73" s="667"/>
      <c r="I73" s="667"/>
    </row>
    <row r="74" spans="1:10" ht="12" customHeight="1">
      <c r="A74" s="730" t="s">
        <v>3069</v>
      </c>
      <c r="C74" s="785" t="s">
        <v>3070</v>
      </c>
      <c r="D74" s="1202">
        <v>0</v>
      </c>
      <c r="J74" s="667"/>
    </row>
    <row r="75" spans="1:10" ht="12" customHeight="1">
      <c r="C75" s="788" t="s">
        <v>3226</v>
      </c>
      <c r="D75" s="1203">
        <v>0.01</v>
      </c>
      <c r="J75" s="667"/>
    </row>
    <row r="76" spans="1:10" ht="3" customHeight="1">
      <c r="C76" s="785"/>
      <c r="D76" s="785"/>
      <c r="G76" s="667"/>
      <c r="H76" s="667"/>
      <c r="I76" s="667"/>
    </row>
    <row r="77" spans="1:10" ht="12" customHeight="1">
      <c r="A77" s="730" t="s">
        <v>3071</v>
      </c>
      <c r="C77" s="785" t="s">
        <v>3429</v>
      </c>
      <c r="D77" s="790">
        <v>24</v>
      </c>
      <c r="I77" s="667"/>
    </row>
    <row r="78" spans="1:10" ht="3" customHeight="1">
      <c r="D78" s="785"/>
      <c r="E78" s="667"/>
      <c r="F78" s="667"/>
      <c r="I78" s="667"/>
    </row>
    <row r="79" spans="1:10" ht="12" customHeight="1">
      <c r="A79" s="730" t="s">
        <v>3072</v>
      </c>
      <c r="C79" s="730" t="s">
        <v>2347</v>
      </c>
      <c r="D79" s="791">
        <f>'Preview term'!F39</f>
        <v>180</v>
      </c>
      <c r="E79" s="667" t="s">
        <v>3391</v>
      </c>
      <c r="I79" s="667"/>
    </row>
    <row r="80" spans="1:10" ht="3" customHeight="1">
      <c r="D80" s="785"/>
      <c r="G80" s="667"/>
      <c r="H80" s="667"/>
      <c r="I80" s="667"/>
    </row>
    <row r="81" spans="1:9" ht="12" customHeight="1">
      <c r="A81" s="730" t="s">
        <v>3073</v>
      </c>
      <c r="D81" s="1201">
        <v>0</v>
      </c>
      <c r="E81" s="792">
        <f>D81*12</f>
        <v>0</v>
      </c>
      <c r="F81" s="667" t="s">
        <v>3430</v>
      </c>
    </row>
    <row r="82" spans="1:9" ht="3" customHeight="1">
      <c r="D82" s="773"/>
      <c r="E82" s="667"/>
      <c r="G82" s="667"/>
    </row>
    <row r="83" spans="1:9" ht="12" customHeight="1">
      <c r="A83" s="730" t="s">
        <v>3074</v>
      </c>
      <c r="D83" s="1241" t="s">
        <v>948</v>
      </c>
      <c r="E83" s="667" t="s">
        <v>3075</v>
      </c>
      <c r="G83" s="667"/>
    </row>
    <row r="84" spans="1:9" ht="3" customHeight="1">
      <c r="G84" s="667"/>
      <c r="H84" s="667"/>
      <c r="I84" s="667"/>
    </row>
    <row r="85" spans="1:9" ht="12" customHeight="1">
      <c r="A85" s="730" t="s">
        <v>3076</v>
      </c>
      <c r="C85" s="1199">
        <f>'Part VII-Pro Forma'!K71</f>
        <v>486558.44572960993</v>
      </c>
      <c r="D85" s="794" t="s">
        <v>3389</v>
      </c>
      <c r="I85" s="667"/>
    </row>
    <row r="86" spans="1:9" ht="3" customHeight="1">
      <c r="C86" s="667" t="s">
        <v>1727</v>
      </c>
      <c r="D86" s="667"/>
      <c r="E86" s="667"/>
      <c r="I86" s="667"/>
    </row>
    <row r="87" spans="1:9" ht="12" customHeight="1">
      <c r="A87" s="730" t="s">
        <v>3077</v>
      </c>
      <c r="B87" s="795"/>
      <c r="C87" s="1200" t="s">
        <v>1727</v>
      </c>
      <c r="D87" s="1205"/>
      <c r="I87" s="667"/>
    </row>
    <row r="88" spans="1:9" ht="3" customHeight="1">
      <c r="G88" s="667"/>
      <c r="H88" s="667"/>
      <c r="I88" s="667"/>
    </row>
    <row r="89" spans="1:9" ht="12" customHeight="1">
      <c r="A89" s="730" t="s">
        <v>3078</v>
      </c>
      <c r="C89" s="785" t="s">
        <v>3079</v>
      </c>
      <c r="D89" s="773" t="s">
        <v>3008</v>
      </c>
      <c r="I89" s="667"/>
    </row>
    <row r="90" spans="1:9" ht="12" customHeight="1">
      <c r="C90" s="785" t="s">
        <v>3080</v>
      </c>
      <c r="D90" s="773" t="s">
        <v>948</v>
      </c>
      <c r="I90" s="667"/>
    </row>
    <row r="91" spans="1:9" ht="3" customHeight="1">
      <c r="G91" s="667"/>
      <c r="H91" s="667"/>
      <c r="I91" s="667"/>
    </row>
    <row r="92" spans="1:9" ht="12" customHeight="1">
      <c r="A92" s="730" t="s">
        <v>3081</v>
      </c>
      <c r="C92" s="785" t="s">
        <v>3070</v>
      </c>
      <c r="D92" s="667" t="s">
        <v>3082</v>
      </c>
      <c r="E92" s="785" t="str">
        <f>'Part III-Sources of Funds'!H20</f>
        <v xml:space="preserve">Synovus Bank Construction Loan </v>
      </c>
      <c r="I92" s="667"/>
    </row>
    <row r="93" spans="1:9" ht="12" customHeight="1">
      <c r="C93" s="799"/>
      <c r="D93" s="667"/>
      <c r="E93" s="785" t="s">
        <v>1753</v>
      </c>
      <c r="F93" s="3278"/>
      <c r="G93" s="3278"/>
      <c r="H93" s="3278"/>
      <c r="I93" s="667"/>
    </row>
    <row r="94" spans="1:9" ht="12" customHeight="1">
      <c r="C94" s="785"/>
      <c r="D94" s="667"/>
      <c r="E94" s="785" t="s">
        <v>1935</v>
      </c>
      <c r="F94" s="3279"/>
      <c r="G94" s="3279"/>
      <c r="H94" s="3279"/>
      <c r="I94" s="667"/>
    </row>
    <row r="95" spans="1:9" ht="12" customHeight="1">
      <c r="C95" s="785"/>
      <c r="D95" s="667"/>
      <c r="E95" s="785" t="s">
        <v>1755</v>
      </c>
      <c r="F95" s="3280"/>
      <c r="G95" s="3280"/>
      <c r="H95" s="3280"/>
      <c r="I95" s="667"/>
    </row>
    <row r="96" spans="1:9" ht="12" customHeight="1">
      <c r="B96" s="775"/>
      <c r="C96" s="788" t="s">
        <v>3226</v>
      </c>
      <c r="D96" s="667" t="s">
        <v>3082</v>
      </c>
      <c r="E96" s="785" t="str">
        <f>'Part III-Sources of Funds'!E38</f>
        <v>Synovus Bank</v>
      </c>
      <c r="I96" s="667"/>
    </row>
    <row r="97" spans="1:10" ht="12" customHeight="1">
      <c r="C97" s="785"/>
      <c r="D97" s="667"/>
      <c r="E97" s="785" t="s">
        <v>1753</v>
      </c>
      <c r="F97" s="3278"/>
      <c r="G97" s="3278"/>
      <c r="H97" s="3278"/>
      <c r="I97" s="667"/>
    </row>
    <row r="98" spans="1:10" ht="12" customHeight="1">
      <c r="C98" s="785"/>
      <c r="D98" s="667"/>
      <c r="E98" s="785" t="s">
        <v>1935</v>
      </c>
      <c r="F98" s="3279"/>
      <c r="G98" s="3279"/>
      <c r="H98" s="3279"/>
      <c r="I98" s="667"/>
    </row>
    <row r="99" spans="1:10" ht="12" customHeight="1">
      <c r="C99" s="785"/>
      <c r="D99" s="667"/>
      <c r="E99" s="785" t="s">
        <v>1755</v>
      </c>
      <c r="F99" s="3280"/>
      <c r="G99" s="3280"/>
      <c r="H99" s="3280"/>
      <c r="I99" s="667"/>
    </row>
    <row r="100" spans="1:10" ht="3" customHeight="1">
      <c r="D100" s="796"/>
      <c r="G100" s="667"/>
      <c r="H100" s="667"/>
      <c r="I100" s="667"/>
    </row>
    <row r="101" spans="1:10" ht="12" customHeight="1">
      <c r="A101" s="730" t="s">
        <v>3083</v>
      </c>
      <c r="D101" s="1241" t="str">
        <f>'Part IX Scoring Criteria'!O337</f>
        <v>No</v>
      </c>
      <c r="E101" s="667" t="s">
        <v>3063</v>
      </c>
      <c r="G101" s="730">
        <f>'Part IX Scoring Criteria'!O333</f>
        <v>4</v>
      </c>
      <c r="H101" s="730" t="s">
        <v>3390</v>
      </c>
      <c r="I101" s="667"/>
    </row>
    <row r="102" spans="1:10" ht="3" customHeight="1">
      <c r="E102" s="667"/>
      <c r="F102" s="667"/>
      <c r="I102" s="667"/>
    </row>
    <row r="103" spans="1:10" ht="12" customHeight="1">
      <c r="A103" s="667" t="s">
        <v>3227</v>
      </c>
      <c r="D103" s="730" t="s">
        <v>948</v>
      </c>
      <c r="E103" s="667"/>
      <c r="I103" s="667"/>
    </row>
    <row r="104" spans="1:10" ht="6" customHeight="1">
      <c r="G104" s="667"/>
      <c r="H104" s="667"/>
      <c r="I104" s="667"/>
    </row>
    <row r="105" spans="1:10" ht="12" customHeight="1">
      <c r="A105" s="771" t="s">
        <v>3228</v>
      </c>
      <c r="I105" s="667"/>
    </row>
    <row r="106" spans="1:10" ht="12" customHeight="1">
      <c r="A106" s="730" t="s">
        <v>3084</v>
      </c>
      <c r="C106" s="1204" t="s">
        <v>1727</v>
      </c>
      <c r="D106" s="3281"/>
      <c r="E106" s="3281"/>
      <c r="F106" s="3281"/>
      <c r="G106" s="3281"/>
      <c r="H106" s="3281"/>
      <c r="I106" s="3281"/>
      <c r="J106" s="3282"/>
    </row>
    <row r="107" spans="1:10" ht="3" customHeight="1">
      <c r="C107" s="785"/>
      <c r="D107" s="667"/>
      <c r="I107" s="667"/>
    </row>
    <row r="108" spans="1:10" ht="12" customHeight="1">
      <c r="A108" s="730" t="s">
        <v>3085</v>
      </c>
      <c r="C108" s="1241" t="s">
        <v>1727</v>
      </c>
    </row>
    <row r="109" spans="1:10" ht="3" customHeight="1">
      <c r="C109" s="785"/>
      <c r="E109" s="667"/>
      <c r="F109" s="667"/>
      <c r="I109" s="667"/>
    </row>
    <row r="110" spans="1:10" ht="12" customHeight="1">
      <c r="A110" s="730" t="s">
        <v>3086</v>
      </c>
      <c r="C110" s="1241" t="s">
        <v>1727</v>
      </c>
      <c r="I110" s="667"/>
    </row>
    <row r="111" spans="1:10" ht="3" customHeight="1">
      <c r="D111" s="778"/>
      <c r="I111" s="667"/>
    </row>
    <row r="112" spans="1:10" ht="12" customHeight="1">
      <c r="A112" s="730" t="s">
        <v>3087</v>
      </c>
      <c r="D112" s="791">
        <v>24</v>
      </c>
      <c r="E112" s="667" t="s">
        <v>3088</v>
      </c>
      <c r="I112" s="667"/>
    </row>
    <row r="113" spans="1:10" ht="12" customHeight="1">
      <c r="C113" s="773" t="s">
        <v>3900</v>
      </c>
      <c r="I113" s="667"/>
    </row>
    <row r="114" spans="1:10" ht="12" customHeight="1">
      <c r="C114" s="773" t="s">
        <v>3899</v>
      </c>
      <c r="G114" s="667"/>
      <c r="I114" s="667"/>
    </row>
    <row r="115" spans="1:10" ht="3" customHeight="1">
      <c r="G115" s="667"/>
      <c r="H115" s="667"/>
      <c r="I115" s="667"/>
    </row>
    <row r="116" spans="1:10" ht="12" customHeight="1">
      <c r="A116" s="730" t="s">
        <v>3089</v>
      </c>
      <c r="D116" s="797">
        <v>0</v>
      </c>
      <c r="E116" s="798" t="s">
        <v>3090</v>
      </c>
      <c r="I116" s="667"/>
    </row>
    <row r="117" spans="1:10" ht="3" customHeight="1">
      <c r="D117" s="785"/>
      <c r="E117" s="667"/>
      <c r="F117" s="667"/>
      <c r="I117" s="667"/>
    </row>
    <row r="118" spans="1:10" ht="12" customHeight="1">
      <c r="A118" s="730" t="s">
        <v>3091</v>
      </c>
      <c r="C118" s="1200" t="s">
        <v>1727</v>
      </c>
      <c r="D118" s="799"/>
      <c r="I118" s="667"/>
    </row>
    <row r="119" spans="1:10" ht="12" customHeight="1">
      <c r="C119" s="667" t="s">
        <v>3092</v>
      </c>
      <c r="D119" s="789"/>
      <c r="E119" s="3285" t="s">
        <v>3901</v>
      </c>
      <c r="F119" s="3285"/>
      <c r="G119" s="3285"/>
      <c r="H119" s="3285"/>
      <c r="I119" s="3285"/>
      <c r="J119" s="3285"/>
    </row>
    <row r="120" spans="1:10" ht="12" customHeight="1">
      <c r="C120" s="667" t="s">
        <v>3093</v>
      </c>
      <c r="D120" s="1206"/>
      <c r="E120" s="3285"/>
      <c r="F120" s="3285"/>
      <c r="G120" s="3285"/>
      <c r="H120" s="3285"/>
      <c r="I120" s="3285"/>
      <c r="J120" s="3285"/>
    </row>
    <row r="121" spans="1:10" ht="12" customHeight="1">
      <c r="C121" s="667" t="s">
        <v>3094</v>
      </c>
      <c r="D121" s="1206"/>
      <c r="E121" s="3285"/>
      <c r="F121" s="3285"/>
      <c r="G121" s="3285"/>
      <c r="H121" s="3285"/>
      <c r="I121" s="3285"/>
      <c r="J121" s="3285"/>
    </row>
    <row r="122" spans="1:10" ht="3" customHeight="1">
      <c r="E122" s="667"/>
      <c r="F122" s="667"/>
      <c r="I122" s="667"/>
    </row>
    <row r="123" spans="1:10" ht="12" customHeight="1">
      <c r="A123" s="730" t="s">
        <v>3095</v>
      </c>
      <c r="D123" s="800" t="s">
        <v>3063</v>
      </c>
      <c r="I123" s="667"/>
    </row>
    <row r="124" spans="1:10" ht="3" customHeight="1">
      <c r="D124" s="667"/>
      <c r="I124" s="667"/>
    </row>
    <row r="125" spans="1:10" ht="12" customHeight="1">
      <c r="A125" s="730" t="s">
        <v>3096</v>
      </c>
      <c r="D125" s="667" t="s">
        <v>3063</v>
      </c>
      <c r="I125" s="667"/>
    </row>
    <row r="126" spans="1:10" ht="3" customHeight="1">
      <c r="G126" s="667"/>
      <c r="H126" s="667"/>
      <c r="I126" s="667"/>
    </row>
    <row r="127" spans="1:10" ht="12" customHeight="1">
      <c r="A127" s="730" t="s">
        <v>3097</v>
      </c>
      <c r="D127" s="667" t="s">
        <v>3098</v>
      </c>
      <c r="G127" s="667"/>
      <c r="I127" s="667"/>
    </row>
    <row r="128" spans="1:10" ht="7.5" customHeight="1">
      <c r="G128" s="667"/>
      <c r="H128" s="667"/>
      <c r="I128" s="667"/>
    </row>
    <row r="129" spans="1:10" ht="12" customHeight="1">
      <c r="A129" s="771" t="s">
        <v>3099</v>
      </c>
      <c r="G129" s="667"/>
      <c r="H129" s="667"/>
      <c r="I129" s="667"/>
    </row>
    <row r="130" spans="1:10" ht="12" customHeight="1">
      <c r="A130" s="730" t="s">
        <v>3100</v>
      </c>
      <c r="C130" s="773" t="str">
        <f>'Sensitivity Analysis'!H11</f>
        <v>TBG Development Services, Inc</v>
      </c>
      <c r="D130" s="773">
        <f>'Sensitivity Analysis'!K11</f>
        <v>0</v>
      </c>
      <c r="G130" s="773">
        <f>'Sensitivity Analysis'!M11</f>
        <v>0</v>
      </c>
      <c r="I130" s="667"/>
    </row>
    <row r="131" spans="1:10" ht="12" customHeight="1">
      <c r="G131" s="667"/>
      <c r="I131" s="667"/>
    </row>
    <row r="132" spans="1:10" ht="3" customHeight="1">
      <c r="C132" s="667"/>
      <c r="G132" s="667"/>
      <c r="I132" s="667"/>
    </row>
    <row r="133" spans="1:10" ht="12" customHeight="1">
      <c r="A133" s="730" t="s">
        <v>3101</v>
      </c>
      <c r="C133" s="801">
        <f>('Part IV-A-Uses of Funds'!G118-'Part III-Sources of Funds'!I43)/2</f>
        <v>839635</v>
      </c>
      <c r="G133" s="667"/>
      <c r="I133" s="667"/>
    </row>
    <row r="134" spans="1:10" ht="3" customHeight="1">
      <c r="C134" s="667"/>
      <c r="G134" s="667"/>
      <c r="I134" s="667"/>
    </row>
    <row r="135" spans="1:10" ht="12" customHeight="1">
      <c r="A135" s="730" t="s">
        <v>3102</v>
      </c>
      <c r="C135" s="1241" t="s">
        <v>3103</v>
      </c>
      <c r="G135" s="667"/>
      <c r="I135" s="667"/>
    </row>
    <row r="136" spans="1:10" ht="3" customHeight="1">
      <c r="C136" s="773"/>
      <c r="G136" s="667"/>
      <c r="I136" s="667"/>
    </row>
    <row r="137" spans="1:10" ht="12" customHeight="1">
      <c r="A137" s="730" t="s">
        <v>3104</v>
      </c>
      <c r="C137" s="773" t="str">
        <f>'Preview term'!E19</f>
        <v xml:space="preserve">TBG Management, Inc </v>
      </c>
      <c r="G137" s="667"/>
      <c r="I137" s="667"/>
      <c r="J137" s="802"/>
    </row>
    <row r="138" spans="1:10" ht="3" customHeight="1">
      <c r="C138" s="773"/>
      <c r="G138" s="667"/>
      <c r="I138" s="667"/>
    </row>
    <row r="139" spans="1:10" ht="12" customHeight="1">
      <c r="A139" s="730" t="s">
        <v>3105</v>
      </c>
      <c r="C139" s="774" t="str">
        <f>C8</f>
        <v>Harper Woods Apartments II, LP</v>
      </c>
      <c r="G139" s="667"/>
      <c r="I139" s="772"/>
      <c r="J139" s="803"/>
    </row>
    <row r="140" spans="1:10" ht="3" customHeight="1">
      <c r="C140" s="774"/>
      <c r="G140" s="667"/>
      <c r="I140" s="772"/>
      <c r="J140" s="803"/>
    </row>
    <row r="141" spans="1:10" ht="12" customHeight="1">
      <c r="A141" s="730" t="s">
        <v>3106</v>
      </c>
      <c r="C141" s="774" t="str">
        <f>C18</f>
        <v>3825 Paces Walk SE, Suite 100</v>
      </c>
      <c r="G141" s="667"/>
      <c r="I141" s="772"/>
      <c r="J141" s="803"/>
    </row>
    <row r="142" spans="1:10">
      <c r="C142" s="774" t="str">
        <f>C19</f>
        <v>Atlanta, GA 30339</v>
      </c>
      <c r="G142" s="667"/>
      <c r="I142" s="772"/>
      <c r="J142" s="803"/>
    </row>
    <row r="143" spans="1:10" ht="3" customHeight="1">
      <c r="C143" s="804"/>
      <c r="G143" s="667"/>
      <c r="I143" s="772"/>
      <c r="J143" s="803"/>
    </row>
    <row r="144" spans="1:10" ht="12" customHeight="1">
      <c r="A144" s="730" t="s">
        <v>3107</v>
      </c>
      <c r="C144" s="774" t="str">
        <f>'Sensitivity Analysis'!H10</f>
        <v>Synovus Bank</v>
      </c>
      <c r="G144" s="667"/>
      <c r="I144" s="772"/>
      <c r="J144" s="802"/>
    </row>
    <row r="145" spans="1:10" ht="3" customHeight="1">
      <c r="C145" s="774"/>
      <c r="G145" s="667"/>
      <c r="I145" s="772"/>
      <c r="J145" s="803"/>
    </row>
    <row r="146" spans="1:10" ht="12" customHeight="1">
      <c r="A146" s="730" t="s">
        <v>3108</v>
      </c>
      <c r="C146" s="774" t="str">
        <f>'Sensitivity Analysis'!K10</f>
        <v>TBG Harper Woods II Investments, LLC</v>
      </c>
      <c r="G146" s="667"/>
      <c r="I146" s="772"/>
      <c r="J146" s="802"/>
    </row>
    <row r="147" spans="1:10" ht="3" customHeight="1">
      <c r="C147" s="804"/>
      <c r="G147" s="667"/>
      <c r="I147" s="772"/>
      <c r="J147" s="803"/>
    </row>
    <row r="148" spans="1:10" ht="12" customHeight="1">
      <c r="A148" s="730" t="s">
        <v>3109</v>
      </c>
      <c r="C148" s="805" t="s">
        <v>3063</v>
      </c>
      <c r="G148" s="667"/>
      <c r="I148" s="667"/>
    </row>
    <row r="149" spans="1:10" ht="3" customHeight="1">
      <c r="C149" s="805"/>
      <c r="G149" s="667"/>
      <c r="I149" s="667"/>
    </row>
    <row r="150" spans="1:10" ht="12" customHeight="1">
      <c r="A150" s="730" t="s">
        <v>3110</v>
      </c>
      <c r="C150" s="805" t="s">
        <v>3063</v>
      </c>
      <c r="G150" s="667"/>
      <c r="I150" s="667"/>
    </row>
    <row r="151" spans="1:10" ht="7.5" customHeight="1">
      <c r="G151" s="667"/>
      <c r="H151" s="667"/>
      <c r="I151" s="667"/>
    </row>
    <row r="152" spans="1:10" ht="12" customHeight="1">
      <c r="A152" s="771" t="s">
        <v>3111</v>
      </c>
      <c r="G152" s="667"/>
      <c r="H152" s="667"/>
      <c r="I152" s="667"/>
    </row>
    <row r="153" spans="1:10" ht="3" customHeight="1">
      <c r="D153" s="667"/>
      <c r="E153" s="667"/>
      <c r="G153" s="667"/>
    </row>
    <row r="154" spans="1:10" ht="12" customHeight="1">
      <c r="A154" s="730" t="s">
        <v>3112</v>
      </c>
      <c r="C154" s="667" t="s">
        <v>3392</v>
      </c>
      <c r="D154" s="667"/>
      <c r="G154" s="667"/>
      <c r="H154" s="667"/>
      <c r="I154" s="667"/>
    </row>
    <row r="155" spans="1:10" ht="3" customHeight="1">
      <c r="D155" s="667"/>
      <c r="E155" s="667"/>
      <c r="G155" s="667"/>
    </row>
    <row r="156" spans="1:10" ht="12" customHeight="1">
      <c r="A156" s="730" t="s">
        <v>3113</v>
      </c>
      <c r="D156" s="1241">
        <v>20</v>
      </c>
      <c r="E156" s="667" t="s">
        <v>2347</v>
      </c>
    </row>
    <row r="157" spans="1:10" ht="3" customHeight="1">
      <c r="D157" s="667"/>
      <c r="E157" s="667"/>
      <c r="G157" s="667"/>
    </row>
    <row r="158" spans="1:10" ht="12" customHeight="1">
      <c r="A158" s="730" t="s">
        <v>3114</v>
      </c>
      <c r="C158" s="1200" t="s">
        <v>1727</v>
      </c>
      <c r="D158" s="667" t="s">
        <v>3431</v>
      </c>
      <c r="G158" s="667"/>
    </row>
    <row r="159" spans="1:10" ht="3" customHeight="1">
      <c r="G159" s="667"/>
      <c r="H159" s="667"/>
      <c r="I159" s="667"/>
    </row>
    <row r="160" spans="1:10" ht="12" customHeight="1">
      <c r="A160" s="730" t="s">
        <v>3115</v>
      </c>
      <c r="G160" s="667"/>
      <c r="H160" s="667"/>
      <c r="I160" s="667"/>
    </row>
    <row r="161" spans="1:13" ht="7.5" customHeight="1">
      <c r="G161" s="667"/>
      <c r="H161" s="667"/>
      <c r="I161" s="667"/>
    </row>
    <row r="162" spans="1:13" ht="12" customHeight="1">
      <c r="A162" s="771" t="s">
        <v>3116</v>
      </c>
      <c r="G162" s="667"/>
      <c r="H162" s="667"/>
      <c r="I162" s="667"/>
    </row>
    <row r="163" spans="1:13" ht="12" customHeight="1">
      <c r="A163" s="730" t="s">
        <v>3218</v>
      </c>
      <c r="C163" s="730" t="s">
        <v>3219</v>
      </c>
      <c r="E163" s="793">
        <f>'Preview term'!F77</f>
        <v>0</v>
      </c>
      <c r="G163" s="667"/>
      <c r="I163" s="667"/>
    </row>
    <row r="164" spans="1:13" ht="12" customHeight="1">
      <c r="C164" s="730" t="s">
        <v>3393</v>
      </c>
      <c r="E164" s="3283"/>
      <c r="F164" s="3283"/>
      <c r="G164" s="3283"/>
      <c r="I164" s="667"/>
    </row>
    <row r="165" spans="1:13" ht="3" customHeight="1">
      <c r="E165" s="667"/>
      <c r="G165" s="667"/>
      <c r="I165" s="667"/>
    </row>
    <row r="166" spans="1:13" ht="12" customHeight="1">
      <c r="A166" s="730" t="s">
        <v>3117</v>
      </c>
      <c r="C166" s="730" t="s">
        <v>3118</v>
      </c>
      <c r="E166" s="806">
        <f>'Preview term'!F71</f>
        <v>210929</v>
      </c>
      <c r="G166" s="667"/>
      <c r="I166" s="667"/>
    </row>
    <row r="167" spans="1:13" ht="12" customHeight="1">
      <c r="C167" s="730" t="s">
        <v>3393</v>
      </c>
      <c r="E167" s="3283"/>
      <c r="F167" s="3283"/>
      <c r="G167" s="3283"/>
      <c r="I167" s="667"/>
    </row>
    <row r="168" spans="1:13" ht="12" customHeight="1">
      <c r="C168" s="730" t="s">
        <v>3119</v>
      </c>
      <c r="E168" s="773" t="s">
        <v>2728</v>
      </c>
      <c r="G168" s="667"/>
      <c r="I168" s="667"/>
    </row>
    <row r="169" spans="1:13" ht="3" customHeight="1">
      <c r="E169" s="773"/>
      <c r="G169" s="667"/>
      <c r="I169" s="667"/>
    </row>
    <row r="170" spans="1:13" ht="12" customHeight="1">
      <c r="A170" s="730" t="s">
        <v>3220</v>
      </c>
      <c r="C170" s="730" t="s">
        <v>3221</v>
      </c>
      <c r="E170" s="806">
        <f>'Preview term'!F73</f>
        <v>0</v>
      </c>
      <c r="G170" s="667"/>
      <c r="I170" s="667"/>
    </row>
    <row r="171" spans="1:13" ht="12" customHeight="1">
      <c r="C171" s="730" t="s">
        <v>3120</v>
      </c>
      <c r="E171" s="806">
        <f>'Preview term'!F73</f>
        <v>0</v>
      </c>
      <c r="G171" s="667"/>
      <c r="I171" s="772"/>
      <c r="J171" s="803"/>
      <c r="K171" s="803"/>
      <c r="L171" s="803"/>
      <c r="M171" s="803"/>
    </row>
    <row r="172" spans="1:13" ht="12" customHeight="1">
      <c r="C172" s="730" t="s">
        <v>3121</v>
      </c>
      <c r="E172" s="801">
        <f>'Part VI-Revenues &amp; Expenses'!Q233</f>
        <v>18000</v>
      </c>
      <c r="F172" s="772" t="s">
        <v>3122</v>
      </c>
      <c r="J172" s="803"/>
      <c r="K172" s="803"/>
      <c r="L172" s="803"/>
      <c r="M172" s="803"/>
    </row>
    <row r="173" spans="1:13">
      <c r="E173" s="806">
        <f>E172/12</f>
        <v>1500</v>
      </c>
      <c r="F173" s="667" t="s">
        <v>2974</v>
      </c>
    </row>
    <row r="174" spans="1:13" ht="12" customHeight="1">
      <c r="C174" s="730" t="s">
        <v>3394</v>
      </c>
      <c r="E174" s="3283"/>
      <c r="F174" s="3283"/>
      <c r="G174" s="3283"/>
      <c r="I174" s="667"/>
    </row>
    <row r="175" spans="1:13" ht="12" customHeight="1">
      <c r="C175" s="730" t="s">
        <v>3123</v>
      </c>
      <c r="E175" s="667" t="s">
        <v>2886</v>
      </c>
      <c r="I175" s="667"/>
    </row>
    <row r="176" spans="1:13" ht="12" customHeight="1">
      <c r="C176" s="730" t="s">
        <v>3124</v>
      </c>
      <c r="E176" s="667" t="s">
        <v>2728</v>
      </c>
      <c r="I176" s="667"/>
    </row>
    <row r="177" spans="1:10" ht="3" customHeight="1">
      <c r="E177" s="667"/>
      <c r="F177" s="667"/>
      <c r="I177" s="667"/>
    </row>
    <row r="178" spans="1:10" ht="12" customHeight="1">
      <c r="A178" s="730" t="s">
        <v>3216</v>
      </c>
      <c r="C178" s="730" t="s">
        <v>3217</v>
      </c>
      <c r="E178" s="793" t="s">
        <v>1727</v>
      </c>
      <c r="F178" s="807"/>
      <c r="I178" s="667"/>
    </row>
    <row r="179" spans="1:10" ht="12" customHeight="1">
      <c r="C179" s="730" t="s">
        <v>3125</v>
      </c>
      <c r="E179" s="793" t="s">
        <v>1727</v>
      </c>
      <c r="F179" s="3283"/>
      <c r="G179" s="3283"/>
      <c r="H179" s="3283"/>
      <c r="I179" s="3283"/>
      <c r="J179" s="3283"/>
    </row>
    <row r="180" spans="1:10" ht="12" customHeight="1">
      <c r="C180" s="730" t="s">
        <v>3395</v>
      </c>
      <c r="E180" s="667" t="s">
        <v>3063</v>
      </c>
      <c r="I180" s="667"/>
    </row>
    <row r="181" spans="1:10" ht="12" customHeight="1">
      <c r="C181" s="730" t="s">
        <v>3126</v>
      </c>
      <c r="E181" s="667" t="s">
        <v>2728</v>
      </c>
      <c r="I181" s="667"/>
    </row>
    <row r="182" spans="1:10" ht="3" customHeight="1">
      <c r="G182" s="667"/>
      <c r="H182" s="667"/>
      <c r="I182" s="667"/>
    </row>
    <row r="183" spans="1:10" ht="12" customHeight="1">
      <c r="A183" s="730" t="s">
        <v>3222</v>
      </c>
      <c r="C183" s="730" t="s">
        <v>3223</v>
      </c>
      <c r="E183" s="806">
        <f>'Preview term'!F75</f>
        <v>81000</v>
      </c>
      <c r="G183" s="667"/>
      <c r="I183" s="667"/>
    </row>
    <row r="184" spans="1:10" ht="12" customHeight="1">
      <c r="C184" s="730" t="s">
        <v>3393</v>
      </c>
      <c r="E184" s="773">
        <f>E167</f>
        <v>0</v>
      </c>
      <c r="G184" s="667"/>
      <c r="I184" s="667"/>
    </row>
    <row r="185" spans="1:10" ht="12" customHeight="1">
      <c r="C185" s="730" t="s">
        <v>3127</v>
      </c>
      <c r="E185" s="773" t="s">
        <v>3063</v>
      </c>
      <c r="G185" s="667"/>
      <c r="I185" s="667"/>
    </row>
    <row r="186" spans="1:10" ht="3" customHeight="1">
      <c r="E186" s="773"/>
      <c r="G186" s="667"/>
      <c r="I186" s="667"/>
    </row>
    <row r="187" spans="1:10" ht="12" customHeight="1">
      <c r="A187" s="730" t="s">
        <v>3224</v>
      </c>
      <c r="C187" s="730" t="s">
        <v>3225</v>
      </c>
      <c r="E187" s="773" t="s">
        <v>3063</v>
      </c>
      <c r="G187" s="667"/>
      <c r="I187" s="667"/>
    </row>
    <row r="188" spans="1:10" ht="12" customHeight="1">
      <c r="C188" s="730" t="s">
        <v>3118</v>
      </c>
      <c r="E188" s="785"/>
      <c r="G188" s="667"/>
      <c r="H188" s="792"/>
      <c r="I188" s="667"/>
    </row>
    <row r="189" spans="1:10" ht="12" customHeight="1">
      <c r="C189" s="730" t="s">
        <v>3393</v>
      </c>
      <c r="E189" s="785"/>
      <c r="I189" s="773"/>
    </row>
    <row r="190" spans="1:10" ht="12" customHeight="1">
      <c r="C190" s="730" t="s">
        <v>3119</v>
      </c>
      <c r="E190" s="785"/>
      <c r="G190" s="667"/>
      <c r="H190" s="667"/>
      <c r="I190" s="667"/>
    </row>
    <row r="191" spans="1:10" ht="9" customHeight="1">
      <c r="G191" s="667"/>
      <c r="H191" s="667"/>
      <c r="I191" s="667"/>
    </row>
    <row r="192" spans="1:10" ht="12" customHeight="1">
      <c r="A192" s="771" t="s">
        <v>3128</v>
      </c>
      <c r="C192" s="667" t="s">
        <v>3129</v>
      </c>
      <c r="E192" s="667"/>
      <c r="I192" s="667"/>
    </row>
    <row r="193" spans="1:10" ht="9" customHeight="1">
      <c r="E193" s="667"/>
      <c r="F193" s="667"/>
      <c r="I193" s="667"/>
    </row>
    <row r="194" spans="1:10" ht="12" customHeight="1">
      <c r="A194" s="771" t="s">
        <v>3130</v>
      </c>
      <c r="E194" s="667"/>
      <c r="F194" s="667"/>
      <c r="I194" s="667"/>
    </row>
    <row r="195" spans="1:10" ht="12" customHeight="1">
      <c r="A195" s="730" t="s">
        <v>3131</v>
      </c>
      <c r="C195" s="1196" t="s">
        <v>1727</v>
      </c>
      <c r="E195" s="667"/>
      <c r="F195" s="667"/>
      <c r="I195" s="667"/>
    </row>
    <row r="196" spans="1:10" ht="3" customHeight="1">
      <c r="G196" s="667"/>
      <c r="H196" s="667"/>
      <c r="I196" s="667"/>
    </row>
    <row r="197" spans="1:10">
      <c r="A197" s="779" t="s">
        <v>3397</v>
      </c>
      <c r="B197" s="779"/>
      <c r="C197" s="779"/>
      <c r="D197" s="779"/>
      <c r="E197" s="784" t="s">
        <v>3396</v>
      </c>
      <c r="F197" s="3284">
        <f>'Part VIII-Threshold Criteria'!E391</f>
        <v>0</v>
      </c>
      <c r="G197" s="3284"/>
      <c r="H197" s="3284"/>
      <c r="I197" s="3284"/>
      <c r="J197" s="3284"/>
    </row>
    <row r="198" spans="1:10" ht="9" customHeight="1">
      <c r="G198" s="667"/>
      <c r="H198" s="667"/>
      <c r="I198" s="667"/>
    </row>
    <row r="199" spans="1:10" ht="12" customHeight="1">
      <c r="A199" s="808" t="s">
        <v>3215</v>
      </c>
      <c r="G199" s="667"/>
      <c r="H199" s="667"/>
      <c r="I199" s="792"/>
    </row>
    <row r="200" spans="1:10" ht="25.5" hidden="1" customHeight="1">
      <c r="A200" s="3286" t="str">
        <f>'Subsidy Layering Memo'!A98</f>
        <v>Include any reserve requirements; explain any reserves far in excess of 6 month ODR, 3 mo lease up, 1 year RR, 6 mo T&amp;I standards.</v>
      </c>
      <c r="B200" s="3286"/>
      <c r="C200" s="3286"/>
      <c r="D200" s="3286"/>
      <c r="E200" s="3286"/>
      <c r="F200" s="3286"/>
      <c r="G200" s="3286"/>
      <c r="H200" s="3286"/>
      <c r="I200" s="3286"/>
      <c r="J200" s="3286"/>
    </row>
    <row r="201" spans="1:10">
      <c r="A201" s="667"/>
      <c r="G201" s="667"/>
      <c r="H201" s="667"/>
      <c r="I201" s="667"/>
    </row>
    <row r="202" spans="1:10">
      <c r="A202" s="771" t="s">
        <v>3132</v>
      </c>
      <c r="G202" s="667"/>
      <c r="H202" s="667"/>
      <c r="I202" s="667"/>
    </row>
    <row r="203" spans="1:10" ht="3" customHeight="1">
      <c r="G203" s="667"/>
      <c r="H203" s="667"/>
      <c r="I203" s="667"/>
    </row>
    <row r="204" spans="1:10" ht="76.5" customHeight="1">
      <c r="A204" s="3276" t="s">
        <v>2840</v>
      </c>
      <c r="B204" s="3276"/>
      <c r="C204" s="3276"/>
      <c r="D204" s="3276"/>
      <c r="E204" s="3276"/>
      <c r="F204" s="3276"/>
      <c r="G204" s="3276"/>
      <c r="H204" s="3276"/>
      <c r="I204" s="3276"/>
      <c r="J204" s="3276"/>
    </row>
    <row r="205" spans="1:10">
      <c r="A205" s="667" t="s">
        <v>2841</v>
      </c>
      <c r="G205" s="667"/>
      <c r="H205" s="667"/>
      <c r="I205" s="667"/>
    </row>
    <row r="206" spans="1:10" ht="38.25" customHeight="1">
      <c r="A206" s="3276" t="str">
        <f>'Subsidy Layering Memo'!A37&amp;".  "&amp;'Subsidy Layering Memo'!A38</f>
        <v xml:space="preserve">.  </v>
      </c>
      <c r="B206" s="3277"/>
      <c r="C206" s="3277"/>
      <c r="D206" s="3277"/>
      <c r="E206" s="3277"/>
      <c r="F206" s="3277"/>
      <c r="G206" s="3277"/>
      <c r="H206" s="3277"/>
      <c r="I206" s="3277"/>
      <c r="J206" s="3277"/>
    </row>
    <row r="207" spans="1:10">
      <c r="A207" s="773"/>
    </row>
    <row r="208" spans="1:10">
      <c r="A208" s="773"/>
    </row>
    <row r="209" spans="1:4">
      <c r="A209" s="667"/>
    </row>
    <row r="213" spans="1:4">
      <c r="D213" s="730" t="s">
        <v>238</v>
      </c>
    </row>
  </sheetData>
  <sheetProtection algorithmName="SHA-512" hashValue="7ffmzYoCrs6VQzJsbYfW3dbyTGwhjuJxN2FtoLbvajSiK+cfdq85O71pL+sgCenLmIwParWmkpp8Dp1W/D6g9g==" saltValue="hH60eOG0x9OERxaaS1pk7A==" spinCount="100000" sheet="1" objects="1" scenarios="1"/>
  <mergeCells count="27">
    <mergeCell ref="A1:J1"/>
    <mergeCell ref="A2:J2"/>
    <mergeCell ref="C39:J39"/>
    <mergeCell ref="C41:J41"/>
    <mergeCell ref="C49:J49"/>
    <mergeCell ref="K3:M8"/>
    <mergeCell ref="D13:J13"/>
    <mergeCell ref="D68:J68"/>
    <mergeCell ref="A200:J200"/>
    <mergeCell ref="A204:J204"/>
    <mergeCell ref="E174:G174"/>
    <mergeCell ref="F95:H95"/>
    <mergeCell ref="C50:J50"/>
    <mergeCell ref="E52:J52"/>
    <mergeCell ref="E53:J53"/>
    <mergeCell ref="F93:H93"/>
    <mergeCell ref="F94:H94"/>
    <mergeCell ref="A206:J206"/>
    <mergeCell ref="F97:H97"/>
    <mergeCell ref="F98:H98"/>
    <mergeCell ref="F99:H99"/>
    <mergeCell ref="D106:J106"/>
    <mergeCell ref="F179:J179"/>
    <mergeCell ref="F197:J197"/>
    <mergeCell ref="E119:J121"/>
    <mergeCell ref="E164:G164"/>
    <mergeCell ref="E167:G167"/>
  </mergeCells>
  <dataValidations count="13">
    <dataValidation type="list" allowBlank="1" showInputMessage="1" showErrorMessage="1" sqref="C195" xr:uid="{00000000-0002-0000-1500-000000000000}">
      <formula1>"&lt;&lt;Select&gt;&gt;, Yes (Federal and State), No"</formula1>
    </dataValidation>
    <dataValidation type="list" allowBlank="1" showInputMessage="1" showErrorMessage="1" sqref="E179" xr:uid="{00000000-0002-0000-1500-000001000000}">
      <formula1>"&lt;&lt;Select&gt;&gt;, Yes, Other-specify:"</formula1>
    </dataValidation>
    <dataValidation type="list" allowBlank="1" showInputMessage="1" showErrorMessage="1" sqref="C158" xr:uid="{00000000-0002-0000-1500-000002000000}">
      <formula1>"&lt;&lt;Select&gt;&gt;, Fixed, Floating"</formula1>
    </dataValidation>
    <dataValidation type="list" allowBlank="1" showInputMessage="1" showErrorMessage="1" sqref="C110 C118 D12 E178 C37 D67" xr:uid="{00000000-0002-0000-1500-000003000000}">
      <formula1>"&lt;&lt;Select&gt;&gt;, Yes, No"</formula1>
    </dataValidation>
    <dataValidation type="list" allowBlank="1" showInputMessage="1" showErrorMessage="1" sqref="C108" xr:uid="{00000000-0002-0000-1500-000004000000}">
      <formula1>"&lt;&lt;Select&gt;&gt;, Bonded, Letter of Credit, Other - construction loan in lieu of L/C"</formula1>
    </dataValidation>
    <dataValidation type="list" allowBlank="1" showInputMessage="1" showErrorMessage="1" sqref="C106" xr:uid="{00000000-0002-0000-1500-000005000000}">
      <formula1>"&lt;&lt;Select&gt;&gt;, New Construction, Rehabilitation, Both (explain):"</formula1>
    </dataValidation>
    <dataValidation type="list" allowBlank="1" showInputMessage="1" showErrorMessage="1" sqref="C87" xr:uid="{00000000-0002-0000-1500-000006000000}">
      <formula1>"&lt;&lt;Select&gt;&gt;, Hard costs only, Hard costs plus acquisition cost, Hard costs plus HOME eligible soft"</formula1>
    </dataValidation>
    <dataValidation type="list" allowBlank="1" showInputMessage="1" showErrorMessage="1" sqref="C72 C86" xr:uid="{00000000-0002-0000-1500-000007000000}">
      <formula1>"&lt;&lt;Select&gt;&gt;, Construction only, Construction and Permanent"</formula1>
    </dataValidation>
    <dataValidation type="list" allowBlank="1" showInputMessage="1" showErrorMessage="1" sqref="D70" xr:uid="{00000000-0002-0000-1500-000008000000}">
      <formula1>"&lt;&lt;Select&gt;&gt;, Fully amortizing, Balloon"</formula1>
    </dataValidation>
    <dataValidation type="list" allowBlank="1" showInputMessage="1" showErrorMessage="1" sqref="C66" xr:uid="{00000000-0002-0000-1500-000009000000}">
      <formula1>"&lt;&lt;Select&gt;&gt;, Construction/Permanent, Construction only, Permanent only"</formula1>
    </dataValidation>
    <dataValidation type="list" allowBlank="1" showInputMessage="1" showErrorMessage="1" sqref="C11" xr:uid="{00000000-0002-0000-1500-00000A000000}">
      <formula1>"&lt;&lt;Select&gt;&gt;, Limited Partnership,Limited Liability Company"</formula1>
    </dataValidation>
    <dataValidation type="list" allowBlank="1" showInputMessage="1" showErrorMessage="1" sqref="C10" xr:uid="{00000000-0002-0000-1500-00000B000000}">
      <formula1>"&lt;&lt;Select&gt;&gt;, Profit Corporation, Non-profit Corporation, Profit/Non-profit Joint Venture"</formula1>
    </dataValidation>
    <dataValidation type="list" allowBlank="1" showInputMessage="1" showErrorMessage="1" sqref="C45" xr:uid="{00000000-0002-0000-1500-00000C000000}">
      <formula1>"&lt;&lt;Select&gt;&gt;, No - Family, Yes - Age 62 election (Elderly) , Yes - Age 55 election (HFOP), No - Other"</formula1>
    </dataValidation>
  </dataValidations>
  <printOptions horizontalCentered="1"/>
  <pageMargins left="0.5" right="0.5" top="0.5" bottom="0.5" header="0.3" footer="0.3"/>
  <pageSetup scale="65" fitToHeight="0" orientation="portrait" r:id="rId1"/>
  <headerFooter>
    <oddFooter>&amp;C&amp;9Page &amp;P of &amp;N</oddFooter>
  </headerFooter>
  <legacyDrawing r:id="rId2"/>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15">
    <pageSetUpPr fitToPage="1"/>
  </sheetPr>
  <dimension ref="A1:N79"/>
  <sheetViews>
    <sheetView showGridLines="0" workbookViewId="0">
      <selection activeCell="K8" sqref="K8"/>
    </sheetView>
  </sheetViews>
  <sheetFormatPr defaultColWidth="9.109375" defaultRowHeight="13.8"/>
  <cols>
    <col min="1" max="1" width="5.44140625" style="1628" customWidth="1"/>
    <col min="2" max="2" width="6.33203125" style="1628" customWidth="1"/>
    <col min="3" max="3" width="9.88671875" style="1628" customWidth="1"/>
    <col min="4" max="4" width="10.44140625" style="1628" customWidth="1"/>
    <col min="5" max="5" width="7.6640625" style="1632" customWidth="1"/>
    <col min="6" max="6" width="8" style="1628" customWidth="1"/>
    <col min="7" max="7" width="8.6640625" style="1628" customWidth="1"/>
    <col min="8" max="8" width="10.33203125" style="1628" customWidth="1"/>
    <col min="9" max="9" width="10.6640625" style="1628" customWidth="1"/>
    <col min="10" max="10" width="11.6640625" style="1628" customWidth="1"/>
    <col min="11" max="11" width="11.88671875" style="1628" customWidth="1"/>
    <col min="12" max="16384" width="9.109375" style="1628"/>
  </cols>
  <sheetData>
    <row r="1" spans="1:11" ht="18">
      <c r="A1" s="1687" t="s">
        <v>4639</v>
      </c>
      <c r="B1" s="1687"/>
      <c r="C1" s="1687"/>
      <c r="D1" s="1687"/>
      <c r="E1" s="1687"/>
      <c r="F1" s="1687"/>
      <c r="G1" s="1687"/>
      <c r="H1" s="1687"/>
    </row>
    <row r="2" spans="1:11" ht="18.600000000000001" thickBot="1">
      <c r="A2" s="1687" t="s">
        <v>4640</v>
      </c>
      <c r="B2" s="1687"/>
      <c r="C2" s="1687"/>
      <c r="D2" s="1687"/>
      <c r="E2" s="1687"/>
      <c r="F2" s="1687"/>
      <c r="G2" s="1687"/>
      <c r="H2" s="1687"/>
    </row>
    <row r="3" spans="1:11" ht="15" customHeight="1" thickBot="1">
      <c r="A3" s="1629" t="s">
        <v>4641</v>
      </c>
      <c r="B3" s="1630"/>
      <c r="C3" s="1631"/>
      <c r="D3" s="3296" t="str">
        <f>'Part I-Project Information'!F34</f>
        <v>Harper Woods II</v>
      </c>
      <c r="E3" s="3297"/>
      <c r="F3" s="3297"/>
      <c r="G3" s="3297"/>
      <c r="H3" s="3297"/>
      <c r="I3" s="3297"/>
      <c r="J3" s="3302" t="s">
        <v>4644</v>
      </c>
      <c r="K3" s="3303"/>
    </row>
    <row r="4" spans="1:11" ht="15" customHeight="1">
      <c r="A4" s="1633" t="s">
        <v>4642</v>
      </c>
      <c r="B4" s="1634"/>
      <c r="C4" s="1635"/>
      <c r="D4" s="3298" t="str">
        <f>CONCATENATE('Part I-Project Information'!F35,", ",'Part I-Project Information'!F38,", GA ",'Part I-Project Information'!J38," (",'Part I-Project Information'!J39," Co.)",)</f>
        <v>6000 Warm Springs Road , Columbus, GA 319094312 (Muscogee Co.)</v>
      </c>
      <c r="E4" s="3299"/>
      <c r="F4" s="3299"/>
      <c r="G4" s="3299"/>
      <c r="H4" s="3299"/>
      <c r="I4" s="3299"/>
      <c r="J4" s="3304" t="s">
        <v>4683</v>
      </c>
      <c r="K4" s="3305"/>
    </row>
    <row r="5" spans="1:11" ht="15" customHeight="1" thickBot="1">
      <c r="A5" s="1636" t="s">
        <v>4643</v>
      </c>
      <c r="B5" s="1637"/>
      <c r="C5" s="1638"/>
      <c r="D5" s="3300"/>
      <c r="E5" s="3301"/>
      <c r="F5" s="3301"/>
      <c r="G5" s="3301"/>
      <c r="H5" s="3301"/>
      <c r="I5" s="3301"/>
      <c r="J5" s="3306"/>
      <c r="K5" s="3307"/>
    </row>
    <row r="6" spans="1:11" ht="9" customHeight="1" thickBot="1">
      <c r="E6" s="1628"/>
    </row>
    <row r="7" spans="1:11">
      <c r="A7" s="3293" t="s">
        <v>4645</v>
      </c>
      <c r="B7" s="3294"/>
      <c r="C7" s="3294"/>
      <c r="D7" s="3294"/>
      <c r="E7" s="3294"/>
      <c r="F7" s="3294"/>
      <c r="G7" s="3294"/>
      <c r="H7" s="3294"/>
      <c r="I7" s="3294"/>
      <c r="J7" s="3294"/>
      <c r="K7" s="3295"/>
    </row>
    <row r="8" spans="1:11" ht="14.25" customHeight="1">
      <c r="A8" s="1654"/>
      <c r="B8" s="1654"/>
      <c r="C8" s="1676">
        <v>1</v>
      </c>
      <c r="D8" s="1655" t="s">
        <v>4646</v>
      </c>
      <c r="E8" s="1655"/>
      <c r="F8" s="1655"/>
      <c r="G8" s="1655"/>
      <c r="H8" s="1655"/>
      <c r="I8" s="1655"/>
      <c r="J8" s="1655"/>
      <c r="K8" s="1656"/>
    </row>
    <row r="9" spans="1:11" ht="7.2" customHeight="1">
      <c r="A9" s="3310"/>
      <c r="B9" s="3310"/>
      <c r="C9" s="3310"/>
      <c r="D9" s="3311"/>
      <c r="E9" s="3311"/>
      <c r="F9" s="3311"/>
      <c r="G9" s="3311"/>
      <c r="H9" s="3311"/>
      <c r="I9" s="3311"/>
      <c r="J9" s="3311"/>
      <c r="K9" s="1657"/>
    </row>
    <row r="10" spans="1:11">
      <c r="A10" s="3315" t="s">
        <v>4647</v>
      </c>
      <c r="B10" s="3316"/>
      <c r="C10" s="3316"/>
      <c r="D10" s="3316"/>
      <c r="E10" s="3316"/>
      <c r="F10" s="3316"/>
      <c r="G10" s="3316"/>
      <c r="H10" s="3316"/>
      <c r="I10" s="3316"/>
      <c r="J10" s="3316"/>
      <c r="K10" s="3317"/>
    </row>
    <row r="11" spans="1:11" ht="14.25" customHeight="1">
      <c r="A11" s="1654"/>
      <c r="B11" s="1654"/>
      <c r="C11" s="1676">
        <v>2</v>
      </c>
      <c r="D11" s="1655" t="s">
        <v>4648</v>
      </c>
      <c r="E11" s="1658"/>
      <c r="F11" s="1658"/>
      <c r="G11" s="1658"/>
      <c r="H11" s="1658"/>
      <c r="I11" s="1658"/>
      <c r="J11" s="1658"/>
      <c r="K11" s="1659"/>
    </row>
    <row r="12" spans="1:11" ht="7.2" customHeight="1">
      <c r="A12" s="3310"/>
      <c r="B12" s="3310"/>
      <c r="C12" s="3310"/>
      <c r="D12" s="3311"/>
      <c r="E12" s="3311"/>
      <c r="F12" s="3311"/>
      <c r="G12" s="3311"/>
      <c r="H12" s="3311"/>
      <c r="I12" s="3311"/>
      <c r="J12" s="3311"/>
      <c r="K12" s="1660"/>
    </row>
    <row r="13" spans="1:11">
      <c r="A13" s="3315" t="s">
        <v>4649</v>
      </c>
      <c r="B13" s="3316"/>
      <c r="C13" s="3316"/>
      <c r="D13" s="3316"/>
      <c r="E13" s="3316"/>
      <c r="F13" s="3316"/>
      <c r="G13" s="3316"/>
      <c r="H13" s="3316"/>
      <c r="I13" s="3316"/>
      <c r="J13" s="3316"/>
      <c r="K13" s="3317"/>
    </row>
    <row r="14" spans="1:11" ht="14.25" customHeight="1">
      <c r="A14" s="1634"/>
      <c r="B14" s="1634"/>
      <c r="C14" s="1677">
        <v>3</v>
      </c>
      <c r="D14" s="1661" t="s">
        <v>4650</v>
      </c>
      <c r="E14" s="1661"/>
      <c r="F14" s="1661"/>
      <c r="G14" s="1661"/>
      <c r="H14" s="1661"/>
      <c r="I14" s="1661"/>
      <c r="J14" s="1631"/>
      <c r="K14" s="1662"/>
    </row>
    <row r="15" spans="1:11" ht="14.25" customHeight="1">
      <c r="A15" s="1634"/>
      <c r="B15" s="1634"/>
      <c r="C15" s="1678">
        <v>4</v>
      </c>
      <c r="D15" s="1634" t="s">
        <v>4651</v>
      </c>
      <c r="E15" s="1634"/>
      <c r="F15" s="1634"/>
      <c r="G15" s="1634"/>
      <c r="H15" s="1634"/>
      <c r="I15" s="1634"/>
      <c r="J15" s="1635"/>
      <c r="K15" s="1663"/>
    </row>
    <row r="16" spans="1:11" ht="14.25" customHeight="1">
      <c r="A16" s="1634"/>
      <c r="B16" s="1634"/>
      <c r="C16" s="1678">
        <v>5</v>
      </c>
      <c r="D16" s="1634" t="s">
        <v>4652</v>
      </c>
      <c r="E16" s="1634"/>
      <c r="F16" s="1634"/>
      <c r="G16" s="1634"/>
      <c r="H16" s="1634"/>
      <c r="I16" s="1634"/>
      <c r="J16" s="1635"/>
      <c r="K16" s="1663"/>
    </row>
    <row r="17" spans="1:13" ht="14.25" customHeight="1">
      <c r="A17" s="1654"/>
      <c r="B17" s="1654"/>
      <c r="C17" s="1679">
        <v>6</v>
      </c>
      <c r="D17" s="1637" t="s">
        <v>4653</v>
      </c>
      <c r="E17" s="1637"/>
      <c r="F17" s="1637"/>
      <c r="G17" s="1637"/>
      <c r="H17" s="1637"/>
      <c r="I17" s="1637"/>
      <c r="J17" s="1638"/>
      <c r="K17" s="1664"/>
    </row>
    <row r="18" spans="1:13" ht="7.2" customHeight="1">
      <c r="A18" s="3310"/>
      <c r="B18" s="3310"/>
      <c r="C18" s="3310"/>
      <c r="D18" s="3311"/>
      <c r="E18" s="3311"/>
      <c r="F18" s="3311"/>
      <c r="G18" s="3311"/>
      <c r="H18" s="3311"/>
      <c r="I18" s="3311"/>
      <c r="J18" s="3311"/>
      <c r="K18" s="1660"/>
    </row>
    <row r="19" spans="1:13" ht="14.25" customHeight="1">
      <c r="A19" s="1634"/>
      <c r="B19" s="1634"/>
      <c r="C19" s="1677">
        <v>7</v>
      </c>
      <c r="D19" s="1661" t="s">
        <v>4654</v>
      </c>
      <c r="E19" s="1661"/>
      <c r="F19" s="1661"/>
      <c r="G19" s="1661"/>
      <c r="H19" s="1661"/>
      <c r="I19" s="1661"/>
      <c r="J19" s="1631"/>
      <c r="K19" s="1665" t="str">
        <f>IF(K17="No",K14-K15,IF(K17="Yes",K14-K15-K16,"Error"))</f>
        <v>Error</v>
      </c>
    </row>
    <row r="20" spans="1:13" ht="14.25" customHeight="1">
      <c r="A20" s="1654"/>
      <c r="B20" s="1654"/>
      <c r="C20" s="1679">
        <v>8</v>
      </c>
      <c r="D20" s="1637" t="s">
        <v>4655</v>
      </c>
      <c r="E20" s="1637"/>
      <c r="F20" s="1637"/>
      <c r="G20" s="1637"/>
      <c r="H20" s="1637"/>
      <c r="I20" s="1637"/>
      <c r="J20" s="1638"/>
      <c r="K20" s="1666" t="e">
        <f>ROUNDDOWN(K19/K8,2)</f>
        <v>#VALUE!</v>
      </c>
    </row>
    <row r="21" spans="1:13" ht="7.2" customHeight="1">
      <c r="A21" s="3310"/>
      <c r="B21" s="3310"/>
      <c r="C21" s="3310"/>
      <c r="D21" s="3311"/>
      <c r="E21" s="3311"/>
      <c r="F21" s="3311"/>
      <c r="G21" s="3311"/>
      <c r="H21" s="3311"/>
      <c r="I21" s="3311"/>
      <c r="J21" s="3311"/>
      <c r="K21" s="1660"/>
    </row>
    <row r="22" spans="1:13" ht="14.25" customHeight="1" thickBot="1">
      <c r="A22" s="1634"/>
      <c r="B22" s="1634"/>
      <c r="C22" s="1676">
        <v>9</v>
      </c>
      <c r="D22" s="1667" t="s">
        <v>4656</v>
      </c>
      <c r="E22" s="1667"/>
      <c r="F22" s="1667"/>
      <c r="G22" s="1667"/>
      <c r="H22" s="1667"/>
      <c r="I22" s="1667"/>
      <c r="J22" s="1667"/>
      <c r="K22" s="1668" t="e">
        <f>K11/K19</f>
        <v>#VALUE!</v>
      </c>
    </row>
    <row r="23" spans="1:13" ht="9" customHeight="1">
      <c r="A23" s="1643"/>
      <c r="C23" s="1644"/>
      <c r="D23" s="1644"/>
      <c r="E23" s="1644"/>
      <c r="F23" s="1644"/>
      <c r="G23" s="1644"/>
      <c r="H23" s="1644"/>
      <c r="I23" s="1644"/>
      <c r="J23" s="1644"/>
      <c r="K23" s="1645"/>
    </row>
    <row r="24" spans="1:13" ht="18">
      <c r="A24" s="1646" t="s">
        <v>4657</v>
      </c>
      <c r="C24" s="1644"/>
      <c r="D24" s="1644"/>
      <c r="E24" s="1644"/>
      <c r="F24" s="1644"/>
      <c r="G24" s="1644"/>
      <c r="H24" s="1644"/>
      <c r="I24" s="1644"/>
      <c r="J24" s="1644"/>
      <c r="K24" s="1645"/>
    </row>
    <row r="25" spans="1:13" ht="14.25" customHeight="1">
      <c r="A25" s="1713" t="s">
        <v>4690</v>
      </c>
      <c r="C25" s="1644"/>
      <c r="D25" s="1644"/>
      <c r="E25" s="1644"/>
      <c r="F25" s="1644"/>
      <c r="G25" s="1644"/>
      <c r="H25" s="1644"/>
      <c r="I25" s="1644"/>
      <c r="J25" s="1644"/>
      <c r="K25" s="1645"/>
    </row>
    <row r="26" spans="1:13" ht="14.25" customHeight="1">
      <c r="A26" s="1713" t="s">
        <v>4691</v>
      </c>
      <c r="C26" s="1644"/>
      <c r="D26" s="1644"/>
      <c r="E26" s="1644"/>
      <c r="F26" s="1644"/>
      <c r="G26" s="1644"/>
      <c r="H26" s="1644"/>
      <c r="I26" s="1644"/>
      <c r="J26" s="1644"/>
      <c r="K26" s="1645"/>
    </row>
    <row r="27" spans="1:13" ht="14.25" customHeight="1">
      <c r="A27" s="1713" t="s">
        <v>4692</v>
      </c>
      <c r="C27" s="1644"/>
      <c r="D27" s="1644"/>
      <c r="E27" s="1644"/>
      <c r="F27" s="1644"/>
      <c r="G27" s="1644"/>
      <c r="H27" s="1644"/>
      <c r="I27" s="1644"/>
      <c r="J27" s="1644"/>
      <c r="K27" s="1645"/>
    </row>
    <row r="28" spans="1:13" ht="14.25" customHeight="1">
      <c r="A28" s="1713" t="s">
        <v>4693</v>
      </c>
      <c r="C28" s="1644"/>
      <c r="D28" s="1644"/>
      <c r="E28" s="1644"/>
      <c r="F28" s="1644"/>
      <c r="G28" s="1644"/>
      <c r="H28" s="1644"/>
      <c r="I28" s="1644"/>
      <c r="J28" s="1644"/>
      <c r="K28" s="1645"/>
    </row>
    <row r="29" spans="1:13" ht="9" customHeight="1">
      <c r="A29" s="1644"/>
      <c r="C29" s="1644"/>
      <c r="D29" s="1644"/>
      <c r="E29" s="1644"/>
      <c r="F29" s="1644"/>
      <c r="G29" s="1644"/>
      <c r="H29" s="1644"/>
      <c r="I29" s="1644"/>
      <c r="J29" s="1644"/>
      <c r="K29" s="1645"/>
    </row>
    <row r="30" spans="1:13">
      <c r="A30" s="3343" t="s">
        <v>4689</v>
      </c>
      <c r="B30" s="3344"/>
      <c r="C30" s="3344"/>
      <c r="D30" s="3344"/>
      <c r="E30" s="3344"/>
      <c r="F30" s="3344"/>
      <c r="G30" s="3344"/>
      <c r="H30" s="3344"/>
      <c r="I30" s="3344"/>
      <c r="J30" s="3344"/>
      <c r="K30" s="3345"/>
    </row>
    <row r="31" spans="1:13">
      <c r="A31" s="1652"/>
      <c r="B31" s="3346" t="s">
        <v>4644</v>
      </c>
      <c r="C31" s="3346"/>
      <c r="D31" s="3346"/>
      <c r="E31" s="3346"/>
      <c r="F31" s="3346"/>
      <c r="G31" s="3312" t="s">
        <v>4658</v>
      </c>
      <c r="H31" s="3313"/>
      <c r="I31" s="3313"/>
      <c r="J31" s="3313"/>
      <c r="K31" s="3314"/>
    </row>
    <row r="32" spans="1:13" ht="56.25" customHeight="1">
      <c r="A32" s="1653"/>
      <c r="B32" s="1680" t="s">
        <v>4686</v>
      </c>
      <c r="C32" s="1681" t="s">
        <v>4682</v>
      </c>
      <c r="D32" s="1681" t="s">
        <v>4681</v>
      </c>
      <c r="E32" s="1681" t="s">
        <v>4687</v>
      </c>
      <c r="F32" s="1682" t="s">
        <v>4688</v>
      </c>
      <c r="G32" s="1683" t="s">
        <v>4659</v>
      </c>
      <c r="H32" s="1683" t="s">
        <v>4660</v>
      </c>
      <c r="J32" s="1683" t="s">
        <v>4661</v>
      </c>
      <c r="K32" s="1683" t="s">
        <v>4662</v>
      </c>
      <c r="L32" s="3341" t="s">
        <v>4663</v>
      </c>
      <c r="M32" s="3341"/>
    </row>
    <row r="33" spans="2:14" ht="12.75" customHeight="1">
      <c r="B33" s="2042"/>
      <c r="C33" s="2043"/>
      <c r="D33" s="2044"/>
      <c r="E33" s="2045"/>
      <c r="F33" s="2046"/>
      <c r="G33" s="1703" t="e">
        <f t="shared" ref="G33:G51" si="0">$K$22*B33</f>
        <v>#VALUE!</v>
      </c>
      <c r="H33" s="1704" t="e">
        <f>ROUNDUP(G33,0)</f>
        <v>#VALUE!</v>
      </c>
      <c r="I33" s="1705"/>
      <c r="J33" s="1706" t="e">
        <f t="shared" ref="J33:J51" si="1">$K$20*F33</f>
        <v>#VALUE!</v>
      </c>
      <c r="K33" s="1706" t="e">
        <f t="shared" ref="K33:K51" si="2">ROUNDDOWN(J33*H33,0)</f>
        <v>#VALUE!</v>
      </c>
      <c r="L33" s="3341"/>
      <c r="M33" s="3341"/>
    </row>
    <row r="34" spans="2:14" ht="12.75" customHeight="1">
      <c r="B34" s="2047"/>
      <c r="C34" s="2048"/>
      <c r="D34" s="2049"/>
      <c r="E34" s="2050"/>
      <c r="F34" s="2051"/>
      <c r="G34" s="1707" t="e">
        <f t="shared" si="0"/>
        <v>#VALUE!</v>
      </c>
      <c r="H34" s="1708" t="e">
        <f t="shared" ref="H34:H51" si="3">ROUNDUP(G34,0)</f>
        <v>#VALUE!</v>
      </c>
      <c r="I34" s="1705"/>
      <c r="J34" s="1709" t="e">
        <f t="shared" si="1"/>
        <v>#VALUE!</v>
      </c>
      <c r="K34" s="1709" t="e">
        <f t="shared" si="2"/>
        <v>#VALUE!</v>
      </c>
      <c r="L34" s="3341"/>
      <c r="M34" s="3341"/>
    </row>
    <row r="35" spans="2:14" ht="12.75" customHeight="1">
      <c r="B35" s="2047"/>
      <c r="C35" s="2048"/>
      <c r="D35" s="2049"/>
      <c r="E35" s="2050"/>
      <c r="F35" s="2051"/>
      <c r="G35" s="1707" t="e">
        <f t="shared" si="0"/>
        <v>#VALUE!</v>
      </c>
      <c r="H35" s="1708" t="e">
        <f t="shared" si="3"/>
        <v>#VALUE!</v>
      </c>
      <c r="I35" s="1705"/>
      <c r="J35" s="1709" t="e">
        <f t="shared" si="1"/>
        <v>#VALUE!</v>
      </c>
      <c r="K35" s="1709" t="e">
        <f t="shared" si="2"/>
        <v>#VALUE!</v>
      </c>
      <c r="L35" s="3341"/>
      <c r="M35" s="3341"/>
    </row>
    <row r="36" spans="2:14" ht="12.75" customHeight="1">
      <c r="B36" s="2047"/>
      <c r="C36" s="2048"/>
      <c r="D36" s="2049"/>
      <c r="E36" s="2050"/>
      <c r="F36" s="2051"/>
      <c r="G36" s="1707" t="e">
        <f t="shared" si="0"/>
        <v>#VALUE!</v>
      </c>
      <c r="H36" s="1708" t="e">
        <f t="shared" si="3"/>
        <v>#VALUE!</v>
      </c>
      <c r="I36" s="1705"/>
      <c r="J36" s="1709" t="e">
        <f t="shared" si="1"/>
        <v>#VALUE!</v>
      </c>
      <c r="K36" s="1709" t="e">
        <f t="shared" si="2"/>
        <v>#VALUE!</v>
      </c>
      <c r="L36" s="3341"/>
      <c r="M36" s="3341"/>
      <c r="N36" s="1647"/>
    </row>
    <row r="37" spans="2:14" ht="12.75" customHeight="1">
      <c r="B37" s="2047"/>
      <c r="C37" s="2048"/>
      <c r="D37" s="2049"/>
      <c r="E37" s="2050"/>
      <c r="F37" s="2051"/>
      <c r="G37" s="1707" t="e">
        <f t="shared" si="0"/>
        <v>#VALUE!</v>
      </c>
      <c r="H37" s="1708" t="e">
        <f t="shared" si="3"/>
        <v>#VALUE!</v>
      </c>
      <c r="I37" s="1705"/>
      <c r="J37" s="1709" t="e">
        <f t="shared" si="1"/>
        <v>#VALUE!</v>
      </c>
      <c r="K37" s="1709" t="e">
        <f t="shared" si="2"/>
        <v>#VALUE!</v>
      </c>
      <c r="L37" s="3341"/>
      <c r="M37" s="3341"/>
    </row>
    <row r="38" spans="2:14" ht="12.75" customHeight="1">
      <c r="B38" s="2047"/>
      <c r="C38" s="2048"/>
      <c r="D38" s="2049"/>
      <c r="E38" s="2050"/>
      <c r="F38" s="2051"/>
      <c r="G38" s="1707" t="e">
        <f t="shared" si="0"/>
        <v>#VALUE!</v>
      </c>
      <c r="H38" s="1708" t="e">
        <f t="shared" si="3"/>
        <v>#VALUE!</v>
      </c>
      <c r="I38" s="1705"/>
      <c r="J38" s="1709" t="e">
        <f t="shared" si="1"/>
        <v>#VALUE!</v>
      </c>
      <c r="K38" s="1709" t="e">
        <f t="shared" si="2"/>
        <v>#VALUE!</v>
      </c>
      <c r="L38" s="3341"/>
      <c r="M38" s="3341"/>
    </row>
    <row r="39" spans="2:14" ht="12.75" customHeight="1">
      <c r="B39" s="2047"/>
      <c r="C39" s="2048"/>
      <c r="D39" s="2049"/>
      <c r="E39" s="2050"/>
      <c r="F39" s="2051"/>
      <c r="G39" s="1707" t="e">
        <f t="shared" si="0"/>
        <v>#VALUE!</v>
      </c>
      <c r="H39" s="1708" t="e">
        <f t="shared" si="3"/>
        <v>#VALUE!</v>
      </c>
      <c r="I39" s="1705"/>
      <c r="J39" s="1709" t="e">
        <f t="shared" si="1"/>
        <v>#VALUE!</v>
      </c>
      <c r="K39" s="1709" t="e">
        <f t="shared" si="2"/>
        <v>#VALUE!</v>
      </c>
      <c r="L39" s="3341"/>
      <c r="M39" s="3341"/>
    </row>
    <row r="40" spans="2:14" ht="12.75" customHeight="1">
      <c r="B40" s="2047"/>
      <c r="C40" s="2048"/>
      <c r="D40" s="2049"/>
      <c r="E40" s="2050"/>
      <c r="F40" s="2051"/>
      <c r="G40" s="1707" t="e">
        <f t="shared" si="0"/>
        <v>#VALUE!</v>
      </c>
      <c r="H40" s="1708" t="e">
        <f t="shared" si="3"/>
        <v>#VALUE!</v>
      </c>
      <c r="I40" s="1705"/>
      <c r="J40" s="1709" t="e">
        <f t="shared" si="1"/>
        <v>#VALUE!</v>
      </c>
      <c r="K40" s="1709" t="e">
        <f t="shared" si="2"/>
        <v>#VALUE!</v>
      </c>
      <c r="L40" s="3341"/>
      <c r="M40" s="3341"/>
    </row>
    <row r="41" spans="2:14" ht="12.75" customHeight="1">
      <c r="B41" s="2047"/>
      <c r="C41" s="2048"/>
      <c r="D41" s="2049"/>
      <c r="E41" s="2050"/>
      <c r="F41" s="2051"/>
      <c r="G41" s="1707" t="e">
        <f t="shared" si="0"/>
        <v>#VALUE!</v>
      </c>
      <c r="H41" s="1708" t="e">
        <f t="shared" si="3"/>
        <v>#VALUE!</v>
      </c>
      <c r="I41" s="1705"/>
      <c r="J41" s="1709" t="e">
        <f t="shared" si="1"/>
        <v>#VALUE!</v>
      </c>
      <c r="K41" s="1709" t="e">
        <f t="shared" si="2"/>
        <v>#VALUE!</v>
      </c>
      <c r="L41" s="3341"/>
      <c r="M41" s="3341"/>
    </row>
    <row r="42" spans="2:14" ht="12.75" customHeight="1">
      <c r="B42" s="2047"/>
      <c r="C42" s="2048"/>
      <c r="D42" s="2049"/>
      <c r="E42" s="2050"/>
      <c r="F42" s="2051"/>
      <c r="G42" s="1707" t="e">
        <f t="shared" si="0"/>
        <v>#VALUE!</v>
      </c>
      <c r="H42" s="1708" t="e">
        <f t="shared" ref="H42:H45" si="4">ROUNDUP(G42,0)</f>
        <v>#VALUE!</v>
      </c>
      <c r="I42" s="1705"/>
      <c r="J42" s="1709" t="e">
        <f t="shared" si="1"/>
        <v>#VALUE!</v>
      </c>
      <c r="K42" s="1709" t="e">
        <f t="shared" si="2"/>
        <v>#VALUE!</v>
      </c>
      <c r="L42" s="3341"/>
      <c r="M42" s="3341"/>
    </row>
    <row r="43" spans="2:14" ht="12.75" customHeight="1">
      <c r="B43" s="2047"/>
      <c r="C43" s="2048"/>
      <c r="D43" s="2049"/>
      <c r="E43" s="2050"/>
      <c r="F43" s="2051"/>
      <c r="G43" s="1707" t="e">
        <f t="shared" si="0"/>
        <v>#VALUE!</v>
      </c>
      <c r="H43" s="1708" t="e">
        <f t="shared" si="4"/>
        <v>#VALUE!</v>
      </c>
      <c r="I43" s="1705"/>
      <c r="J43" s="1709" t="e">
        <f t="shared" si="1"/>
        <v>#VALUE!</v>
      </c>
      <c r="K43" s="1709" t="e">
        <f t="shared" si="2"/>
        <v>#VALUE!</v>
      </c>
      <c r="L43" s="3341"/>
      <c r="M43" s="3341"/>
    </row>
    <row r="44" spans="2:14" ht="12.75" customHeight="1">
      <c r="B44" s="2047"/>
      <c r="C44" s="2048"/>
      <c r="D44" s="2049"/>
      <c r="E44" s="2050"/>
      <c r="F44" s="2051"/>
      <c r="G44" s="1707" t="e">
        <f t="shared" si="0"/>
        <v>#VALUE!</v>
      </c>
      <c r="H44" s="1708" t="e">
        <f t="shared" si="4"/>
        <v>#VALUE!</v>
      </c>
      <c r="I44" s="1705"/>
      <c r="J44" s="1709" t="e">
        <f t="shared" si="1"/>
        <v>#VALUE!</v>
      </c>
      <c r="K44" s="1709" t="e">
        <f t="shared" si="2"/>
        <v>#VALUE!</v>
      </c>
      <c r="L44" s="3341"/>
      <c r="M44" s="3341"/>
    </row>
    <row r="45" spans="2:14" ht="12.75" customHeight="1">
      <c r="B45" s="2047"/>
      <c r="C45" s="2048"/>
      <c r="D45" s="2049"/>
      <c r="E45" s="2050"/>
      <c r="F45" s="2051"/>
      <c r="G45" s="1707" t="e">
        <f t="shared" si="0"/>
        <v>#VALUE!</v>
      </c>
      <c r="H45" s="1708" t="e">
        <f t="shared" si="4"/>
        <v>#VALUE!</v>
      </c>
      <c r="I45" s="1705"/>
      <c r="J45" s="1709" t="e">
        <f t="shared" si="1"/>
        <v>#VALUE!</v>
      </c>
      <c r="K45" s="1709" t="e">
        <f t="shared" si="2"/>
        <v>#VALUE!</v>
      </c>
      <c r="L45" s="3341"/>
      <c r="M45" s="3341"/>
    </row>
    <row r="46" spans="2:14" ht="12.75" customHeight="1">
      <c r="B46" s="2047"/>
      <c r="C46" s="2048"/>
      <c r="D46" s="2049"/>
      <c r="E46" s="2050"/>
      <c r="F46" s="2051"/>
      <c r="G46" s="1707" t="e">
        <f t="shared" si="0"/>
        <v>#VALUE!</v>
      </c>
      <c r="H46" s="1708" t="e">
        <f t="shared" si="3"/>
        <v>#VALUE!</v>
      </c>
      <c r="I46" s="1705"/>
      <c r="J46" s="1709" t="e">
        <f t="shared" si="1"/>
        <v>#VALUE!</v>
      </c>
      <c r="K46" s="1709" t="e">
        <f t="shared" si="2"/>
        <v>#VALUE!</v>
      </c>
      <c r="L46" s="3341"/>
      <c r="M46" s="3341"/>
    </row>
    <row r="47" spans="2:14" ht="12.75" customHeight="1">
      <c r="B47" s="2047"/>
      <c r="C47" s="2048"/>
      <c r="D47" s="2049"/>
      <c r="E47" s="2050"/>
      <c r="F47" s="2051"/>
      <c r="G47" s="1707" t="e">
        <f t="shared" si="0"/>
        <v>#VALUE!</v>
      </c>
      <c r="H47" s="1708" t="e">
        <f t="shared" si="3"/>
        <v>#VALUE!</v>
      </c>
      <c r="I47" s="1705"/>
      <c r="J47" s="1709" t="e">
        <f t="shared" si="1"/>
        <v>#VALUE!</v>
      </c>
      <c r="K47" s="1709" t="e">
        <f t="shared" si="2"/>
        <v>#VALUE!</v>
      </c>
      <c r="L47" s="3341"/>
      <c r="M47" s="3341"/>
    </row>
    <row r="48" spans="2:14" ht="12.75" customHeight="1">
      <c r="B48" s="2047"/>
      <c r="C48" s="2048"/>
      <c r="D48" s="2049"/>
      <c r="E48" s="2050"/>
      <c r="F48" s="2051"/>
      <c r="G48" s="1707" t="e">
        <f t="shared" si="0"/>
        <v>#VALUE!</v>
      </c>
      <c r="H48" s="1708" t="e">
        <f t="shared" ref="H48" si="5">ROUNDUP(G48,0)</f>
        <v>#VALUE!</v>
      </c>
      <c r="I48" s="1705"/>
      <c r="J48" s="1709" t="e">
        <f t="shared" si="1"/>
        <v>#VALUE!</v>
      </c>
      <c r="K48" s="1709" t="e">
        <f t="shared" si="2"/>
        <v>#VALUE!</v>
      </c>
      <c r="L48" s="3341"/>
      <c r="M48" s="3341"/>
    </row>
    <row r="49" spans="1:13" ht="12.75" customHeight="1">
      <c r="B49" s="2047"/>
      <c r="C49" s="2048"/>
      <c r="D49" s="2049"/>
      <c r="E49" s="2050"/>
      <c r="F49" s="2051"/>
      <c r="G49" s="1707" t="e">
        <f t="shared" si="0"/>
        <v>#VALUE!</v>
      </c>
      <c r="H49" s="1708" t="e">
        <f t="shared" si="3"/>
        <v>#VALUE!</v>
      </c>
      <c r="I49" s="1705"/>
      <c r="J49" s="1709" t="e">
        <f t="shared" si="1"/>
        <v>#VALUE!</v>
      </c>
      <c r="K49" s="1709" t="e">
        <f t="shared" si="2"/>
        <v>#VALUE!</v>
      </c>
      <c r="L49" s="3341"/>
      <c r="M49" s="3341"/>
    </row>
    <row r="50" spans="1:13" ht="12.75" customHeight="1">
      <c r="B50" s="2047"/>
      <c r="C50" s="2048"/>
      <c r="D50" s="2049"/>
      <c r="E50" s="2050"/>
      <c r="F50" s="2051"/>
      <c r="G50" s="1707" t="e">
        <f t="shared" si="0"/>
        <v>#VALUE!</v>
      </c>
      <c r="H50" s="1708" t="e">
        <f t="shared" si="3"/>
        <v>#VALUE!</v>
      </c>
      <c r="I50" s="1705"/>
      <c r="J50" s="1709" t="e">
        <f t="shared" si="1"/>
        <v>#VALUE!</v>
      </c>
      <c r="K50" s="1709" t="e">
        <f t="shared" si="2"/>
        <v>#VALUE!</v>
      </c>
      <c r="L50" s="3341"/>
      <c r="M50" s="3341"/>
    </row>
    <row r="51" spans="1:13" ht="12.75" customHeight="1" thickBot="1">
      <c r="B51" s="2052"/>
      <c r="C51" s="2053"/>
      <c r="D51" s="2054"/>
      <c r="E51" s="2055"/>
      <c r="F51" s="2056"/>
      <c r="G51" s="1710" t="e">
        <f t="shared" si="0"/>
        <v>#VALUE!</v>
      </c>
      <c r="H51" s="1711" t="e">
        <f t="shared" si="3"/>
        <v>#VALUE!</v>
      </c>
      <c r="I51" s="1705"/>
      <c r="J51" s="1712" t="e">
        <f t="shared" si="1"/>
        <v>#VALUE!</v>
      </c>
      <c r="K51" s="1712" t="e">
        <f t="shared" si="2"/>
        <v>#VALUE!</v>
      </c>
      <c r="L51" s="3341"/>
      <c r="M51" s="3341"/>
    </row>
    <row r="52" spans="1:13" ht="15" customHeight="1" thickBot="1">
      <c r="A52" s="1652"/>
      <c r="B52" s="1673"/>
      <c r="D52" s="1661"/>
      <c r="E52" s="1661"/>
      <c r="F52" s="1661"/>
      <c r="G52" s="1686" t="s">
        <v>4664</v>
      </c>
      <c r="H52" s="1685" t="e">
        <f>SUM(H33:H51)</f>
        <v>#VALUE!</v>
      </c>
      <c r="I52" s="1661"/>
      <c r="J52" s="1673" t="s">
        <v>4665</v>
      </c>
      <c r="K52" s="1669" t="e">
        <f>SUM(K33:K51)</f>
        <v>#VALUE!</v>
      </c>
      <c r="L52" s="3341"/>
      <c r="M52" s="3341"/>
    </row>
    <row r="53" spans="1:13" ht="15" customHeight="1">
      <c r="A53" s="1652"/>
      <c r="B53" s="1674"/>
      <c r="C53" s="3318" t="s">
        <v>4666</v>
      </c>
      <c r="D53" s="3318"/>
      <c r="E53" s="3318"/>
      <c r="F53" s="3318"/>
      <c r="G53" s="3318"/>
      <c r="H53" s="3318"/>
      <c r="I53" s="3318"/>
      <c r="J53" s="3319"/>
      <c r="K53" s="1675" t="str">
        <f>IF(K17="no",0,IF(K17="yes",K16,"Error"))</f>
        <v>Error</v>
      </c>
      <c r="L53" s="3341"/>
      <c r="M53" s="3341"/>
    </row>
    <row r="54" spans="1:13" ht="15" customHeight="1" thickBot="1">
      <c r="A54" s="1652"/>
      <c r="B54" s="1674"/>
      <c r="C54" s="3320" t="s">
        <v>4667</v>
      </c>
      <c r="D54" s="3320"/>
      <c r="E54" s="3320"/>
      <c r="F54" s="3320"/>
      <c r="G54" s="3320"/>
      <c r="H54" s="3320"/>
      <c r="I54" s="3320"/>
      <c r="J54" s="3321"/>
      <c r="K54" s="1688" t="e">
        <f>K52+K53</f>
        <v>#VALUE!</v>
      </c>
    </row>
    <row r="55" spans="1:13" ht="7.95" customHeight="1">
      <c r="A55" s="3322"/>
      <c r="B55" s="3323"/>
      <c r="C55" s="3323"/>
      <c r="D55" s="3323"/>
      <c r="E55" s="3323"/>
      <c r="F55" s="3323"/>
      <c r="G55" s="3323"/>
      <c r="H55" s="3323"/>
      <c r="I55" s="3323"/>
      <c r="J55" s="3323"/>
      <c r="K55" s="1702"/>
    </row>
    <row r="56" spans="1:13" ht="15" customHeight="1">
      <c r="A56" s="3328" t="s">
        <v>4668</v>
      </c>
      <c r="B56" s="3329"/>
      <c r="C56" s="3329"/>
      <c r="D56" s="3329"/>
      <c r="E56" s="3329"/>
      <c r="F56" s="3329"/>
      <c r="G56" s="3329"/>
      <c r="H56" s="3329"/>
      <c r="I56" s="3329"/>
      <c r="J56" s="3329"/>
      <c r="K56" s="3330"/>
    </row>
    <row r="57" spans="1:13" ht="48" customHeight="1">
      <c r="A57" s="1649"/>
      <c r="B57" s="1640"/>
      <c r="C57" s="1651" t="s">
        <v>4669</v>
      </c>
      <c r="D57" s="2017" t="s">
        <v>6836</v>
      </c>
      <c r="E57" s="3324" t="s">
        <v>4685</v>
      </c>
      <c r="F57" s="3325"/>
      <c r="G57" s="3326" t="s">
        <v>4670</v>
      </c>
      <c r="H57" s="3327"/>
      <c r="I57" s="3324" t="s">
        <v>4684</v>
      </c>
      <c r="J57" s="3325"/>
      <c r="K57" s="3331"/>
    </row>
    <row r="58" spans="1:13" ht="15" customHeight="1">
      <c r="A58" s="1805"/>
      <c r="B58" s="2014"/>
      <c r="C58" s="1670">
        <f>SUMIF(C33:C51, "0", H33:H51)</f>
        <v>0</v>
      </c>
      <c r="D58" s="2018">
        <f>ROUNDUP(C58*1.1,0)</f>
        <v>0</v>
      </c>
      <c r="E58" s="3333" t="s">
        <v>4671</v>
      </c>
      <c r="F58" s="3334"/>
      <c r="G58" s="3335">
        <f>62445*2.4</f>
        <v>149868</v>
      </c>
      <c r="H58" s="3336"/>
      <c r="I58" s="3337">
        <f t="shared" ref="I58:I63" si="6">D58*G58</f>
        <v>0</v>
      </c>
      <c r="J58" s="3337"/>
      <c r="K58" s="3332"/>
    </row>
    <row r="59" spans="1:13">
      <c r="A59" s="1805"/>
      <c r="B59" s="2014"/>
      <c r="C59" s="1671">
        <f>SUMIF(C33:C51, "1", H33:H51)</f>
        <v>0</v>
      </c>
      <c r="D59" s="2019">
        <f t="shared" ref="D59:D63" si="7">ROUNDUP(C59*1.1,0)</f>
        <v>0</v>
      </c>
      <c r="E59" s="3338" t="s">
        <v>2632</v>
      </c>
      <c r="F59" s="3339"/>
      <c r="G59" s="3308">
        <f>71584*2.4</f>
        <v>171801.60000000001</v>
      </c>
      <c r="H59" s="3309"/>
      <c r="I59" s="3340">
        <f t="shared" si="6"/>
        <v>0</v>
      </c>
      <c r="J59" s="3340"/>
      <c r="K59" s="3332"/>
    </row>
    <row r="60" spans="1:13" ht="15" customHeight="1">
      <c r="A60" s="1805"/>
      <c r="B60" s="2014"/>
      <c r="C60" s="1671">
        <f>SUMIF(C33:C51, "2", H33:H51)</f>
        <v>0</v>
      </c>
      <c r="D60" s="2019">
        <f t="shared" si="7"/>
        <v>0</v>
      </c>
      <c r="E60" s="3338" t="s">
        <v>2633</v>
      </c>
      <c r="F60" s="3339"/>
      <c r="G60" s="3308">
        <f>87047*2.4</f>
        <v>208912.8</v>
      </c>
      <c r="H60" s="3309"/>
      <c r="I60" s="3340">
        <f t="shared" si="6"/>
        <v>0</v>
      </c>
      <c r="J60" s="3340"/>
      <c r="K60" s="3332"/>
    </row>
    <row r="61" spans="1:13">
      <c r="A61" s="1805"/>
      <c r="B61" s="2014"/>
      <c r="C61" s="1671">
        <f>SUMIF(C33:C51, "3", H33:H51)</f>
        <v>0</v>
      </c>
      <c r="D61" s="2019">
        <f t="shared" si="7"/>
        <v>0</v>
      </c>
      <c r="E61" s="3338" t="s">
        <v>2636</v>
      </c>
      <c r="F61" s="3339"/>
      <c r="G61" s="3308">
        <f>112611*2.4</f>
        <v>270266.39999999997</v>
      </c>
      <c r="H61" s="3309"/>
      <c r="I61" s="3340">
        <f t="shared" si="6"/>
        <v>0</v>
      </c>
      <c r="J61" s="3340"/>
      <c r="K61" s="3332"/>
    </row>
    <row r="62" spans="1:13">
      <c r="A62" s="1805"/>
      <c r="B62" s="2014"/>
      <c r="C62" s="1671">
        <f>SUMIF(C33:C51, "4", H33:H51)</f>
        <v>0</v>
      </c>
      <c r="D62" s="2019">
        <f t="shared" si="7"/>
        <v>0</v>
      </c>
      <c r="E62" s="3338" t="s">
        <v>4672</v>
      </c>
      <c r="F62" s="3339"/>
      <c r="G62" s="3308">
        <f>123611*2.4</f>
        <v>296666.39999999997</v>
      </c>
      <c r="H62" s="3309"/>
      <c r="I62" s="3340">
        <f t="shared" si="6"/>
        <v>0</v>
      </c>
      <c r="J62" s="3340"/>
      <c r="K62" s="3332"/>
    </row>
    <row r="63" spans="1:13">
      <c r="A63" s="2015"/>
      <c r="B63" s="2016"/>
      <c r="C63" s="1672">
        <f>SUMIF(C33:C51, "5", H33:H51)</f>
        <v>0</v>
      </c>
      <c r="D63" s="2020">
        <f t="shared" si="7"/>
        <v>0</v>
      </c>
      <c r="E63" s="3347" t="s">
        <v>4673</v>
      </c>
      <c r="F63" s="3348"/>
      <c r="G63" s="3349">
        <f>123611*2.4</f>
        <v>296666.39999999997</v>
      </c>
      <c r="H63" s="3350"/>
      <c r="I63" s="3351">
        <f t="shared" si="6"/>
        <v>0</v>
      </c>
      <c r="J63" s="3351"/>
      <c r="K63" s="1700"/>
    </row>
    <row r="64" spans="1:13" ht="14.4" thickBot="1">
      <c r="A64" s="2013" t="s">
        <v>4674</v>
      </c>
      <c r="B64" s="1690">
        <f>SUM(C58:C63)</f>
        <v>0</v>
      </c>
      <c r="C64" s="2021"/>
      <c r="D64" s="2021">
        <f>SUM(D58:D63)</f>
        <v>0</v>
      </c>
      <c r="E64" s="2012"/>
      <c r="F64" s="2012"/>
      <c r="G64" s="2012"/>
      <c r="H64" s="2012"/>
      <c r="I64" s="2012"/>
      <c r="J64" s="1806" t="s">
        <v>4675</v>
      </c>
      <c r="K64" s="1689">
        <f>SUM(I58:I62)</f>
        <v>0</v>
      </c>
    </row>
    <row r="65" spans="1:11">
      <c r="A65" s="3323"/>
      <c r="B65" s="3323"/>
      <c r="C65" s="3323"/>
      <c r="D65" s="3323"/>
      <c r="E65" s="3323"/>
      <c r="F65" s="3323"/>
      <c r="G65" s="3323"/>
      <c r="H65" s="3323"/>
      <c r="I65" s="3323"/>
      <c r="J65" s="3323"/>
    </row>
    <row r="66" spans="1:11">
      <c r="A66" s="3328" t="s">
        <v>4676</v>
      </c>
      <c r="B66" s="3329"/>
      <c r="C66" s="3329"/>
      <c r="D66" s="3329"/>
      <c r="E66" s="3329"/>
      <c r="F66" s="3329"/>
      <c r="G66" s="3329"/>
      <c r="H66" s="3329"/>
      <c r="I66" s="3329"/>
      <c r="J66" s="3329"/>
      <c r="K66" s="3330"/>
    </row>
    <row r="67" spans="1:11" ht="15" customHeight="1">
      <c r="A67" s="1691"/>
      <c r="B67" s="1639"/>
      <c r="C67" s="1694"/>
      <c r="D67" s="1694"/>
      <c r="E67" s="1694" t="s">
        <v>4677</v>
      </c>
      <c r="F67" s="1694"/>
      <c r="G67" s="1694"/>
      <c r="H67" s="1694"/>
      <c r="I67" s="1694"/>
      <c r="J67" s="1695"/>
      <c r="K67" s="1648">
        <f>K11</f>
        <v>0</v>
      </c>
    </row>
    <row r="68" spans="1:11">
      <c r="A68" s="1692"/>
      <c r="B68" s="1652"/>
      <c r="C68" s="1684"/>
      <c r="D68" s="1684"/>
      <c r="E68" s="1684" t="s">
        <v>4678</v>
      </c>
      <c r="F68" s="1684"/>
      <c r="G68" s="1684"/>
      <c r="H68" s="1684"/>
      <c r="I68" s="1684"/>
      <c r="J68" s="1696"/>
      <c r="K68" s="1648" t="e">
        <f>K54</f>
        <v>#VALUE!</v>
      </c>
    </row>
    <row r="69" spans="1:11" ht="14.4" thickBot="1">
      <c r="A69" s="1693"/>
      <c r="B69" s="1641"/>
      <c r="C69" s="1697"/>
      <c r="D69" s="1697"/>
      <c r="E69" s="1697" t="s">
        <v>4679</v>
      </c>
      <c r="F69" s="1697"/>
      <c r="G69" s="1697"/>
      <c r="H69" s="1697"/>
      <c r="I69" s="1697"/>
      <c r="J69" s="1698"/>
      <c r="K69" s="1701">
        <f>K64</f>
        <v>0</v>
      </c>
    </row>
    <row r="70" spans="1:11" ht="14.4" thickBot="1">
      <c r="A70" s="1650"/>
      <c r="B70" s="1642"/>
      <c r="C70" s="3342" t="s">
        <v>4680</v>
      </c>
      <c r="D70" s="3342"/>
      <c r="E70" s="3342"/>
      <c r="F70" s="3342"/>
      <c r="G70" s="3342"/>
      <c r="H70" s="3342"/>
      <c r="I70" s="3342"/>
      <c r="J70" s="3342"/>
      <c r="K70" s="1699" t="e">
        <f>IF(ISBLANK(K11),MIN(K68:K69),MIN(K67:K69))</f>
        <v>#VALUE!</v>
      </c>
    </row>
    <row r="71" spans="1:11">
      <c r="E71" s="1628"/>
    </row>
    <row r="72" spans="1:11">
      <c r="E72" s="1628"/>
    </row>
    <row r="73" spans="1:11">
      <c r="E73" s="1628"/>
    </row>
    <row r="74" spans="1:11">
      <c r="E74" s="1628"/>
    </row>
    <row r="75" spans="1:11">
      <c r="E75" s="1628"/>
    </row>
    <row r="76" spans="1:11">
      <c r="E76" s="1628"/>
    </row>
    <row r="77" spans="1:11">
      <c r="E77" s="1628"/>
    </row>
    <row r="78" spans="1:11">
      <c r="E78" s="1628"/>
    </row>
    <row r="79" spans="1:11">
      <c r="E79" s="1628"/>
    </row>
  </sheetData>
  <sheetProtection algorithmName="SHA-512" hashValue="yYMIPxWZND/jA5wbbPK6EAIDjwlneT22YMnRjBq3yLFWkl3HydJU/b184eZ9jbpHeVEMkYVeJYql1y9uh8v+9A==" saltValue="PWZwey3b6GbFBKj3oCW0lQ==" spinCount="100000" sheet="1" objects="1" scenarios="1"/>
  <mergeCells count="45">
    <mergeCell ref="I62:J62"/>
    <mergeCell ref="I60:J60"/>
    <mergeCell ref="L32:M53"/>
    <mergeCell ref="C70:J70"/>
    <mergeCell ref="A13:K13"/>
    <mergeCell ref="A30:K30"/>
    <mergeCell ref="B31:F31"/>
    <mergeCell ref="A66:K66"/>
    <mergeCell ref="E63:F63"/>
    <mergeCell ref="G63:H63"/>
    <mergeCell ref="I63:J63"/>
    <mergeCell ref="A65:J65"/>
    <mergeCell ref="E61:F61"/>
    <mergeCell ref="G61:H61"/>
    <mergeCell ref="I61:J61"/>
    <mergeCell ref="E62:F62"/>
    <mergeCell ref="G62:H62"/>
    <mergeCell ref="C53:J53"/>
    <mergeCell ref="C54:J54"/>
    <mergeCell ref="A55:J55"/>
    <mergeCell ref="E57:F57"/>
    <mergeCell ref="G57:H57"/>
    <mergeCell ref="I57:J57"/>
    <mergeCell ref="A56:K56"/>
    <mergeCell ref="K57:K62"/>
    <mergeCell ref="E58:F58"/>
    <mergeCell ref="G58:H58"/>
    <mergeCell ref="I58:J58"/>
    <mergeCell ref="E59:F59"/>
    <mergeCell ref="G59:H59"/>
    <mergeCell ref="I59:J59"/>
    <mergeCell ref="E60:F60"/>
    <mergeCell ref="G60:H60"/>
    <mergeCell ref="A18:J18"/>
    <mergeCell ref="A21:J21"/>
    <mergeCell ref="G31:K31"/>
    <mergeCell ref="A9:J9"/>
    <mergeCell ref="A12:J12"/>
    <mergeCell ref="A10:K10"/>
    <mergeCell ref="A7:K7"/>
    <mergeCell ref="D3:I3"/>
    <mergeCell ref="D4:I4"/>
    <mergeCell ref="D5:I5"/>
    <mergeCell ref="J3:K3"/>
    <mergeCell ref="J4:K5"/>
  </mergeCells>
  <dataValidations count="2">
    <dataValidation type="list" showInputMessage="1" showErrorMessage="1" promptTitle="Response Required" prompt="To treat relocation as common cost of project, choose No.  To treat relocation as a cost exclusive to the HOME-assisted units, enter Yes." sqref="K17" xr:uid="{00000000-0002-0000-1700-000000000000}">
      <formula1>"No,Yes"</formula1>
    </dataValidation>
    <dataValidation type="list" allowBlank="1" showInputMessage="1" showErrorMessage="1" sqref="C33:C51" xr:uid="{00000000-0002-0000-1700-000001000000}">
      <formula1>"0,1,2,3,4,5"</formula1>
    </dataValidation>
  </dataValidations>
  <printOptions horizontalCentered="1"/>
  <pageMargins left="0.25" right="0.25" top="0.25" bottom="0.25" header="0.05" footer="0.05"/>
  <pageSetup fitToHeight="0" orientation="portrait" r:id="rId1"/>
  <headerFooter>
    <oddFooter>&amp;C&amp;9&amp;P of &amp;N</oddFooter>
  </headerFooter>
  <drawing r:id="rId2"/>
  <legacyDrawing r:id="rId3"/>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12">
    <pageSetUpPr fitToPage="1"/>
  </sheetPr>
  <dimension ref="A1:K579"/>
  <sheetViews>
    <sheetView showGridLines="0" topLeftCell="A542" zoomScaleNormal="100" workbookViewId="0">
      <selection activeCell="B572" sqref="B572"/>
    </sheetView>
  </sheetViews>
  <sheetFormatPr defaultColWidth="9.109375" defaultRowHeight="13.2"/>
  <cols>
    <col min="1" max="1" width="3.44140625" style="730" customWidth="1"/>
    <col min="2" max="2" width="4.109375" style="730" customWidth="1"/>
    <col min="3" max="3" width="18.5546875" style="730" customWidth="1"/>
    <col min="4" max="4" width="2.88671875" style="730" customWidth="1"/>
    <col min="5" max="5" width="6.5546875" style="730" customWidth="1"/>
    <col min="6" max="6" width="39.109375" style="730" customWidth="1"/>
    <col min="7" max="8" width="8.44140625" style="730" customWidth="1"/>
    <col min="9" max="9" width="9.109375" style="730"/>
    <col min="10" max="10" width="14.109375" style="730" customWidth="1"/>
    <col min="11" max="16384" width="9.109375" style="730"/>
  </cols>
  <sheetData>
    <row r="1" spans="1:11">
      <c r="A1" s="667" t="s">
        <v>3133</v>
      </c>
      <c r="H1" s="775" t="str">
        <f>'Sensitivity Analysis'!C8</f>
        <v>Harper Woods II</v>
      </c>
    </row>
    <row r="2" spans="1:11">
      <c r="A2" s="667" t="s">
        <v>3134</v>
      </c>
      <c r="H2" s="730" t="str">
        <f>'Sensitivity Analysis'!E8</f>
        <v>2020-074</v>
      </c>
    </row>
    <row r="3" spans="1:11" ht="3" customHeight="1"/>
    <row r="4" spans="1:11" ht="51.75" customHeight="1">
      <c r="A4" s="3277" t="s">
        <v>3232</v>
      </c>
      <c r="B4" s="3277"/>
      <c r="C4" s="3277"/>
      <c r="D4" s="3277"/>
      <c r="E4" s="3277"/>
      <c r="F4" s="3277"/>
      <c r="G4" s="3277"/>
      <c r="H4" s="3277"/>
      <c r="J4" s="1218">
        <f>SUM('Part VII-Pro Forma'!B14:B16)/12</f>
        <v>40202.616600000001</v>
      </c>
      <c r="K4" s="1217" t="s">
        <v>4105</v>
      </c>
    </row>
    <row r="5" spans="1:11" ht="1.5" customHeight="1">
      <c r="C5" s="809"/>
      <c r="D5" s="809"/>
      <c r="E5" s="809"/>
      <c r="F5" s="809"/>
      <c r="G5" s="809"/>
      <c r="H5" s="809"/>
    </row>
    <row r="6" spans="1:11" ht="12.75" customHeight="1">
      <c r="B6" s="810" t="s">
        <v>2372</v>
      </c>
      <c r="C6" s="3277" t="s">
        <v>3135</v>
      </c>
      <c r="D6" s="3277"/>
      <c r="E6" s="3277"/>
      <c r="F6" s="3277"/>
      <c r="G6" s="3277"/>
      <c r="H6" s="3277"/>
    </row>
    <row r="7" spans="1:11" ht="12.75" customHeight="1">
      <c r="B7" s="810" t="s">
        <v>2373</v>
      </c>
      <c r="C7" s="3277" t="s">
        <v>3136</v>
      </c>
      <c r="D7" s="3277"/>
      <c r="E7" s="3277"/>
      <c r="F7" s="3277"/>
      <c r="G7" s="3277"/>
      <c r="H7" s="3277"/>
    </row>
    <row r="8" spans="1:11" ht="3" customHeight="1"/>
    <row r="9" spans="1:11">
      <c r="A9" s="730" t="s">
        <v>3137</v>
      </c>
    </row>
    <row r="10" spans="1:11" ht="1.5" customHeight="1"/>
    <row r="11" spans="1:11" ht="26.25" customHeight="1">
      <c r="A11" s="811" t="s">
        <v>1936</v>
      </c>
      <c r="B11" s="3354" t="s">
        <v>3229</v>
      </c>
      <c r="C11" s="3354"/>
      <c r="D11" s="3354"/>
      <c r="E11" s="3354"/>
      <c r="F11" s="3354"/>
      <c r="G11" s="3355">
        <f>'Part III-Sources of Funds'!I49+'Part III-Sources of Funds'!I50</f>
        <v>10896620</v>
      </c>
      <c r="H11" s="3355"/>
    </row>
    <row r="12" spans="1:11" ht="1.5" customHeight="1">
      <c r="G12" s="779"/>
      <c r="H12" s="779"/>
    </row>
    <row r="13" spans="1:11" ht="26.25" customHeight="1">
      <c r="A13" s="811" t="s">
        <v>1938</v>
      </c>
      <c r="B13" s="3354" t="s">
        <v>3230</v>
      </c>
      <c r="C13" s="3354"/>
      <c r="D13" s="3354"/>
      <c r="E13" s="3354"/>
      <c r="F13" s="3354"/>
      <c r="G13" s="3356" t="s">
        <v>3063</v>
      </c>
      <c r="H13" s="3356"/>
    </row>
    <row r="14" spans="1:11" ht="12" hidden="1" customHeight="1">
      <c r="A14" s="811"/>
      <c r="B14" s="3291"/>
      <c r="C14" s="3291"/>
      <c r="D14" s="3291"/>
      <c r="E14" s="3291"/>
      <c r="F14" s="3291"/>
      <c r="G14" s="3291"/>
      <c r="H14" s="3291"/>
    </row>
    <row r="15" spans="1:11" ht="1.5" customHeight="1"/>
    <row r="16" spans="1:11" ht="12" customHeight="1">
      <c r="A16" s="811" t="s">
        <v>731</v>
      </c>
      <c r="B16" s="730" t="s">
        <v>3233</v>
      </c>
      <c r="F16" s="803"/>
      <c r="G16" s="3274" t="s">
        <v>2889</v>
      </c>
      <c r="H16" s="3274"/>
    </row>
    <row r="17" spans="1:8" ht="1.5" customHeight="1">
      <c r="G17" s="785"/>
    </row>
    <row r="18" spans="1:8" ht="12" customHeight="1">
      <c r="A18" s="811" t="s">
        <v>2065</v>
      </c>
      <c r="B18" s="779" t="s">
        <v>3231</v>
      </c>
      <c r="C18" s="811"/>
      <c r="D18" s="811"/>
      <c r="E18" s="811"/>
      <c r="G18" s="3291" t="s">
        <v>2728</v>
      </c>
      <c r="H18" s="3291"/>
    </row>
    <row r="19" spans="1:8" ht="12" hidden="1" customHeight="1">
      <c r="B19" s="3291"/>
      <c r="C19" s="3291"/>
      <c r="D19" s="3291"/>
      <c r="E19" s="3291"/>
      <c r="F19" s="3291"/>
      <c r="G19" s="3291"/>
      <c r="H19" s="3291"/>
    </row>
    <row r="20" spans="1:8" ht="13.5" customHeight="1"/>
    <row r="21" spans="1:8" ht="12" customHeight="1">
      <c r="A21" s="667" t="s">
        <v>3138</v>
      </c>
    </row>
    <row r="22" spans="1:8" ht="3" customHeight="1"/>
    <row r="23" spans="1:8" ht="24.75" customHeight="1">
      <c r="A23" s="3358" t="s">
        <v>4821</v>
      </c>
      <c r="B23" s="3358"/>
      <c r="C23" s="3358"/>
      <c r="D23" s="3358"/>
      <c r="E23" s="3358"/>
      <c r="F23" s="3358"/>
      <c r="G23" s="3358"/>
      <c r="H23" s="3358"/>
    </row>
    <row r="24" spans="1:8" ht="9" customHeight="1" thickBot="1">
      <c r="A24" s="752"/>
    </row>
    <row r="25" spans="1:8" ht="16.2" customHeight="1" thickBot="1">
      <c r="A25" s="3359">
        <v>20</v>
      </c>
      <c r="B25" s="3360"/>
      <c r="C25" s="1789" t="s">
        <v>1018</v>
      </c>
    </row>
    <row r="26" spans="1:8" ht="9" customHeight="1">
      <c r="A26" s="752"/>
    </row>
    <row r="27" spans="1:8" ht="28.2" customHeight="1">
      <c r="A27" s="3357" t="s">
        <v>4826</v>
      </c>
      <c r="B27" s="3357"/>
      <c r="C27" s="3357"/>
      <c r="D27" s="3357"/>
      <c r="E27" s="3357"/>
      <c r="F27" s="3357"/>
      <c r="G27" s="3357"/>
      <c r="H27" s="3357"/>
    </row>
    <row r="28" spans="1:8" ht="9" customHeight="1">
      <c r="A28" s="752"/>
    </row>
    <row r="29" spans="1:8">
      <c r="A29" s="785" t="s">
        <v>3234</v>
      </c>
      <c r="B29" s="812" t="str">
        <f>IF('Part VI-Revenues &amp; Expenses'!$K$62=0,"",'Part VI-Revenues &amp; Expenses'!$K$62)</f>
        <v/>
      </c>
      <c r="C29" s="785" t="s">
        <v>4819</v>
      </c>
      <c r="D29" s="813" t="s">
        <v>4820</v>
      </c>
    </row>
    <row r="30" spans="1:8" ht="1.95" customHeight="1"/>
    <row r="31" spans="1:8" ht="12.75" customHeight="1">
      <c r="C31" s="779" t="s">
        <v>3139</v>
      </c>
      <c r="D31" s="814" t="s">
        <v>1939</v>
      </c>
      <c r="E31" s="815"/>
      <c r="F31" s="3277" t="s">
        <v>3140</v>
      </c>
      <c r="G31" s="3277"/>
      <c r="H31" s="3277"/>
    </row>
    <row r="32" spans="1:8" ht="12.75" customHeight="1">
      <c r="C32" s="816" t="s">
        <v>1326</v>
      </c>
      <c r="D32" s="814" t="s">
        <v>1941</v>
      </c>
      <c r="E32" s="3277" t="s">
        <v>3239</v>
      </c>
      <c r="F32" s="3277"/>
      <c r="G32" s="3277"/>
      <c r="H32" s="3277"/>
    </row>
    <row r="33" spans="1:11" ht="12.75" customHeight="1">
      <c r="C33" s="1787" t="s">
        <v>4824</v>
      </c>
      <c r="E33" s="3277" t="s">
        <v>3399</v>
      </c>
      <c r="F33" s="3277"/>
      <c r="G33" s="3277"/>
      <c r="H33" s="3277"/>
    </row>
    <row r="34" spans="1:11" ht="12.75" customHeight="1">
      <c r="C34" s="1788"/>
      <c r="D34" s="1786" t="s">
        <v>3238</v>
      </c>
      <c r="E34" s="3353" t="s">
        <v>3400</v>
      </c>
      <c r="F34" s="3353"/>
      <c r="G34" s="3353"/>
      <c r="H34" s="3353"/>
    </row>
    <row r="35" spans="1:11" ht="3" customHeight="1">
      <c r="D35" s="814"/>
      <c r="E35" s="1784"/>
      <c r="F35" s="1784"/>
      <c r="G35" s="1784"/>
      <c r="H35" s="1784"/>
    </row>
    <row r="36" spans="1:11" ht="12.75" customHeight="1">
      <c r="C36" s="779" t="s">
        <v>3139</v>
      </c>
      <c r="D36" s="814" t="s">
        <v>1939</v>
      </c>
      <c r="E36" s="815"/>
      <c r="F36" s="811" t="s">
        <v>3140</v>
      </c>
      <c r="G36" s="811"/>
      <c r="H36" s="811"/>
    </row>
    <row r="37" spans="1:11" ht="12.75" customHeight="1">
      <c r="C37" s="816" t="s">
        <v>1326</v>
      </c>
      <c r="D37" s="814" t="s">
        <v>1941</v>
      </c>
      <c r="E37" s="3277" t="s">
        <v>3239</v>
      </c>
      <c r="F37" s="3277"/>
      <c r="G37" s="3277"/>
      <c r="H37" s="3277"/>
    </row>
    <row r="38" spans="1:11" ht="12.75" customHeight="1">
      <c r="C38" s="1787" t="s">
        <v>4824</v>
      </c>
      <c r="E38" s="3277" t="s">
        <v>3399</v>
      </c>
      <c r="F38" s="3277"/>
      <c r="G38" s="3277"/>
      <c r="H38" s="3277"/>
    </row>
    <row r="39" spans="1:11" ht="12.75" customHeight="1">
      <c r="C39" s="1788"/>
      <c r="D39" s="1786" t="s">
        <v>3238</v>
      </c>
      <c r="E39" s="3353" t="s">
        <v>3400</v>
      </c>
      <c r="F39" s="3353"/>
      <c r="G39" s="3353"/>
      <c r="H39" s="3353"/>
    </row>
    <row r="40" spans="1:11" ht="3" customHeight="1">
      <c r="D40" s="814"/>
      <c r="E40" s="1784"/>
      <c r="F40" s="1784"/>
      <c r="G40" s="1784"/>
      <c r="H40" s="1784"/>
    </row>
    <row r="41" spans="1:11" ht="12.75" customHeight="1">
      <c r="C41" s="779" t="s">
        <v>3139</v>
      </c>
      <c r="D41" s="814" t="s">
        <v>1939</v>
      </c>
      <c r="E41" s="815"/>
      <c r="F41" s="811" t="s">
        <v>3140</v>
      </c>
      <c r="G41" s="811"/>
      <c r="H41" s="811"/>
    </row>
    <row r="42" spans="1:11" ht="12.75" customHeight="1">
      <c r="C42" s="816" t="s">
        <v>1326</v>
      </c>
      <c r="D42" s="814" t="s">
        <v>1941</v>
      </c>
      <c r="E42" s="3277" t="s">
        <v>3239</v>
      </c>
      <c r="F42" s="3277"/>
      <c r="G42" s="3277"/>
      <c r="H42" s="3277"/>
    </row>
    <row r="43" spans="1:11" ht="12.75" customHeight="1">
      <c r="C43" s="1787" t="s">
        <v>4824</v>
      </c>
      <c r="E43" s="3277" t="s">
        <v>3399</v>
      </c>
      <c r="F43" s="3277"/>
      <c r="G43" s="3277"/>
      <c r="H43" s="3277"/>
    </row>
    <row r="44" spans="1:11" ht="12.75" customHeight="1">
      <c r="C44" s="1788"/>
      <c r="D44" s="1786" t="s">
        <v>3238</v>
      </c>
      <c r="E44" s="3353" t="s">
        <v>3400</v>
      </c>
      <c r="F44" s="3353"/>
      <c r="G44" s="3353"/>
      <c r="H44" s="3353"/>
    </row>
    <row r="45" spans="1:11" ht="6" customHeight="1">
      <c r="D45" s="814"/>
      <c r="E45" s="1784"/>
      <c r="F45" s="1784"/>
      <c r="G45" s="1784"/>
      <c r="H45" s="1784"/>
    </row>
    <row r="46" spans="1:11">
      <c r="A46" s="785" t="s">
        <v>3234</v>
      </c>
      <c r="B46" s="812" t="str">
        <f>IF('Part VI-Revenues &amp; Expenses'!$L$62=0,"",'Part VI-Revenues &amp; Expenses'!$L$62)</f>
        <v/>
      </c>
      <c r="C46" s="785" t="s">
        <v>3235</v>
      </c>
      <c r="D46" s="813" t="s">
        <v>3401</v>
      </c>
    </row>
    <row r="47" spans="1:11" ht="1.95" customHeight="1">
      <c r="K47" s="1803"/>
    </row>
    <row r="48" spans="1:11" ht="12.75" customHeight="1">
      <c r="C48" s="779" t="s">
        <v>3139</v>
      </c>
      <c r="D48" s="814" t="s">
        <v>1939</v>
      </c>
      <c r="E48" s="815"/>
      <c r="F48" s="811" t="s">
        <v>3140</v>
      </c>
      <c r="G48" s="811"/>
      <c r="H48" s="811"/>
      <c r="K48" s="1803"/>
    </row>
    <row r="49" spans="1:11" ht="12.75" customHeight="1">
      <c r="C49" s="816" t="s">
        <v>1326</v>
      </c>
      <c r="D49" s="814" t="s">
        <v>1941</v>
      </c>
      <c r="E49" s="3277" t="s">
        <v>3239</v>
      </c>
      <c r="F49" s="3277"/>
      <c r="G49" s="3277"/>
      <c r="H49" s="3277"/>
      <c r="K49" s="1803"/>
    </row>
    <row r="50" spans="1:11" ht="12.75" customHeight="1">
      <c r="C50" s="1787" t="s">
        <v>4824</v>
      </c>
      <c r="E50" s="3277" t="s">
        <v>3399</v>
      </c>
      <c r="F50" s="3277"/>
      <c r="G50" s="3277"/>
      <c r="H50" s="3277"/>
    </row>
    <row r="51" spans="1:11" ht="12.75" customHeight="1">
      <c r="C51" s="1788"/>
      <c r="D51" s="1785" t="s">
        <v>3238</v>
      </c>
      <c r="E51" s="3352" t="s">
        <v>3400</v>
      </c>
      <c r="F51" s="3352"/>
      <c r="G51" s="3352"/>
      <c r="H51" s="3352"/>
    </row>
    <row r="52" spans="1:11" ht="3" customHeight="1">
      <c r="D52" s="814"/>
      <c r="E52" s="1784"/>
      <c r="F52" s="1784"/>
      <c r="G52" s="1784"/>
      <c r="H52" s="1784"/>
    </row>
    <row r="53" spans="1:11" ht="12.75" customHeight="1">
      <c r="C53" s="779" t="s">
        <v>3139</v>
      </c>
      <c r="D53" s="814" t="s">
        <v>1939</v>
      </c>
      <c r="E53" s="815"/>
      <c r="F53" s="811" t="s">
        <v>3140</v>
      </c>
      <c r="G53" s="811"/>
      <c r="H53" s="811"/>
    </row>
    <row r="54" spans="1:11" ht="12.75" customHeight="1">
      <c r="C54" s="816" t="s">
        <v>1326</v>
      </c>
      <c r="D54" s="814" t="s">
        <v>1941</v>
      </c>
      <c r="E54" s="3277" t="s">
        <v>3239</v>
      </c>
      <c r="F54" s="3277"/>
      <c r="G54" s="3277"/>
      <c r="H54" s="3277"/>
    </row>
    <row r="55" spans="1:11" ht="12.75" customHeight="1">
      <c r="C55" s="1787" t="s">
        <v>4824</v>
      </c>
      <c r="E55" s="3277" t="s">
        <v>3399</v>
      </c>
      <c r="F55" s="3277"/>
      <c r="G55" s="3277"/>
      <c r="H55" s="3277"/>
    </row>
    <row r="56" spans="1:11" ht="12.75" customHeight="1">
      <c r="C56" s="1788"/>
      <c r="D56" s="1786" t="s">
        <v>3238</v>
      </c>
      <c r="E56" s="3353" t="s">
        <v>3400</v>
      </c>
      <c r="F56" s="3353"/>
      <c r="G56" s="3353"/>
      <c r="H56" s="3353"/>
    </row>
    <row r="57" spans="1:11" ht="3" customHeight="1">
      <c r="D57" s="814"/>
      <c r="E57" s="1784"/>
      <c r="F57" s="1784"/>
      <c r="G57" s="1784"/>
      <c r="H57" s="1784"/>
    </row>
    <row r="58" spans="1:11" ht="12.75" customHeight="1">
      <c r="C58" s="779" t="s">
        <v>3139</v>
      </c>
      <c r="D58" s="814" t="s">
        <v>1939</v>
      </c>
      <c r="E58" s="815"/>
      <c r="F58" s="811" t="s">
        <v>3140</v>
      </c>
      <c r="G58" s="811"/>
      <c r="H58" s="811"/>
    </row>
    <row r="59" spans="1:11" ht="12.75" customHeight="1">
      <c r="C59" s="816" t="s">
        <v>1326</v>
      </c>
      <c r="D59" s="814" t="s">
        <v>1941</v>
      </c>
      <c r="E59" s="3277" t="s">
        <v>3239</v>
      </c>
      <c r="F59" s="3277"/>
      <c r="G59" s="3277"/>
      <c r="H59" s="3277"/>
    </row>
    <row r="60" spans="1:11" ht="12.75" customHeight="1">
      <c r="C60" s="1787" t="s">
        <v>4824</v>
      </c>
      <c r="E60" s="3277" t="s">
        <v>3399</v>
      </c>
      <c r="F60" s="3277"/>
      <c r="G60" s="3277"/>
      <c r="H60" s="3277"/>
    </row>
    <row r="61" spans="1:11" ht="12.75" customHeight="1">
      <c r="C61" s="1788"/>
      <c r="D61" s="1786" t="s">
        <v>3238</v>
      </c>
      <c r="E61" s="3353" t="s">
        <v>3400</v>
      </c>
      <c r="F61" s="3353"/>
      <c r="G61" s="3353"/>
      <c r="H61" s="3353"/>
    </row>
    <row r="62" spans="1:11" ht="6" customHeight="1">
      <c r="D62" s="814"/>
      <c r="E62" s="1240"/>
      <c r="F62" s="1240"/>
      <c r="G62" s="1240"/>
      <c r="H62" s="1240"/>
    </row>
    <row r="63" spans="1:11">
      <c r="A63" s="785" t="s">
        <v>3234</v>
      </c>
      <c r="B63" s="812" t="str">
        <f>IF('Part VI-Revenues &amp; Expenses'!$M$62=0,"",'Part VI-Revenues &amp; Expenses'!$M$62)</f>
        <v/>
      </c>
      <c r="C63" s="785" t="s">
        <v>3236</v>
      </c>
      <c r="D63" s="813" t="s">
        <v>3402</v>
      </c>
    </row>
    <row r="64" spans="1:11" ht="1.95" customHeight="1"/>
    <row r="65" spans="1:8" ht="12.75" customHeight="1">
      <c r="C65" s="779" t="s">
        <v>3139</v>
      </c>
      <c r="D65" s="814" t="s">
        <v>1939</v>
      </c>
      <c r="E65" s="815"/>
      <c r="F65" s="811" t="s">
        <v>3140</v>
      </c>
      <c r="G65" s="811"/>
      <c r="H65" s="811"/>
    </row>
    <row r="66" spans="1:8" ht="12.75" customHeight="1">
      <c r="C66" s="816" t="s">
        <v>1326</v>
      </c>
      <c r="D66" s="814" t="s">
        <v>1941</v>
      </c>
      <c r="E66" s="3277" t="s">
        <v>3239</v>
      </c>
      <c r="F66" s="3277"/>
      <c r="G66" s="3277"/>
      <c r="H66" s="3277"/>
    </row>
    <row r="67" spans="1:8" ht="12.75" customHeight="1">
      <c r="C67" s="1787" t="s">
        <v>4824</v>
      </c>
      <c r="E67" s="3277" t="s">
        <v>3399</v>
      </c>
      <c r="F67" s="3277"/>
      <c r="G67" s="3277"/>
      <c r="H67" s="3277"/>
    </row>
    <row r="68" spans="1:8" ht="12.75" customHeight="1">
      <c r="C68" s="1788"/>
      <c r="D68" s="1785" t="s">
        <v>3238</v>
      </c>
      <c r="E68" s="3352" t="s">
        <v>3400</v>
      </c>
      <c r="F68" s="3352"/>
      <c r="G68" s="3352"/>
      <c r="H68" s="3352"/>
    </row>
    <row r="69" spans="1:8" ht="3" customHeight="1">
      <c r="D69" s="814"/>
      <c r="E69" s="1240"/>
      <c r="F69" s="1240"/>
      <c r="G69" s="1240"/>
      <c r="H69" s="1240"/>
    </row>
    <row r="70" spans="1:8" ht="12.75" customHeight="1">
      <c r="C70" s="779" t="s">
        <v>3139</v>
      </c>
      <c r="D70" s="814" t="s">
        <v>1939</v>
      </c>
      <c r="E70" s="815"/>
      <c r="F70" s="811" t="s">
        <v>3140</v>
      </c>
      <c r="G70" s="811"/>
      <c r="H70" s="811"/>
    </row>
    <row r="71" spans="1:8" ht="12.75" customHeight="1">
      <c r="C71" s="816" t="s">
        <v>1326</v>
      </c>
      <c r="D71" s="814" t="s">
        <v>1941</v>
      </c>
      <c r="E71" s="3277" t="s">
        <v>3239</v>
      </c>
      <c r="F71" s="3277"/>
      <c r="G71" s="3277"/>
      <c r="H71" s="3277"/>
    </row>
    <row r="72" spans="1:8" ht="12.75" customHeight="1">
      <c r="C72" s="1787" t="s">
        <v>4824</v>
      </c>
      <c r="E72" s="3277" t="s">
        <v>3399</v>
      </c>
      <c r="F72" s="3277"/>
      <c r="G72" s="3277"/>
      <c r="H72" s="3277"/>
    </row>
    <row r="73" spans="1:8" ht="12.75" customHeight="1">
      <c r="C73" s="1788"/>
      <c r="D73" s="1786" t="s">
        <v>3238</v>
      </c>
      <c r="E73" s="3353" t="s">
        <v>3400</v>
      </c>
      <c r="F73" s="3353"/>
      <c r="G73" s="3353"/>
      <c r="H73" s="3353"/>
    </row>
    <row r="74" spans="1:8" ht="3" customHeight="1">
      <c r="D74" s="814"/>
      <c r="E74" s="1784"/>
      <c r="F74" s="1784"/>
      <c r="G74" s="1784"/>
      <c r="H74" s="1784"/>
    </row>
    <row r="75" spans="1:8" ht="12.75" customHeight="1">
      <c r="C75" s="779" t="s">
        <v>3139</v>
      </c>
      <c r="D75" s="814" t="s">
        <v>1939</v>
      </c>
      <c r="E75" s="815"/>
      <c r="F75" s="811" t="s">
        <v>3140</v>
      </c>
      <c r="G75" s="811"/>
      <c r="H75" s="811"/>
    </row>
    <row r="76" spans="1:8" ht="12.75" customHeight="1">
      <c r="C76" s="816" t="s">
        <v>1326</v>
      </c>
      <c r="D76" s="814" t="s">
        <v>1941</v>
      </c>
      <c r="E76" s="3277" t="s">
        <v>3239</v>
      </c>
      <c r="F76" s="3277"/>
      <c r="G76" s="3277"/>
      <c r="H76" s="3277"/>
    </row>
    <row r="77" spans="1:8" ht="12.75" customHeight="1">
      <c r="C77" s="1787" t="s">
        <v>4824</v>
      </c>
      <c r="E77" s="3277" t="s">
        <v>3399</v>
      </c>
      <c r="F77" s="3277"/>
      <c r="G77" s="3277"/>
      <c r="H77" s="3277"/>
    </row>
    <row r="78" spans="1:8" ht="12.75" customHeight="1">
      <c r="C78" s="1788"/>
      <c r="D78" s="1786" t="s">
        <v>3238</v>
      </c>
      <c r="E78" s="3353" t="s">
        <v>3400</v>
      </c>
      <c r="F78" s="3353"/>
      <c r="G78" s="3353"/>
      <c r="H78" s="3353"/>
    </row>
    <row r="79" spans="1:8" ht="6" customHeight="1">
      <c r="D79" s="814"/>
      <c r="E79" s="1784"/>
      <c r="F79" s="1784"/>
      <c r="G79" s="1784"/>
      <c r="H79" s="1784"/>
    </row>
    <row r="80" spans="1:8">
      <c r="A80" s="785" t="s">
        <v>3234</v>
      </c>
      <c r="B80" s="812" t="str">
        <f>IF('Part VI-Revenues &amp; Expenses'!$N$62=0,"",'Part VI-Revenues &amp; Expenses'!$N$62)</f>
        <v/>
      </c>
      <c r="C80" s="785" t="s">
        <v>3237</v>
      </c>
      <c r="D80" s="813" t="s">
        <v>3403</v>
      </c>
    </row>
    <row r="81" spans="3:8" ht="1.95" customHeight="1"/>
    <row r="82" spans="3:8" ht="12.75" customHeight="1">
      <c r="C82" s="779" t="s">
        <v>3139</v>
      </c>
      <c r="D82" s="814" t="s">
        <v>1939</v>
      </c>
      <c r="E82" s="815"/>
      <c r="F82" s="811" t="s">
        <v>3140</v>
      </c>
      <c r="G82" s="811"/>
      <c r="H82" s="811"/>
    </row>
    <row r="83" spans="3:8" ht="12.75" customHeight="1">
      <c r="C83" s="816" t="s">
        <v>1326</v>
      </c>
      <c r="D83" s="814" t="s">
        <v>1941</v>
      </c>
      <c r="E83" s="3277" t="s">
        <v>3239</v>
      </c>
      <c r="F83" s="3277"/>
      <c r="G83" s="3277"/>
      <c r="H83" s="3277"/>
    </row>
    <row r="84" spans="3:8" ht="12.75" customHeight="1">
      <c r="C84" s="1787" t="s">
        <v>4824</v>
      </c>
      <c r="E84" s="3277" t="s">
        <v>3399</v>
      </c>
      <c r="F84" s="3277"/>
      <c r="G84" s="3277"/>
      <c r="H84" s="3277"/>
    </row>
    <row r="85" spans="3:8" ht="12.75" customHeight="1">
      <c r="C85" s="1788"/>
      <c r="D85" s="1785" t="s">
        <v>3238</v>
      </c>
      <c r="E85" s="3352" t="s">
        <v>3400</v>
      </c>
      <c r="F85" s="3352"/>
      <c r="G85" s="3352"/>
      <c r="H85" s="3352"/>
    </row>
    <row r="86" spans="3:8" ht="3" customHeight="1">
      <c r="D86" s="814"/>
      <c r="E86" s="1784"/>
      <c r="F86" s="1784"/>
      <c r="G86" s="1784"/>
      <c r="H86" s="1784"/>
    </row>
    <row r="87" spans="3:8" ht="12.75" customHeight="1">
      <c r="C87" s="779" t="s">
        <v>3139</v>
      </c>
      <c r="D87" s="814" t="s">
        <v>1939</v>
      </c>
      <c r="E87" s="815"/>
      <c r="F87" s="811" t="s">
        <v>3140</v>
      </c>
      <c r="G87" s="811"/>
      <c r="H87" s="811"/>
    </row>
    <row r="88" spans="3:8" ht="12.75" customHeight="1">
      <c r="C88" s="816" t="s">
        <v>1326</v>
      </c>
      <c r="D88" s="814" t="s">
        <v>1941</v>
      </c>
      <c r="E88" s="3277" t="s">
        <v>3239</v>
      </c>
      <c r="F88" s="3277"/>
      <c r="G88" s="3277"/>
      <c r="H88" s="3277"/>
    </row>
    <row r="89" spans="3:8" ht="12.75" customHeight="1">
      <c r="C89" s="1787" t="s">
        <v>4824</v>
      </c>
      <c r="E89" s="3277" t="s">
        <v>3399</v>
      </c>
      <c r="F89" s="3277"/>
      <c r="G89" s="3277"/>
      <c r="H89" s="3277"/>
    </row>
    <row r="90" spans="3:8" ht="12.75" customHeight="1">
      <c r="C90" s="1788"/>
      <c r="D90" s="1786" t="s">
        <v>3238</v>
      </c>
      <c r="E90" s="3353" t="s">
        <v>3400</v>
      </c>
      <c r="F90" s="3353"/>
      <c r="G90" s="3353"/>
      <c r="H90" s="3353"/>
    </row>
    <row r="91" spans="3:8" ht="3" customHeight="1">
      <c r="D91" s="814"/>
      <c r="E91" s="1784"/>
      <c r="F91" s="1784"/>
      <c r="G91" s="1784"/>
      <c r="H91" s="1784"/>
    </row>
    <row r="92" spans="3:8" ht="12.75" customHeight="1">
      <c r="C92" s="779" t="s">
        <v>3139</v>
      </c>
      <c r="D92" s="814" t="s">
        <v>1939</v>
      </c>
      <c r="E92" s="815"/>
      <c r="F92" s="811" t="s">
        <v>3140</v>
      </c>
      <c r="G92" s="811"/>
      <c r="H92" s="811"/>
    </row>
    <row r="93" spans="3:8" ht="12.75" customHeight="1">
      <c r="C93" s="816" t="s">
        <v>1326</v>
      </c>
      <c r="D93" s="814" t="s">
        <v>1941</v>
      </c>
      <c r="E93" s="3277" t="s">
        <v>3239</v>
      </c>
      <c r="F93" s="3277"/>
      <c r="G93" s="3277"/>
      <c r="H93" s="3277"/>
    </row>
    <row r="94" spans="3:8" ht="12.75" customHeight="1">
      <c r="C94" s="1787" t="s">
        <v>4824</v>
      </c>
      <c r="E94" s="3277" t="s">
        <v>3399</v>
      </c>
      <c r="F94" s="3277"/>
      <c r="G94" s="3277"/>
      <c r="H94" s="3277"/>
    </row>
    <row r="95" spans="3:8" ht="12.75" customHeight="1">
      <c r="C95" s="1788"/>
      <c r="D95" s="1786" t="s">
        <v>3238</v>
      </c>
      <c r="E95" s="3353" t="s">
        <v>3400</v>
      </c>
      <c r="F95" s="3353"/>
      <c r="G95" s="3353"/>
      <c r="H95" s="3353"/>
    </row>
    <row r="96" spans="3:8" ht="6" customHeight="1">
      <c r="D96" s="814"/>
      <c r="E96" s="1784"/>
      <c r="F96" s="1784"/>
      <c r="G96" s="1784"/>
      <c r="H96" s="1784"/>
    </row>
    <row r="97" spans="1:11">
      <c r="A97" s="785" t="s">
        <v>3234</v>
      </c>
      <c r="B97" s="812" t="str">
        <f>IF('Part VI-Revenues &amp; Expenses'!$O$62=0,"",'Part VI-Revenues &amp; Expenses'!$O$62)</f>
        <v/>
      </c>
      <c r="C97" s="785" t="s">
        <v>4822</v>
      </c>
      <c r="D97" s="813" t="s">
        <v>4823</v>
      </c>
    </row>
    <row r="98" spans="1:11" ht="1.95" customHeight="1"/>
    <row r="99" spans="1:11" ht="12.75" customHeight="1">
      <c r="C99" s="779" t="s">
        <v>3139</v>
      </c>
      <c r="D99" s="814" t="s">
        <v>1939</v>
      </c>
      <c r="E99" s="815"/>
      <c r="F99" s="3277" t="s">
        <v>3140</v>
      </c>
      <c r="G99" s="3277"/>
      <c r="H99" s="3277"/>
      <c r="K99" s="730" t="s">
        <v>238</v>
      </c>
    </row>
    <row r="100" spans="1:11" ht="12.75" customHeight="1">
      <c r="C100" s="816" t="s">
        <v>1326</v>
      </c>
      <c r="D100" s="814" t="s">
        <v>1941</v>
      </c>
      <c r="E100" s="3277" t="s">
        <v>3240</v>
      </c>
      <c r="F100" s="3277"/>
      <c r="G100" s="3277"/>
      <c r="H100" s="3277"/>
    </row>
    <row r="101" spans="1:11" ht="12.75" customHeight="1">
      <c r="E101" s="3277" t="s">
        <v>3399</v>
      </c>
      <c r="F101" s="3277"/>
      <c r="G101" s="3277"/>
      <c r="H101" s="3277"/>
    </row>
    <row r="102" spans="1:11" ht="12.75" customHeight="1">
      <c r="D102" s="817" t="s">
        <v>3238</v>
      </c>
      <c r="E102" s="3277" t="s">
        <v>3400</v>
      </c>
      <c r="F102" s="3277"/>
      <c r="G102" s="3277"/>
      <c r="H102" s="3277"/>
    </row>
    <row r="103" spans="1:11" ht="9" customHeight="1" thickBot="1"/>
    <row r="104" spans="1:11" ht="16.2" customHeight="1" thickBot="1">
      <c r="A104" s="3359">
        <v>30</v>
      </c>
      <c r="B104" s="3360"/>
      <c r="C104" s="1789" t="s">
        <v>1018</v>
      </c>
    </row>
    <row r="105" spans="1:11" ht="9" customHeight="1">
      <c r="A105" s="752"/>
    </row>
    <row r="106" spans="1:11" ht="28.2" customHeight="1">
      <c r="A106" s="3357" t="s">
        <v>4827</v>
      </c>
      <c r="B106" s="3357"/>
      <c r="C106" s="3357"/>
      <c r="D106" s="3357"/>
      <c r="E106" s="3357"/>
      <c r="F106" s="3357"/>
      <c r="G106" s="3357"/>
      <c r="H106" s="3357"/>
    </row>
    <row r="107" spans="1:11" ht="9" customHeight="1">
      <c r="A107" s="752"/>
    </row>
    <row r="108" spans="1:11">
      <c r="A108" s="785" t="s">
        <v>3234</v>
      </c>
      <c r="B108" s="812" t="str">
        <f>IF('Part VI-Revenues &amp; Expenses'!$K$61=0,"",'Part VI-Revenues &amp; Expenses'!$K$61)</f>
        <v/>
      </c>
      <c r="C108" s="785" t="s">
        <v>4819</v>
      </c>
      <c r="D108" s="813" t="s">
        <v>4820</v>
      </c>
    </row>
    <row r="109" spans="1:11" ht="1.95" customHeight="1"/>
    <row r="110" spans="1:11" ht="12.75" customHeight="1">
      <c r="C110" s="779" t="s">
        <v>3139</v>
      </c>
      <c r="D110" s="814" t="s">
        <v>1939</v>
      </c>
      <c r="E110" s="815"/>
      <c r="F110" s="3277" t="s">
        <v>3140</v>
      </c>
      <c r="G110" s="3277"/>
      <c r="H110" s="3277"/>
    </row>
    <row r="111" spans="1:11" ht="12.75" customHeight="1">
      <c r="C111" s="816" t="s">
        <v>1326</v>
      </c>
      <c r="D111" s="814" t="s">
        <v>1941</v>
      </c>
      <c r="E111" s="3277" t="s">
        <v>3239</v>
      </c>
      <c r="F111" s="3277"/>
      <c r="G111" s="3277"/>
      <c r="H111" s="3277"/>
    </row>
    <row r="112" spans="1:11" ht="12.75" customHeight="1">
      <c r="C112" s="1787" t="s">
        <v>4824</v>
      </c>
      <c r="E112" s="3277" t="s">
        <v>3399</v>
      </c>
      <c r="F112" s="3277"/>
      <c r="G112" s="3277"/>
      <c r="H112" s="3277"/>
    </row>
    <row r="113" spans="1:8" ht="12.75" customHeight="1">
      <c r="C113" s="1788"/>
      <c r="D113" s="1786" t="s">
        <v>3238</v>
      </c>
      <c r="E113" s="3353" t="s">
        <v>3400</v>
      </c>
      <c r="F113" s="3353"/>
      <c r="G113" s="3353"/>
      <c r="H113" s="3353"/>
    </row>
    <row r="114" spans="1:8" ht="3" customHeight="1">
      <c r="D114" s="814"/>
      <c r="E114" s="1784"/>
      <c r="F114" s="1784"/>
      <c r="G114" s="1784"/>
      <c r="H114" s="1784"/>
    </row>
    <row r="115" spans="1:8" ht="12.75" customHeight="1">
      <c r="C115" s="779" t="s">
        <v>3139</v>
      </c>
      <c r="D115" s="814" t="s">
        <v>1939</v>
      </c>
      <c r="E115" s="815"/>
      <c r="F115" s="811" t="s">
        <v>3140</v>
      </c>
      <c r="G115" s="811"/>
      <c r="H115" s="811"/>
    </row>
    <row r="116" spans="1:8" ht="12.75" customHeight="1">
      <c r="C116" s="816" t="s">
        <v>1326</v>
      </c>
      <c r="D116" s="814" t="s">
        <v>1941</v>
      </c>
      <c r="E116" s="3277" t="s">
        <v>3239</v>
      </c>
      <c r="F116" s="3277"/>
      <c r="G116" s="3277"/>
      <c r="H116" s="3277"/>
    </row>
    <row r="117" spans="1:8" ht="12.75" customHeight="1">
      <c r="C117" s="1787" t="s">
        <v>4824</v>
      </c>
      <c r="E117" s="3277" t="s">
        <v>3399</v>
      </c>
      <c r="F117" s="3277"/>
      <c r="G117" s="3277"/>
      <c r="H117" s="3277"/>
    </row>
    <row r="118" spans="1:8" ht="12.75" customHeight="1">
      <c r="C118" s="1788"/>
      <c r="D118" s="1786" t="s">
        <v>3238</v>
      </c>
      <c r="E118" s="3353" t="s">
        <v>3400</v>
      </c>
      <c r="F118" s="3353"/>
      <c r="G118" s="3353"/>
      <c r="H118" s="3353"/>
    </row>
    <row r="119" spans="1:8" ht="3" customHeight="1">
      <c r="D119" s="814"/>
      <c r="E119" s="1784"/>
      <c r="F119" s="1784"/>
      <c r="G119" s="1784"/>
      <c r="H119" s="1784"/>
    </row>
    <row r="120" spans="1:8" ht="12.75" customHeight="1">
      <c r="C120" s="779" t="s">
        <v>3139</v>
      </c>
      <c r="D120" s="814" t="s">
        <v>1939</v>
      </c>
      <c r="E120" s="815"/>
      <c r="F120" s="811" t="s">
        <v>3140</v>
      </c>
      <c r="G120" s="811"/>
      <c r="H120" s="811"/>
    </row>
    <row r="121" spans="1:8" ht="12.75" customHeight="1">
      <c r="C121" s="816" t="s">
        <v>1326</v>
      </c>
      <c r="D121" s="814" t="s">
        <v>1941</v>
      </c>
      <c r="E121" s="3277" t="s">
        <v>3239</v>
      </c>
      <c r="F121" s="3277"/>
      <c r="G121" s="3277"/>
      <c r="H121" s="3277"/>
    </row>
    <row r="122" spans="1:8" ht="12.75" customHeight="1">
      <c r="C122" s="1787" t="s">
        <v>4824</v>
      </c>
      <c r="E122" s="3277" t="s">
        <v>3399</v>
      </c>
      <c r="F122" s="3277"/>
      <c r="G122" s="3277"/>
      <c r="H122" s="3277"/>
    </row>
    <row r="123" spans="1:8" ht="12.75" customHeight="1">
      <c r="C123" s="1788"/>
      <c r="D123" s="1786" t="s">
        <v>3238</v>
      </c>
      <c r="E123" s="3353" t="s">
        <v>3400</v>
      </c>
      <c r="F123" s="3353"/>
      <c r="G123" s="3353"/>
      <c r="H123" s="3353"/>
    </row>
    <row r="124" spans="1:8" ht="6" customHeight="1">
      <c r="D124" s="814"/>
      <c r="E124" s="1784"/>
      <c r="F124" s="1784"/>
      <c r="G124" s="1784"/>
      <c r="H124" s="1784"/>
    </row>
    <row r="125" spans="1:8">
      <c r="A125" s="785" t="s">
        <v>3234</v>
      </c>
      <c r="B125" s="812" t="str">
        <f>IF('Part VI-Revenues &amp; Expenses'!$L$61=0,"",'Part VI-Revenues &amp; Expenses'!$L$61)</f>
        <v/>
      </c>
      <c r="C125" s="785" t="s">
        <v>3235</v>
      </c>
      <c r="D125" s="813" t="s">
        <v>3401</v>
      </c>
    </row>
    <row r="126" spans="1:8" ht="1.95" customHeight="1"/>
    <row r="127" spans="1:8" ht="12.75" customHeight="1">
      <c r="C127" s="779" t="s">
        <v>3139</v>
      </c>
      <c r="D127" s="814" t="s">
        <v>1939</v>
      </c>
      <c r="E127" s="815"/>
      <c r="F127" s="811" t="s">
        <v>3140</v>
      </c>
      <c r="G127" s="811"/>
      <c r="H127" s="811"/>
    </row>
    <row r="128" spans="1:8" ht="12.75" customHeight="1">
      <c r="C128" s="816" t="s">
        <v>1326</v>
      </c>
      <c r="D128" s="814" t="s">
        <v>1941</v>
      </c>
      <c r="E128" s="3277" t="s">
        <v>3239</v>
      </c>
      <c r="F128" s="3277"/>
      <c r="G128" s="3277"/>
      <c r="H128" s="3277"/>
    </row>
    <row r="129" spans="1:8" ht="12.75" customHeight="1">
      <c r="C129" s="1787" t="s">
        <v>4824</v>
      </c>
      <c r="E129" s="3277" t="s">
        <v>3399</v>
      </c>
      <c r="F129" s="3277"/>
      <c r="G129" s="3277"/>
      <c r="H129" s="3277"/>
    </row>
    <row r="130" spans="1:8" ht="12.75" customHeight="1">
      <c r="C130" s="1788"/>
      <c r="D130" s="1785" t="s">
        <v>3238</v>
      </c>
      <c r="E130" s="3352" t="s">
        <v>3400</v>
      </c>
      <c r="F130" s="3352"/>
      <c r="G130" s="3352"/>
      <c r="H130" s="3352"/>
    </row>
    <row r="131" spans="1:8" ht="3" customHeight="1">
      <c r="D131" s="814"/>
      <c r="E131" s="1784"/>
      <c r="F131" s="1784"/>
      <c r="G131" s="1784"/>
      <c r="H131" s="1784"/>
    </row>
    <row r="132" spans="1:8" ht="12.75" customHeight="1">
      <c r="C132" s="779" t="s">
        <v>3139</v>
      </c>
      <c r="D132" s="814" t="s">
        <v>1939</v>
      </c>
      <c r="E132" s="815"/>
      <c r="F132" s="811" t="s">
        <v>3140</v>
      </c>
      <c r="G132" s="811"/>
      <c r="H132" s="811"/>
    </row>
    <row r="133" spans="1:8" ht="12.75" customHeight="1">
      <c r="C133" s="816" t="s">
        <v>1326</v>
      </c>
      <c r="D133" s="814" t="s">
        <v>1941</v>
      </c>
      <c r="E133" s="3277" t="s">
        <v>3239</v>
      </c>
      <c r="F133" s="3277"/>
      <c r="G133" s="3277"/>
      <c r="H133" s="3277"/>
    </row>
    <row r="134" spans="1:8" ht="12.75" customHeight="1">
      <c r="C134" s="1787" t="s">
        <v>4824</v>
      </c>
      <c r="E134" s="3277" t="s">
        <v>3399</v>
      </c>
      <c r="F134" s="3277"/>
      <c r="G134" s="3277"/>
      <c r="H134" s="3277"/>
    </row>
    <row r="135" spans="1:8" ht="12.75" customHeight="1">
      <c r="C135" s="1788"/>
      <c r="D135" s="1786" t="s">
        <v>3238</v>
      </c>
      <c r="E135" s="3353" t="s">
        <v>3400</v>
      </c>
      <c r="F135" s="3353"/>
      <c r="G135" s="3353"/>
      <c r="H135" s="3353"/>
    </row>
    <row r="136" spans="1:8" ht="3" customHeight="1">
      <c r="D136" s="814"/>
      <c r="E136" s="1784"/>
      <c r="F136" s="1784"/>
      <c r="G136" s="1784"/>
      <c r="H136" s="1784"/>
    </row>
    <row r="137" spans="1:8" ht="12.75" customHeight="1">
      <c r="C137" s="779" t="s">
        <v>3139</v>
      </c>
      <c r="D137" s="814" t="s">
        <v>1939</v>
      </c>
      <c r="E137" s="815"/>
      <c r="F137" s="811" t="s">
        <v>3140</v>
      </c>
      <c r="G137" s="811"/>
      <c r="H137" s="811"/>
    </row>
    <row r="138" spans="1:8" ht="12.75" customHeight="1">
      <c r="C138" s="816" t="s">
        <v>1326</v>
      </c>
      <c r="D138" s="814" t="s">
        <v>1941</v>
      </c>
      <c r="E138" s="3277" t="s">
        <v>3239</v>
      </c>
      <c r="F138" s="3277"/>
      <c r="G138" s="3277"/>
      <c r="H138" s="3277"/>
    </row>
    <row r="139" spans="1:8" ht="12.75" customHeight="1">
      <c r="C139" s="1787" t="s">
        <v>4824</v>
      </c>
      <c r="E139" s="3277" t="s">
        <v>3399</v>
      </c>
      <c r="F139" s="3277"/>
      <c r="G139" s="3277"/>
      <c r="H139" s="3277"/>
    </row>
    <row r="140" spans="1:8" ht="12.75" customHeight="1">
      <c r="C140" s="1788"/>
      <c r="D140" s="1786" t="s">
        <v>3238</v>
      </c>
      <c r="E140" s="3353" t="s">
        <v>3400</v>
      </c>
      <c r="F140" s="3353"/>
      <c r="G140" s="3353"/>
      <c r="H140" s="3353"/>
    </row>
    <row r="141" spans="1:8" ht="6" customHeight="1">
      <c r="D141" s="814"/>
      <c r="E141" s="1784"/>
      <c r="F141" s="1784"/>
      <c r="G141" s="1784"/>
      <c r="H141" s="1784"/>
    </row>
    <row r="142" spans="1:8">
      <c r="A142" s="785" t="s">
        <v>3234</v>
      </c>
      <c r="B142" s="812" t="str">
        <f>IF('Part VI-Revenues &amp; Expenses'!$M$61=0,"",'Part VI-Revenues &amp; Expenses'!$M$61)</f>
        <v/>
      </c>
      <c r="C142" s="785" t="s">
        <v>3236</v>
      </c>
      <c r="D142" s="813" t="s">
        <v>3402</v>
      </c>
    </row>
    <row r="143" spans="1:8" ht="1.95" customHeight="1"/>
    <row r="144" spans="1:8" ht="12.75" customHeight="1">
      <c r="C144" s="779" t="s">
        <v>3139</v>
      </c>
      <c r="D144" s="814" t="s">
        <v>1939</v>
      </c>
      <c r="E144" s="815"/>
      <c r="F144" s="811" t="s">
        <v>3140</v>
      </c>
      <c r="G144" s="811"/>
      <c r="H144" s="811"/>
    </row>
    <row r="145" spans="1:8" ht="12.75" customHeight="1">
      <c r="C145" s="816" t="s">
        <v>1326</v>
      </c>
      <c r="D145" s="814" t="s">
        <v>1941</v>
      </c>
      <c r="E145" s="3277" t="s">
        <v>3239</v>
      </c>
      <c r="F145" s="3277"/>
      <c r="G145" s="3277"/>
      <c r="H145" s="3277"/>
    </row>
    <row r="146" spans="1:8" ht="12.75" customHeight="1">
      <c r="C146" s="1787" t="s">
        <v>4824</v>
      </c>
      <c r="E146" s="3277" t="s">
        <v>3399</v>
      </c>
      <c r="F146" s="3277"/>
      <c r="G146" s="3277"/>
      <c r="H146" s="3277"/>
    </row>
    <row r="147" spans="1:8" ht="12.75" customHeight="1">
      <c r="C147" s="1788"/>
      <c r="D147" s="1785" t="s">
        <v>3238</v>
      </c>
      <c r="E147" s="3352" t="s">
        <v>3400</v>
      </c>
      <c r="F147" s="3352"/>
      <c r="G147" s="3352"/>
      <c r="H147" s="3352"/>
    </row>
    <row r="148" spans="1:8" ht="3" customHeight="1">
      <c r="D148" s="814"/>
      <c r="E148" s="1784"/>
      <c r="F148" s="1784"/>
      <c r="G148" s="1784"/>
      <c r="H148" s="1784"/>
    </row>
    <row r="149" spans="1:8" ht="12.75" customHeight="1">
      <c r="C149" s="779" t="s">
        <v>3139</v>
      </c>
      <c r="D149" s="814" t="s">
        <v>1939</v>
      </c>
      <c r="E149" s="815"/>
      <c r="F149" s="811" t="s">
        <v>3140</v>
      </c>
      <c r="G149" s="811"/>
      <c r="H149" s="811"/>
    </row>
    <row r="150" spans="1:8" ht="12.75" customHeight="1">
      <c r="C150" s="816" t="s">
        <v>1326</v>
      </c>
      <c r="D150" s="814" t="s">
        <v>1941</v>
      </c>
      <c r="E150" s="3277" t="s">
        <v>3239</v>
      </c>
      <c r="F150" s="3277"/>
      <c r="G150" s="3277"/>
      <c r="H150" s="3277"/>
    </row>
    <row r="151" spans="1:8" ht="12.75" customHeight="1">
      <c r="C151" s="1787" t="s">
        <v>4824</v>
      </c>
      <c r="E151" s="3277" t="s">
        <v>3399</v>
      </c>
      <c r="F151" s="3277"/>
      <c r="G151" s="3277"/>
      <c r="H151" s="3277"/>
    </row>
    <row r="152" spans="1:8" ht="12.75" customHeight="1">
      <c r="C152" s="1788"/>
      <c r="D152" s="1786" t="s">
        <v>3238</v>
      </c>
      <c r="E152" s="3353" t="s">
        <v>3400</v>
      </c>
      <c r="F152" s="3353"/>
      <c r="G152" s="3353"/>
      <c r="H152" s="3353"/>
    </row>
    <row r="153" spans="1:8" ht="3" customHeight="1">
      <c r="D153" s="814"/>
      <c r="E153" s="1784"/>
      <c r="F153" s="1784"/>
      <c r="G153" s="1784"/>
      <c r="H153" s="1784"/>
    </row>
    <row r="154" spans="1:8" ht="12.75" customHeight="1">
      <c r="C154" s="779" t="s">
        <v>3139</v>
      </c>
      <c r="D154" s="814" t="s">
        <v>1939</v>
      </c>
      <c r="E154" s="815"/>
      <c r="F154" s="811" t="s">
        <v>3140</v>
      </c>
      <c r="G154" s="811"/>
      <c r="H154" s="811"/>
    </row>
    <row r="155" spans="1:8" ht="12.75" customHeight="1">
      <c r="C155" s="816" t="s">
        <v>1326</v>
      </c>
      <c r="D155" s="814" t="s">
        <v>1941</v>
      </c>
      <c r="E155" s="3277" t="s">
        <v>3239</v>
      </c>
      <c r="F155" s="3277"/>
      <c r="G155" s="3277"/>
      <c r="H155" s="3277"/>
    </row>
    <row r="156" spans="1:8" ht="12.75" customHeight="1">
      <c r="C156" s="1787" t="s">
        <v>4824</v>
      </c>
      <c r="E156" s="3277" t="s">
        <v>3399</v>
      </c>
      <c r="F156" s="3277"/>
      <c r="G156" s="3277"/>
      <c r="H156" s="3277"/>
    </row>
    <row r="157" spans="1:8" ht="12.75" customHeight="1">
      <c r="C157" s="1788"/>
      <c r="D157" s="1786" t="s">
        <v>3238</v>
      </c>
      <c r="E157" s="3353" t="s">
        <v>3400</v>
      </c>
      <c r="F157" s="3353"/>
      <c r="G157" s="3353"/>
      <c r="H157" s="3353"/>
    </row>
    <row r="158" spans="1:8" ht="6" customHeight="1">
      <c r="D158" s="814"/>
      <c r="E158" s="1784"/>
      <c r="F158" s="1784"/>
      <c r="G158" s="1784"/>
      <c r="H158" s="1784"/>
    </row>
    <row r="159" spans="1:8">
      <c r="A159" s="785" t="s">
        <v>3234</v>
      </c>
      <c r="B159" s="812" t="str">
        <f>IF('Part VI-Revenues &amp; Expenses'!$N$61=0,"",'Part VI-Revenues &amp; Expenses'!$N$61)</f>
        <v/>
      </c>
      <c r="C159" s="785" t="s">
        <v>3237</v>
      </c>
      <c r="D159" s="813" t="s">
        <v>3403</v>
      </c>
    </row>
    <row r="160" spans="1:8" ht="1.95" customHeight="1"/>
    <row r="161" spans="1:8" ht="12.75" customHeight="1">
      <c r="C161" s="779" t="s">
        <v>3139</v>
      </c>
      <c r="D161" s="814" t="s">
        <v>1939</v>
      </c>
      <c r="E161" s="815"/>
      <c r="F161" s="811" t="s">
        <v>3140</v>
      </c>
      <c r="G161" s="811"/>
      <c r="H161" s="811"/>
    </row>
    <row r="162" spans="1:8" ht="12.75" customHeight="1">
      <c r="C162" s="816" t="s">
        <v>1326</v>
      </c>
      <c r="D162" s="814" t="s">
        <v>1941</v>
      </c>
      <c r="E162" s="3277" t="s">
        <v>3239</v>
      </c>
      <c r="F162" s="3277"/>
      <c r="G162" s="3277"/>
      <c r="H162" s="3277"/>
    </row>
    <row r="163" spans="1:8" ht="12.75" customHeight="1">
      <c r="C163" s="1787" t="s">
        <v>4824</v>
      </c>
      <c r="E163" s="3277" t="s">
        <v>3399</v>
      </c>
      <c r="F163" s="3277"/>
      <c r="G163" s="3277"/>
      <c r="H163" s="3277"/>
    </row>
    <row r="164" spans="1:8" ht="12.75" customHeight="1">
      <c r="C164" s="1788"/>
      <c r="D164" s="1785" t="s">
        <v>3238</v>
      </c>
      <c r="E164" s="3352" t="s">
        <v>3400</v>
      </c>
      <c r="F164" s="3352"/>
      <c r="G164" s="3352"/>
      <c r="H164" s="3352"/>
    </row>
    <row r="165" spans="1:8" ht="3" customHeight="1">
      <c r="D165" s="814"/>
      <c r="E165" s="1784"/>
      <c r="F165" s="1784"/>
      <c r="G165" s="1784"/>
      <c r="H165" s="1784"/>
    </row>
    <row r="166" spans="1:8" ht="12.75" customHeight="1">
      <c r="C166" s="779" t="s">
        <v>3139</v>
      </c>
      <c r="D166" s="814" t="s">
        <v>1939</v>
      </c>
      <c r="E166" s="815"/>
      <c r="F166" s="811" t="s">
        <v>3140</v>
      </c>
      <c r="G166" s="811"/>
      <c r="H166" s="811"/>
    </row>
    <row r="167" spans="1:8" ht="12.75" customHeight="1">
      <c r="C167" s="816" t="s">
        <v>1326</v>
      </c>
      <c r="D167" s="814" t="s">
        <v>1941</v>
      </c>
      <c r="E167" s="3277" t="s">
        <v>3239</v>
      </c>
      <c r="F167" s="3277"/>
      <c r="G167" s="3277"/>
      <c r="H167" s="3277"/>
    </row>
    <row r="168" spans="1:8" ht="12.75" customHeight="1">
      <c r="C168" s="1787" t="s">
        <v>4824</v>
      </c>
      <c r="E168" s="3277" t="s">
        <v>3399</v>
      </c>
      <c r="F168" s="3277"/>
      <c r="G168" s="3277"/>
      <c r="H168" s="3277"/>
    </row>
    <row r="169" spans="1:8" ht="12.75" customHeight="1">
      <c r="C169" s="1788"/>
      <c r="D169" s="1786" t="s">
        <v>3238</v>
      </c>
      <c r="E169" s="3353" t="s">
        <v>3400</v>
      </c>
      <c r="F169" s="3353"/>
      <c r="G169" s="3353"/>
      <c r="H169" s="3353"/>
    </row>
    <row r="170" spans="1:8" ht="3" customHeight="1">
      <c r="D170" s="814"/>
      <c r="E170" s="1784"/>
      <c r="F170" s="1784"/>
      <c r="G170" s="1784"/>
      <c r="H170" s="1784"/>
    </row>
    <row r="171" spans="1:8" ht="12.75" customHeight="1">
      <c r="C171" s="779" t="s">
        <v>3139</v>
      </c>
      <c r="D171" s="814" t="s">
        <v>1939</v>
      </c>
      <c r="E171" s="815"/>
      <c r="F171" s="811" t="s">
        <v>3140</v>
      </c>
      <c r="G171" s="811"/>
      <c r="H171" s="811"/>
    </row>
    <row r="172" spans="1:8" ht="12.75" customHeight="1">
      <c r="C172" s="816" t="s">
        <v>1326</v>
      </c>
      <c r="D172" s="814" t="s">
        <v>1941</v>
      </c>
      <c r="E172" s="3277" t="s">
        <v>3239</v>
      </c>
      <c r="F172" s="3277"/>
      <c r="G172" s="3277"/>
      <c r="H172" s="3277"/>
    </row>
    <row r="173" spans="1:8" ht="12.75" customHeight="1">
      <c r="C173" s="1787" t="s">
        <v>4824</v>
      </c>
      <c r="E173" s="3277" t="s">
        <v>3399</v>
      </c>
      <c r="F173" s="3277"/>
      <c r="G173" s="3277"/>
      <c r="H173" s="3277"/>
    </row>
    <row r="174" spans="1:8" ht="12.75" customHeight="1">
      <c r="C174" s="1788"/>
      <c r="D174" s="1786" t="s">
        <v>3238</v>
      </c>
      <c r="E174" s="3353" t="s">
        <v>3400</v>
      </c>
      <c r="F174" s="3353"/>
      <c r="G174" s="3353"/>
      <c r="H174" s="3353"/>
    </row>
    <row r="175" spans="1:8" ht="6" customHeight="1">
      <c r="D175" s="814"/>
      <c r="E175" s="1784"/>
      <c r="F175" s="1784"/>
      <c r="G175" s="1784"/>
      <c r="H175" s="1784"/>
    </row>
    <row r="176" spans="1:8">
      <c r="A176" s="785" t="s">
        <v>3234</v>
      </c>
      <c r="B176" s="812" t="str">
        <f>IF('Part VI-Revenues &amp; Expenses'!$O61=0,"",'Part VI-Revenues &amp; Expenses'!$O$61)</f>
        <v/>
      </c>
      <c r="C176" s="785" t="s">
        <v>4822</v>
      </c>
      <c r="D176" s="813" t="s">
        <v>4823</v>
      </c>
    </row>
    <row r="177" spans="1:11" ht="1.95" customHeight="1"/>
    <row r="178" spans="1:11" ht="12.75" customHeight="1">
      <c r="C178" s="779" t="s">
        <v>3139</v>
      </c>
      <c r="D178" s="814" t="s">
        <v>1939</v>
      </c>
      <c r="E178" s="815"/>
      <c r="F178" s="3277" t="s">
        <v>3140</v>
      </c>
      <c r="G178" s="3277"/>
      <c r="H178" s="3277"/>
      <c r="K178" s="730" t="s">
        <v>238</v>
      </c>
    </row>
    <row r="179" spans="1:11" ht="12.75" customHeight="1">
      <c r="C179" s="816" t="s">
        <v>1326</v>
      </c>
      <c r="D179" s="814" t="s">
        <v>1941</v>
      </c>
      <c r="E179" s="3277" t="s">
        <v>3240</v>
      </c>
      <c r="F179" s="3277"/>
      <c r="G179" s="3277"/>
      <c r="H179" s="3277"/>
    </row>
    <row r="180" spans="1:11" ht="12.75" customHeight="1">
      <c r="E180" s="3277" t="s">
        <v>3399</v>
      </c>
      <c r="F180" s="3277"/>
      <c r="G180" s="3277"/>
      <c r="H180" s="3277"/>
    </row>
    <row r="181" spans="1:11" ht="12.75" customHeight="1">
      <c r="D181" s="817" t="s">
        <v>3238</v>
      </c>
      <c r="E181" s="3277" t="s">
        <v>3400</v>
      </c>
      <c r="F181" s="3277"/>
      <c r="G181" s="3277"/>
      <c r="H181" s="3277"/>
    </row>
    <row r="182" spans="1:11" ht="9" customHeight="1" thickBot="1"/>
    <row r="183" spans="1:11" ht="16.2" customHeight="1" thickBot="1">
      <c r="A183" s="3359">
        <v>40</v>
      </c>
      <c r="B183" s="3360"/>
      <c r="C183" s="1789" t="s">
        <v>1018</v>
      </c>
    </row>
    <row r="184" spans="1:11" ht="9" customHeight="1">
      <c r="A184" s="752"/>
    </row>
    <row r="185" spans="1:11" ht="28.2" customHeight="1">
      <c r="A185" s="3357" t="s">
        <v>4828</v>
      </c>
      <c r="B185" s="3357"/>
      <c r="C185" s="3357"/>
      <c r="D185" s="3357"/>
      <c r="E185" s="3357"/>
      <c r="F185" s="3357"/>
      <c r="G185" s="3357"/>
      <c r="H185" s="3357"/>
    </row>
    <row r="186" spans="1:11" ht="9" customHeight="1">
      <c r="A186" s="752"/>
    </row>
    <row r="187" spans="1:11">
      <c r="A187" s="785" t="s">
        <v>3234</v>
      </c>
      <c r="B187" s="812" t="str">
        <f>IF('Part VI-Revenues &amp; Expenses'!$K$60=0,"",'Part VI-Revenues &amp; Expenses'!$K$60)</f>
        <v/>
      </c>
      <c r="C187" s="785" t="s">
        <v>4819</v>
      </c>
      <c r="D187" s="813" t="s">
        <v>4820</v>
      </c>
    </row>
    <row r="188" spans="1:11" ht="1.95" customHeight="1"/>
    <row r="189" spans="1:11" ht="12.75" customHeight="1">
      <c r="C189" s="779" t="s">
        <v>3139</v>
      </c>
      <c r="D189" s="814" t="s">
        <v>1939</v>
      </c>
      <c r="E189" s="815"/>
      <c r="F189" s="3277" t="s">
        <v>3140</v>
      </c>
      <c r="G189" s="3277"/>
      <c r="H189" s="3277"/>
    </row>
    <row r="190" spans="1:11" ht="12.75" customHeight="1">
      <c r="C190" s="816" t="s">
        <v>1326</v>
      </c>
      <c r="D190" s="814" t="s">
        <v>1941</v>
      </c>
      <c r="E190" s="3277" t="s">
        <v>3239</v>
      </c>
      <c r="F190" s="3277"/>
      <c r="G190" s="3277"/>
      <c r="H190" s="3277"/>
    </row>
    <row r="191" spans="1:11" ht="12.75" customHeight="1">
      <c r="C191" s="1787" t="s">
        <v>4824</v>
      </c>
      <c r="E191" s="3277" t="s">
        <v>3399</v>
      </c>
      <c r="F191" s="3277"/>
      <c r="G191" s="3277"/>
      <c r="H191" s="3277"/>
    </row>
    <row r="192" spans="1:11" ht="12.75" customHeight="1">
      <c r="C192" s="1788"/>
      <c r="D192" s="1786" t="s">
        <v>3238</v>
      </c>
      <c r="E192" s="3353" t="s">
        <v>3400</v>
      </c>
      <c r="F192" s="3353"/>
      <c r="G192" s="3353"/>
      <c r="H192" s="3353"/>
    </row>
    <row r="193" spans="1:8" ht="3" customHeight="1">
      <c r="D193" s="814"/>
      <c r="E193" s="1784"/>
      <c r="F193" s="1784"/>
      <c r="G193" s="1784"/>
      <c r="H193" s="1784"/>
    </row>
    <row r="194" spans="1:8" ht="12.75" customHeight="1">
      <c r="C194" s="779" t="s">
        <v>3139</v>
      </c>
      <c r="D194" s="814" t="s">
        <v>1939</v>
      </c>
      <c r="E194" s="815"/>
      <c r="F194" s="811" t="s">
        <v>3140</v>
      </c>
      <c r="G194" s="811"/>
      <c r="H194" s="811"/>
    </row>
    <row r="195" spans="1:8" ht="12.75" customHeight="1">
      <c r="C195" s="816" t="s">
        <v>1326</v>
      </c>
      <c r="D195" s="814" t="s">
        <v>1941</v>
      </c>
      <c r="E195" s="3277" t="s">
        <v>3239</v>
      </c>
      <c r="F195" s="3277"/>
      <c r="G195" s="3277"/>
      <c r="H195" s="3277"/>
    </row>
    <row r="196" spans="1:8" ht="12.75" customHeight="1">
      <c r="C196" s="1787" t="s">
        <v>4824</v>
      </c>
      <c r="E196" s="3277" t="s">
        <v>3399</v>
      </c>
      <c r="F196" s="3277"/>
      <c r="G196" s="3277"/>
      <c r="H196" s="3277"/>
    </row>
    <row r="197" spans="1:8" ht="12.75" customHeight="1">
      <c r="C197" s="1788"/>
      <c r="D197" s="1786" t="s">
        <v>3238</v>
      </c>
      <c r="E197" s="3353" t="s">
        <v>3400</v>
      </c>
      <c r="F197" s="3353"/>
      <c r="G197" s="3353"/>
      <c r="H197" s="3353"/>
    </row>
    <row r="198" spans="1:8" ht="3" customHeight="1">
      <c r="D198" s="814"/>
      <c r="E198" s="1784"/>
      <c r="F198" s="1784"/>
      <c r="G198" s="1784"/>
      <c r="H198" s="1784"/>
    </row>
    <row r="199" spans="1:8" ht="12.75" customHeight="1">
      <c r="C199" s="779" t="s">
        <v>3139</v>
      </c>
      <c r="D199" s="814" t="s">
        <v>1939</v>
      </c>
      <c r="E199" s="815"/>
      <c r="F199" s="811" t="s">
        <v>3140</v>
      </c>
      <c r="G199" s="811"/>
      <c r="H199" s="811"/>
    </row>
    <row r="200" spans="1:8" ht="12.75" customHeight="1">
      <c r="C200" s="816" t="s">
        <v>1326</v>
      </c>
      <c r="D200" s="814" t="s">
        <v>1941</v>
      </c>
      <c r="E200" s="3277" t="s">
        <v>3239</v>
      </c>
      <c r="F200" s="3277"/>
      <c r="G200" s="3277"/>
      <c r="H200" s="3277"/>
    </row>
    <row r="201" spans="1:8" ht="12.75" customHeight="1">
      <c r="C201" s="1787" t="s">
        <v>4824</v>
      </c>
      <c r="E201" s="3277" t="s">
        <v>3399</v>
      </c>
      <c r="F201" s="3277"/>
      <c r="G201" s="3277"/>
      <c r="H201" s="3277"/>
    </row>
    <row r="202" spans="1:8" ht="12.75" customHeight="1">
      <c r="C202" s="1788"/>
      <c r="D202" s="1786" t="s">
        <v>3238</v>
      </c>
      <c r="E202" s="3353" t="s">
        <v>3400</v>
      </c>
      <c r="F202" s="3353"/>
      <c r="G202" s="3353"/>
      <c r="H202" s="3353"/>
    </row>
    <row r="203" spans="1:8" ht="6" customHeight="1">
      <c r="D203" s="814"/>
      <c r="E203" s="1784"/>
      <c r="F203" s="1784"/>
      <c r="G203" s="1784"/>
      <c r="H203" s="1784"/>
    </row>
    <row r="204" spans="1:8">
      <c r="A204" s="785" t="s">
        <v>3234</v>
      </c>
      <c r="B204" s="812">
        <f>IF('Part VI-Revenues &amp; Expenses'!$L$60=0,"",'Part VI-Revenues &amp; Expenses'!$L$60)</f>
        <v>6</v>
      </c>
      <c r="C204" s="785" t="s">
        <v>3235</v>
      </c>
      <c r="D204" s="813" t="s">
        <v>3401</v>
      </c>
    </row>
    <row r="205" spans="1:8" ht="1.95" customHeight="1"/>
    <row r="206" spans="1:8" ht="12.75" customHeight="1">
      <c r="C206" s="779" t="s">
        <v>3139</v>
      </c>
      <c r="D206" s="814" t="s">
        <v>1939</v>
      </c>
      <c r="E206" s="815"/>
      <c r="F206" s="811" t="s">
        <v>3140</v>
      </c>
      <c r="G206" s="811"/>
      <c r="H206" s="811"/>
    </row>
    <row r="207" spans="1:8" ht="12.75" customHeight="1">
      <c r="C207" s="816" t="s">
        <v>1326</v>
      </c>
      <c r="D207" s="814" t="s">
        <v>1941</v>
      </c>
      <c r="E207" s="3277" t="s">
        <v>3239</v>
      </c>
      <c r="F207" s="3277"/>
      <c r="G207" s="3277"/>
      <c r="H207" s="3277"/>
    </row>
    <row r="208" spans="1:8" ht="12.75" customHeight="1">
      <c r="C208" s="1787" t="s">
        <v>4824</v>
      </c>
      <c r="E208" s="3277" t="s">
        <v>3399</v>
      </c>
      <c r="F208" s="3277"/>
      <c r="G208" s="3277"/>
      <c r="H208" s="3277"/>
    </row>
    <row r="209" spans="1:8" ht="12.75" customHeight="1">
      <c r="C209" s="1788"/>
      <c r="D209" s="1785" t="s">
        <v>3238</v>
      </c>
      <c r="E209" s="3352" t="s">
        <v>3400</v>
      </c>
      <c r="F209" s="3352"/>
      <c r="G209" s="3352"/>
      <c r="H209" s="3352"/>
    </row>
    <row r="210" spans="1:8" ht="3" customHeight="1">
      <c r="D210" s="814"/>
      <c r="E210" s="1784"/>
      <c r="F210" s="1784"/>
      <c r="G210" s="1784"/>
      <c r="H210" s="1784"/>
    </row>
    <row r="211" spans="1:8" ht="12.75" customHeight="1">
      <c r="C211" s="779" t="s">
        <v>3139</v>
      </c>
      <c r="D211" s="814" t="s">
        <v>1939</v>
      </c>
      <c r="E211" s="815"/>
      <c r="F211" s="811" t="s">
        <v>3140</v>
      </c>
      <c r="G211" s="811"/>
      <c r="H211" s="811"/>
    </row>
    <row r="212" spans="1:8" ht="12.75" customHeight="1">
      <c r="C212" s="816" t="s">
        <v>1326</v>
      </c>
      <c r="D212" s="814" t="s">
        <v>1941</v>
      </c>
      <c r="E212" s="3277" t="s">
        <v>3239</v>
      </c>
      <c r="F212" s="3277"/>
      <c r="G212" s="3277"/>
      <c r="H212" s="3277"/>
    </row>
    <row r="213" spans="1:8" ht="12.75" customHeight="1">
      <c r="C213" s="1787" t="s">
        <v>4824</v>
      </c>
      <c r="E213" s="3277" t="s">
        <v>3399</v>
      </c>
      <c r="F213" s="3277"/>
      <c r="G213" s="3277"/>
      <c r="H213" s="3277"/>
    </row>
    <row r="214" spans="1:8" ht="12.75" customHeight="1">
      <c r="C214" s="1788"/>
      <c r="D214" s="1786" t="s">
        <v>3238</v>
      </c>
      <c r="E214" s="3353" t="s">
        <v>3400</v>
      </c>
      <c r="F214" s="3353"/>
      <c r="G214" s="3353"/>
      <c r="H214" s="3353"/>
    </row>
    <row r="215" spans="1:8" ht="3" customHeight="1">
      <c r="D215" s="814"/>
      <c r="E215" s="1784"/>
      <c r="F215" s="1784"/>
      <c r="G215" s="1784"/>
      <c r="H215" s="1784"/>
    </row>
    <row r="216" spans="1:8" ht="12.75" customHeight="1">
      <c r="C216" s="779" t="s">
        <v>3139</v>
      </c>
      <c r="D216" s="814" t="s">
        <v>1939</v>
      </c>
      <c r="E216" s="815"/>
      <c r="F216" s="811" t="s">
        <v>3140</v>
      </c>
      <c r="G216" s="811"/>
      <c r="H216" s="811"/>
    </row>
    <row r="217" spans="1:8" ht="12.75" customHeight="1">
      <c r="C217" s="816" t="s">
        <v>1326</v>
      </c>
      <c r="D217" s="814" t="s">
        <v>1941</v>
      </c>
      <c r="E217" s="3277" t="s">
        <v>3239</v>
      </c>
      <c r="F217" s="3277"/>
      <c r="G217" s="3277"/>
      <c r="H217" s="3277"/>
    </row>
    <row r="218" spans="1:8" ht="12.75" customHeight="1">
      <c r="C218" s="1787" t="s">
        <v>4824</v>
      </c>
      <c r="E218" s="3277" t="s">
        <v>3399</v>
      </c>
      <c r="F218" s="3277"/>
      <c r="G218" s="3277"/>
      <c r="H218" s="3277"/>
    </row>
    <row r="219" spans="1:8" ht="12.75" customHeight="1">
      <c r="C219" s="1788"/>
      <c r="D219" s="1786" t="s">
        <v>3238</v>
      </c>
      <c r="E219" s="3353" t="s">
        <v>3400</v>
      </c>
      <c r="F219" s="3353"/>
      <c r="G219" s="3353"/>
      <c r="H219" s="3353"/>
    </row>
    <row r="220" spans="1:8" ht="6" customHeight="1">
      <c r="D220" s="814"/>
      <c r="E220" s="1784"/>
      <c r="F220" s="1784"/>
      <c r="G220" s="1784"/>
      <c r="H220" s="1784"/>
    </row>
    <row r="221" spans="1:8">
      <c r="A221" s="785" t="s">
        <v>3234</v>
      </c>
      <c r="B221" s="812">
        <f>IF('Part VI-Revenues &amp; Expenses'!$M$60=0,"",'Part VI-Revenues &amp; Expenses'!$M$60)</f>
        <v>18</v>
      </c>
      <c r="C221" s="785" t="s">
        <v>3236</v>
      </c>
      <c r="D221" s="813" t="s">
        <v>3402</v>
      </c>
    </row>
    <row r="222" spans="1:8" ht="1.95" customHeight="1"/>
    <row r="223" spans="1:8" ht="12.75" customHeight="1">
      <c r="C223" s="779" t="s">
        <v>3139</v>
      </c>
      <c r="D223" s="814" t="s">
        <v>1939</v>
      </c>
      <c r="E223" s="815"/>
      <c r="F223" s="811" t="s">
        <v>3140</v>
      </c>
      <c r="G223" s="811"/>
      <c r="H223" s="811"/>
    </row>
    <row r="224" spans="1:8" ht="12.75" customHeight="1">
      <c r="C224" s="816" t="s">
        <v>1326</v>
      </c>
      <c r="D224" s="814" t="s">
        <v>1941</v>
      </c>
      <c r="E224" s="3277" t="s">
        <v>3239</v>
      </c>
      <c r="F224" s="3277"/>
      <c r="G224" s="3277"/>
      <c r="H224" s="3277"/>
    </row>
    <row r="225" spans="1:8" ht="12.75" customHeight="1">
      <c r="C225" s="1787" t="s">
        <v>4824</v>
      </c>
      <c r="E225" s="3277" t="s">
        <v>3399</v>
      </c>
      <c r="F225" s="3277"/>
      <c r="G225" s="3277"/>
      <c r="H225" s="3277"/>
    </row>
    <row r="226" spans="1:8" ht="12.75" customHeight="1">
      <c r="C226" s="1788"/>
      <c r="D226" s="1785" t="s">
        <v>3238</v>
      </c>
      <c r="E226" s="3352" t="s">
        <v>3400</v>
      </c>
      <c r="F226" s="3352"/>
      <c r="G226" s="3352"/>
      <c r="H226" s="3352"/>
    </row>
    <row r="227" spans="1:8" ht="3" customHeight="1">
      <c r="D227" s="814"/>
      <c r="E227" s="1784"/>
      <c r="F227" s="1784"/>
      <c r="G227" s="1784"/>
      <c r="H227" s="1784"/>
    </row>
    <row r="228" spans="1:8" ht="12.75" customHeight="1">
      <c r="C228" s="779" t="s">
        <v>3139</v>
      </c>
      <c r="D228" s="814" t="s">
        <v>1939</v>
      </c>
      <c r="E228" s="815"/>
      <c r="F228" s="811" t="s">
        <v>3140</v>
      </c>
      <c r="G228" s="811"/>
      <c r="H228" s="811"/>
    </row>
    <row r="229" spans="1:8" ht="12.75" customHeight="1">
      <c r="C229" s="816" t="s">
        <v>1326</v>
      </c>
      <c r="D229" s="814" t="s">
        <v>1941</v>
      </c>
      <c r="E229" s="3277" t="s">
        <v>3239</v>
      </c>
      <c r="F229" s="3277"/>
      <c r="G229" s="3277"/>
      <c r="H229" s="3277"/>
    </row>
    <row r="230" spans="1:8" ht="12.75" customHeight="1">
      <c r="C230" s="1787" t="s">
        <v>4824</v>
      </c>
      <c r="E230" s="3277" t="s">
        <v>3399</v>
      </c>
      <c r="F230" s="3277"/>
      <c r="G230" s="3277"/>
      <c r="H230" s="3277"/>
    </row>
    <row r="231" spans="1:8" ht="12.75" customHeight="1">
      <c r="C231" s="1788"/>
      <c r="D231" s="1786" t="s">
        <v>3238</v>
      </c>
      <c r="E231" s="3353" t="s">
        <v>3400</v>
      </c>
      <c r="F231" s="3353"/>
      <c r="G231" s="3353"/>
      <c r="H231" s="3353"/>
    </row>
    <row r="232" spans="1:8" ht="3" customHeight="1">
      <c r="D232" s="814"/>
      <c r="E232" s="1784"/>
      <c r="F232" s="1784"/>
      <c r="G232" s="1784"/>
      <c r="H232" s="1784"/>
    </row>
    <row r="233" spans="1:8" ht="12.75" customHeight="1">
      <c r="C233" s="779" t="s">
        <v>3139</v>
      </c>
      <c r="D233" s="814" t="s">
        <v>1939</v>
      </c>
      <c r="E233" s="815"/>
      <c r="F233" s="811" t="s">
        <v>3140</v>
      </c>
      <c r="G233" s="811"/>
      <c r="H233" s="811"/>
    </row>
    <row r="234" spans="1:8" ht="12.75" customHeight="1">
      <c r="C234" s="816" t="s">
        <v>1326</v>
      </c>
      <c r="D234" s="814" t="s">
        <v>1941</v>
      </c>
      <c r="E234" s="3277" t="s">
        <v>3239</v>
      </c>
      <c r="F234" s="3277"/>
      <c r="G234" s="3277"/>
      <c r="H234" s="3277"/>
    </row>
    <row r="235" spans="1:8" ht="12.75" customHeight="1">
      <c r="C235" s="1787" t="s">
        <v>4824</v>
      </c>
      <c r="E235" s="3277" t="s">
        <v>3399</v>
      </c>
      <c r="F235" s="3277"/>
      <c r="G235" s="3277"/>
      <c r="H235" s="3277"/>
    </row>
    <row r="236" spans="1:8" ht="12.75" customHeight="1">
      <c r="C236" s="1788"/>
      <c r="D236" s="1786" t="s">
        <v>3238</v>
      </c>
      <c r="E236" s="3353" t="s">
        <v>3400</v>
      </c>
      <c r="F236" s="3353"/>
      <c r="G236" s="3353"/>
      <c r="H236" s="3353"/>
    </row>
    <row r="237" spans="1:8" ht="6" customHeight="1">
      <c r="D237" s="814"/>
      <c r="E237" s="1784"/>
      <c r="F237" s="1784"/>
      <c r="G237" s="1784"/>
      <c r="H237" s="1784"/>
    </row>
    <row r="238" spans="1:8">
      <c r="A238" s="785" t="s">
        <v>3234</v>
      </c>
      <c r="B238" s="812" t="str">
        <f>IF('Part VI-Revenues &amp; Expenses'!$N$60=0,"",'Part VI-Revenues &amp; Expenses'!$N$60)</f>
        <v/>
      </c>
      <c r="C238" s="785" t="s">
        <v>3237</v>
      </c>
      <c r="D238" s="813" t="s">
        <v>3403</v>
      </c>
    </row>
    <row r="239" spans="1:8" ht="1.95" customHeight="1"/>
    <row r="240" spans="1:8" ht="12.75" customHeight="1">
      <c r="C240" s="779" t="s">
        <v>3139</v>
      </c>
      <c r="D240" s="814" t="s">
        <v>1939</v>
      </c>
      <c r="E240" s="815"/>
      <c r="F240" s="811" t="s">
        <v>3140</v>
      </c>
      <c r="G240" s="811"/>
      <c r="H240" s="811"/>
    </row>
    <row r="241" spans="1:8" ht="12.75" customHeight="1">
      <c r="C241" s="816" t="s">
        <v>1326</v>
      </c>
      <c r="D241" s="814" t="s">
        <v>1941</v>
      </c>
      <c r="E241" s="3277" t="s">
        <v>3239</v>
      </c>
      <c r="F241" s="3277"/>
      <c r="G241" s="3277"/>
      <c r="H241" s="3277"/>
    </row>
    <row r="242" spans="1:8" ht="12.75" customHeight="1">
      <c r="C242" s="1787" t="s">
        <v>4824</v>
      </c>
      <c r="E242" s="3277" t="s">
        <v>3399</v>
      </c>
      <c r="F242" s="3277"/>
      <c r="G242" s="3277"/>
      <c r="H242" s="3277"/>
    </row>
    <row r="243" spans="1:8" ht="12.75" customHeight="1">
      <c r="C243" s="1788"/>
      <c r="D243" s="1785" t="s">
        <v>3238</v>
      </c>
      <c r="E243" s="3352" t="s">
        <v>3400</v>
      </c>
      <c r="F243" s="3352"/>
      <c r="G243" s="3352"/>
      <c r="H243" s="3352"/>
    </row>
    <row r="244" spans="1:8" ht="3" customHeight="1">
      <c r="D244" s="814"/>
      <c r="E244" s="1784"/>
      <c r="F244" s="1784"/>
      <c r="G244" s="1784"/>
      <c r="H244" s="1784"/>
    </row>
    <row r="245" spans="1:8" ht="12.75" customHeight="1">
      <c r="C245" s="779" t="s">
        <v>3139</v>
      </c>
      <c r="D245" s="814" t="s">
        <v>1939</v>
      </c>
      <c r="E245" s="815"/>
      <c r="F245" s="811" t="s">
        <v>3140</v>
      </c>
      <c r="G245" s="811"/>
      <c r="H245" s="811"/>
    </row>
    <row r="246" spans="1:8" ht="12.75" customHeight="1">
      <c r="C246" s="816" t="s">
        <v>1326</v>
      </c>
      <c r="D246" s="814" t="s">
        <v>1941</v>
      </c>
      <c r="E246" s="3277" t="s">
        <v>3239</v>
      </c>
      <c r="F246" s="3277"/>
      <c r="G246" s="3277"/>
      <c r="H246" s="3277"/>
    </row>
    <row r="247" spans="1:8" ht="12.75" customHeight="1">
      <c r="C247" s="1787" t="s">
        <v>4824</v>
      </c>
      <c r="E247" s="3277" t="s">
        <v>3399</v>
      </c>
      <c r="F247" s="3277"/>
      <c r="G247" s="3277"/>
      <c r="H247" s="3277"/>
    </row>
    <row r="248" spans="1:8" ht="12.75" customHeight="1">
      <c r="C248" s="1788"/>
      <c r="D248" s="1786" t="s">
        <v>3238</v>
      </c>
      <c r="E248" s="3353" t="s">
        <v>3400</v>
      </c>
      <c r="F248" s="3353"/>
      <c r="G248" s="3353"/>
      <c r="H248" s="3353"/>
    </row>
    <row r="249" spans="1:8" ht="3" customHeight="1">
      <c r="D249" s="814"/>
      <c r="E249" s="1784"/>
      <c r="F249" s="1784"/>
      <c r="G249" s="1784"/>
      <c r="H249" s="1784"/>
    </row>
    <row r="250" spans="1:8" ht="12.75" customHeight="1">
      <c r="C250" s="779" t="s">
        <v>3139</v>
      </c>
      <c r="D250" s="814" t="s">
        <v>1939</v>
      </c>
      <c r="E250" s="815"/>
      <c r="F250" s="811" t="s">
        <v>3140</v>
      </c>
      <c r="G250" s="811"/>
      <c r="H250" s="811"/>
    </row>
    <row r="251" spans="1:8" ht="12.75" customHeight="1">
      <c r="C251" s="816" t="s">
        <v>1326</v>
      </c>
      <c r="D251" s="814" t="s">
        <v>1941</v>
      </c>
      <c r="E251" s="3277" t="s">
        <v>3239</v>
      </c>
      <c r="F251" s="3277"/>
      <c r="G251" s="3277"/>
      <c r="H251" s="3277"/>
    </row>
    <row r="252" spans="1:8" ht="12.75" customHeight="1">
      <c r="C252" s="1787" t="s">
        <v>4824</v>
      </c>
      <c r="E252" s="3277" t="s">
        <v>3399</v>
      </c>
      <c r="F252" s="3277"/>
      <c r="G252" s="3277"/>
      <c r="H252" s="3277"/>
    </row>
    <row r="253" spans="1:8" ht="12.75" customHeight="1">
      <c r="C253" s="1788"/>
      <c r="D253" s="1786" t="s">
        <v>3238</v>
      </c>
      <c r="E253" s="3353" t="s">
        <v>3400</v>
      </c>
      <c r="F253" s="3353"/>
      <c r="G253" s="3353"/>
      <c r="H253" s="3353"/>
    </row>
    <row r="254" spans="1:8" ht="6" customHeight="1">
      <c r="D254" s="814"/>
      <c r="E254" s="1784"/>
      <c r="F254" s="1784"/>
      <c r="G254" s="1784"/>
      <c r="H254" s="1784"/>
    </row>
    <row r="255" spans="1:8">
      <c r="A255" s="785" t="s">
        <v>3234</v>
      </c>
      <c r="B255" s="812" t="str">
        <f>IF('Part VI-Revenues &amp; Expenses'!$O$60=0,"",'Part VI-Revenues &amp; Expenses'!$O$60)</f>
        <v/>
      </c>
      <c r="C255" s="785" t="s">
        <v>4822</v>
      </c>
      <c r="D255" s="813" t="s">
        <v>4823</v>
      </c>
    </row>
    <row r="256" spans="1:8" ht="1.95" customHeight="1"/>
    <row r="257" spans="1:11" ht="12.75" customHeight="1">
      <c r="C257" s="779" t="s">
        <v>3139</v>
      </c>
      <c r="D257" s="814" t="s">
        <v>1939</v>
      </c>
      <c r="E257" s="815"/>
      <c r="F257" s="3277" t="s">
        <v>3140</v>
      </c>
      <c r="G257" s="3277"/>
      <c r="H257" s="3277"/>
      <c r="K257" s="730" t="s">
        <v>238</v>
      </c>
    </row>
    <row r="258" spans="1:11" ht="12.75" customHeight="1">
      <c r="C258" s="816" t="s">
        <v>1326</v>
      </c>
      <c r="D258" s="814" t="s">
        <v>1941</v>
      </c>
      <c r="E258" s="3277" t="s">
        <v>3240</v>
      </c>
      <c r="F258" s="3277"/>
      <c r="G258" s="3277"/>
      <c r="H258" s="3277"/>
    </row>
    <row r="259" spans="1:11" ht="12.75" customHeight="1">
      <c r="E259" s="3277" t="s">
        <v>3399</v>
      </c>
      <c r="F259" s="3277"/>
      <c r="G259" s="3277"/>
      <c r="H259" s="3277"/>
    </row>
    <row r="260" spans="1:11" ht="12.75" customHeight="1">
      <c r="D260" s="817" t="s">
        <v>3238</v>
      </c>
      <c r="E260" s="3277" t="s">
        <v>3400</v>
      </c>
      <c r="F260" s="3277"/>
      <c r="G260" s="3277"/>
      <c r="H260" s="3277"/>
    </row>
    <row r="261" spans="1:11" ht="9" customHeight="1" thickBot="1"/>
    <row r="262" spans="1:11" ht="16.2" customHeight="1" thickBot="1">
      <c r="A262" s="3359">
        <v>50</v>
      </c>
      <c r="B262" s="3360"/>
      <c r="C262" s="1789" t="s">
        <v>1018</v>
      </c>
    </row>
    <row r="263" spans="1:11" ht="9" customHeight="1">
      <c r="A263" s="752"/>
    </row>
    <row r="264" spans="1:11" ht="28.2" customHeight="1">
      <c r="A264" s="3357" t="s">
        <v>4825</v>
      </c>
      <c r="B264" s="3357"/>
      <c r="C264" s="3357"/>
      <c r="D264" s="3357"/>
      <c r="E264" s="3357"/>
      <c r="F264" s="3357"/>
      <c r="G264" s="3357"/>
      <c r="H264" s="3357"/>
    </row>
    <row r="265" spans="1:11" ht="9" customHeight="1">
      <c r="A265" s="752"/>
    </row>
    <row r="266" spans="1:11">
      <c r="A266" s="785" t="s">
        <v>3234</v>
      </c>
      <c r="B266" s="812" t="str">
        <f>IF('Part VI-Revenues &amp; Expenses'!$K$59=0,"",'Part VI-Revenues &amp; Expenses'!$K$59)</f>
        <v/>
      </c>
      <c r="C266" s="785" t="s">
        <v>4819</v>
      </c>
      <c r="D266" s="813" t="s">
        <v>4820</v>
      </c>
    </row>
    <row r="267" spans="1:11" ht="1.95" customHeight="1"/>
    <row r="268" spans="1:11" ht="12.75" customHeight="1">
      <c r="C268" s="779" t="s">
        <v>3139</v>
      </c>
      <c r="D268" s="814" t="s">
        <v>1939</v>
      </c>
      <c r="E268" s="815"/>
      <c r="F268" s="3277" t="s">
        <v>3140</v>
      </c>
      <c r="G268" s="3277"/>
      <c r="H268" s="3277"/>
    </row>
    <row r="269" spans="1:11" ht="12.75" customHeight="1">
      <c r="C269" s="816" t="s">
        <v>1326</v>
      </c>
      <c r="D269" s="814" t="s">
        <v>1941</v>
      </c>
      <c r="E269" s="3277" t="s">
        <v>3239</v>
      </c>
      <c r="F269" s="3277"/>
      <c r="G269" s="3277"/>
      <c r="H269" s="3277"/>
    </row>
    <row r="270" spans="1:11" ht="12.75" customHeight="1">
      <c r="C270" s="1787" t="s">
        <v>4824</v>
      </c>
      <c r="E270" s="3277" t="s">
        <v>3399</v>
      </c>
      <c r="F270" s="3277"/>
      <c r="G270" s="3277"/>
      <c r="H270" s="3277"/>
    </row>
    <row r="271" spans="1:11" ht="12.75" customHeight="1">
      <c r="C271" s="1788"/>
      <c r="D271" s="1786" t="s">
        <v>3238</v>
      </c>
      <c r="E271" s="3353" t="s">
        <v>3400</v>
      </c>
      <c r="F271" s="3353"/>
      <c r="G271" s="3353"/>
      <c r="H271" s="3353"/>
    </row>
    <row r="272" spans="1:11" ht="3" customHeight="1">
      <c r="D272" s="814"/>
      <c r="E272" s="1784"/>
      <c r="F272" s="1784"/>
      <c r="G272" s="1784"/>
      <c r="H272" s="1784"/>
    </row>
    <row r="273" spans="1:8" ht="12.75" customHeight="1">
      <c r="C273" s="779" t="s">
        <v>3139</v>
      </c>
      <c r="D273" s="814" t="s">
        <v>1939</v>
      </c>
      <c r="E273" s="815"/>
      <c r="F273" s="811" t="s">
        <v>3140</v>
      </c>
      <c r="G273" s="811"/>
      <c r="H273" s="811"/>
    </row>
    <row r="274" spans="1:8" ht="12.75" customHeight="1">
      <c r="C274" s="816" t="s">
        <v>1326</v>
      </c>
      <c r="D274" s="814" t="s">
        <v>1941</v>
      </c>
      <c r="E274" s="3277" t="s">
        <v>3239</v>
      </c>
      <c r="F274" s="3277"/>
      <c r="G274" s="3277"/>
      <c r="H274" s="3277"/>
    </row>
    <row r="275" spans="1:8" ht="12.75" customHeight="1">
      <c r="C275" s="1787" t="s">
        <v>4824</v>
      </c>
      <c r="E275" s="3277" t="s">
        <v>3399</v>
      </c>
      <c r="F275" s="3277"/>
      <c r="G275" s="3277"/>
      <c r="H275" s="3277"/>
    </row>
    <row r="276" spans="1:8" ht="12.75" customHeight="1">
      <c r="C276" s="1788"/>
      <c r="D276" s="1786" t="s">
        <v>3238</v>
      </c>
      <c r="E276" s="3353" t="s">
        <v>3400</v>
      </c>
      <c r="F276" s="3353"/>
      <c r="G276" s="3353"/>
      <c r="H276" s="3353"/>
    </row>
    <row r="277" spans="1:8" ht="3" customHeight="1">
      <c r="D277" s="814"/>
      <c r="E277" s="1784"/>
      <c r="F277" s="1784"/>
      <c r="G277" s="1784"/>
      <c r="H277" s="1784"/>
    </row>
    <row r="278" spans="1:8" ht="12.75" customHeight="1">
      <c r="C278" s="779" t="s">
        <v>3139</v>
      </c>
      <c r="D278" s="814" t="s">
        <v>1939</v>
      </c>
      <c r="E278" s="815"/>
      <c r="F278" s="811" t="s">
        <v>3140</v>
      </c>
      <c r="G278" s="811"/>
      <c r="H278" s="811"/>
    </row>
    <row r="279" spans="1:8" ht="12.75" customHeight="1">
      <c r="C279" s="816" t="s">
        <v>1326</v>
      </c>
      <c r="D279" s="814" t="s">
        <v>1941</v>
      </c>
      <c r="E279" s="3277" t="s">
        <v>3239</v>
      </c>
      <c r="F279" s="3277"/>
      <c r="G279" s="3277"/>
      <c r="H279" s="3277"/>
    </row>
    <row r="280" spans="1:8" ht="12.75" customHeight="1">
      <c r="C280" s="1787" t="s">
        <v>4824</v>
      </c>
      <c r="E280" s="3277" t="s">
        <v>3399</v>
      </c>
      <c r="F280" s="3277"/>
      <c r="G280" s="3277"/>
      <c r="H280" s="3277"/>
    </row>
    <row r="281" spans="1:8" ht="12.75" customHeight="1">
      <c r="C281" s="1788"/>
      <c r="D281" s="1786" t="s">
        <v>3238</v>
      </c>
      <c r="E281" s="3353" t="s">
        <v>3400</v>
      </c>
      <c r="F281" s="3353"/>
      <c r="G281" s="3353"/>
      <c r="H281" s="3353"/>
    </row>
    <row r="282" spans="1:8" ht="6" customHeight="1">
      <c r="D282" s="814"/>
      <c r="E282" s="1784"/>
      <c r="F282" s="1784"/>
      <c r="G282" s="1784"/>
      <c r="H282" s="1784"/>
    </row>
    <row r="283" spans="1:8">
      <c r="A283" s="785" t="s">
        <v>3234</v>
      </c>
      <c r="B283" s="812" t="str">
        <f>IF('Part VI-Revenues &amp; Expenses'!$L$59=0,"",'Part VI-Revenues &amp; Expenses'!$L$59)</f>
        <v/>
      </c>
      <c r="C283" s="785" t="s">
        <v>3235</v>
      </c>
      <c r="D283" s="813" t="s">
        <v>3401</v>
      </c>
    </row>
    <row r="284" spans="1:8" ht="1.95" customHeight="1"/>
    <row r="285" spans="1:8" ht="12.75" customHeight="1">
      <c r="C285" s="779" t="s">
        <v>3139</v>
      </c>
      <c r="D285" s="814" t="s">
        <v>1939</v>
      </c>
      <c r="E285" s="815"/>
      <c r="F285" s="811" t="s">
        <v>3140</v>
      </c>
      <c r="G285" s="811"/>
      <c r="H285" s="811"/>
    </row>
    <row r="286" spans="1:8" ht="12.75" customHeight="1">
      <c r="C286" s="816" t="s">
        <v>1326</v>
      </c>
      <c r="D286" s="814" t="s">
        <v>1941</v>
      </c>
      <c r="E286" s="3277" t="s">
        <v>3239</v>
      </c>
      <c r="F286" s="3277"/>
      <c r="G286" s="3277"/>
      <c r="H286" s="3277"/>
    </row>
    <row r="287" spans="1:8" ht="12.75" customHeight="1">
      <c r="C287" s="1787" t="s">
        <v>4824</v>
      </c>
      <c r="E287" s="3277" t="s">
        <v>3399</v>
      </c>
      <c r="F287" s="3277"/>
      <c r="G287" s="3277"/>
      <c r="H287" s="3277"/>
    </row>
    <row r="288" spans="1:8" ht="12.75" customHeight="1">
      <c r="C288" s="1788"/>
      <c r="D288" s="1785" t="s">
        <v>3238</v>
      </c>
      <c r="E288" s="3352" t="s">
        <v>3400</v>
      </c>
      <c r="F288" s="3352"/>
      <c r="G288" s="3352"/>
      <c r="H288" s="3352"/>
    </row>
    <row r="289" spans="1:8" ht="3" customHeight="1">
      <c r="D289" s="814"/>
      <c r="E289" s="1784"/>
      <c r="F289" s="1784"/>
      <c r="G289" s="1784"/>
      <c r="H289" s="1784"/>
    </row>
    <row r="290" spans="1:8" ht="12.75" customHeight="1">
      <c r="C290" s="779" t="s">
        <v>3139</v>
      </c>
      <c r="D290" s="814" t="s">
        <v>1939</v>
      </c>
      <c r="E290" s="815"/>
      <c r="F290" s="811" t="s">
        <v>3140</v>
      </c>
      <c r="G290" s="811"/>
      <c r="H290" s="811"/>
    </row>
    <row r="291" spans="1:8" ht="12.75" customHeight="1">
      <c r="C291" s="816" t="s">
        <v>1326</v>
      </c>
      <c r="D291" s="814" t="s">
        <v>1941</v>
      </c>
      <c r="E291" s="3277" t="s">
        <v>3239</v>
      </c>
      <c r="F291" s="3277"/>
      <c r="G291" s="3277"/>
      <c r="H291" s="3277"/>
    </row>
    <row r="292" spans="1:8" ht="12.75" customHeight="1">
      <c r="C292" s="1787" t="s">
        <v>4824</v>
      </c>
      <c r="E292" s="3277" t="s">
        <v>3399</v>
      </c>
      <c r="F292" s="3277"/>
      <c r="G292" s="3277"/>
      <c r="H292" s="3277"/>
    </row>
    <row r="293" spans="1:8" ht="12.75" customHeight="1">
      <c r="C293" s="1788"/>
      <c r="D293" s="1786" t="s">
        <v>3238</v>
      </c>
      <c r="E293" s="3353" t="s">
        <v>3400</v>
      </c>
      <c r="F293" s="3353"/>
      <c r="G293" s="3353"/>
      <c r="H293" s="3353"/>
    </row>
    <row r="294" spans="1:8" ht="3" customHeight="1">
      <c r="D294" s="814"/>
      <c r="E294" s="1784"/>
      <c r="F294" s="1784"/>
      <c r="G294" s="1784"/>
      <c r="H294" s="1784"/>
    </row>
    <row r="295" spans="1:8" ht="12.75" customHeight="1">
      <c r="C295" s="779" t="s">
        <v>3139</v>
      </c>
      <c r="D295" s="814" t="s">
        <v>1939</v>
      </c>
      <c r="E295" s="815"/>
      <c r="F295" s="811" t="s">
        <v>3140</v>
      </c>
      <c r="G295" s="811"/>
      <c r="H295" s="811"/>
    </row>
    <row r="296" spans="1:8" ht="12.75" customHeight="1">
      <c r="C296" s="816" t="s">
        <v>1326</v>
      </c>
      <c r="D296" s="814" t="s">
        <v>1941</v>
      </c>
      <c r="E296" s="3277" t="s">
        <v>3239</v>
      </c>
      <c r="F296" s="3277"/>
      <c r="G296" s="3277"/>
      <c r="H296" s="3277"/>
    </row>
    <row r="297" spans="1:8" ht="12.75" customHeight="1">
      <c r="C297" s="1787" t="s">
        <v>4824</v>
      </c>
      <c r="E297" s="3277" t="s">
        <v>3399</v>
      </c>
      <c r="F297" s="3277"/>
      <c r="G297" s="3277"/>
      <c r="H297" s="3277"/>
    </row>
    <row r="298" spans="1:8" ht="12.75" customHeight="1">
      <c r="C298" s="1788"/>
      <c r="D298" s="1786" t="s">
        <v>3238</v>
      </c>
      <c r="E298" s="3353" t="s">
        <v>3400</v>
      </c>
      <c r="F298" s="3353"/>
      <c r="G298" s="3353"/>
      <c r="H298" s="3353"/>
    </row>
    <row r="299" spans="1:8" ht="6" customHeight="1">
      <c r="D299" s="814"/>
      <c r="E299" s="1784"/>
      <c r="F299" s="1784"/>
      <c r="G299" s="1784"/>
      <c r="H299" s="1784"/>
    </row>
    <row r="300" spans="1:8">
      <c r="A300" s="785" t="s">
        <v>3234</v>
      </c>
      <c r="B300" s="812" t="str">
        <f>IF('Part VI-Revenues &amp; Expenses'!$M$59=0,"",'Part VI-Revenues &amp; Expenses'!$M$59)</f>
        <v/>
      </c>
      <c r="C300" s="785" t="s">
        <v>3236</v>
      </c>
      <c r="D300" s="813" t="s">
        <v>3402</v>
      </c>
    </row>
    <row r="301" spans="1:8" ht="1.95" customHeight="1"/>
    <row r="302" spans="1:8" ht="12.75" customHeight="1">
      <c r="C302" s="779" t="s">
        <v>3139</v>
      </c>
      <c r="D302" s="814" t="s">
        <v>1939</v>
      </c>
      <c r="E302" s="815"/>
      <c r="F302" s="811" t="s">
        <v>3140</v>
      </c>
      <c r="G302" s="811"/>
      <c r="H302" s="811"/>
    </row>
    <row r="303" spans="1:8" ht="12.75" customHeight="1">
      <c r="C303" s="816" t="s">
        <v>1326</v>
      </c>
      <c r="D303" s="814" t="s">
        <v>1941</v>
      </c>
      <c r="E303" s="3277" t="s">
        <v>3239</v>
      </c>
      <c r="F303" s="3277"/>
      <c r="G303" s="3277"/>
      <c r="H303" s="3277"/>
    </row>
    <row r="304" spans="1:8" ht="12.75" customHeight="1">
      <c r="C304" s="1787" t="s">
        <v>4824</v>
      </c>
      <c r="E304" s="3277" t="s">
        <v>3399</v>
      </c>
      <c r="F304" s="3277"/>
      <c r="G304" s="3277"/>
      <c r="H304" s="3277"/>
    </row>
    <row r="305" spans="1:8" ht="12.75" customHeight="1">
      <c r="C305" s="1788"/>
      <c r="D305" s="1785" t="s">
        <v>3238</v>
      </c>
      <c r="E305" s="3352" t="s">
        <v>3400</v>
      </c>
      <c r="F305" s="3352"/>
      <c r="G305" s="3352"/>
      <c r="H305" s="3352"/>
    </row>
    <row r="306" spans="1:8" ht="3" customHeight="1">
      <c r="D306" s="814"/>
      <c r="E306" s="1784"/>
      <c r="F306" s="1784"/>
      <c r="G306" s="1784"/>
      <c r="H306" s="1784"/>
    </row>
    <row r="307" spans="1:8" ht="12.75" customHeight="1">
      <c r="C307" s="779" t="s">
        <v>3139</v>
      </c>
      <c r="D307" s="814" t="s">
        <v>1939</v>
      </c>
      <c r="E307" s="815"/>
      <c r="F307" s="811" t="s">
        <v>3140</v>
      </c>
      <c r="G307" s="811"/>
      <c r="H307" s="811"/>
    </row>
    <row r="308" spans="1:8" ht="12.75" customHeight="1">
      <c r="C308" s="816" t="s">
        <v>1326</v>
      </c>
      <c r="D308" s="814" t="s">
        <v>1941</v>
      </c>
      <c r="E308" s="3277" t="s">
        <v>3239</v>
      </c>
      <c r="F308" s="3277"/>
      <c r="G308" s="3277"/>
      <c r="H308" s="3277"/>
    </row>
    <row r="309" spans="1:8" ht="12.75" customHeight="1">
      <c r="C309" s="1787" t="s">
        <v>4824</v>
      </c>
      <c r="E309" s="3277" t="s">
        <v>3399</v>
      </c>
      <c r="F309" s="3277"/>
      <c r="G309" s="3277"/>
      <c r="H309" s="3277"/>
    </row>
    <row r="310" spans="1:8" ht="12.75" customHeight="1">
      <c r="C310" s="1788"/>
      <c r="D310" s="1786" t="s">
        <v>3238</v>
      </c>
      <c r="E310" s="3353" t="s">
        <v>3400</v>
      </c>
      <c r="F310" s="3353"/>
      <c r="G310" s="3353"/>
      <c r="H310" s="3353"/>
    </row>
    <row r="311" spans="1:8" ht="3" customHeight="1">
      <c r="D311" s="814"/>
      <c r="E311" s="1784"/>
      <c r="F311" s="1784"/>
      <c r="G311" s="1784"/>
      <c r="H311" s="1784"/>
    </row>
    <row r="312" spans="1:8" ht="12.75" customHeight="1">
      <c r="C312" s="779" t="s">
        <v>3139</v>
      </c>
      <c r="D312" s="814" t="s">
        <v>1939</v>
      </c>
      <c r="E312" s="815"/>
      <c r="F312" s="811" t="s">
        <v>3140</v>
      </c>
      <c r="G312" s="811"/>
      <c r="H312" s="811"/>
    </row>
    <row r="313" spans="1:8" ht="12.75" customHeight="1">
      <c r="C313" s="816" t="s">
        <v>1326</v>
      </c>
      <c r="D313" s="814" t="s">
        <v>1941</v>
      </c>
      <c r="E313" s="3277" t="s">
        <v>3239</v>
      </c>
      <c r="F313" s="3277"/>
      <c r="G313" s="3277"/>
      <c r="H313" s="3277"/>
    </row>
    <row r="314" spans="1:8" ht="12.75" customHeight="1">
      <c r="C314" s="1787" t="s">
        <v>4824</v>
      </c>
      <c r="E314" s="3277" t="s">
        <v>3399</v>
      </c>
      <c r="F314" s="3277"/>
      <c r="G314" s="3277"/>
      <c r="H314" s="3277"/>
    </row>
    <row r="315" spans="1:8" ht="12.75" customHeight="1">
      <c r="C315" s="1788"/>
      <c r="D315" s="1786" t="s">
        <v>3238</v>
      </c>
      <c r="E315" s="3353" t="s">
        <v>3400</v>
      </c>
      <c r="F315" s="3353"/>
      <c r="G315" s="3353"/>
      <c r="H315" s="3353"/>
    </row>
    <row r="316" spans="1:8" ht="6" customHeight="1">
      <c r="D316" s="814"/>
      <c r="E316" s="1784"/>
      <c r="F316" s="1784"/>
      <c r="G316" s="1784"/>
      <c r="H316" s="1784"/>
    </row>
    <row r="317" spans="1:8">
      <c r="A317" s="785" t="s">
        <v>3234</v>
      </c>
      <c r="B317" s="812" t="str">
        <f>IF('Part VI-Revenues &amp; Expenses'!$N$59=0,"",'Part VI-Revenues &amp; Expenses'!$N$59)</f>
        <v/>
      </c>
      <c r="C317" s="785" t="s">
        <v>3237</v>
      </c>
      <c r="D317" s="813" t="s">
        <v>3403</v>
      </c>
    </row>
    <row r="318" spans="1:8" ht="1.95" customHeight="1"/>
    <row r="319" spans="1:8" ht="12.75" customHeight="1">
      <c r="C319" s="779" t="s">
        <v>3139</v>
      </c>
      <c r="D319" s="814" t="s">
        <v>1939</v>
      </c>
      <c r="E319" s="815"/>
      <c r="F319" s="811" t="s">
        <v>3140</v>
      </c>
      <c r="G319" s="811"/>
      <c r="H319" s="811"/>
    </row>
    <row r="320" spans="1:8" ht="12.75" customHeight="1">
      <c r="C320" s="816" t="s">
        <v>1326</v>
      </c>
      <c r="D320" s="814" t="s">
        <v>1941</v>
      </c>
      <c r="E320" s="3277" t="s">
        <v>3239</v>
      </c>
      <c r="F320" s="3277"/>
      <c r="G320" s="3277"/>
      <c r="H320" s="3277"/>
    </row>
    <row r="321" spans="1:11" ht="12.75" customHeight="1">
      <c r="C321" s="1787" t="s">
        <v>4824</v>
      </c>
      <c r="E321" s="3277" t="s">
        <v>3399</v>
      </c>
      <c r="F321" s="3277"/>
      <c r="G321" s="3277"/>
      <c r="H321" s="3277"/>
    </row>
    <row r="322" spans="1:11" ht="12.75" customHeight="1">
      <c r="C322" s="1788"/>
      <c r="D322" s="1785" t="s">
        <v>3238</v>
      </c>
      <c r="E322" s="3352" t="s">
        <v>3400</v>
      </c>
      <c r="F322" s="3352"/>
      <c r="G322" s="3352"/>
      <c r="H322" s="3352"/>
    </row>
    <row r="323" spans="1:11" ht="3" customHeight="1">
      <c r="D323" s="814"/>
      <c r="E323" s="1784"/>
      <c r="F323" s="1784"/>
      <c r="G323" s="1784"/>
      <c r="H323" s="1784"/>
    </row>
    <row r="324" spans="1:11" ht="12.75" customHeight="1">
      <c r="C324" s="779" t="s">
        <v>3139</v>
      </c>
      <c r="D324" s="814" t="s">
        <v>1939</v>
      </c>
      <c r="E324" s="815"/>
      <c r="F324" s="811" t="s">
        <v>3140</v>
      </c>
      <c r="G324" s="811"/>
      <c r="H324" s="811"/>
    </row>
    <row r="325" spans="1:11" ht="12.75" customHeight="1">
      <c r="C325" s="816" t="s">
        <v>1326</v>
      </c>
      <c r="D325" s="814" t="s">
        <v>1941</v>
      </c>
      <c r="E325" s="3277" t="s">
        <v>3239</v>
      </c>
      <c r="F325" s="3277"/>
      <c r="G325" s="3277"/>
      <c r="H325" s="3277"/>
    </row>
    <row r="326" spans="1:11" ht="12.75" customHeight="1">
      <c r="C326" s="1787" t="s">
        <v>4824</v>
      </c>
      <c r="E326" s="3277" t="s">
        <v>3399</v>
      </c>
      <c r="F326" s="3277"/>
      <c r="G326" s="3277"/>
      <c r="H326" s="3277"/>
    </row>
    <row r="327" spans="1:11" ht="12.75" customHeight="1">
      <c r="C327" s="1788"/>
      <c r="D327" s="1786" t="s">
        <v>3238</v>
      </c>
      <c r="E327" s="3353" t="s">
        <v>3400</v>
      </c>
      <c r="F327" s="3353"/>
      <c r="G327" s="3353"/>
      <c r="H327" s="3353"/>
    </row>
    <row r="328" spans="1:11" ht="3" customHeight="1">
      <c r="D328" s="814"/>
      <c r="E328" s="1784"/>
      <c r="F328" s="1784"/>
      <c r="G328" s="1784"/>
      <c r="H328" s="1784"/>
    </row>
    <row r="329" spans="1:11" ht="12.75" customHeight="1">
      <c r="C329" s="779" t="s">
        <v>3139</v>
      </c>
      <c r="D329" s="814" t="s">
        <v>1939</v>
      </c>
      <c r="E329" s="815"/>
      <c r="F329" s="811" t="s">
        <v>3140</v>
      </c>
      <c r="G329" s="811"/>
      <c r="H329" s="811"/>
    </row>
    <row r="330" spans="1:11" ht="12.75" customHeight="1">
      <c r="C330" s="816" t="s">
        <v>1326</v>
      </c>
      <c r="D330" s="814" t="s">
        <v>1941</v>
      </c>
      <c r="E330" s="3277" t="s">
        <v>3239</v>
      </c>
      <c r="F330" s="3277"/>
      <c r="G330" s="3277"/>
      <c r="H330" s="3277"/>
    </row>
    <row r="331" spans="1:11" ht="12.75" customHeight="1">
      <c r="C331" s="1787" t="s">
        <v>4824</v>
      </c>
      <c r="E331" s="3277" t="s">
        <v>3399</v>
      </c>
      <c r="F331" s="3277"/>
      <c r="G331" s="3277"/>
      <c r="H331" s="3277"/>
    </row>
    <row r="332" spans="1:11" ht="12.75" customHeight="1">
      <c r="C332" s="1788"/>
      <c r="D332" s="1786" t="s">
        <v>3238</v>
      </c>
      <c r="E332" s="3353" t="s">
        <v>3400</v>
      </c>
      <c r="F332" s="3353"/>
      <c r="G332" s="3353"/>
      <c r="H332" s="3353"/>
    </row>
    <row r="333" spans="1:11" ht="6" customHeight="1">
      <c r="D333" s="814"/>
      <c r="E333" s="1784"/>
      <c r="F333" s="1784"/>
      <c r="G333" s="1784"/>
      <c r="H333" s="1784"/>
    </row>
    <row r="334" spans="1:11">
      <c r="A334" s="785" t="s">
        <v>3234</v>
      </c>
      <c r="B334" s="812" t="str">
        <f>IF('Part VI-Revenues &amp; Expenses'!$O$59=0,"",'Part VI-Revenues &amp; Expenses'!$O$59)</f>
        <v/>
      </c>
      <c r="C334" s="785" t="s">
        <v>4822</v>
      </c>
      <c r="D334" s="813" t="s">
        <v>4823</v>
      </c>
    </row>
    <row r="335" spans="1:11" ht="1.95" customHeight="1"/>
    <row r="336" spans="1:11" ht="12.75" customHeight="1">
      <c r="C336" s="779" t="s">
        <v>3139</v>
      </c>
      <c r="D336" s="814" t="s">
        <v>1939</v>
      </c>
      <c r="E336" s="815"/>
      <c r="F336" s="3277" t="s">
        <v>3140</v>
      </c>
      <c r="G336" s="3277"/>
      <c r="H336" s="3277"/>
      <c r="K336" s="730" t="s">
        <v>238</v>
      </c>
    </row>
    <row r="337" spans="1:8" ht="12.75" customHeight="1">
      <c r="C337" s="816" t="s">
        <v>1326</v>
      </c>
      <c r="D337" s="814" t="s">
        <v>1941</v>
      </c>
      <c r="E337" s="3277" t="s">
        <v>3240</v>
      </c>
      <c r="F337" s="3277"/>
      <c r="G337" s="3277"/>
      <c r="H337" s="3277"/>
    </row>
    <row r="338" spans="1:8" ht="12.75" customHeight="1">
      <c r="E338" s="3277" t="s">
        <v>3399</v>
      </c>
      <c r="F338" s="3277"/>
      <c r="G338" s="3277"/>
      <c r="H338" s="3277"/>
    </row>
    <row r="339" spans="1:8" ht="12.75" customHeight="1">
      <c r="D339" s="817" t="s">
        <v>3238</v>
      </c>
      <c r="E339" s="3277" t="s">
        <v>3400</v>
      </c>
      <c r="F339" s="3277"/>
      <c r="G339" s="3277"/>
      <c r="H339" s="3277"/>
    </row>
    <row r="340" spans="1:8" ht="9" customHeight="1"/>
    <row r="341" spans="1:8" ht="7.5" customHeight="1" thickBot="1">
      <c r="E341" s="3277"/>
      <c r="F341" s="3277"/>
      <c r="G341" s="3277"/>
      <c r="H341" s="3277"/>
    </row>
    <row r="342" spans="1:8" ht="16.2" customHeight="1" thickBot="1">
      <c r="A342" s="3359">
        <v>60</v>
      </c>
      <c r="B342" s="3360"/>
      <c r="C342" s="1789" t="s">
        <v>1018</v>
      </c>
    </row>
    <row r="343" spans="1:8" ht="9" customHeight="1">
      <c r="A343" s="752"/>
    </row>
    <row r="344" spans="1:8" ht="28.2" customHeight="1">
      <c r="A344" s="3357" t="s">
        <v>4829</v>
      </c>
      <c r="B344" s="3357"/>
      <c r="C344" s="3357"/>
      <c r="D344" s="3357"/>
      <c r="E344" s="3357"/>
      <c r="F344" s="3357"/>
      <c r="G344" s="3357"/>
      <c r="H344" s="3357"/>
    </row>
    <row r="345" spans="1:8" ht="9" customHeight="1">
      <c r="A345" s="752"/>
    </row>
    <row r="346" spans="1:8">
      <c r="A346" s="785" t="s">
        <v>3234</v>
      </c>
      <c r="B346" s="812" t="str">
        <f>IF('Part VI-Revenues &amp; Expenses'!$K$58=0,"",'Part VI-Revenues &amp; Expenses'!$K$58)</f>
        <v/>
      </c>
      <c r="C346" s="785" t="s">
        <v>4819</v>
      </c>
      <c r="D346" s="813" t="s">
        <v>4820</v>
      </c>
    </row>
    <row r="347" spans="1:8" ht="1.95" customHeight="1"/>
    <row r="348" spans="1:8" ht="12.75" customHeight="1">
      <c r="C348" s="779" t="s">
        <v>3139</v>
      </c>
      <c r="D348" s="814" t="s">
        <v>1939</v>
      </c>
      <c r="E348" s="815"/>
      <c r="F348" s="3277" t="s">
        <v>3140</v>
      </c>
      <c r="G348" s="3277"/>
      <c r="H348" s="3277"/>
    </row>
    <row r="349" spans="1:8" ht="12.75" customHeight="1">
      <c r="C349" s="816" t="s">
        <v>1326</v>
      </c>
      <c r="D349" s="814" t="s">
        <v>1941</v>
      </c>
      <c r="E349" s="3277" t="s">
        <v>3239</v>
      </c>
      <c r="F349" s="3277"/>
      <c r="G349" s="3277"/>
      <c r="H349" s="3277"/>
    </row>
    <row r="350" spans="1:8" ht="12.75" customHeight="1">
      <c r="C350" s="1787" t="s">
        <v>4824</v>
      </c>
      <c r="E350" s="3277" t="s">
        <v>3399</v>
      </c>
      <c r="F350" s="3277"/>
      <c r="G350" s="3277"/>
      <c r="H350" s="3277"/>
    </row>
    <row r="351" spans="1:8" ht="12.75" customHeight="1">
      <c r="C351" s="1788"/>
      <c r="D351" s="1786" t="s">
        <v>3238</v>
      </c>
      <c r="E351" s="3353" t="s">
        <v>3400</v>
      </c>
      <c r="F351" s="3353"/>
      <c r="G351" s="3353"/>
      <c r="H351" s="3353"/>
    </row>
    <row r="352" spans="1:8" ht="3" customHeight="1">
      <c r="D352" s="814"/>
      <c r="E352" s="1784"/>
      <c r="F352" s="1784"/>
      <c r="G352" s="1784"/>
      <c r="H352" s="1784"/>
    </row>
    <row r="353" spans="1:8" ht="12.75" customHeight="1">
      <c r="C353" s="779" t="s">
        <v>3139</v>
      </c>
      <c r="D353" s="814" t="s">
        <v>1939</v>
      </c>
      <c r="E353" s="815"/>
      <c r="F353" s="811" t="s">
        <v>3140</v>
      </c>
      <c r="G353" s="811"/>
      <c r="H353" s="811"/>
    </row>
    <row r="354" spans="1:8" ht="12.75" customHeight="1">
      <c r="C354" s="816" t="s">
        <v>1326</v>
      </c>
      <c r="D354" s="814" t="s">
        <v>1941</v>
      </c>
      <c r="E354" s="3277" t="s">
        <v>3239</v>
      </c>
      <c r="F354" s="3277"/>
      <c r="G354" s="3277"/>
      <c r="H354" s="3277"/>
    </row>
    <row r="355" spans="1:8" ht="12.75" customHeight="1">
      <c r="C355" s="1787" t="s">
        <v>4824</v>
      </c>
      <c r="E355" s="3277" t="s">
        <v>3399</v>
      </c>
      <c r="F355" s="3277"/>
      <c r="G355" s="3277"/>
      <c r="H355" s="3277"/>
    </row>
    <row r="356" spans="1:8" ht="12.75" customHeight="1">
      <c r="C356" s="1788"/>
      <c r="D356" s="1786" t="s">
        <v>3238</v>
      </c>
      <c r="E356" s="3353" t="s">
        <v>3400</v>
      </c>
      <c r="F356" s="3353"/>
      <c r="G356" s="3353"/>
      <c r="H356" s="3353"/>
    </row>
    <row r="357" spans="1:8" ht="3" customHeight="1">
      <c r="D357" s="814"/>
      <c r="E357" s="1784"/>
      <c r="F357" s="1784"/>
      <c r="G357" s="1784"/>
      <c r="H357" s="1784"/>
    </row>
    <row r="358" spans="1:8" ht="12.75" customHeight="1">
      <c r="C358" s="779" t="s">
        <v>3139</v>
      </c>
      <c r="D358" s="814" t="s">
        <v>1939</v>
      </c>
      <c r="E358" s="815"/>
      <c r="F358" s="811" t="s">
        <v>3140</v>
      </c>
      <c r="G358" s="811"/>
      <c r="H358" s="811"/>
    </row>
    <row r="359" spans="1:8" ht="12.75" customHeight="1">
      <c r="C359" s="816" t="s">
        <v>1326</v>
      </c>
      <c r="D359" s="814" t="s">
        <v>1941</v>
      </c>
      <c r="E359" s="3277" t="s">
        <v>3239</v>
      </c>
      <c r="F359" s="3277"/>
      <c r="G359" s="3277"/>
      <c r="H359" s="3277"/>
    </row>
    <row r="360" spans="1:8" ht="12.75" customHeight="1">
      <c r="C360" s="1787" t="s">
        <v>4824</v>
      </c>
      <c r="E360" s="3277" t="s">
        <v>3399</v>
      </c>
      <c r="F360" s="3277"/>
      <c r="G360" s="3277"/>
      <c r="H360" s="3277"/>
    </row>
    <row r="361" spans="1:8" ht="12.75" customHeight="1">
      <c r="C361" s="1788"/>
      <c r="D361" s="1786" t="s">
        <v>3238</v>
      </c>
      <c r="E361" s="3353" t="s">
        <v>3400</v>
      </c>
      <c r="F361" s="3353"/>
      <c r="G361" s="3353"/>
      <c r="H361" s="3353"/>
    </row>
    <row r="362" spans="1:8" ht="6" customHeight="1">
      <c r="D362" s="814"/>
      <c r="E362" s="1784"/>
      <c r="F362" s="1784"/>
      <c r="G362" s="1784"/>
      <c r="H362" s="1784"/>
    </row>
    <row r="363" spans="1:8">
      <c r="A363" s="785" t="s">
        <v>3234</v>
      </c>
      <c r="B363" s="812">
        <f>IF('Part VI-Revenues &amp; Expenses'!$L$58=0,"",'Part VI-Revenues &amp; Expenses'!$L$58)</f>
        <v>9</v>
      </c>
      <c r="C363" s="785" t="s">
        <v>3235</v>
      </c>
      <c r="D363" s="813" t="s">
        <v>3401</v>
      </c>
    </row>
    <row r="364" spans="1:8" ht="1.95" customHeight="1"/>
    <row r="365" spans="1:8" ht="12.75" customHeight="1">
      <c r="C365" s="779" t="s">
        <v>3139</v>
      </c>
      <c r="D365" s="814" t="s">
        <v>1939</v>
      </c>
      <c r="E365" s="815"/>
      <c r="F365" s="811" t="s">
        <v>3140</v>
      </c>
      <c r="G365" s="811"/>
      <c r="H365" s="811"/>
    </row>
    <row r="366" spans="1:8" ht="12.75" customHeight="1">
      <c r="C366" s="816" t="s">
        <v>1326</v>
      </c>
      <c r="D366" s="814" t="s">
        <v>1941</v>
      </c>
      <c r="E366" s="3277" t="s">
        <v>3239</v>
      </c>
      <c r="F366" s="3277"/>
      <c r="G366" s="3277"/>
      <c r="H366" s="3277"/>
    </row>
    <row r="367" spans="1:8" ht="12.75" customHeight="1">
      <c r="C367" s="1787" t="s">
        <v>4824</v>
      </c>
      <c r="E367" s="3277" t="s">
        <v>3399</v>
      </c>
      <c r="F367" s="3277"/>
      <c r="G367" s="3277"/>
      <c r="H367" s="3277"/>
    </row>
    <row r="368" spans="1:8" ht="12.75" customHeight="1">
      <c r="C368" s="1788"/>
      <c r="D368" s="1785" t="s">
        <v>3238</v>
      </c>
      <c r="E368" s="3352" t="s">
        <v>3400</v>
      </c>
      <c r="F368" s="3352"/>
      <c r="G368" s="3352"/>
      <c r="H368" s="3352"/>
    </row>
    <row r="369" spans="1:8" ht="3" customHeight="1">
      <c r="D369" s="814"/>
      <c r="E369" s="1784"/>
      <c r="F369" s="1784"/>
      <c r="G369" s="1784"/>
      <c r="H369" s="1784"/>
    </row>
    <row r="370" spans="1:8" ht="12.75" customHeight="1">
      <c r="C370" s="779" t="s">
        <v>3139</v>
      </c>
      <c r="D370" s="814" t="s">
        <v>1939</v>
      </c>
      <c r="E370" s="815"/>
      <c r="F370" s="811" t="s">
        <v>3140</v>
      </c>
      <c r="G370" s="811"/>
      <c r="H370" s="811"/>
    </row>
    <row r="371" spans="1:8" ht="12.75" customHeight="1">
      <c r="C371" s="816" t="s">
        <v>1326</v>
      </c>
      <c r="D371" s="814" t="s">
        <v>1941</v>
      </c>
      <c r="E371" s="3277" t="s">
        <v>3239</v>
      </c>
      <c r="F371" s="3277"/>
      <c r="G371" s="3277"/>
      <c r="H371" s="3277"/>
    </row>
    <row r="372" spans="1:8" ht="12.75" customHeight="1">
      <c r="C372" s="1787" t="s">
        <v>4824</v>
      </c>
      <c r="E372" s="3277" t="s">
        <v>3399</v>
      </c>
      <c r="F372" s="3277"/>
      <c r="G372" s="3277"/>
      <c r="H372" s="3277"/>
    </row>
    <row r="373" spans="1:8" ht="12.75" customHeight="1">
      <c r="C373" s="1788"/>
      <c r="D373" s="1786" t="s">
        <v>3238</v>
      </c>
      <c r="E373" s="3353" t="s">
        <v>3400</v>
      </c>
      <c r="F373" s="3353"/>
      <c r="G373" s="3353"/>
      <c r="H373" s="3353"/>
    </row>
    <row r="374" spans="1:8" ht="3" customHeight="1">
      <c r="D374" s="814"/>
      <c r="E374" s="1784"/>
      <c r="F374" s="1784"/>
      <c r="G374" s="1784"/>
      <c r="H374" s="1784"/>
    </row>
    <row r="375" spans="1:8" ht="12.75" customHeight="1">
      <c r="C375" s="779" t="s">
        <v>3139</v>
      </c>
      <c r="D375" s="814" t="s">
        <v>1939</v>
      </c>
      <c r="E375" s="815"/>
      <c r="F375" s="811" t="s">
        <v>3140</v>
      </c>
      <c r="G375" s="811"/>
      <c r="H375" s="811"/>
    </row>
    <row r="376" spans="1:8" ht="12.75" customHeight="1">
      <c r="C376" s="816" t="s">
        <v>1326</v>
      </c>
      <c r="D376" s="814" t="s">
        <v>1941</v>
      </c>
      <c r="E376" s="3277" t="s">
        <v>3239</v>
      </c>
      <c r="F376" s="3277"/>
      <c r="G376" s="3277"/>
      <c r="H376" s="3277"/>
    </row>
    <row r="377" spans="1:8" ht="12.75" customHeight="1">
      <c r="C377" s="1787" t="s">
        <v>4824</v>
      </c>
      <c r="E377" s="3277" t="s">
        <v>3399</v>
      </c>
      <c r="F377" s="3277"/>
      <c r="G377" s="3277"/>
      <c r="H377" s="3277"/>
    </row>
    <row r="378" spans="1:8" ht="12.75" customHeight="1">
      <c r="C378" s="1788"/>
      <c r="D378" s="1786" t="s">
        <v>3238</v>
      </c>
      <c r="E378" s="3353" t="s">
        <v>3400</v>
      </c>
      <c r="F378" s="3353"/>
      <c r="G378" s="3353"/>
      <c r="H378" s="3353"/>
    </row>
    <row r="379" spans="1:8" ht="6" customHeight="1">
      <c r="D379" s="814"/>
      <c r="E379" s="1784"/>
      <c r="F379" s="1784"/>
      <c r="G379" s="1784"/>
      <c r="H379" s="1784"/>
    </row>
    <row r="380" spans="1:8">
      <c r="A380" s="785" t="s">
        <v>3234</v>
      </c>
      <c r="B380" s="812">
        <f>IF('Part VI-Revenues &amp; Expenses'!$M$58=0,"",'Part VI-Revenues &amp; Expenses'!$M$58)</f>
        <v>25</v>
      </c>
      <c r="C380" s="785" t="s">
        <v>3236</v>
      </c>
      <c r="D380" s="813" t="s">
        <v>3402</v>
      </c>
    </row>
    <row r="381" spans="1:8" ht="1.95" customHeight="1"/>
    <row r="382" spans="1:8" ht="12.75" customHeight="1">
      <c r="C382" s="779" t="s">
        <v>3139</v>
      </c>
      <c r="D382" s="814" t="s">
        <v>1939</v>
      </c>
      <c r="E382" s="815"/>
      <c r="F382" s="811" t="s">
        <v>3140</v>
      </c>
      <c r="G382" s="811"/>
      <c r="H382" s="811"/>
    </row>
    <row r="383" spans="1:8" ht="12.75" customHeight="1">
      <c r="C383" s="816" t="s">
        <v>1326</v>
      </c>
      <c r="D383" s="814" t="s">
        <v>1941</v>
      </c>
      <c r="E383" s="3277" t="s">
        <v>3239</v>
      </c>
      <c r="F383" s="3277"/>
      <c r="G383" s="3277"/>
      <c r="H383" s="3277"/>
    </row>
    <row r="384" spans="1:8" ht="12.75" customHeight="1">
      <c r="C384" s="1787" t="s">
        <v>4824</v>
      </c>
      <c r="E384" s="3277" t="s">
        <v>3399</v>
      </c>
      <c r="F384" s="3277"/>
      <c r="G384" s="3277"/>
      <c r="H384" s="3277"/>
    </row>
    <row r="385" spans="1:8" ht="12.75" customHeight="1">
      <c r="C385" s="1788"/>
      <c r="D385" s="1785" t="s">
        <v>3238</v>
      </c>
      <c r="E385" s="3352" t="s">
        <v>3400</v>
      </c>
      <c r="F385" s="3352"/>
      <c r="G385" s="3352"/>
      <c r="H385" s="3352"/>
    </row>
    <row r="386" spans="1:8" ht="3" customHeight="1">
      <c r="D386" s="814"/>
      <c r="E386" s="1784"/>
      <c r="F386" s="1784"/>
      <c r="G386" s="1784"/>
      <c r="H386" s="1784"/>
    </row>
    <row r="387" spans="1:8" ht="12.75" customHeight="1">
      <c r="C387" s="779" t="s">
        <v>3139</v>
      </c>
      <c r="D387" s="814" t="s">
        <v>1939</v>
      </c>
      <c r="E387" s="815"/>
      <c r="F387" s="811" t="s">
        <v>3140</v>
      </c>
      <c r="G387" s="811"/>
      <c r="H387" s="811"/>
    </row>
    <row r="388" spans="1:8" ht="12.75" customHeight="1">
      <c r="C388" s="816" t="s">
        <v>1326</v>
      </c>
      <c r="D388" s="814" t="s">
        <v>1941</v>
      </c>
      <c r="E388" s="3277" t="s">
        <v>3239</v>
      </c>
      <c r="F388" s="3277"/>
      <c r="G388" s="3277"/>
      <c r="H388" s="3277"/>
    </row>
    <row r="389" spans="1:8" ht="12.75" customHeight="1">
      <c r="C389" s="1787" t="s">
        <v>4824</v>
      </c>
      <c r="E389" s="3277" t="s">
        <v>3399</v>
      </c>
      <c r="F389" s="3277"/>
      <c r="G389" s="3277"/>
      <c r="H389" s="3277"/>
    </row>
    <row r="390" spans="1:8" ht="12.75" customHeight="1">
      <c r="C390" s="1788"/>
      <c r="D390" s="1786" t="s">
        <v>3238</v>
      </c>
      <c r="E390" s="3353" t="s">
        <v>3400</v>
      </c>
      <c r="F390" s="3353"/>
      <c r="G390" s="3353"/>
      <c r="H390" s="3353"/>
    </row>
    <row r="391" spans="1:8" ht="3" customHeight="1">
      <c r="D391" s="814"/>
      <c r="E391" s="1784"/>
      <c r="F391" s="1784"/>
      <c r="G391" s="1784"/>
      <c r="H391" s="1784"/>
    </row>
    <row r="392" spans="1:8" ht="12.75" customHeight="1">
      <c r="C392" s="779" t="s">
        <v>3139</v>
      </c>
      <c r="D392" s="814" t="s">
        <v>1939</v>
      </c>
      <c r="E392" s="815"/>
      <c r="F392" s="811" t="s">
        <v>3140</v>
      </c>
      <c r="G392" s="811"/>
      <c r="H392" s="811"/>
    </row>
    <row r="393" spans="1:8" ht="12.75" customHeight="1">
      <c r="C393" s="816" t="s">
        <v>1326</v>
      </c>
      <c r="D393" s="814" t="s">
        <v>1941</v>
      </c>
      <c r="E393" s="3277" t="s">
        <v>3239</v>
      </c>
      <c r="F393" s="3277"/>
      <c r="G393" s="3277"/>
      <c r="H393" s="3277"/>
    </row>
    <row r="394" spans="1:8" ht="12.75" customHeight="1">
      <c r="C394" s="1787" t="s">
        <v>4824</v>
      </c>
      <c r="E394" s="3277" t="s">
        <v>3399</v>
      </c>
      <c r="F394" s="3277"/>
      <c r="G394" s="3277"/>
      <c r="H394" s="3277"/>
    </row>
    <row r="395" spans="1:8" ht="12.75" customHeight="1">
      <c r="C395" s="1788"/>
      <c r="D395" s="1786" t="s">
        <v>3238</v>
      </c>
      <c r="E395" s="3353" t="s">
        <v>3400</v>
      </c>
      <c r="F395" s="3353"/>
      <c r="G395" s="3353"/>
      <c r="H395" s="3353"/>
    </row>
    <row r="396" spans="1:8" ht="6" customHeight="1">
      <c r="D396" s="814"/>
      <c r="E396" s="1784"/>
      <c r="F396" s="1784"/>
      <c r="G396" s="1784"/>
      <c r="H396" s="1784"/>
    </row>
    <row r="397" spans="1:8">
      <c r="A397" s="785" t="s">
        <v>3234</v>
      </c>
      <c r="B397" s="812" t="str">
        <f>IF('Part VI-Revenues &amp; Expenses'!$N$58=0,"",'Part VI-Revenues &amp; Expenses'!$N$58)</f>
        <v/>
      </c>
      <c r="C397" s="785" t="s">
        <v>3237</v>
      </c>
      <c r="D397" s="813" t="s">
        <v>3403</v>
      </c>
    </row>
    <row r="398" spans="1:8" ht="1.95" customHeight="1"/>
    <row r="399" spans="1:8" ht="12.75" customHeight="1">
      <c r="C399" s="779" t="s">
        <v>3139</v>
      </c>
      <c r="D399" s="814" t="s">
        <v>1939</v>
      </c>
      <c r="E399" s="815"/>
      <c r="F399" s="811" t="s">
        <v>3140</v>
      </c>
      <c r="G399" s="811"/>
      <c r="H399" s="811"/>
    </row>
    <row r="400" spans="1:8" ht="12.75" customHeight="1">
      <c r="C400" s="816" t="s">
        <v>1326</v>
      </c>
      <c r="D400" s="814" t="s">
        <v>1941</v>
      </c>
      <c r="E400" s="3277" t="s">
        <v>3239</v>
      </c>
      <c r="F400" s="3277"/>
      <c r="G400" s="3277"/>
      <c r="H400" s="3277"/>
    </row>
    <row r="401" spans="1:11" ht="12.75" customHeight="1">
      <c r="C401" s="1787" t="s">
        <v>4824</v>
      </c>
      <c r="E401" s="3277" t="s">
        <v>3399</v>
      </c>
      <c r="F401" s="3277"/>
      <c r="G401" s="3277"/>
      <c r="H401" s="3277"/>
    </row>
    <row r="402" spans="1:11" ht="12.75" customHeight="1">
      <c r="C402" s="1788"/>
      <c r="D402" s="1785" t="s">
        <v>3238</v>
      </c>
      <c r="E402" s="3352" t="s">
        <v>3400</v>
      </c>
      <c r="F402" s="3352"/>
      <c r="G402" s="3352"/>
      <c r="H402" s="3352"/>
    </row>
    <row r="403" spans="1:11" ht="3" customHeight="1">
      <c r="D403" s="814"/>
      <c r="E403" s="1784"/>
      <c r="F403" s="1784"/>
      <c r="G403" s="1784"/>
      <c r="H403" s="1784"/>
    </row>
    <row r="404" spans="1:11" ht="12.75" customHeight="1">
      <c r="C404" s="779" t="s">
        <v>3139</v>
      </c>
      <c r="D404" s="814" t="s">
        <v>1939</v>
      </c>
      <c r="E404" s="815"/>
      <c r="F404" s="811" t="s">
        <v>3140</v>
      </c>
      <c r="G404" s="811"/>
      <c r="H404" s="811"/>
    </row>
    <row r="405" spans="1:11" ht="12.75" customHeight="1">
      <c r="C405" s="816" t="s">
        <v>1326</v>
      </c>
      <c r="D405" s="814" t="s">
        <v>1941</v>
      </c>
      <c r="E405" s="3277" t="s">
        <v>3239</v>
      </c>
      <c r="F405" s="3277"/>
      <c r="G405" s="3277"/>
      <c r="H405" s="3277"/>
    </row>
    <row r="406" spans="1:11" ht="12.75" customHeight="1">
      <c r="C406" s="1787" t="s">
        <v>4824</v>
      </c>
      <c r="E406" s="3277" t="s">
        <v>3399</v>
      </c>
      <c r="F406" s="3277"/>
      <c r="G406" s="3277"/>
      <c r="H406" s="3277"/>
    </row>
    <row r="407" spans="1:11" ht="12.75" customHeight="1">
      <c r="C407" s="1788"/>
      <c r="D407" s="1786" t="s">
        <v>3238</v>
      </c>
      <c r="E407" s="3353" t="s">
        <v>3400</v>
      </c>
      <c r="F407" s="3353"/>
      <c r="G407" s="3353"/>
      <c r="H407" s="3353"/>
    </row>
    <row r="408" spans="1:11" ht="3" customHeight="1">
      <c r="D408" s="814"/>
      <c r="E408" s="1784"/>
      <c r="F408" s="1784"/>
      <c r="G408" s="1784"/>
      <c r="H408" s="1784"/>
    </row>
    <row r="409" spans="1:11" ht="12.75" customHeight="1">
      <c r="C409" s="779" t="s">
        <v>3139</v>
      </c>
      <c r="D409" s="814" t="s">
        <v>1939</v>
      </c>
      <c r="E409" s="815"/>
      <c r="F409" s="811" t="s">
        <v>3140</v>
      </c>
      <c r="G409" s="811"/>
      <c r="H409" s="811"/>
    </row>
    <row r="410" spans="1:11" ht="12.75" customHeight="1">
      <c r="C410" s="816" t="s">
        <v>1326</v>
      </c>
      <c r="D410" s="814" t="s">
        <v>1941</v>
      </c>
      <c r="E410" s="3277" t="s">
        <v>3239</v>
      </c>
      <c r="F410" s="3277"/>
      <c r="G410" s="3277"/>
      <c r="H410" s="3277"/>
    </row>
    <row r="411" spans="1:11" ht="12.75" customHeight="1">
      <c r="C411" s="1787" t="s">
        <v>4824</v>
      </c>
      <c r="E411" s="3277" t="s">
        <v>3399</v>
      </c>
      <c r="F411" s="3277"/>
      <c r="G411" s="3277"/>
      <c r="H411" s="3277"/>
    </row>
    <row r="412" spans="1:11" ht="12.75" customHeight="1">
      <c r="C412" s="1788"/>
      <c r="D412" s="1786" t="s">
        <v>3238</v>
      </c>
      <c r="E412" s="3353" t="s">
        <v>3400</v>
      </c>
      <c r="F412" s="3353"/>
      <c r="G412" s="3353"/>
      <c r="H412" s="3353"/>
    </row>
    <row r="413" spans="1:11" ht="6" customHeight="1">
      <c r="D413" s="814"/>
      <c r="E413" s="1784"/>
      <c r="F413" s="1784"/>
      <c r="G413" s="1784"/>
      <c r="H413" s="1784"/>
    </row>
    <row r="414" spans="1:11">
      <c r="A414" s="785" t="s">
        <v>3234</v>
      </c>
      <c r="B414" s="812" t="str">
        <f>IF('Part VI-Revenues &amp; Expenses'!$O$58=0,"",'Part VI-Revenues &amp; Expenses'!$O$58)</f>
        <v/>
      </c>
      <c r="C414" s="785" t="s">
        <v>4822</v>
      </c>
      <c r="D414" s="813" t="s">
        <v>4823</v>
      </c>
    </row>
    <row r="415" spans="1:11" ht="1.95" customHeight="1"/>
    <row r="416" spans="1:11" ht="12.75" customHeight="1">
      <c r="C416" s="779" t="s">
        <v>3139</v>
      </c>
      <c r="D416" s="814" t="s">
        <v>1939</v>
      </c>
      <c r="E416" s="815"/>
      <c r="F416" s="3277" t="s">
        <v>3140</v>
      </c>
      <c r="G416" s="3277"/>
      <c r="H416" s="3277"/>
      <c r="K416" s="730" t="s">
        <v>238</v>
      </c>
    </row>
    <row r="417" spans="1:8" ht="12.75" customHeight="1">
      <c r="C417" s="816" t="s">
        <v>1326</v>
      </c>
      <c r="D417" s="814" t="s">
        <v>1941</v>
      </c>
      <c r="E417" s="3277" t="s">
        <v>3240</v>
      </c>
      <c r="F417" s="3277"/>
      <c r="G417" s="3277"/>
      <c r="H417" s="3277"/>
    </row>
    <row r="418" spans="1:8" ht="12.75" customHeight="1">
      <c r="E418" s="3277" t="s">
        <v>3399</v>
      </c>
      <c r="F418" s="3277"/>
      <c r="G418" s="3277"/>
      <c r="H418" s="3277"/>
    </row>
    <row r="419" spans="1:8" ht="12.75" customHeight="1">
      <c r="D419" s="817" t="s">
        <v>3238</v>
      </c>
      <c r="E419" s="3277" t="s">
        <v>3400</v>
      </c>
      <c r="F419" s="3277"/>
      <c r="G419" s="3277"/>
      <c r="H419" s="3277"/>
    </row>
    <row r="420" spans="1:8" ht="9" customHeight="1" thickBot="1"/>
    <row r="421" spans="1:8" ht="16.2" customHeight="1" thickBot="1">
      <c r="A421" s="3359">
        <v>70</v>
      </c>
      <c r="B421" s="3360"/>
      <c r="C421" s="1789" t="s">
        <v>1018</v>
      </c>
    </row>
    <row r="422" spans="1:8" ht="9" customHeight="1">
      <c r="A422" s="752"/>
    </row>
    <row r="423" spans="1:8" ht="28.2" customHeight="1">
      <c r="A423" s="3357" t="s">
        <v>4830</v>
      </c>
      <c r="B423" s="3357"/>
      <c r="C423" s="3357"/>
      <c r="D423" s="3357"/>
      <c r="E423" s="3357"/>
      <c r="F423" s="3357"/>
      <c r="G423" s="3357"/>
      <c r="H423" s="3357"/>
    </row>
    <row r="424" spans="1:8" ht="9" customHeight="1">
      <c r="A424" s="752"/>
    </row>
    <row r="425" spans="1:8">
      <c r="A425" s="785" t="s">
        <v>3234</v>
      </c>
      <c r="B425" s="812" t="str">
        <f>IF('Part VI-Revenues &amp; Expenses'!$K$57=0,"",'Part VI-Revenues &amp; Expenses'!$K$57)</f>
        <v/>
      </c>
      <c r="C425" s="785" t="s">
        <v>4819</v>
      </c>
      <c r="D425" s="813" t="s">
        <v>4820</v>
      </c>
    </row>
    <row r="426" spans="1:8" ht="1.95" customHeight="1"/>
    <row r="427" spans="1:8" ht="12.75" customHeight="1">
      <c r="C427" s="779" t="s">
        <v>3139</v>
      </c>
      <c r="D427" s="814" t="s">
        <v>1939</v>
      </c>
      <c r="E427" s="815"/>
      <c r="F427" s="3277" t="s">
        <v>3140</v>
      </c>
      <c r="G427" s="3277"/>
      <c r="H427" s="3277"/>
    </row>
    <row r="428" spans="1:8" ht="12.75" customHeight="1">
      <c r="C428" s="816" t="s">
        <v>1326</v>
      </c>
      <c r="D428" s="814" t="s">
        <v>1941</v>
      </c>
      <c r="E428" s="3277" t="s">
        <v>3239</v>
      </c>
      <c r="F428" s="3277"/>
      <c r="G428" s="3277"/>
      <c r="H428" s="3277"/>
    </row>
    <row r="429" spans="1:8" ht="12.75" customHeight="1">
      <c r="C429" s="1787" t="s">
        <v>4824</v>
      </c>
      <c r="E429" s="3277" t="s">
        <v>3399</v>
      </c>
      <c r="F429" s="3277"/>
      <c r="G429" s="3277"/>
      <c r="H429" s="3277"/>
    </row>
    <row r="430" spans="1:8" ht="12.75" customHeight="1">
      <c r="C430" s="1788"/>
      <c r="D430" s="1786" t="s">
        <v>3238</v>
      </c>
      <c r="E430" s="3353" t="s">
        <v>3400</v>
      </c>
      <c r="F430" s="3353"/>
      <c r="G430" s="3353"/>
      <c r="H430" s="3353"/>
    </row>
    <row r="431" spans="1:8" ht="3" customHeight="1">
      <c r="D431" s="814"/>
      <c r="E431" s="1784"/>
      <c r="F431" s="1784"/>
      <c r="G431" s="1784"/>
      <c r="H431" s="1784"/>
    </row>
    <row r="432" spans="1:8" ht="12.75" customHeight="1">
      <c r="C432" s="779" t="s">
        <v>3139</v>
      </c>
      <c r="D432" s="814" t="s">
        <v>1939</v>
      </c>
      <c r="E432" s="815"/>
      <c r="F432" s="811" t="s">
        <v>3140</v>
      </c>
      <c r="G432" s="811"/>
      <c r="H432" s="811"/>
    </row>
    <row r="433" spans="1:8" ht="12.75" customHeight="1">
      <c r="C433" s="816" t="s">
        <v>1326</v>
      </c>
      <c r="D433" s="814" t="s">
        <v>1941</v>
      </c>
      <c r="E433" s="3277" t="s">
        <v>3239</v>
      </c>
      <c r="F433" s="3277"/>
      <c r="G433" s="3277"/>
      <c r="H433" s="3277"/>
    </row>
    <row r="434" spans="1:8" ht="12.75" customHeight="1">
      <c r="C434" s="1787" t="s">
        <v>4824</v>
      </c>
      <c r="E434" s="3277" t="s">
        <v>3399</v>
      </c>
      <c r="F434" s="3277"/>
      <c r="G434" s="3277"/>
      <c r="H434" s="3277"/>
    </row>
    <row r="435" spans="1:8" ht="12.75" customHeight="1">
      <c r="C435" s="1788"/>
      <c r="D435" s="1786" t="s">
        <v>3238</v>
      </c>
      <c r="E435" s="3353" t="s">
        <v>3400</v>
      </c>
      <c r="F435" s="3353"/>
      <c r="G435" s="3353"/>
      <c r="H435" s="3353"/>
    </row>
    <row r="436" spans="1:8" ht="3" customHeight="1">
      <c r="D436" s="814"/>
      <c r="E436" s="1784"/>
      <c r="F436" s="1784"/>
      <c r="G436" s="1784"/>
      <c r="H436" s="1784"/>
    </row>
    <row r="437" spans="1:8" ht="12.75" customHeight="1">
      <c r="C437" s="779" t="s">
        <v>3139</v>
      </c>
      <c r="D437" s="814" t="s">
        <v>1939</v>
      </c>
      <c r="E437" s="815"/>
      <c r="F437" s="811" t="s">
        <v>3140</v>
      </c>
      <c r="G437" s="811"/>
      <c r="H437" s="811"/>
    </row>
    <row r="438" spans="1:8" ht="12.75" customHeight="1">
      <c r="C438" s="816" t="s">
        <v>1326</v>
      </c>
      <c r="D438" s="814" t="s">
        <v>1941</v>
      </c>
      <c r="E438" s="3277" t="s">
        <v>3239</v>
      </c>
      <c r="F438" s="3277"/>
      <c r="G438" s="3277"/>
      <c r="H438" s="3277"/>
    </row>
    <row r="439" spans="1:8" ht="12.75" customHeight="1">
      <c r="C439" s="1787" t="s">
        <v>4824</v>
      </c>
      <c r="E439" s="3277" t="s">
        <v>3399</v>
      </c>
      <c r="F439" s="3277"/>
      <c r="G439" s="3277"/>
      <c r="H439" s="3277"/>
    </row>
    <row r="440" spans="1:8" ht="12.75" customHeight="1">
      <c r="C440" s="1788"/>
      <c r="D440" s="1786" t="s">
        <v>3238</v>
      </c>
      <c r="E440" s="3353" t="s">
        <v>3400</v>
      </c>
      <c r="F440" s="3353"/>
      <c r="G440" s="3353"/>
      <c r="H440" s="3353"/>
    </row>
    <row r="441" spans="1:8" ht="6" customHeight="1">
      <c r="D441" s="814"/>
      <c r="E441" s="1784"/>
      <c r="F441" s="1784"/>
      <c r="G441" s="1784"/>
      <c r="H441" s="1784"/>
    </row>
    <row r="442" spans="1:8">
      <c r="A442" s="785" t="s">
        <v>3234</v>
      </c>
      <c r="B442" s="812" t="str">
        <f>IF('Part VI-Revenues &amp; Expenses'!$L$57=0,"",'Part VI-Revenues &amp; Expenses'!$L$57)</f>
        <v/>
      </c>
      <c r="C442" s="785" t="s">
        <v>3235</v>
      </c>
      <c r="D442" s="813" t="s">
        <v>3401</v>
      </c>
    </row>
    <row r="443" spans="1:8" ht="1.95" customHeight="1"/>
    <row r="444" spans="1:8" ht="12.75" customHeight="1">
      <c r="C444" s="779" t="s">
        <v>3139</v>
      </c>
      <c r="D444" s="814" t="s">
        <v>1939</v>
      </c>
      <c r="E444" s="815"/>
      <c r="F444" s="811" t="s">
        <v>3140</v>
      </c>
      <c r="G444" s="811"/>
      <c r="H444" s="811"/>
    </row>
    <row r="445" spans="1:8" ht="12.75" customHeight="1">
      <c r="C445" s="816" t="s">
        <v>1326</v>
      </c>
      <c r="D445" s="814" t="s">
        <v>1941</v>
      </c>
      <c r="E445" s="3277" t="s">
        <v>3239</v>
      </c>
      <c r="F445" s="3277"/>
      <c r="G445" s="3277"/>
      <c r="H445" s="3277"/>
    </row>
    <row r="446" spans="1:8" ht="12.75" customHeight="1">
      <c r="C446" s="1787" t="s">
        <v>4824</v>
      </c>
      <c r="E446" s="3277" t="s">
        <v>3399</v>
      </c>
      <c r="F446" s="3277"/>
      <c r="G446" s="3277"/>
      <c r="H446" s="3277"/>
    </row>
    <row r="447" spans="1:8" ht="12.75" customHeight="1">
      <c r="C447" s="1788"/>
      <c r="D447" s="1785" t="s">
        <v>3238</v>
      </c>
      <c r="E447" s="3352" t="s">
        <v>3400</v>
      </c>
      <c r="F447" s="3352"/>
      <c r="G447" s="3352"/>
      <c r="H447" s="3352"/>
    </row>
    <row r="448" spans="1:8" ht="3" customHeight="1">
      <c r="D448" s="814"/>
      <c r="E448" s="1784"/>
      <c r="F448" s="1784"/>
      <c r="G448" s="1784"/>
      <c r="H448" s="1784"/>
    </row>
    <row r="449" spans="1:8" ht="12.75" customHeight="1">
      <c r="C449" s="779" t="s">
        <v>3139</v>
      </c>
      <c r="D449" s="814" t="s">
        <v>1939</v>
      </c>
      <c r="E449" s="815"/>
      <c r="F449" s="811" t="s">
        <v>3140</v>
      </c>
      <c r="G449" s="811"/>
      <c r="H449" s="811"/>
    </row>
    <row r="450" spans="1:8" ht="12.75" customHeight="1">
      <c r="C450" s="816" t="s">
        <v>1326</v>
      </c>
      <c r="D450" s="814" t="s">
        <v>1941</v>
      </c>
      <c r="E450" s="3277" t="s">
        <v>3239</v>
      </c>
      <c r="F450" s="3277"/>
      <c r="G450" s="3277"/>
      <c r="H450" s="3277"/>
    </row>
    <row r="451" spans="1:8" ht="12.75" customHeight="1">
      <c r="C451" s="1787" t="s">
        <v>4824</v>
      </c>
      <c r="E451" s="3277" t="s">
        <v>3399</v>
      </c>
      <c r="F451" s="3277"/>
      <c r="G451" s="3277"/>
      <c r="H451" s="3277"/>
    </row>
    <row r="452" spans="1:8" ht="12.75" customHeight="1">
      <c r="C452" s="1788"/>
      <c r="D452" s="1786" t="s">
        <v>3238</v>
      </c>
      <c r="E452" s="3353" t="s">
        <v>3400</v>
      </c>
      <c r="F452" s="3353"/>
      <c r="G452" s="3353"/>
      <c r="H452" s="3353"/>
    </row>
    <row r="453" spans="1:8" ht="3" customHeight="1">
      <c r="D453" s="814"/>
      <c r="E453" s="1784"/>
      <c r="F453" s="1784"/>
      <c r="G453" s="1784"/>
      <c r="H453" s="1784"/>
    </row>
    <row r="454" spans="1:8" ht="12.75" customHeight="1">
      <c r="C454" s="779" t="s">
        <v>3139</v>
      </c>
      <c r="D454" s="814" t="s">
        <v>1939</v>
      </c>
      <c r="E454" s="815"/>
      <c r="F454" s="811" t="s">
        <v>3140</v>
      </c>
      <c r="G454" s="811"/>
      <c r="H454" s="811"/>
    </row>
    <row r="455" spans="1:8" ht="12.75" customHeight="1">
      <c r="C455" s="816" t="s">
        <v>1326</v>
      </c>
      <c r="D455" s="814" t="s">
        <v>1941</v>
      </c>
      <c r="E455" s="3277" t="s">
        <v>3239</v>
      </c>
      <c r="F455" s="3277"/>
      <c r="G455" s="3277"/>
      <c r="H455" s="3277"/>
    </row>
    <row r="456" spans="1:8" ht="12.75" customHeight="1">
      <c r="C456" s="1787" t="s">
        <v>4824</v>
      </c>
      <c r="E456" s="3277" t="s">
        <v>3399</v>
      </c>
      <c r="F456" s="3277"/>
      <c r="G456" s="3277"/>
      <c r="H456" s="3277"/>
    </row>
    <row r="457" spans="1:8" ht="12.75" customHeight="1">
      <c r="C457" s="1788"/>
      <c r="D457" s="1786" t="s">
        <v>3238</v>
      </c>
      <c r="E457" s="3353" t="s">
        <v>3400</v>
      </c>
      <c r="F457" s="3353"/>
      <c r="G457" s="3353"/>
      <c r="H457" s="3353"/>
    </row>
    <row r="458" spans="1:8" ht="6" customHeight="1">
      <c r="D458" s="814"/>
      <c r="E458" s="1784"/>
      <c r="F458" s="1784"/>
      <c r="G458" s="1784"/>
      <c r="H458" s="1784"/>
    </row>
    <row r="459" spans="1:8">
      <c r="A459" s="785" t="s">
        <v>3234</v>
      </c>
      <c r="B459" s="812" t="str">
        <f>IF('Part VI-Revenues &amp; Expenses'!$M$57=0,"",'Part VI-Revenues &amp; Expenses'!$M$57)</f>
        <v/>
      </c>
      <c r="C459" s="785" t="s">
        <v>3236</v>
      </c>
      <c r="D459" s="813" t="s">
        <v>3402</v>
      </c>
    </row>
    <row r="460" spans="1:8" ht="1.95" customHeight="1"/>
    <row r="461" spans="1:8" ht="12.75" customHeight="1">
      <c r="C461" s="779" t="s">
        <v>3139</v>
      </c>
      <c r="D461" s="814" t="s">
        <v>1939</v>
      </c>
      <c r="E461" s="815"/>
      <c r="F461" s="811" t="s">
        <v>3140</v>
      </c>
      <c r="G461" s="811"/>
      <c r="H461" s="811"/>
    </row>
    <row r="462" spans="1:8" ht="12.75" customHeight="1">
      <c r="C462" s="816" t="s">
        <v>1326</v>
      </c>
      <c r="D462" s="814" t="s">
        <v>1941</v>
      </c>
      <c r="E462" s="3277" t="s">
        <v>3239</v>
      </c>
      <c r="F462" s="3277"/>
      <c r="G462" s="3277"/>
      <c r="H462" s="3277"/>
    </row>
    <row r="463" spans="1:8" ht="12.75" customHeight="1">
      <c r="C463" s="1787" t="s">
        <v>4824</v>
      </c>
      <c r="E463" s="3277" t="s">
        <v>3399</v>
      </c>
      <c r="F463" s="3277"/>
      <c r="G463" s="3277"/>
      <c r="H463" s="3277"/>
    </row>
    <row r="464" spans="1:8" ht="12.75" customHeight="1">
      <c r="C464" s="1788"/>
      <c r="D464" s="1785" t="s">
        <v>3238</v>
      </c>
      <c r="E464" s="3352" t="s">
        <v>3400</v>
      </c>
      <c r="F464" s="3352"/>
      <c r="G464" s="3352"/>
      <c r="H464" s="3352"/>
    </row>
    <row r="465" spans="1:8" ht="3" customHeight="1">
      <c r="D465" s="814"/>
      <c r="E465" s="1784"/>
      <c r="F465" s="1784"/>
      <c r="G465" s="1784"/>
      <c r="H465" s="1784"/>
    </row>
    <row r="466" spans="1:8" ht="12.75" customHeight="1">
      <c r="C466" s="779" t="s">
        <v>3139</v>
      </c>
      <c r="D466" s="814" t="s">
        <v>1939</v>
      </c>
      <c r="E466" s="815"/>
      <c r="F466" s="811" t="s">
        <v>3140</v>
      </c>
      <c r="G466" s="811"/>
      <c r="H466" s="811"/>
    </row>
    <row r="467" spans="1:8" ht="12.75" customHeight="1">
      <c r="C467" s="816" t="s">
        <v>1326</v>
      </c>
      <c r="D467" s="814" t="s">
        <v>1941</v>
      </c>
      <c r="E467" s="3277" t="s">
        <v>3239</v>
      </c>
      <c r="F467" s="3277"/>
      <c r="G467" s="3277"/>
      <c r="H467" s="3277"/>
    </row>
    <row r="468" spans="1:8" ht="12.75" customHeight="1">
      <c r="C468" s="1787" t="s">
        <v>4824</v>
      </c>
      <c r="E468" s="3277" t="s">
        <v>3399</v>
      </c>
      <c r="F468" s="3277"/>
      <c r="G468" s="3277"/>
      <c r="H468" s="3277"/>
    </row>
    <row r="469" spans="1:8" ht="12.75" customHeight="1">
      <c r="C469" s="1788"/>
      <c r="D469" s="1786" t="s">
        <v>3238</v>
      </c>
      <c r="E469" s="3353" t="s">
        <v>3400</v>
      </c>
      <c r="F469" s="3353"/>
      <c r="G469" s="3353"/>
      <c r="H469" s="3353"/>
    </row>
    <row r="470" spans="1:8" ht="3" customHeight="1">
      <c r="D470" s="814"/>
      <c r="E470" s="1784"/>
      <c r="F470" s="1784"/>
      <c r="G470" s="1784"/>
      <c r="H470" s="1784"/>
    </row>
    <row r="471" spans="1:8" ht="12.75" customHeight="1">
      <c r="C471" s="779" t="s">
        <v>3139</v>
      </c>
      <c r="D471" s="814" t="s">
        <v>1939</v>
      </c>
      <c r="E471" s="815"/>
      <c r="F471" s="811" t="s">
        <v>3140</v>
      </c>
      <c r="G471" s="811"/>
      <c r="H471" s="811"/>
    </row>
    <row r="472" spans="1:8" ht="12.75" customHeight="1">
      <c r="C472" s="816" t="s">
        <v>1326</v>
      </c>
      <c r="D472" s="814" t="s">
        <v>1941</v>
      </c>
      <c r="E472" s="3277" t="s">
        <v>3239</v>
      </c>
      <c r="F472" s="3277"/>
      <c r="G472" s="3277"/>
      <c r="H472" s="3277"/>
    </row>
    <row r="473" spans="1:8" ht="12.75" customHeight="1">
      <c r="C473" s="1787" t="s">
        <v>4824</v>
      </c>
      <c r="E473" s="3277" t="s">
        <v>3399</v>
      </c>
      <c r="F473" s="3277"/>
      <c r="G473" s="3277"/>
      <c r="H473" s="3277"/>
    </row>
    <row r="474" spans="1:8" ht="12.75" customHeight="1">
      <c r="C474" s="1788"/>
      <c r="D474" s="1786" t="s">
        <v>3238</v>
      </c>
      <c r="E474" s="3353" t="s">
        <v>3400</v>
      </c>
      <c r="F474" s="3353"/>
      <c r="G474" s="3353"/>
      <c r="H474" s="3353"/>
    </row>
    <row r="475" spans="1:8" ht="6" customHeight="1">
      <c r="D475" s="814"/>
      <c r="E475" s="1784"/>
      <c r="F475" s="1784"/>
      <c r="G475" s="1784"/>
      <c r="H475" s="1784"/>
    </row>
    <row r="476" spans="1:8">
      <c r="A476" s="785" t="s">
        <v>3234</v>
      </c>
      <c r="B476" s="812" t="str">
        <f>IF('Part VI-Revenues &amp; Expenses'!$N$57=0,"",'Part VI-Revenues &amp; Expenses'!$N$57)</f>
        <v/>
      </c>
      <c r="C476" s="785" t="s">
        <v>3237</v>
      </c>
      <c r="D476" s="813" t="s">
        <v>3403</v>
      </c>
    </row>
    <row r="477" spans="1:8" ht="1.95" customHeight="1"/>
    <row r="478" spans="1:8" ht="12.75" customHeight="1">
      <c r="C478" s="779" t="s">
        <v>3139</v>
      </c>
      <c r="D478" s="814" t="s">
        <v>1939</v>
      </c>
      <c r="E478" s="815"/>
      <c r="F478" s="811" t="s">
        <v>3140</v>
      </c>
      <c r="G478" s="811"/>
      <c r="H478" s="811"/>
    </row>
    <row r="479" spans="1:8" ht="12.75" customHeight="1">
      <c r="C479" s="816" t="s">
        <v>1326</v>
      </c>
      <c r="D479" s="814" t="s">
        <v>1941</v>
      </c>
      <c r="E479" s="3277" t="s">
        <v>3239</v>
      </c>
      <c r="F479" s="3277"/>
      <c r="G479" s="3277"/>
      <c r="H479" s="3277"/>
    </row>
    <row r="480" spans="1:8" ht="12.75" customHeight="1">
      <c r="C480" s="1787" t="s">
        <v>4824</v>
      </c>
      <c r="E480" s="3277" t="s">
        <v>3399</v>
      </c>
      <c r="F480" s="3277"/>
      <c r="G480" s="3277"/>
      <c r="H480" s="3277"/>
    </row>
    <row r="481" spans="1:11" ht="12.75" customHeight="1">
      <c r="C481" s="1788"/>
      <c r="D481" s="1785" t="s">
        <v>3238</v>
      </c>
      <c r="E481" s="3352" t="s">
        <v>3400</v>
      </c>
      <c r="F481" s="3352"/>
      <c r="G481" s="3352"/>
      <c r="H481" s="3352"/>
    </row>
    <row r="482" spans="1:11" ht="3" customHeight="1">
      <c r="D482" s="814"/>
      <c r="E482" s="1784"/>
      <c r="F482" s="1784"/>
      <c r="G482" s="1784"/>
      <c r="H482" s="1784"/>
    </row>
    <row r="483" spans="1:11" ht="12.75" customHeight="1">
      <c r="C483" s="779" t="s">
        <v>3139</v>
      </c>
      <c r="D483" s="814" t="s">
        <v>1939</v>
      </c>
      <c r="E483" s="815"/>
      <c r="F483" s="811" t="s">
        <v>3140</v>
      </c>
      <c r="G483" s="811"/>
      <c r="H483" s="811"/>
    </row>
    <row r="484" spans="1:11" ht="12.75" customHeight="1">
      <c r="C484" s="816" t="s">
        <v>1326</v>
      </c>
      <c r="D484" s="814" t="s">
        <v>1941</v>
      </c>
      <c r="E484" s="3277" t="s">
        <v>3239</v>
      </c>
      <c r="F484" s="3277"/>
      <c r="G484" s="3277"/>
      <c r="H484" s="3277"/>
    </row>
    <row r="485" spans="1:11" ht="12.75" customHeight="1">
      <c r="C485" s="1787" t="s">
        <v>4824</v>
      </c>
      <c r="E485" s="3277" t="s">
        <v>3399</v>
      </c>
      <c r="F485" s="3277"/>
      <c r="G485" s="3277"/>
      <c r="H485" s="3277"/>
    </row>
    <row r="486" spans="1:11" ht="12.75" customHeight="1">
      <c r="C486" s="1788"/>
      <c r="D486" s="1786" t="s">
        <v>3238</v>
      </c>
      <c r="E486" s="3353" t="s">
        <v>3400</v>
      </c>
      <c r="F486" s="3353"/>
      <c r="G486" s="3353"/>
      <c r="H486" s="3353"/>
    </row>
    <row r="487" spans="1:11" ht="3" customHeight="1">
      <c r="D487" s="814"/>
      <c r="E487" s="1784"/>
      <c r="F487" s="1784"/>
      <c r="G487" s="1784"/>
      <c r="H487" s="1784"/>
    </row>
    <row r="488" spans="1:11" ht="12.75" customHeight="1">
      <c r="C488" s="779" t="s">
        <v>3139</v>
      </c>
      <c r="D488" s="814" t="s">
        <v>1939</v>
      </c>
      <c r="E488" s="815"/>
      <c r="F488" s="811" t="s">
        <v>3140</v>
      </c>
      <c r="G488" s="811"/>
      <c r="H488" s="811"/>
    </row>
    <row r="489" spans="1:11" ht="12.75" customHeight="1">
      <c r="C489" s="816" t="s">
        <v>1326</v>
      </c>
      <c r="D489" s="814" t="s">
        <v>1941</v>
      </c>
      <c r="E489" s="3277" t="s">
        <v>3239</v>
      </c>
      <c r="F489" s="3277"/>
      <c r="G489" s="3277"/>
      <c r="H489" s="3277"/>
    </row>
    <row r="490" spans="1:11" ht="12.75" customHeight="1">
      <c r="C490" s="1787" t="s">
        <v>4824</v>
      </c>
      <c r="E490" s="3277" t="s">
        <v>3399</v>
      </c>
      <c r="F490" s="3277"/>
      <c r="G490" s="3277"/>
      <c r="H490" s="3277"/>
    </row>
    <row r="491" spans="1:11" ht="12.75" customHeight="1">
      <c r="C491" s="1788"/>
      <c r="D491" s="1786" t="s">
        <v>3238</v>
      </c>
      <c r="E491" s="3353" t="s">
        <v>3400</v>
      </c>
      <c r="F491" s="3353"/>
      <c r="G491" s="3353"/>
      <c r="H491" s="3353"/>
    </row>
    <row r="492" spans="1:11" ht="6" customHeight="1">
      <c r="D492" s="814"/>
      <c r="E492" s="1784"/>
      <c r="F492" s="1784"/>
      <c r="G492" s="1784"/>
      <c r="H492" s="1784"/>
    </row>
    <row r="493" spans="1:11">
      <c r="A493" s="785" t="s">
        <v>3234</v>
      </c>
      <c r="B493" s="812" t="str">
        <f>IF('Part VI-Revenues &amp; Expenses'!$O$57=0,"",'Part VI-Revenues &amp; Expenses'!$O$57)</f>
        <v/>
      </c>
      <c r="C493" s="785" t="s">
        <v>4822</v>
      </c>
      <c r="D493" s="813" t="s">
        <v>4823</v>
      </c>
    </row>
    <row r="494" spans="1:11" ht="1.95" customHeight="1"/>
    <row r="495" spans="1:11" ht="12.75" customHeight="1">
      <c r="C495" s="779" t="s">
        <v>3139</v>
      </c>
      <c r="D495" s="814" t="s">
        <v>1939</v>
      </c>
      <c r="E495" s="815"/>
      <c r="F495" s="3277" t="s">
        <v>3140</v>
      </c>
      <c r="G495" s="3277"/>
      <c r="H495" s="3277"/>
      <c r="K495" s="730" t="s">
        <v>238</v>
      </c>
    </row>
    <row r="496" spans="1:11" ht="12.75" customHeight="1">
      <c r="C496" s="816" t="s">
        <v>1326</v>
      </c>
      <c r="D496" s="814" t="s">
        <v>1941</v>
      </c>
      <c r="E496" s="3277" t="s">
        <v>3240</v>
      </c>
      <c r="F496" s="3277"/>
      <c r="G496" s="3277"/>
      <c r="H496" s="3277"/>
    </row>
    <row r="497" spans="1:8" ht="12.75" customHeight="1">
      <c r="E497" s="3277" t="s">
        <v>3399</v>
      </c>
      <c r="F497" s="3277"/>
      <c r="G497" s="3277"/>
      <c r="H497" s="3277"/>
    </row>
    <row r="498" spans="1:8" ht="12.75" customHeight="1">
      <c r="D498" s="817" t="s">
        <v>3238</v>
      </c>
      <c r="E498" s="3277" t="s">
        <v>3400</v>
      </c>
      <c r="F498" s="3277"/>
      <c r="G498" s="3277"/>
      <c r="H498" s="3277"/>
    </row>
    <row r="499" spans="1:8" ht="9" customHeight="1" thickBot="1"/>
    <row r="500" spans="1:8" ht="16.2" customHeight="1" thickBot="1">
      <c r="A500" s="3359">
        <v>80</v>
      </c>
      <c r="B500" s="3360"/>
      <c r="C500" s="1789" t="s">
        <v>1018</v>
      </c>
    </row>
    <row r="501" spans="1:8" ht="9" customHeight="1">
      <c r="A501" s="752"/>
    </row>
    <row r="502" spans="1:8" ht="28.2" customHeight="1">
      <c r="A502" s="3357" t="s">
        <v>4831</v>
      </c>
      <c r="B502" s="3357"/>
      <c r="C502" s="3357"/>
      <c r="D502" s="3357"/>
      <c r="E502" s="3357"/>
      <c r="F502" s="3357"/>
      <c r="G502" s="3357"/>
      <c r="H502" s="3357"/>
    </row>
    <row r="503" spans="1:8" ht="9" customHeight="1">
      <c r="A503" s="752"/>
    </row>
    <row r="504" spans="1:8">
      <c r="A504" s="785" t="s">
        <v>3234</v>
      </c>
      <c r="B504" s="812" t="str">
        <f>IF('Part VI-Revenues &amp; Expenses'!$K$56=0,"",'Part VI-Revenues &amp; Expenses'!$K$56)</f>
        <v/>
      </c>
      <c r="C504" s="785" t="s">
        <v>4819</v>
      </c>
      <c r="D504" s="813" t="s">
        <v>4820</v>
      </c>
    </row>
    <row r="505" spans="1:8" ht="1.95" customHeight="1"/>
    <row r="506" spans="1:8" ht="12.75" customHeight="1">
      <c r="C506" s="779" t="s">
        <v>3139</v>
      </c>
      <c r="D506" s="814" t="s">
        <v>1939</v>
      </c>
      <c r="E506" s="815"/>
      <c r="F506" s="3277" t="s">
        <v>3140</v>
      </c>
      <c r="G506" s="3277"/>
      <c r="H506" s="3277"/>
    </row>
    <row r="507" spans="1:8" ht="12.75" customHeight="1">
      <c r="C507" s="816" t="s">
        <v>1326</v>
      </c>
      <c r="D507" s="814" t="s">
        <v>1941</v>
      </c>
      <c r="E507" s="3277" t="s">
        <v>3239</v>
      </c>
      <c r="F507" s="3277"/>
      <c r="G507" s="3277"/>
      <c r="H507" s="3277"/>
    </row>
    <row r="508" spans="1:8" ht="12.75" customHeight="1">
      <c r="C508" s="1787" t="s">
        <v>4824</v>
      </c>
      <c r="E508" s="3277" t="s">
        <v>3399</v>
      </c>
      <c r="F508" s="3277"/>
      <c r="G508" s="3277"/>
      <c r="H508" s="3277"/>
    </row>
    <row r="509" spans="1:8" ht="12.75" customHeight="1">
      <c r="C509" s="1788"/>
      <c r="D509" s="1786" t="s">
        <v>3238</v>
      </c>
      <c r="E509" s="3353" t="s">
        <v>3400</v>
      </c>
      <c r="F509" s="3353"/>
      <c r="G509" s="3353"/>
      <c r="H509" s="3353"/>
    </row>
    <row r="510" spans="1:8" ht="3" customHeight="1">
      <c r="D510" s="814"/>
      <c r="E510" s="1784"/>
      <c r="F510" s="1784"/>
      <c r="G510" s="1784"/>
      <c r="H510" s="1784"/>
    </row>
    <row r="511" spans="1:8" ht="12.75" customHeight="1">
      <c r="C511" s="779" t="s">
        <v>3139</v>
      </c>
      <c r="D511" s="814" t="s">
        <v>1939</v>
      </c>
      <c r="E511" s="815"/>
      <c r="F511" s="811" t="s">
        <v>3140</v>
      </c>
      <c r="G511" s="811"/>
      <c r="H511" s="811"/>
    </row>
    <row r="512" spans="1:8" ht="12.75" customHeight="1">
      <c r="C512" s="816" t="s">
        <v>1326</v>
      </c>
      <c r="D512" s="814" t="s">
        <v>1941</v>
      </c>
      <c r="E512" s="3277" t="s">
        <v>3239</v>
      </c>
      <c r="F512" s="3277"/>
      <c r="G512" s="3277"/>
      <c r="H512" s="3277"/>
    </row>
    <row r="513" spans="1:8" ht="12.75" customHeight="1">
      <c r="C513" s="1787" t="s">
        <v>4824</v>
      </c>
      <c r="E513" s="3277" t="s">
        <v>3399</v>
      </c>
      <c r="F513" s="3277"/>
      <c r="G513" s="3277"/>
      <c r="H513" s="3277"/>
    </row>
    <row r="514" spans="1:8" ht="12.75" customHeight="1">
      <c r="C514" s="1788"/>
      <c r="D514" s="1786" t="s">
        <v>3238</v>
      </c>
      <c r="E514" s="3353" t="s">
        <v>3400</v>
      </c>
      <c r="F514" s="3353"/>
      <c r="G514" s="3353"/>
      <c r="H514" s="3353"/>
    </row>
    <row r="515" spans="1:8" ht="3" customHeight="1">
      <c r="D515" s="814"/>
      <c r="E515" s="1784"/>
      <c r="F515" s="1784"/>
      <c r="G515" s="1784"/>
      <c r="H515" s="1784"/>
    </row>
    <row r="516" spans="1:8" ht="12.75" customHeight="1">
      <c r="C516" s="779" t="s">
        <v>3139</v>
      </c>
      <c r="D516" s="814" t="s">
        <v>1939</v>
      </c>
      <c r="E516" s="815"/>
      <c r="F516" s="811" t="s">
        <v>3140</v>
      </c>
      <c r="G516" s="811"/>
      <c r="H516" s="811"/>
    </row>
    <row r="517" spans="1:8" ht="12.75" customHeight="1">
      <c r="C517" s="816" t="s">
        <v>1326</v>
      </c>
      <c r="D517" s="814" t="s">
        <v>1941</v>
      </c>
      <c r="E517" s="3277" t="s">
        <v>3239</v>
      </c>
      <c r="F517" s="3277"/>
      <c r="G517" s="3277"/>
      <c r="H517" s="3277"/>
    </row>
    <row r="518" spans="1:8" ht="12.75" customHeight="1">
      <c r="C518" s="1787" t="s">
        <v>4824</v>
      </c>
      <c r="E518" s="3277" t="s">
        <v>3399</v>
      </c>
      <c r="F518" s="3277"/>
      <c r="G518" s="3277"/>
      <c r="H518" s="3277"/>
    </row>
    <row r="519" spans="1:8" ht="12.75" customHeight="1">
      <c r="C519" s="1788"/>
      <c r="D519" s="1786" t="s">
        <v>3238</v>
      </c>
      <c r="E519" s="3353" t="s">
        <v>3400</v>
      </c>
      <c r="F519" s="3353"/>
      <c r="G519" s="3353"/>
      <c r="H519" s="3353"/>
    </row>
    <row r="520" spans="1:8" ht="6" customHeight="1">
      <c r="D520" s="814"/>
      <c r="E520" s="1784"/>
      <c r="F520" s="1784"/>
      <c r="G520" s="1784"/>
      <c r="H520" s="1784"/>
    </row>
    <row r="521" spans="1:8">
      <c r="A521" s="785" t="s">
        <v>3234</v>
      </c>
      <c r="B521" s="812">
        <f>IF('Part VI-Revenues &amp; Expenses'!$L$56=0,"",'Part VI-Revenues &amp; Expenses'!$L$56)</f>
        <v>5</v>
      </c>
      <c r="C521" s="785" t="s">
        <v>3235</v>
      </c>
      <c r="D521" s="813" t="s">
        <v>3401</v>
      </c>
    </row>
    <row r="522" spans="1:8" ht="1.95" customHeight="1"/>
    <row r="523" spans="1:8" ht="12.75" customHeight="1">
      <c r="C523" s="779" t="s">
        <v>3139</v>
      </c>
      <c r="D523" s="814" t="s">
        <v>1939</v>
      </c>
      <c r="E523" s="815"/>
      <c r="F523" s="811" t="s">
        <v>3140</v>
      </c>
      <c r="G523" s="811"/>
      <c r="H523" s="811"/>
    </row>
    <row r="524" spans="1:8" ht="12.75" customHeight="1">
      <c r="C524" s="816" t="s">
        <v>1326</v>
      </c>
      <c r="D524" s="814" t="s">
        <v>1941</v>
      </c>
      <c r="E524" s="3277" t="s">
        <v>3239</v>
      </c>
      <c r="F524" s="3277"/>
      <c r="G524" s="3277"/>
      <c r="H524" s="3277"/>
    </row>
    <row r="525" spans="1:8" ht="12.75" customHeight="1">
      <c r="C525" s="1787" t="s">
        <v>4824</v>
      </c>
      <c r="E525" s="3277" t="s">
        <v>3399</v>
      </c>
      <c r="F525" s="3277"/>
      <c r="G525" s="3277"/>
      <c r="H525" s="3277"/>
    </row>
    <row r="526" spans="1:8" ht="12.75" customHeight="1">
      <c r="C526" s="1788"/>
      <c r="D526" s="1785" t="s">
        <v>3238</v>
      </c>
      <c r="E526" s="3352" t="s">
        <v>3400</v>
      </c>
      <c r="F526" s="3352"/>
      <c r="G526" s="3352"/>
      <c r="H526" s="3352"/>
    </row>
    <row r="527" spans="1:8" ht="3" customHeight="1">
      <c r="D527" s="814"/>
      <c r="E527" s="1784"/>
      <c r="F527" s="1784"/>
      <c r="G527" s="1784"/>
      <c r="H527" s="1784"/>
    </row>
    <row r="528" spans="1:8" ht="12.75" customHeight="1">
      <c r="C528" s="779" t="s">
        <v>3139</v>
      </c>
      <c r="D528" s="814" t="s">
        <v>1939</v>
      </c>
      <c r="E528" s="815"/>
      <c r="F528" s="811" t="s">
        <v>3140</v>
      </c>
      <c r="G528" s="811"/>
      <c r="H528" s="811"/>
    </row>
    <row r="529" spans="1:8" ht="12.75" customHeight="1">
      <c r="C529" s="816" t="s">
        <v>1326</v>
      </c>
      <c r="D529" s="814" t="s">
        <v>1941</v>
      </c>
      <c r="E529" s="3277" t="s">
        <v>3239</v>
      </c>
      <c r="F529" s="3277"/>
      <c r="G529" s="3277"/>
      <c r="H529" s="3277"/>
    </row>
    <row r="530" spans="1:8" ht="12.75" customHeight="1">
      <c r="C530" s="1787" t="s">
        <v>4824</v>
      </c>
      <c r="E530" s="3277" t="s">
        <v>3399</v>
      </c>
      <c r="F530" s="3277"/>
      <c r="G530" s="3277"/>
      <c r="H530" s="3277"/>
    </row>
    <row r="531" spans="1:8" ht="12.75" customHeight="1">
      <c r="C531" s="1788"/>
      <c r="D531" s="1786" t="s">
        <v>3238</v>
      </c>
      <c r="E531" s="3353" t="s">
        <v>3400</v>
      </c>
      <c r="F531" s="3353"/>
      <c r="G531" s="3353"/>
      <c r="H531" s="3353"/>
    </row>
    <row r="532" spans="1:8" ht="3" customHeight="1">
      <c r="D532" s="814"/>
      <c r="E532" s="1784"/>
      <c r="F532" s="1784"/>
      <c r="G532" s="1784"/>
      <c r="H532" s="1784"/>
    </row>
    <row r="533" spans="1:8" ht="12.75" customHeight="1">
      <c r="C533" s="779" t="s">
        <v>3139</v>
      </c>
      <c r="D533" s="814" t="s">
        <v>1939</v>
      </c>
      <c r="E533" s="815"/>
      <c r="F533" s="811" t="s">
        <v>3140</v>
      </c>
      <c r="G533" s="811"/>
      <c r="H533" s="811"/>
    </row>
    <row r="534" spans="1:8" ht="12.75" customHeight="1">
      <c r="C534" s="816" t="s">
        <v>1326</v>
      </c>
      <c r="D534" s="814" t="s">
        <v>1941</v>
      </c>
      <c r="E534" s="3277" t="s">
        <v>3239</v>
      </c>
      <c r="F534" s="3277"/>
      <c r="G534" s="3277"/>
      <c r="H534" s="3277"/>
    </row>
    <row r="535" spans="1:8" ht="12.75" customHeight="1">
      <c r="C535" s="1787" t="s">
        <v>4824</v>
      </c>
      <c r="E535" s="3277" t="s">
        <v>3399</v>
      </c>
      <c r="F535" s="3277"/>
      <c r="G535" s="3277"/>
      <c r="H535" s="3277"/>
    </row>
    <row r="536" spans="1:8" ht="12.75" customHeight="1">
      <c r="C536" s="1788"/>
      <c r="D536" s="1786" t="s">
        <v>3238</v>
      </c>
      <c r="E536" s="3353" t="s">
        <v>3400</v>
      </c>
      <c r="F536" s="3353"/>
      <c r="G536" s="3353"/>
      <c r="H536" s="3353"/>
    </row>
    <row r="537" spans="1:8" ht="6" customHeight="1">
      <c r="D537" s="814"/>
      <c r="E537" s="1784"/>
      <c r="F537" s="1784"/>
      <c r="G537" s="1784"/>
      <c r="H537" s="1784"/>
    </row>
    <row r="538" spans="1:8">
      <c r="A538" s="785" t="s">
        <v>3234</v>
      </c>
      <c r="B538" s="812">
        <f>IF('Part VI-Revenues &amp; Expenses'!$M$56=0,"",'Part VI-Revenues &amp; Expenses'!$M$56)</f>
        <v>9</v>
      </c>
      <c r="C538" s="785" t="s">
        <v>3236</v>
      </c>
      <c r="D538" s="813" t="s">
        <v>3402</v>
      </c>
    </row>
    <row r="539" spans="1:8" ht="1.95" customHeight="1"/>
    <row r="540" spans="1:8" ht="12.75" customHeight="1">
      <c r="C540" s="779" t="s">
        <v>3139</v>
      </c>
      <c r="D540" s="814" t="s">
        <v>1939</v>
      </c>
      <c r="E540" s="815"/>
      <c r="F540" s="811" t="s">
        <v>3140</v>
      </c>
      <c r="G540" s="811"/>
      <c r="H540" s="811"/>
    </row>
    <row r="541" spans="1:8" ht="12.75" customHeight="1">
      <c r="C541" s="816" t="s">
        <v>1326</v>
      </c>
      <c r="D541" s="814" t="s">
        <v>1941</v>
      </c>
      <c r="E541" s="3277" t="s">
        <v>3239</v>
      </c>
      <c r="F541" s="3277"/>
      <c r="G541" s="3277"/>
      <c r="H541" s="3277"/>
    </row>
    <row r="542" spans="1:8" ht="12.75" customHeight="1">
      <c r="C542" s="1787" t="s">
        <v>4824</v>
      </c>
      <c r="E542" s="3277" t="s">
        <v>3399</v>
      </c>
      <c r="F542" s="3277"/>
      <c r="G542" s="3277"/>
      <c r="H542" s="3277"/>
    </row>
    <row r="543" spans="1:8" ht="12.75" customHeight="1">
      <c r="C543" s="1788"/>
      <c r="D543" s="1785" t="s">
        <v>3238</v>
      </c>
      <c r="E543" s="3352" t="s">
        <v>3400</v>
      </c>
      <c r="F543" s="3352"/>
      <c r="G543" s="3352"/>
      <c r="H543" s="3352"/>
    </row>
    <row r="544" spans="1:8" ht="3" customHeight="1">
      <c r="D544" s="814"/>
      <c r="E544" s="1784"/>
      <c r="F544" s="1784"/>
      <c r="G544" s="1784"/>
      <c r="H544" s="1784"/>
    </row>
    <row r="545" spans="1:8" ht="12.75" customHeight="1">
      <c r="C545" s="779" t="s">
        <v>3139</v>
      </c>
      <c r="D545" s="814" t="s">
        <v>1939</v>
      </c>
      <c r="E545" s="815"/>
      <c r="F545" s="811" t="s">
        <v>3140</v>
      </c>
      <c r="G545" s="811"/>
      <c r="H545" s="811"/>
    </row>
    <row r="546" spans="1:8" ht="12.75" customHeight="1">
      <c r="C546" s="816" t="s">
        <v>1326</v>
      </c>
      <c r="D546" s="814" t="s">
        <v>1941</v>
      </c>
      <c r="E546" s="3277" t="s">
        <v>3239</v>
      </c>
      <c r="F546" s="3277"/>
      <c r="G546" s="3277"/>
      <c r="H546" s="3277"/>
    </row>
    <row r="547" spans="1:8" ht="12.75" customHeight="1">
      <c r="C547" s="1787" t="s">
        <v>4824</v>
      </c>
      <c r="E547" s="3277" t="s">
        <v>3399</v>
      </c>
      <c r="F547" s="3277"/>
      <c r="G547" s="3277"/>
      <c r="H547" s="3277"/>
    </row>
    <row r="548" spans="1:8" ht="12.75" customHeight="1">
      <c r="C548" s="1788"/>
      <c r="D548" s="1786" t="s">
        <v>3238</v>
      </c>
      <c r="E548" s="3353" t="s">
        <v>3400</v>
      </c>
      <c r="F548" s="3353"/>
      <c r="G548" s="3353"/>
      <c r="H548" s="3353"/>
    </row>
    <row r="549" spans="1:8" ht="3" customHeight="1">
      <c r="D549" s="814"/>
      <c r="E549" s="1784"/>
      <c r="F549" s="1784"/>
      <c r="G549" s="1784"/>
      <c r="H549" s="1784"/>
    </row>
    <row r="550" spans="1:8" ht="12.75" customHeight="1">
      <c r="C550" s="779" t="s">
        <v>3139</v>
      </c>
      <c r="D550" s="814" t="s">
        <v>1939</v>
      </c>
      <c r="E550" s="815"/>
      <c r="F550" s="811" t="s">
        <v>3140</v>
      </c>
      <c r="G550" s="811"/>
      <c r="H550" s="811"/>
    </row>
    <row r="551" spans="1:8" ht="12.75" customHeight="1">
      <c r="C551" s="816" t="s">
        <v>1326</v>
      </c>
      <c r="D551" s="814" t="s">
        <v>1941</v>
      </c>
      <c r="E551" s="3277" t="s">
        <v>3239</v>
      </c>
      <c r="F551" s="3277"/>
      <c r="G551" s="3277"/>
      <c r="H551" s="3277"/>
    </row>
    <row r="552" spans="1:8" ht="12.75" customHeight="1">
      <c r="C552" s="1787" t="s">
        <v>4824</v>
      </c>
      <c r="E552" s="3277" t="s">
        <v>3399</v>
      </c>
      <c r="F552" s="3277"/>
      <c r="G552" s="3277"/>
      <c r="H552" s="3277"/>
    </row>
    <row r="553" spans="1:8" ht="12.75" customHeight="1">
      <c r="C553" s="1788"/>
      <c r="D553" s="1786" t="s">
        <v>3238</v>
      </c>
      <c r="E553" s="3353" t="s">
        <v>3400</v>
      </c>
      <c r="F553" s="3353"/>
      <c r="G553" s="3353"/>
      <c r="H553" s="3353"/>
    </row>
    <row r="554" spans="1:8" ht="6" customHeight="1">
      <c r="D554" s="814"/>
      <c r="E554" s="1784"/>
      <c r="F554" s="1784"/>
      <c r="G554" s="1784"/>
      <c r="H554" s="1784"/>
    </row>
    <row r="555" spans="1:8">
      <c r="A555" s="785" t="s">
        <v>3234</v>
      </c>
      <c r="B555" s="812" t="str">
        <f>IF('Part VI-Revenues &amp; Expenses'!$N$56=0,"",'Part VI-Revenues &amp; Expenses'!$N$56)</f>
        <v/>
      </c>
      <c r="C555" s="785" t="s">
        <v>3237</v>
      </c>
      <c r="D555" s="813" t="s">
        <v>3403</v>
      </c>
    </row>
    <row r="556" spans="1:8" ht="1.95" customHeight="1"/>
    <row r="557" spans="1:8" ht="12.75" customHeight="1">
      <c r="C557" s="779" t="s">
        <v>3139</v>
      </c>
      <c r="D557" s="814" t="s">
        <v>1939</v>
      </c>
      <c r="E557" s="815"/>
      <c r="F557" s="811" t="s">
        <v>3140</v>
      </c>
      <c r="G557" s="811"/>
      <c r="H557" s="811"/>
    </row>
    <row r="558" spans="1:8" ht="12.75" customHeight="1">
      <c r="C558" s="816" t="s">
        <v>1326</v>
      </c>
      <c r="D558" s="814" t="s">
        <v>1941</v>
      </c>
      <c r="E558" s="3277" t="s">
        <v>3239</v>
      </c>
      <c r="F558" s="3277"/>
      <c r="G558" s="3277"/>
      <c r="H558" s="3277"/>
    </row>
    <row r="559" spans="1:8" ht="12.75" customHeight="1">
      <c r="C559" s="1787" t="s">
        <v>4824</v>
      </c>
      <c r="E559" s="3277" t="s">
        <v>3399</v>
      </c>
      <c r="F559" s="3277"/>
      <c r="G559" s="3277"/>
      <c r="H559" s="3277"/>
    </row>
    <row r="560" spans="1:8" ht="12.75" customHeight="1">
      <c r="C560" s="1788"/>
      <c r="D560" s="1785" t="s">
        <v>3238</v>
      </c>
      <c r="E560" s="3352" t="s">
        <v>3400</v>
      </c>
      <c r="F560" s="3352"/>
      <c r="G560" s="3352"/>
      <c r="H560" s="3352"/>
    </row>
    <row r="561" spans="1:11" ht="3" customHeight="1">
      <c r="D561" s="814"/>
      <c r="E561" s="1784"/>
      <c r="F561" s="1784"/>
      <c r="G561" s="1784"/>
      <c r="H561" s="1784"/>
    </row>
    <row r="562" spans="1:11" ht="12.75" customHeight="1">
      <c r="C562" s="779" t="s">
        <v>3139</v>
      </c>
      <c r="D562" s="814" t="s">
        <v>1939</v>
      </c>
      <c r="E562" s="815"/>
      <c r="F562" s="811" t="s">
        <v>3140</v>
      </c>
      <c r="G562" s="811"/>
      <c r="H562" s="811"/>
    </row>
    <row r="563" spans="1:11" ht="12.75" customHeight="1">
      <c r="C563" s="816" t="s">
        <v>1326</v>
      </c>
      <c r="D563" s="814" t="s">
        <v>1941</v>
      </c>
      <c r="E563" s="3277" t="s">
        <v>3239</v>
      </c>
      <c r="F563" s="3277"/>
      <c r="G563" s="3277"/>
      <c r="H563" s="3277"/>
    </row>
    <row r="564" spans="1:11" ht="12.75" customHeight="1">
      <c r="C564" s="1787" t="s">
        <v>4824</v>
      </c>
      <c r="E564" s="3277" t="s">
        <v>3399</v>
      </c>
      <c r="F564" s="3277"/>
      <c r="G564" s="3277"/>
      <c r="H564" s="3277"/>
    </row>
    <row r="565" spans="1:11" ht="12.75" customHeight="1">
      <c r="C565" s="1788"/>
      <c r="D565" s="1786" t="s">
        <v>3238</v>
      </c>
      <c r="E565" s="3353" t="s">
        <v>3400</v>
      </c>
      <c r="F565" s="3353"/>
      <c r="G565" s="3353"/>
      <c r="H565" s="3353"/>
    </row>
    <row r="566" spans="1:11" ht="3" customHeight="1">
      <c r="D566" s="814"/>
      <c r="E566" s="1784"/>
      <c r="F566" s="1784"/>
      <c r="G566" s="1784"/>
      <c r="H566" s="1784"/>
    </row>
    <row r="567" spans="1:11" ht="12.75" customHeight="1">
      <c r="C567" s="779" t="s">
        <v>3139</v>
      </c>
      <c r="D567" s="814" t="s">
        <v>1939</v>
      </c>
      <c r="E567" s="815"/>
      <c r="F567" s="811" t="s">
        <v>3140</v>
      </c>
      <c r="G567" s="811"/>
      <c r="H567" s="811"/>
    </row>
    <row r="568" spans="1:11" ht="12.75" customHeight="1">
      <c r="C568" s="816" t="s">
        <v>1326</v>
      </c>
      <c r="D568" s="814" t="s">
        <v>1941</v>
      </c>
      <c r="E568" s="3277" t="s">
        <v>3239</v>
      </c>
      <c r="F568" s="3277"/>
      <c r="G568" s="3277"/>
      <c r="H568" s="3277"/>
    </row>
    <row r="569" spans="1:11" ht="12.75" customHeight="1">
      <c r="C569" s="1787" t="s">
        <v>4824</v>
      </c>
      <c r="E569" s="3277" t="s">
        <v>3399</v>
      </c>
      <c r="F569" s="3277"/>
      <c r="G569" s="3277"/>
      <c r="H569" s="3277"/>
    </row>
    <row r="570" spans="1:11" ht="12.75" customHeight="1">
      <c r="C570" s="1788"/>
      <c r="D570" s="1786" t="s">
        <v>3238</v>
      </c>
      <c r="E570" s="3353" t="s">
        <v>3400</v>
      </c>
      <c r="F570" s="3353"/>
      <c r="G570" s="3353"/>
      <c r="H570" s="3353"/>
    </row>
    <row r="571" spans="1:11" ht="6" customHeight="1">
      <c r="D571" s="814"/>
      <c r="E571" s="1784"/>
      <c r="F571" s="1784"/>
      <c r="G571" s="1784"/>
      <c r="H571" s="1784"/>
    </row>
    <row r="572" spans="1:11">
      <c r="A572" s="785" t="s">
        <v>3234</v>
      </c>
      <c r="B572" s="812" t="str">
        <f>IF('Part VI-Revenues &amp; Expenses'!$O$56=0,"",'Part VI-Revenues &amp; Expenses'!$O$56)</f>
        <v/>
      </c>
      <c r="C572" s="785" t="s">
        <v>4822</v>
      </c>
      <c r="D572" s="813" t="s">
        <v>4823</v>
      </c>
    </row>
    <row r="573" spans="1:11" ht="1.95" customHeight="1"/>
    <row r="574" spans="1:11" ht="12.75" customHeight="1">
      <c r="C574" s="779" t="s">
        <v>3139</v>
      </c>
      <c r="D574" s="814" t="s">
        <v>1939</v>
      </c>
      <c r="E574" s="815"/>
      <c r="F574" s="3277" t="s">
        <v>3140</v>
      </c>
      <c r="G574" s="3277"/>
      <c r="H574" s="3277"/>
      <c r="K574" s="730" t="s">
        <v>238</v>
      </c>
    </row>
    <row r="575" spans="1:11" ht="12.75" customHeight="1">
      <c r="C575" s="816" t="s">
        <v>1326</v>
      </c>
      <c r="D575" s="814" t="s">
        <v>1941</v>
      </c>
      <c r="E575" s="3277" t="s">
        <v>3240</v>
      </c>
      <c r="F575" s="3277"/>
      <c r="G575" s="3277"/>
      <c r="H575" s="3277"/>
    </row>
    <row r="576" spans="1:11" ht="12.75" customHeight="1">
      <c r="E576" s="3277" t="s">
        <v>3399</v>
      </c>
      <c r="F576" s="3277"/>
      <c r="G576" s="3277"/>
      <c r="H576" s="3277"/>
    </row>
    <row r="577" spans="4:8" ht="12.75" customHeight="1">
      <c r="D577" s="817" t="s">
        <v>3238</v>
      </c>
      <c r="E577" s="3277" t="s">
        <v>3400</v>
      </c>
      <c r="F577" s="3277"/>
      <c r="G577" s="3277"/>
      <c r="H577" s="3277"/>
    </row>
    <row r="578" spans="4:8" ht="9" customHeight="1"/>
    <row r="579" spans="4:8" ht="7.5" customHeight="1">
      <c r="E579" s="3277"/>
      <c r="F579" s="3277"/>
      <c r="G579" s="3277"/>
      <c r="H579" s="3277"/>
    </row>
  </sheetData>
  <sheetProtection algorithmName="SHA-512" hashValue="PVpfBaW/1y4zMIdIGoOGytjOuSRjzXh66XFiUQcCvpsx5IRgbOduF0KAr795dRzhN4y1SKDVv/BBguwIqfWMgg==" saltValue="NPXcyxSNKAAL2jWi/z1p6Q==" spinCount="100000" sheet="1" objects="1" scenarios="1"/>
  <mergeCells count="315">
    <mergeCell ref="E575:H575"/>
    <mergeCell ref="E576:H576"/>
    <mergeCell ref="E577:H577"/>
    <mergeCell ref="A25:B25"/>
    <mergeCell ref="A104:B104"/>
    <mergeCell ref="A183:B183"/>
    <mergeCell ref="A262:B262"/>
    <mergeCell ref="A342:B342"/>
    <mergeCell ref="A421:B421"/>
    <mergeCell ref="A500:B500"/>
    <mergeCell ref="E565:H565"/>
    <mergeCell ref="E568:H568"/>
    <mergeCell ref="E569:H569"/>
    <mergeCell ref="E570:H570"/>
    <mergeCell ref="F574:H574"/>
    <mergeCell ref="E558:H558"/>
    <mergeCell ref="E559:H559"/>
    <mergeCell ref="E560:H560"/>
    <mergeCell ref="E563:H563"/>
    <mergeCell ref="E564:H564"/>
    <mergeCell ref="E547:H547"/>
    <mergeCell ref="E548:H548"/>
    <mergeCell ref="E551:H551"/>
    <mergeCell ref="E552:H552"/>
    <mergeCell ref="E553:H553"/>
    <mergeCell ref="E536:H536"/>
    <mergeCell ref="E541:H541"/>
    <mergeCell ref="E542:H542"/>
    <mergeCell ref="E543:H543"/>
    <mergeCell ref="E546:H546"/>
    <mergeCell ref="E529:H529"/>
    <mergeCell ref="E530:H530"/>
    <mergeCell ref="E531:H531"/>
    <mergeCell ref="E534:H534"/>
    <mergeCell ref="E535:H535"/>
    <mergeCell ref="E518:H518"/>
    <mergeCell ref="E519:H519"/>
    <mergeCell ref="E524:H524"/>
    <mergeCell ref="E525:H525"/>
    <mergeCell ref="E526:H526"/>
    <mergeCell ref="E509:H509"/>
    <mergeCell ref="E512:H512"/>
    <mergeCell ref="E513:H513"/>
    <mergeCell ref="E514:H514"/>
    <mergeCell ref="E517:H517"/>
    <mergeCell ref="E498:H498"/>
    <mergeCell ref="A502:H502"/>
    <mergeCell ref="F506:H506"/>
    <mergeCell ref="E507:H507"/>
    <mergeCell ref="E508:H508"/>
    <mergeCell ref="E490:H490"/>
    <mergeCell ref="E491:H491"/>
    <mergeCell ref="F495:H495"/>
    <mergeCell ref="E496:H496"/>
    <mergeCell ref="E497:H497"/>
    <mergeCell ref="E481:H481"/>
    <mergeCell ref="E484:H484"/>
    <mergeCell ref="E485:H485"/>
    <mergeCell ref="E486:H486"/>
    <mergeCell ref="E489:H489"/>
    <mergeCell ref="E472:H472"/>
    <mergeCell ref="E473:H473"/>
    <mergeCell ref="E474:H474"/>
    <mergeCell ref="E479:H479"/>
    <mergeCell ref="E480:H480"/>
    <mergeCell ref="E463:H463"/>
    <mergeCell ref="E464:H464"/>
    <mergeCell ref="E467:H467"/>
    <mergeCell ref="E468:H468"/>
    <mergeCell ref="E469:H469"/>
    <mergeCell ref="E452:H452"/>
    <mergeCell ref="E455:H455"/>
    <mergeCell ref="E456:H456"/>
    <mergeCell ref="E457:H457"/>
    <mergeCell ref="E462:H462"/>
    <mergeCell ref="E445:H445"/>
    <mergeCell ref="E446:H446"/>
    <mergeCell ref="E447:H447"/>
    <mergeCell ref="E450:H450"/>
    <mergeCell ref="E451:H451"/>
    <mergeCell ref="E434:H434"/>
    <mergeCell ref="E435:H435"/>
    <mergeCell ref="E438:H438"/>
    <mergeCell ref="E439:H439"/>
    <mergeCell ref="E440:H440"/>
    <mergeCell ref="F427:H427"/>
    <mergeCell ref="E428:H428"/>
    <mergeCell ref="E429:H429"/>
    <mergeCell ref="E430:H430"/>
    <mergeCell ref="E433:H433"/>
    <mergeCell ref="F416:H416"/>
    <mergeCell ref="E417:H417"/>
    <mergeCell ref="E418:H418"/>
    <mergeCell ref="E419:H419"/>
    <mergeCell ref="A423:H423"/>
    <mergeCell ref="E406:H406"/>
    <mergeCell ref="E407:H407"/>
    <mergeCell ref="E410:H410"/>
    <mergeCell ref="E411:H411"/>
    <mergeCell ref="E412:H412"/>
    <mergeCell ref="E395:H395"/>
    <mergeCell ref="E400:H400"/>
    <mergeCell ref="E401:H401"/>
    <mergeCell ref="E402:H402"/>
    <mergeCell ref="E405:H405"/>
    <mergeCell ref="E388:H388"/>
    <mergeCell ref="E389:H389"/>
    <mergeCell ref="E390:H390"/>
    <mergeCell ref="E393:H393"/>
    <mergeCell ref="E394:H394"/>
    <mergeCell ref="E377:H377"/>
    <mergeCell ref="E378:H378"/>
    <mergeCell ref="E383:H383"/>
    <mergeCell ref="E384:H384"/>
    <mergeCell ref="E385:H385"/>
    <mergeCell ref="E368:H368"/>
    <mergeCell ref="E371:H371"/>
    <mergeCell ref="E372:H372"/>
    <mergeCell ref="E373:H373"/>
    <mergeCell ref="E376:H376"/>
    <mergeCell ref="E359:H359"/>
    <mergeCell ref="E360:H360"/>
    <mergeCell ref="E361:H361"/>
    <mergeCell ref="E366:H366"/>
    <mergeCell ref="E367:H367"/>
    <mergeCell ref="E337:H337"/>
    <mergeCell ref="E338:H338"/>
    <mergeCell ref="E339:H339"/>
    <mergeCell ref="A344:H344"/>
    <mergeCell ref="F348:H348"/>
    <mergeCell ref="E327:H327"/>
    <mergeCell ref="E330:H330"/>
    <mergeCell ref="E331:H331"/>
    <mergeCell ref="E332:H332"/>
    <mergeCell ref="F336:H336"/>
    <mergeCell ref="E320:H320"/>
    <mergeCell ref="E321:H321"/>
    <mergeCell ref="E322:H322"/>
    <mergeCell ref="E325:H325"/>
    <mergeCell ref="E326:H326"/>
    <mergeCell ref="E309:H309"/>
    <mergeCell ref="E310:H310"/>
    <mergeCell ref="E313:H313"/>
    <mergeCell ref="E314:H314"/>
    <mergeCell ref="E315:H315"/>
    <mergeCell ref="E298:H298"/>
    <mergeCell ref="E303:H303"/>
    <mergeCell ref="E304:H304"/>
    <mergeCell ref="E305:H305"/>
    <mergeCell ref="E308:H308"/>
    <mergeCell ref="E291:H291"/>
    <mergeCell ref="E292:H292"/>
    <mergeCell ref="E293:H293"/>
    <mergeCell ref="E296:H296"/>
    <mergeCell ref="E297:H297"/>
    <mergeCell ref="E280:H280"/>
    <mergeCell ref="E281:H281"/>
    <mergeCell ref="E286:H286"/>
    <mergeCell ref="E287:H287"/>
    <mergeCell ref="E288:H288"/>
    <mergeCell ref="E271:H271"/>
    <mergeCell ref="E274:H274"/>
    <mergeCell ref="E275:H275"/>
    <mergeCell ref="E276:H276"/>
    <mergeCell ref="E279:H279"/>
    <mergeCell ref="E260:H260"/>
    <mergeCell ref="A264:H264"/>
    <mergeCell ref="F268:H268"/>
    <mergeCell ref="E269:H269"/>
    <mergeCell ref="E270:H270"/>
    <mergeCell ref="E252:H252"/>
    <mergeCell ref="E253:H253"/>
    <mergeCell ref="F257:H257"/>
    <mergeCell ref="E258:H258"/>
    <mergeCell ref="E259:H259"/>
    <mergeCell ref="E243:H243"/>
    <mergeCell ref="E246:H246"/>
    <mergeCell ref="E247:H247"/>
    <mergeCell ref="E248:H248"/>
    <mergeCell ref="E251:H251"/>
    <mergeCell ref="E234:H234"/>
    <mergeCell ref="E235:H235"/>
    <mergeCell ref="E236:H236"/>
    <mergeCell ref="E241:H241"/>
    <mergeCell ref="E242:H242"/>
    <mergeCell ref="E225:H225"/>
    <mergeCell ref="E226:H226"/>
    <mergeCell ref="E229:H229"/>
    <mergeCell ref="E230:H230"/>
    <mergeCell ref="E231:H231"/>
    <mergeCell ref="E214:H214"/>
    <mergeCell ref="E217:H217"/>
    <mergeCell ref="E218:H218"/>
    <mergeCell ref="E219:H219"/>
    <mergeCell ref="E224:H224"/>
    <mergeCell ref="E207:H207"/>
    <mergeCell ref="E208:H208"/>
    <mergeCell ref="E209:H209"/>
    <mergeCell ref="E212:H212"/>
    <mergeCell ref="E213:H213"/>
    <mergeCell ref="E196:H196"/>
    <mergeCell ref="E197:H197"/>
    <mergeCell ref="E200:H200"/>
    <mergeCell ref="E201:H201"/>
    <mergeCell ref="E202:H202"/>
    <mergeCell ref="F189:H189"/>
    <mergeCell ref="E190:H190"/>
    <mergeCell ref="E191:H191"/>
    <mergeCell ref="E192:H192"/>
    <mergeCell ref="E195:H195"/>
    <mergeCell ref="F178:H178"/>
    <mergeCell ref="E179:H179"/>
    <mergeCell ref="E180:H180"/>
    <mergeCell ref="E181:H181"/>
    <mergeCell ref="A185:H185"/>
    <mergeCell ref="E168:H168"/>
    <mergeCell ref="E169:H169"/>
    <mergeCell ref="E172:H172"/>
    <mergeCell ref="E173:H173"/>
    <mergeCell ref="E174:H174"/>
    <mergeCell ref="E157:H157"/>
    <mergeCell ref="E162:H162"/>
    <mergeCell ref="E163:H163"/>
    <mergeCell ref="E164:H164"/>
    <mergeCell ref="E167:H167"/>
    <mergeCell ref="E150:H150"/>
    <mergeCell ref="E151:H151"/>
    <mergeCell ref="E152:H152"/>
    <mergeCell ref="E155:H155"/>
    <mergeCell ref="E156:H156"/>
    <mergeCell ref="E139:H139"/>
    <mergeCell ref="E140:H140"/>
    <mergeCell ref="E145:H145"/>
    <mergeCell ref="E146:H146"/>
    <mergeCell ref="E147:H147"/>
    <mergeCell ref="E130:H130"/>
    <mergeCell ref="E133:H133"/>
    <mergeCell ref="E134:H134"/>
    <mergeCell ref="E135:H135"/>
    <mergeCell ref="E138:H138"/>
    <mergeCell ref="E121:H121"/>
    <mergeCell ref="E122:H122"/>
    <mergeCell ref="E123:H123"/>
    <mergeCell ref="E128:H128"/>
    <mergeCell ref="E129:H129"/>
    <mergeCell ref="E60:H60"/>
    <mergeCell ref="E61:H61"/>
    <mergeCell ref="E85:H85"/>
    <mergeCell ref="E112:H112"/>
    <mergeCell ref="E113:H113"/>
    <mergeCell ref="E116:H116"/>
    <mergeCell ref="E117:H117"/>
    <mergeCell ref="E118:H118"/>
    <mergeCell ref="E94:H94"/>
    <mergeCell ref="E95:H95"/>
    <mergeCell ref="A106:H106"/>
    <mergeCell ref="F110:H110"/>
    <mergeCell ref="E111:H111"/>
    <mergeCell ref="E71:H71"/>
    <mergeCell ref="E76:H76"/>
    <mergeCell ref="E77:H77"/>
    <mergeCell ref="E78:H78"/>
    <mergeCell ref="E88:H88"/>
    <mergeCell ref="E89:H89"/>
    <mergeCell ref="E90:H90"/>
    <mergeCell ref="E83:H83"/>
    <mergeCell ref="E84:H84"/>
    <mergeCell ref="E72:H72"/>
    <mergeCell ref="E43:H43"/>
    <mergeCell ref="E44:H44"/>
    <mergeCell ref="E42:H42"/>
    <mergeCell ref="E37:H37"/>
    <mergeCell ref="E38:H38"/>
    <mergeCell ref="E39:H39"/>
    <mergeCell ref="A4:H4"/>
    <mergeCell ref="C6:H6"/>
    <mergeCell ref="C7:H7"/>
    <mergeCell ref="B11:F11"/>
    <mergeCell ref="G11:H11"/>
    <mergeCell ref="B13:F13"/>
    <mergeCell ref="G13:H13"/>
    <mergeCell ref="B14:H14"/>
    <mergeCell ref="G16:H16"/>
    <mergeCell ref="G18:H18"/>
    <mergeCell ref="B19:H19"/>
    <mergeCell ref="A27:H27"/>
    <mergeCell ref="A23:H23"/>
    <mergeCell ref="F31:H31"/>
    <mergeCell ref="E32:H32"/>
    <mergeCell ref="E33:H33"/>
    <mergeCell ref="E34:H34"/>
    <mergeCell ref="E49:H49"/>
    <mergeCell ref="E50:H50"/>
    <mergeCell ref="E51:H51"/>
    <mergeCell ref="E66:H66"/>
    <mergeCell ref="E67:H67"/>
    <mergeCell ref="E73:H73"/>
    <mergeCell ref="E59:H59"/>
    <mergeCell ref="E579:H579"/>
    <mergeCell ref="E341:H341"/>
    <mergeCell ref="E349:H349"/>
    <mergeCell ref="E350:H350"/>
    <mergeCell ref="E351:H351"/>
    <mergeCell ref="E354:H354"/>
    <mergeCell ref="E355:H355"/>
    <mergeCell ref="E356:H356"/>
    <mergeCell ref="E68:H68"/>
    <mergeCell ref="E93:H93"/>
    <mergeCell ref="F99:H99"/>
    <mergeCell ref="E100:H100"/>
    <mergeCell ref="E101:H101"/>
    <mergeCell ref="E102:H102"/>
    <mergeCell ref="E54:H54"/>
    <mergeCell ref="E55:H55"/>
    <mergeCell ref="E56:H56"/>
  </mergeCells>
  <pageMargins left="0.7" right="0.7" top="0.75" bottom="0.75" header="0.3" footer="0.3"/>
  <pageSetup scale="67" fitToHeight="0" orientation="portrait" r:id="rId1"/>
  <headerFooter>
    <oddFooter>&amp;C&amp;9page &amp;P of &amp;N</oddFooter>
  </headerFooter>
  <legacyDrawing r:id="rId2"/>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16">
    <pageSetUpPr fitToPage="1"/>
  </sheetPr>
  <dimension ref="A1:S581"/>
  <sheetViews>
    <sheetView showGridLines="0" zoomScaleNormal="100" workbookViewId="0">
      <selection activeCell="I30" sqref="I30"/>
    </sheetView>
  </sheetViews>
  <sheetFormatPr defaultColWidth="9.109375" defaultRowHeight="15.6"/>
  <cols>
    <col min="1" max="1" width="3.44140625" style="730" customWidth="1"/>
    <col min="2" max="2" width="5" style="730" customWidth="1"/>
    <col min="3" max="3" width="9.109375" style="730" customWidth="1"/>
    <col min="4" max="4" width="6.6640625" style="730" customWidth="1"/>
    <col min="5" max="5" width="7.109375" style="730" customWidth="1"/>
    <col min="6" max="7" width="6.88671875" style="730" customWidth="1"/>
    <col min="8" max="8" width="3.6640625" style="730" customWidth="1"/>
    <col min="9" max="10" width="6.6640625" style="730" customWidth="1"/>
    <col min="11" max="11" width="3.33203125" style="2036" customWidth="1"/>
    <col min="12" max="13" width="6.88671875" style="730" customWidth="1"/>
    <col min="14" max="14" width="8.109375" style="730" customWidth="1"/>
    <col min="15" max="15" width="9.109375" style="730"/>
    <col min="16" max="17" width="5.5546875" style="730" customWidth="1"/>
    <col min="18" max="18" width="8.109375" style="730" customWidth="1"/>
    <col min="19" max="19" width="5.6640625" style="737" customWidth="1"/>
    <col min="20" max="20" width="5.6640625" style="730" customWidth="1"/>
    <col min="21" max="21" width="3.6640625" style="730" customWidth="1"/>
    <col min="22" max="23" width="5.44140625" style="730" customWidth="1"/>
    <col min="24" max="16384" width="9.109375" style="730"/>
  </cols>
  <sheetData>
    <row r="1" spans="1:14">
      <c r="A1" s="667" t="s">
        <v>3133</v>
      </c>
      <c r="H1" s="775" t="str">
        <f>'Sensitivity Analysis'!C8</f>
        <v>Harper Woods II</v>
      </c>
    </row>
    <row r="2" spans="1:14">
      <c r="A2" s="667" t="s">
        <v>3134</v>
      </c>
      <c r="H2" s="730" t="str">
        <f>'Sensitivity Analysis'!E8</f>
        <v>2020-074</v>
      </c>
    </row>
    <row r="3" spans="1:14" ht="3" customHeight="1"/>
    <row r="4" spans="1:14" ht="69.599999999999994" customHeight="1">
      <c r="A4" s="3354" t="s">
        <v>3232</v>
      </c>
      <c r="B4" s="3354"/>
      <c r="C4" s="3354"/>
      <c r="D4" s="3354"/>
      <c r="E4" s="3354"/>
      <c r="F4" s="3354"/>
      <c r="G4" s="3354"/>
      <c r="H4" s="3354"/>
      <c r="I4" s="3354"/>
      <c r="J4" s="3354"/>
      <c r="K4" s="3354"/>
      <c r="L4" s="3361">
        <f>SUM('Part VII-Pro Forma'!B14:B16)/12</f>
        <v>40202.616600000001</v>
      </c>
      <c r="M4" s="3361"/>
      <c r="N4" s="2037" t="s">
        <v>4105</v>
      </c>
    </row>
    <row r="5" spans="1:14" ht="1.5" customHeight="1">
      <c r="C5" s="809"/>
      <c r="D5" s="809"/>
      <c r="E5" s="809"/>
      <c r="F5" s="809"/>
      <c r="G5" s="809"/>
      <c r="H5" s="809"/>
    </row>
    <row r="6" spans="1:14" ht="12.75" customHeight="1">
      <c r="B6" s="810" t="s">
        <v>2372</v>
      </c>
      <c r="C6" s="779" t="s">
        <v>3135</v>
      </c>
      <c r="D6" s="779"/>
      <c r="E6" s="779"/>
      <c r="F6" s="779"/>
      <c r="G6" s="779"/>
      <c r="H6" s="779"/>
    </row>
    <row r="7" spans="1:14" ht="12.75" customHeight="1">
      <c r="B7" s="810" t="s">
        <v>2373</v>
      </c>
      <c r="C7" s="3354" t="s">
        <v>3136</v>
      </c>
      <c r="D7" s="3354"/>
      <c r="E7" s="3354"/>
      <c r="F7" s="3354"/>
      <c r="G7" s="3354"/>
      <c r="H7" s="3354"/>
      <c r="I7" s="3354"/>
      <c r="J7" s="3354"/>
      <c r="K7" s="3354"/>
      <c r="L7" s="3354"/>
      <c r="M7" s="3354"/>
    </row>
    <row r="8" spans="1:14" ht="3" customHeight="1"/>
    <row r="9" spans="1:14">
      <c r="A9" s="730" t="s">
        <v>3137</v>
      </c>
    </row>
    <row r="10" spans="1:14" ht="1.5" customHeight="1"/>
    <row r="11" spans="1:14" ht="26.25" customHeight="1">
      <c r="A11" s="811" t="s">
        <v>1936</v>
      </c>
      <c r="B11" s="3354" t="s">
        <v>3229</v>
      </c>
      <c r="C11" s="3354"/>
      <c r="D11" s="3354"/>
      <c r="E11" s="3354"/>
      <c r="F11" s="3354"/>
      <c r="G11" s="3354"/>
      <c r="H11" s="3354"/>
      <c r="I11" s="3354"/>
      <c r="J11" s="3354"/>
      <c r="K11" s="3354"/>
      <c r="L11" s="3355">
        <f>'Part III-Sources of Funds'!I49+'Part III-Sources of Funds'!I50</f>
        <v>10896620</v>
      </c>
      <c r="M11" s="3355"/>
    </row>
    <row r="12" spans="1:14" ht="1.5" customHeight="1">
      <c r="G12" s="779"/>
      <c r="H12" s="779"/>
    </row>
    <row r="13" spans="1:14" ht="25.95" customHeight="1">
      <c r="A13" s="811" t="s">
        <v>1938</v>
      </c>
      <c r="B13" s="3354" t="s">
        <v>3230</v>
      </c>
      <c r="C13" s="3354"/>
      <c r="D13" s="3354"/>
      <c r="E13" s="3354"/>
      <c r="F13" s="3354"/>
      <c r="G13" s="3354"/>
      <c r="H13" s="3354"/>
      <c r="I13" s="3354"/>
      <c r="J13" s="3354"/>
      <c r="K13" s="3354"/>
      <c r="L13" s="3356" t="s">
        <v>3063</v>
      </c>
      <c r="M13" s="3356"/>
    </row>
    <row r="14" spans="1:14">
      <c r="A14" s="811"/>
      <c r="B14" s="3291"/>
      <c r="C14" s="3291"/>
      <c r="D14" s="3291"/>
      <c r="E14" s="3291"/>
      <c r="F14" s="3291"/>
      <c r="G14" s="3291"/>
      <c r="H14" s="3291"/>
    </row>
    <row r="15" spans="1:14" ht="3" customHeight="1"/>
    <row r="16" spans="1:14">
      <c r="A16" s="811" t="s">
        <v>731</v>
      </c>
      <c r="B16" s="730" t="s">
        <v>3233</v>
      </c>
      <c r="F16" s="803"/>
      <c r="L16" s="3274" t="s">
        <v>2889</v>
      </c>
      <c r="M16" s="3274"/>
    </row>
    <row r="17" spans="1:19" ht="1.5" customHeight="1">
      <c r="L17" s="785"/>
    </row>
    <row r="18" spans="1:19" ht="12" customHeight="1">
      <c r="A18" s="811" t="s">
        <v>2065</v>
      </c>
      <c r="B18" s="779" t="s">
        <v>3231</v>
      </c>
      <c r="C18" s="811"/>
      <c r="D18" s="811"/>
      <c r="E18" s="811"/>
      <c r="L18" s="3291" t="s">
        <v>2728</v>
      </c>
      <c r="M18" s="3291"/>
    </row>
    <row r="19" spans="1:19" ht="12" hidden="1" customHeight="1">
      <c r="B19" s="3291"/>
      <c r="C19" s="3291"/>
      <c r="D19" s="3291"/>
      <c r="E19" s="3291"/>
      <c r="F19" s="3291"/>
      <c r="G19" s="3291"/>
      <c r="H19" s="3291"/>
    </row>
    <row r="20" spans="1:19" ht="13.5" customHeight="1"/>
    <row r="21" spans="1:19" ht="12" customHeight="1">
      <c r="A21" s="667" t="s">
        <v>3138</v>
      </c>
    </row>
    <row r="22" spans="1:19" ht="3" customHeight="1"/>
    <row r="23" spans="1:19" ht="42.6" customHeight="1" thickBot="1">
      <c r="A23" s="3358" t="s">
        <v>4821</v>
      </c>
      <c r="B23" s="3358"/>
      <c r="C23" s="3358"/>
      <c r="D23" s="3358"/>
      <c r="E23" s="3358"/>
      <c r="F23" s="3358"/>
      <c r="G23" s="3358"/>
      <c r="H23" s="3358"/>
      <c r="I23" s="3358"/>
      <c r="J23" s="3358"/>
      <c r="K23" s="3358"/>
      <c r="L23" s="3358"/>
      <c r="M23" s="3358"/>
    </row>
    <row r="24" spans="1:19" ht="18" customHeight="1" thickBot="1">
      <c r="A24" s="2036"/>
      <c r="B24" s="3367" t="s">
        <v>6842</v>
      </c>
      <c r="F24" s="3383" t="s">
        <v>6844</v>
      </c>
      <c r="G24" s="3384"/>
      <c r="H24" s="3384"/>
      <c r="I24" s="3384"/>
      <c r="J24" s="3384"/>
      <c r="K24" s="3384"/>
      <c r="L24" s="3384"/>
      <c r="M24" s="3385"/>
      <c r="S24" s="730"/>
    </row>
    <row r="25" spans="1:19" ht="15" customHeight="1">
      <c r="A25" s="2036"/>
      <c r="B25" s="3367"/>
      <c r="D25" s="3367" t="s">
        <v>6840</v>
      </c>
      <c r="E25" s="3367" t="s">
        <v>6843</v>
      </c>
      <c r="F25" s="3368" t="s">
        <v>6847</v>
      </c>
      <c r="G25" s="3369"/>
      <c r="H25" s="3374" t="s">
        <v>1326</v>
      </c>
      <c r="I25" s="3386" t="s">
        <v>6841</v>
      </c>
      <c r="J25" s="3387"/>
      <c r="K25" s="3387"/>
      <c r="L25" s="3387"/>
      <c r="M25" s="3388"/>
      <c r="S25" s="730"/>
    </row>
    <row r="26" spans="1:19" ht="15" customHeight="1">
      <c r="A26" s="3366" t="s">
        <v>1018</v>
      </c>
      <c r="B26" s="3367"/>
      <c r="C26" s="807"/>
      <c r="D26" s="3367"/>
      <c r="E26" s="3367"/>
      <c r="F26" s="3370"/>
      <c r="G26" s="3371"/>
      <c r="H26" s="3375"/>
      <c r="I26" s="3377" t="s">
        <v>6845</v>
      </c>
      <c r="J26" s="3378"/>
      <c r="K26" s="3389" t="s">
        <v>1326</v>
      </c>
      <c r="L26" s="3378" t="s">
        <v>6846</v>
      </c>
      <c r="M26" s="3381"/>
      <c r="S26" s="730"/>
    </row>
    <row r="27" spans="1:19" ht="15" customHeight="1">
      <c r="A27" s="3366"/>
      <c r="B27" s="3367"/>
      <c r="C27" s="3366" t="s">
        <v>6839</v>
      </c>
      <c r="D27" s="3367"/>
      <c r="E27" s="3367"/>
      <c r="F27" s="3370"/>
      <c r="G27" s="3371"/>
      <c r="H27" s="3375"/>
      <c r="I27" s="3377"/>
      <c r="J27" s="3378"/>
      <c r="K27" s="3390"/>
      <c r="L27" s="3378"/>
      <c r="M27" s="3381"/>
      <c r="S27" s="730"/>
    </row>
    <row r="28" spans="1:19" ht="15" customHeight="1" thickBot="1">
      <c r="A28" s="3366"/>
      <c r="B28" s="3366"/>
      <c r="C28" s="3366"/>
      <c r="D28" s="3366"/>
      <c r="E28" s="3366"/>
      <c r="F28" s="3372"/>
      <c r="G28" s="3373"/>
      <c r="H28" s="3376"/>
      <c r="I28" s="3379"/>
      <c r="J28" s="3380"/>
      <c r="K28" s="3391"/>
      <c r="L28" s="3380"/>
      <c r="M28" s="3382"/>
      <c r="S28" s="730"/>
    </row>
    <row r="29" spans="1:19" ht="13.2" customHeight="1">
      <c r="A29" s="2036"/>
      <c r="I29" s="737"/>
      <c r="K29" s="730"/>
      <c r="S29" s="730"/>
    </row>
    <row r="30" spans="1:19" ht="13.2" customHeight="1">
      <c r="A30" s="2041">
        <v>20</v>
      </c>
      <c r="B30" s="2030" t="str">
        <f>IF('Part VI-Revenues &amp; Expenses'!$K$62=0,"",'Part VI-Revenues &amp; Expenses'!$K$62)</f>
        <v/>
      </c>
      <c r="C30" s="748" t="s">
        <v>551</v>
      </c>
      <c r="D30" s="538"/>
      <c r="E30" s="538"/>
      <c r="F30" s="3362"/>
      <c r="G30" s="3363"/>
      <c r="H30" s="538"/>
      <c r="I30" s="737"/>
      <c r="J30" s="538"/>
      <c r="K30" s="538"/>
      <c r="L30" s="538"/>
      <c r="M30" s="538"/>
      <c r="S30" s="730"/>
    </row>
    <row r="31" spans="1:19" ht="13.2" customHeight="1">
      <c r="A31" s="2039"/>
      <c r="B31" s="538"/>
      <c r="C31" s="538" t="s">
        <v>551</v>
      </c>
      <c r="D31" s="2032"/>
      <c r="E31" s="2033"/>
      <c r="F31" s="3364"/>
      <c r="G31" s="3364"/>
      <c r="H31" s="3364"/>
      <c r="I31" s="3364"/>
      <c r="J31" s="3364"/>
      <c r="K31" s="3364"/>
      <c r="L31" s="3364"/>
      <c r="M31" s="3365"/>
      <c r="S31" s="730"/>
    </row>
    <row r="32" spans="1:19" ht="13.2" customHeight="1">
      <c r="A32" s="2039"/>
      <c r="B32" s="538"/>
      <c r="C32" s="538" t="s">
        <v>551</v>
      </c>
      <c r="D32" s="2032"/>
      <c r="E32" s="2033"/>
      <c r="F32" s="3364"/>
      <c r="G32" s="3364"/>
      <c r="H32" s="3364"/>
      <c r="I32" s="3364"/>
      <c r="J32" s="3364"/>
      <c r="K32" s="3364"/>
      <c r="L32" s="3364"/>
      <c r="M32" s="3365"/>
      <c r="S32" s="730"/>
    </row>
    <row r="33" spans="1:19" ht="13.2" customHeight="1">
      <c r="A33" s="2039"/>
      <c r="B33" s="538"/>
      <c r="C33" s="538" t="s">
        <v>551</v>
      </c>
      <c r="D33" s="2032"/>
      <c r="E33" s="2033"/>
      <c r="F33" s="3364"/>
      <c r="G33" s="3364"/>
      <c r="H33" s="3364"/>
      <c r="I33" s="3364"/>
      <c r="J33" s="3364"/>
      <c r="K33" s="3364"/>
      <c r="L33" s="3364"/>
      <c r="M33" s="3365"/>
      <c r="S33" s="730"/>
    </row>
    <row r="34" spans="1:19" ht="13.2" customHeight="1">
      <c r="A34" s="2035">
        <f>A30</f>
        <v>20</v>
      </c>
      <c r="B34" s="812" t="str">
        <f>IF('Part VI-Revenues &amp; Expenses'!$L$62=0,"",'Part VI-Revenues &amp; Expenses'!$L$62)</f>
        <v/>
      </c>
      <c r="C34" s="2031">
        <v>1</v>
      </c>
      <c r="D34" s="538"/>
      <c r="E34" s="538"/>
      <c r="F34" s="3362"/>
      <c r="G34" s="3363"/>
      <c r="H34" s="2031"/>
      <c r="I34" s="2031"/>
      <c r="J34" s="2031"/>
      <c r="K34" s="2031"/>
      <c r="L34" s="2031"/>
      <c r="M34" s="2031"/>
      <c r="S34" s="730"/>
    </row>
    <row r="35" spans="1:19" ht="13.2" customHeight="1">
      <c r="A35" s="2035"/>
      <c r="B35" s="538"/>
      <c r="C35" s="2034">
        <v>1</v>
      </c>
      <c r="D35" s="2032"/>
      <c r="E35" s="2033"/>
      <c r="F35" s="3364"/>
      <c r="G35" s="3364"/>
      <c r="H35" s="3364"/>
      <c r="I35" s="3364"/>
      <c r="J35" s="3364"/>
      <c r="K35" s="3364"/>
      <c r="L35" s="3364"/>
      <c r="M35" s="3365"/>
      <c r="S35" s="730"/>
    </row>
    <row r="36" spans="1:19" ht="13.2" customHeight="1">
      <c r="A36" s="2035"/>
      <c r="B36" s="538"/>
      <c r="C36" s="2034">
        <v>1</v>
      </c>
      <c r="D36" s="2032"/>
      <c r="E36" s="2033"/>
      <c r="F36" s="3364"/>
      <c r="G36" s="3364"/>
      <c r="H36" s="3364"/>
      <c r="I36" s="3364"/>
      <c r="J36" s="3364"/>
      <c r="K36" s="3364"/>
      <c r="L36" s="3364"/>
      <c r="M36" s="3365"/>
      <c r="S36" s="730"/>
    </row>
    <row r="37" spans="1:19" ht="13.2" customHeight="1">
      <c r="A37" s="2035"/>
      <c r="B37" s="538"/>
      <c r="C37" s="2034">
        <v>1</v>
      </c>
      <c r="D37" s="2032"/>
      <c r="E37" s="2033"/>
      <c r="F37" s="3364"/>
      <c r="G37" s="3364"/>
      <c r="H37" s="3364"/>
      <c r="I37" s="3364"/>
      <c r="J37" s="3364"/>
      <c r="K37" s="3364"/>
      <c r="L37" s="3364"/>
      <c r="M37" s="3365"/>
      <c r="S37" s="730"/>
    </row>
    <row r="38" spans="1:19" ht="13.2" customHeight="1">
      <c r="A38" s="2035">
        <f>A30</f>
        <v>20</v>
      </c>
      <c r="B38" s="812" t="str">
        <f>IF('Part VI-Revenues &amp; Expenses'!$M$62=0,"",'Part VI-Revenues &amp; Expenses'!$M$62)</f>
        <v/>
      </c>
      <c r="C38" s="2031">
        <v>2</v>
      </c>
      <c r="D38" s="538"/>
      <c r="E38" s="538"/>
      <c r="F38" s="3362"/>
      <c r="G38" s="3363"/>
      <c r="H38" s="2031"/>
      <c r="I38" s="2031"/>
      <c r="J38" s="2031"/>
      <c r="K38" s="2031"/>
      <c r="L38" s="2031"/>
      <c r="M38" s="2031"/>
      <c r="S38" s="730"/>
    </row>
    <row r="39" spans="1:19" ht="13.2" customHeight="1">
      <c r="A39" s="2035"/>
      <c r="B39" s="538"/>
      <c r="C39" s="2034">
        <v>2</v>
      </c>
      <c r="D39" s="2032"/>
      <c r="E39" s="2033"/>
      <c r="F39" s="3364"/>
      <c r="G39" s="3364"/>
      <c r="H39" s="3364"/>
      <c r="I39" s="3364"/>
      <c r="J39" s="3364"/>
      <c r="K39" s="3364"/>
      <c r="L39" s="3364"/>
      <c r="M39" s="3365"/>
      <c r="S39" s="730"/>
    </row>
    <row r="40" spans="1:19" ht="13.2" customHeight="1">
      <c r="A40" s="2035"/>
      <c r="B40" s="538"/>
      <c r="C40" s="2034">
        <v>2</v>
      </c>
      <c r="D40" s="2032"/>
      <c r="E40" s="2033"/>
      <c r="F40" s="3364"/>
      <c r="G40" s="3364"/>
      <c r="H40" s="3364"/>
      <c r="I40" s="3364"/>
      <c r="J40" s="3364"/>
      <c r="K40" s="3364"/>
      <c r="L40" s="3364"/>
      <c r="M40" s="3365"/>
      <c r="S40" s="730"/>
    </row>
    <row r="41" spans="1:19" ht="13.2" customHeight="1">
      <c r="A41" s="2035"/>
      <c r="B41" s="538"/>
      <c r="C41" s="2034">
        <v>2</v>
      </c>
      <c r="D41" s="2032"/>
      <c r="E41" s="2033"/>
      <c r="F41" s="3364"/>
      <c r="G41" s="3364"/>
      <c r="H41" s="3364"/>
      <c r="I41" s="3364"/>
      <c r="J41" s="3364"/>
      <c r="K41" s="3364"/>
      <c r="L41" s="3364"/>
      <c r="M41" s="3365"/>
      <c r="S41" s="730"/>
    </row>
    <row r="42" spans="1:19" ht="13.2" customHeight="1">
      <c r="A42" s="2035"/>
      <c r="B42" s="538"/>
      <c r="C42" s="2034">
        <v>2</v>
      </c>
      <c r="D42" s="2032"/>
      <c r="E42" s="2033"/>
      <c r="F42" s="3364"/>
      <c r="G42" s="3364"/>
      <c r="H42" s="3364"/>
      <c r="I42" s="3364"/>
      <c r="J42" s="3364"/>
      <c r="K42" s="3364"/>
      <c r="L42" s="3364"/>
      <c r="M42" s="3365"/>
      <c r="S42" s="730"/>
    </row>
    <row r="43" spans="1:19" ht="13.2" customHeight="1">
      <c r="A43" s="2035">
        <f>A30</f>
        <v>20</v>
      </c>
      <c r="B43" s="812" t="str">
        <f>IF('Part VI-Revenues &amp; Expenses'!$N$62=0,"",'Part VI-Revenues &amp; Expenses'!$N$62)</f>
        <v/>
      </c>
      <c r="C43" s="2031">
        <v>3</v>
      </c>
      <c r="D43" s="538"/>
      <c r="E43" s="538"/>
      <c r="F43" s="3362"/>
      <c r="G43" s="3363"/>
      <c r="H43" s="2031"/>
      <c r="I43" s="2031"/>
      <c r="J43" s="2031"/>
      <c r="K43" s="2031"/>
      <c r="L43" s="2031"/>
      <c r="M43" s="2031"/>
      <c r="S43" s="730"/>
    </row>
    <row r="44" spans="1:19" ht="13.2" customHeight="1">
      <c r="A44" s="2035"/>
      <c r="B44" s="538"/>
      <c r="C44" s="2034">
        <v>3</v>
      </c>
      <c r="D44" s="2032"/>
      <c r="E44" s="2033"/>
      <c r="F44" s="3364"/>
      <c r="G44" s="3364"/>
      <c r="H44" s="3364"/>
      <c r="I44" s="3364"/>
      <c r="J44" s="3364"/>
      <c r="K44" s="3364"/>
      <c r="L44" s="3364"/>
      <c r="M44" s="3365"/>
      <c r="S44" s="730"/>
    </row>
    <row r="45" spans="1:19" ht="13.2" customHeight="1">
      <c r="A45" s="2035"/>
      <c r="B45" s="538"/>
      <c r="C45" s="2034">
        <v>3</v>
      </c>
      <c r="D45" s="2032"/>
      <c r="E45" s="2033"/>
      <c r="F45" s="3364"/>
      <c r="G45" s="3364"/>
      <c r="H45" s="3364"/>
      <c r="I45" s="3364"/>
      <c r="J45" s="3364"/>
      <c r="K45" s="3364"/>
      <c r="L45" s="3364"/>
      <c r="M45" s="3365"/>
      <c r="S45" s="730"/>
    </row>
    <row r="46" spans="1:19" ht="13.2" customHeight="1">
      <c r="A46" s="2035"/>
      <c r="B46" s="538"/>
      <c r="C46" s="2034">
        <v>3</v>
      </c>
      <c r="D46" s="2032"/>
      <c r="E46" s="2033"/>
      <c r="F46" s="3364"/>
      <c r="G46" s="3364"/>
      <c r="H46" s="3364"/>
      <c r="I46" s="3364"/>
      <c r="J46" s="3364"/>
      <c r="K46" s="3364"/>
      <c r="L46" s="3364"/>
      <c r="M46" s="3365"/>
      <c r="S46" s="730"/>
    </row>
    <row r="47" spans="1:19" ht="13.2" customHeight="1">
      <c r="A47" s="2035"/>
      <c r="B47" s="538"/>
      <c r="C47" s="2034">
        <v>3</v>
      </c>
      <c r="D47" s="2032"/>
      <c r="E47" s="2033"/>
      <c r="F47" s="3364"/>
      <c r="G47" s="3364"/>
      <c r="H47" s="3364"/>
      <c r="I47" s="3364"/>
      <c r="J47" s="3364"/>
      <c r="K47" s="3364"/>
      <c r="L47" s="3364"/>
      <c r="M47" s="3365"/>
      <c r="S47" s="730"/>
    </row>
    <row r="48" spans="1:19" ht="13.2" customHeight="1">
      <c r="A48" s="2035">
        <f>A30</f>
        <v>20</v>
      </c>
      <c r="B48" s="812" t="str">
        <f>IF('Part VI-Revenues &amp; Expenses'!$O$62=0,"",'Part VI-Revenues &amp; Expenses'!$O$62)</f>
        <v/>
      </c>
      <c r="C48" s="2031">
        <v>4</v>
      </c>
      <c r="D48" s="538"/>
      <c r="E48" s="538"/>
      <c r="F48" s="3362"/>
      <c r="G48" s="3363"/>
      <c r="H48" s="2031"/>
      <c r="I48" s="2031"/>
      <c r="J48" s="2031"/>
      <c r="K48" s="2031"/>
      <c r="L48" s="2031"/>
      <c r="M48" s="2031"/>
      <c r="S48" s="730"/>
    </row>
    <row r="49" spans="1:19" ht="13.2" customHeight="1">
      <c r="A49" s="2039"/>
      <c r="B49" s="538"/>
      <c r="C49" s="2034">
        <v>4</v>
      </c>
      <c r="D49" s="2032"/>
      <c r="E49" s="2033"/>
      <c r="F49" s="3364"/>
      <c r="G49" s="3364"/>
      <c r="H49" s="3364"/>
      <c r="I49" s="3364"/>
      <c r="J49" s="3364"/>
      <c r="K49" s="3364"/>
      <c r="L49" s="3364"/>
      <c r="M49" s="3365"/>
      <c r="S49" s="730"/>
    </row>
    <row r="50" spans="1:19" ht="13.2" customHeight="1">
      <c r="A50" s="2036"/>
      <c r="C50" s="2034">
        <v>4</v>
      </c>
      <c r="D50" s="2032"/>
      <c r="E50" s="2033"/>
      <c r="F50" s="3364"/>
      <c r="G50" s="3364"/>
      <c r="H50" s="3364"/>
      <c r="I50" s="3364"/>
      <c r="J50" s="3364"/>
      <c r="K50" s="3364"/>
      <c r="L50" s="3364"/>
      <c r="M50" s="3365"/>
      <c r="S50" s="730"/>
    </row>
    <row r="51" spans="1:19" ht="13.2" customHeight="1">
      <c r="A51" s="2036"/>
      <c r="C51" s="2034">
        <v>4</v>
      </c>
      <c r="D51" s="2032"/>
      <c r="E51" s="2033"/>
      <c r="F51" s="3364"/>
      <c r="G51" s="3364"/>
      <c r="H51" s="3364"/>
      <c r="I51" s="3364"/>
      <c r="J51" s="3364"/>
      <c r="K51" s="3364"/>
      <c r="L51" s="3364"/>
      <c r="M51" s="3365"/>
      <c r="S51" s="730"/>
    </row>
    <row r="52" spans="1:19" ht="13.2" customHeight="1">
      <c r="A52" s="2038"/>
      <c r="B52" s="2028"/>
      <c r="C52" s="2028"/>
      <c r="D52" s="2028"/>
      <c r="E52" s="2028"/>
      <c r="F52" s="2057"/>
      <c r="G52" s="2057"/>
      <c r="H52" s="2057"/>
      <c r="I52" s="2058"/>
      <c r="J52" s="2057"/>
      <c r="K52" s="2057"/>
      <c r="L52" s="2057"/>
      <c r="M52" s="2057"/>
      <c r="S52" s="730"/>
    </row>
    <row r="53" spans="1:19" ht="13.2" customHeight="1">
      <c r="A53" s="2040"/>
      <c r="B53" s="2029"/>
      <c r="C53" s="2029"/>
      <c r="D53" s="2029"/>
      <c r="E53" s="2029"/>
      <c r="F53" s="777"/>
      <c r="G53" s="777"/>
      <c r="H53" s="777"/>
      <c r="I53" s="2059"/>
      <c r="J53" s="777"/>
      <c r="K53" s="777"/>
      <c r="L53" s="777"/>
      <c r="M53" s="777"/>
      <c r="S53" s="730"/>
    </row>
    <row r="54" spans="1:19" ht="13.2" customHeight="1">
      <c r="A54" s="2041">
        <v>30</v>
      </c>
      <c r="B54" s="2030" t="str">
        <f>IF('Part VI-Revenues &amp; Expenses'!$K$61=0,"",'Part VI-Revenues &amp; Expenses'!$K$61)</f>
        <v/>
      </c>
      <c r="C54" s="748" t="s">
        <v>551</v>
      </c>
      <c r="D54" s="538"/>
      <c r="E54" s="538"/>
      <c r="F54" s="3362"/>
      <c r="G54" s="3363"/>
      <c r="H54" s="538"/>
      <c r="I54" s="737"/>
      <c r="J54" s="538"/>
      <c r="K54" s="538"/>
      <c r="L54" s="538"/>
      <c r="M54" s="538"/>
      <c r="S54" s="730"/>
    </row>
    <row r="55" spans="1:19" ht="13.2" customHeight="1">
      <c r="A55" s="2039"/>
      <c r="B55" s="538"/>
      <c r="C55" s="538" t="s">
        <v>551</v>
      </c>
      <c r="D55" s="2032"/>
      <c r="E55" s="2033"/>
      <c r="F55" s="3364"/>
      <c r="G55" s="3364"/>
      <c r="H55" s="3364"/>
      <c r="I55" s="3364"/>
      <c r="J55" s="3364"/>
      <c r="K55" s="3364"/>
      <c r="L55" s="3364"/>
      <c r="M55" s="3365"/>
      <c r="S55" s="730"/>
    </row>
    <row r="56" spans="1:19" ht="13.2" customHeight="1">
      <c r="A56" s="2039"/>
      <c r="B56" s="538"/>
      <c r="C56" s="538" t="s">
        <v>551</v>
      </c>
      <c r="D56" s="2032"/>
      <c r="E56" s="2033"/>
      <c r="F56" s="3364"/>
      <c r="G56" s="3364"/>
      <c r="H56" s="3364"/>
      <c r="I56" s="3364"/>
      <c r="J56" s="3364"/>
      <c r="K56" s="3364"/>
      <c r="L56" s="3364"/>
      <c r="M56" s="3365"/>
      <c r="S56" s="730"/>
    </row>
    <row r="57" spans="1:19" ht="13.2" customHeight="1">
      <c r="A57" s="2039"/>
      <c r="B57" s="538"/>
      <c r="C57" s="538" t="s">
        <v>551</v>
      </c>
      <c r="D57" s="2032"/>
      <c r="E57" s="2033"/>
      <c r="F57" s="3364"/>
      <c r="G57" s="3364"/>
      <c r="H57" s="3364"/>
      <c r="I57" s="3364"/>
      <c r="J57" s="3364"/>
      <c r="K57" s="3364"/>
      <c r="L57" s="3364"/>
      <c r="M57" s="3365"/>
      <c r="S57" s="730"/>
    </row>
    <row r="58" spans="1:19" ht="13.2" customHeight="1">
      <c r="A58" s="2035">
        <f>A54</f>
        <v>30</v>
      </c>
      <c r="B58" s="812" t="str">
        <f>IF('Part VI-Revenues &amp; Expenses'!$L$61=0,"",'Part VI-Revenues &amp; Expenses'!$L$61)</f>
        <v/>
      </c>
      <c r="C58" s="2031">
        <v>1</v>
      </c>
      <c r="D58" s="538"/>
      <c r="E58" s="538"/>
      <c r="F58" s="3362"/>
      <c r="G58" s="3363"/>
      <c r="H58" s="2031"/>
      <c r="I58" s="2031"/>
      <c r="J58" s="2031"/>
      <c r="K58" s="2031"/>
      <c r="L58" s="2031"/>
      <c r="M58" s="2031"/>
      <c r="S58" s="730"/>
    </row>
    <row r="59" spans="1:19" ht="13.2" customHeight="1">
      <c r="A59" s="2035"/>
      <c r="B59" s="538"/>
      <c r="C59" s="2034">
        <v>1</v>
      </c>
      <c r="D59" s="2032"/>
      <c r="E59" s="2033"/>
      <c r="F59" s="3364"/>
      <c r="G59" s="3364"/>
      <c r="H59" s="3364"/>
      <c r="I59" s="3364"/>
      <c r="J59" s="3364"/>
      <c r="K59" s="3364"/>
      <c r="L59" s="3364"/>
      <c r="M59" s="3365"/>
      <c r="S59" s="730"/>
    </row>
    <row r="60" spans="1:19" ht="13.2" customHeight="1">
      <c r="A60" s="2035"/>
      <c r="B60" s="538"/>
      <c r="C60" s="2034">
        <v>1</v>
      </c>
      <c r="D60" s="2032"/>
      <c r="E60" s="2033"/>
      <c r="F60" s="3364"/>
      <c r="G60" s="3364"/>
      <c r="H60" s="3364"/>
      <c r="I60" s="3364"/>
      <c r="J60" s="3364"/>
      <c r="K60" s="3364"/>
      <c r="L60" s="3364"/>
      <c r="M60" s="3365"/>
      <c r="S60" s="730"/>
    </row>
    <row r="61" spans="1:19" ht="13.2" customHeight="1">
      <c r="A61" s="2035"/>
      <c r="B61" s="538"/>
      <c r="C61" s="2034">
        <v>1</v>
      </c>
      <c r="D61" s="2032"/>
      <c r="E61" s="2033"/>
      <c r="F61" s="3364"/>
      <c r="G61" s="3364"/>
      <c r="H61" s="3364"/>
      <c r="I61" s="3364"/>
      <c r="J61" s="3364"/>
      <c r="K61" s="3364"/>
      <c r="L61" s="3364"/>
      <c r="M61" s="3365"/>
      <c r="S61" s="730"/>
    </row>
    <row r="62" spans="1:19" ht="13.2" customHeight="1">
      <c r="A62" s="2035">
        <f>A54</f>
        <v>30</v>
      </c>
      <c r="B62" s="812" t="str">
        <f>IF('Part VI-Revenues &amp; Expenses'!$M$61=0,"",'Part VI-Revenues &amp; Expenses'!$M$61)</f>
        <v/>
      </c>
      <c r="C62" s="2031">
        <v>2</v>
      </c>
      <c r="D62" s="538"/>
      <c r="E62" s="538"/>
      <c r="F62" s="3362"/>
      <c r="G62" s="3363"/>
      <c r="H62" s="2031"/>
      <c r="I62" s="2031"/>
      <c r="J62" s="2031"/>
      <c r="K62" s="2031"/>
      <c r="L62" s="2031"/>
      <c r="M62" s="2031"/>
      <c r="S62" s="730"/>
    </row>
    <row r="63" spans="1:19" ht="13.2" customHeight="1">
      <c r="A63" s="2035"/>
      <c r="B63" s="538"/>
      <c r="C63" s="2034">
        <v>2</v>
      </c>
      <c r="D63" s="2032"/>
      <c r="E63" s="2033"/>
      <c r="F63" s="3364"/>
      <c r="G63" s="3364"/>
      <c r="H63" s="3364"/>
      <c r="I63" s="3364"/>
      <c r="J63" s="3364"/>
      <c r="K63" s="3364"/>
      <c r="L63" s="3364"/>
      <c r="M63" s="3365"/>
      <c r="S63" s="730"/>
    </row>
    <row r="64" spans="1:19" ht="13.2" customHeight="1">
      <c r="A64" s="2035"/>
      <c r="B64" s="538"/>
      <c r="C64" s="2034">
        <v>2</v>
      </c>
      <c r="D64" s="2032"/>
      <c r="E64" s="2033"/>
      <c r="F64" s="3364"/>
      <c r="G64" s="3364"/>
      <c r="H64" s="3364"/>
      <c r="I64" s="3364"/>
      <c r="J64" s="3364"/>
      <c r="K64" s="3364"/>
      <c r="L64" s="3364"/>
      <c r="M64" s="3365"/>
      <c r="S64" s="730"/>
    </row>
    <row r="65" spans="1:19" ht="13.2" customHeight="1">
      <c r="A65" s="2035"/>
      <c r="B65" s="538"/>
      <c r="C65" s="2034">
        <v>2</v>
      </c>
      <c r="D65" s="2032"/>
      <c r="E65" s="2033"/>
      <c r="F65" s="3364"/>
      <c r="G65" s="3364"/>
      <c r="H65" s="3364"/>
      <c r="I65" s="3364"/>
      <c r="J65" s="3364"/>
      <c r="K65" s="3364"/>
      <c r="L65" s="3364"/>
      <c r="M65" s="3365"/>
      <c r="S65" s="730"/>
    </row>
    <row r="66" spans="1:19" ht="13.2" customHeight="1">
      <c r="A66" s="2035"/>
      <c r="B66" s="538"/>
      <c r="C66" s="2034">
        <v>2</v>
      </c>
      <c r="D66" s="2032"/>
      <c r="E66" s="2033"/>
      <c r="F66" s="3364"/>
      <c r="G66" s="3364"/>
      <c r="H66" s="3364"/>
      <c r="I66" s="3364"/>
      <c r="J66" s="3364"/>
      <c r="K66" s="3364"/>
      <c r="L66" s="3364"/>
      <c r="M66" s="3365"/>
      <c r="S66" s="730"/>
    </row>
    <row r="67" spans="1:19" ht="13.2" customHeight="1">
      <c r="A67" s="2035">
        <f>A54</f>
        <v>30</v>
      </c>
      <c r="B67" s="812" t="str">
        <f>IF('Part VI-Revenues &amp; Expenses'!$N$61=0,"",'Part VI-Revenues &amp; Expenses'!$N$61)</f>
        <v/>
      </c>
      <c r="C67" s="2031">
        <v>3</v>
      </c>
      <c r="D67" s="538"/>
      <c r="E67" s="538"/>
      <c r="F67" s="3362"/>
      <c r="G67" s="3363"/>
      <c r="H67" s="2031"/>
      <c r="I67" s="2031"/>
      <c r="J67" s="2031"/>
      <c r="K67" s="2031"/>
      <c r="L67" s="2031"/>
      <c r="M67" s="2031"/>
      <c r="S67" s="730"/>
    </row>
    <row r="68" spans="1:19" ht="13.2" customHeight="1">
      <c r="A68" s="2035"/>
      <c r="B68" s="538"/>
      <c r="C68" s="2034">
        <v>3</v>
      </c>
      <c r="D68" s="2032"/>
      <c r="E68" s="2033"/>
      <c r="F68" s="3364"/>
      <c r="G68" s="3364"/>
      <c r="H68" s="3364"/>
      <c r="I68" s="3364"/>
      <c r="J68" s="3364"/>
      <c r="K68" s="3364"/>
      <c r="L68" s="3364"/>
      <c r="M68" s="3365"/>
      <c r="S68" s="730"/>
    </row>
    <row r="69" spans="1:19" ht="13.2" customHeight="1">
      <c r="A69" s="2035"/>
      <c r="B69" s="538"/>
      <c r="C69" s="2034">
        <v>3</v>
      </c>
      <c r="D69" s="2032"/>
      <c r="E69" s="2033"/>
      <c r="F69" s="3364"/>
      <c r="G69" s="3364"/>
      <c r="H69" s="3364"/>
      <c r="I69" s="3364"/>
      <c r="J69" s="3364"/>
      <c r="K69" s="3364"/>
      <c r="L69" s="3364"/>
      <c r="M69" s="3365"/>
      <c r="S69" s="730"/>
    </row>
    <row r="70" spans="1:19" ht="13.2" customHeight="1">
      <c r="A70" s="2035"/>
      <c r="B70" s="538"/>
      <c r="C70" s="2034">
        <v>3</v>
      </c>
      <c r="D70" s="2032"/>
      <c r="E70" s="2033"/>
      <c r="F70" s="3364"/>
      <c r="G70" s="3364"/>
      <c r="H70" s="3364"/>
      <c r="I70" s="3364"/>
      <c r="J70" s="3364"/>
      <c r="K70" s="3364"/>
      <c r="L70" s="3364"/>
      <c r="M70" s="3365"/>
      <c r="S70" s="730"/>
    </row>
    <row r="71" spans="1:19" ht="13.2" customHeight="1">
      <c r="A71" s="2035"/>
      <c r="B71" s="538"/>
      <c r="C71" s="2034">
        <v>3</v>
      </c>
      <c r="D71" s="2032"/>
      <c r="E71" s="2033"/>
      <c r="F71" s="3364"/>
      <c r="G71" s="3364"/>
      <c r="H71" s="3364"/>
      <c r="I71" s="3364"/>
      <c r="J71" s="3364"/>
      <c r="K71" s="3364"/>
      <c r="L71" s="3364"/>
      <c r="M71" s="3365"/>
      <c r="S71" s="730"/>
    </row>
    <row r="72" spans="1:19" ht="13.2" customHeight="1">
      <c r="A72" s="2035">
        <f>A54</f>
        <v>30</v>
      </c>
      <c r="B72" s="812" t="str">
        <f>IF('Part VI-Revenues &amp; Expenses'!$O$61=0,"",'Part VI-Revenues &amp; Expenses'!$O$61)</f>
        <v/>
      </c>
      <c r="C72" s="2031">
        <v>4</v>
      </c>
      <c r="D72" s="538"/>
      <c r="E72" s="538"/>
      <c r="F72" s="3362"/>
      <c r="G72" s="3363"/>
      <c r="H72" s="2031"/>
      <c r="I72" s="2031"/>
      <c r="J72" s="2031"/>
      <c r="K72" s="2031"/>
      <c r="L72" s="2031"/>
      <c r="M72" s="2031"/>
      <c r="S72" s="730"/>
    </row>
    <row r="73" spans="1:19" ht="13.2" customHeight="1">
      <c r="A73" s="2039"/>
      <c r="B73" s="538"/>
      <c r="C73" s="2034">
        <v>4</v>
      </c>
      <c r="D73" s="2032"/>
      <c r="E73" s="2033"/>
      <c r="F73" s="3364"/>
      <c r="G73" s="3364"/>
      <c r="H73" s="3364"/>
      <c r="I73" s="3364"/>
      <c r="J73" s="3364"/>
      <c r="K73" s="3364"/>
      <c r="L73" s="3364"/>
      <c r="M73" s="3365"/>
      <c r="S73" s="730"/>
    </row>
    <row r="74" spans="1:19" ht="13.2" customHeight="1">
      <c r="A74" s="2036"/>
      <c r="C74" s="2034">
        <v>4</v>
      </c>
      <c r="D74" s="2032"/>
      <c r="E74" s="2033"/>
      <c r="F74" s="3364"/>
      <c r="G74" s="3364"/>
      <c r="H74" s="3364"/>
      <c r="I74" s="3364"/>
      <c r="J74" s="3364"/>
      <c r="K74" s="3364"/>
      <c r="L74" s="3364"/>
      <c r="M74" s="3365"/>
      <c r="S74" s="730"/>
    </row>
    <row r="75" spans="1:19" ht="13.2" customHeight="1">
      <c r="A75" s="2036"/>
      <c r="C75" s="2034">
        <v>4</v>
      </c>
      <c r="D75" s="2032"/>
      <c r="E75" s="2033"/>
      <c r="F75" s="3364"/>
      <c r="G75" s="3364"/>
      <c r="H75" s="3364"/>
      <c r="I75" s="3364"/>
      <c r="J75" s="3364"/>
      <c r="K75" s="3364"/>
      <c r="L75" s="3364"/>
      <c r="M75" s="3365"/>
      <c r="S75" s="730"/>
    </row>
    <row r="76" spans="1:19" ht="13.2" customHeight="1">
      <c r="A76" s="2038"/>
      <c r="B76" s="2028"/>
      <c r="C76" s="2028"/>
      <c r="D76" s="2028"/>
      <c r="E76" s="2028"/>
      <c r="F76" s="2057"/>
      <c r="G76" s="2057"/>
      <c r="H76" s="2057"/>
      <c r="I76" s="2058"/>
      <c r="J76" s="2057"/>
      <c r="K76" s="2057"/>
      <c r="L76" s="2057"/>
      <c r="M76" s="2057"/>
      <c r="S76" s="730"/>
    </row>
    <row r="77" spans="1:19" ht="13.2" customHeight="1">
      <c r="A77" s="2036"/>
      <c r="F77" s="1804"/>
      <c r="G77" s="1804"/>
      <c r="H77" s="1804"/>
      <c r="I77" s="2031"/>
      <c r="J77" s="1804"/>
      <c r="K77" s="1804"/>
      <c r="L77" s="1804"/>
      <c r="M77" s="1804"/>
      <c r="S77" s="730"/>
    </row>
    <row r="78" spans="1:19" ht="13.2" customHeight="1">
      <c r="A78" s="2041">
        <v>40</v>
      </c>
      <c r="B78" s="2030" t="str">
        <f>IF('Part VI-Revenues &amp; Expenses'!$K$60=0,"",'Part VI-Revenues &amp; Expenses'!$K$60)</f>
        <v/>
      </c>
      <c r="C78" s="748" t="s">
        <v>551</v>
      </c>
      <c r="D78" s="538"/>
      <c r="E78" s="538"/>
      <c r="F78" s="3362"/>
      <c r="G78" s="3363"/>
      <c r="H78" s="538"/>
      <c r="I78" s="737"/>
      <c r="J78" s="538"/>
      <c r="K78" s="538"/>
      <c r="L78" s="538"/>
      <c r="M78" s="538"/>
      <c r="S78" s="730"/>
    </row>
    <row r="79" spans="1:19" ht="13.2" customHeight="1">
      <c r="A79" s="2039"/>
      <c r="B79" s="538"/>
      <c r="C79" s="538" t="s">
        <v>551</v>
      </c>
      <c r="D79" s="2032"/>
      <c r="E79" s="2033"/>
      <c r="F79" s="3364"/>
      <c r="G79" s="3364"/>
      <c r="H79" s="3364"/>
      <c r="I79" s="3364"/>
      <c r="J79" s="3364"/>
      <c r="K79" s="3364"/>
      <c r="L79" s="3364"/>
      <c r="M79" s="3365"/>
      <c r="S79" s="730"/>
    </row>
    <row r="80" spans="1:19" ht="13.2" customHeight="1">
      <c r="A80" s="2039"/>
      <c r="B80" s="538"/>
      <c r="C80" s="538" t="s">
        <v>551</v>
      </c>
      <c r="D80" s="2032"/>
      <c r="E80" s="2033"/>
      <c r="F80" s="3364"/>
      <c r="G80" s="3364"/>
      <c r="H80" s="3364"/>
      <c r="I80" s="3364"/>
      <c r="J80" s="3364"/>
      <c r="K80" s="3364"/>
      <c r="L80" s="3364"/>
      <c r="M80" s="3365"/>
      <c r="S80" s="730"/>
    </row>
    <row r="81" spans="1:19" ht="13.2" customHeight="1">
      <c r="A81" s="2039"/>
      <c r="B81" s="538"/>
      <c r="C81" s="538" t="s">
        <v>551</v>
      </c>
      <c r="D81" s="2032"/>
      <c r="E81" s="2033"/>
      <c r="F81" s="3364"/>
      <c r="G81" s="3364"/>
      <c r="H81" s="3364"/>
      <c r="I81" s="3364"/>
      <c r="J81" s="3364"/>
      <c r="K81" s="3364"/>
      <c r="L81" s="3364"/>
      <c r="M81" s="3365"/>
      <c r="S81" s="730"/>
    </row>
    <row r="82" spans="1:19" ht="13.2" customHeight="1">
      <c r="A82" s="2035">
        <f>A78</f>
        <v>40</v>
      </c>
      <c r="B82" s="812">
        <f>IF('Part VI-Revenues &amp; Expenses'!$L$60=0,"",'Part VI-Revenues &amp; Expenses'!$L$60)</f>
        <v>6</v>
      </c>
      <c r="C82" s="2031">
        <v>1</v>
      </c>
      <c r="D82" s="538"/>
      <c r="E82" s="538"/>
      <c r="F82" s="3362"/>
      <c r="G82" s="3363"/>
      <c r="H82" s="2031"/>
      <c r="I82" s="2031"/>
      <c r="J82" s="2031"/>
      <c r="K82" s="2031"/>
      <c r="L82" s="2031"/>
      <c r="M82" s="2031"/>
      <c r="S82" s="730"/>
    </row>
    <row r="83" spans="1:19" ht="13.2" customHeight="1">
      <c r="A83" s="2035"/>
      <c r="B83" s="538"/>
      <c r="C83" s="2034">
        <v>1</v>
      </c>
      <c r="D83" s="2032"/>
      <c r="E83" s="2033"/>
      <c r="F83" s="3364"/>
      <c r="G83" s="3364"/>
      <c r="H83" s="3364"/>
      <c r="I83" s="3364"/>
      <c r="J83" s="3364"/>
      <c r="K83" s="3364"/>
      <c r="L83" s="3364"/>
      <c r="M83" s="3365"/>
      <c r="S83" s="730"/>
    </row>
    <row r="84" spans="1:19" ht="13.2" customHeight="1">
      <c r="A84" s="2035"/>
      <c r="B84" s="538"/>
      <c r="C84" s="2034">
        <v>1</v>
      </c>
      <c r="D84" s="2032"/>
      <c r="E84" s="2033"/>
      <c r="F84" s="3364"/>
      <c r="G84" s="3364"/>
      <c r="H84" s="3364"/>
      <c r="I84" s="3364"/>
      <c r="J84" s="3364"/>
      <c r="K84" s="3364"/>
      <c r="L84" s="3364"/>
      <c r="M84" s="3365"/>
      <c r="S84" s="730"/>
    </row>
    <row r="85" spans="1:19" ht="13.2" customHeight="1">
      <c r="A85" s="2035"/>
      <c r="B85" s="538"/>
      <c r="C85" s="2034">
        <v>1</v>
      </c>
      <c r="D85" s="2032"/>
      <c r="E85" s="2033"/>
      <c r="F85" s="3364"/>
      <c r="G85" s="3364"/>
      <c r="H85" s="3364"/>
      <c r="I85" s="3364"/>
      <c r="J85" s="3364"/>
      <c r="K85" s="3364"/>
      <c r="L85" s="3364"/>
      <c r="M85" s="3365"/>
      <c r="S85" s="730"/>
    </row>
    <row r="86" spans="1:19" ht="13.2" customHeight="1">
      <c r="A86" s="2035">
        <f>A78</f>
        <v>40</v>
      </c>
      <c r="B86" s="812">
        <f>IF('Part VI-Revenues &amp; Expenses'!$M$60=0,"",'Part VI-Revenues &amp; Expenses'!$M$60)</f>
        <v>18</v>
      </c>
      <c r="C86" s="2031">
        <v>2</v>
      </c>
      <c r="D86" s="538"/>
      <c r="E86" s="538"/>
      <c r="F86" s="3362"/>
      <c r="G86" s="3363"/>
      <c r="H86" s="2031"/>
      <c r="I86" s="2031"/>
      <c r="J86" s="2031"/>
      <c r="K86" s="2031"/>
      <c r="L86" s="2031"/>
      <c r="M86" s="2031"/>
      <c r="S86" s="730"/>
    </row>
    <row r="87" spans="1:19" ht="13.2" customHeight="1">
      <c r="A87" s="2035"/>
      <c r="B87" s="538"/>
      <c r="C87" s="2034">
        <v>2</v>
      </c>
      <c r="D87" s="2032"/>
      <c r="E87" s="2033"/>
      <c r="F87" s="3364"/>
      <c r="G87" s="3364"/>
      <c r="H87" s="3364"/>
      <c r="I87" s="3364"/>
      <c r="J87" s="3364"/>
      <c r="K87" s="3364"/>
      <c r="L87" s="3364"/>
      <c r="M87" s="3365"/>
      <c r="S87" s="730"/>
    </row>
    <row r="88" spans="1:19" ht="13.2" customHeight="1">
      <c r="A88" s="2035"/>
      <c r="B88" s="538"/>
      <c r="C88" s="2034">
        <v>2</v>
      </c>
      <c r="D88" s="2032"/>
      <c r="E88" s="2033"/>
      <c r="F88" s="3364"/>
      <c r="G88" s="3364"/>
      <c r="H88" s="3364"/>
      <c r="I88" s="3364"/>
      <c r="J88" s="3364"/>
      <c r="K88" s="3364"/>
      <c r="L88" s="3364"/>
      <c r="M88" s="3365"/>
      <c r="S88" s="730"/>
    </row>
    <row r="89" spans="1:19" ht="13.2" customHeight="1">
      <c r="A89" s="2035"/>
      <c r="B89" s="538"/>
      <c r="C89" s="2034">
        <v>2</v>
      </c>
      <c r="D89" s="2032"/>
      <c r="E89" s="2033"/>
      <c r="F89" s="3364"/>
      <c r="G89" s="3364"/>
      <c r="H89" s="3364"/>
      <c r="I89" s="3364"/>
      <c r="J89" s="3364"/>
      <c r="K89" s="3364"/>
      <c r="L89" s="3364"/>
      <c r="M89" s="3365"/>
      <c r="S89" s="730"/>
    </row>
    <row r="90" spans="1:19" ht="13.2" customHeight="1">
      <c r="A90" s="2035"/>
      <c r="B90" s="538"/>
      <c r="C90" s="2034">
        <v>2</v>
      </c>
      <c r="D90" s="2032"/>
      <c r="E90" s="2033"/>
      <c r="F90" s="3364"/>
      <c r="G90" s="3364"/>
      <c r="H90" s="3364"/>
      <c r="I90" s="3364"/>
      <c r="J90" s="3364"/>
      <c r="K90" s="3364"/>
      <c r="L90" s="3364"/>
      <c r="M90" s="3365"/>
      <c r="S90" s="730"/>
    </row>
    <row r="91" spans="1:19" ht="13.2" customHeight="1">
      <c r="A91" s="2035">
        <f>A78</f>
        <v>40</v>
      </c>
      <c r="B91" s="812" t="str">
        <f>IF('Part VI-Revenues &amp; Expenses'!$N$60=0,"",'Part VI-Revenues &amp; Expenses'!$N$60)</f>
        <v/>
      </c>
      <c r="C91" s="2031">
        <v>3</v>
      </c>
      <c r="D91" s="538"/>
      <c r="E91" s="538"/>
      <c r="F91" s="3362"/>
      <c r="G91" s="3363"/>
      <c r="H91" s="2031"/>
      <c r="I91" s="2031"/>
      <c r="J91" s="2031"/>
      <c r="K91" s="2031"/>
      <c r="L91" s="2031"/>
      <c r="M91" s="2031"/>
      <c r="S91" s="730"/>
    </row>
    <row r="92" spans="1:19" ht="13.2" customHeight="1">
      <c r="A92" s="2035"/>
      <c r="B92" s="538"/>
      <c r="C92" s="2034">
        <v>3</v>
      </c>
      <c r="D92" s="2032"/>
      <c r="E92" s="2033"/>
      <c r="F92" s="3364"/>
      <c r="G92" s="3364"/>
      <c r="H92" s="3364"/>
      <c r="I92" s="3364"/>
      <c r="J92" s="3364"/>
      <c r="K92" s="3364"/>
      <c r="L92" s="3364"/>
      <c r="M92" s="3365"/>
      <c r="S92" s="730"/>
    </row>
    <row r="93" spans="1:19" ht="13.2" customHeight="1">
      <c r="A93" s="2035"/>
      <c r="B93" s="538"/>
      <c r="C93" s="2034">
        <v>3</v>
      </c>
      <c r="D93" s="2032"/>
      <c r="E93" s="2033"/>
      <c r="F93" s="3364"/>
      <c r="G93" s="3364"/>
      <c r="H93" s="3364"/>
      <c r="I93" s="3364"/>
      <c r="J93" s="3364"/>
      <c r="K93" s="3364"/>
      <c r="L93" s="3364"/>
      <c r="M93" s="3365"/>
      <c r="S93" s="730"/>
    </row>
    <row r="94" spans="1:19" ht="13.2" customHeight="1">
      <c r="A94" s="2035"/>
      <c r="B94" s="538"/>
      <c r="C94" s="2034">
        <v>3</v>
      </c>
      <c r="D94" s="2032"/>
      <c r="E94" s="2033"/>
      <c r="F94" s="3364"/>
      <c r="G94" s="3364"/>
      <c r="H94" s="3364"/>
      <c r="I94" s="3364"/>
      <c r="J94" s="3364"/>
      <c r="K94" s="3364"/>
      <c r="L94" s="3364"/>
      <c r="M94" s="3365"/>
      <c r="S94" s="730"/>
    </row>
    <row r="95" spans="1:19" ht="13.2" customHeight="1">
      <c r="A95" s="2035"/>
      <c r="B95" s="538"/>
      <c r="C95" s="2034">
        <v>3</v>
      </c>
      <c r="D95" s="2032"/>
      <c r="E95" s="2033"/>
      <c r="F95" s="3364"/>
      <c r="G95" s="3364"/>
      <c r="H95" s="3364"/>
      <c r="I95" s="3364"/>
      <c r="J95" s="3364"/>
      <c r="K95" s="3364"/>
      <c r="L95" s="3364"/>
      <c r="M95" s="3365"/>
      <c r="S95" s="730"/>
    </row>
    <row r="96" spans="1:19" ht="13.2" customHeight="1">
      <c r="A96" s="2035">
        <f>A78</f>
        <v>40</v>
      </c>
      <c r="B96" s="812" t="str">
        <f>IF('Part VI-Revenues &amp; Expenses'!$O$60=0,"",'Part VI-Revenues &amp; Expenses'!$O$60)</f>
        <v/>
      </c>
      <c r="C96" s="2031">
        <v>4</v>
      </c>
      <c r="D96" s="538"/>
      <c r="E96" s="538"/>
      <c r="F96" s="3362"/>
      <c r="G96" s="3363"/>
      <c r="H96" s="2031"/>
      <c r="I96" s="2031"/>
      <c r="J96" s="2031"/>
      <c r="K96" s="2031"/>
      <c r="L96" s="2031"/>
      <c r="M96" s="2031"/>
      <c r="S96" s="730"/>
    </row>
    <row r="97" spans="1:19" ht="13.2" customHeight="1">
      <c r="A97" s="2039"/>
      <c r="B97" s="538"/>
      <c r="C97" s="2034">
        <v>4</v>
      </c>
      <c r="D97" s="2032"/>
      <c r="E97" s="2033"/>
      <c r="F97" s="3364"/>
      <c r="G97" s="3364"/>
      <c r="H97" s="3364"/>
      <c r="I97" s="3364"/>
      <c r="J97" s="3364"/>
      <c r="K97" s="3364"/>
      <c r="L97" s="3364"/>
      <c r="M97" s="3365"/>
      <c r="S97" s="730"/>
    </row>
    <row r="98" spans="1:19" ht="13.2" customHeight="1">
      <c r="A98" s="2036"/>
      <c r="C98" s="2034">
        <v>4</v>
      </c>
      <c r="D98" s="2032"/>
      <c r="E98" s="2033"/>
      <c r="F98" s="3364"/>
      <c r="G98" s="3364"/>
      <c r="H98" s="3364"/>
      <c r="I98" s="3364"/>
      <c r="J98" s="3364"/>
      <c r="K98" s="3364"/>
      <c r="L98" s="3364"/>
      <c r="M98" s="3365"/>
      <c r="S98" s="730"/>
    </row>
    <row r="99" spans="1:19" ht="13.2" customHeight="1">
      <c r="A99" s="2036"/>
      <c r="C99" s="2034">
        <v>4</v>
      </c>
      <c r="D99" s="2032"/>
      <c r="E99" s="2033"/>
      <c r="F99" s="3364"/>
      <c r="G99" s="3364"/>
      <c r="H99" s="3364"/>
      <c r="I99" s="3364"/>
      <c r="J99" s="3364"/>
      <c r="K99" s="3364"/>
      <c r="L99" s="3364"/>
      <c r="M99" s="3365"/>
      <c r="S99" s="730"/>
    </row>
    <row r="100" spans="1:19" ht="13.2" customHeight="1">
      <c r="A100" s="2038"/>
      <c r="B100" s="2028"/>
      <c r="C100" s="2028"/>
      <c r="D100" s="2028"/>
      <c r="E100" s="2028"/>
      <c r="F100" s="2057"/>
      <c r="G100" s="2057"/>
      <c r="H100" s="2057"/>
      <c r="I100" s="2058"/>
      <c r="J100" s="2057"/>
      <c r="K100" s="2057"/>
      <c r="L100" s="2057"/>
      <c r="M100" s="2057"/>
      <c r="S100" s="730"/>
    </row>
    <row r="101" spans="1:19" ht="13.2" customHeight="1">
      <c r="A101" s="2036"/>
      <c r="F101" s="1804"/>
      <c r="G101" s="1804"/>
      <c r="H101" s="1804"/>
      <c r="I101" s="2031"/>
      <c r="J101" s="1804"/>
      <c r="K101" s="1804"/>
      <c r="L101" s="1804"/>
      <c r="M101" s="1804"/>
      <c r="S101" s="730"/>
    </row>
    <row r="102" spans="1:19" ht="13.2" customHeight="1">
      <c r="A102" s="2041">
        <v>50</v>
      </c>
      <c r="B102" s="2030" t="str">
        <f>IF('Part VI-Revenues &amp; Expenses'!$K$59=0,"",'Part VI-Revenues &amp; Expenses'!$K$59)</f>
        <v/>
      </c>
      <c r="C102" s="748" t="s">
        <v>551</v>
      </c>
      <c r="D102" s="538"/>
      <c r="E102" s="538"/>
      <c r="F102" s="3362"/>
      <c r="G102" s="3363"/>
      <c r="H102" s="538"/>
      <c r="I102" s="737"/>
      <c r="J102" s="538"/>
      <c r="K102" s="538"/>
      <c r="L102" s="538"/>
      <c r="M102" s="538"/>
      <c r="S102" s="730"/>
    </row>
    <row r="103" spans="1:19" ht="13.2" customHeight="1">
      <c r="A103" s="2039"/>
      <c r="B103" s="538"/>
      <c r="C103" s="538" t="s">
        <v>551</v>
      </c>
      <c r="D103" s="2032"/>
      <c r="E103" s="2033"/>
      <c r="F103" s="3364"/>
      <c r="G103" s="3364"/>
      <c r="H103" s="3364"/>
      <c r="I103" s="3364"/>
      <c r="J103" s="3364"/>
      <c r="K103" s="3364"/>
      <c r="L103" s="3364"/>
      <c r="M103" s="3365"/>
      <c r="S103" s="730"/>
    </row>
    <row r="104" spans="1:19" ht="13.2" customHeight="1">
      <c r="A104" s="2039"/>
      <c r="B104" s="538"/>
      <c r="C104" s="538" t="s">
        <v>551</v>
      </c>
      <c r="D104" s="2032"/>
      <c r="E104" s="2033"/>
      <c r="F104" s="3364"/>
      <c r="G104" s="3364"/>
      <c r="H104" s="3364"/>
      <c r="I104" s="3364"/>
      <c r="J104" s="3364"/>
      <c r="K104" s="3364"/>
      <c r="L104" s="3364"/>
      <c r="M104" s="3365"/>
      <c r="S104" s="730"/>
    </row>
    <row r="105" spans="1:19" ht="13.2" customHeight="1">
      <c r="A105" s="2039"/>
      <c r="B105" s="538"/>
      <c r="C105" s="538" t="s">
        <v>551</v>
      </c>
      <c r="D105" s="2032"/>
      <c r="E105" s="2033"/>
      <c r="F105" s="3364"/>
      <c r="G105" s="3364"/>
      <c r="H105" s="3364"/>
      <c r="I105" s="3364"/>
      <c r="J105" s="3364"/>
      <c r="K105" s="3364"/>
      <c r="L105" s="3364"/>
      <c r="M105" s="3365"/>
      <c r="S105" s="730"/>
    </row>
    <row r="106" spans="1:19" ht="13.2" customHeight="1">
      <c r="A106" s="2035">
        <f>A102</f>
        <v>50</v>
      </c>
      <c r="B106" s="812" t="str">
        <f>IF('Part VI-Revenues &amp; Expenses'!$L$59=0,"",'Part VI-Revenues &amp; Expenses'!$L$59)</f>
        <v/>
      </c>
      <c r="C106" s="2031">
        <v>1</v>
      </c>
      <c r="D106" s="538"/>
      <c r="E106" s="538"/>
      <c r="F106" s="3362"/>
      <c r="G106" s="3363"/>
      <c r="H106" s="2031"/>
      <c r="I106" s="2031"/>
      <c r="J106" s="2031"/>
      <c r="K106" s="2031"/>
      <c r="L106" s="2031"/>
      <c r="M106" s="2031"/>
      <c r="S106" s="730"/>
    </row>
    <row r="107" spans="1:19" ht="13.2" customHeight="1">
      <c r="A107" s="2035"/>
      <c r="B107" s="538"/>
      <c r="C107" s="2034">
        <v>1</v>
      </c>
      <c r="D107" s="2032"/>
      <c r="E107" s="2033"/>
      <c r="F107" s="3364"/>
      <c r="G107" s="3364"/>
      <c r="H107" s="3364"/>
      <c r="I107" s="3364"/>
      <c r="J107" s="3364"/>
      <c r="K107" s="3364"/>
      <c r="L107" s="3364"/>
      <c r="M107" s="3365"/>
      <c r="S107" s="730"/>
    </row>
    <row r="108" spans="1:19" ht="13.2" customHeight="1">
      <c r="A108" s="2035"/>
      <c r="B108" s="538"/>
      <c r="C108" s="2034">
        <v>1</v>
      </c>
      <c r="D108" s="2032"/>
      <c r="E108" s="2033"/>
      <c r="F108" s="3364"/>
      <c r="G108" s="3364"/>
      <c r="H108" s="3364"/>
      <c r="I108" s="3364"/>
      <c r="J108" s="3364"/>
      <c r="K108" s="3364"/>
      <c r="L108" s="3364"/>
      <c r="M108" s="3365"/>
      <c r="S108" s="730"/>
    </row>
    <row r="109" spans="1:19" ht="13.2" customHeight="1">
      <c r="A109" s="2035"/>
      <c r="B109" s="538"/>
      <c r="C109" s="2034">
        <v>1</v>
      </c>
      <c r="D109" s="2032"/>
      <c r="E109" s="2033"/>
      <c r="F109" s="3364"/>
      <c r="G109" s="3364"/>
      <c r="H109" s="3364"/>
      <c r="I109" s="3364"/>
      <c r="J109" s="3364"/>
      <c r="K109" s="3364"/>
      <c r="L109" s="3364"/>
      <c r="M109" s="3365"/>
      <c r="S109" s="730"/>
    </row>
    <row r="110" spans="1:19" ht="13.2" customHeight="1">
      <c r="A110" s="2035">
        <f>A102</f>
        <v>50</v>
      </c>
      <c r="B110" s="812" t="str">
        <f>IF('Part VI-Revenues &amp; Expenses'!$M$59=0,"",'Part VI-Revenues &amp; Expenses'!$M$59)</f>
        <v/>
      </c>
      <c r="C110" s="2031">
        <v>2</v>
      </c>
      <c r="D110" s="538"/>
      <c r="E110" s="538"/>
      <c r="F110" s="3362"/>
      <c r="G110" s="3363"/>
      <c r="H110" s="2031"/>
      <c r="I110" s="2031"/>
      <c r="J110" s="2031"/>
      <c r="K110" s="2031"/>
      <c r="L110" s="2031"/>
      <c r="M110" s="2031"/>
      <c r="S110" s="730"/>
    </row>
    <row r="111" spans="1:19" ht="13.2" customHeight="1">
      <c r="A111" s="2035"/>
      <c r="B111" s="538"/>
      <c r="C111" s="2034">
        <v>2</v>
      </c>
      <c r="D111" s="2032"/>
      <c r="E111" s="2033"/>
      <c r="F111" s="3364"/>
      <c r="G111" s="3364"/>
      <c r="H111" s="3364"/>
      <c r="I111" s="3364"/>
      <c r="J111" s="3364"/>
      <c r="K111" s="3364"/>
      <c r="L111" s="3364"/>
      <c r="M111" s="3365"/>
      <c r="S111" s="730"/>
    </row>
    <row r="112" spans="1:19" ht="13.2" customHeight="1">
      <c r="A112" s="2035"/>
      <c r="B112" s="538"/>
      <c r="C112" s="2034">
        <v>2</v>
      </c>
      <c r="D112" s="2032"/>
      <c r="E112" s="2033"/>
      <c r="F112" s="3364"/>
      <c r="G112" s="3364"/>
      <c r="H112" s="3364"/>
      <c r="I112" s="3364"/>
      <c r="J112" s="3364"/>
      <c r="K112" s="3364"/>
      <c r="L112" s="3364"/>
      <c r="M112" s="3365"/>
      <c r="S112" s="730"/>
    </row>
    <row r="113" spans="1:19" ht="13.2" customHeight="1">
      <c r="A113" s="2035"/>
      <c r="B113" s="538"/>
      <c r="C113" s="2034">
        <v>2</v>
      </c>
      <c r="D113" s="2032"/>
      <c r="E113" s="2033"/>
      <c r="F113" s="3364"/>
      <c r="G113" s="3364"/>
      <c r="H113" s="3364"/>
      <c r="I113" s="3364"/>
      <c r="J113" s="3364"/>
      <c r="K113" s="3364"/>
      <c r="L113" s="3364"/>
      <c r="M113" s="3365"/>
      <c r="S113" s="730"/>
    </row>
    <row r="114" spans="1:19" ht="13.2" customHeight="1">
      <c r="A114" s="2035"/>
      <c r="B114" s="538"/>
      <c r="C114" s="2034">
        <v>2</v>
      </c>
      <c r="D114" s="2032"/>
      <c r="E114" s="2033"/>
      <c r="F114" s="3364"/>
      <c r="G114" s="3364"/>
      <c r="H114" s="3364"/>
      <c r="I114" s="3364"/>
      <c r="J114" s="3364"/>
      <c r="K114" s="3364"/>
      <c r="L114" s="3364"/>
      <c r="M114" s="3365"/>
      <c r="S114" s="730"/>
    </row>
    <row r="115" spans="1:19" ht="13.2" customHeight="1">
      <c r="A115" s="2035">
        <f>A102</f>
        <v>50</v>
      </c>
      <c r="B115" s="812" t="str">
        <f>IF('Part VI-Revenues &amp; Expenses'!$N$59=0,"",'Part VI-Revenues &amp; Expenses'!$N$59)</f>
        <v/>
      </c>
      <c r="C115" s="2031">
        <v>3</v>
      </c>
      <c r="D115" s="538"/>
      <c r="E115" s="538"/>
      <c r="F115" s="3362"/>
      <c r="G115" s="3363"/>
      <c r="H115" s="2031"/>
      <c r="I115" s="2031"/>
      <c r="J115" s="2031"/>
      <c r="K115" s="2031"/>
      <c r="L115" s="2031"/>
      <c r="M115" s="2031"/>
      <c r="S115" s="730"/>
    </row>
    <row r="116" spans="1:19" ht="13.2" customHeight="1">
      <c r="A116" s="2035"/>
      <c r="B116" s="538"/>
      <c r="C116" s="2034">
        <v>3</v>
      </c>
      <c r="D116" s="2032"/>
      <c r="E116" s="2033"/>
      <c r="F116" s="3364"/>
      <c r="G116" s="3364"/>
      <c r="H116" s="3364"/>
      <c r="I116" s="3364"/>
      <c r="J116" s="3364"/>
      <c r="K116" s="3364"/>
      <c r="L116" s="3364"/>
      <c r="M116" s="3365"/>
      <c r="S116" s="730"/>
    </row>
    <row r="117" spans="1:19" ht="13.2" customHeight="1">
      <c r="A117" s="2035"/>
      <c r="B117" s="538"/>
      <c r="C117" s="2034">
        <v>3</v>
      </c>
      <c r="D117" s="2032"/>
      <c r="E117" s="2033"/>
      <c r="F117" s="3364"/>
      <c r="G117" s="3364"/>
      <c r="H117" s="3364"/>
      <c r="I117" s="3364"/>
      <c r="J117" s="3364"/>
      <c r="K117" s="3364"/>
      <c r="L117" s="3364"/>
      <c r="M117" s="3365"/>
      <c r="S117" s="730"/>
    </row>
    <row r="118" spans="1:19" ht="13.2" customHeight="1">
      <c r="A118" s="2035"/>
      <c r="B118" s="538"/>
      <c r="C118" s="2034">
        <v>3</v>
      </c>
      <c r="D118" s="2032"/>
      <c r="E118" s="2033"/>
      <c r="F118" s="3364"/>
      <c r="G118" s="3364"/>
      <c r="H118" s="3364"/>
      <c r="I118" s="3364"/>
      <c r="J118" s="3364"/>
      <c r="K118" s="3364"/>
      <c r="L118" s="3364"/>
      <c r="M118" s="3365"/>
      <c r="S118" s="730"/>
    </row>
    <row r="119" spans="1:19" ht="13.2" customHeight="1">
      <c r="A119" s="2035"/>
      <c r="B119" s="538"/>
      <c r="C119" s="2034">
        <v>3</v>
      </c>
      <c r="D119" s="2032"/>
      <c r="E119" s="2033"/>
      <c r="F119" s="3364"/>
      <c r="G119" s="3364"/>
      <c r="H119" s="3364"/>
      <c r="I119" s="3364"/>
      <c r="J119" s="3364"/>
      <c r="K119" s="3364"/>
      <c r="L119" s="3364"/>
      <c r="M119" s="3365"/>
      <c r="S119" s="730"/>
    </row>
    <row r="120" spans="1:19" ht="13.2" customHeight="1">
      <c r="A120" s="2035">
        <f>A102</f>
        <v>50</v>
      </c>
      <c r="B120" s="812" t="str">
        <f>IF('Part VI-Revenues &amp; Expenses'!$O$59=0,"",'Part VI-Revenues &amp; Expenses'!$O$59)</f>
        <v/>
      </c>
      <c r="C120" s="2031">
        <v>4</v>
      </c>
      <c r="D120" s="538"/>
      <c r="E120" s="538"/>
      <c r="F120" s="3362"/>
      <c r="G120" s="3363"/>
      <c r="H120" s="2031"/>
      <c r="I120" s="2031"/>
      <c r="J120" s="2031"/>
      <c r="K120" s="2031"/>
      <c r="L120" s="2031"/>
      <c r="M120" s="2031"/>
      <c r="S120" s="730"/>
    </row>
    <row r="121" spans="1:19" ht="13.2" customHeight="1">
      <c r="A121" s="2039"/>
      <c r="B121" s="538"/>
      <c r="C121" s="2034">
        <v>4</v>
      </c>
      <c r="D121" s="2032"/>
      <c r="E121" s="2033"/>
      <c r="F121" s="3364"/>
      <c r="G121" s="3364"/>
      <c r="H121" s="3364"/>
      <c r="I121" s="3364"/>
      <c r="J121" s="3364"/>
      <c r="K121" s="3364"/>
      <c r="L121" s="3364"/>
      <c r="M121" s="3365"/>
      <c r="S121" s="730"/>
    </row>
    <row r="122" spans="1:19" ht="13.2" customHeight="1">
      <c r="A122" s="2036"/>
      <c r="C122" s="2034">
        <v>4</v>
      </c>
      <c r="D122" s="2032"/>
      <c r="E122" s="2033"/>
      <c r="F122" s="3364"/>
      <c r="G122" s="3364"/>
      <c r="H122" s="3364"/>
      <c r="I122" s="3364"/>
      <c r="J122" s="3364"/>
      <c r="K122" s="3364"/>
      <c r="L122" s="3364"/>
      <c r="M122" s="3365"/>
      <c r="S122" s="730"/>
    </row>
    <row r="123" spans="1:19" ht="13.2" customHeight="1">
      <c r="A123" s="2036"/>
      <c r="C123" s="2034">
        <v>4</v>
      </c>
      <c r="D123" s="2032"/>
      <c r="E123" s="2033"/>
      <c r="F123" s="3364"/>
      <c r="G123" s="3364"/>
      <c r="H123" s="3364"/>
      <c r="I123" s="3364"/>
      <c r="J123" s="3364"/>
      <c r="K123" s="3364"/>
      <c r="L123" s="3364"/>
      <c r="M123" s="3365"/>
      <c r="S123" s="730"/>
    </row>
    <row r="124" spans="1:19" ht="13.2" customHeight="1">
      <c r="A124" s="2038"/>
      <c r="B124" s="2028"/>
      <c r="C124" s="2028"/>
      <c r="D124" s="2028"/>
      <c r="E124" s="2028"/>
      <c r="F124" s="2057"/>
      <c r="G124" s="2057"/>
      <c r="H124" s="2057"/>
      <c r="I124" s="2058"/>
      <c r="J124" s="2057"/>
      <c r="K124" s="2057"/>
      <c r="L124" s="2057"/>
      <c r="M124" s="2057"/>
      <c r="S124" s="730"/>
    </row>
    <row r="125" spans="1:19" ht="13.2" customHeight="1">
      <c r="A125" s="2040"/>
      <c r="B125" s="2029"/>
      <c r="C125" s="2029"/>
      <c r="D125" s="2029"/>
      <c r="E125" s="2029"/>
      <c r="F125" s="777"/>
      <c r="G125" s="777"/>
      <c r="H125" s="777"/>
      <c r="I125" s="2059"/>
      <c r="J125" s="777"/>
      <c r="K125" s="777"/>
      <c r="L125" s="777"/>
      <c r="M125" s="777"/>
      <c r="S125" s="730"/>
    </row>
    <row r="126" spans="1:19" ht="13.2" customHeight="1">
      <c r="A126" s="2041">
        <v>60</v>
      </c>
      <c r="B126" s="812" t="str">
        <f>IF('Part VI-Revenues &amp; Expenses'!$K$58=0,"",'Part VI-Revenues &amp; Expenses'!$K$58)</f>
        <v/>
      </c>
      <c r="C126" s="748" t="s">
        <v>551</v>
      </c>
      <c r="D126" s="538"/>
      <c r="E126" s="538"/>
      <c r="F126" s="3362"/>
      <c r="G126" s="3363"/>
      <c r="H126" s="538"/>
      <c r="I126" s="737"/>
      <c r="J126" s="538"/>
      <c r="K126" s="538"/>
      <c r="L126" s="538"/>
      <c r="M126" s="538"/>
      <c r="S126" s="730"/>
    </row>
    <row r="127" spans="1:19" ht="13.2" customHeight="1">
      <c r="A127" s="2039"/>
      <c r="B127" s="538"/>
      <c r="C127" s="538" t="s">
        <v>551</v>
      </c>
      <c r="D127" s="2032"/>
      <c r="E127" s="2033"/>
      <c r="F127" s="3364"/>
      <c r="G127" s="3364"/>
      <c r="H127" s="3364"/>
      <c r="I127" s="3364"/>
      <c r="J127" s="3364"/>
      <c r="K127" s="3364"/>
      <c r="L127" s="3364"/>
      <c r="M127" s="3365"/>
      <c r="S127" s="730"/>
    </row>
    <row r="128" spans="1:19" ht="13.2" customHeight="1">
      <c r="A128" s="2039"/>
      <c r="B128" s="538"/>
      <c r="C128" s="538" t="s">
        <v>551</v>
      </c>
      <c r="D128" s="2032"/>
      <c r="E128" s="2033"/>
      <c r="F128" s="3364"/>
      <c r="G128" s="3364"/>
      <c r="H128" s="3364"/>
      <c r="I128" s="3364"/>
      <c r="J128" s="3364"/>
      <c r="K128" s="3364"/>
      <c r="L128" s="3364"/>
      <c r="M128" s="3365"/>
      <c r="S128" s="730"/>
    </row>
    <row r="129" spans="1:19" ht="13.2" customHeight="1">
      <c r="A129" s="2039"/>
      <c r="B129" s="538"/>
      <c r="C129" s="538" t="s">
        <v>551</v>
      </c>
      <c r="D129" s="2032"/>
      <c r="E129" s="2033"/>
      <c r="F129" s="3364"/>
      <c r="G129" s="3364"/>
      <c r="H129" s="3364"/>
      <c r="I129" s="3364"/>
      <c r="J129" s="3364"/>
      <c r="K129" s="3364"/>
      <c r="L129" s="3364"/>
      <c r="M129" s="3365"/>
      <c r="S129" s="730"/>
    </row>
    <row r="130" spans="1:19" ht="13.2" customHeight="1">
      <c r="A130" s="2035">
        <f>A126</f>
        <v>60</v>
      </c>
      <c r="B130" s="812">
        <f>IF('Part VI-Revenues &amp; Expenses'!$L$58=0,"",'Part VI-Revenues &amp; Expenses'!$L$58)</f>
        <v>9</v>
      </c>
      <c r="C130" s="2031">
        <v>1</v>
      </c>
      <c r="D130" s="538"/>
      <c r="E130" s="538"/>
      <c r="F130" s="3362"/>
      <c r="G130" s="3363"/>
      <c r="H130" s="2031"/>
      <c r="I130" s="2031"/>
      <c r="J130" s="2031"/>
      <c r="K130" s="2031"/>
      <c r="L130" s="2031"/>
      <c r="M130" s="2031"/>
      <c r="S130" s="730"/>
    </row>
    <row r="131" spans="1:19" ht="13.2" customHeight="1">
      <c r="A131" s="2035"/>
      <c r="B131" s="538"/>
      <c r="C131" s="2034">
        <v>1</v>
      </c>
      <c r="D131" s="2032"/>
      <c r="E131" s="2033"/>
      <c r="F131" s="3364"/>
      <c r="G131" s="3364"/>
      <c r="H131" s="3364"/>
      <c r="I131" s="3364"/>
      <c r="J131" s="3364"/>
      <c r="K131" s="3364"/>
      <c r="L131" s="3364"/>
      <c r="M131" s="3365"/>
      <c r="S131" s="730"/>
    </row>
    <row r="132" spans="1:19" ht="13.2" customHeight="1">
      <c r="A132" s="2035"/>
      <c r="B132" s="538"/>
      <c r="C132" s="2034">
        <v>1</v>
      </c>
      <c r="D132" s="2032"/>
      <c r="E132" s="2033"/>
      <c r="F132" s="3364"/>
      <c r="G132" s="3364"/>
      <c r="H132" s="3364"/>
      <c r="I132" s="3364"/>
      <c r="J132" s="3364"/>
      <c r="K132" s="3364"/>
      <c r="L132" s="3364"/>
      <c r="M132" s="3365"/>
      <c r="S132" s="730"/>
    </row>
    <row r="133" spans="1:19" ht="13.2" customHeight="1">
      <c r="A133" s="2035"/>
      <c r="B133" s="538"/>
      <c r="C133" s="2034">
        <v>1</v>
      </c>
      <c r="D133" s="2032"/>
      <c r="E133" s="2033"/>
      <c r="F133" s="3364"/>
      <c r="G133" s="3364"/>
      <c r="H133" s="3364"/>
      <c r="I133" s="3364"/>
      <c r="J133" s="3364"/>
      <c r="K133" s="3364"/>
      <c r="L133" s="3364"/>
      <c r="M133" s="3365"/>
      <c r="S133" s="730"/>
    </row>
    <row r="134" spans="1:19" ht="13.2" customHeight="1">
      <c r="A134" s="2035">
        <f>A126</f>
        <v>60</v>
      </c>
      <c r="B134" s="812">
        <f>IF('Part VI-Revenues &amp; Expenses'!$M$58=0,"",'Part VI-Revenues &amp; Expenses'!$M$58)</f>
        <v>25</v>
      </c>
      <c r="C134" s="2031">
        <v>2</v>
      </c>
      <c r="D134" s="538"/>
      <c r="E134" s="538"/>
      <c r="F134" s="3362"/>
      <c r="G134" s="3363"/>
      <c r="H134" s="2031"/>
      <c r="I134" s="2031"/>
      <c r="J134" s="2031"/>
      <c r="K134" s="2031"/>
      <c r="L134" s="2031"/>
      <c r="M134" s="2031"/>
      <c r="S134" s="730"/>
    </row>
    <row r="135" spans="1:19" ht="13.2" customHeight="1">
      <c r="A135" s="2035"/>
      <c r="B135" s="538"/>
      <c r="C135" s="2034">
        <v>2</v>
      </c>
      <c r="D135" s="2032"/>
      <c r="E135" s="2033"/>
      <c r="F135" s="3364"/>
      <c r="G135" s="3364"/>
      <c r="H135" s="3364"/>
      <c r="I135" s="3364"/>
      <c r="J135" s="3364"/>
      <c r="K135" s="3364"/>
      <c r="L135" s="3364"/>
      <c r="M135" s="3365"/>
      <c r="S135" s="730"/>
    </row>
    <row r="136" spans="1:19" ht="13.2" customHeight="1">
      <c r="A136" s="2035"/>
      <c r="B136" s="538"/>
      <c r="C136" s="2034">
        <v>2</v>
      </c>
      <c r="D136" s="2032"/>
      <c r="E136" s="2033"/>
      <c r="F136" s="3364"/>
      <c r="G136" s="3364"/>
      <c r="H136" s="3364"/>
      <c r="I136" s="3364"/>
      <c r="J136" s="3364"/>
      <c r="K136" s="3364"/>
      <c r="L136" s="3364"/>
      <c r="M136" s="3365"/>
      <c r="S136" s="730"/>
    </row>
    <row r="137" spans="1:19" ht="13.2" customHeight="1">
      <c r="A137" s="2035"/>
      <c r="B137" s="538"/>
      <c r="C137" s="2034">
        <v>2</v>
      </c>
      <c r="D137" s="2032"/>
      <c r="E137" s="2033"/>
      <c r="F137" s="3364"/>
      <c r="G137" s="3364"/>
      <c r="H137" s="3364"/>
      <c r="I137" s="3364"/>
      <c r="J137" s="3364"/>
      <c r="K137" s="3364"/>
      <c r="L137" s="3364"/>
      <c r="M137" s="3365"/>
      <c r="S137" s="730"/>
    </row>
    <row r="138" spans="1:19" ht="13.2" customHeight="1">
      <c r="A138" s="2035"/>
      <c r="B138" s="538"/>
      <c r="C138" s="2034">
        <v>2</v>
      </c>
      <c r="D138" s="2032"/>
      <c r="E138" s="2033"/>
      <c r="F138" s="3364"/>
      <c r="G138" s="3364"/>
      <c r="H138" s="3364"/>
      <c r="I138" s="3364"/>
      <c r="J138" s="3364"/>
      <c r="K138" s="3364"/>
      <c r="L138" s="3364"/>
      <c r="M138" s="3365"/>
      <c r="S138" s="730"/>
    </row>
    <row r="139" spans="1:19" ht="13.2" customHeight="1">
      <c r="A139" s="2035">
        <f>A126</f>
        <v>60</v>
      </c>
      <c r="B139" s="812" t="str">
        <f>IF('Part VI-Revenues &amp; Expenses'!$N$58=0,"",'Part VI-Revenues &amp; Expenses'!$N$58)</f>
        <v/>
      </c>
      <c r="C139" s="2031">
        <v>3</v>
      </c>
      <c r="D139" s="538"/>
      <c r="E139" s="538"/>
      <c r="F139" s="3362"/>
      <c r="G139" s="3363"/>
      <c r="H139" s="2031"/>
      <c r="I139" s="2031"/>
      <c r="J139" s="2031"/>
      <c r="K139" s="2031"/>
      <c r="L139" s="2031"/>
      <c r="M139" s="2031"/>
      <c r="S139" s="730"/>
    </row>
    <row r="140" spans="1:19" ht="13.2" customHeight="1">
      <c r="A140" s="2035"/>
      <c r="B140" s="538"/>
      <c r="C140" s="2034">
        <v>3</v>
      </c>
      <c r="D140" s="2032"/>
      <c r="E140" s="2033"/>
      <c r="F140" s="3364"/>
      <c r="G140" s="3364"/>
      <c r="H140" s="3364"/>
      <c r="I140" s="3364"/>
      <c r="J140" s="3364"/>
      <c r="K140" s="3364"/>
      <c r="L140" s="3364"/>
      <c r="M140" s="3365"/>
      <c r="S140" s="730"/>
    </row>
    <row r="141" spans="1:19" ht="13.2" customHeight="1">
      <c r="A141" s="2035"/>
      <c r="B141" s="538"/>
      <c r="C141" s="2034">
        <v>3</v>
      </c>
      <c r="D141" s="2032"/>
      <c r="E141" s="2033"/>
      <c r="F141" s="3364"/>
      <c r="G141" s="3364"/>
      <c r="H141" s="3364"/>
      <c r="I141" s="3364"/>
      <c r="J141" s="3364"/>
      <c r="K141" s="3364"/>
      <c r="L141" s="3364"/>
      <c r="M141" s="3365"/>
      <c r="S141" s="730"/>
    </row>
    <row r="142" spans="1:19" ht="13.2" customHeight="1">
      <c r="A142" s="2035"/>
      <c r="B142" s="538"/>
      <c r="C142" s="2034">
        <v>3</v>
      </c>
      <c r="D142" s="2032"/>
      <c r="E142" s="2033"/>
      <c r="F142" s="3364"/>
      <c r="G142" s="3364"/>
      <c r="H142" s="3364"/>
      <c r="I142" s="3364"/>
      <c r="J142" s="3364"/>
      <c r="K142" s="3364"/>
      <c r="L142" s="3364"/>
      <c r="M142" s="3365"/>
      <c r="S142" s="730"/>
    </row>
    <row r="143" spans="1:19" ht="13.2" customHeight="1">
      <c r="A143" s="2035"/>
      <c r="B143" s="538"/>
      <c r="C143" s="2034">
        <v>3</v>
      </c>
      <c r="D143" s="2032"/>
      <c r="E143" s="2033"/>
      <c r="F143" s="3364"/>
      <c r="G143" s="3364"/>
      <c r="H143" s="3364"/>
      <c r="I143" s="3364"/>
      <c r="J143" s="3364"/>
      <c r="K143" s="3364"/>
      <c r="L143" s="3364"/>
      <c r="M143" s="3365"/>
      <c r="S143" s="730"/>
    </row>
    <row r="144" spans="1:19" ht="13.2" customHeight="1">
      <c r="A144" s="2035">
        <f>A126</f>
        <v>60</v>
      </c>
      <c r="B144" s="812" t="str">
        <f>IF('Part VI-Revenues &amp; Expenses'!$O$58=0,"",'Part VI-Revenues &amp; Expenses'!$O$58)</f>
        <v/>
      </c>
      <c r="C144" s="2031">
        <v>4</v>
      </c>
      <c r="D144" s="538"/>
      <c r="E144" s="538"/>
      <c r="F144" s="3362"/>
      <c r="G144" s="3363"/>
      <c r="H144" s="2031"/>
      <c r="I144" s="2031"/>
      <c r="J144" s="2031"/>
      <c r="K144" s="2031"/>
      <c r="L144" s="2031"/>
      <c r="M144" s="2031"/>
      <c r="S144" s="730"/>
    </row>
    <row r="145" spans="1:19" ht="13.2" customHeight="1">
      <c r="A145" s="2039"/>
      <c r="B145" s="538"/>
      <c r="C145" s="2034">
        <v>4</v>
      </c>
      <c r="D145" s="2032"/>
      <c r="E145" s="2033"/>
      <c r="F145" s="3364"/>
      <c r="G145" s="3364"/>
      <c r="H145" s="3364"/>
      <c r="I145" s="3364"/>
      <c r="J145" s="3364"/>
      <c r="K145" s="3364"/>
      <c r="L145" s="3364"/>
      <c r="M145" s="3365"/>
      <c r="S145" s="730"/>
    </row>
    <row r="146" spans="1:19" ht="13.2" customHeight="1">
      <c r="A146" s="2036"/>
      <c r="C146" s="2034">
        <v>4</v>
      </c>
      <c r="D146" s="2032"/>
      <c r="E146" s="2033"/>
      <c r="F146" s="3364"/>
      <c r="G146" s="3364"/>
      <c r="H146" s="3364"/>
      <c r="I146" s="3364"/>
      <c r="J146" s="3364"/>
      <c r="K146" s="3364"/>
      <c r="L146" s="3364"/>
      <c r="M146" s="3365"/>
      <c r="S146" s="730"/>
    </row>
    <row r="147" spans="1:19" ht="13.2" customHeight="1">
      <c r="A147" s="2036"/>
      <c r="C147" s="2034">
        <v>4</v>
      </c>
      <c r="D147" s="2032"/>
      <c r="E147" s="2033"/>
      <c r="F147" s="3364"/>
      <c r="G147" s="3364"/>
      <c r="H147" s="3364"/>
      <c r="I147" s="3364"/>
      <c r="J147" s="3364"/>
      <c r="K147" s="3364"/>
      <c r="L147" s="3364"/>
      <c r="M147" s="3365"/>
      <c r="S147" s="730"/>
    </row>
    <row r="148" spans="1:19" ht="13.2" customHeight="1">
      <c r="A148" s="2038"/>
      <c r="B148" s="2028"/>
      <c r="C148" s="2028"/>
      <c r="D148" s="2028"/>
      <c r="E148" s="2028"/>
      <c r="F148" s="2057"/>
      <c r="G148" s="2057"/>
      <c r="H148" s="2057"/>
      <c r="I148" s="2058"/>
      <c r="J148" s="2057"/>
      <c r="K148" s="2057"/>
      <c r="L148" s="2057"/>
      <c r="M148" s="2057"/>
      <c r="S148" s="730"/>
    </row>
    <row r="149" spans="1:19" ht="13.2" customHeight="1">
      <c r="A149" s="2036"/>
      <c r="F149" s="1804"/>
      <c r="G149" s="1804"/>
      <c r="H149" s="1804"/>
      <c r="I149" s="2031"/>
      <c r="J149" s="1804"/>
      <c r="K149" s="1804"/>
      <c r="L149" s="1804"/>
      <c r="M149" s="1804"/>
      <c r="S149" s="730"/>
    </row>
    <row r="150" spans="1:19" ht="13.2" customHeight="1">
      <c r="A150" s="2041">
        <v>70</v>
      </c>
      <c r="B150" s="812" t="str">
        <f>IF('Part VI-Revenues &amp; Expenses'!$K$57=0,"",'Part VI-Revenues &amp; Expenses'!$K$57)</f>
        <v/>
      </c>
      <c r="C150" s="748" t="s">
        <v>551</v>
      </c>
      <c r="D150" s="538"/>
      <c r="E150" s="538"/>
      <c r="F150" s="3362"/>
      <c r="G150" s="3363"/>
      <c r="H150" s="538"/>
      <c r="I150" s="737"/>
      <c r="J150" s="538"/>
      <c r="K150" s="538"/>
      <c r="L150" s="538"/>
      <c r="M150" s="538"/>
      <c r="S150" s="730"/>
    </row>
    <row r="151" spans="1:19" ht="13.2" customHeight="1">
      <c r="A151" s="2039"/>
      <c r="B151" s="538"/>
      <c r="C151" s="538" t="s">
        <v>551</v>
      </c>
      <c r="D151" s="2032"/>
      <c r="E151" s="2033"/>
      <c r="F151" s="3364"/>
      <c r="G151" s="3364"/>
      <c r="H151" s="3364"/>
      <c r="I151" s="3364"/>
      <c r="J151" s="3364"/>
      <c r="K151" s="3364"/>
      <c r="L151" s="3364"/>
      <c r="M151" s="3365"/>
      <c r="S151" s="730"/>
    </row>
    <row r="152" spans="1:19" ht="13.2" customHeight="1">
      <c r="A152" s="2039"/>
      <c r="B152" s="538"/>
      <c r="C152" s="538" t="s">
        <v>551</v>
      </c>
      <c r="D152" s="2032"/>
      <c r="E152" s="2033"/>
      <c r="F152" s="3364"/>
      <c r="G152" s="3364"/>
      <c r="H152" s="3364"/>
      <c r="I152" s="3364"/>
      <c r="J152" s="3364"/>
      <c r="K152" s="3364"/>
      <c r="L152" s="3364"/>
      <c r="M152" s="3365"/>
      <c r="S152" s="730"/>
    </row>
    <row r="153" spans="1:19" ht="13.2" customHeight="1">
      <c r="A153" s="2039"/>
      <c r="B153" s="538"/>
      <c r="C153" s="538" t="s">
        <v>551</v>
      </c>
      <c r="D153" s="2032"/>
      <c r="E153" s="2033"/>
      <c r="F153" s="3364"/>
      <c r="G153" s="3364"/>
      <c r="H153" s="3364"/>
      <c r="I153" s="3364"/>
      <c r="J153" s="3364"/>
      <c r="K153" s="3364"/>
      <c r="L153" s="3364"/>
      <c r="M153" s="3365"/>
      <c r="S153" s="730"/>
    </row>
    <row r="154" spans="1:19" ht="13.2" customHeight="1">
      <c r="A154" s="2035">
        <f>A150</f>
        <v>70</v>
      </c>
      <c r="B154" s="812" t="str">
        <f>IF('Part VI-Revenues &amp; Expenses'!$L$57=0,"",'Part VI-Revenues &amp; Expenses'!$L$57)</f>
        <v/>
      </c>
      <c r="C154" s="2031">
        <v>1</v>
      </c>
      <c r="D154" s="538"/>
      <c r="E154" s="538"/>
      <c r="F154" s="3362"/>
      <c r="G154" s="3363"/>
      <c r="H154" s="2031"/>
      <c r="I154" s="2031"/>
      <c r="J154" s="2031"/>
      <c r="K154" s="2031"/>
      <c r="L154" s="2031"/>
      <c r="M154" s="2031"/>
      <c r="S154" s="730"/>
    </row>
    <row r="155" spans="1:19" ht="13.2" customHeight="1">
      <c r="A155" s="2035"/>
      <c r="B155" s="538"/>
      <c r="C155" s="2034">
        <v>1</v>
      </c>
      <c r="D155" s="2032"/>
      <c r="E155" s="2033"/>
      <c r="F155" s="3364"/>
      <c r="G155" s="3364"/>
      <c r="H155" s="3364"/>
      <c r="I155" s="3364"/>
      <c r="J155" s="3364"/>
      <c r="K155" s="3364"/>
      <c r="L155" s="3364"/>
      <c r="M155" s="3365"/>
      <c r="S155" s="730"/>
    </row>
    <row r="156" spans="1:19" ht="13.2" customHeight="1">
      <c r="A156" s="2035"/>
      <c r="B156" s="538"/>
      <c r="C156" s="2034">
        <v>1</v>
      </c>
      <c r="D156" s="2032"/>
      <c r="E156" s="2033"/>
      <c r="F156" s="3364"/>
      <c r="G156" s="3364"/>
      <c r="H156" s="3364"/>
      <c r="I156" s="3364"/>
      <c r="J156" s="3364"/>
      <c r="K156" s="3364"/>
      <c r="L156" s="3364"/>
      <c r="M156" s="3365"/>
      <c r="S156" s="730"/>
    </row>
    <row r="157" spans="1:19" ht="13.2" customHeight="1">
      <c r="A157" s="2035"/>
      <c r="B157" s="538"/>
      <c r="C157" s="2034">
        <v>1</v>
      </c>
      <c r="D157" s="2032"/>
      <c r="E157" s="2033"/>
      <c r="F157" s="3364"/>
      <c r="G157" s="3364"/>
      <c r="H157" s="3364"/>
      <c r="I157" s="3364"/>
      <c r="J157" s="3364"/>
      <c r="K157" s="3364"/>
      <c r="L157" s="3364"/>
      <c r="M157" s="3365"/>
      <c r="S157" s="730"/>
    </row>
    <row r="158" spans="1:19" ht="13.2" customHeight="1">
      <c r="A158" s="2035">
        <f>A150</f>
        <v>70</v>
      </c>
      <c r="B158" s="812" t="str">
        <f>IF('Part VI-Revenues &amp; Expenses'!$M$57=0,"",'Part VI-Revenues &amp; Expenses'!$M$57)</f>
        <v/>
      </c>
      <c r="C158" s="2031">
        <v>2</v>
      </c>
      <c r="D158" s="538"/>
      <c r="E158" s="538"/>
      <c r="F158" s="3362"/>
      <c r="G158" s="3363"/>
      <c r="H158" s="2031"/>
      <c r="I158" s="2031"/>
      <c r="J158" s="2031"/>
      <c r="K158" s="2031"/>
      <c r="L158" s="2031"/>
      <c r="M158" s="2031"/>
      <c r="S158" s="730"/>
    </row>
    <row r="159" spans="1:19" ht="13.2" customHeight="1">
      <c r="A159" s="2035"/>
      <c r="B159" s="538"/>
      <c r="C159" s="2034">
        <v>2</v>
      </c>
      <c r="D159" s="2032"/>
      <c r="E159" s="2033"/>
      <c r="F159" s="3364"/>
      <c r="G159" s="3364"/>
      <c r="H159" s="3364"/>
      <c r="I159" s="3364"/>
      <c r="J159" s="3364"/>
      <c r="K159" s="3364"/>
      <c r="L159" s="3364"/>
      <c r="M159" s="3365"/>
      <c r="S159" s="730"/>
    </row>
    <row r="160" spans="1:19" ht="13.2" customHeight="1">
      <c r="A160" s="2035"/>
      <c r="B160" s="538"/>
      <c r="C160" s="2034">
        <v>2</v>
      </c>
      <c r="D160" s="2032"/>
      <c r="E160" s="2033"/>
      <c r="F160" s="3364"/>
      <c r="G160" s="3364"/>
      <c r="H160" s="3364"/>
      <c r="I160" s="3364"/>
      <c r="J160" s="3364"/>
      <c r="K160" s="3364"/>
      <c r="L160" s="3364"/>
      <c r="M160" s="3365"/>
      <c r="S160" s="730"/>
    </row>
    <row r="161" spans="1:19" ht="13.2" customHeight="1">
      <c r="A161" s="2035"/>
      <c r="B161" s="538"/>
      <c r="C161" s="2034">
        <v>2</v>
      </c>
      <c r="D161" s="2032"/>
      <c r="E161" s="2033"/>
      <c r="F161" s="3364"/>
      <c r="G161" s="3364"/>
      <c r="H161" s="3364"/>
      <c r="I161" s="3364"/>
      <c r="J161" s="3364"/>
      <c r="K161" s="3364"/>
      <c r="L161" s="3364"/>
      <c r="M161" s="3365"/>
      <c r="S161" s="730"/>
    </row>
    <row r="162" spans="1:19" ht="13.2" customHeight="1">
      <c r="A162" s="2035"/>
      <c r="B162" s="538"/>
      <c r="C162" s="2034">
        <v>2</v>
      </c>
      <c r="D162" s="2032"/>
      <c r="E162" s="2033"/>
      <c r="F162" s="3364"/>
      <c r="G162" s="3364"/>
      <c r="H162" s="3364"/>
      <c r="I162" s="3364"/>
      <c r="J162" s="3364"/>
      <c r="K162" s="3364"/>
      <c r="L162" s="3364"/>
      <c r="M162" s="3365"/>
      <c r="S162" s="730"/>
    </row>
    <row r="163" spans="1:19" ht="13.2" customHeight="1">
      <c r="A163" s="2035">
        <f>A150</f>
        <v>70</v>
      </c>
      <c r="B163" s="812" t="str">
        <f>IF('Part VI-Revenues &amp; Expenses'!$N$57=0,"",'Part VI-Revenues &amp; Expenses'!$N$57)</f>
        <v/>
      </c>
      <c r="C163" s="2031">
        <v>3</v>
      </c>
      <c r="D163" s="538"/>
      <c r="E163" s="538"/>
      <c r="F163" s="3362"/>
      <c r="G163" s="3363"/>
      <c r="H163" s="2031"/>
      <c r="I163" s="2031"/>
      <c r="J163" s="2031"/>
      <c r="K163" s="2031"/>
      <c r="L163" s="2031"/>
      <c r="M163" s="2031"/>
      <c r="S163" s="730"/>
    </row>
    <row r="164" spans="1:19" ht="13.2" customHeight="1">
      <c r="A164" s="2035"/>
      <c r="B164" s="538"/>
      <c r="C164" s="2034">
        <v>3</v>
      </c>
      <c r="D164" s="2032"/>
      <c r="E164" s="2033"/>
      <c r="F164" s="3364"/>
      <c r="G164" s="3364"/>
      <c r="H164" s="3364"/>
      <c r="I164" s="3364"/>
      <c r="J164" s="3364"/>
      <c r="K164" s="3364"/>
      <c r="L164" s="3364"/>
      <c r="M164" s="3365"/>
      <c r="S164" s="730"/>
    </row>
    <row r="165" spans="1:19" ht="13.2" customHeight="1">
      <c r="A165" s="2035"/>
      <c r="B165" s="538"/>
      <c r="C165" s="2034">
        <v>3</v>
      </c>
      <c r="D165" s="2032"/>
      <c r="E165" s="2033"/>
      <c r="F165" s="3364"/>
      <c r="G165" s="3364"/>
      <c r="H165" s="3364"/>
      <c r="I165" s="3364"/>
      <c r="J165" s="3364"/>
      <c r="K165" s="3364"/>
      <c r="L165" s="3364"/>
      <c r="M165" s="3365"/>
      <c r="S165" s="730"/>
    </row>
    <row r="166" spans="1:19" ht="13.2" customHeight="1">
      <c r="A166" s="2035"/>
      <c r="B166" s="538"/>
      <c r="C166" s="2034">
        <v>3</v>
      </c>
      <c r="D166" s="2032"/>
      <c r="E166" s="2033"/>
      <c r="F166" s="3364"/>
      <c r="G166" s="3364"/>
      <c r="H166" s="3364"/>
      <c r="I166" s="3364"/>
      <c r="J166" s="3364"/>
      <c r="K166" s="3364"/>
      <c r="L166" s="3364"/>
      <c r="M166" s="3365"/>
      <c r="S166" s="730"/>
    </row>
    <row r="167" spans="1:19" ht="13.2" customHeight="1">
      <c r="A167" s="2035"/>
      <c r="B167" s="538"/>
      <c r="C167" s="2034">
        <v>3</v>
      </c>
      <c r="D167" s="2032"/>
      <c r="E167" s="2033"/>
      <c r="F167" s="3364"/>
      <c r="G167" s="3364"/>
      <c r="H167" s="3364"/>
      <c r="I167" s="3364"/>
      <c r="J167" s="3364"/>
      <c r="K167" s="3364"/>
      <c r="L167" s="3364"/>
      <c r="M167" s="3365"/>
      <c r="S167" s="730"/>
    </row>
    <row r="168" spans="1:19" ht="13.2" customHeight="1">
      <c r="A168" s="2035">
        <f>A150</f>
        <v>70</v>
      </c>
      <c r="B168" s="812" t="str">
        <f>IF('Part VI-Revenues &amp; Expenses'!$O$57=0,"",'Part VI-Revenues &amp; Expenses'!$O$57)</f>
        <v/>
      </c>
      <c r="C168" s="2031">
        <v>4</v>
      </c>
      <c r="D168" s="538"/>
      <c r="E168" s="538"/>
      <c r="F168" s="3362"/>
      <c r="G168" s="3363"/>
      <c r="H168" s="2031"/>
      <c r="I168" s="2031"/>
      <c r="J168" s="2031"/>
      <c r="K168" s="2031"/>
      <c r="L168" s="2031"/>
      <c r="M168" s="2031"/>
      <c r="S168" s="730"/>
    </row>
    <row r="169" spans="1:19" ht="13.2" customHeight="1">
      <c r="A169" s="2039"/>
      <c r="B169" s="538"/>
      <c r="C169" s="2034">
        <v>4</v>
      </c>
      <c r="D169" s="2032"/>
      <c r="E169" s="2033"/>
      <c r="F169" s="3364"/>
      <c r="G169" s="3364"/>
      <c r="H169" s="3364"/>
      <c r="I169" s="3364"/>
      <c r="J169" s="3364"/>
      <c r="K169" s="3364"/>
      <c r="L169" s="3364"/>
      <c r="M169" s="3365"/>
      <c r="S169" s="730"/>
    </row>
    <row r="170" spans="1:19" ht="13.2" customHeight="1">
      <c r="A170" s="2036"/>
      <c r="C170" s="2034">
        <v>4</v>
      </c>
      <c r="D170" s="2032"/>
      <c r="E170" s="2033"/>
      <c r="F170" s="3364"/>
      <c r="G170" s="3364"/>
      <c r="H170" s="3364"/>
      <c r="I170" s="3364"/>
      <c r="J170" s="3364"/>
      <c r="K170" s="3364"/>
      <c r="L170" s="3364"/>
      <c r="M170" s="3365"/>
      <c r="S170" s="730"/>
    </row>
    <row r="171" spans="1:19" ht="13.2" customHeight="1">
      <c r="A171" s="2036"/>
      <c r="C171" s="2034">
        <v>4</v>
      </c>
      <c r="D171" s="2032"/>
      <c r="E171" s="2033"/>
      <c r="F171" s="3364"/>
      <c r="G171" s="3364"/>
      <c r="H171" s="3364"/>
      <c r="I171" s="3364"/>
      <c r="J171" s="3364"/>
      <c r="K171" s="3364"/>
      <c r="L171" s="3364"/>
      <c r="M171" s="3365"/>
      <c r="S171" s="730"/>
    </row>
    <row r="172" spans="1:19" ht="13.2" customHeight="1">
      <c r="A172" s="2038"/>
      <c r="B172" s="2028"/>
      <c r="C172" s="2028"/>
      <c r="D172" s="2028"/>
      <c r="E172" s="2028"/>
      <c r="F172" s="2057"/>
      <c r="G172" s="2057"/>
      <c r="H172" s="2057"/>
      <c r="I172" s="2058"/>
      <c r="J172" s="2057"/>
      <c r="K172" s="2057"/>
      <c r="L172" s="2057"/>
      <c r="M172" s="2057"/>
      <c r="S172" s="730"/>
    </row>
    <row r="173" spans="1:19" ht="13.2" customHeight="1">
      <c r="A173" s="2036"/>
      <c r="F173" s="1804"/>
      <c r="G173" s="1804"/>
      <c r="H173" s="1804"/>
      <c r="I173" s="2031"/>
      <c r="J173" s="1804"/>
      <c r="K173" s="1804"/>
      <c r="L173" s="1804"/>
      <c r="M173" s="1804"/>
      <c r="S173" s="730"/>
    </row>
    <row r="174" spans="1:19" ht="13.2" customHeight="1">
      <c r="A174" s="2041">
        <v>80</v>
      </c>
      <c r="B174" s="812" t="str">
        <f>IF('Part VI-Revenues &amp; Expenses'!$K$56=0,"",'Part VI-Revenues &amp; Expenses'!$K$56)</f>
        <v/>
      </c>
      <c r="C174" s="748" t="s">
        <v>551</v>
      </c>
      <c r="D174" s="538"/>
      <c r="E174" s="538"/>
      <c r="F174" s="3362"/>
      <c r="G174" s="3363"/>
      <c r="H174" s="538"/>
      <c r="I174" s="737"/>
      <c r="J174" s="538"/>
      <c r="K174" s="538"/>
      <c r="L174" s="538"/>
      <c r="M174" s="538"/>
      <c r="S174" s="730"/>
    </row>
    <row r="175" spans="1:19" ht="13.2" customHeight="1">
      <c r="A175" s="2039"/>
      <c r="B175" s="538"/>
      <c r="C175" s="538" t="s">
        <v>551</v>
      </c>
      <c r="D175" s="2032"/>
      <c r="E175" s="2033"/>
      <c r="F175" s="3364"/>
      <c r="G175" s="3364"/>
      <c r="H175" s="3364"/>
      <c r="I175" s="3364"/>
      <c r="J175" s="3364"/>
      <c r="K175" s="3364"/>
      <c r="L175" s="3364"/>
      <c r="M175" s="3365"/>
      <c r="S175" s="730"/>
    </row>
    <row r="176" spans="1:19" ht="13.2" customHeight="1">
      <c r="A176" s="2039"/>
      <c r="B176" s="538"/>
      <c r="C176" s="538" t="s">
        <v>551</v>
      </c>
      <c r="D176" s="2032"/>
      <c r="E176" s="2033"/>
      <c r="F176" s="3364"/>
      <c r="G176" s="3364"/>
      <c r="H176" s="3364"/>
      <c r="I176" s="3364"/>
      <c r="J176" s="3364"/>
      <c r="K176" s="3364"/>
      <c r="L176" s="3364"/>
      <c r="M176" s="3365"/>
      <c r="S176" s="730"/>
    </row>
    <row r="177" spans="1:19" ht="13.2" customHeight="1">
      <c r="A177" s="2039"/>
      <c r="B177" s="538"/>
      <c r="C177" s="538" t="s">
        <v>551</v>
      </c>
      <c r="D177" s="2032"/>
      <c r="E177" s="2033"/>
      <c r="F177" s="3364"/>
      <c r="G177" s="3364"/>
      <c r="H177" s="3364"/>
      <c r="I177" s="3364"/>
      <c r="J177" s="3364"/>
      <c r="K177" s="3364"/>
      <c r="L177" s="3364"/>
      <c r="M177" s="3365"/>
      <c r="S177" s="730"/>
    </row>
    <row r="178" spans="1:19" ht="13.2" customHeight="1">
      <c r="A178" s="2035">
        <f>A174</f>
        <v>80</v>
      </c>
      <c r="B178" s="812">
        <f>IF('Part VI-Revenues &amp; Expenses'!$L$56=0,"",'Part VI-Revenues &amp; Expenses'!$L$56)</f>
        <v>5</v>
      </c>
      <c r="C178" s="2031">
        <v>1</v>
      </c>
      <c r="D178" s="538"/>
      <c r="E178" s="538"/>
      <c r="F178" s="3362"/>
      <c r="G178" s="3363"/>
      <c r="H178" s="2031"/>
      <c r="I178" s="2031"/>
      <c r="J178" s="2031"/>
      <c r="K178" s="2031"/>
      <c r="L178" s="2031"/>
      <c r="M178" s="2031"/>
      <c r="S178" s="730"/>
    </row>
    <row r="179" spans="1:19" ht="13.2" customHeight="1">
      <c r="A179" s="2035"/>
      <c r="B179" s="538"/>
      <c r="C179" s="2034">
        <v>1</v>
      </c>
      <c r="D179" s="2032"/>
      <c r="E179" s="2033"/>
      <c r="F179" s="3364"/>
      <c r="G179" s="3364"/>
      <c r="H179" s="3364"/>
      <c r="I179" s="3364"/>
      <c r="J179" s="3364"/>
      <c r="K179" s="3364"/>
      <c r="L179" s="3364"/>
      <c r="M179" s="3365"/>
      <c r="S179" s="730"/>
    </row>
    <row r="180" spans="1:19" ht="13.2" customHeight="1">
      <c r="A180" s="2035"/>
      <c r="B180" s="538"/>
      <c r="C180" s="2034">
        <v>1</v>
      </c>
      <c r="D180" s="2032"/>
      <c r="E180" s="2033"/>
      <c r="F180" s="3364"/>
      <c r="G180" s="3364"/>
      <c r="H180" s="3364"/>
      <c r="I180" s="3364"/>
      <c r="J180" s="3364"/>
      <c r="K180" s="3364"/>
      <c r="L180" s="3364"/>
      <c r="M180" s="3365"/>
      <c r="S180" s="730"/>
    </row>
    <row r="181" spans="1:19" ht="13.2" customHeight="1">
      <c r="A181" s="2035"/>
      <c r="B181" s="538"/>
      <c r="C181" s="2034">
        <v>1</v>
      </c>
      <c r="D181" s="2032"/>
      <c r="E181" s="2033"/>
      <c r="F181" s="3364"/>
      <c r="G181" s="3364"/>
      <c r="H181" s="3364"/>
      <c r="I181" s="3364"/>
      <c r="J181" s="3364"/>
      <c r="K181" s="3364"/>
      <c r="L181" s="3364"/>
      <c r="M181" s="3365"/>
      <c r="S181" s="730"/>
    </row>
    <row r="182" spans="1:19" ht="13.2" customHeight="1">
      <c r="A182" s="2035">
        <f>A174</f>
        <v>80</v>
      </c>
      <c r="B182" s="812">
        <f>IF('Part VI-Revenues &amp; Expenses'!$M$56=0,"",'Part VI-Revenues &amp; Expenses'!$M$56)</f>
        <v>9</v>
      </c>
      <c r="C182" s="2031">
        <v>2</v>
      </c>
      <c r="D182" s="538"/>
      <c r="E182" s="538"/>
      <c r="F182" s="3362"/>
      <c r="G182" s="3363"/>
      <c r="H182" s="2031"/>
      <c r="I182" s="2031"/>
      <c r="J182" s="2031"/>
      <c r="K182" s="2031"/>
      <c r="L182" s="2031"/>
      <c r="M182" s="2031"/>
      <c r="S182" s="730"/>
    </row>
    <row r="183" spans="1:19" ht="13.2" customHeight="1">
      <c r="A183" s="2035"/>
      <c r="B183" s="538"/>
      <c r="C183" s="2034">
        <v>2</v>
      </c>
      <c r="D183" s="2032"/>
      <c r="E183" s="2033"/>
      <c r="F183" s="3364"/>
      <c r="G183" s="3364"/>
      <c r="H183" s="3364"/>
      <c r="I183" s="3364"/>
      <c r="J183" s="3364"/>
      <c r="K183" s="3364"/>
      <c r="L183" s="3364"/>
      <c r="M183" s="3365"/>
      <c r="S183" s="730"/>
    </row>
    <row r="184" spans="1:19" ht="13.2" customHeight="1">
      <c r="A184" s="2035"/>
      <c r="B184" s="538"/>
      <c r="C184" s="2034">
        <v>2</v>
      </c>
      <c r="D184" s="2032"/>
      <c r="E184" s="2033"/>
      <c r="F184" s="3364"/>
      <c r="G184" s="3364"/>
      <c r="H184" s="3364"/>
      <c r="I184" s="3364"/>
      <c r="J184" s="3364"/>
      <c r="K184" s="3364"/>
      <c r="L184" s="3364"/>
      <c r="M184" s="3365"/>
      <c r="S184" s="730"/>
    </row>
    <row r="185" spans="1:19" ht="13.2" customHeight="1">
      <c r="A185" s="2035"/>
      <c r="B185" s="538"/>
      <c r="C185" s="2034">
        <v>2</v>
      </c>
      <c r="D185" s="2032"/>
      <c r="E185" s="2033"/>
      <c r="F185" s="3364"/>
      <c r="G185" s="3364"/>
      <c r="H185" s="3364"/>
      <c r="I185" s="3364"/>
      <c r="J185" s="3364"/>
      <c r="K185" s="3364"/>
      <c r="L185" s="3364"/>
      <c r="M185" s="3365"/>
      <c r="S185" s="730"/>
    </row>
    <row r="186" spans="1:19" ht="13.2" customHeight="1">
      <c r="A186" s="2035"/>
      <c r="B186" s="538"/>
      <c r="C186" s="2034">
        <v>2</v>
      </c>
      <c r="D186" s="2032"/>
      <c r="E186" s="2033"/>
      <c r="F186" s="3364"/>
      <c r="G186" s="3364"/>
      <c r="H186" s="3364"/>
      <c r="I186" s="3364"/>
      <c r="J186" s="3364"/>
      <c r="K186" s="3364"/>
      <c r="L186" s="3364"/>
      <c r="M186" s="3365"/>
      <c r="S186" s="730"/>
    </row>
    <row r="187" spans="1:19" ht="13.2" customHeight="1">
      <c r="A187" s="2035">
        <f>A174</f>
        <v>80</v>
      </c>
      <c r="B187" s="812" t="str">
        <f>IF('Part VI-Revenues &amp; Expenses'!$N$56=0,"",'Part VI-Revenues &amp; Expenses'!$N$56)</f>
        <v/>
      </c>
      <c r="C187" s="2031">
        <v>3</v>
      </c>
      <c r="D187" s="538"/>
      <c r="E187" s="538"/>
      <c r="F187" s="3362"/>
      <c r="G187" s="3363"/>
      <c r="H187" s="2031"/>
      <c r="I187" s="2031"/>
      <c r="J187" s="2031"/>
      <c r="K187" s="2031"/>
      <c r="L187" s="2031"/>
      <c r="M187" s="2031"/>
      <c r="S187" s="730"/>
    </row>
    <row r="188" spans="1:19" ht="13.2" customHeight="1">
      <c r="A188" s="2035"/>
      <c r="B188" s="538"/>
      <c r="C188" s="2034">
        <v>3</v>
      </c>
      <c r="D188" s="2032"/>
      <c r="E188" s="2033"/>
      <c r="F188" s="3364"/>
      <c r="G188" s="3364"/>
      <c r="H188" s="3364"/>
      <c r="I188" s="3364"/>
      <c r="J188" s="3364"/>
      <c r="K188" s="3364"/>
      <c r="L188" s="3364"/>
      <c r="M188" s="3365"/>
      <c r="S188" s="730"/>
    </row>
    <row r="189" spans="1:19" ht="13.2" customHeight="1">
      <c r="A189" s="2035"/>
      <c r="B189" s="538"/>
      <c r="C189" s="2034">
        <v>3</v>
      </c>
      <c r="D189" s="2032"/>
      <c r="E189" s="2033"/>
      <c r="F189" s="3364"/>
      <c r="G189" s="3364"/>
      <c r="H189" s="3364"/>
      <c r="I189" s="3364"/>
      <c r="J189" s="3364"/>
      <c r="K189" s="3364"/>
      <c r="L189" s="3364"/>
      <c r="M189" s="3365"/>
      <c r="S189" s="730"/>
    </row>
    <row r="190" spans="1:19" ht="13.2" customHeight="1">
      <c r="A190" s="2035"/>
      <c r="B190" s="538"/>
      <c r="C190" s="2034">
        <v>3</v>
      </c>
      <c r="D190" s="2032"/>
      <c r="E190" s="2033"/>
      <c r="F190" s="3364"/>
      <c r="G190" s="3364"/>
      <c r="H190" s="3364"/>
      <c r="I190" s="3364"/>
      <c r="J190" s="3364"/>
      <c r="K190" s="3364"/>
      <c r="L190" s="3364"/>
      <c r="M190" s="3365"/>
      <c r="S190" s="730"/>
    </row>
    <row r="191" spans="1:19" ht="13.2" customHeight="1">
      <c r="A191" s="2035"/>
      <c r="B191" s="538"/>
      <c r="C191" s="2034">
        <v>3</v>
      </c>
      <c r="D191" s="2032"/>
      <c r="E191" s="2033"/>
      <c r="F191" s="3364"/>
      <c r="G191" s="3364"/>
      <c r="H191" s="3364"/>
      <c r="I191" s="3364"/>
      <c r="J191" s="3364"/>
      <c r="K191" s="3364"/>
      <c r="L191" s="3364"/>
      <c r="M191" s="3365"/>
      <c r="S191" s="730"/>
    </row>
    <row r="192" spans="1:19" ht="13.2" customHeight="1">
      <c r="A192" s="2035">
        <f>A174</f>
        <v>80</v>
      </c>
      <c r="B192" s="812" t="str">
        <f>IF('Part VI-Revenues &amp; Expenses'!$O$56=0,"",'Part VI-Revenues &amp; Expenses'!$O$56)</f>
        <v/>
      </c>
      <c r="C192" s="2031">
        <v>4</v>
      </c>
      <c r="D192" s="538"/>
      <c r="E192" s="538"/>
      <c r="F192" s="3362"/>
      <c r="G192" s="3363"/>
      <c r="H192" s="2031"/>
      <c r="I192" s="2031"/>
      <c r="J192" s="2031"/>
      <c r="K192" s="2031"/>
      <c r="L192" s="2031"/>
      <c r="M192" s="2031"/>
      <c r="S192" s="730"/>
    </row>
    <row r="193" spans="1:19" ht="13.2" customHeight="1">
      <c r="A193" s="2039"/>
      <c r="B193" s="538"/>
      <c r="C193" s="2034">
        <v>4</v>
      </c>
      <c r="D193" s="2032"/>
      <c r="E193" s="2033"/>
      <c r="F193" s="3364"/>
      <c r="G193" s="3364"/>
      <c r="H193" s="3364"/>
      <c r="I193" s="3364"/>
      <c r="J193" s="3364"/>
      <c r="K193" s="3364"/>
      <c r="L193" s="3364"/>
      <c r="M193" s="3365"/>
      <c r="S193" s="730"/>
    </row>
    <row r="194" spans="1:19" ht="13.2" customHeight="1">
      <c r="A194" s="2036"/>
      <c r="C194" s="2034">
        <v>4</v>
      </c>
      <c r="D194" s="2032"/>
      <c r="E194" s="2033"/>
      <c r="F194" s="3364"/>
      <c r="G194" s="3364"/>
      <c r="H194" s="3364"/>
      <c r="I194" s="3364"/>
      <c r="J194" s="3364"/>
      <c r="K194" s="3364"/>
      <c r="L194" s="3364"/>
      <c r="M194" s="3365"/>
      <c r="S194" s="730"/>
    </row>
    <row r="195" spans="1:19" ht="13.2" customHeight="1">
      <c r="A195" s="2036"/>
      <c r="C195" s="2034">
        <v>4</v>
      </c>
      <c r="D195" s="2032"/>
      <c r="E195" s="2033"/>
      <c r="F195" s="3364"/>
      <c r="G195" s="3364"/>
      <c r="H195" s="3364"/>
      <c r="I195" s="3364"/>
      <c r="J195" s="3364"/>
      <c r="K195" s="3364"/>
      <c r="L195" s="3364"/>
      <c r="M195" s="3365"/>
      <c r="S195" s="730"/>
    </row>
    <row r="196" spans="1:19" ht="13.2" customHeight="1">
      <c r="C196" s="2036"/>
      <c r="F196" s="1804"/>
      <c r="G196" s="1804"/>
      <c r="H196" s="1804"/>
      <c r="I196" s="1804"/>
      <c r="J196" s="1804"/>
      <c r="K196" s="2031"/>
      <c r="L196" s="1804"/>
      <c r="M196" s="1804"/>
      <c r="S196" s="730"/>
    </row>
    <row r="197" spans="1:19" ht="13.2" customHeight="1">
      <c r="C197" s="2036"/>
      <c r="F197" s="1804"/>
      <c r="G197" s="1804"/>
      <c r="H197" s="1804"/>
      <c r="I197" s="1804"/>
      <c r="J197" s="1804"/>
      <c r="K197" s="2031"/>
      <c r="L197" s="1804"/>
      <c r="M197" s="1804"/>
      <c r="S197" s="730"/>
    </row>
    <row r="198" spans="1:19" ht="13.2" customHeight="1">
      <c r="C198" s="2036"/>
      <c r="F198" s="1804"/>
      <c r="G198" s="1804"/>
      <c r="H198" s="1804"/>
      <c r="I198" s="1804"/>
      <c r="J198" s="1804"/>
      <c r="K198" s="2031"/>
      <c r="L198" s="1804"/>
      <c r="M198" s="1804"/>
      <c r="S198" s="730"/>
    </row>
    <row r="199" spans="1:19" ht="13.2" customHeight="1">
      <c r="C199" s="2036"/>
      <c r="F199" s="1804"/>
      <c r="G199" s="1804"/>
      <c r="H199" s="1804"/>
      <c r="I199" s="1804"/>
      <c r="J199" s="1804"/>
      <c r="K199" s="2031"/>
      <c r="L199" s="1804"/>
      <c r="M199" s="1804"/>
      <c r="S199" s="730"/>
    </row>
    <row r="200" spans="1:19" ht="13.2" customHeight="1">
      <c r="C200" s="2036"/>
      <c r="F200" s="1804"/>
      <c r="G200" s="1804"/>
      <c r="H200" s="1804"/>
      <c r="I200" s="1804"/>
      <c r="J200" s="1804"/>
      <c r="K200" s="2031"/>
      <c r="L200" s="1804"/>
      <c r="M200" s="1804"/>
      <c r="S200" s="730"/>
    </row>
    <row r="201" spans="1:19" ht="13.2" customHeight="1">
      <c r="C201" s="2036"/>
      <c r="F201" s="1804"/>
      <c r="G201" s="1804"/>
      <c r="H201" s="1804"/>
      <c r="I201" s="1804"/>
      <c r="J201" s="1804"/>
      <c r="K201" s="2031"/>
      <c r="L201" s="1804"/>
      <c r="M201" s="1804"/>
      <c r="S201" s="730"/>
    </row>
    <row r="202" spans="1:19" ht="13.2" customHeight="1">
      <c r="C202" s="2036"/>
      <c r="F202" s="1804"/>
      <c r="G202" s="1804"/>
      <c r="H202" s="1804"/>
      <c r="I202" s="1804"/>
      <c r="J202" s="1804"/>
      <c r="K202" s="2031"/>
      <c r="L202" s="1804"/>
      <c r="M202" s="1804"/>
      <c r="S202" s="730"/>
    </row>
    <row r="203" spans="1:19" ht="13.2" customHeight="1">
      <c r="C203" s="2036"/>
      <c r="F203" s="1804"/>
      <c r="G203" s="1804"/>
      <c r="H203" s="1804"/>
      <c r="I203" s="1804"/>
      <c r="J203" s="1804"/>
      <c r="K203" s="2031"/>
      <c r="L203" s="1804"/>
      <c r="M203" s="1804"/>
      <c r="S203" s="730"/>
    </row>
    <row r="204" spans="1:19" ht="13.2" customHeight="1">
      <c r="C204" s="2036"/>
      <c r="F204" s="1804"/>
      <c r="G204" s="1804"/>
      <c r="H204" s="1804"/>
      <c r="I204" s="1804"/>
      <c r="J204" s="1804"/>
      <c r="K204" s="2031"/>
      <c r="L204" s="1804"/>
      <c r="M204" s="1804"/>
      <c r="S204" s="730"/>
    </row>
    <row r="205" spans="1:19" ht="13.2" customHeight="1">
      <c r="C205" s="2036"/>
      <c r="F205" s="1804"/>
      <c r="G205" s="1804"/>
      <c r="H205" s="1804"/>
      <c r="I205" s="1804"/>
      <c r="J205" s="1804"/>
      <c r="K205" s="2031"/>
      <c r="L205" s="1804"/>
      <c r="M205" s="1804"/>
      <c r="S205" s="730"/>
    </row>
    <row r="206" spans="1:19" ht="13.2" customHeight="1">
      <c r="C206" s="2036"/>
      <c r="F206" s="1804"/>
      <c r="G206" s="1804"/>
      <c r="H206" s="1804"/>
      <c r="I206" s="1804"/>
      <c r="J206" s="1804"/>
      <c r="K206" s="2031"/>
      <c r="L206" s="1804"/>
      <c r="M206" s="1804"/>
      <c r="S206" s="730"/>
    </row>
    <row r="207" spans="1:19" ht="13.2" customHeight="1">
      <c r="C207" s="2036"/>
      <c r="F207" s="1804"/>
      <c r="G207" s="1804"/>
      <c r="H207" s="1804"/>
      <c r="I207" s="1804"/>
      <c r="J207" s="1804"/>
      <c r="K207" s="2031"/>
      <c r="L207" s="1804"/>
      <c r="M207" s="1804"/>
      <c r="S207" s="730"/>
    </row>
    <row r="208" spans="1:19" ht="13.2" customHeight="1">
      <c r="C208" s="2036"/>
      <c r="F208" s="1804"/>
      <c r="G208" s="1804"/>
      <c r="H208" s="1804"/>
      <c r="I208" s="1804"/>
      <c r="J208" s="1804"/>
      <c r="K208" s="2031"/>
      <c r="L208" s="1804"/>
      <c r="M208" s="1804"/>
      <c r="S208" s="730"/>
    </row>
    <row r="209" spans="3:19" ht="13.2" customHeight="1">
      <c r="C209" s="2036"/>
      <c r="F209" s="1804"/>
      <c r="G209" s="1804"/>
      <c r="H209" s="1804"/>
      <c r="I209" s="1804"/>
      <c r="J209" s="1804"/>
      <c r="K209" s="2031"/>
      <c r="L209" s="1804"/>
      <c r="M209" s="1804"/>
      <c r="S209" s="730"/>
    </row>
    <row r="210" spans="3:19" ht="13.2" customHeight="1">
      <c r="C210" s="2036"/>
      <c r="F210" s="1804"/>
      <c r="G210" s="1804"/>
      <c r="H210" s="1804"/>
      <c r="I210" s="1804"/>
      <c r="J210" s="1804"/>
      <c r="K210" s="2031"/>
      <c r="L210" s="1804"/>
      <c r="M210" s="1804"/>
      <c r="S210" s="730"/>
    </row>
    <row r="211" spans="3:19" ht="13.2" customHeight="1">
      <c r="C211" s="2036"/>
      <c r="F211" s="1804"/>
      <c r="G211" s="1804"/>
      <c r="H211" s="1804"/>
      <c r="I211" s="1804"/>
      <c r="J211" s="1804"/>
      <c r="K211" s="2031"/>
      <c r="L211" s="1804"/>
      <c r="M211" s="1804"/>
      <c r="S211" s="730"/>
    </row>
    <row r="212" spans="3:19" ht="13.2" customHeight="1">
      <c r="C212" s="2036"/>
      <c r="F212" s="1804"/>
      <c r="G212" s="1804"/>
      <c r="H212" s="1804"/>
      <c r="I212" s="1804"/>
      <c r="J212" s="1804"/>
      <c r="K212" s="2031"/>
      <c r="L212" s="1804"/>
      <c r="M212" s="1804"/>
      <c r="S212" s="730"/>
    </row>
    <row r="213" spans="3:19" ht="13.2" customHeight="1">
      <c r="C213" s="2036"/>
      <c r="F213" s="1804"/>
      <c r="G213" s="1804"/>
      <c r="H213" s="1804"/>
      <c r="I213" s="1804"/>
      <c r="J213" s="1804"/>
      <c r="K213" s="2031"/>
      <c r="L213" s="1804"/>
      <c r="M213" s="1804"/>
      <c r="S213" s="730"/>
    </row>
    <row r="214" spans="3:19" ht="13.2" customHeight="1">
      <c r="C214" s="2036"/>
      <c r="F214" s="1804"/>
      <c r="G214" s="1804"/>
      <c r="H214" s="1804"/>
      <c r="I214" s="1804"/>
      <c r="J214" s="1804"/>
      <c r="K214" s="2031"/>
      <c r="L214" s="1804"/>
      <c r="M214" s="1804"/>
      <c r="S214" s="730"/>
    </row>
    <row r="215" spans="3:19" ht="13.2" customHeight="1">
      <c r="C215" s="2036"/>
      <c r="F215" s="1804"/>
      <c r="G215" s="1804"/>
      <c r="H215" s="1804"/>
      <c r="I215" s="1804"/>
      <c r="J215" s="1804"/>
      <c r="K215" s="2031"/>
      <c r="L215" s="1804"/>
      <c r="M215" s="1804"/>
      <c r="S215" s="730"/>
    </row>
    <row r="216" spans="3:19" ht="13.2" customHeight="1">
      <c r="C216" s="2036"/>
      <c r="F216" s="1804"/>
      <c r="G216" s="1804"/>
      <c r="H216" s="1804"/>
      <c r="I216" s="1804"/>
      <c r="J216" s="1804"/>
      <c r="K216" s="2031"/>
      <c r="L216" s="1804"/>
      <c r="M216" s="1804"/>
      <c r="S216" s="730"/>
    </row>
    <row r="217" spans="3:19" ht="13.2" customHeight="1">
      <c r="C217" s="2036"/>
      <c r="F217" s="1804"/>
      <c r="G217" s="1804"/>
      <c r="H217" s="1804"/>
      <c r="I217" s="1804"/>
      <c r="J217" s="1804"/>
      <c r="K217" s="2031"/>
      <c r="L217" s="1804"/>
      <c r="M217" s="1804"/>
      <c r="S217" s="730"/>
    </row>
    <row r="218" spans="3:19" ht="13.2" customHeight="1">
      <c r="C218" s="2036"/>
      <c r="F218" s="1804"/>
      <c r="G218" s="1804"/>
      <c r="H218" s="1804"/>
      <c r="I218" s="1804"/>
      <c r="J218" s="1804"/>
      <c r="K218" s="2031"/>
      <c r="L218" s="1804"/>
      <c r="M218" s="1804"/>
      <c r="S218" s="730"/>
    </row>
    <row r="219" spans="3:19" ht="13.2" customHeight="1">
      <c r="C219" s="2036"/>
      <c r="F219" s="1804"/>
      <c r="G219" s="1804"/>
      <c r="H219" s="1804"/>
      <c r="I219" s="1804"/>
      <c r="J219" s="1804"/>
      <c r="K219" s="2031"/>
      <c r="L219" s="1804"/>
      <c r="M219" s="1804"/>
      <c r="S219" s="730"/>
    </row>
    <row r="220" spans="3:19" ht="13.2" customHeight="1">
      <c r="C220" s="2036"/>
      <c r="F220" s="1804"/>
      <c r="G220" s="1804"/>
      <c r="H220" s="1804"/>
      <c r="I220" s="1804"/>
      <c r="J220" s="1804"/>
      <c r="K220" s="2031"/>
      <c r="L220" s="1804"/>
      <c r="M220" s="1804"/>
      <c r="S220" s="730"/>
    </row>
    <row r="221" spans="3:19" ht="13.2" customHeight="1">
      <c r="C221" s="2036"/>
      <c r="F221" s="1804"/>
      <c r="G221" s="1804"/>
      <c r="H221" s="1804"/>
      <c r="I221" s="1804"/>
      <c r="J221" s="1804"/>
      <c r="K221" s="2031"/>
      <c r="L221" s="1804"/>
      <c r="M221" s="1804"/>
      <c r="S221" s="730"/>
    </row>
    <row r="222" spans="3:19" ht="13.2" customHeight="1">
      <c r="C222" s="2036"/>
      <c r="F222" s="1804"/>
      <c r="G222" s="1804"/>
      <c r="H222" s="1804"/>
      <c r="I222" s="1804"/>
      <c r="J222" s="1804"/>
      <c r="K222" s="2031"/>
      <c r="L222" s="1804"/>
      <c r="M222" s="1804"/>
      <c r="S222" s="730"/>
    </row>
    <row r="223" spans="3:19" ht="13.2" customHeight="1">
      <c r="C223" s="2036"/>
      <c r="F223" s="1804"/>
      <c r="G223" s="1804"/>
      <c r="H223" s="1804"/>
      <c r="I223" s="1804"/>
      <c r="J223" s="1804"/>
      <c r="K223" s="2031"/>
      <c r="L223" s="1804"/>
      <c r="M223" s="1804"/>
      <c r="S223" s="730"/>
    </row>
    <row r="224" spans="3:19" ht="13.2" customHeight="1">
      <c r="C224" s="2036"/>
      <c r="F224" s="1804"/>
      <c r="G224" s="1804"/>
      <c r="H224" s="1804"/>
      <c r="I224" s="1804"/>
      <c r="J224" s="1804"/>
      <c r="K224" s="2031"/>
      <c r="L224" s="1804"/>
      <c r="M224" s="1804"/>
      <c r="S224" s="730"/>
    </row>
    <row r="225" spans="3:19" ht="13.2" customHeight="1">
      <c r="C225" s="2036"/>
      <c r="F225" s="1804"/>
      <c r="G225" s="1804"/>
      <c r="H225" s="1804"/>
      <c r="I225" s="1804"/>
      <c r="J225" s="1804"/>
      <c r="K225" s="2031"/>
      <c r="L225" s="1804"/>
      <c r="M225" s="1804"/>
      <c r="S225" s="730"/>
    </row>
    <row r="226" spans="3:19" ht="13.2" customHeight="1">
      <c r="C226" s="2036"/>
      <c r="F226" s="1804"/>
      <c r="G226" s="1804"/>
      <c r="H226" s="1804"/>
      <c r="I226" s="1804"/>
      <c r="J226" s="1804"/>
      <c r="K226" s="2031"/>
      <c r="L226" s="1804"/>
      <c r="M226" s="1804"/>
      <c r="S226" s="730"/>
    </row>
    <row r="227" spans="3:19" ht="13.2" customHeight="1">
      <c r="C227" s="2036"/>
      <c r="F227" s="1804"/>
      <c r="G227" s="1804"/>
      <c r="H227" s="1804"/>
      <c r="I227" s="1804"/>
      <c r="J227" s="1804"/>
      <c r="K227" s="2031"/>
      <c r="L227" s="1804"/>
      <c r="M227" s="1804"/>
      <c r="S227" s="730"/>
    </row>
    <row r="228" spans="3:19" ht="13.2" customHeight="1">
      <c r="C228" s="2036"/>
      <c r="F228" s="1804"/>
      <c r="G228" s="1804"/>
      <c r="H228" s="1804"/>
      <c r="I228" s="1804"/>
      <c r="J228" s="1804"/>
      <c r="K228" s="2031"/>
      <c r="L228" s="1804"/>
      <c r="M228" s="1804"/>
      <c r="S228" s="730"/>
    </row>
    <row r="229" spans="3:19" ht="13.2" customHeight="1">
      <c r="C229" s="2036"/>
      <c r="F229" s="1804"/>
      <c r="G229" s="1804"/>
      <c r="H229" s="1804"/>
      <c r="I229" s="1804"/>
      <c r="J229" s="1804"/>
      <c r="K229" s="2031"/>
      <c r="L229" s="1804"/>
      <c r="M229" s="1804"/>
      <c r="S229" s="730"/>
    </row>
    <row r="230" spans="3:19" ht="13.2" customHeight="1">
      <c r="C230" s="2036"/>
      <c r="F230" s="1804"/>
      <c r="G230" s="1804"/>
      <c r="H230" s="1804"/>
      <c r="I230" s="1804"/>
      <c r="J230" s="1804"/>
      <c r="K230" s="2031"/>
      <c r="L230" s="1804"/>
      <c r="M230" s="1804"/>
      <c r="S230" s="730"/>
    </row>
    <row r="231" spans="3:19" ht="13.2" customHeight="1">
      <c r="C231" s="2036"/>
      <c r="F231" s="1804"/>
      <c r="G231" s="1804"/>
      <c r="H231" s="1804"/>
      <c r="I231" s="1804"/>
      <c r="J231" s="1804"/>
      <c r="K231" s="2031"/>
      <c r="L231" s="1804"/>
      <c r="M231" s="1804"/>
      <c r="S231" s="730"/>
    </row>
    <row r="232" spans="3:19" ht="13.2" customHeight="1">
      <c r="C232" s="2036"/>
      <c r="F232" s="1804"/>
      <c r="G232" s="1804"/>
      <c r="H232" s="1804"/>
      <c r="I232" s="1804"/>
      <c r="J232" s="1804"/>
      <c r="K232" s="2031"/>
      <c r="L232" s="1804"/>
      <c r="M232" s="1804"/>
      <c r="S232" s="730"/>
    </row>
    <row r="233" spans="3:19" ht="13.2" customHeight="1">
      <c r="C233" s="2036"/>
      <c r="F233" s="1804"/>
      <c r="G233" s="1804"/>
      <c r="H233" s="1804"/>
      <c r="I233" s="1804"/>
      <c r="J233" s="1804"/>
      <c r="K233" s="2031"/>
      <c r="L233" s="1804"/>
      <c r="M233" s="1804"/>
      <c r="S233" s="730"/>
    </row>
    <row r="234" spans="3:19" ht="13.2" customHeight="1">
      <c r="C234" s="2036"/>
      <c r="F234" s="1804"/>
      <c r="G234" s="1804"/>
      <c r="H234" s="1804"/>
      <c r="I234" s="1804"/>
      <c r="J234" s="1804"/>
      <c r="K234" s="2031"/>
      <c r="L234" s="1804"/>
      <c r="M234" s="1804"/>
      <c r="S234" s="730"/>
    </row>
    <row r="235" spans="3:19" ht="13.2" customHeight="1">
      <c r="C235" s="2036"/>
      <c r="F235" s="1804"/>
      <c r="G235" s="1804"/>
      <c r="H235" s="1804"/>
      <c r="I235" s="1804"/>
      <c r="J235" s="1804"/>
      <c r="K235" s="2031"/>
      <c r="L235" s="1804"/>
      <c r="M235" s="1804"/>
      <c r="S235" s="730"/>
    </row>
    <row r="236" spans="3:19" ht="13.2" customHeight="1">
      <c r="C236" s="2036"/>
      <c r="F236" s="1804"/>
      <c r="G236" s="1804"/>
      <c r="H236" s="1804"/>
      <c r="I236" s="1804"/>
      <c r="J236" s="1804"/>
      <c r="K236" s="2031"/>
      <c r="L236" s="1804"/>
      <c r="M236" s="1804"/>
      <c r="S236" s="730"/>
    </row>
    <row r="237" spans="3:19" ht="13.2" customHeight="1">
      <c r="C237" s="2036"/>
      <c r="F237" s="1804"/>
      <c r="G237" s="1804"/>
      <c r="H237" s="1804"/>
      <c r="I237" s="1804"/>
      <c r="J237" s="1804"/>
      <c r="K237" s="2031"/>
      <c r="L237" s="1804"/>
      <c r="M237" s="1804"/>
      <c r="S237" s="730"/>
    </row>
    <row r="238" spans="3:19" ht="13.2" customHeight="1">
      <c r="C238" s="2036"/>
      <c r="F238" s="1804"/>
      <c r="G238" s="1804"/>
      <c r="H238" s="1804"/>
      <c r="I238" s="1804"/>
      <c r="J238" s="1804"/>
      <c r="K238" s="2031"/>
      <c r="L238" s="1804"/>
      <c r="M238" s="1804"/>
      <c r="S238" s="730"/>
    </row>
    <row r="239" spans="3:19" ht="13.2" customHeight="1">
      <c r="C239" s="2036"/>
      <c r="F239" s="1804"/>
      <c r="G239" s="1804"/>
      <c r="H239" s="1804"/>
      <c r="I239" s="1804"/>
      <c r="J239" s="1804"/>
      <c r="K239" s="2031"/>
      <c r="L239" s="1804"/>
      <c r="M239" s="1804"/>
      <c r="S239" s="730"/>
    </row>
    <row r="240" spans="3:19" ht="13.2" customHeight="1">
      <c r="C240" s="2036"/>
      <c r="F240" s="1804"/>
      <c r="G240" s="1804"/>
      <c r="H240" s="1804"/>
      <c r="I240" s="1804"/>
      <c r="J240" s="1804"/>
      <c r="K240" s="2031"/>
      <c r="L240" s="1804"/>
      <c r="M240" s="1804"/>
      <c r="S240" s="730"/>
    </row>
    <row r="241" spans="3:19" ht="13.2" customHeight="1">
      <c r="C241" s="2036"/>
      <c r="F241" s="1804"/>
      <c r="G241" s="1804"/>
      <c r="H241" s="1804"/>
      <c r="I241" s="1804"/>
      <c r="J241" s="1804"/>
      <c r="K241" s="2031"/>
      <c r="L241" s="1804"/>
      <c r="M241" s="1804"/>
      <c r="S241" s="730"/>
    </row>
    <row r="242" spans="3:19" ht="13.2" customHeight="1">
      <c r="C242" s="2036"/>
      <c r="F242" s="1804"/>
      <c r="G242" s="1804"/>
      <c r="H242" s="1804"/>
      <c r="I242" s="1804"/>
      <c r="J242" s="1804"/>
      <c r="K242" s="2031"/>
      <c r="L242" s="1804"/>
      <c r="M242" s="1804"/>
      <c r="S242" s="730"/>
    </row>
    <row r="243" spans="3:19" ht="13.2" customHeight="1">
      <c r="C243" s="2036"/>
      <c r="F243" s="1804"/>
      <c r="G243" s="1804"/>
      <c r="H243" s="1804"/>
      <c r="I243" s="1804"/>
      <c r="J243" s="1804"/>
      <c r="K243" s="2031"/>
      <c r="L243" s="1804"/>
      <c r="M243" s="1804"/>
      <c r="S243" s="730"/>
    </row>
    <row r="244" spans="3:19" ht="13.2" customHeight="1">
      <c r="C244" s="2036"/>
      <c r="F244" s="1804"/>
      <c r="G244" s="1804"/>
      <c r="H244" s="1804"/>
      <c r="I244" s="1804"/>
      <c r="J244" s="1804"/>
      <c r="K244" s="2031"/>
      <c r="L244" s="1804"/>
      <c r="M244" s="1804"/>
      <c r="S244" s="730"/>
    </row>
    <row r="245" spans="3:19" ht="13.2" customHeight="1">
      <c r="C245" s="2036"/>
      <c r="F245" s="1804"/>
      <c r="G245" s="1804"/>
      <c r="H245" s="1804"/>
      <c r="I245" s="1804"/>
      <c r="J245" s="1804"/>
      <c r="K245" s="2031"/>
      <c r="L245" s="1804"/>
      <c r="M245" s="1804"/>
      <c r="S245" s="730"/>
    </row>
    <row r="246" spans="3:19" ht="13.2" customHeight="1">
      <c r="C246" s="2036"/>
      <c r="F246" s="1804"/>
      <c r="G246" s="1804"/>
      <c r="H246" s="1804"/>
      <c r="I246" s="1804"/>
      <c r="J246" s="1804"/>
      <c r="K246" s="2031"/>
      <c r="L246" s="1804"/>
      <c r="M246" s="1804"/>
      <c r="S246" s="730"/>
    </row>
    <row r="247" spans="3:19" ht="13.2" customHeight="1">
      <c r="C247" s="2036"/>
      <c r="F247" s="1804"/>
      <c r="G247" s="1804"/>
      <c r="H247" s="1804"/>
      <c r="I247" s="1804"/>
      <c r="J247" s="1804"/>
      <c r="K247" s="2031"/>
      <c r="L247" s="1804"/>
      <c r="M247" s="1804"/>
      <c r="S247" s="730"/>
    </row>
    <row r="248" spans="3:19" ht="13.2" customHeight="1">
      <c r="C248" s="2036"/>
      <c r="F248" s="1804"/>
      <c r="G248" s="1804"/>
      <c r="H248" s="1804"/>
      <c r="I248" s="1804"/>
      <c r="J248" s="1804"/>
      <c r="K248" s="2031"/>
      <c r="L248" s="1804"/>
      <c r="M248" s="1804"/>
      <c r="S248" s="730"/>
    </row>
    <row r="249" spans="3:19" ht="13.2" customHeight="1">
      <c r="C249" s="2036"/>
      <c r="F249" s="1804"/>
      <c r="G249" s="1804"/>
      <c r="H249" s="1804"/>
      <c r="I249" s="1804"/>
      <c r="J249" s="1804"/>
      <c r="K249" s="2031"/>
      <c r="L249" s="1804"/>
      <c r="M249" s="1804"/>
      <c r="S249" s="730"/>
    </row>
    <row r="250" spans="3:19" ht="13.2" customHeight="1">
      <c r="C250" s="2036"/>
      <c r="F250" s="1804"/>
      <c r="G250" s="1804"/>
      <c r="H250" s="1804"/>
      <c r="I250" s="1804"/>
      <c r="J250" s="1804"/>
      <c r="K250" s="2031"/>
      <c r="L250" s="1804"/>
      <c r="M250" s="1804"/>
      <c r="S250" s="730"/>
    </row>
    <row r="251" spans="3:19" ht="13.2" customHeight="1">
      <c r="C251" s="2036"/>
      <c r="F251" s="1804"/>
      <c r="G251" s="1804"/>
      <c r="H251" s="1804"/>
      <c r="I251" s="1804"/>
      <c r="J251" s="1804"/>
      <c r="K251" s="2031"/>
      <c r="L251" s="1804"/>
      <c r="M251" s="1804"/>
      <c r="S251" s="730"/>
    </row>
    <row r="252" spans="3:19" ht="13.2" customHeight="1">
      <c r="C252" s="2036"/>
      <c r="F252" s="1804"/>
      <c r="G252" s="1804"/>
      <c r="H252" s="1804"/>
      <c r="I252" s="1804"/>
      <c r="J252" s="1804"/>
      <c r="K252" s="2031"/>
      <c r="L252" s="1804"/>
      <c r="M252" s="1804"/>
      <c r="S252" s="730"/>
    </row>
    <row r="253" spans="3:19" ht="13.2" customHeight="1">
      <c r="C253" s="2036"/>
      <c r="F253" s="1804"/>
      <c r="G253" s="1804"/>
      <c r="H253" s="1804"/>
      <c r="I253" s="1804"/>
      <c r="J253" s="1804"/>
      <c r="K253" s="2031"/>
      <c r="L253" s="1804"/>
      <c r="M253" s="1804"/>
      <c r="S253" s="730"/>
    </row>
    <row r="254" spans="3:19" ht="13.2" customHeight="1">
      <c r="C254" s="2036"/>
      <c r="F254" s="1804"/>
      <c r="G254" s="1804"/>
      <c r="H254" s="1804"/>
      <c r="I254" s="1804"/>
      <c r="J254" s="1804"/>
      <c r="K254" s="2031"/>
      <c r="L254" s="1804"/>
      <c r="M254" s="1804"/>
      <c r="S254" s="730"/>
    </row>
    <row r="255" spans="3:19" ht="13.2" customHeight="1">
      <c r="C255" s="2036"/>
      <c r="F255" s="1804"/>
      <c r="G255" s="1804"/>
      <c r="H255" s="1804"/>
      <c r="I255" s="1804"/>
      <c r="J255" s="1804"/>
      <c r="K255" s="2031"/>
      <c r="L255" s="1804"/>
      <c r="M255" s="1804"/>
      <c r="S255" s="730"/>
    </row>
    <row r="256" spans="3:19" ht="13.2" customHeight="1">
      <c r="C256" s="2036"/>
      <c r="F256" s="1804"/>
      <c r="G256" s="1804"/>
      <c r="H256" s="1804"/>
      <c r="I256" s="1804"/>
      <c r="J256" s="1804"/>
      <c r="K256" s="2031"/>
      <c r="L256" s="1804"/>
      <c r="M256" s="1804"/>
      <c r="S256" s="730"/>
    </row>
    <row r="257" spans="3:19" ht="13.2" customHeight="1">
      <c r="C257" s="2036"/>
      <c r="F257" s="1804"/>
      <c r="G257" s="1804"/>
      <c r="H257" s="1804"/>
      <c r="I257" s="1804"/>
      <c r="J257" s="1804"/>
      <c r="K257" s="2031"/>
      <c r="L257" s="1804"/>
      <c r="M257" s="1804"/>
      <c r="S257" s="730"/>
    </row>
    <row r="258" spans="3:19" ht="13.2" customHeight="1">
      <c r="C258" s="2036" t="s">
        <v>238</v>
      </c>
      <c r="F258" s="1804"/>
      <c r="G258" s="1804"/>
      <c r="H258" s="1804"/>
      <c r="I258" s="1804"/>
      <c r="J258" s="1804"/>
      <c r="K258" s="2031"/>
      <c r="L258" s="1804"/>
      <c r="M258" s="1804"/>
      <c r="S258" s="730"/>
    </row>
    <row r="259" spans="3:19" ht="13.2" customHeight="1">
      <c r="C259" s="2036"/>
      <c r="F259" s="1804"/>
      <c r="G259" s="1804"/>
      <c r="H259" s="1804"/>
      <c r="I259" s="1804"/>
      <c r="J259" s="1804"/>
      <c r="K259" s="2031"/>
      <c r="L259" s="1804"/>
      <c r="M259" s="1804"/>
      <c r="S259" s="730"/>
    </row>
    <row r="260" spans="3:19" ht="13.2" customHeight="1">
      <c r="C260" s="2036"/>
      <c r="F260" s="1804"/>
      <c r="G260" s="1804"/>
      <c r="H260" s="1804"/>
      <c r="I260" s="1804"/>
      <c r="J260" s="1804"/>
      <c r="K260" s="2031"/>
      <c r="L260" s="1804"/>
      <c r="M260" s="1804"/>
      <c r="S260" s="730"/>
    </row>
    <row r="261" spans="3:19" ht="13.2" customHeight="1">
      <c r="C261" s="2036"/>
      <c r="F261" s="1804"/>
      <c r="G261" s="1804"/>
      <c r="H261" s="1804"/>
      <c r="I261" s="1804"/>
      <c r="J261" s="1804"/>
      <c r="K261" s="2031"/>
      <c r="L261" s="1804"/>
      <c r="M261" s="1804"/>
      <c r="S261" s="730"/>
    </row>
    <row r="262" spans="3:19" ht="13.2" customHeight="1">
      <c r="C262" s="2036"/>
      <c r="F262" s="1804"/>
      <c r="G262" s="1804"/>
      <c r="H262" s="1804"/>
      <c r="I262" s="1804"/>
      <c r="J262" s="1804"/>
      <c r="K262" s="2031"/>
      <c r="L262" s="1804"/>
      <c r="M262" s="1804"/>
      <c r="S262" s="730"/>
    </row>
    <row r="263" spans="3:19" ht="13.2" customHeight="1">
      <c r="C263" s="2036"/>
      <c r="F263" s="1804"/>
      <c r="G263" s="1804"/>
      <c r="H263" s="1804"/>
      <c r="I263" s="1804"/>
      <c r="J263" s="1804"/>
      <c r="K263" s="2031"/>
      <c r="L263" s="1804"/>
      <c r="M263" s="1804"/>
      <c r="S263" s="730"/>
    </row>
    <row r="264" spans="3:19" ht="13.2" customHeight="1">
      <c r="C264" s="2036"/>
      <c r="F264" s="1804"/>
      <c r="G264" s="1804"/>
      <c r="H264" s="1804"/>
      <c r="I264" s="1804"/>
      <c r="J264" s="1804"/>
      <c r="K264" s="2031"/>
      <c r="L264" s="1804"/>
      <c r="M264" s="1804"/>
      <c r="S264" s="730"/>
    </row>
    <row r="265" spans="3:19" ht="13.2" customHeight="1">
      <c r="C265" s="2036"/>
      <c r="F265" s="1804"/>
      <c r="G265" s="1804"/>
      <c r="H265" s="1804"/>
      <c r="I265" s="1804"/>
      <c r="J265" s="1804"/>
      <c r="K265" s="2031"/>
      <c r="L265" s="1804"/>
      <c r="M265" s="1804"/>
      <c r="S265" s="730"/>
    </row>
    <row r="266" spans="3:19" ht="13.2" customHeight="1">
      <c r="C266" s="2036"/>
      <c r="F266" s="1804"/>
      <c r="G266" s="1804"/>
      <c r="H266" s="1804"/>
      <c r="I266" s="1804"/>
      <c r="J266" s="1804"/>
      <c r="K266" s="2031"/>
      <c r="L266" s="1804"/>
      <c r="M266" s="1804"/>
      <c r="S266" s="730"/>
    </row>
    <row r="267" spans="3:19" ht="13.2" customHeight="1">
      <c r="C267" s="2036"/>
      <c r="F267" s="1804"/>
      <c r="G267" s="1804"/>
      <c r="H267" s="1804"/>
      <c r="I267" s="1804"/>
      <c r="J267" s="1804"/>
      <c r="K267" s="2031"/>
      <c r="L267" s="1804"/>
      <c r="M267" s="1804"/>
      <c r="S267" s="730"/>
    </row>
    <row r="268" spans="3:19" ht="13.2" customHeight="1">
      <c r="C268" s="2036"/>
      <c r="F268" s="1804"/>
      <c r="G268" s="1804"/>
      <c r="H268" s="1804"/>
      <c r="I268" s="1804"/>
      <c r="J268" s="1804"/>
      <c r="K268" s="2031"/>
      <c r="L268" s="1804"/>
      <c r="M268" s="1804"/>
      <c r="S268" s="730"/>
    </row>
    <row r="269" spans="3:19" ht="13.2" customHeight="1">
      <c r="C269" s="2036"/>
      <c r="F269" s="1804"/>
      <c r="G269" s="1804"/>
      <c r="H269" s="1804"/>
      <c r="I269" s="1804"/>
      <c r="J269" s="1804"/>
      <c r="K269" s="2031"/>
      <c r="L269" s="1804"/>
      <c r="M269" s="1804"/>
      <c r="S269" s="730"/>
    </row>
    <row r="270" spans="3:19" ht="13.2" customHeight="1">
      <c r="C270" s="2036"/>
      <c r="F270" s="1804"/>
      <c r="G270" s="1804"/>
      <c r="H270" s="1804"/>
      <c r="I270" s="1804"/>
      <c r="J270" s="1804"/>
      <c r="K270" s="2031"/>
      <c r="L270" s="1804"/>
      <c r="M270" s="1804"/>
      <c r="S270" s="730"/>
    </row>
    <row r="271" spans="3:19" ht="13.2" customHeight="1">
      <c r="C271" s="2036"/>
      <c r="F271" s="1804"/>
      <c r="G271" s="1804"/>
      <c r="H271" s="1804"/>
      <c r="I271" s="1804"/>
      <c r="J271" s="1804"/>
      <c r="K271" s="2031"/>
      <c r="L271" s="1804"/>
      <c r="M271" s="1804"/>
      <c r="S271" s="730"/>
    </row>
    <row r="272" spans="3:19" ht="13.2" customHeight="1">
      <c r="C272" s="2036"/>
      <c r="F272" s="1804"/>
      <c r="G272" s="1804"/>
      <c r="H272" s="1804"/>
      <c r="I272" s="1804"/>
      <c r="J272" s="1804"/>
      <c r="K272" s="2031"/>
      <c r="L272" s="1804"/>
      <c r="M272" s="1804"/>
      <c r="S272" s="730"/>
    </row>
    <row r="273" spans="3:19" ht="13.2" customHeight="1">
      <c r="C273" s="2036"/>
      <c r="F273" s="1804"/>
      <c r="G273" s="1804"/>
      <c r="H273" s="1804"/>
      <c r="I273" s="1804"/>
      <c r="J273" s="1804"/>
      <c r="K273" s="2031"/>
      <c r="L273" s="1804"/>
      <c r="M273" s="1804"/>
      <c r="S273" s="730"/>
    </row>
    <row r="274" spans="3:19" ht="13.2" customHeight="1">
      <c r="C274" s="2036"/>
      <c r="F274" s="1804"/>
      <c r="G274" s="1804"/>
      <c r="H274" s="1804"/>
      <c r="I274" s="1804"/>
      <c r="J274" s="1804"/>
      <c r="K274" s="2031"/>
      <c r="L274" s="1804"/>
      <c r="M274" s="1804"/>
      <c r="S274" s="730"/>
    </row>
    <row r="275" spans="3:19" ht="13.2" customHeight="1">
      <c r="C275" s="2036"/>
      <c r="F275" s="1804"/>
      <c r="G275" s="1804"/>
      <c r="H275" s="1804"/>
      <c r="I275" s="1804"/>
      <c r="J275" s="1804"/>
      <c r="K275" s="2031"/>
      <c r="L275" s="1804"/>
      <c r="M275" s="1804"/>
      <c r="S275" s="730"/>
    </row>
    <row r="276" spans="3:19" ht="13.2" customHeight="1">
      <c r="C276" s="2036"/>
      <c r="F276" s="1804"/>
      <c r="G276" s="1804"/>
      <c r="H276" s="1804"/>
      <c r="I276" s="1804"/>
      <c r="J276" s="1804"/>
      <c r="K276" s="2031"/>
      <c r="L276" s="1804"/>
      <c r="M276" s="1804"/>
      <c r="S276" s="730"/>
    </row>
    <row r="277" spans="3:19" ht="13.2" customHeight="1">
      <c r="C277" s="2036"/>
      <c r="F277" s="1804"/>
      <c r="G277" s="1804"/>
      <c r="H277" s="1804"/>
      <c r="I277" s="1804"/>
      <c r="J277" s="1804"/>
      <c r="K277" s="2031"/>
      <c r="L277" s="1804"/>
      <c r="M277" s="1804"/>
      <c r="S277" s="730"/>
    </row>
    <row r="278" spans="3:19" ht="13.2" customHeight="1">
      <c r="C278" s="2036"/>
      <c r="F278" s="1804"/>
      <c r="G278" s="1804"/>
      <c r="H278" s="1804"/>
      <c r="I278" s="1804"/>
      <c r="J278" s="1804"/>
      <c r="K278" s="2031"/>
      <c r="L278" s="1804"/>
      <c r="M278" s="1804"/>
      <c r="S278" s="730"/>
    </row>
    <row r="279" spans="3:19" ht="13.2" customHeight="1">
      <c r="C279" s="2036"/>
      <c r="F279" s="1804"/>
      <c r="G279" s="1804"/>
      <c r="H279" s="1804"/>
      <c r="I279" s="1804"/>
      <c r="J279" s="1804"/>
      <c r="K279" s="2031"/>
      <c r="L279" s="1804"/>
      <c r="M279" s="1804"/>
      <c r="S279" s="730"/>
    </row>
    <row r="280" spans="3:19" ht="13.2" customHeight="1">
      <c r="C280" s="2036"/>
      <c r="F280" s="1804"/>
      <c r="G280" s="1804"/>
      <c r="H280" s="1804"/>
      <c r="I280" s="1804"/>
      <c r="J280" s="1804"/>
      <c r="K280" s="2031"/>
      <c r="L280" s="1804"/>
      <c r="M280" s="1804"/>
      <c r="S280" s="730"/>
    </row>
    <row r="281" spans="3:19" ht="13.2" customHeight="1">
      <c r="C281" s="2036"/>
      <c r="F281" s="1804"/>
      <c r="G281" s="1804"/>
      <c r="H281" s="1804"/>
      <c r="I281" s="1804"/>
      <c r="J281" s="1804"/>
      <c r="K281" s="2031"/>
      <c r="L281" s="1804"/>
      <c r="M281" s="1804"/>
      <c r="S281" s="730"/>
    </row>
    <row r="282" spans="3:19" ht="13.2" customHeight="1">
      <c r="C282" s="2036"/>
      <c r="F282" s="1804"/>
      <c r="G282" s="1804"/>
      <c r="H282" s="1804"/>
      <c r="I282" s="1804"/>
      <c r="J282" s="1804"/>
      <c r="K282" s="2031"/>
      <c r="L282" s="1804"/>
      <c r="M282" s="1804"/>
      <c r="S282" s="730"/>
    </row>
    <row r="283" spans="3:19" ht="13.2" customHeight="1">
      <c r="C283" s="2036"/>
      <c r="F283" s="1804"/>
      <c r="G283" s="1804"/>
      <c r="H283" s="1804"/>
      <c r="I283" s="1804"/>
      <c r="J283" s="1804"/>
      <c r="K283" s="2031"/>
      <c r="L283" s="1804"/>
      <c r="M283" s="1804"/>
      <c r="S283" s="730"/>
    </row>
    <row r="284" spans="3:19" ht="13.2" customHeight="1">
      <c r="C284" s="2036"/>
      <c r="F284" s="1804"/>
      <c r="G284" s="1804"/>
      <c r="H284" s="1804"/>
      <c r="I284" s="1804"/>
      <c r="J284" s="1804"/>
      <c r="K284" s="2031"/>
      <c r="L284" s="1804"/>
      <c r="M284" s="1804"/>
      <c r="S284" s="730"/>
    </row>
    <row r="285" spans="3:19" ht="13.2" customHeight="1">
      <c r="C285" s="2036"/>
      <c r="F285" s="1804"/>
      <c r="G285" s="1804"/>
      <c r="H285" s="1804"/>
      <c r="I285" s="1804"/>
      <c r="J285" s="1804"/>
      <c r="K285" s="2031"/>
      <c r="L285" s="1804"/>
      <c r="M285" s="1804"/>
      <c r="S285" s="730"/>
    </row>
    <row r="286" spans="3:19" ht="13.2" customHeight="1">
      <c r="C286" s="2036"/>
      <c r="F286" s="1804"/>
      <c r="G286" s="1804"/>
      <c r="H286" s="1804"/>
      <c r="I286" s="1804"/>
      <c r="J286" s="1804"/>
      <c r="K286" s="2031"/>
      <c r="L286" s="1804"/>
      <c r="M286" s="1804"/>
      <c r="S286" s="730"/>
    </row>
    <row r="287" spans="3:19" ht="13.2" customHeight="1">
      <c r="C287" s="2036"/>
      <c r="F287" s="1804"/>
      <c r="G287" s="1804"/>
      <c r="H287" s="1804"/>
      <c r="I287" s="1804"/>
      <c r="J287" s="1804"/>
      <c r="K287" s="2031"/>
      <c r="L287" s="1804"/>
      <c r="M287" s="1804"/>
      <c r="S287" s="730"/>
    </row>
    <row r="288" spans="3:19" ht="13.2" customHeight="1">
      <c r="C288" s="2036"/>
      <c r="F288" s="1804"/>
      <c r="G288" s="1804"/>
      <c r="H288" s="1804"/>
      <c r="I288" s="1804"/>
      <c r="J288" s="1804"/>
      <c r="K288" s="2031"/>
      <c r="L288" s="1804"/>
      <c r="M288" s="1804"/>
      <c r="S288" s="730"/>
    </row>
    <row r="289" spans="3:19" ht="13.2" customHeight="1">
      <c r="C289" s="2036"/>
      <c r="F289" s="1804"/>
      <c r="G289" s="1804"/>
      <c r="H289" s="1804"/>
      <c r="I289" s="1804"/>
      <c r="J289" s="1804"/>
      <c r="K289" s="2031"/>
      <c r="L289" s="1804"/>
      <c r="M289" s="1804"/>
      <c r="S289" s="730"/>
    </row>
    <row r="290" spans="3:19" ht="13.2" customHeight="1">
      <c r="C290" s="2036"/>
      <c r="F290" s="1804"/>
      <c r="G290" s="1804"/>
      <c r="H290" s="1804"/>
      <c r="I290" s="1804"/>
      <c r="J290" s="1804"/>
      <c r="K290" s="2031"/>
      <c r="L290" s="1804"/>
      <c r="M290" s="1804"/>
      <c r="S290" s="730"/>
    </row>
    <row r="291" spans="3:19" ht="13.2" customHeight="1">
      <c r="C291" s="2036"/>
      <c r="F291" s="1804"/>
      <c r="G291" s="1804"/>
      <c r="H291" s="1804"/>
      <c r="I291" s="1804"/>
      <c r="J291" s="1804"/>
      <c r="K291" s="2031"/>
      <c r="L291" s="1804"/>
      <c r="M291" s="1804"/>
      <c r="S291" s="730"/>
    </row>
    <row r="292" spans="3:19" ht="13.2" customHeight="1">
      <c r="C292" s="2036"/>
      <c r="F292" s="1804"/>
      <c r="G292" s="1804"/>
      <c r="H292" s="1804"/>
      <c r="I292" s="1804"/>
      <c r="J292" s="1804"/>
      <c r="K292" s="2031"/>
      <c r="L292" s="1804"/>
      <c r="M292" s="1804"/>
      <c r="S292" s="730"/>
    </row>
    <row r="293" spans="3:19" ht="13.2" customHeight="1">
      <c r="C293" s="2036"/>
      <c r="F293" s="1804"/>
      <c r="G293" s="1804"/>
      <c r="H293" s="1804"/>
      <c r="I293" s="1804"/>
      <c r="J293" s="1804"/>
      <c r="K293" s="2031"/>
      <c r="L293" s="1804"/>
      <c r="M293" s="1804"/>
      <c r="S293" s="730"/>
    </row>
    <row r="294" spans="3:19" ht="13.2" customHeight="1">
      <c r="C294" s="2036"/>
      <c r="F294" s="1804"/>
      <c r="G294" s="1804"/>
      <c r="H294" s="1804"/>
      <c r="I294" s="1804"/>
      <c r="J294" s="1804"/>
      <c r="K294" s="2031"/>
      <c r="L294" s="1804"/>
      <c r="M294" s="1804"/>
      <c r="S294" s="730"/>
    </row>
    <row r="295" spans="3:19" ht="13.2" customHeight="1">
      <c r="C295" s="2036"/>
      <c r="F295" s="1804"/>
      <c r="G295" s="1804"/>
      <c r="H295" s="1804"/>
      <c r="I295" s="1804"/>
      <c r="J295" s="1804"/>
      <c r="K295" s="2031"/>
      <c r="L295" s="1804"/>
      <c r="M295" s="1804"/>
      <c r="S295" s="730"/>
    </row>
    <row r="296" spans="3:19" ht="13.2" customHeight="1">
      <c r="C296" s="2036"/>
      <c r="F296" s="1804"/>
      <c r="G296" s="1804"/>
      <c r="H296" s="1804"/>
      <c r="I296" s="1804"/>
      <c r="J296" s="1804"/>
      <c r="K296" s="2031"/>
      <c r="L296" s="1804"/>
      <c r="M296" s="1804"/>
      <c r="S296" s="730"/>
    </row>
    <row r="297" spans="3:19" ht="13.2" customHeight="1">
      <c r="C297" s="2036"/>
      <c r="F297" s="1804"/>
      <c r="G297" s="1804"/>
      <c r="H297" s="1804"/>
      <c r="I297" s="1804"/>
      <c r="J297" s="1804"/>
      <c r="K297" s="2031"/>
      <c r="L297" s="1804"/>
      <c r="M297" s="1804"/>
      <c r="S297" s="730"/>
    </row>
    <row r="298" spans="3:19" ht="13.2" customHeight="1">
      <c r="C298" s="2036"/>
      <c r="F298" s="1804"/>
      <c r="G298" s="1804"/>
      <c r="H298" s="1804"/>
      <c r="I298" s="1804"/>
      <c r="J298" s="1804"/>
      <c r="K298" s="2031"/>
      <c r="L298" s="1804"/>
      <c r="M298" s="1804"/>
      <c r="S298" s="730"/>
    </row>
    <row r="299" spans="3:19" ht="13.2" customHeight="1">
      <c r="C299" s="2036"/>
      <c r="F299" s="1804"/>
      <c r="G299" s="1804"/>
      <c r="H299" s="1804"/>
      <c r="I299" s="1804"/>
      <c r="J299" s="1804"/>
      <c r="K299" s="2031"/>
      <c r="L299" s="1804"/>
      <c r="M299" s="1804"/>
      <c r="S299" s="730"/>
    </row>
    <row r="300" spans="3:19" ht="13.2" customHeight="1">
      <c r="C300" s="2036"/>
      <c r="F300" s="1804"/>
      <c r="G300" s="1804"/>
      <c r="H300" s="1804"/>
      <c r="I300" s="1804"/>
      <c r="J300" s="1804"/>
      <c r="K300" s="2031"/>
      <c r="L300" s="1804"/>
      <c r="M300" s="1804"/>
      <c r="S300" s="730"/>
    </row>
    <row r="301" spans="3:19" ht="13.2" customHeight="1">
      <c r="C301" s="2036"/>
      <c r="F301" s="1804"/>
      <c r="G301" s="1804"/>
      <c r="H301" s="1804"/>
      <c r="I301" s="1804"/>
      <c r="J301" s="1804"/>
      <c r="K301" s="2031"/>
      <c r="L301" s="1804"/>
      <c r="M301" s="1804"/>
      <c r="S301" s="730"/>
    </row>
    <row r="302" spans="3:19" ht="13.2" customHeight="1">
      <c r="C302" s="2036"/>
      <c r="F302" s="1804"/>
      <c r="G302" s="1804"/>
      <c r="H302" s="1804"/>
      <c r="I302" s="1804"/>
      <c r="J302" s="1804"/>
      <c r="K302" s="2031"/>
      <c r="L302" s="1804"/>
      <c r="M302" s="1804"/>
      <c r="S302" s="730"/>
    </row>
    <row r="303" spans="3:19" ht="13.2" customHeight="1">
      <c r="C303" s="2036"/>
      <c r="F303" s="1804"/>
      <c r="G303" s="1804"/>
      <c r="H303" s="1804"/>
      <c r="I303" s="1804"/>
      <c r="J303" s="1804"/>
      <c r="K303" s="2031"/>
      <c r="L303" s="1804"/>
      <c r="M303" s="1804"/>
      <c r="S303" s="730"/>
    </row>
    <row r="304" spans="3:19" ht="13.2" customHeight="1">
      <c r="C304" s="2036"/>
      <c r="F304" s="1804"/>
      <c r="G304" s="1804"/>
      <c r="H304" s="1804"/>
      <c r="I304" s="1804"/>
      <c r="J304" s="1804"/>
      <c r="K304" s="2031"/>
      <c r="L304" s="1804"/>
      <c r="M304" s="1804"/>
      <c r="S304" s="730"/>
    </row>
    <row r="305" spans="3:19" ht="13.2" customHeight="1">
      <c r="C305" s="2036"/>
      <c r="F305" s="1804"/>
      <c r="G305" s="1804"/>
      <c r="H305" s="1804"/>
      <c r="I305" s="1804"/>
      <c r="J305" s="1804"/>
      <c r="K305" s="2031"/>
      <c r="L305" s="1804"/>
      <c r="M305" s="1804"/>
      <c r="S305" s="730"/>
    </row>
    <row r="306" spans="3:19" ht="13.2" customHeight="1">
      <c r="C306" s="2036"/>
      <c r="F306" s="1804"/>
      <c r="G306" s="1804"/>
      <c r="H306" s="1804"/>
      <c r="I306" s="1804"/>
      <c r="J306" s="1804"/>
      <c r="K306" s="2031"/>
      <c r="L306" s="1804"/>
      <c r="M306" s="1804"/>
      <c r="S306" s="730"/>
    </row>
    <row r="307" spans="3:19" ht="13.2" customHeight="1">
      <c r="C307" s="2036"/>
      <c r="F307" s="1804"/>
      <c r="G307" s="1804"/>
      <c r="H307" s="1804"/>
      <c r="I307" s="1804"/>
      <c r="J307" s="1804"/>
      <c r="K307" s="2031"/>
      <c r="L307" s="1804"/>
      <c r="M307" s="1804"/>
      <c r="S307" s="730"/>
    </row>
    <row r="308" spans="3:19" ht="13.2" customHeight="1">
      <c r="C308" s="2036"/>
      <c r="F308" s="1804"/>
      <c r="G308" s="1804"/>
      <c r="H308" s="1804"/>
      <c r="I308" s="1804"/>
      <c r="J308" s="1804"/>
      <c r="K308" s="2031"/>
      <c r="L308" s="1804"/>
      <c r="M308" s="1804"/>
      <c r="S308" s="730"/>
    </row>
    <row r="309" spans="3:19" ht="13.2" customHeight="1">
      <c r="C309" s="2036"/>
      <c r="F309" s="1804"/>
      <c r="G309" s="1804"/>
      <c r="H309" s="1804"/>
      <c r="I309" s="1804"/>
      <c r="J309" s="1804"/>
      <c r="K309" s="2031"/>
      <c r="L309" s="1804"/>
      <c r="M309" s="1804"/>
      <c r="S309" s="730"/>
    </row>
    <row r="310" spans="3:19" ht="13.2" customHeight="1">
      <c r="C310" s="2036"/>
      <c r="F310" s="1804"/>
      <c r="G310" s="1804"/>
      <c r="H310" s="1804"/>
      <c r="I310" s="1804"/>
      <c r="J310" s="1804"/>
      <c r="K310" s="2031"/>
      <c r="L310" s="1804"/>
      <c r="M310" s="1804"/>
      <c r="S310" s="730"/>
    </row>
    <row r="311" spans="3:19" ht="13.2" customHeight="1">
      <c r="C311" s="2036"/>
      <c r="F311" s="1804"/>
      <c r="G311" s="1804"/>
      <c r="H311" s="1804"/>
      <c r="I311" s="1804"/>
      <c r="J311" s="1804"/>
      <c r="K311" s="2031"/>
      <c r="L311" s="1804"/>
      <c r="M311" s="1804"/>
      <c r="S311" s="730"/>
    </row>
    <row r="312" spans="3:19" ht="13.2" customHeight="1">
      <c r="C312" s="2036"/>
      <c r="F312" s="1804"/>
      <c r="G312" s="1804"/>
      <c r="H312" s="1804"/>
      <c r="I312" s="1804"/>
      <c r="J312" s="1804"/>
      <c r="K312" s="2031"/>
      <c r="L312" s="1804"/>
      <c r="M312" s="1804"/>
      <c r="S312" s="730"/>
    </row>
    <row r="313" spans="3:19" ht="13.2" customHeight="1">
      <c r="C313" s="2036"/>
      <c r="F313" s="1804"/>
      <c r="G313" s="1804"/>
      <c r="H313" s="1804"/>
      <c r="I313" s="1804"/>
      <c r="J313" s="1804"/>
      <c r="K313" s="2031"/>
      <c r="L313" s="1804"/>
      <c r="M313" s="1804"/>
      <c r="S313" s="730"/>
    </row>
    <row r="314" spans="3:19" ht="13.2" customHeight="1">
      <c r="C314" s="2036"/>
      <c r="F314" s="1804"/>
      <c r="G314" s="1804"/>
      <c r="H314" s="1804"/>
      <c r="I314" s="1804"/>
      <c r="J314" s="1804"/>
      <c r="K314" s="2031"/>
      <c r="L314" s="1804"/>
      <c r="M314" s="1804"/>
      <c r="S314" s="730"/>
    </row>
    <row r="315" spans="3:19" ht="13.2" customHeight="1">
      <c r="C315" s="2036"/>
      <c r="F315" s="1804"/>
      <c r="G315" s="1804"/>
      <c r="H315" s="1804"/>
      <c r="I315" s="1804"/>
      <c r="J315" s="1804"/>
      <c r="K315" s="2031"/>
      <c r="L315" s="1804"/>
      <c r="M315" s="1804"/>
      <c r="S315" s="730"/>
    </row>
    <row r="316" spans="3:19" ht="13.2" customHeight="1">
      <c r="C316" s="2036"/>
      <c r="F316" s="1804"/>
      <c r="G316" s="1804"/>
      <c r="H316" s="1804"/>
      <c r="I316" s="1804"/>
      <c r="J316" s="1804"/>
      <c r="K316" s="2031"/>
      <c r="L316" s="1804"/>
      <c r="M316" s="1804"/>
      <c r="S316" s="730"/>
    </row>
    <row r="317" spans="3:19" ht="13.2" customHeight="1">
      <c r="C317" s="2036"/>
      <c r="F317" s="1804"/>
      <c r="G317" s="1804"/>
      <c r="H317" s="1804"/>
      <c r="I317" s="1804"/>
      <c r="J317" s="1804"/>
      <c r="K317" s="2031"/>
      <c r="L317" s="1804"/>
      <c r="M317" s="1804"/>
      <c r="S317" s="730"/>
    </row>
    <row r="318" spans="3:19" ht="13.2" customHeight="1">
      <c r="C318" s="2036"/>
      <c r="F318" s="1804"/>
      <c r="G318" s="1804"/>
      <c r="H318" s="1804"/>
      <c r="I318" s="1804"/>
      <c r="J318" s="1804"/>
      <c r="K318" s="2031"/>
      <c r="L318" s="1804"/>
      <c r="M318" s="1804"/>
      <c r="S318" s="730"/>
    </row>
    <row r="319" spans="3:19" ht="13.2" customHeight="1">
      <c r="C319" s="2036"/>
      <c r="F319" s="1804"/>
      <c r="G319" s="1804"/>
      <c r="H319" s="1804"/>
      <c r="I319" s="1804"/>
      <c r="J319" s="1804"/>
      <c r="K319" s="2031"/>
      <c r="L319" s="1804"/>
      <c r="M319" s="1804"/>
      <c r="S319" s="730"/>
    </row>
    <row r="320" spans="3:19" ht="13.2" customHeight="1">
      <c r="C320" s="2036"/>
      <c r="F320" s="1804"/>
      <c r="G320" s="1804"/>
      <c r="H320" s="1804"/>
      <c r="I320" s="1804"/>
      <c r="J320" s="1804"/>
      <c r="K320" s="2031"/>
      <c r="L320" s="1804"/>
      <c r="M320" s="1804"/>
      <c r="S320" s="730"/>
    </row>
    <row r="321" spans="3:19" ht="13.2" customHeight="1">
      <c r="C321" s="2036"/>
      <c r="F321" s="1804"/>
      <c r="G321" s="1804"/>
      <c r="H321" s="1804"/>
      <c r="I321" s="1804"/>
      <c r="J321" s="1804"/>
      <c r="K321" s="2031"/>
      <c r="L321" s="1804"/>
      <c r="M321" s="1804"/>
      <c r="S321" s="730"/>
    </row>
    <row r="322" spans="3:19" ht="13.2" customHeight="1">
      <c r="C322" s="2036"/>
      <c r="F322" s="1804"/>
      <c r="G322" s="1804"/>
      <c r="H322" s="1804"/>
      <c r="I322" s="1804"/>
      <c r="J322" s="1804"/>
      <c r="K322" s="2031"/>
      <c r="L322" s="1804"/>
      <c r="M322" s="1804"/>
      <c r="S322" s="730"/>
    </row>
    <row r="323" spans="3:19" ht="13.2" customHeight="1">
      <c r="C323" s="2036"/>
      <c r="F323" s="1804"/>
      <c r="G323" s="1804"/>
      <c r="H323" s="1804"/>
      <c r="I323" s="1804"/>
      <c r="J323" s="1804"/>
      <c r="K323" s="2031"/>
      <c r="L323" s="1804"/>
      <c r="M323" s="1804"/>
      <c r="S323" s="730"/>
    </row>
    <row r="324" spans="3:19" ht="13.2" customHeight="1">
      <c r="C324" s="2036"/>
      <c r="F324" s="1804"/>
      <c r="G324" s="1804"/>
      <c r="H324" s="1804"/>
      <c r="I324" s="1804"/>
      <c r="J324" s="1804"/>
      <c r="K324" s="2031"/>
      <c r="L324" s="1804"/>
      <c r="M324" s="1804"/>
      <c r="S324" s="730"/>
    </row>
    <row r="325" spans="3:19" ht="13.2" customHeight="1">
      <c r="C325" s="2036"/>
      <c r="F325" s="1804"/>
      <c r="G325" s="1804"/>
      <c r="H325" s="1804"/>
      <c r="I325" s="1804"/>
      <c r="J325" s="1804"/>
      <c r="K325" s="2031"/>
      <c r="L325" s="1804"/>
      <c r="M325" s="1804"/>
      <c r="S325" s="730"/>
    </row>
    <row r="326" spans="3:19" ht="13.2" customHeight="1">
      <c r="C326" s="2036"/>
      <c r="F326" s="1804"/>
      <c r="G326" s="1804"/>
      <c r="H326" s="1804"/>
      <c r="I326" s="1804"/>
      <c r="J326" s="1804"/>
      <c r="K326" s="2031"/>
      <c r="L326" s="1804"/>
      <c r="M326" s="1804"/>
      <c r="S326" s="730"/>
    </row>
    <row r="327" spans="3:19" ht="13.2" customHeight="1">
      <c r="C327" s="2036"/>
      <c r="F327" s="1804"/>
      <c r="G327" s="1804"/>
      <c r="H327" s="1804"/>
      <c r="I327" s="1804"/>
      <c r="J327" s="1804"/>
      <c r="K327" s="2031"/>
      <c r="L327" s="1804"/>
      <c r="M327" s="1804"/>
      <c r="S327" s="730"/>
    </row>
    <row r="328" spans="3:19" ht="13.2" customHeight="1">
      <c r="C328" s="2036"/>
      <c r="F328" s="1804"/>
      <c r="G328" s="1804"/>
      <c r="H328" s="1804"/>
      <c r="I328" s="1804"/>
      <c r="J328" s="1804"/>
      <c r="K328" s="2031"/>
      <c r="L328" s="1804"/>
      <c r="M328" s="1804"/>
      <c r="S328" s="730"/>
    </row>
    <row r="329" spans="3:19" ht="13.2" customHeight="1">
      <c r="C329" s="2036"/>
      <c r="F329" s="1804"/>
      <c r="G329" s="1804"/>
      <c r="H329" s="1804"/>
      <c r="I329" s="1804"/>
      <c r="J329" s="1804"/>
      <c r="K329" s="2031"/>
      <c r="L329" s="1804"/>
      <c r="M329" s="1804"/>
      <c r="S329" s="730"/>
    </row>
    <row r="330" spans="3:19" ht="13.2" customHeight="1">
      <c r="C330" s="2036"/>
      <c r="F330" s="1804"/>
      <c r="G330" s="1804"/>
      <c r="H330" s="1804"/>
      <c r="I330" s="1804"/>
      <c r="J330" s="1804"/>
      <c r="K330" s="2031"/>
      <c r="L330" s="1804"/>
      <c r="M330" s="1804"/>
      <c r="S330" s="730"/>
    </row>
    <row r="331" spans="3:19" ht="13.2" customHeight="1">
      <c r="C331" s="2036"/>
      <c r="F331" s="1804"/>
      <c r="G331" s="1804"/>
      <c r="H331" s="1804"/>
      <c r="I331" s="1804"/>
      <c r="J331" s="1804"/>
      <c r="K331" s="2031"/>
      <c r="L331" s="1804"/>
      <c r="M331" s="1804"/>
      <c r="S331" s="730"/>
    </row>
    <row r="332" spans="3:19" ht="13.2" customHeight="1">
      <c r="C332" s="2036"/>
      <c r="F332" s="1804"/>
      <c r="G332" s="1804"/>
      <c r="H332" s="1804"/>
      <c r="I332" s="1804"/>
      <c r="J332" s="1804"/>
      <c r="K332" s="2031"/>
      <c r="L332" s="1804"/>
      <c r="M332" s="1804"/>
      <c r="S332" s="730"/>
    </row>
    <row r="333" spans="3:19" ht="13.2" customHeight="1">
      <c r="C333" s="2036"/>
      <c r="F333" s="1804"/>
      <c r="G333" s="1804"/>
      <c r="H333" s="1804"/>
      <c r="I333" s="1804"/>
      <c r="J333" s="1804"/>
      <c r="K333" s="2031"/>
      <c r="L333" s="1804"/>
      <c r="M333" s="1804"/>
      <c r="S333" s="730"/>
    </row>
    <row r="334" spans="3:19" ht="13.2" customHeight="1">
      <c r="C334" s="2036"/>
      <c r="F334" s="1804"/>
      <c r="G334" s="1804"/>
      <c r="H334" s="1804"/>
      <c r="I334" s="1804"/>
      <c r="J334" s="1804"/>
      <c r="K334" s="2031"/>
      <c r="L334" s="1804"/>
      <c r="M334" s="1804"/>
      <c r="S334" s="730"/>
    </row>
    <row r="335" spans="3:19" ht="13.2" customHeight="1">
      <c r="C335" s="2036"/>
      <c r="F335" s="1804"/>
      <c r="G335" s="1804"/>
      <c r="H335" s="1804"/>
      <c r="I335" s="1804"/>
      <c r="J335" s="1804"/>
      <c r="K335" s="2031"/>
      <c r="L335" s="1804"/>
      <c r="M335" s="1804"/>
      <c r="S335" s="730"/>
    </row>
    <row r="336" spans="3:19" ht="13.2" customHeight="1">
      <c r="C336" s="2036"/>
      <c r="F336" s="1804"/>
      <c r="G336" s="1804"/>
      <c r="H336" s="1804"/>
      <c r="I336" s="1804"/>
      <c r="J336" s="1804"/>
      <c r="K336" s="2031"/>
      <c r="L336" s="1804"/>
      <c r="M336" s="1804"/>
      <c r="S336" s="730"/>
    </row>
    <row r="337" spans="3:19" ht="13.2" customHeight="1">
      <c r="C337" s="2036" t="s">
        <v>238</v>
      </c>
      <c r="F337" s="1804"/>
      <c r="G337" s="1804"/>
      <c r="H337" s="1804"/>
      <c r="I337" s="1804"/>
      <c r="J337" s="1804"/>
      <c r="K337" s="2031"/>
      <c r="L337" s="1804"/>
      <c r="M337" s="1804"/>
      <c r="S337" s="730"/>
    </row>
    <row r="338" spans="3:19" ht="13.2" customHeight="1">
      <c r="C338" s="2036"/>
      <c r="F338" s="1804"/>
      <c r="G338" s="1804"/>
      <c r="H338" s="1804"/>
      <c r="I338" s="1804"/>
      <c r="J338" s="1804"/>
      <c r="K338" s="2031"/>
      <c r="L338" s="1804"/>
      <c r="M338" s="1804"/>
      <c r="S338" s="730"/>
    </row>
    <row r="339" spans="3:19" ht="13.2" customHeight="1">
      <c r="C339" s="2036"/>
      <c r="F339" s="1804"/>
      <c r="G339" s="1804"/>
      <c r="H339" s="1804"/>
      <c r="I339" s="1804"/>
      <c r="J339" s="1804"/>
      <c r="K339" s="2031"/>
      <c r="L339" s="1804"/>
      <c r="M339" s="1804"/>
      <c r="S339" s="730"/>
    </row>
    <row r="340" spans="3:19" ht="13.2" customHeight="1">
      <c r="C340" s="2036"/>
      <c r="F340" s="1804"/>
      <c r="G340" s="1804"/>
      <c r="H340" s="1804"/>
      <c r="I340" s="1804"/>
      <c r="J340" s="1804"/>
      <c r="K340" s="2031"/>
      <c r="L340" s="1804"/>
      <c r="M340" s="1804"/>
      <c r="S340" s="730"/>
    </row>
    <row r="341" spans="3:19" ht="13.2" customHeight="1">
      <c r="C341" s="2036"/>
      <c r="F341" s="1804"/>
      <c r="G341" s="1804"/>
      <c r="H341" s="1804"/>
      <c r="I341" s="1804"/>
      <c r="J341" s="1804"/>
      <c r="K341" s="2031"/>
      <c r="L341" s="1804"/>
      <c r="M341" s="1804"/>
      <c r="S341" s="730"/>
    </row>
    <row r="342" spans="3:19" ht="13.2" customHeight="1">
      <c r="C342" s="2036"/>
      <c r="F342" s="1804"/>
      <c r="G342" s="1804"/>
      <c r="H342" s="1804"/>
      <c r="I342" s="1804"/>
      <c r="J342" s="1804"/>
      <c r="K342" s="2031"/>
      <c r="L342" s="1804"/>
      <c r="M342" s="1804"/>
      <c r="S342" s="730"/>
    </row>
    <row r="343" spans="3:19" ht="13.2" customHeight="1">
      <c r="C343" s="2036"/>
      <c r="F343" s="667"/>
      <c r="G343" s="667"/>
      <c r="H343" s="667"/>
      <c r="I343" s="667"/>
      <c r="J343" s="667"/>
      <c r="K343" s="2031"/>
      <c r="L343" s="667"/>
      <c r="M343" s="667"/>
      <c r="S343" s="730"/>
    </row>
    <row r="344" spans="3:19" ht="13.2" customHeight="1">
      <c r="C344" s="2036"/>
      <c r="F344" s="667"/>
      <c r="G344" s="667"/>
      <c r="H344" s="667"/>
      <c r="I344" s="667"/>
      <c r="J344" s="667"/>
      <c r="K344" s="2031"/>
      <c r="L344" s="667"/>
      <c r="M344" s="667"/>
      <c r="S344" s="730"/>
    </row>
    <row r="345" spans="3:19" ht="13.2" customHeight="1">
      <c r="C345" s="2036"/>
      <c r="F345" s="667"/>
      <c r="G345" s="667"/>
      <c r="H345" s="667"/>
      <c r="I345" s="667"/>
      <c r="J345" s="667"/>
      <c r="K345" s="2031"/>
      <c r="L345" s="667"/>
      <c r="M345" s="667"/>
      <c r="S345" s="730"/>
    </row>
    <row r="346" spans="3:19" ht="13.2" customHeight="1">
      <c r="C346" s="2036"/>
      <c r="F346" s="667"/>
      <c r="G346" s="667"/>
      <c r="H346" s="667"/>
      <c r="I346" s="667"/>
      <c r="J346" s="667"/>
      <c r="K346" s="2031"/>
      <c r="L346" s="667"/>
      <c r="M346" s="667"/>
      <c r="S346" s="730"/>
    </row>
    <row r="347" spans="3:19" ht="13.2" customHeight="1">
      <c r="C347" s="2036"/>
      <c r="F347" s="667"/>
      <c r="G347" s="667"/>
      <c r="H347" s="667"/>
      <c r="I347" s="667"/>
      <c r="J347" s="667"/>
      <c r="K347" s="2031"/>
      <c r="L347" s="667"/>
      <c r="M347" s="667"/>
      <c r="S347" s="730"/>
    </row>
    <row r="348" spans="3:19" ht="13.2" customHeight="1">
      <c r="C348" s="2036"/>
      <c r="F348" s="667"/>
      <c r="G348" s="667"/>
      <c r="H348" s="667"/>
      <c r="I348" s="667"/>
      <c r="J348" s="667"/>
      <c r="K348" s="2031"/>
      <c r="L348" s="667"/>
      <c r="M348" s="667"/>
      <c r="S348" s="730"/>
    </row>
    <row r="349" spans="3:19" ht="13.2" customHeight="1">
      <c r="C349" s="2036"/>
      <c r="F349" s="667"/>
      <c r="G349" s="667"/>
      <c r="H349" s="667"/>
      <c r="I349" s="667"/>
      <c r="J349" s="667"/>
      <c r="K349" s="2031"/>
      <c r="L349" s="667"/>
      <c r="M349" s="667"/>
      <c r="S349" s="730"/>
    </row>
    <row r="350" spans="3:19" ht="13.2" customHeight="1">
      <c r="C350" s="2036"/>
      <c r="F350" s="667"/>
      <c r="G350" s="667"/>
      <c r="H350" s="667"/>
      <c r="I350" s="667"/>
      <c r="J350" s="667"/>
      <c r="K350" s="2031"/>
      <c r="L350" s="667"/>
      <c r="M350" s="667"/>
      <c r="S350" s="730"/>
    </row>
    <row r="351" spans="3:19" ht="13.2" customHeight="1">
      <c r="C351" s="2036"/>
      <c r="F351" s="667"/>
      <c r="G351" s="667"/>
      <c r="H351" s="667"/>
      <c r="I351" s="667"/>
      <c r="J351" s="667"/>
      <c r="K351" s="2031"/>
      <c r="L351" s="667"/>
      <c r="M351" s="667"/>
      <c r="S351" s="730"/>
    </row>
    <row r="352" spans="3:19" ht="13.2" customHeight="1">
      <c r="C352" s="2036"/>
      <c r="F352" s="667"/>
      <c r="G352" s="667"/>
      <c r="H352" s="667"/>
      <c r="I352" s="667"/>
      <c r="J352" s="667"/>
      <c r="K352" s="2031"/>
      <c r="L352" s="667"/>
      <c r="M352" s="667"/>
      <c r="S352" s="730"/>
    </row>
    <row r="353" spans="3:19" ht="13.2" customHeight="1">
      <c r="C353" s="2036"/>
      <c r="F353" s="667"/>
      <c r="G353" s="667"/>
      <c r="H353" s="667"/>
      <c r="I353" s="667"/>
      <c r="J353" s="667"/>
      <c r="K353" s="2031"/>
      <c r="L353" s="667"/>
      <c r="M353" s="667"/>
      <c r="S353" s="730"/>
    </row>
    <row r="354" spans="3:19" ht="13.2" customHeight="1">
      <c r="C354" s="2036"/>
      <c r="F354" s="667"/>
      <c r="G354" s="667"/>
      <c r="H354" s="667"/>
      <c r="I354" s="667"/>
      <c r="J354" s="667"/>
      <c r="K354" s="2031"/>
      <c r="L354" s="667"/>
      <c r="M354" s="667"/>
      <c r="S354" s="730"/>
    </row>
    <row r="355" spans="3:19" ht="13.2" customHeight="1">
      <c r="C355" s="2036"/>
      <c r="F355" s="667"/>
      <c r="G355" s="667"/>
      <c r="H355" s="667"/>
      <c r="I355" s="667"/>
      <c r="J355" s="667"/>
      <c r="K355" s="2031"/>
      <c r="L355" s="667"/>
      <c r="M355" s="667"/>
      <c r="S355" s="730"/>
    </row>
    <row r="356" spans="3:19" ht="13.2" customHeight="1">
      <c r="C356" s="2036"/>
      <c r="F356" s="667"/>
      <c r="G356" s="667"/>
      <c r="H356" s="667"/>
      <c r="I356" s="667"/>
      <c r="J356" s="667"/>
      <c r="K356" s="2031"/>
      <c r="L356" s="667"/>
      <c r="M356" s="667"/>
      <c r="S356" s="730"/>
    </row>
    <row r="357" spans="3:19" ht="13.2" customHeight="1">
      <c r="C357" s="2036"/>
      <c r="F357" s="667"/>
      <c r="G357" s="667"/>
      <c r="H357" s="667"/>
      <c r="I357" s="667"/>
      <c r="J357" s="667"/>
      <c r="K357" s="2031"/>
      <c r="L357" s="667"/>
      <c r="M357" s="667"/>
      <c r="S357" s="730"/>
    </row>
    <row r="358" spans="3:19" ht="13.2" customHeight="1">
      <c r="C358" s="2036"/>
      <c r="F358" s="667"/>
      <c r="G358" s="667"/>
      <c r="H358" s="667"/>
      <c r="I358" s="667"/>
      <c r="J358" s="667"/>
      <c r="K358" s="2031"/>
      <c r="L358" s="667"/>
      <c r="M358" s="667"/>
      <c r="S358" s="730"/>
    </row>
    <row r="359" spans="3:19" ht="13.2" customHeight="1">
      <c r="C359" s="2036"/>
      <c r="F359" s="667"/>
      <c r="G359" s="667"/>
      <c r="H359" s="667"/>
      <c r="I359" s="667"/>
      <c r="J359" s="667"/>
      <c r="K359" s="2031"/>
      <c r="L359" s="667"/>
      <c r="M359" s="667"/>
      <c r="S359" s="730"/>
    </row>
    <row r="360" spans="3:19" ht="13.2" customHeight="1">
      <c r="C360" s="2036"/>
      <c r="F360" s="667"/>
      <c r="G360" s="667"/>
      <c r="H360" s="667"/>
      <c r="I360" s="667"/>
      <c r="J360" s="667"/>
      <c r="K360" s="2031"/>
      <c r="L360" s="667"/>
      <c r="M360" s="667"/>
      <c r="S360" s="730"/>
    </row>
    <row r="361" spans="3:19" ht="13.2" customHeight="1">
      <c r="C361" s="2036"/>
      <c r="F361" s="667"/>
      <c r="G361" s="667"/>
      <c r="H361" s="667"/>
      <c r="I361" s="667"/>
      <c r="J361" s="667"/>
      <c r="K361" s="2031"/>
      <c r="L361" s="667"/>
      <c r="M361" s="667"/>
      <c r="S361" s="730"/>
    </row>
    <row r="362" spans="3:19" ht="13.2" customHeight="1">
      <c r="C362" s="2036"/>
      <c r="F362" s="667"/>
      <c r="G362" s="667"/>
      <c r="H362" s="667"/>
      <c r="I362" s="667"/>
      <c r="J362" s="667"/>
      <c r="K362" s="2031"/>
      <c r="L362" s="667"/>
      <c r="M362" s="667"/>
      <c r="S362" s="730"/>
    </row>
    <row r="363" spans="3:19" ht="13.2" customHeight="1">
      <c r="C363" s="2036"/>
      <c r="F363" s="667"/>
      <c r="G363" s="667"/>
      <c r="H363" s="667"/>
      <c r="I363" s="667"/>
      <c r="J363" s="667"/>
      <c r="K363" s="2031"/>
      <c r="L363" s="667"/>
      <c r="M363" s="667"/>
      <c r="S363" s="730"/>
    </row>
    <row r="364" spans="3:19" ht="13.2" customHeight="1">
      <c r="C364" s="2036"/>
      <c r="F364" s="667"/>
      <c r="G364" s="667"/>
      <c r="H364" s="667"/>
      <c r="I364" s="667"/>
      <c r="J364" s="667"/>
      <c r="K364" s="2031"/>
      <c r="L364" s="667"/>
      <c r="M364" s="667"/>
      <c r="S364" s="730"/>
    </row>
    <row r="365" spans="3:19" ht="13.2" customHeight="1">
      <c r="C365" s="2036"/>
      <c r="F365" s="667"/>
      <c r="G365" s="667"/>
      <c r="H365" s="667"/>
      <c r="I365" s="667"/>
      <c r="J365" s="667"/>
      <c r="K365" s="2031"/>
      <c r="L365" s="667"/>
      <c r="M365" s="667"/>
      <c r="S365" s="730"/>
    </row>
    <row r="366" spans="3:19" ht="13.2" customHeight="1">
      <c r="C366" s="2036"/>
      <c r="F366" s="667"/>
      <c r="G366" s="667"/>
      <c r="H366" s="667"/>
      <c r="I366" s="667"/>
      <c r="J366" s="667"/>
      <c r="K366" s="2031"/>
      <c r="L366" s="667"/>
      <c r="M366" s="667"/>
      <c r="S366" s="730"/>
    </row>
    <row r="367" spans="3:19" ht="13.2" customHeight="1">
      <c r="C367" s="2036"/>
      <c r="F367" s="667"/>
      <c r="G367" s="667"/>
      <c r="H367" s="667"/>
      <c r="I367" s="667"/>
      <c r="J367" s="667"/>
      <c r="K367" s="2031"/>
      <c r="L367" s="667"/>
      <c r="M367" s="667"/>
      <c r="S367" s="730"/>
    </row>
    <row r="368" spans="3:19" ht="13.2" customHeight="1">
      <c r="C368" s="2036"/>
      <c r="F368" s="667"/>
      <c r="G368" s="667"/>
      <c r="H368" s="667"/>
      <c r="I368" s="667"/>
      <c r="J368" s="667"/>
      <c r="K368" s="2031"/>
      <c r="L368" s="667"/>
      <c r="M368" s="667"/>
      <c r="S368" s="730"/>
    </row>
    <row r="369" spans="3:19" ht="13.2" customHeight="1">
      <c r="C369" s="2036"/>
      <c r="F369" s="667"/>
      <c r="G369" s="667"/>
      <c r="H369" s="667"/>
      <c r="I369" s="667"/>
      <c r="J369" s="667"/>
      <c r="K369" s="2031"/>
      <c r="L369" s="667"/>
      <c r="M369" s="667"/>
      <c r="S369" s="730"/>
    </row>
    <row r="370" spans="3:19" ht="13.2" customHeight="1">
      <c r="C370" s="2036"/>
      <c r="F370" s="667"/>
      <c r="G370" s="667"/>
      <c r="H370" s="667"/>
      <c r="I370" s="667"/>
      <c r="J370" s="667"/>
      <c r="K370" s="2031"/>
      <c r="L370" s="667"/>
      <c r="M370" s="667"/>
      <c r="S370" s="730"/>
    </row>
    <row r="371" spans="3:19" ht="13.2" customHeight="1">
      <c r="C371" s="2036"/>
      <c r="F371" s="667"/>
      <c r="G371" s="667"/>
      <c r="H371" s="667"/>
      <c r="I371" s="667"/>
      <c r="J371" s="667"/>
      <c r="K371" s="2031"/>
      <c r="L371" s="667"/>
      <c r="M371" s="667"/>
      <c r="S371" s="730"/>
    </row>
    <row r="372" spans="3:19" ht="13.2" customHeight="1">
      <c r="C372" s="2036"/>
      <c r="F372" s="667"/>
      <c r="G372" s="667"/>
      <c r="H372" s="667"/>
      <c r="I372" s="667"/>
      <c r="J372" s="667"/>
      <c r="K372" s="2031"/>
      <c r="L372" s="667"/>
      <c r="M372" s="667"/>
      <c r="S372" s="730"/>
    </row>
    <row r="373" spans="3:19" ht="13.2" customHeight="1">
      <c r="C373" s="2036"/>
      <c r="F373" s="667"/>
      <c r="G373" s="667"/>
      <c r="H373" s="667"/>
      <c r="I373" s="667"/>
      <c r="J373" s="667"/>
      <c r="K373" s="2031"/>
      <c r="L373" s="667"/>
      <c r="M373" s="667"/>
      <c r="S373" s="730"/>
    </row>
    <row r="374" spans="3:19" ht="13.2" customHeight="1">
      <c r="C374" s="2036"/>
      <c r="F374" s="667"/>
      <c r="G374" s="667"/>
      <c r="H374" s="667"/>
      <c r="I374" s="667"/>
      <c r="J374" s="667"/>
      <c r="K374" s="2031"/>
      <c r="L374" s="667"/>
      <c r="M374" s="667"/>
      <c r="S374" s="730"/>
    </row>
    <row r="375" spans="3:19" ht="13.2" customHeight="1">
      <c r="C375" s="2036"/>
      <c r="F375" s="667"/>
      <c r="G375" s="667"/>
      <c r="H375" s="667"/>
      <c r="I375" s="667"/>
      <c r="J375" s="667"/>
      <c r="K375" s="2031"/>
      <c r="L375" s="667"/>
      <c r="M375" s="667"/>
      <c r="S375" s="730"/>
    </row>
    <row r="376" spans="3:19" ht="13.2" customHeight="1">
      <c r="C376" s="2036"/>
      <c r="F376" s="667"/>
      <c r="G376" s="667"/>
      <c r="H376" s="667"/>
      <c r="I376" s="667"/>
      <c r="J376" s="667"/>
      <c r="K376" s="2031"/>
      <c r="L376" s="667"/>
      <c r="M376" s="667"/>
      <c r="S376" s="730"/>
    </row>
    <row r="377" spans="3:19" ht="13.2" customHeight="1">
      <c r="C377" s="2036"/>
      <c r="F377" s="667"/>
      <c r="G377" s="667"/>
      <c r="H377" s="667"/>
      <c r="I377" s="667"/>
      <c r="J377" s="667"/>
      <c r="K377" s="2031"/>
      <c r="L377" s="667"/>
      <c r="M377" s="667"/>
      <c r="S377" s="730"/>
    </row>
    <row r="378" spans="3:19" ht="13.2" customHeight="1">
      <c r="C378" s="2036"/>
      <c r="F378" s="667"/>
      <c r="G378" s="667"/>
      <c r="H378" s="667"/>
      <c r="I378" s="667"/>
      <c r="J378" s="667"/>
      <c r="K378" s="2031"/>
      <c r="L378" s="667"/>
      <c r="M378" s="667"/>
      <c r="S378" s="730"/>
    </row>
    <row r="379" spans="3:19" ht="13.2" customHeight="1">
      <c r="C379" s="2036"/>
      <c r="F379" s="667"/>
      <c r="G379" s="667"/>
      <c r="H379" s="667"/>
      <c r="I379" s="667"/>
      <c r="J379" s="667"/>
      <c r="K379" s="2031"/>
      <c r="L379" s="667"/>
      <c r="M379" s="667"/>
      <c r="S379" s="730"/>
    </row>
    <row r="380" spans="3:19" ht="13.2" customHeight="1">
      <c r="C380" s="2036"/>
      <c r="F380" s="667"/>
      <c r="G380" s="667"/>
      <c r="H380" s="667"/>
      <c r="I380" s="667"/>
      <c r="J380" s="667"/>
      <c r="K380" s="2031"/>
      <c r="L380" s="667"/>
      <c r="M380" s="667"/>
      <c r="S380" s="730"/>
    </row>
    <row r="381" spans="3:19" ht="13.2" customHeight="1">
      <c r="C381" s="2036"/>
      <c r="F381" s="667"/>
      <c r="G381" s="667"/>
      <c r="H381" s="667"/>
      <c r="I381" s="667"/>
      <c r="J381" s="667"/>
      <c r="K381" s="2031"/>
      <c r="L381" s="667"/>
      <c r="M381" s="667"/>
      <c r="S381" s="730"/>
    </row>
    <row r="382" spans="3:19" ht="13.2" customHeight="1">
      <c r="C382" s="2036"/>
      <c r="F382" s="667"/>
      <c r="G382" s="667"/>
      <c r="H382" s="667"/>
      <c r="I382" s="667"/>
      <c r="J382" s="667"/>
      <c r="K382" s="2031"/>
      <c r="L382" s="667"/>
      <c r="M382" s="667"/>
      <c r="S382" s="730"/>
    </row>
    <row r="383" spans="3:19" ht="13.2" customHeight="1">
      <c r="C383" s="2036"/>
      <c r="F383" s="667"/>
      <c r="G383" s="667"/>
      <c r="H383" s="667"/>
      <c r="I383" s="667"/>
      <c r="J383" s="667"/>
      <c r="K383" s="2031"/>
      <c r="L383" s="667"/>
      <c r="M383" s="667"/>
      <c r="S383" s="730"/>
    </row>
    <row r="384" spans="3:19" ht="13.2" customHeight="1">
      <c r="C384" s="2036"/>
      <c r="F384" s="667"/>
      <c r="G384" s="667"/>
      <c r="H384" s="667"/>
      <c r="I384" s="667"/>
      <c r="J384" s="667"/>
      <c r="K384" s="2031"/>
      <c r="L384" s="667"/>
      <c r="M384" s="667"/>
      <c r="S384" s="730"/>
    </row>
    <row r="385" spans="3:19" ht="13.2" customHeight="1">
      <c r="C385" s="2036"/>
      <c r="F385" s="667"/>
      <c r="G385" s="667"/>
      <c r="H385" s="667"/>
      <c r="I385" s="667"/>
      <c r="J385" s="667"/>
      <c r="K385" s="2031"/>
      <c r="L385" s="667"/>
      <c r="M385" s="667"/>
      <c r="S385" s="730"/>
    </row>
    <row r="386" spans="3:19" ht="13.2" customHeight="1">
      <c r="C386" s="2036"/>
      <c r="F386" s="667"/>
      <c r="G386" s="667"/>
      <c r="H386" s="667"/>
      <c r="I386" s="667"/>
      <c r="J386" s="667"/>
      <c r="K386" s="2031"/>
      <c r="L386" s="667"/>
      <c r="M386" s="667"/>
      <c r="S386" s="730"/>
    </row>
    <row r="387" spans="3:19" ht="13.2" customHeight="1">
      <c r="C387" s="2036"/>
      <c r="F387" s="667"/>
      <c r="G387" s="667"/>
      <c r="H387" s="667"/>
      <c r="I387" s="667"/>
      <c r="J387" s="667"/>
      <c r="K387" s="2031"/>
      <c r="L387" s="667"/>
      <c r="M387" s="667"/>
      <c r="S387" s="730"/>
    </row>
    <row r="388" spans="3:19" ht="13.2" customHeight="1">
      <c r="C388" s="2036"/>
      <c r="F388" s="667"/>
      <c r="G388" s="667"/>
      <c r="H388" s="667"/>
      <c r="I388" s="667"/>
      <c r="J388" s="667"/>
      <c r="K388" s="2031"/>
      <c r="L388" s="667"/>
      <c r="M388" s="667"/>
      <c r="S388" s="730"/>
    </row>
    <row r="389" spans="3:19" ht="13.2" customHeight="1">
      <c r="C389" s="2036"/>
      <c r="F389" s="667"/>
      <c r="G389" s="667"/>
      <c r="H389" s="667"/>
      <c r="I389" s="667"/>
      <c r="J389" s="667"/>
      <c r="K389" s="2031"/>
      <c r="L389" s="667"/>
      <c r="M389" s="667"/>
      <c r="S389" s="730"/>
    </row>
    <row r="390" spans="3:19" ht="13.2" customHeight="1">
      <c r="C390" s="2036"/>
      <c r="F390" s="667"/>
      <c r="G390" s="667"/>
      <c r="H390" s="667"/>
      <c r="I390" s="667"/>
      <c r="J390" s="667"/>
      <c r="K390" s="2031"/>
      <c r="L390" s="667"/>
      <c r="M390" s="667"/>
      <c r="S390" s="730"/>
    </row>
    <row r="391" spans="3:19" ht="13.2" customHeight="1">
      <c r="C391" s="2036"/>
      <c r="F391" s="667"/>
      <c r="G391" s="667"/>
      <c r="H391" s="667"/>
      <c r="I391" s="667"/>
      <c r="J391" s="667"/>
      <c r="K391" s="2031"/>
      <c r="L391" s="667"/>
      <c r="M391" s="667"/>
      <c r="S391" s="730"/>
    </row>
    <row r="392" spans="3:19" ht="13.2" customHeight="1">
      <c r="C392" s="2036"/>
      <c r="F392" s="667"/>
      <c r="G392" s="667"/>
      <c r="H392" s="667"/>
      <c r="I392" s="667"/>
      <c r="J392" s="667"/>
      <c r="K392" s="2031"/>
      <c r="L392" s="667"/>
      <c r="M392" s="667"/>
      <c r="S392" s="730"/>
    </row>
    <row r="393" spans="3:19" ht="13.2" customHeight="1">
      <c r="C393" s="2036"/>
      <c r="F393" s="667"/>
      <c r="G393" s="667"/>
      <c r="H393" s="667"/>
      <c r="I393" s="667"/>
      <c r="J393" s="667"/>
      <c r="K393" s="2031"/>
      <c r="L393" s="667"/>
      <c r="M393" s="667"/>
      <c r="S393" s="730"/>
    </row>
    <row r="394" spans="3:19" ht="13.2" customHeight="1">
      <c r="C394" s="2036"/>
      <c r="F394" s="667"/>
      <c r="G394" s="667"/>
      <c r="H394" s="667"/>
      <c r="I394" s="667"/>
      <c r="J394" s="667"/>
      <c r="K394" s="2031"/>
      <c r="L394" s="667"/>
      <c r="M394" s="667"/>
      <c r="S394" s="730"/>
    </row>
    <row r="395" spans="3:19" ht="13.2" customHeight="1">
      <c r="C395" s="2036"/>
      <c r="F395" s="667"/>
      <c r="G395" s="667"/>
      <c r="H395" s="667"/>
      <c r="I395" s="667"/>
      <c r="J395" s="667"/>
      <c r="K395" s="2031"/>
      <c r="L395" s="667"/>
      <c r="M395" s="667"/>
      <c r="S395" s="730"/>
    </row>
    <row r="396" spans="3:19" ht="13.2" customHeight="1">
      <c r="C396" s="2036"/>
      <c r="K396" s="737"/>
      <c r="S396" s="730"/>
    </row>
    <row r="397" spans="3:19" ht="13.2" customHeight="1">
      <c r="C397" s="2036"/>
      <c r="K397" s="737"/>
      <c r="S397" s="730"/>
    </row>
    <row r="398" spans="3:19" ht="13.2" customHeight="1">
      <c r="C398" s="2036"/>
      <c r="K398" s="737"/>
      <c r="S398" s="730"/>
    </row>
    <row r="399" spans="3:19" ht="13.2" customHeight="1">
      <c r="C399" s="2036"/>
      <c r="K399" s="737"/>
      <c r="S399" s="730"/>
    </row>
    <row r="400" spans="3:19" ht="13.2" customHeight="1">
      <c r="C400" s="2036"/>
      <c r="K400" s="737"/>
      <c r="S400" s="730"/>
    </row>
    <row r="401" spans="3:19" ht="13.2" customHeight="1">
      <c r="C401" s="2036"/>
      <c r="K401" s="737"/>
      <c r="S401" s="730"/>
    </row>
    <row r="402" spans="3:19" ht="13.2" customHeight="1">
      <c r="C402" s="2036"/>
      <c r="K402" s="737"/>
      <c r="S402" s="730"/>
    </row>
    <row r="403" spans="3:19" ht="13.2" customHeight="1">
      <c r="C403" s="2036"/>
      <c r="K403" s="737"/>
      <c r="S403" s="730"/>
    </row>
    <row r="404" spans="3:19" ht="13.2" customHeight="1">
      <c r="C404" s="2036"/>
      <c r="K404" s="737"/>
      <c r="S404" s="730"/>
    </row>
    <row r="405" spans="3:19" ht="13.2" customHeight="1">
      <c r="C405" s="2036"/>
      <c r="K405" s="737"/>
      <c r="S405" s="730"/>
    </row>
    <row r="406" spans="3:19" ht="13.2" customHeight="1">
      <c r="C406" s="2036"/>
      <c r="K406" s="737"/>
      <c r="S406" s="730"/>
    </row>
    <row r="407" spans="3:19" ht="13.2" customHeight="1">
      <c r="C407" s="2036"/>
      <c r="K407" s="737"/>
      <c r="S407" s="730"/>
    </row>
    <row r="408" spans="3:19" ht="13.2" customHeight="1">
      <c r="C408" s="2036"/>
      <c r="K408" s="737"/>
      <c r="S408" s="730"/>
    </row>
    <row r="409" spans="3:19" ht="13.2" customHeight="1">
      <c r="C409" s="2036"/>
      <c r="K409" s="737"/>
      <c r="S409" s="730"/>
    </row>
    <row r="410" spans="3:19" ht="13.2" customHeight="1">
      <c r="C410" s="2036"/>
      <c r="K410" s="737"/>
      <c r="S410" s="730"/>
    </row>
    <row r="411" spans="3:19" ht="13.2" customHeight="1">
      <c r="C411" s="2036"/>
      <c r="K411" s="737"/>
      <c r="S411" s="730"/>
    </row>
    <row r="412" spans="3:19" ht="13.2" customHeight="1">
      <c r="C412" s="2036"/>
      <c r="K412" s="737"/>
      <c r="S412" s="730"/>
    </row>
    <row r="413" spans="3:19" ht="13.2" customHeight="1">
      <c r="C413" s="2036"/>
      <c r="K413" s="737"/>
      <c r="S413" s="730"/>
    </row>
    <row r="414" spans="3:19" ht="13.2" customHeight="1">
      <c r="C414" s="2036"/>
      <c r="K414" s="737"/>
      <c r="S414" s="730"/>
    </row>
    <row r="415" spans="3:19" ht="13.2" customHeight="1">
      <c r="C415" s="2036"/>
      <c r="K415" s="737"/>
      <c r="S415" s="730"/>
    </row>
    <row r="416" spans="3:19" ht="13.2" customHeight="1">
      <c r="C416" s="2036"/>
      <c r="K416" s="737"/>
      <c r="S416" s="730"/>
    </row>
    <row r="417" spans="3:19" ht="13.2" customHeight="1">
      <c r="C417" s="2036" t="s">
        <v>238</v>
      </c>
      <c r="K417" s="737"/>
      <c r="S417" s="730"/>
    </row>
    <row r="418" spans="3:19" ht="13.2" customHeight="1">
      <c r="C418" s="2036"/>
      <c r="K418" s="737"/>
      <c r="S418" s="730"/>
    </row>
    <row r="419" spans="3:19" ht="13.2" customHeight="1">
      <c r="C419" s="2036"/>
      <c r="K419" s="737"/>
      <c r="S419" s="730"/>
    </row>
    <row r="420" spans="3:19" ht="13.2" customHeight="1">
      <c r="C420" s="2036"/>
      <c r="K420" s="737"/>
      <c r="S420" s="730"/>
    </row>
    <row r="421" spans="3:19" ht="13.2" customHeight="1">
      <c r="C421" s="2036"/>
      <c r="K421" s="737"/>
      <c r="S421" s="730"/>
    </row>
    <row r="422" spans="3:19" ht="13.2" customHeight="1">
      <c r="C422" s="2036"/>
      <c r="K422" s="737"/>
      <c r="S422" s="730"/>
    </row>
    <row r="423" spans="3:19" ht="13.2" customHeight="1">
      <c r="C423" s="2036"/>
      <c r="K423" s="737"/>
      <c r="S423" s="730"/>
    </row>
    <row r="424" spans="3:19" ht="13.2" customHeight="1">
      <c r="C424" s="2036"/>
      <c r="K424" s="737"/>
      <c r="S424" s="730"/>
    </row>
    <row r="425" spans="3:19" ht="13.2" customHeight="1">
      <c r="C425" s="2036"/>
      <c r="K425" s="737"/>
      <c r="S425" s="730"/>
    </row>
    <row r="426" spans="3:19" ht="13.2" customHeight="1">
      <c r="C426" s="2036"/>
      <c r="K426" s="737"/>
      <c r="S426" s="730"/>
    </row>
    <row r="427" spans="3:19" ht="13.2" customHeight="1">
      <c r="C427" s="2036"/>
      <c r="K427" s="737"/>
      <c r="S427" s="730"/>
    </row>
    <row r="428" spans="3:19" ht="13.2" customHeight="1">
      <c r="C428" s="2036"/>
      <c r="K428" s="737"/>
      <c r="S428" s="730"/>
    </row>
    <row r="429" spans="3:19" ht="13.2" customHeight="1">
      <c r="C429" s="2036"/>
      <c r="K429" s="737"/>
      <c r="S429" s="730"/>
    </row>
    <row r="430" spans="3:19" ht="13.2" customHeight="1">
      <c r="C430" s="2036"/>
      <c r="K430" s="737"/>
      <c r="S430" s="730"/>
    </row>
    <row r="431" spans="3:19" ht="13.2" customHeight="1">
      <c r="C431" s="2036"/>
      <c r="K431" s="737"/>
      <c r="S431" s="730"/>
    </row>
    <row r="432" spans="3:19" ht="13.2" customHeight="1">
      <c r="C432" s="2036"/>
      <c r="K432" s="737"/>
      <c r="S432" s="730"/>
    </row>
    <row r="433" spans="3:19" ht="13.2" customHeight="1">
      <c r="C433" s="2036"/>
      <c r="K433" s="737"/>
      <c r="S433" s="730"/>
    </row>
    <row r="434" spans="3:19" ht="13.2" customHeight="1">
      <c r="C434" s="2036"/>
      <c r="K434" s="737"/>
      <c r="S434" s="730"/>
    </row>
    <row r="435" spans="3:19" ht="13.2" customHeight="1">
      <c r="C435" s="2036"/>
      <c r="K435" s="737"/>
      <c r="S435" s="730"/>
    </row>
    <row r="436" spans="3:19" ht="13.2" customHeight="1">
      <c r="C436" s="2036"/>
      <c r="K436" s="737"/>
      <c r="S436" s="730"/>
    </row>
    <row r="437" spans="3:19" ht="13.2" customHeight="1">
      <c r="C437" s="2036"/>
      <c r="K437" s="737"/>
      <c r="S437" s="730"/>
    </row>
    <row r="438" spans="3:19" ht="13.2" customHeight="1">
      <c r="C438" s="2036"/>
      <c r="K438" s="737"/>
      <c r="S438" s="730"/>
    </row>
    <row r="439" spans="3:19" ht="13.2" customHeight="1">
      <c r="C439" s="2036"/>
      <c r="K439" s="737"/>
      <c r="S439" s="730"/>
    </row>
    <row r="440" spans="3:19" ht="13.2" customHeight="1">
      <c r="C440" s="2036"/>
      <c r="K440" s="737"/>
      <c r="S440" s="730"/>
    </row>
    <row r="441" spans="3:19" ht="13.2" customHeight="1">
      <c r="C441" s="2036"/>
      <c r="K441" s="737"/>
      <c r="S441" s="730"/>
    </row>
    <row r="442" spans="3:19" ht="13.2" customHeight="1">
      <c r="C442" s="2036"/>
      <c r="K442" s="737"/>
      <c r="S442" s="730"/>
    </row>
    <row r="443" spans="3:19" ht="13.2" customHeight="1">
      <c r="C443" s="2036"/>
      <c r="K443" s="737"/>
      <c r="S443" s="730"/>
    </row>
    <row r="444" spans="3:19" ht="13.2" customHeight="1">
      <c r="C444" s="2036"/>
      <c r="K444" s="737"/>
      <c r="S444" s="730"/>
    </row>
    <row r="445" spans="3:19" ht="13.2" customHeight="1">
      <c r="C445" s="2036"/>
      <c r="K445" s="737"/>
      <c r="S445" s="730"/>
    </row>
    <row r="446" spans="3:19" ht="13.2" customHeight="1">
      <c r="C446" s="2036"/>
      <c r="K446" s="737"/>
      <c r="S446" s="730"/>
    </row>
    <row r="447" spans="3:19" ht="13.2" customHeight="1">
      <c r="C447" s="2036"/>
      <c r="K447" s="737"/>
      <c r="S447" s="730"/>
    </row>
    <row r="448" spans="3:19" ht="13.2" customHeight="1">
      <c r="C448" s="2036"/>
      <c r="K448" s="737"/>
      <c r="S448" s="730"/>
    </row>
    <row r="449" spans="3:19" ht="13.2" customHeight="1">
      <c r="C449" s="2036"/>
      <c r="K449" s="737"/>
      <c r="S449" s="730"/>
    </row>
    <row r="450" spans="3:19" ht="13.2" customHeight="1">
      <c r="C450" s="2036"/>
      <c r="K450" s="737"/>
      <c r="S450" s="730"/>
    </row>
    <row r="451" spans="3:19" ht="13.2" customHeight="1">
      <c r="C451" s="2036"/>
      <c r="K451" s="737"/>
      <c r="S451" s="730"/>
    </row>
    <row r="452" spans="3:19" ht="13.2" customHeight="1">
      <c r="C452" s="2036"/>
      <c r="K452" s="737"/>
      <c r="S452" s="730"/>
    </row>
    <row r="453" spans="3:19" ht="13.2" customHeight="1">
      <c r="C453" s="2036"/>
      <c r="K453" s="737"/>
      <c r="S453" s="730"/>
    </row>
    <row r="454" spans="3:19" ht="13.2" customHeight="1">
      <c r="C454" s="2036"/>
      <c r="K454" s="737"/>
      <c r="S454" s="730"/>
    </row>
    <row r="455" spans="3:19" ht="13.2" customHeight="1">
      <c r="C455" s="2036"/>
      <c r="K455" s="737"/>
      <c r="S455" s="730"/>
    </row>
    <row r="456" spans="3:19" ht="13.2" customHeight="1">
      <c r="C456" s="2036"/>
      <c r="K456" s="737"/>
      <c r="S456" s="730"/>
    </row>
    <row r="457" spans="3:19" ht="13.2" customHeight="1">
      <c r="C457" s="2036"/>
      <c r="K457" s="737"/>
      <c r="S457" s="730"/>
    </row>
    <row r="458" spans="3:19" ht="13.2" customHeight="1">
      <c r="C458" s="2036"/>
      <c r="K458" s="737"/>
      <c r="S458" s="730"/>
    </row>
    <row r="459" spans="3:19" ht="13.2" customHeight="1">
      <c r="C459" s="2036"/>
      <c r="K459" s="737"/>
      <c r="S459" s="730"/>
    </row>
    <row r="460" spans="3:19" ht="13.2" customHeight="1">
      <c r="C460" s="2036"/>
      <c r="K460" s="737"/>
      <c r="S460" s="730"/>
    </row>
    <row r="461" spans="3:19" ht="13.2" customHeight="1">
      <c r="C461" s="2036"/>
      <c r="K461" s="737"/>
      <c r="S461" s="730"/>
    </row>
    <row r="462" spans="3:19" ht="13.2" customHeight="1">
      <c r="C462" s="2036"/>
      <c r="K462" s="737"/>
      <c r="S462" s="730"/>
    </row>
    <row r="463" spans="3:19" ht="13.2" customHeight="1">
      <c r="C463" s="2036"/>
      <c r="K463" s="737"/>
      <c r="S463" s="730"/>
    </row>
    <row r="464" spans="3:19" ht="13.2" customHeight="1">
      <c r="C464" s="2036"/>
      <c r="K464" s="737"/>
      <c r="S464" s="730"/>
    </row>
    <row r="465" spans="3:19" ht="13.2" customHeight="1">
      <c r="C465" s="2036"/>
      <c r="K465" s="737"/>
      <c r="S465" s="730"/>
    </row>
    <row r="466" spans="3:19" ht="13.2" customHeight="1">
      <c r="C466" s="2036"/>
      <c r="K466" s="737"/>
      <c r="S466" s="730"/>
    </row>
    <row r="467" spans="3:19" ht="13.2" customHeight="1">
      <c r="C467" s="2036"/>
      <c r="K467" s="737"/>
      <c r="S467" s="730"/>
    </row>
    <row r="468" spans="3:19" ht="13.2" customHeight="1">
      <c r="C468" s="2036"/>
      <c r="K468" s="737"/>
      <c r="S468" s="730"/>
    </row>
    <row r="469" spans="3:19" ht="13.2" customHeight="1">
      <c r="C469" s="2036"/>
      <c r="K469" s="737"/>
      <c r="S469" s="730"/>
    </row>
    <row r="470" spans="3:19" ht="13.2" customHeight="1">
      <c r="C470" s="2036"/>
      <c r="K470" s="737"/>
      <c r="S470" s="730"/>
    </row>
    <row r="471" spans="3:19" ht="13.2" customHeight="1">
      <c r="C471" s="2036"/>
      <c r="K471" s="737"/>
      <c r="S471" s="730"/>
    </row>
    <row r="472" spans="3:19" ht="13.2" customHeight="1">
      <c r="C472" s="2036"/>
      <c r="K472" s="737"/>
      <c r="S472" s="730"/>
    </row>
    <row r="473" spans="3:19" ht="13.2" customHeight="1">
      <c r="C473" s="2036"/>
      <c r="K473" s="737"/>
      <c r="S473" s="730"/>
    </row>
    <row r="474" spans="3:19" ht="13.2" customHeight="1">
      <c r="C474" s="2036"/>
      <c r="K474" s="737"/>
      <c r="S474" s="730"/>
    </row>
    <row r="475" spans="3:19" ht="13.2" customHeight="1">
      <c r="C475" s="2036"/>
      <c r="K475" s="737"/>
      <c r="S475" s="730"/>
    </row>
    <row r="476" spans="3:19" ht="13.2" customHeight="1">
      <c r="C476" s="2036"/>
      <c r="K476" s="737"/>
      <c r="S476" s="730"/>
    </row>
    <row r="477" spans="3:19" ht="13.2" customHeight="1">
      <c r="C477" s="2036"/>
      <c r="K477" s="737"/>
      <c r="S477" s="730"/>
    </row>
    <row r="478" spans="3:19" ht="13.2" customHeight="1">
      <c r="C478" s="2036"/>
      <c r="K478" s="737"/>
      <c r="S478" s="730"/>
    </row>
    <row r="479" spans="3:19" ht="13.2" customHeight="1">
      <c r="C479" s="2036"/>
      <c r="K479" s="737"/>
      <c r="S479" s="730"/>
    </row>
    <row r="480" spans="3:19" ht="13.2" customHeight="1">
      <c r="C480" s="2036"/>
      <c r="K480" s="737"/>
      <c r="S480" s="730"/>
    </row>
    <row r="481" spans="3:19" ht="13.2" customHeight="1">
      <c r="C481" s="2036"/>
      <c r="K481" s="737"/>
      <c r="S481" s="730"/>
    </row>
    <row r="482" spans="3:19" ht="13.2" customHeight="1">
      <c r="C482" s="2036"/>
      <c r="K482" s="737"/>
      <c r="S482" s="730"/>
    </row>
    <row r="483" spans="3:19" ht="13.2" customHeight="1">
      <c r="C483" s="2036"/>
      <c r="K483" s="737"/>
      <c r="S483" s="730"/>
    </row>
    <row r="484" spans="3:19" ht="13.2" customHeight="1">
      <c r="C484" s="2036"/>
      <c r="K484" s="737"/>
      <c r="S484" s="730"/>
    </row>
    <row r="485" spans="3:19" ht="13.2" customHeight="1">
      <c r="C485" s="2036"/>
      <c r="K485" s="737"/>
      <c r="S485" s="730"/>
    </row>
    <row r="486" spans="3:19" ht="13.2" customHeight="1">
      <c r="C486" s="2036"/>
      <c r="K486" s="737"/>
      <c r="S486" s="730"/>
    </row>
    <row r="487" spans="3:19" ht="13.2" customHeight="1">
      <c r="C487" s="2036"/>
      <c r="K487" s="737"/>
      <c r="S487" s="730"/>
    </row>
    <row r="488" spans="3:19" ht="13.2" customHeight="1">
      <c r="C488" s="2036"/>
      <c r="K488" s="737"/>
      <c r="S488" s="730"/>
    </row>
    <row r="489" spans="3:19" ht="13.2" customHeight="1">
      <c r="C489" s="2036"/>
      <c r="K489" s="737"/>
      <c r="S489" s="730"/>
    </row>
    <row r="490" spans="3:19" ht="13.2" customHeight="1">
      <c r="C490" s="2036"/>
      <c r="K490" s="737"/>
      <c r="S490" s="730"/>
    </row>
    <row r="491" spans="3:19" ht="13.2" customHeight="1">
      <c r="C491" s="2036"/>
      <c r="K491" s="737"/>
      <c r="S491" s="730"/>
    </row>
    <row r="492" spans="3:19" ht="13.2" customHeight="1">
      <c r="C492" s="2036"/>
      <c r="K492" s="737"/>
      <c r="S492" s="730"/>
    </row>
    <row r="493" spans="3:19" ht="13.2" customHeight="1">
      <c r="C493" s="2036"/>
      <c r="K493" s="737"/>
      <c r="S493" s="730"/>
    </row>
    <row r="494" spans="3:19" ht="13.2" customHeight="1">
      <c r="C494" s="2036"/>
      <c r="K494" s="737"/>
      <c r="S494" s="730"/>
    </row>
    <row r="495" spans="3:19" ht="13.2" customHeight="1">
      <c r="C495" s="2036"/>
      <c r="K495" s="737"/>
      <c r="S495" s="730"/>
    </row>
    <row r="496" spans="3:19" ht="13.2" customHeight="1">
      <c r="C496" s="2036" t="s">
        <v>238</v>
      </c>
      <c r="K496" s="737"/>
      <c r="S496" s="730"/>
    </row>
    <row r="497" spans="3:19" ht="13.2" customHeight="1">
      <c r="C497" s="2036"/>
      <c r="K497" s="737"/>
      <c r="S497" s="730"/>
    </row>
    <row r="498" spans="3:19" ht="13.2" customHeight="1">
      <c r="C498" s="2036"/>
      <c r="K498" s="737"/>
      <c r="S498" s="730"/>
    </row>
    <row r="499" spans="3:19" ht="13.2" customHeight="1">
      <c r="C499" s="2036"/>
      <c r="K499" s="737"/>
      <c r="S499" s="730"/>
    </row>
    <row r="500" spans="3:19" ht="13.2" customHeight="1">
      <c r="C500" s="2036"/>
      <c r="K500" s="737"/>
      <c r="S500" s="730"/>
    </row>
    <row r="501" spans="3:19" ht="13.2" customHeight="1">
      <c r="C501" s="2036"/>
      <c r="K501" s="737"/>
      <c r="S501" s="730"/>
    </row>
    <row r="502" spans="3:19" ht="13.2" customHeight="1">
      <c r="C502" s="2036"/>
      <c r="K502" s="737"/>
      <c r="S502" s="730"/>
    </row>
    <row r="503" spans="3:19" ht="13.2" customHeight="1">
      <c r="C503" s="2036"/>
      <c r="K503" s="737"/>
      <c r="S503" s="730"/>
    </row>
    <row r="504" spans="3:19" ht="13.2" customHeight="1">
      <c r="C504" s="2036"/>
      <c r="K504" s="737"/>
      <c r="S504" s="730"/>
    </row>
    <row r="505" spans="3:19" ht="13.2" customHeight="1">
      <c r="C505" s="2036"/>
      <c r="K505" s="737"/>
      <c r="S505" s="730"/>
    </row>
    <row r="506" spans="3:19" ht="13.2" customHeight="1">
      <c r="C506" s="2036"/>
      <c r="K506" s="737"/>
      <c r="S506" s="730"/>
    </row>
    <row r="507" spans="3:19" ht="13.2" customHeight="1">
      <c r="C507" s="2036"/>
      <c r="K507" s="737"/>
      <c r="S507" s="730"/>
    </row>
    <row r="508" spans="3:19" ht="13.2" customHeight="1">
      <c r="C508" s="2036"/>
      <c r="K508" s="737"/>
      <c r="S508" s="730"/>
    </row>
    <row r="509" spans="3:19" ht="13.2" customHeight="1">
      <c r="C509" s="2036"/>
      <c r="K509" s="737"/>
      <c r="S509" s="730"/>
    </row>
    <row r="510" spans="3:19" ht="13.2" customHeight="1">
      <c r="C510" s="2036"/>
      <c r="K510" s="737"/>
      <c r="S510" s="730"/>
    </row>
    <row r="511" spans="3:19" ht="13.2" customHeight="1">
      <c r="C511" s="2036"/>
      <c r="K511" s="737"/>
      <c r="S511" s="730"/>
    </row>
    <row r="512" spans="3:19" ht="13.2" customHeight="1">
      <c r="C512" s="2036"/>
      <c r="K512" s="737"/>
      <c r="S512" s="730"/>
    </row>
    <row r="513" spans="3:19" ht="13.2" customHeight="1">
      <c r="C513" s="2036"/>
      <c r="K513" s="737"/>
      <c r="S513" s="730"/>
    </row>
    <row r="514" spans="3:19" ht="13.2" customHeight="1">
      <c r="C514" s="2036"/>
      <c r="K514" s="737"/>
      <c r="S514" s="730"/>
    </row>
    <row r="515" spans="3:19" ht="13.2" customHeight="1">
      <c r="C515" s="2036"/>
      <c r="K515" s="737"/>
      <c r="S515" s="730"/>
    </row>
    <row r="516" spans="3:19" ht="13.2" customHeight="1">
      <c r="C516" s="2036"/>
      <c r="K516" s="737"/>
      <c r="S516" s="730"/>
    </row>
    <row r="517" spans="3:19" ht="13.2" customHeight="1">
      <c r="C517" s="2036"/>
      <c r="K517" s="737"/>
      <c r="S517" s="730"/>
    </row>
    <row r="518" spans="3:19" ht="13.2" customHeight="1">
      <c r="C518" s="2036"/>
      <c r="K518" s="737"/>
      <c r="S518" s="730"/>
    </row>
    <row r="519" spans="3:19" ht="13.2" customHeight="1">
      <c r="C519" s="2036"/>
      <c r="K519" s="737"/>
      <c r="S519" s="730"/>
    </row>
    <row r="520" spans="3:19" ht="13.2" customHeight="1">
      <c r="C520" s="2036"/>
      <c r="K520" s="737"/>
      <c r="S520" s="730"/>
    </row>
    <row r="521" spans="3:19" ht="13.2" customHeight="1">
      <c r="C521" s="2036"/>
      <c r="K521" s="737"/>
      <c r="S521" s="730"/>
    </row>
    <row r="522" spans="3:19" ht="13.2" customHeight="1">
      <c r="C522" s="2036"/>
      <c r="K522" s="737"/>
      <c r="S522" s="730"/>
    </row>
    <row r="523" spans="3:19" ht="13.2" customHeight="1">
      <c r="C523" s="2036"/>
      <c r="K523" s="737"/>
      <c r="S523" s="730"/>
    </row>
    <row r="524" spans="3:19" ht="13.2" customHeight="1">
      <c r="C524" s="2036"/>
      <c r="K524" s="737"/>
      <c r="S524" s="730"/>
    </row>
    <row r="525" spans="3:19" ht="13.2" customHeight="1">
      <c r="C525" s="2036"/>
      <c r="K525" s="737"/>
      <c r="S525" s="730"/>
    </row>
    <row r="526" spans="3:19" ht="13.2" customHeight="1">
      <c r="C526" s="2036"/>
      <c r="K526" s="737"/>
      <c r="S526" s="730"/>
    </row>
    <row r="527" spans="3:19" ht="13.2" customHeight="1">
      <c r="C527" s="2036"/>
      <c r="K527" s="737"/>
      <c r="S527" s="730"/>
    </row>
    <row r="528" spans="3:19" ht="13.2" customHeight="1">
      <c r="C528" s="2036"/>
      <c r="K528" s="737"/>
      <c r="S528" s="730"/>
    </row>
    <row r="529" spans="3:19" ht="13.2" customHeight="1">
      <c r="C529" s="2036"/>
      <c r="K529" s="737"/>
      <c r="S529" s="730"/>
    </row>
    <row r="530" spans="3:19" ht="13.2" customHeight="1">
      <c r="C530" s="2036"/>
      <c r="K530" s="737"/>
      <c r="S530" s="730"/>
    </row>
    <row r="531" spans="3:19" ht="13.2" customHeight="1">
      <c r="C531" s="2036"/>
      <c r="K531" s="737"/>
      <c r="S531" s="730"/>
    </row>
    <row r="532" spans="3:19" ht="13.2" customHeight="1">
      <c r="C532" s="2036"/>
      <c r="K532" s="737"/>
      <c r="S532" s="730"/>
    </row>
    <row r="533" spans="3:19" ht="13.2" customHeight="1">
      <c r="C533" s="2036"/>
      <c r="K533" s="737"/>
      <c r="S533" s="730"/>
    </row>
    <row r="534" spans="3:19" ht="13.2" customHeight="1">
      <c r="C534" s="2036"/>
      <c r="K534" s="737"/>
      <c r="S534" s="730"/>
    </row>
    <row r="535" spans="3:19" ht="13.2" customHeight="1">
      <c r="C535" s="2036"/>
      <c r="K535" s="737"/>
      <c r="S535" s="730"/>
    </row>
    <row r="536" spans="3:19" ht="13.2" customHeight="1">
      <c r="C536" s="2036"/>
      <c r="K536" s="737"/>
      <c r="S536" s="730"/>
    </row>
    <row r="537" spans="3:19" ht="13.2" customHeight="1">
      <c r="C537" s="2036"/>
      <c r="K537" s="737"/>
      <c r="S537" s="730"/>
    </row>
    <row r="538" spans="3:19" ht="13.2" customHeight="1">
      <c r="C538" s="2036"/>
      <c r="K538" s="737"/>
      <c r="S538" s="730"/>
    </row>
    <row r="539" spans="3:19" ht="13.2" customHeight="1">
      <c r="C539" s="2036"/>
      <c r="K539" s="737"/>
      <c r="S539" s="730"/>
    </row>
    <row r="540" spans="3:19" ht="13.2" customHeight="1">
      <c r="C540" s="2036"/>
      <c r="K540" s="737"/>
      <c r="S540" s="730"/>
    </row>
    <row r="541" spans="3:19" ht="13.2" customHeight="1">
      <c r="C541" s="2036"/>
      <c r="K541" s="737"/>
      <c r="S541" s="730"/>
    </row>
    <row r="542" spans="3:19" ht="13.2" customHeight="1">
      <c r="C542" s="2036"/>
      <c r="K542" s="737"/>
      <c r="S542" s="730"/>
    </row>
    <row r="543" spans="3:19" ht="13.2" customHeight="1">
      <c r="C543" s="2036"/>
      <c r="K543" s="737"/>
      <c r="S543" s="730"/>
    </row>
    <row r="544" spans="3:19" ht="13.2" customHeight="1">
      <c r="C544" s="2036"/>
      <c r="K544" s="737"/>
      <c r="S544" s="730"/>
    </row>
    <row r="545" spans="3:19" ht="13.2" customHeight="1">
      <c r="C545" s="2036"/>
      <c r="K545" s="737"/>
      <c r="S545" s="730"/>
    </row>
    <row r="546" spans="3:19" ht="13.2" customHeight="1">
      <c r="C546" s="2036"/>
      <c r="K546" s="737"/>
      <c r="S546" s="730"/>
    </row>
    <row r="547" spans="3:19" ht="13.2" customHeight="1">
      <c r="C547" s="2036"/>
      <c r="K547" s="737"/>
      <c r="S547" s="730"/>
    </row>
    <row r="548" spans="3:19" ht="13.2" customHeight="1">
      <c r="C548" s="2036"/>
      <c r="K548" s="737"/>
      <c r="S548" s="730"/>
    </row>
    <row r="549" spans="3:19" ht="13.2" customHeight="1">
      <c r="C549" s="2036"/>
      <c r="K549" s="737"/>
      <c r="S549" s="730"/>
    </row>
    <row r="550" spans="3:19" ht="13.2" customHeight="1">
      <c r="C550" s="2036"/>
      <c r="K550" s="737"/>
      <c r="S550" s="730"/>
    </row>
    <row r="551" spans="3:19" ht="13.2" customHeight="1">
      <c r="C551" s="2036"/>
      <c r="K551" s="737"/>
      <c r="S551" s="730"/>
    </row>
    <row r="552" spans="3:19" ht="13.2" customHeight="1">
      <c r="C552" s="2036"/>
      <c r="K552" s="737"/>
      <c r="S552" s="730"/>
    </row>
    <row r="553" spans="3:19" ht="13.2" customHeight="1">
      <c r="C553" s="2036"/>
      <c r="K553" s="737"/>
      <c r="S553" s="730"/>
    </row>
    <row r="554" spans="3:19" ht="13.2" customHeight="1">
      <c r="C554" s="2036"/>
      <c r="K554" s="737"/>
      <c r="S554" s="730"/>
    </row>
    <row r="555" spans="3:19" ht="13.2" customHeight="1">
      <c r="C555" s="2036"/>
      <c r="K555" s="737"/>
      <c r="S555" s="730"/>
    </row>
    <row r="556" spans="3:19" ht="13.2" customHeight="1">
      <c r="C556" s="2036"/>
      <c r="K556" s="737"/>
      <c r="S556" s="730"/>
    </row>
    <row r="557" spans="3:19" ht="13.2" customHeight="1">
      <c r="C557" s="2036"/>
      <c r="K557" s="737"/>
      <c r="S557" s="730"/>
    </row>
    <row r="558" spans="3:19" ht="13.2" customHeight="1">
      <c r="C558" s="2036"/>
      <c r="K558" s="737"/>
      <c r="S558" s="730"/>
    </row>
    <row r="559" spans="3:19" ht="13.2" customHeight="1">
      <c r="C559" s="2036"/>
      <c r="K559" s="737"/>
      <c r="S559" s="730"/>
    </row>
    <row r="560" spans="3:19" ht="13.2" customHeight="1">
      <c r="C560" s="2036"/>
      <c r="K560" s="737"/>
      <c r="S560" s="730"/>
    </row>
    <row r="561" spans="3:19" ht="13.2" customHeight="1">
      <c r="C561" s="2036"/>
      <c r="K561" s="737"/>
      <c r="S561" s="730"/>
    </row>
    <row r="562" spans="3:19" ht="13.2" customHeight="1">
      <c r="C562" s="2036"/>
      <c r="K562" s="737"/>
      <c r="S562" s="730"/>
    </row>
    <row r="563" spans="3:19" ht="13.2" customHeight="1">
      <c r="C563" s="2036"/>
      <c r="K563" s="737"/>
      <c r="S563" s="730"/>
    </row>
    <row r="564" spans="3:19" ht="13.2" customHeight="1">
      <c r="C564" s="2036"/>
      <c r="K564" s="737"/>
      <c r="S564" s="730"/>
    </row>
    <row r="565" spans="3:19" ht="13.2" customHeight="1">
      <c r="C565" s="2036"/>
      <c r="K565" s="737"/>
      <c r="S565" s="730"/>
    </row>
    <row r="566" spans="3:19" ht="13.2" customHeight="1">
      <c r="C566" s="2036"/>
      <c r="K566" s="737"/>
      <c r="S566" s="730"/>
    </row>
    <row r="567" spans="3:19" ht="13.2" customHeight="1">
      <c r="C567" s="2036"/>
      <c r="K567" s="737"/>
      <c r="S567" s="730"/>
    </row>
    <row r="568" spans="3:19" ht="13.2" customHeight="1">
      <c r="C568" s="2036"/>
      <c r="K568" s="737"/>
      <c r="S568" s="730"/>
    </row>
    <row r="569" spans="3:19" ht="13.2" customHeight="1">
      <c r="C569" s="2036"/>
      <c r="K569" s="737"/>
      <c r="S569" s="730"/>
    </row>
    <row r="570" spans="3:19" ht="13.2" customHeight="1">
      <c r="C570" s="2036"/>
      <c r="K570" s="737"/>
      <c r="S570" s="730"/>
    </row>
    <row r="571" spans="3:19" ht="13.2" customHeight="1">
      <c r="C571" s="2036"/>
      <c r="K571" s="737"/>
      <c r="S571" s="730"/>
    </row>
    <row r="572" spans="3:19" ht="13.2" customHeight="1">
      <c r="C572" s="2036"/>
      <c r="K572" s="737"/>
      <c r="S572" s="730"/>
    </row>
    <row r="573" spans="3:19" ht="13.2" customHeight="1">
      <c r="C573" s="2036"/>
      <c r="K573" s="737"/>
      <c r="S573" s="730"/>
    </row>
    <row r="574" spans="3:19" ht="13.2" customHeight="1">
      <c r="C574" s="2036"/>
      <c r="K574" s="737"/>
      <c r="S574" s="730"/>
    </row>
    <row r="575" spans="3:19" ht="13.2" customHeight="1">
      <c r="C575" s="2036" t="s">
        <v>238</v>
      </c>
      <c r="K575" s="737"/>
      <c r="S575" s="730"/>
    </row>
    <row r="576" spans="3:19" ht="13.2" customHeight="1">
      <c r="C576" s="2036"/>
      <c r="K576" s="737"/>
      <c r="S576" s="730"/>
    </row>
    <row r="577" spans="3:19" ht="13.2" customHeight="1">
      <c r="C577" s="2036"/>
      <c r="K577" s="737"/>
      <c r="S577" s="730"/>
    </row>
    <row r="578" spans="3:19" ht="13.2" customHeight="1">
      <c r="C578" s="2036"/>
      <c r="K578" s="737"/>
      <c r="S578" s="730"/>
    </row>
    <row r="579" spans="3:19" ht="9" customHeight="1">
      <c r="C579" s="2036"/>
      <c r="K579" s="737"/>
      <c r="S579" s="730"/>
    </row>
    <row r="580" spans="3:19" ht="7.5" customHeight="1">
      <c r="C580" s="2036"/>
      <c r="K580" s="737"/>
      <c r="S580" s="730"/>
    </row>
    <row r="581" spans="3:19">
      <c r="C581" s="2036"/>
      <c r="K581" s="737"/>
      <c r="S581" s="730"/>
    </row>
  </sheetData>
  <sheetProtection algorithmName="SHA-512" hashValue="WM2xlMOi0hzZjVggJrvjEmriDVOQop3PvTS4YpACnYLD8tuO8phqSCx5Q7FVjV9Th/QgLi/RXDXKsx4SgNtQtA==" saltValue="V6bB8zKNCZXg7BxCqISRCw==" spinCount="100000" sheet="1" objects="1" scenarios="1"/>
  <mergeCells count="178">
    <mergeCell ref="L11:M11"/>
    <mergeCell ref="L13:M13"/>
    <mergeCell ref="B11:K11"/>
    <mergeCell ref="B13:K13"/>
    <mergeCell ref="C27:C28"/>
    <mergeCell ref="F91:G91"/>
    <mergeCell ref="F126:G126"/>
    <mergeCell ref="F192:G192"/>
    <mergeCell ref="F134:G134"/>
    <mergeCell ref="B14:H14"/>
    <mergeCell ref="L16:M16"/>
    <mergeCell ref="L18:M18"/>
    <mergeCell ref="B19:H19"/>
    <mergeCell ref="F33:M33"/>
    <mergeCell ref="F35:M35"/>
    <mergeCell ref="F36:M36"/>
    <mergeCell ref="F37:M37"/>
    <mergeCell ref="F25:G28"/>
    <mergeCell ref="H25:H28"/>
    <mergeCell ref="I26:J28"/>
    <mergeCell ref="L26:M28"/>
    <mergeCell ref="F24:M24"/>
    <mergeCell ref="I25:M25"/>
    <mergeCell ref="K26:K28"/>
    <mergeCell ref="F56:M56"/>
    <mergeCell ref="F60:M60"/>
    <mergeCell ref="F65:M65"/>
    <mergeCell ref="F70:M70"/>
    <mergeCell ref="F61:M61"/>
    <mergeCell ref="F63:M63"/>
    <mergeCell ref="F64:M64"/>
    <mergeCell ref="F66:M66"/>
    <mergeCell ref="F55:M55"/>
    <mergeCell ref="F57:M57"/>
    <mergeCell ref="F59:M59"/>
    <mergeCell ref="F74:M74"/>
    <mergeCell ref="F75:M75"/>
    <mergeCell ref="F79:M79"/>
    <mergeCell ref="F80:M80"/>
    <mergeCell ref="F81:M81"/>
    <mergeCell ref="F83:M83"/>
    <mergeCell ref="F78:G78"/>
    <mergeCell ref="F82:G82"/>
    <mergeCell ref="F68:M68"/>
    <mergeCell ref="F69:M69"/>
    <mergeCell ref="F71:M71"/>
    <mergeCell ref="F73:M73"/>
    <mergeCell ref="F92:M92"/>
    <mergeCell ref="F93:M93"/>
    <mergeCell ref="F94:M94"/>
    <mergeCell ref="F95:M95"/>
    <mergeCell ref="F97:M97"/>
    <mergeCell ref="F98:M98"/>
    <mergeCell ref="F96:G96"/>
    <mergeCell ref="F84:M84"/>
    <mergeCell ref="F85:M85"/>
    <mergeCell ref="F87:M87"/>
    <mergeCell ref="F88:M88"/>
    <mergeCell ref="F89:M89"/>
    <mergeCell ref="F90:M90"/>
    <mergeCell ref="F86:G86"/>
    <mergeCell ref="F109:M109"/>
    <mergeCell ref="F111:M111"/>
    <mergeCell ref="F112:M112"/>
    <mergeCell ref="F113:M113"/>
    <mergeCell ref="F114:M114"/>
    <mergeCell ref="F116:M116"/>
    <mergeCell ref="F110:G110"/>
    <mergeCell ref="F115:G115"/>
    <mergeCell ref="F99:M99"/>
    <mergeCell ref="F103:M103"/>
    <mergeCell ref="F104:M104"/>
    <mergeCell ref="F105:M105"/>
    <mergeCell ref="F107:M107"/>
    <mergeCell ref="F108:M108"/>
    <mergeCell ref="F102:G102"/>
    <mergeCell ref="F106:G106"/>
    <mergeCell ref="F127:M127"/>
    <mergeCell ref="F128:M128"/>
    <mergeCell ref="F129:M129"/>
    <mergeCell ref="F131:M131"/>
    <mergeCell ref="F132:M132"/>
    <mergeCell ref="F133:M133"/>
    <mergeCell ref="F130:G130"/>
    <mergeCell ref="F117:M117"/>
    <mergeCell ref="F118:M118"/>
    <mergeCell ref="F119:M119"/>
    <mergeCell ref="F121:M121"/>
    <mergeCell ref="F122:M122"/>
    <mergeCell ref="F123:M123"/>
    <mergeCell ref="F120:G120"/>
    <mergeCell ref="F142:M142"/>
    <mergeCell ref="F143:M143"/>
    <mergeCell ref="F145:M145"/>
    <mergeCell ref="F146:M146"/>
    <mergeCell ref="F147:M147"/>
    <mergeCell ref="F151:M151"/>
    <mergeCell ref="F144:G144"/>
    <mergeCell ref="F150:G150"/>
    <mergeCell ref="F135:M135"/>
    <mergeCell ref="F136:M136"/>
    <mergeCell ref="F137:M137"/>
    <mergeCell ref="F138:M138"/>
    <mergeCell ref="F140:M140"/>
    <mergeCell ref="F141:M141"/>
    <mergeCell ref="F139:G139"/>
    <mergeCell ref="F160:M160"/>
    <mergeCell ref="F161:M161"/>
    <mergeCell ref="F162:M162"/>
    <mergeCell ref="F164:M164"/>
    <mergeCell ref="F165:M165"/>
    <mergeCell ref="F166:M166"/>
    <mergeCell ref="F163:G163"/>
    <mergeCell ref="F152:M152"/>
    <mergeCell ref="F153:M153"/>
    <mergeCell ref="F155:M155"/>
    <mergeCell ref="F156:M156"/>
    <mergeCell ref="F157:M157"/>
    <mergeCell ref="F159:M159"/>
    <mergeCell ref="F154:G154"/>
    <mergeCell ref="F158:G158"/>
    <mergeCell ref="F182:G182"/>
    <mergeCell ref="F167:M167"/>
    <mergeCell ref="F169:M169"/>
    <mergeCell ref="F170:M170"/>
    <mergeCell ref="F171:M171"/>
    <mergeCell ref="F175:M175"/>
    <mergeCell ref="F176:M176"/>
    <mergeCell ref="F168:G168"/>
    <mergeCell ref="F174:G174"/>
    <mergeCell ref="F193:M193"/>
    <mergeCell ref="F194:M194"/>
    <mergeCell ref="F195:M195"/>
    <mergeCell ref="B24:B28"/>
    <mergeCell ref="D25:D28"/>
    <mergeCell ref="E25:E28"/>
    <mergeCell ref="F58:G58"/>
    <mergeCell ref="F62:G62"/>
    <mergeCell ref="F67:G67"/>
    <mergeCell ref="F72:G72"/>
    <mergeCell ref="F185:M185"/>
    <mergeCell ref="F186:M186"/>
    <mergeCell ref="F188:M188"/>
    <mergeCell ref="F189:M189"/>
    <mergeCell ref="F190:M190"/>
    <mergeCell ref="F191:M191"/>
    <mergeCell ref="F187:G187"/>
    <mergeCell ref="F177:M177"/>
    <mergeCell ref="F179:M179"/>
    <mergeCell ref="F180:M180"/>
    <mergeCell ref="F181:M181"/>
    <mergeCell ref="F183:M183"/>
    <mergeCell ref="F184:M184"/>
    <mergeCell ref="F178:G178"/>
    <mergeCell ref="C7:M7"/>
    <mergeCell ref="A4:K4"/>
    <mergeCell ref="L4:M4"/>
    <mergeCell ref="A23:M23"/>
    <mergeCell ref="F30:G30"/>
    <mergeCell ref="F54:G54"/>
    <mergeCell ref="F34:G34"/>
    <mergeCell ref="F38:G38"/>
    <mergeCell ref="F43:G43"/>
    <mergeCell ref="F48:G48"/>
    <mergeCell ref="F49:M49"/>
    <mergeCell ref="F50:M50"/>
    <mergeCell ref="F51:M51"/>
    <mergeCell ref="F41:M41"/>
    <mergeCell ref="F46:M46"/>
    <mergeCell ref="A26:A28"/>
    <mergeCell ref="F39:M39"/>
    <mergeCell ref="F40:M40"/>
    <mergeCell ref="F42:M42"/>
    <mergeCell ref="F44:M44"/>
    <mergeCell ref="F45:M45"/>
    <mergeCell ref="F47:M47"/>
    <mergeCell ref="F31:M31"/>
    <mergeCell ref="F32:M32"/>
  </mergeCells>
  <pageMargins left="0.7" right="0.7" top="0.75" bottom="0.75" header="0.3" footer="0.3"/>
  <pageSetup fitToHeight="0" orientation="portrait" r:id="rId1"/>
  <headerFooter>
    <oddFooter>&amp;C&amp;9page &amp;P of &amp;N</oddFooter>
  </headerFooter>
  <legacyDrawing r:id="rId2"/>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codeName="Sheet13">
    <pageSetUpPr fitToPage="1"/>
  </sheetPr>
  <dimension ref="B1:M109"/>
  <sheetViews>
    <sheetView showGridLines="0" zoomScale="120" zoomScaleNormal="120" workbookViewId="0">
      <selection activeCell="G36" sqref="G36"/>
    </sheetView>
  </sheetViews>
  <sheetFormatPr defaultColWidth="9.109375" defaultRowHeight="13.2"/>
  <cols>
    <col min="1" max="1" width="2.109375" style="1259" customWidth="1"/>
    <col min="2" max="2" width="12.44140625" style="1259" customWidth="1"/>
    <col min="3" max="3" width="12.109375" style="1259" customWidth="1"/>
    <col min="4" max="4" width="9.88671875" style="1259" customWidth="1"/>
    <col min="5" max="5" width="10.44140625" style="1259" customWidth="1"/>
    <col min="6" max="6" width="9.109375" style="1259"/>
    <col min="7" max="7" width="11" style="1259" customWidth="1"/>
    <col min="8" max="8" width="14.44140625" style="1259" customWidth="1"/>
    <col min="9" max="9" width="10.109375" style="1259" customWidth="1"/>
    <col min="10" max="16384" width="9.109375" style="1259"/>
  </cols>
  <sheetData>
    <row r="1" spans="2:13" ht="15.6">
      <c r="B1" s="3407" t="s">
        <v>3915</v>
      </c>
      <c r="C1" s="3407"/>
      <c r="D1" s="3407"/>
      <c r="E1" s="3407"/>
      <c r="F1" s="3407"/>
      <c r="G1" s="3407"/>
      <c r="H1" s="3407"/>
      <c r="I1" s="3407"/>
    </row>
    <row r="2" spans="2:13" ht="13.8">
      <c r="B2" s="1260" t="s">
        <v>3903</v>
      </c>
      <c r="C2" s="778"/>
      <c r="D2" s="778"/>
      <c r="E2" s="778"/>
      <c r="F2" s="778"/>
      <c r="G2" s="778"/>
      <c r="H2" s="778"/>
      <c r="I2" s="778"/>
    </row>
    <row r="3" spans="2:13" ht="13.8">
      <c r="B3" s="1261" t="s">
        <v>3910</v>
      </c>
      <c r="C3" s="778"/>
      <c r="D3" s="778"/>
      <c r="E3" s="778"/>
      <c r="F3" s="778"/>
      <c r="G3" s="778"/>
      <c r="H3" s="778"/>
      <c r="I3" s="778"/>
    </row>
    <row r="4" spans="2:13">
      <c r="B4" s="3408" t="s">
        <v>3141</v>
      </c>
      <c r="C4" s="3408"/>
      <c r="D4" s="3408"/>
      <c r="E4" s="3414" t="s">
        <v>3142</v>
      </c>
      <c r="F4" s="3416"/>
      <c r="G4" s="3414" t="s">
        <v>599</v>
      </c>
      <c r="H4" s="3415"/>
      <c r="I4" s="3416"/>
      <c r="J4" s="1254" t="s">
        <v>2987</v>
      </c>
      <c r="K4" s="1254"/>
      <c r="L4" s="1262"/>
      <c r="M4" s="1262"/>
    </row>
    <row r="5" spans="2:13">
      <c r="B5" s="3409" t="str">
        <f>'Closing term sheet'!C8</f>
        <v>Harper Woods Apartments II, LP</v>
      </c>
      <c r="C5" s="3410"/>
      <c r="D5" s="3410"/>
      <c r="E5" s="3420"/>
      <c r="F5" s="3421"/>
      <c r="G5" s="3417" t="str">
        <f>'Closing term sheet'!C28</f>
        <v>Harper Woods II</v>
      </c>
      <c r="H5" s="3418"/>
      <c r="I5" s="3419"/>
      <c r="K5" s="730"/>
    </row>
    <row r="6" spans="2:13" ht="4.5" customHeight="1">
      <c r="D6" s="1263"/>
      <c r="E6" s="1263"/>
      <c r="F6" s="1263"/>
      <c r="G6" s="1263"/>
      <c r="H6" s="1263"/>
      <c r="I6" s="1263"/>
      <c r="K6" s="730"/>
    </row>
    <row r="7" spans="2:13">
      <c r="B7" s="3411" t="s">
        <v>3143</v>
      </c>
      <c r="C7" s="3411"/>
      <c r="D7" s="1264"/>
      <c r="E7" s="1264"/>
      <c r="F7" s="1264"/>
      <c r="G7" s="1264"/>
      <c r="H7" s="3412" t="str">
        <f>'Preview term'!E9</f>
        <v>TBD</v>
      </c>
      <c r="I7" s="3413"/>
    </row>
    <row r="8" spans="2:13" ht="4.5" customHeight="1">
      <c r="B8" s="1264"/>
      <c r="C8" s="1264"/>
      <c r="D8" s="1264"/>
      <c r="E8" s="1264"/>
      <c r="F8" s="1264"/>
      <c r="G8" s="1264"/>
      <c r="H8" s="1264"/>
      <c r="I8" s="1264"/>
      <c r="J8" s="1264"/>
    </row>
    <row r="9" spans="2:13">
      <c r="B9" s="1265" t="s">
        <v>3144</v>
      </c>
      <c r="C9" s="1265"/>
      <c r="D9" s="1264"/>
      <c r="E9" s="787" t="s">
        <v>3905</v>
      </c>
      <c r="F9" s="1264"/>
      <c r="G9" s="1264"/>
      <c r="H9" s="1264"/>
      <c r="I9" s="1266" t="str">
        <f>'Closing term sheet'!D12</f>
        <v>&lt;&lt;Select&gt;&gt;</v>
      </c>
    </row>
    <row r="10" spans="2:13" ht="7.5" customHeight="1">
      <c r="B10" s="1264"/>
      <c r="C10" s="1264"/>
      <c r="D10" s="1264"/>
      <c r="E10" s="1264"/>
      <c r="F10" s="1264"/>
      <c r="G10" s="1264"/>
      <c r="H10" s="1264"/>
      <c r="I10" s="1264"/>
    </row>
    <row r="11" spans="2:13" ht="13.8">
      <c r="B11" s="1267" t="s">
        <v>3902</v>
      </c>
      <c r="C11" s="1264"/>
      <c r="D11" s="1268"/>
      <c r="E11" s="1264"/>
      <c r="F11" s="1264"/>
      <c r="G11" s="1264"/>
      <c r="H11" s="1264"/>
      <c r="I11" s="1264"/>
    </row>
    <row r="12" spans="2:13">
      <c r="B12" s="1269" t="s">
        <v>3145</v>
      </c>
      <c r="C12" s="1270"/>
      <c r="D12" s="1270"/>
      <c r="E12" s="1270"/>
      <c r="F12" s="1270"/>
      <c r="G12" s="1270"/>
      <c r="H12" s="1270"/>
      <c r="I12" s="1271" t="s">
        <v>1727</v>
      </c>
    </row>
    <row r="13" spans="2:13">
      <c r="B13" s="1272"/>
      <c r="C13" s="1273"/>
      <c r="D13" s="1264"/>
      <c r="E13" s="787" t="s">
        <v>3146</v>
      </c>
      <c r="F13" s="1264"/>
      <c r="G13" s="1264"/>
      <c r="H13" s="1264"/>
      <c r="I13" s="1274"/>
    </row>
    <row r="14" spans="2:13" ht="7.5" customHeight="1">
      <c r="B14" s="1275"/>
      <c r="C14" s="1264"/>
      <c r="D14" s="1264"/>
      <c r="E14" s="1264"/>
      <c r="F14" s="1268"/>
      <c r="G14" s="1264"/>
      <c r="H14" s="1264"/>
      <c r="I14" s="1274"/>
    </row>
    <row r="15" spans="2:13">
      <c r="B15" s="1275" t="s">
        <v>3241</v>
      </c>
      <c r="C15" s="1264"/>
      <c r="D15" s="1264"/>
      <c r="E15" s="1264"/>
      <c r="F15" s="807"/>
      <c r="G15" s="1264"/>
      <c r="H15" s="1264"/>
      <c r="I15" s="1276"/>
    </row>
    <row r="16" spans="2:13">
      <c r="B16" s="1277" t="s">
        <v>3906</v>
      </c>
      <c r="C16" s="1264"/>
      <c r="D16" s="1264"/>
      <c r="E16" s="1278" t="s">
        <v>3328</v>
      </c>
      <c r="F16" s="1264"/>
      <c r="G16" s="1264"/>
      <c r="H16" s="1264"/>
      <c r="I16" s="1276"/>
    </row>
    <row r="17" spans="2:9" ht="7.5" customHeight="1">
      <c r="B17" s="1272"/>
      <c r="C17" s="1264"/>
      <c r="D17" s="1264"/>
      <c r="E17" s="1264"/>
      <c r="F17" s="1264"/>
      <c r="G17" s="1264"/>
      <c r="H17" s="1264"/>
      <c r="I17" s="1274"/>
    </row>
    <row r="18" spans="2:9">
      <c r="B18" s="1275" t="s">
        <v>3147</v>
      </c>
      <c r="C18" s="1264"/>
      <c r="D18" s="1264"/>
      <c r="E18" s="1264"/>
      <c r="F18" s="1264"/>
      <c r="G18" s="1264"/>
      <c r="H18" s="1264"/>
      <c r="I18" s="1279" t="s">
        <v>1727</v>
      </c>
    </row>
    <row r="19" spans="2:9">
      <c r="B19" s="1280" t="s">
        <v>3907</v>
      </c>
      <c r="C19" s="1264"/>
      <c r="D19" s="1264"/>
      <c r="E19" s="1264"/>
      <c r="F19" s="1264"/>
      <c r="G19" s="1264"/>
      <c r="H19" s="1264"/>
      <c r="I19" s="1281"/>
    </row>
    <row r="20" spans="2:9" ht="7.5" customHeight="1">
      <c r="B20" s="1275"/>
      <c r="C20" s="1264"/>
      <c r="D20" s="1264"/>
      <c r="E20" s="1264"/>
      <c r="F20" s="1264"/>
      <c r="G20" s="1264"/>
      <c r="H20" s="1264"/>
      <c r="I20" s="1281"/>
    </row>
    <row r="21" spans="2:9">
      <c r="B21" s="1275" t="s">
        <v>3904</v>
      </c>
      <c r="C21" s="1264"/>
      <c r="D21" s="1264"/>
      <c r="E21" s="1264"/>
      <c r="F21" s="1264"/>
      <c r="G21" s="1264"/>
      <c r="H21" s="1264"/>
      <c r="I21" s="1276"/>
    </row>
    <row r="22" spans="2:9">
      <c r="B22" s="1280" t="s">
        <v>3908</v>
      </c>
      <c r="C22" s="1264"/>
      <c r="D22" s="1264"/>
      <c r="E22" s="1264"/>
      <c r="F22" s="1264"/>
      <c r="G22" s="1264"/>
      <c r="H22" s="1264"/>
      <c r="I22" s="1281"/>
    </row>
    <row r="23" spans="2:9" ht="3" customHeight="1">
      <c r="B23" s="1282"/>
      <c r="C23" s="1283"/>
      <c r="D23" s="1283"/>
      <c r="E23" s="1283"/>
      <c r="F23" s="1283"/>
      <c r="G23" s="1283"/>
      <c r="H23" s="1283"/>
      <c r="I23" s="1284"/>
    </row>
    <row r="24" spans="2:9" ht="7.5" customHeight="1">
      <c r="B24" s="1264"/>
      <c r="C24" s="1264"/>
      <c r="D24" s="1264"/>
      <c r="E24" s="1264"/>
      <c r="F24" s="1264"/>
      <c r="G24" s="1264"/>
      <c r="H24" s="1264"/>
      <c r="I24" s="1264"/>
    </row>
    <row r="25" spans="2:9" ht="15" customHeight="1">
      <c r="B25" s="1267" t="s">
        <v>3909</v>
      </c>
      <c r="C25" s="1264"/>
      <c r="D25" s="1264"/>
      <c r="E25" s="1264"/>
      <c r="F25" s="1264"/>
      <c r="G25" s="1264"/>
      <c r="H25" s="1264"/>
      <c r="I25" s="1264"/>
    </row>
    <row r="26" spans="2:9" ht="3" customHeight="1">
      <c r="B26" s="1285"/>
      <c r="C26" s="1270"/>
      <c r="D26" s="1270"/>
      <c r="E26" s="1270"/>
      <c r="F26" s="1270"/>
      <c r="G26" s="1270"/>
      <c r="H26" s="1270"/>
      <c r="I26" s="1286"/>
    </row>
    <row r="27" spans="2:9">
      <c r="B27" s="1275" t="s">
        <v>3148</v>
      </c>
      <c r="C27" s="1264"/>
      <c r="D27" s="1287">
        <v>2</v>
      </c>
      <c r="F27" s="1264"/>
      <c r="G27" s="807" t="s">
        <v>3149</v>
      </c>
      <c r="H27" s="1264"/>
      <c r="I27" s="1288">
        <v>2</v>
      </c>
    </row>
    <row r="28" spans="2:9">
      <c r="B28" s="1272"/>
      <c r="C28" s="1278" t="s">
        <v>3150</v>
      </c>
      <c r="D28" s="1289"/>
      <c r="E28" s="1289"/>
      <c r="F28" s="1289"/>
      <c r="H28" s="1289" t="s">
        <v>3151</v>
      </c>
      <c r="I28" s="1274"/>
    </row>
    <row r="29" spans="2:9">
      <c r="B29" s="1272"/>
      <c r="C29" s="1278" t="s">
        <v>3152</v>
      </c>
      <c r="D29" s="1289"/>
      <c r="E29" s="1289"/>
      <c r="F29" s="1289"/>
      <c r="H29" s="1289" t="s">
        <v>3153</v>
      </c>
      <c r="I29" s="1274"/>
    </row>
    <row r="30" spans="2:9">
      <c r="B30" s="1272"/>
      <c r="C30" s="1278" t="s">
        <v>3154</v>
      </c>
      <c r="D30" s="1289"/>
      <c r="E30" s="1289"/>
      <c r="F30" s="1289"/>
      <c r="H30" s="1289" t="s">
        <v>3155</v>
      </c>
      <c r="I30" s="1274"/>
    </row>
    <row r="31" spans="2:9" ht="3" customHeight="1">
      <c r="B31" s="1282"/>
      <c r="C31" s="1283"/>
      <c r="D31" s="1283"/>
      <c r="E31" s="1283"/>
      <c r="F31" s="1283"/>
      <c r="G31" s="1283"/>
      <c r="H31" s="1283"/>
      <c r="I31" s="1284"/>
    </row>
    <row r="32" spans="2:9" ht="7.5" customHeight="1"/>
    <row r="33" spans="2:9" ht="15" customHeight="1">
      <c r="B33" s="726" t="s">
        <v>3911</v>
      </c>
    </row>
    <row r="34" spans="2:9" ht="3" customHeight="1">
      <c r="B34" s="1285"/>
      <c r="C34" s="1270"/>
      <c r="D34" s="1270"/>
      <c r="E34" s="1270"/>
      <c r="F34" s="1270"/>
      <c r="G34" s="1270"/>
      <c r="H34" s="1270"/>
      <c r="I34" s="1286"/>
    </row>
    <row r="35" spans="2:9">
      <c r="B35" s="1275" t="s">
        <v>3914</v>
      </c>
      <c r="C35" s="1264"/>
      <c r="D35" s="1264"/>
      <c r="F35" s="1290"/>
      <c r="H35" s="3392" t="s">
        <v>3923</v>
      </c>
      <c r="I35" s="3393"/>
    </row>
    <row r="36" spans="2:9">
      <c r="B36" s="1291" t="s">
        <v>3922</v>
      </c>
      <c r="C36" s="1289"/>
      <c r="D36" s="1289"/>
      <c r="E36" s="1264"/>
      <c r="F36" s="1533"/>
      <c r="G36" s="1292"/>
      <c r="H36" s="3392"/>
      <c r="I36" s="3393"/>
    </row>
    <row r="37" spans="2:9">
      <c r="B37" s="1291" t="s">
        <v>3920</v>
      </c>
      <c r="D37" s="1289"/>
      <c r="E37" s="1264"/>
      <c r="F37" s="1534"/>
      <c r="G37" s="1292"/>
      <c r="H37" s="3392"/>
      <c r="I37" s="3393"/>
    </row>
    <row r="38" spans="2:9">
      <c r="B38" s="1291" t="s">
        <v>3921</v>
      </c>
      <c r="D38" s="1264"/>
      <c r="E38" s="1264"/>
      <c r="F38" s="1534"/>
      <c r="G38" s="1292"/>
      <c r="H38" s="1292"/>
      <c r="I38" s="1293"/>
    </row>
    <row r="39" spans="2:9" ht="12.75" customHeight="1">
      <c r="B39" s="1291" t="s">
        <v>3919</v>
      </c>
      <c r="C39" s="1264"/>
      <c r="D39" s="1264"/>
      <c r="E39" s="1264"/>
      <c r="F39" s="1534"/>
      <c r="G39" s="1292"/>
      <c r="H39" s="1292"/>
      <c r="I39" s="1293"/>
    </row>
    <row r="40" spans="2:9">
      <c r="B40" s="1294" t="s">
        <v>3918</v>
      </c>
      <c r="C40" s="1295"/>
      <c r="D40" s="1296"/>
      <c r="E40" s="1297"/>
      <c r="F40" s="1534"/>
      <c r="G40" s="1297"/>
      <c r="H40" s="1532"/>
      <c r="I40" s="1274"/>
    </row>
    <row r="41" spans="2:9">
      <c r="B41" s="1294" t="s">
        <v>3917</v>
      </c>
      <c r="C41" s="1295"/>
      <c r="D41" s="1296"/>
      <c r="E41" s="1264"/>
      <c r="F41" s="1534"/>
      <c r="G41" s="1264"/>
      <c r="H41" s="1264"/>
      <c r="I41" s="1274"/>
    </row>
    <row r="42" spans="2:9">
      <c r="B42" s="1298" t="s">
        <v>3916</v>
      </c>
      <c r="C42" s="1299"/>
      <c r="D42" s="1299"/>
      <c r="E42" s="1264"/>
      <c r="F42" s="1535"/>
      <c r="G42" s="1264"/>
      <c r="H42" s="1264"/>
      <c r="I42" s="1274"/>
    </row>
    <row r="43" spans="2:9" ht="3" customHeight="1">
      <c r="B43" s="1282"/>
      <c r="C43" s="1283"/>
      <c r="D43" s="1283"/>
      <c r="E43" s="1283"/>
      <c r="F43" s="1283"/>
      <c r="G43" s="1283"/>
      <c r="H43" s="1283"/>
      <c r="I43" s="1284"/>
    </row>
    <row r="44" spans="2:9" ht="7.5" customHeight="1"/>
    <row r="45" spans="2:9" ht="15" customHeight="1">
      <c r="B45" s="726" t="s">
        <v>3913</v>
      </c>
    </row>
    <row r="46" spans="2:9" ht="3" customHeight="1">
      <c r="B46" s="1285"/>
      <c r="C46" s="1270"/>
      <c r="D46" s="1270"/>
      <c r="E46" s="1270"/>
      <c r="F46" s="1270"/>
      <c r="G46" s="1270"/>
      <c r="H46" s="1270"/>
      <c r="I46" s="1286"/>
    </row>
    <row r="47" spans="2:9" ht="19.2">
      <c r="B47" s="1275" t="s">
        <v>3912</v>
      </c>
      <c r="C47" s="1264"/>
      <c r="D47" s="1300"/>
      <c r="E47" s="1301" t="str">
        <f>'Sensitivity Analysis'!H7</f>
        <v>New Construction</v>
      </c>
      <c r="F47" s="754" t="s">
        <v>3924</v>
      </c>
      <c r="H47" s="1264"/>
      <c r="I47" s="1274"/>
    </row>
    <row r="48" spans="2:9">
      <c r="B48" s="1280" t="s">
        <v>3156</v>
      </c>
      <c r="C48" s="1289"/>
      <c r="D48" s="1289" t="s">
        <v>3157</v>
      </c>
      <c r="E48" s="1264"/>
      <c r="F48" s="3401" t="str">
        <f>'Closing term sheet'!$C$30</f>
        <v xml:space="preserve">6000 Warm Springs Road </v>
      </c>
      <c r="G48" s="3402"/>
      <c r="H48" s="3402"/>
      <c r="I48" s="3403"/>
    </row>
    <row r="49" spans="2:9">
      <c r="B49" s="1280" t="s">
        <v>3158</v>
      </c>
      <c r="D49" s="1289" t="s">
        <v>3159</v>
      </c>
      <c r="E49" s="1264"/>
      <c r="F49" s="3404"/>
      <c r="G49" s="3405"/>
      <c r="H49" s="3405"/>
      <c r="I49" s="3406"/>
    </row>
    <row r="50" spans="2:9">
      <c r="B50" s="1280" t="s">
        <v>3160</v>
      </c>
      <c r="D50" s="1264"/>
      <c r="E50" s="1264"/>
      <c r="F50" s="1302"/>
      <c r="G50" s="1303"/>
      <c r="H50" s="1303"/>
      <c r="I50" s="1304"/>
    </row>
    <row r="51" spans="2:9" ht="7.5" customHeight="1">
      <c r="B51" s="1272"/>
      <c r="C51" s="1264"/>
      <c r="D51" s="1264"/>
      <c r="E51" s="1264"/>
      <c r="F51" s="1264"/>
      <c r="G51" s="1264"/>
      <c r="H51" s="1264"/>
      <c r="I51" s="1274"/>
    </row>
    <row r="52" spans="2:9">
      <c r="B52" s="1305" t="s">
        <v>3925</v>
      </c>
      <c r="C52" s="3424" t="str">
        <f>'Part I-Project Information'!F38</f>
        <v>Columbus</v>
      </c>
      <c r="D52" s="3425"/>
      <c r="E52" s="1306" t="s">
        <v>3926</v>
      </c>
      <c r="F52" s="1266" t="s">
        <v>828</v>
      </c>
      <c r="G52" s="1306" t="s">
        <v>3927</v>
      </c>
      <c r="H52" s="1307">
        <f>'Part I-Project Information'!J38</f>
        <v>319094312</v>
      </c>
      <c r="I52" s="1274"/>
    </row>
    <row r="53" spans="2:9">
      <c r="B53" s="1305" t="s">
        <v>4089</v>
      </c>
      <c r="D53" s="1308" t="e">
        <f>VLOOKUP("='Part I-Project Information'!$J$39",'DCA Underwriting Assumptions'!$G$173:$O$332,9)</f>
        <v>#N/A</v>
      </c>
      <c r="I53" s="1274"/>
    </row>
    <row r="54" spans="2:9">
      <c r="B54" s="1305" t="s">
        <v>4090</v>
      </c>
      <c r="D54" s="1264"/>
      <c r="E54" s="1264"/>
      <c r="F54" s="1264"/>
      <c r="G54" s="1264"/>
      <c r="I54" s="1274"/>
    </row>
    <row r="55" spans="2:9">
      <c r="B55" s="1298" t="s">
        <v>4091</v>
      </c>
      <c r="D55" s="1309">
        <f>'Closing term sheet'!$D$33</f>
        <v>72</v>
      </c>
      <c r="E55" s="1310"/>
      <c r="F55" s="787" t="s">
        <v>3161</v>
      </c>
      <c r="G55" s="1264"/>
      <c r="H55" s="1264"/>
      <c r="I55" s="1274"/>
    </row>
    <row r="56" spans="2:9">
      <c r="B56" s="1298" t="s">
        <v>4093</v>
      </c>
      <c r="D56" s="1311">
        <f>'Closing term sheet'!$D$62</f>
        <v>930000</v>
      </c>
      <c r="E56" s="1312"/>
      <c r="F56" s="787" t="s">
        <v>3162</v>
      </c>
      <c r="G56" s="1264"/>
      <c r="H56" s="1264"/>
      <c r="I56" s="1274"/>
    </row>
    <row r="57" spans="2:9">
      <c r="B57" s="1291" t="s">
        <v>4092</v>
      </c>
      <c r="D57" s="1313"/>
      <c r="F57" s="787" t="s">
        <v>3163</v>
      </c>
      <c r="G57" s="1264"/>
      <c r="H57" s="1264"/>
      <c r="I57" s="1274"/>
    </row>
    <row r="58" spans="2:9" ht="7.5" customHeight="1">
      <c r="B58" s="1282"/>
      <c r="C58" s="1283"/>
      <c r="D58" s="1283"/>
      <c r="E58" s="1283"/>
      <c r="F58" s="1283"/>
      <c r="G58" s="1283"/>
      <c r="H58" s="1283"/>
      <c r="I58" s="1284"/>
    </row>
    <row r="59" spans="2:9" ht="15" customHeight="1"/>
    <row r="60" spans="2:9" ht="7.5" customHeight="1">
      <c r="B60" s="1285"/>
      <c r="C60" s="1270"/>
      <c r="D60" s="1270"/>
      <c r="E60" s="1270"/>
      <c r="F60" s="1270"/>
      <c r="G60" s="1270"/>
      <c r="H60" s="1270"/>
      <c r="I60" s="1286"/>
    </row>
    <row r="61" spans="2:9">
      <c r="B61" s="3429" t="s">
        <v>3164</v>
      </c>
      <c r="C61" s="3430"/>
      <c r="D61" s="3430"/>
      <c r="E61" s="3430"/>
      <c r="F61" s="3430"/>
      <c r="G61" s="3430"/>
      <c r="H61" s="3430"/>
      <c r="I61" s="3431"/>
    </row>
    <row r="62" spans="2:9" ht="7.5" customHeight="1">
      <c r="B62" s="3426"/>
      <c r="C62" s="3427"/>
      <c r="D62" s="3427"/>
      <c r="E62" s="1264"/>
      <c r="F62" s="1264"/>
      <c r="G62" s="1314"/>
      <c r="H62" s="1264"/>
      <c r="I62" s="1274"/>
    </row>
    <row r="63" spans="2:9">
      <c r="B63" s="1315" t="s">
        <v>3166</v>
      </c>
      <c r="C63" s="1264"/>
      <c r="D63" s="1309">
        <v>4</v>
      </c>
      <c r="F63" s="1264"/>
      <c r="G63" s="3411" t="s">
        <v>3165</v>
      </c>
      <c r="H63" s="3411"/>
      <c r="I63" s="3428"/>
    </row>
    <row r="64" spans="2:9">
      <c r="B64" s="1272"/>
      <c r="C64" s="1289" t="s">
        <v>3169</v>
      </c>
      <c r="D64" s="1289" t="s">
        <v>3170</v>
      </c>
      <c r="F64" s="1264"/>
      <c r="G64" s="799" t="s">
        <v>3167</v>
      </c>
      <c r="H64" s="1264"/>
      <c r="I64" s="1316">
        <f>'Closing term sheet'!$D$35</f>
        <v>72</v>
      </c>
    </row>
    <row r="65" spans="2:9">
      <c r="B65" s="1272"/>
      <c r="C65" s="1289" t="s">
        <v>3171</v>
      </c>
      <c r="D65" s="1289" t="s">
        <v>3172</v>
      </c>
      <c r="F65" s="1264"/>
      <c r="G65" s="1317" t="s">
        <v>3168</v>
      </c>
      <c r="H65" s="1264"/>
      <c r="I65" s="1316">
        <f>C42</f>
        <v>0</v>
      </c>
    </row>
    <row r="66" spans="2:9">
      <c r="B66" s="1280"/>
      <c r="C66" s="1289" t="s">
        <v>3173</v>
      </c>
      <c r="D66" s="1264"/>
      <c r="E66" s="1289"/>
      <c r="F66" s="1264"/>
      <c r="H66" s="1264"/>
      <c r="I66" s="1318"/>
    </row>
    <row r="67" spans="2:9" ht="7.5" customHeight="1">
      <c r="B67" s="1282"/>
      <c r="C67" s="1283"/>
      <c r="D67" s="1283"/>
      <c r="E67" s="1283"/>
      <c r="F67" s="1283"/>
      <c r="G67" s="1283"/>
      <c r="H67" s="1283"/>
      <c r="I67" s="1284"/>
    </row>
    <row r="68" spans="2:9" ht="15" customHeight="1">
      <c r="B68" s="1264"/>
      <c r="C68" s="1264"/>
      <c r="D68" s="1264"/>
      <c r="E68" s="1264"/>
      <c r="F68" s="1264"/>
      <c r="G68" s="1264"/>
      <c r="H68" s="1264"/>
      <c r="I68" s="1264"/>
    </row>
    <row r="69" spans="2:9" ht="7.5" customHeight="1">
      <c r="B69" s="1285"/>
      <c r="C69" s="1270"/>
      <c r="D69" s="1270"/>
      <c r="E69" s="1270"/>
      <c r="F69" s="1270"/>
      <c r="G69" s="1270"/>
      <c r="H69" s="1270"/>
      <c r="I69" s="1286"/>
    </row>
    <row r="70" spans="2:9">
      <c r="B70" s="1275" t="s">
        <v>3174</v>
      </c>
      <c r="C70" s="1264"/>
      <c r="D70" s="1264"/>
      <c r="E70" s="1264"/>
      <c r="F70" s="1264"/>
      <c r="G70" s="1264"/>
      <c r="H70" s="1264"/>
      <c r="I70" s="1274"/>
    </row>
    <row r="71" spans="2:9" ht="7.5" customHeight="1">
      <c r="B71" s="1272"/>
      <c r="C71" s="1264"/>
      <c r="D71" s="1264"/>
      <c r="E71" s="1264"/>
      <c r="F71" s="1264"/>
      <c r="G71" s="1264"/>
      <c r="H71" s="1264"/>
      <c r="I71" s="1274"/>
    </row>
    <row r="72" spans="2:9">
      <c r="B72" s="1275" t="s">
        <v>3175</v>
      </c>
      <c r="D72" s="1264"/>
      <c r="E72" s="1264"/>
      <c r="F72" s="1264"/>
      <c r="G72" s="1264"/>
      <c r="H72" s="1264"/>
      <c r="I72" s="1300"/>
    </row>
    <row r="73" spans="2:9" ht="7.5" customHeight="1">
      <c r="B73" s="1272"/>
      <c r="C73" s="1264"/>
      <c r="D73" s="1264"/>
      <c r="E73" s="1264"/>
      <c r="F73" s="1264"/>
      <c r="G73" s="1264"/>
      <c r="H73" s="1264"/>
      <c r="I73" s="1274"/>
    </row>
    <row r="74" spans="2:9">
      <c r="B74" s="1272" t="s">
        <v>3176</v>
      </c>
      <c r="D74" s="1264"/>
      <c r="E74" s="1264"/>
      <c r="F74" s="1264" t="s">
        <v>3242</v>
      </c>
      <c r="G74" s="1264"/>
      <c r="H74" s="1264"/>
      <c r="I74" s="1319"/>
    </row>
    <row r="75" spans="2:9">
      <c r="B75" s="1272"/>
      <c r="E75" s="1264"/>
      <c r="F75" s="1264" t="s">
        <v>3243</v>
      </c>
      <c r="G75" s="1264"/>
      <c r="H75" s="1264"/>
      <c r="I75" s="1319"/>
    </row>
    <row r="76" spans="2:9">
      <c r="B76" s="1272"/>
      <c r="E76" s="1264"/>
      <c r="F76" s="1264" t="s">
        <v>3244</v>
      </c>
      <c r="G76" s="1264"/>
      <c r="H76" s="1264"/>
      <c r="I76" s="1319"/>
    </row>
    <row r="77" spans="2:9">
      <c r="B77" s="1272"/>
      <c r="E77" s="1264"/>
      <c r="F77" s="807" t="s">
        <v>3245</v>
      </c>
      <c r="G77" s="1264"/>
      <c r="H77" s="1264"/>
      <c r="I77" s="1319"/>
    </row>
    <row r="78" spans="2:9" ht="7.5" customHeight="1">
      <c r="B78" s="1282"/>
      <c r="C78" s="1283"/>
      <c r="D78" s="1283"/>
      <c r="E78" s="1283"/>
      <c r="F78" s="1283"/>
      <c r="G78" s="1283"/>
      <c r="H78" s="1283"/>
      <c r="I78" s="1284"/>
    </row>
    <row r="79" spans="2:9" ht="7.5" customHeight="1"/>
    <row r="80" spans="2:9">
      <c r="B80" s="1285"/>
      <c r="C80" s="1270"/>
      <c r="D80" s="1270"/>
      <c r="E80" s="1270"/>
      <c r="F80" s="1270"/>
      <c r="G80" s="1270"/>
      <c r="H80" s="1270"/>
      <c r="I80" s="1286"/>
    </row>
    <row r="81" spans="2:9">
      <c r="B81" s="3429" t="s">
        <v>3177</v>
      </c>
      <c r="C81" s="3430"/>
      <c r="D81" s="3430"/>
      <c r="E81" s="3430"/>
      <c r="F81" s="3430"/>
      <c r="G81" s="3430"/>
      <c r="H81" s="3430"/>
      <c r="I81" s="3431"/>
    </row>
    <row r="82" spans="2:9">
      <c r="B82" s="1272"/>
      <c r="C82" s="1264"/>
      <c r="D82" s="1264"/>
      <c r="E82" s="1264"/>
      <c r="F82" s="1264"/>
      <c r="G82" s="1264"/>
      <c r="H82" s="1264"/>
      <c r="I82" s="1274"/>
    </row>
    <row r="83" spans="2:9">
      <c r="B83" s="1275" t="s">
        <v>3178</v>
      </c>
      <c r="C83" s="1264"/>
      <c r="D83" s="1264"/>
      <c r="E83" s="1264"/>
      <c r="F83" s="1264"/>
      <c r="G83" s="1264"/>
      <c r="H83" s="1264"/>
      <c r="I83" s="1274"/>
    </row>
    <row r="84" spans="2:9">
      <c r="B84" s="1272"/>
      <c r="C84" s="807" t="s">
        <v>3179</v>
      </c>
      <c r="D84" s="1264"/>
      <c r="E84" s="1264"/>
      <c r="F84" s="3397">
        <f>'Closing term sheet'!D62</f>
        <v>930000</v>
      </c>
      <c r="G84" s="3397"/>
      <c r="H84" s="1264"/>
      <c r="I84" s="1274"/>
    </row>
    <row r="85" spans="2:9">
      <c r="B85" s="1272"/>
      <c r="C85" s="807" t="s">
        <v>3180</v>
      </c>
      <c r="D85" s="1264"/>
      <c r="E85" s="1264"/>
      <c r="F85" s="3423">
        <f>'Part III-Sources of Funds'!I45+'Part III-Sources of Funds'!L45</f>
        <v>845.87460257489033</v>
      </c>
      <c r="G85" s="3423"/>
      <c r="H85" s="1264"/>
      <c r="I85" s="1274"/>
    </row>
    <row r="86" spans="2:9">
      <c r="B86" s="1272"/>
      <c r="C86" s="807" t="s">
        <v>3181</v>
      </c>
      <c r="D86" s="1264"/>
      <c r="E86" s="1264"/>
      <c r="F86" s="3422"/>
      <c r="G86" s="3422"/>
      <c r="H86" s="1264"/>
      <c r="I86" s="1274"/>
    </row>
    <row r="87" spans="2:9">
      <c r="B87" s="1272"/>
      <c r="C87" s="1289" t="s">
        <v>3182</v>
      </c>
      <c r="D87" s="1264"/>
      <c r="E87" s="1264"/>
      <c r="F87" s="3423">
        <v>11000</v>
      </c>
      <c r="G87" s="3423"/>
      <c r="H87" s="1264"/>
      <c r="I87" s="1274"/>
    </row>
    <row r="88" spans="2:9">
      <c r="B88" s="1272"/>
      <c r="C88" s="807" t="s">
        <v>3183</v>
      </c>
      <c r="D88" s="1264"/>
      <c r="E88" s="1264"/>
      <c r="F88" s="3400"/>
      <c r="G88" s="3400"/>
      <c r="H88" s="1264"/>
      <c r="I88" s="1274"/>
    </row>
    <row r="89" spans="2:9">
      <c r="B89" s="1272"/>
      <c r="C89" s="787" t="s">
        <v>3184</v>
      </c>
      <c r="D89" s="1264"/>
      <c r="E89" s="1264"/>
      <c r="F89" s="3395">
        <f>SUM(F84:G88)</f>
        <v>941845.87460257486</v>
      </c>
      <c r="G89" s="3395"/>
      <c r="H89" s="1264"/>
      <c r="I89" s="1274"/>
    </row>
    <row r="90" spans="2:9">
      <c r="B90" s="1272"/>
      <c r="C90" s="1264"/>
      <c r="D90" s="1264"/>
      <c r="E90" s="1264"/>
      <c r="F90" s="3396"/>
      <c r="G90" s="3396"/>
      <c r="H90" s="1264"/>
      <c r="I90" s="1274"/>
    </row>
    <row r="91" spans="2:9">
      <c r="B91" s="1275" t="s">
        <v>3185</v>
      </c>
      <c r="C91" s="1264"/>
      <c r="D91" s="1264"/>
      <c r="E91" s="1264"/>
      <c r="F91" s="1264"/>
      <c r="G91" s="1264"/>
      <c r="H91" s="1264"/>
      <c r="I91" s="1274"/>
    </row>
    <row r="92" spans="2:9">
      <c r="B92" s="1272"/>
      <c r="C92" s="807" t="s">
        <v>3186</v>
      </c>
      <c r="D92" s="1264"/>
      <c r="E92" s="1264"/>
      <c r="F92" s="3397"/>
      <c r="G92" s="3397"/>
      <c r="H92" s="1264"/>
      <c r="I92" s="1274"/>
    </row>
    <row r="93" spans="2:9">
      <c r="B93" s="1272"/>
      <c r="C93" s="807" t="s">
        <v>3187</v>
      </c>
      <c r="D93" s="1264"/>
      <c r="E93" s="1264"/>
      <c r="F93" s="3398"/>
      <c r="G93" s="3398"/>
      <c r="H93" s="1264"/>
      <c r="I93" s="1274"/>
    </row>
    <row r="94" spans="2:9">
      <c r="B94" s="1272"/>
      <c r="C94" s="807" t="s">
        <v>3188</v>
      </c>
      <c r="D94" s="1264"/>
      <c r="E94" s="1264"/>
      <c r="F94" s="3399" t="s">
        <v>3063</v>
      </c>
      <c r="G94" s="3394"/>
      <c r="H94" s="1264"/>
      <c r="I94" s="1274"/>
    </row>
    <row r="95" spans="2:9">
      <c r="B95" s="1272"/>
      <c r="C95" s="787" t="s">
        <v>3189</v>
      </c>
      <c r="D95" s="1264"/>
      <c r="E95" s="1264"/>
      <c r="F95" s="3395">
        <f>+SUM(F92:G94)</f>
        <v>0</v>
      </c>
      <c r="G95" s="3395"/>
      <c r="H95" s="1264"/>
      <c r="I95" s="1274"/>
    </row>
    <row r="96" spans="2:9">
      <c r="B96" s="1272"/>
      <c r="C96" s="1264"/>
      <c r="D96" s="1264"/>
      <c r="E96" s="1264"/>
      <c r="F96" s="1264"/>
      <c r="G96" s="1264"/>
      <c r="H96" s="1264"/>
      <c r="I96" s="1274"/>
    </row>
    <row r="97" spans="2:9">
      <c r="B97" s="1275" t="s">
        <v>3190</v>
      </c>
      <c r="C97" s="1264"/>
      <c r="D97" s="1264"/>
      <c r="E97" s="1264"/>
      <c r="F97" s="1264"/>
      <c r="G97" s="1264"/>
      <c r="H97" s="1264"/>
      <c r="I97" s="1274"/>
    </row>
    <row r="98" spans="2:9">
      <c r="B98" s="1272"/>
      <c r="C98" s="807" t="s">
        <v>3191</v>
      </c>
      <c r="D98" s="1264"/>
      <c r="E98" s="1264"/>
      <c r="F98" s="3397"/>
      <c r="G98" s="3397"/>
      <c r="H98" s="1264"/>
      <c r="I98" s="1274"/>
    </row>
    <row r="99" spans="2:9">
      <c r="B99" s="1272"/>
      <c r="C99" s="807" t="s">
        <v>3192</v>
      </c>
      <c r="D99" s="1264"/>
      <c r="E99" s="1264"/>
      <c r="F99" s="3398"/>
      <c r="G99" s="3398"/>
      <c r="H99" s="1264"/>
      <c r="I99" s="1274"/>
    </row>
    <row r="100" spans="2:9">
      <c r="B100" s="1272"/>
      <c r="C100" s="807" t="s">
        <v>3193</v>
      </c>
      <c r="D100" s="1264"/>
      <c r="E100" s="1264"/>
      <c r="F100" s="3400"/>
      <c r="G100" s="3400"/>
      <c r="H100" s="1264"/>
      <c r="I100" s="1274"/>
    </row>
    <row r="101" spans="2:9">
      <c r="B101" s="1272"/>
      <c r="C101" s="787" t="s">
        <v>3194</v>
      </c>
      <c r="D101" s="1264"/>
      <c r="E101" s="1264"/>
      <c r="F101" s="3395">
        <f>+SUM(F98:G100)</f>
        <v>0</v>
      </c>
      <c r="G101" s="3395"/>
      <c r="H101" s="1264"/>
      <c r="I101" s="1274"/>
    </row>
    <row r="102" spans="2:9">
      <c r="B102" s="1272"/>
      <c r="C102" s="1264"/>
      <c r="D102" s="1264"/>
      <c r="E102" s="1264"/>
      <c r="F102" s="1264"/>
      <c r="G102" s="1264"/>
      <c r="H102" s="1264"/>
      <c r="I102" s="1274"/>
    </row>
    <row r="103" spans="2:9">
      <c r="B103" s="1315" t="s">
        <v>3195</v>
      </c>
      <c r="C103" s="807"/>
      <c r="D103" s="1264"/>
      <c r="E103" s="1264"/>
      <c r="F103" s="3394">
        <f>'Part III-Sources of Funds'!I46+'Part III-Sources of Funds'!I47</f>
        <v>0</v>
      </c>
      <c r="G103" s="3394"/>
      <c r="H103" s="1264"/>
      <c r="I103" s="1274"/>
    </row>
    <row r="104" spans="2:9">
      <c r="B104" s="1272"/>
      <c r="C104" s="1264"/>
      <c r="D104" s="1264"/>
      <c r="E104" s="1264"/>
      <c r="F104" s="1264"/>
      <c r="G104" s="1264"/>
      <c r="H104" s="1264"/>
      <c r="I104" s="1320" t="s">
        <v>3196</v>
      </c>
    </row>
    <row r="105" spans="2:9">
      <c r="B105" s="1275" t="s">
        <v>3197</v>
      </c>
      <c r="C105" s="1264"/>
      <c r="D105" s="1264"/>
      <c r="E105" s="1264"/>
      <c r="F105" s="3394">
        <f>+F103+F101+F95+F89</f>
        <v>941845.87460257486</v>
      </c>
      <c r="G105" s="3394"/>
      <c r="H105" s="1264"/>
      <c r="I105" s="1274"/>
    </row>
    <row r="106" spans="2:9">
      <c r="B106" s="1282"/>
      <c r="C106" s="1283"/>
      <c r="D106" s="1283"/>
      <c r="E106" s="1283"/>
      <c r="F106" s="1283"/>
      <c r="G106" s="1283"/>
      <c r="H106" s="1283"/>
      <c r="I106" s="1284"/>
    </row>
    <row r="108" spans="2:9">
      <c r="C108" s="1321" t="s">
        <v>2886</v>
      </c>
    </row>
    <row r="109" spans="2:9">
      <c r="C109" s="1321" t="s">
        <v>2889</v>
      </c>
    </row>
  </sheetData>
  <sheetProtection algorithmName="SHA-512" hashValue="+AUSs2phMIkLxK/uQEJF5zdIvxWFImQK8F1jRGWMZ21pJ6YCSSf5h6vUprBy32GqfdIGMC2fPhWrfyHTYU7ocw==" saltValue="CN9PI/AIy4HRswMUClyplA==" spinCount="100000" sheet="1" objects="1" scenarios="1"/>
  <mergeCells count="33">
    <mergeCell ref="F86:G86"/>
    <mergeCell ref="F87:G87"/>
    <mergeCell ref="C52:D52"/>
    <mergeCell ref="B62:D62"/>
    <mergeCell ref="G63:I63"/>
    <mergeCell ref="B81:I81"/>
    <mergeCell ref="B61:I61"/>
    <mergeCell ref="F85:G85"/>
    <mergeCell ref="B1:I1"/>
    <mergeCell ref="B4:D4"/>
    <mergeCell ref="B5:D5"/>
    <mergeCell ref="B7:C7"/>
    <mergeCell ref="H7:I7"/>
    <mergeCell ref="G4:I4"/>
    <mergeCell ref="E4:F4"/>
    <mergeCell ref="G5:I5"/>
    <mergeCell ref="E5:F5"/>
    <mergeCell ref="H35:I37"/>
    <mergeCell ref="F105:G105"/>
    <mergeCell ref="F89:G89"/>
    <mergeCell ref="F90:G90"/>
    <mergeCell ref="F92:G92"/>
    <mergeCell ref="F93:G93"/>
    <mergeCell ref="F94:G94"/>
    <mergeCell ref="F95:G95"/>
    <mergeCell ref="F98:G98"/>
    <mergeCell ref="F99:G99"/>
    <mergeCell ref="F100:G100"/>
    <mergeCell ref="F101:G101"/>
    <mergeCell ref="F103:G103"/>
    <mergeCell ref="F48:I49"/>
    <mergeCell ref="F84:G84"/>
    <mergeCell ref="F88:G88"/>
  </mergeCells>
  <dataValidations count="6">
    <dataValidation type="list" allowBlank="1" showInputMessage="1" showErrorMessage="1" sqref="I15 H40 D57 I19:I22" xr:uid="{00000000-0002-0000-1A00-000000000000}">
      <formula1>$C$108:$C$109</formula1>
    </dataValidation>
    <dataValidation showDropDown="1" showInputMessage="1" showErrorMessage="1" sqref="I9" xr:uid="{00000000-0002-0000-1A00-000001000000}"/>
    <dataValidation type="list" allowBlank="1" showInputMessage="1" showErrorMessage="1" sqref="I16" xr:uid="{00000000-0002-0000-1A00-000002000000}">
      <formula1>"1, 2, 3"</formula1>
    </dataValidation>
    <dataValidation type="list" allowBlank="1" showInputMessage="1" showErrorMessage="1" sqref="F36:F42" xr:uid="{00000000-0002-0000-1A00-000003000000}">
      <formula1>"Y"</formula1>
    </dataValidation>
    <dataValidation type="list" allowBlank="1" showInputMessage="1" showErrorMessage="1" sqref="I12" xr:uid="{00000000-0002-0000-1A00-000004000000}">
      <formula1>"&lt;&lt;Select&gt;&gt;, Yes, No"</formula1>
    </dataValidation>
    <dataValidation type="list" allowBlank="1" showInputMessage="1" showErrorMessage="1" sqref="I18" xr:uid="{00000000-0002-0000-1A00-000005000000}">
      <formula1>"&lt;&lt;Select&gt;&gt;,Yes,No"</formula1>
    </dataValidation>
  </dataValidations>
  <printOptions horizontalCentered="1"/>
  <pageMargins left="0.7" right="0.7" top="0.75" bottom="0.75" header="0.3" footer="0.3"/>
  <pageSetup scale="72" fitToHeight="0" orientation="portrait" r:id="rId1"/>
  <headerFooter>
    <oddFooter>&amp;C&amp;9page &amp;P of &amp;N</oddFooter>
  </headerFooter>
  <rowBreaks count="1" manualBreakCount="1">
    <brk id="78" max="16383" man="1"/>
  </rowBreaks>
  <legacy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B00-000000000000}">
  <sheetPr codeName="Sheet42"/>
  <dimension ref="A1:Z49"/>
  <sheetViews>
    <sheetView showGridLines="0" topLeftCell="C19" workbookViewId="0">
      <selection activeCell="C19" sqref="A1:XFD1048576"/>
    </sheetView>
  </sheetViews>
  <sheetFormatPr defaultColWidth="8.88671875" defaultRowHeight="15.6"/>
  <cols>
    <col min="1" max="1" width="2.109375" style="4230" customWidth="1"/>
    <col min="2" max="13" width="7.88671875" style="4230" customWidth="1"/>
    <col min="14" max="15" width="5.88671875" style="4230" customWidth="1"/>
    <col min="16" max="16384" width="8.88671875" style="4230"/>
  </cols>
  <sheetData>
    <row r="1" spans="1:26" ht="18">
      <c r="N1" s="4231" t="s">
        <v>1467</v>
      </c>
      <c r="O1" s="4231"/>
      <c r="P1" s="4231"/>
      <c r="Q1" s="4231"/>
      <c r="R1" s="4231"/>
      <c r="S1" s="4231"/>
      <c r="T1" s="4231"/>
      <c r="U1" s="4231"/>
      <c r="V1" s="4231"/>
      <c r="W1" s="4231"/>
      <c r="X1" s="4231"/>
      <c r="Y1" s="4231"/>
      <c r="Z1" s="4231"/>
    </row>
    <row r="2" spans="1:26">
      <c r="N2" s="4232" t="s">
        <v>1468</v>
      </c>
      <c r="O2" s="4232"/>
      <c r="P2" s="4232"/>
      <c r="Q2" s="4232"/>
      <c r="R2" s="4232"/>
      <c r="S2" s="4232"/>
      <c r="T2" s="4232"/>
      <c r="U2" s="4232"/>
      <c r="V2" s="4232"/>
      <c r="W2" s="4232"/>
      <c r="X2" s="4232"/>
      <c r="Y2" s="4232"/>
      <c r="Z2" s="4232"/>
    </row>
    <row r="3" spans="1:26">
      <c r="N3" s="4233" t="s">
        <v>1469</v>
      </c>
      <c r="O3" s="4233"/>
      <c r="P3" s="4233"/>
      <c r="Q3" s="4233"/>
      <c r="R3" s="4233"/>
      <c r="S3" s="4233"/>
      <c r="T3" s="4233"/>
      <c r="U3" s="4233"/>
      <c r="V3" s="4233"/>
      <c r="W3" s="4233"/>
      <c r="X3" s="4233"/>
      <c r="Y3" s="4233"/>
      <c r="Z3" s="4233"/>
    </row>
    <row r="4" spans="1:26">
      <c r="B4" s="4234"/>
      <c r="C4" s="4234"/>
      <c r="D4" s="4234"/>
      <c r="E4" s="4234"/>
      <c r="F4" s="4234"/>
      <c r="G4" s="4234"/>
      <c r="H4" s="4234"/>
      <c r="I4" s="4234"/>
      <c r="J4" s="4234"/>
      <c r="K4" s="4234"/>
      <c r="L4" s="4234"/>
      <c r="M4" s="4234"/>
      <c r="N4" s="4235" t="s">
        <v>684</v>
      </c>
    </row>
    <row r="5" spans="1:26" ht="59.25" customHeight="1">
      <c r="A5" s="4236" t="s">
        <v>2662</v>
      </c>
      <c r="B5" s="4236"/>
      <c r="C5" s="4236"/>
      <c r="D5" s="4236"/>
      <c r="E5" s="4236"/>
      <c r="F5" s="4236"/>
      <c r="G5" s="4236"/>
      <c r="H5" s="4236"/>
      <c r="I5" s="4236"/>
      <c r="J5" s="4236"/>
      <c r="K5" s="4236"/>
      <c r="L5" s="4236"/>
      <c r="M5" s="4236"/>
    </row>
    <row r="6" spans="1:26" ht="11.4" customHeight="1">
      <c r="A6" s="4234"/>
      <c r="B6" s="4234"/>
      <c r="C6" s="4234"/>
      <c r="D6" s="4234"/>
      <c r="E6" s="4234"/>
      <c r="F6" s="4234"/>
      <c r="G6" s="4234"/>
      <c r="H6" s="4234"/>
      <c r="I6" s="4234"/>
      <c r="J6" s="4234"/>
      <c r="K6" s="4234"/>
      <c r="L6" s="4234"/>
      <c r="M6" s="4234"/>
    </row>
    <row r="7" spans="1:26">
      <c r="A7" s="4234" t="s">
        <v>689</v>
      </c>
      <c r="B7" s="4234"/>
      <c r="C7" s="4234"/>
      <c r="D7" s="4234"/>
      <c r="E7" s="4234"/>
      <c r="F7" s="4234"/>
      <c r="G7" s="4234"/>
      <c r="H7" s="4234"/>
      <c r="I7" s="4234"/>
      <c r="J7" s="4234"/>
      <c r="K7" s="4234"/>
      <c r="L7" s="4234"/>
      <c r="M7" s="4234"/>
    </row>
    <row r="8" spans="1:26" ht="11.4" customHeight="1">
      <c r="A8" s="4234"/>
      <c r="B8" s="4234"/>
      <c r="C8" s="4234"/>
      <c r="D8" s="4234"/>
      <c r="E8" s="4234"/>
      <c r="F8" s="4234"/>
      <c r="G8" s="4234"/>
      <c r="H8" s="4234"/>
      <c r="I8" s="4234"/>
      <c r="J8" s="4234"/>
      <c r="K8" s="4234"/>
      <c r="L8" s="4234"/>
      <c r="M8" s="4234"/>
    </row>
    <row r="9" spans="1:26">
      <c r="A9" s="4237" t="s">
        <v>1859</v>
      </c>
      <c r="B9" s="4237"/>
      <c r="C9" s="4237"/>
      <c r="D9" s="4237"/>
      <c r="E9" s="4237"/>
      <c r="F9" s="4237"/>
      <c r="G9" s="4237"/>
      <c r="H9" s="4237"/>
      <c r="I9" s="4237"/>
      <c r="J9" s="4237"/>
      <c r="K9" s="4237"/>
      <c r="L9" s="4237"/>
      <c r="M9" s="4237"/>
    </row>
    <row r="10" spans="1:26" ht="6.75" customHeight="1">
      <c r="A10" s="4237"/>
      <c r="B10" s="4237"/>
      <c r="C10" s="4237"/>
      <c r="D10" s="4237"/>
      <c r="E10" s="4237"/>
      <c r="F10" s="4237"/>
      <c r="G10" s="4237"/>
      <c r="H10" s="4237"/>
      <c r="I10" s="4237"/>
      <c r="J10" s="4237"/>
      <c r="K10" s="4237"/>
      <c r="L10" s="4237"/>
      <c r="M10" s="4237"/>
    </row>
    <row r="11" spans="1:26" ht="44.25" customHeight="1">
      <c r="A11" s="4238" t="s">
        <v>4490</v>
      </c>
      <c r="B11" s="4238"/>
      <c r="C11" s="4238"/>
      <c r="D11" s="4238"/>
      <c r="E11" s="4238"/>
      <c r="F11" s="4238"/>
      <c r="G11" s="4238"/>
      <c r="H11" s="4238"/>
      <c r="I11" s="4238"/>
      <c r="J11" s="4238"/>
      <c r="K11" s="4238"/>
      <c r="L11" s="4238"/>
      <c r="M11" s="4238"/>
    </row>
    <row r="12" spans="1:26" ht="3" customHeight="1">
      <c r="A12" s="4237"/>
      <c r="B12" s="4237"/>
      <c r="C12" s="4237"/>
      <c r="D12" s="4237"/>
      <c r="E12" s="4237"/>
      <c r="F12" s="4237"/>
      <c r="G12" s="4237"/>
      <c r="H12" s="4237"/>
      <c r="I12" s="4237"/>
      <c r="J12" s="4237"/>
      <c r="K12" s="4237"/>
      <c r="L12" s="4237"/>
      <c r="M12" s="4237"/>
    </row>
    <row r="13" spans="1:26" ht="96" customHeight="1">
      <c r="A13" s="4239" t="s">
        <v>1694</v>
      </c>
      <c r="B13" s="4240" t="s">
        <v>3500</v>
      </c>
      <c r="C13" s="4240"/>
      <c r="D13" s="4240"/>
      <c r="E13" s="4240"/>
      <c r="F13" s="4240"/>
      <c r="G13" s="4240"/>
      <c r="H13" s="4240"/>
      <c r="I13" s="4240"/>
      <c r="J13" s="4240"/>
      <c r="K13" s="4240"/>
      <c r="L13" s="4240"/>
      <c r="M13" s="4240"/>
    </row>
    <row r="14" spans="1:26" ht="47.25" customHeight="1">
      <c r="A14" s="4239" t="s">
        <v>1695</v>
      </c>
      <c r="B14" s="4240" t="s">
        <v>3501</v>
      </c>
      <c r="C14" s="4240"/>
      <c r="D14" s="4240"/>
      <c r="E14" s="4240"/>
      <c r="F14" s="4240"/>
      <c r="G14" s="4240"/>
      <c r="H14" s="4240"/>
      <c r="I14" s="4240"/>
      <c r="J14" s="4240"/>
      <c r="K14" s="4240"/>
      <c r="L14" s="4240"/>
      <c r="M14" s="4240"/>
    </row>
    <row r="15" spans="1:26" ht="117" customHeight="1">
      <c r="A15" s="4239" t="s">
        <v>1696</v>
      </c>
      <c r="B15" s="4240" t="s">
        <v>3502</v>
      </c>
      <c r="C15" s="4240"/>
      <c r="D15" s="4240"/>
      <c r="E15" s="4240"/>
      <c r="F15" s="4240"/>
      <c r="G15" s="4240"/>
      <c r="H15" s="4240"/>
      <c r="I15" s="4240"/>
      <c r="J15" s="4240"/>
      <c r="K15" s="4240"/>
      <c r="L15" s="4240"/>
      <c r="M15" s="4240"/>
    </row>
    <row r="16" spans="1:26" ht="147" customHeight="1">
      <c r="A16" s="4239" t="s">
        <v>2305</v>
      </c>
      <c r="B16" s="4240" t="s">
        <v>3341</v>
      </c>
      <c r="C16" s="4240"/>
      <c r="D16" s="4240"/>
      <c r="E16" s="4240"/>
      <c r="F16" s="4240"/>
      <c r="G16" s="4240"/>
      <c r="H16" s="4240"/>
      <c r="I16" s="4240"/>
      <c r="J16" s="4240"/>
      <c r="K16" s="4240"/>
      <c r="L16" s="4240"/>
      <c r="M16" s="4240"/>
    </row>
    <row r="17" spans="1:13" ht="48.75" customHeight="1">
      <c r="A17" s="4239" t="s">
        <v>1516</v>
      </c>
      <c r="B17" s="4240" t="s">
        <v>665</v>
      </c>
      <c r="C17" s="4240"/>
      <c r="D17" s="4240"/>
      <c r="E17" s="4240"/>
      <c r="F17" s="4240"/>
      <c r="G17" s="4240"/>
      <c r="H17" s="4240"/>
      <c r="I17" s="4240"/>
      <c r="J17" s="4240"/>
      <c r="K17" s="4240"/>
      <c r="L17" s="4240"/>
      <c r="M17" s="4240"/>
    </row>
    <row r="18" spans="1:13" ht="165" customHeight="1">
      <c r="A18" s="4239" t="s">
        <v>1517</v>
      </c>
      <c r="B18" s="4240" t="s">
        <v>3340</v>
      </c>
      <c r="C18" s="4240"/>
      <c r="D18" s="4240"/>
      <c r="E18" s="4240"/>
      <c r="F18" s="4240"/>
      <c r="G18" s="4240"/>
      <c r="H18" s="4240"/>
      <c r="I18" s="4240"/>
      <c r="J18" s="4240"/>
      <c r="K18" s="4240"/>
      <c r="L18" s="4240"/>
      <c r="M18" s="4240"/>
    </row>
    <row r="19" spans="1:13" ht="48.75" customHeight="1">
      <c r="A19" s="4239" t="s">
        <v>96</v>
      </c>
      <c r="B19" s="4241" t="s">
        <v>3503</v>
      </c>
      <c r="C19" s="4241"/>
      <c r="D19" s="4241"/>
      <c r="E19" s="4241"/>
      <c r="F19" s="4241"/>
      <c r="G19" s="4241"/>
      <c r="H19" s="4241"/>
      <c r="I19" s="4241"/>
      <c r="J19" s="4241"/>
      <c r="K19" s="4241"/>
      <c r="L19" s="4241"/>
      <c r="M19" s="4241"/>
    </row>
    <row r="20" spans="1:13" ht="50.25" customHeight="1">
      <c r="A20" s="4239" t="s">
        <v>500</v>
      </c>
      <c r="B20" s="4240" t="s">
        <v>3343</v>
      </c>
      <c r="C20" s="4240"/>
      <c r="D20" s="4240"/>
      <c r="E20" s="4240"/>
      <c r="F20" s="4240"/>
      <c r="G20" s="4240"/>
      <c r="H20" s="4240"/>
      <c r="I20" s="4240"/>
      <c r="J20" s="4240"/>
      <c r="K20" s="4240"/>
      <c r="L20" s="4240"/>
      <c r="M20" s="4240"/>
    </row>
    <row r="21" spans="1:13" ht="31.5" customHeight="1">
      <c r="A21" s="4239" t="s">
        <v>501</v>
      </c>
      <c r="B21" s="4240" t="s">
        <v>3362</v>
      </c>
      <c r="C21" s="4240"/>
      <c r="D21" s="4240"/>
      <c r="E21" s="4240"/>
      <c r="F21" s="4240"/>
      <c r="G21" s="4240"/>
      <c r="H21" s="4240"/>
      <c r="I21" s="4240"/>
      <c r="J21" s="4240"/>
      <c r="K21" s="4240"/>
      <c r="L21" s="4240"/>
      <c r="M21" s="4240"/>
    </row>
    <row r="22" spans="1:13" ht="1.5" customHeight="1">
      <c r="A22" s="4237"/>
      <c r="B22" s="4237"/>
      <c r="C22" s="4237"/>
      <c r="D22" s="4237"/>
      <c r="E22" s="4237"/>
      <c r="F22" s="4237"/>
      <c r="G22" s="4237"/>
      <c r="H22" s="4237"/>
      <c r="I22" s="4237"/>
      <c r="J22" s="4237"/>
      <c r="K22" s="4237"/>
      <c r="L22" s="4237"/>
      <c r="M22" s="4237"/>
    </row>
    <row r="23" spans="1:13" ht="3" customHeight="1">
      <c r="A23" s="4237"/>
      <c r="B23" s="4237"/>
      <c r="C23" s="4237"/>
      <c r="D23" s="4237"/>
      <c r="E23" s="4237"/>
      <c r="F23" s="4237"/>
      <c r="G23" s="4237"/>
      <c r="H23" s="4237"/>
      <c r="I23" s="4237"/>
      <c r="J23" s="4237"/>
      <c r="K23" s="4237"/>
      <c r="L23" s="4237"/>
      <c r="M23" s="4237"/>
    </row>
    <row r="24" spans="1:13" ht="13.5" customHeight="1">
      <c r="A24" s="4237" t="s">
        <v>1436</v>
      </c>
      <c r="B24" s="4237"/>
      <c r="C24" s="4237"/>
      <c r="D24" s="4237"/>
      <c r="E24" s="4237"/>
      <c r="F24" s="4237"/>
      <c r="G24" s="4237"/>
      <c r="H24" s="4237"/>
      <c r="I24" s="4237"/>
      <c r="J24" s="4237"/>
      <c r="K24" s="4237"/>
      <c r="L24" s="4237"/>
      <c r="M24" s="4237"/>
    </row>
    <row r="25" spans="1:13" ht="32.25" customHeight="1">
      <c r="A25" s="4239" t="s">
        <v>1437</v>
      </c>
      <c r="B25" s="4240" t="s">
        <v>3363</v>
      </c>
      <c r="C25" s="4240"/>
      <c r="D25" s="4240"/>
      <c r="E25" s="4240"/>
      <c r="F25" s="4240"/>
      <c r="G25" s="4240"/>
      <c r="H25" s="4240"/>
      <c r="I25" s="4240"/>
      <c r="J25" s="4240"/>
      <c r="K25" s="4240"/>
      <c r="L25" s="4240"/>
      <c r="M25" s="4240"/>
    </row>
    <row r="26" spans="1:13" ht="31.5" customHeight="1">
      <c r="A26" s="4239" t="s">
        <v>1437</v>
      </c>
      <c r="B26" s="4240" t="s">
        <v>3364</v>
      </c>
      <c r="C26" s="4240"/>
      <c r="D26" s="4240"/>
      <c r="E26" s="4240"/>
      <c r="F26" s="4240"/>
      <c r="G26" s="4240"/>
      <c r="H26" s="4240"/>
      <c r="I26" s="4240"/>
      <c r="J26" s="4240"/>
      <c r="K26" s="4240"/>
      <c r="L26" s="4240"/>
      <c r="M26" s="4240"/>
    </row>
    <row r="27" spans="1:13" ht="78.75" customHeight="1">
      <c r="A27" s="4239" t="s">
        <v>1437</v>
      </c>
      <c r="B27" s="4240" t="s">
        <v>2663</v>
      </c>
      <c r="C27" s="4240"/>
      <c r="D27" s="4240"/>
      <c r="E27" s="4240"/>
      <c r="F27" s="4240"/>
      <c r="G27" s="4240"/>
      <c r="H27" s="4240"/>
      <c r="I27" s="4240"/>
      <c r="J27" s="4240"/>
      <c r="K27" s="4240"/>
      <c r="L27" s="4240"/>
      <c r="M27" s="4240"/>
    </row>
    <row r="28" spans="1:13" ht="7.5" customHeight="1">
      <c r="A28" s="4237"/>
      <c r="B28" s="4237"/>
      <c r="C28" s="4237"/>
      <c r="D28" s="4237"/>
      <c r="E28" s="4237"/>
      <c r="F28" s="4237"/>
      <c r="G28" s="4237"/>
      <c r="H28" s="4237"/>
      <c r="I28" s="4237"/>
      <c r="J28" s="4237"/>
      <c r="K28" s="4237"/>
      <c r="L28" s="4237"/>
      <c r="M28" s="4237"/>
    </row>
    <row r="29" spans="1:13" ht="43.5" customHeight="1">
      <c r="A29" s="4240" t="s">
        <v>924</v>
      </c>
      <c r="B29" s="4240"/>
      <c r="C29" s="4240"/>
      <c r="D29" s="4240"/>
      <c r="E29" s="4240"/>
      <c r="F29" s="4240"/>
      <c r="G29" s="4240"/>
      <c r="H29" s="4240"/>
      <c r="I29" s="4240"/>
      <c r="J29" s="4240"/>
      <c r="K29" s="4240"/>
      <c r="L29" s="4240"/>
      <c r="M29" s="4240"/>
    </row>
    <row r="30" spans="1:13" ht="3" customHeight="1">
      <c r="A30" s="4237"/>
      <c r="B30" s="4237"/>
      <c r="C30" s="4237"/>
      <c r="D30" s="4237"/>
      <c r="E30" s="4237"/>
      <c r="F30" s="4237"/>
      <c r="G30" s="4237"/>
      <c r="H30" s="4237"/>
      <c r="I30" s="4237"/>
      <c r="J30" s="4237"/>
      <c r="K30" s="4237"/>
      <c r="L30" s="4237"/>
      <c r="M30" s="4237"/>
    </row>
    <row r="31" spans="1:13" ht="32.25" customHeight="1">
      <c r="A31" s="4240" t="s">
        <v>2664</v>
      </c>
      <c r="B31" s="4240"/>
      <c r="C31" s="4240"/>
      <c r="D31" s="4240"/>
      <c r="E31" s="4240"/>
      <c r="F31" s="4240"/>
      <c r="G31" s="4240"/>
      <c r="H31" s="4240"/>
      <c r="I31" s="4240"/>
      <c r="J31" s="4240"/>
      <c r="K31" s="4240"/>
      <c r="L31" s="4240"/>
      <c r="M31" s="4240"/>
    </row>
    <row r="32" spans="1:13" ht="4.5" customHeight="1">
      <c r="A32" s="4237"/>
      <c r="B32" s="4237"/>
      <c r="C32" s="4237"/>
      <c r="D32" s="4237"/>
      <c r="E32" s="4237"/>
      <c r="F32" s="4237"/>
      <c r="G32" s="4237"/>
      <c r="H32" s="4237"/>
      <c r="I32" s="4237"/>
      <c r="J32" s="4237"/>
      <c r="K32" s="4237"/>
      <c r="L32" s="4237"/>
      <c r="M32" s="4237"/>
    </row>
    <row r="33" spans="1:13">
      <c r="A33" s="4237" t="s">
        <v>901</v>
      </c>
      <c r="B33" s="4237"/>
      <c r="C33" s="4237"/>
      <c r="D33" s="4237"/>
      <c r="E33" s="4237"/>
      <c r="F33" s="4237"/>
      <c r="G33" s="4237"/>
      <c r="H33" s="4237"/>
      <c r="I33" s="4237"/>
      <c r="J33" s="4237"/>
      <c r="K33" s="4237"/>
      <c r="L33" s="4237"/>
      <c r="M33" s="4237"/>
    </row>
    <row r="34" spans="1:13" ht="6" customHeight="1">
      <c r="A34" s="4242"/>
      <c r="B34" s="4242"/>
      <c r="C34" s="4242"/>
      <c r="D34" s="4242"/>
      <c r="E34" s="4242"/>
      <c r="F34" s="4242"/>
      <c r="G34" s="4242"/>
      <c r="H34" s="4242"/>
      <c r="I34" s="4242"/>
      <c r="J34" s="4242"/>
      <c r="K34" s="4242"/>
      <c r="L34" s="4242"/>
      <c r="M34" s="4242"/>
    </row>
    <row r="35" spans="1:13">
      <c r="A35" s="4243" t="s">
        <v>7012</v>
      </c>
      <c r="B35" s="4243"/>
      <c r="C35" s="4243"/>
      <c r="D35" s="4243"/>
      <c r="E35" s="4243"/>
      <c r="F35" s="4243"/>
      <c r="G35" s="4244"/>
      <c r="H35" s="4243" t="s">
        <v>6991</v>
      </c>
      <c r="I35" s="4243"/>
      <c r="J35" s="4243"/>
      <c r="K35" s="4243"/>
      <c r="L35" s="4243"/>
      <c r="M35" s="4243"/>
    </row>
    <row r="36" spans="1:13" ht="12" customHeight="1">
      <c r="A36" s="4245" t="s">
        <v>902</v>
      </c>
      <c r="B36" s="4245"/>
      <c r="C36" s="4245"/>
      <c r="D36" s="4245"/>
      <c r="E36" s="4245"/>
      <c r="F36" s="4245"/>
      <c r="G36" s="4244"/>
      <c r="H36" s="4245" t="s">
        <v>1933</v>
      </c>
      <c r="I36" s="4245"/>
      <c r="J36" s="4245"/>
      <c r="K36" s="4245"/>
      <c r="L36" s="4245"/>
      <c r="M36" s="4245"/>
    </row>
    <row r="37" spans="1:13" ht="6" customHeight="1">
      <c r="A37" s="4244"/>
      <c r="B37" s="4244"/>
      <c r="C37" s="4244"/>
      <c r="D37" s="4244"/>
      <c r="E37" s="4244"/>
      <c r="F37" s="4244"/>
      <c r="G37" s="4244"/>
      <c r="H37" s="4244"/>
      <c r="I37" s="4244"/>
      <c r="J37" s="4244"/>
      <c r="K37" s="4244"/>
      <c r="L37" s="4244"/>
      <c r="M37" s="4244"/>
    </row>
    <row r="38" spans="1:13">
      <c r="A38" s="4243"/>
      <c r="B38" s="4243"/>
      <c r="C38" s="4243"/>
      <c r="D38" s="4243"/>
      <c r="E38" s="4243"/>
      <c r="F38" s="4243"/>
      <c r="G38" s="4244"/>
      <c r="H38" s="4246">
        <v>43976</v>
      </c>
      <c r="I38" s="4246"/>
      <c r="J38" s="4246"/>
      <c r="K38" s="4246"/>
      <c r="L38" s="4246"/>
      <c r="M38" s="4246"/>
    </row>
    <row r="39" spans="1:13" ht="12" customHeight="1">
      <c r="A39" s="4245" t="s">
        <v>903</v>
      </c>
      <c r="B39" s="4245"/>
      <c r="C39" s="4245"/>
      <c r="D39" s="4245"/>
      <c r="E39" s="4245"/>
      <c r="F39" s="4245"/>
      <c r="G39" s="4244"/>
      <c r="H39" s="4245" t="s">
        <v>904</v>
      </c>
      <c r="I39" s="4245"/>
      <c r="J39" s="4245"/>
      <c r="K39" s="4245"/>
      <c r="L39" s="4245"/>
      <c r="M39" s="4245"/>
    </row>
    <row r="40" spans="1:13" ht="3" customHeight="1">
      <c r="A40" s="4247"/>
      <c r="B40" s="4247"/>
      <c r="C40" s="4247"/>
      <c r="D40" s="4247"/>
      <c r="E40" s="4247"/>
      <c r="F40" s="4247"/>
      <c r="G40" s="4244"/>
      <c r="H40" s="4247"/>
      <c r="I40" s="4247"/>
      <c r="J40" s="4247"/>
      <c r="K40" s="4247"/>
      <c r="L40" s="4247"/>
      <c r="M40" s="4247"/>
    </row>
    <row r="41" spans="1:13" ht="11.4" customHeight="1">
      <c r="A41" s="4234"/>
      <c r="B41" s="4234"/>
      <c r="C41" s="4234"/>
      <c r="D41" s="4234"/>
      <c r="E41" s="4234"/>
      <c r="F41" s="4234"/>
      <c r="G41" s="4234"/>
      <c r="H41" s="4248" t="s">
        <v>905</v>
      </c>
      <c r="I41" s="4248"/>
      <c r="J41" s="4248"/>
      <c r="K41" s="4248"/>
      <c r="L41" s="4248"/>
      <c r="M41" s="4248"/>
    </row>
    <row r="42" spans="1:13" ht="11.4" customHeight="1">
      <c r="A42" s="4234"/>
      <c r="B42" s="4234"/>
      <c r="C42" s="4234"/>
      <c r="D42" s="4234"/>
      <c r="E42" s="4234"/>
      <c r="F42" s="4234"/>
      <c r="G42" s="4234"/>
    </row>
    <row r="43" spans="1:13" ht="11.4" customHeight="1">
      <c r="A43" s="4234"/>
      <c r="B43" s="4234"/>
      <c r="C43" s="4234"/>
      <c r="D43" s="4234"/>
      <c r="E43" s="4234"/>
      <c r="F43" s="4234"/>
      <c r="G43" s="4234"/>
      <c r="H43" s="4234"/>
      <c r="I43" s="4234"/>
      <c r="J43" s="4234"/>
      <c r="K43" s="4234"/>
      <c r="L43" s="4234"/>
      <c r="M43" s="4234"/>
    </row>
    <row r="44" spans="1:13" ht="11.4" customHeight="1">
      <c r="A44" s="4234"/>
      <c r="B44" s="4234"/>
      <c r="C44" s="4234"/>
      <c r="D44" s="4234"/>
      <c r="E44" s="4234"/>
      <c r="F44" s="4234"/>
      <c r="G44" s="4234"/>
      <c r="H44" s="4234"/>
      <c r="I44" s="4234"/>
      <c r="J44" s="4234"/>
      <c r="K44" s="4234"/>
      <c r="L44" s="4234"/>
      <c r="M44" s="4234"/>
    </row>
    <row r="45" spans="1:13" ht="11.4" customHeight="1"/>
    <row r="46" spans="1:13" ht="11.4" customHeight="1"/>
    <row r="47" spans="1:13" ht="11.4" customHeight="1"/>
    <row r="48" spans="1:13" ht="11.4" customHeight="1"/>
    <row r="49" ht="11.4" customHeight="1"/>
  </sheetData>
  <sheetProtection algorithmName="SHA-512" hashValue="2tZFhLAewz1zCTuFesOijJfZnuxho3HluB9VFDnGL2SxJnS97uxa0dOUX4o7N9/fAeRpBjTLUrs/cF9hvtzyWw==" saltValue="hngBN91ooyF6nExTKjDpYA==" spinCount="100000" sheet="1" objects="1" scenarios="1" selectLockedCells="1" selectUnlockedCells="1"/>
  <mergeCells count="35">
    <mergeCell ref="B19:M19"/>
    <mergeCell ref="A5:M5"/>
    <mergeCell ref="A9:M9"/>
    <mergeCell ref="A10:M10"/>
    <mergeCell ref="A11:M11"/>
    <mergeCell ref="A12:M12"/>
    <mergeCell ref="B13:M13"/>
    <mergeCell ref="B14:M14"/>
    <mergeCell ref="B15:M15"/>
    <mergeCell ref="B16:M16"/>
    <mergeCell ref="B17:M17"/>
    <mergeCell ref="B18:M18"/>
    <mergeCell ref="A31:M31"/>
    <mergeCell ref="B20:M20"/>
    <mergeCell ref="B21:M21"/>
    <mergeCell ref="A22:M22"/>
    <mergeCell ref="A23:M23"/>
    <mergeCell ref="A24:M24"/>
    <mergeCell ref="B25:M25"/>
    <mergeCell ref="B26:M26"/>
    <mergeCell ref="B27:M27"/>
    <mergeCell ref="A28:M28"/>
    <mergeCell ref="A29:M29"/>
    <mergeCell ref="A30:M30"/>
    <mergeCell ref="A32:M32"/>
    <mergeCell ref="A33:M33"/>
    <mergeCell ref="A35:F35"/>
    <mergeCell ref="H35:M35"/>
    <mergeCell ref="A36:F36"/>
    <mergeCell ref="H36:M36"/>
    <mergeCell ref="A38:F38"/>
    <mergeCell ref="H38:M38"/>
    <mergeCell ref="A39:F39"/>
    <mergeCell ref="H39:M39"/>
    <mergeCell ref="H41:M41"/>
  </mergeCells>
  <printOptions horizontalCentered="1"/>
  <pageMargins left="0.5" right="0.5" top="0.8" bottom="0.7" header="0.5" footer="0.5"/>
  <pageSetup fitToHeight="0" orientation="portrait" r:id="rId1"/>
  <headerFooter alignWithMargins="0">
    <oddFooter>&amp;L&amp;8&amp;G  2019 Funding Application&amp;C&amp;8DCA Housing Finance and Development Division&amp;R&amp;9Page &amp;P of &amp;N</oddFooter>
  </headerFooter>
  <legacyDrawingHF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C00-000000000000}">
  <sheetPr codeName="Sheet43">
    <pageSetUpPr fitToPage="1"/>
  </sheetPr>
  <dimension ref="A1:AK2309"/>
  <sheetViews>
    <sheetView showGridLines="0" topLeftCell="A171" zoomScale="130" zoomScaleNormal="130" workbookViewId="0">
      <selection activeCell="A2" sqref="A2:R2"/>
    </sheetView>
  </sheetViews>
  <sheetFormatPr defaultColWidth="8.88671875" defaultRowHeight="13.2"/>
  <cols>
    <col min="1" max="1" width="1.88671875" style="27" customWidth="1"/>
    <col min="2" max="2" width="5.109375" style="27" customWidth="1"/>
    <col min="3" max="3" width="9.88671875" style="27" customWidth="1"/>
    <col min="4" max="6" width="7.88671875" style="27" customWidth="1"/>
    <col min="7" max="7" width="10.88671875" style="27" customWidth="1"/>
    <col min="8" max="8" width="7.88671875" style="27" customWidth="1"/>
    <col min="9" max="9" width="17.5546875" style="27" customWidth="1"/>
    <col min="10" max="10" width="7.88671875" style="27" customWidth="1"/>
    <col min="11" max="11" width="7.109375" style="27" customWidth="1"/>
    <col min="12" max="12" width="7.88671875" style="27" customWidth="1"/>
    <col min="13" max="13" width="7.44140625" style="27" customWidth="1"/>
    <col min="14" max="16" width="7.88671875" style="27" customWidth="1"/>
    <col min="17" max="17" width="8.109375" style="27" customWidth="1"/>
    <col min="18" max="18" width="8.44140625" style="27" customWidth="1"/>
    <col min="19" max="26" width="8.88671875" style="27"/>
    <col min="27" max="28" width="8.88671875" style="502"/>
    <col min="29" max="16384" width="8.88671875" style="27"/>
  </cols>
  <sheetData>
    <row r="1" spans="1:28" s="166" customFormat="1" ht="3" customHeight="1">
      <c r="A1" s="167"/>
      <c r="B1" s="167"/>
      <c r="C1" s="167"/>
      <c r="D1" s="167"/>
      <c r="E1" s="167"/>
      <c r="F1" s="167"/>
      <c r="G1" s="167"/>
      <c r="H1" s="167"/>
      <c r="I1" s="167"/>
      <c r="J1" s="167"/>
      <c r="K1" s="167"/>
      <c r="L1" s="167"/>
      <c r="M1" s="167"/>
      <c r="N1" s="167"/>
      <c r="O1" s="167"/>
      <c r="P1" s="167"/>
      <c r="AA1" s="888"/>
      <c r="AB1" s="888"/>
    </row>
    <row r="2" spans="1:28" s="270" customFormat="1" ht="13.35" customHeight="1">
      <c r="A2" s="3454" t="s">
        <v>703</v>
      </c>
      <c r="B2" s="3455"/>
      <c r="C2" s="3455"/>
      <c r="D2" s="3455"/>
      <c r="E2" s="3455"/>
      <c r="F2" s="3455"/>
      <c r="G2" s="3455"/>
      <c r="H2" s="3455"/>
      <c r="I2" s="3455"/>
      <c r="J2" s="3455"/>
      <c r="K2" s="3455"/>
      <c r="L2" s="3455"/>
      <c r="M2" s="3455"/>
      <c r="N2" s="3455"/>
      <c r="O2" s="3455"/>
      <c r="P2" s="3455"/>
      <c r="Q2" s="3455"/>
      <c r="R2" s="3456"/>
      <c r="S2" s="168"/>
      <c r="T2" s="168"/>
      <c r="U2" s="168"/>
      <c r="AA2" s="502"/>
      <c r="AB2" s="502"/>
    </row>
    <row r="3" spans="1:28" s="270" customFormat="1" ht="4.3499999999999996" customHeight="1">
      <c r="A3" s="169"/>
      <c r="B3" s="169"/>
      <c r="C3" s="169"/>
      <c r="D3" s="169"/>
      <c r="E3" s="169"/>
      <c r="F3" s="169"/>
      <c r="G3" s="169"/>
      <c r="H3" s="169"/>
      <c r="I3" s="169"/>
      <c r="J3" s="169"/>
      <c r="K3" s="169"/>
      <c r="L3" s="169"/>
      <c r="M3" s="169"/>
      <c r="N3" s="169"/>
      <c r="O3" s="169"/>
      <c r="P3" s="169"/>
      <c r="Q3" s="168"/>
      <c r="R3" s="168"/>
      <c r="S3" s="168"/>
      <c r="T3" s="168"/>
      <c r="U3" s="168"/>
      <c r="AA3" s="502"/>
      <c r="AB3" s="502"/>
    </row>
    <row r="4" spans="1:28" s="270" customFormat="1" ht="12" customHeight="1">
      <c r="A4" s="271" t="s">
        <v>1684</v>
      </c>
      <c r="B4" s="271"/>
      <c r="C4" s="271"/>
      <c r="D4" s="168"/>
      <c r="E4" s="168"/>
      <c r="F4" s="271" t="s">
        <v>1685</v>
      </c>
      <c r="G4" s="271"/>
      <c r="H4" s="168"/>
      <c r="I4" s="168"/>
      <c r="J4" s="271" t="s">
        <v>1686</v>
      </c>
      <c r="K4" s="271"/>
      <c r="L4" s="271"/>
      <c r="M4" s="271"/>
      <c r="N4" s="271"/>
      <c r="O4" s="271"/>
      <c r="P4" s="168"/>
      <c r="Q4" s="171" t="s">
        <v>2940</v>
      </c>
      <c r="R4" s="171" t="s">
        <v>1687</v>
      </c>
      <c r="S4" s="168"/>
      <c r="T4" s="168"/>
      <c r="U4" s="168"/>
      <c r="W4" s="274"/>
      <c r="X4" s="274"/>
      <c r="Y4" s="274"/>
      <c r="Z4" s="274"/>
      <c r="AA4" s="502"/>
      <c r="AB4" s="502"/>
    </row>
    <row r="5" spans="1:28" s="270" customFormat="1" ht="4.3499999999999996" customHeight="1">
      <c r="A5" s="271"/>
      <c r="B5" s="271"/>
      <c r="C5" s="271"/>
      <c r="D5" s="271"/>
      <c r="E5" s="168"/>
      <c r="F5" s="271"/>
      <c r="G5" s="271"/>
      <c r="H5" s="168"/>
      <c r="I5" s="168"/>
      <c r="J5" s="271"/>
      <c r="K5" s="271"/>
      <c r="L5" s="271"/>
      <c r="M5" s="271"/>
      <c r="N5" s="271"/>
      <c r="O5" s="271"/>
      <c r="P5" s="168"/>
      <c r="Q5" s="272"/>
      <c r="R5" s="273"/>
      <c r="S5" s="168"/>
      <c r="T5" s="168"/>
      <c r="U5" s="168"/>
      <c r="W5" s="274"/>
      <c r="X5" s="274"/>
      <c r="Y5" s="274"/>
      <c r="Z5" s="274"/>
      <c r="AA5" s="502"/>
      <c r="AB5" s="502"/>
    </row>
    <row r="6" spans="1:28" s="270" customFormat="1" ht="11.4" customHeight="1">
      <c r="A6" s="275" t="s">
        <v>1688</v>
      </c>
      <c r="B6" s="170"/>
      <c r="C6" s="170"/>
      <c r="D6" s="168"/>
      <c r="E6" s="168"/>
      <c r="F6" s="170" t="s">
        <v>497</v>
      </c>
      <c r="G6" s="170"/>
      <c r="H6" s="168"/>
      <c r="I6" s="168"/>
      <c r="J6" s="170" t="s">
        <v>1689</v>
      </c>
      <c r="K6" s="170"/>
      <c r="L6" s="170" t="s">
        <v>2694</v>
      </c>
      <c r="M6" s="170"/>
      <c r="N6" s="170"/>
      <c r="O6" s="170"/>
      <c r="P6" s="168"/>
      <c r="Q6" s="1012" t="s">
        <v>1690</v>
      </c>
      <c r="R6" s="1012">
        <v>1000000</v>
      </c>
      <c r="S6" s="168"/>
      <c r="U6" s="168"/>
      <c r="V6" s="894"/>
      <c r="W6" s="894"/>
      <c r="X6" s="171"/>
      <c r="AA6" s="502"/>
      <c r="AB6" s="502"/>
    </row>
    <row r="7" spans="1:28" s="270" customFormat="1" ht="11.4" customHeight="1">
      <c r="A7" s="275"/>
      <c r="B7" s="170"/>
      <c r="C7" s="170"/>
      <c r="D7" s="168"/>
      <c r="E7" s="168"/>
      <c r="F7" s="170"/>
      <c r="G7" s="170"/>
      <c r="H7" s="168"/>
      <c r="I7" s="168"/>
      <c r="J7" s="170"/>
      <c r="K7" s="170"/>
      <c r="L7" s="170" t="s">
        <v>2696</v>
      </c>
      <c r="M7" s="170"/>
      <c r="N7" s="170"/>
      <c r="O7" s="170"/>
      <c r="P7" s="168"/>
      <c r="Q7" s="1018" t="s">
        <v>1690</v>
      </c>
      <c r="R7" s="607">
        <v>900000</v>
      </c>
      <c r="S7" s="168"/>
      <c r="U7" s="168"/>
      <c r="V7" s="894"/>
      <c r="W7" s="894"/>
      <c r="X7" s="171"/>
      <c r="AA7" s="502"/>
      <c r="AB7" s="502"/>
    </row>
    <row r="8" spans="1:28" s="270" customFormat="1" ht="11.4" customHeight="1">
      <c r="F8" s="170"/>
      <c r="G8" s="170"/>
      <c r="H8" s="168"/>
      <c r="I8" s="168"/>
      <c r="J8" s="170" t="s">
        <v>1230</v>
      </c>
      <c r="K8" s="170"/>
      <c r="L8" s="170"/>
      <c r="M8" s="170"/>
      <c r="N8" s="170"/>
      <c r="O8" s="170"/>
      <c r="P8" s="168"/>
      <c r="Q8" s="1012" t="s">
        <v>1690</v>
      </c>
      <c r="R8" s="1012">
        <v>1800000</v>
      </c>
      <c r="S8" s="168"/>
      <c r="T8" s="168"/>
      <c r="U8" s="168"/>
      <c r="V8" s="894"/>
      <c r="W8" s="894"/>
      <c r="X8" s="171"/>
      <c r="AA8" s="502"/>
      <c r="AB8" s="502"/>
    </row>
    <row r="9" spans="1:28" s="270" customFormat="1" ht="11.4" customHeight="1">
      <c r="F9" s="170" t="s">
        <v>2347</v>
      </c>
      <c r="G9" s="170"/>
      <c r="H9" s="168"/>
      <c r="I9" s="168"/>
      <c r="J9" s="170" t="s">
        <v>1719</v>
      </c>
      <c r="K9" s="170"/>
      <c r="L9" s="170"/>
      <c r="M9" s="170"/>
      <c r="N9" s="170"/>
      <c r="O9" s="170"/>
      <c r="P9" s="168"/>
      <c r="Q9" s="1012">
        <v>1000000</v>
      </c>
      <c r="R9" s="1012">
        <v>2000000</v>
      </c>
      <c r="S9" s="276"/>
      <c r="T9" s="276"/>
      <c r="U9" s="168"/>
      <c r="V9" s="945"/>
      <c r="W9" s="945"/>
      <c r="X9" s="945"/>
      <c r="AA9" s="502"/>
      <c r="AB9" s="502"/>
    </row>
    <row r="10" spans="1:28" s="270" customFormat="1" ht="11.4" customHeight="1">
      <c r="F10" s="170"/>
      <c r="G10" s="170"/>
      <c r="H10" s="168"/>
      <c r="I10" s="168"/>
      <c r="J10" s="170" t="s">
        <v>2323</v>
      </c>
      <c r="K10" s="170"/>
      <c r="L10" s="170"/>
      <c r="M10" s="170"/>
      <c r="N10" s="170"/>
      <c r="O10" s="170"/>
      <c r="P10" s="168"/>
      <c r="Q10" s="1012" t="s">
        <v>1690</v>
      </c>
      <c r="R10" s="1011">
        <v>0.25</v>
      </c>
      <c r="S10" s="168"/>
      <c r="T10" s="168"/>
      <c r="U10" s="168"/>
      <c r="V10" s="894"/>
      <c r="W10" s="894"/>
      <c r="X10" s="171"/>
      <c r="AA10" s="502"/>
      <c r="AB10" s="502"/>
    </row>
    <row r="11" spans="1:28" s="270" customFormat="1" ht="11.4" customHeight="1">
      <c r="A11" s="170"/>
      <c r="B11" s="170"/>
      <c r="C11" s="170"/>
      <c r="D11" s="168"/>
      <c r="E11" s="168"/>
      <c r="F11" s="170" t="s">
        <v>3461</v>
      </c>
      <c r="G11" s="170"/>
      <c r="H11" s="168"/>
      <c r="I11" s="168"/>
      <c r="J11" s="541" t="s">
        <v>3462</v>
      </c>
      <c r="K11" s="280"/>
      <c r="M11" s="280"/>
      <c r="N11" s="280"/>
      <c r="O11" s="170"/>
      <c r="Q11" s="278"/>
      <c r="R11" s="278"/>
      <c r="S11" s="291"/>
      <c r="T11" s="168"/>
      <c r="U11" s="168"/>
      <c r="V11" s="945"/>
      <c r="W11" s="945"/>
      <c r="X11" s="945"/>
      <c r="AA11" s="502"/>
      <c r="AB11" s="502"/>
    </row>
    <row r="12" spans="1:28" s="270" customFormat="1" ht="11.4" customHeight="1">
      <c r="A12" s="170"/>
      <c r="B12" s="170"/>
      <c r="C12" s="170"/>
      <c r="D12" s="168"/>
      <c r="E12" s="168"/>
      <c r="F12" s="170" t="s">
        <v>4500</v>
      </c>
      <c r="G12" s="170"/>
      <c r="H12" s="168"/>
      <c r="I12" s="168"/>
      <c r="J12" s="541" t="s">
        <v>3441</v>
      </c>
      <c r="K12" s="280"/>
      <c r="M12" s="280"/>
      <c r="N12" s="280"/>
      <c r="O12" s="170"/>
      <c r="Q12" s="3451">
        <v>0.1</v>
      </c>
      <c r="R12" s="3452"/>
      <c r="S12" s="291"/>
      <c r="T12" s="168"/>
      <c r="U12" s="168"/>
      <c r="V12" s="945"/>
      <c r="W12" s="945"/>
      <c r="X12" s="945"/>
      <c r="AA12" s="502"/>
      <c r="AB12" s="502"/>
    </row>
    <row r="13" spans="1:28" s="270" customFormat="1" ht="12.75" customHeight="1">
      <c r="A13" s="170"/>
      <c r="B13" s="170"/>
      <c r="C13" s="170"/>
      <c r="F13" s="1563" t="s">
        <v>2634</v>
      </c>
      <c r="G13" s="1564"/>
      <c r="H13" s="1564"/>
      <c r="I13" s="1572" t="s">
        <v>4491</v>
      </c>
      <c r="J13" s="170"/>
      <c r="K13" s="280"/>
      <c r="L13" s="280"/>
      <c r="M13" s="280"/>
      <c r="N13" s="280"/>
      <c r="O13" s="170"/>
      <c r="P13" s="168"/>
      <c r="Q13" s="278"/>
      <c r="R13" s="278"/>
      <c r="S13" s="168"/>
      <c r="T13" s="168"/>
      <c r="U13" s="168"/>
      <c r="AA13" s="502"/>
      <c r="AB13" s="502"/>
    </row>
    <row r="14" spans="1:28" s="270" customFormat="1" ht="12.75" customHeight="1">
      <c r="A14" s="170"/>
      <c r="B14" s="170"/>
      <c r="C14" s="170"/>
      <c r="F14" s="1565" t="s">
        <v>4492</v>
      </c>
      <c r="G14" s="1566"/>
      <c r="H14" s="1566"/>
      <c r="I14" s="1569">
        <v>0.2</v>
      </c>
      <c r="J14" s="170"/>
      <c r="K14" s="280"/>
      <c r="L14" s="280"/>
      <c r="M14" s="280"/>
      <c r="N14" s="280"/>
      <c r="O14" s="170"/>
      <c r="P14" s="168"/>
      <c r="Q14" s="278"/>
      <c r="R14" s="278"/>
      <c r="S14" s="168"/>
      <c r="T14" s="168"/>
      <c r="U14" s="168"/>
      <c r="AA14" s="502"/>
      <c r="AB14" s="502"/>
    </row>
    <row r="15" spans="1:28" s="270" customFormat="1" ht="12.75" customHeight="1">
      <c r="A15" s="170"/>
      <c r="B15" s="170"/>
      <c r="C15" s="170"/>
      <c r="F15" s="1565" t="s">
        <v>4493</v>
      </c>
      <c r="G15" s="1566"/>
      <c r="H15" s="1566"/>
      <c r="I15" s="1569">
        <v>0.15</v>
      </c>
      <c r="J15" s="170"/>
      <c r="K15" s="280"/>
      <c r="L15" s="280"/>
      <c r="M15" s="280"/>
      <c r="N15" s="280"/>
      <c r="O15" s="170"/>
      <c r="P15" s="168"/>
      <c r="Q15" s="278"/>
      <c r="R15" s="278"/>
      <c r="S15" s="168"/>
      <c r="T15" s="168"/>
      <c r="U15" s="168"/>
      <c r="AA15" s="502"/>
      <c r="AB15" s="502"/>
    </row>
    <row r="16" spans="1:28" s="270" customFormat="1" ht="12.75" customHeight="1">
      <c r="A16" s="170"/>
      <c r="B16" s="170"/>
      <c r="C16" s="170"/>
      <c r="F16" s="1565" t="s">
        <v>4494</v>
      </c>
      <c r="G16" s="1566"/>
      <c r="H16" s="1566"/>
      <c r="I16" s="1569">
        <v>0.15</v>
      </c>
      <c r="J16" s="170"/>
      <c r="K16" s="280"/>
      <c r="L16" s="280"/>
      <c r="M16" s="280"/>
      <c r="N16" s="280"/>
      <c r="O16" s="170"/>
      <c r="P16" s="168"/>
      <c r="Q16" s="278"/>
      <c r="R16" s="278"/>
      <c r="S16" s="168"/>
      <c r="T16" s="168"/>
      <c r="U16" s="168"/>
      <c r="AA16" s="502"/>
      <c r="AB16" s="502"/>
    </row>
    <row r="17" spans="1:28" s="270" customFormat="1" ht="12.75" customHeight="1">
      <c r="A17" s="170"/>
      <c r="B17" s="170"/>
      <c r="C17" s="170"/>
      <c r="F17" s="1565" t="s">
        <v>4495</v>
      </c>
      <c r="G17" s="1566"/>
      <c r="H17" s="1566"/>
      <c r="I17" s="1569">
        <v>0.1</v>
      </c>
      <c r="J17" s="170"/>
      <c r="K17" s="280"/>
      <c r="L17" s="280"/>
      <c r="M17" s="280"/>
      <c r="N17" s="280"/>
      <c r="O17" s="170"/>
      <c r="P17" s="168"/>
      <c r="Q17" s="278"/>
      <c r="R17" s="278"/>
      <c r="S17" s="168"/>
      <c r="T17" s="168"/>
      <c r="U17" s="168"/>
      <c r="AA17" s="502"/>
      <c r="AB17" s="502"/>
    </row>
    <row r="18" spans="1:28" s="270" customFormat="1" ht="12.75" customHeight="1">
      <c r="A18" s="170"/>
      <c r="B18" s="170"/>
      <c r="C18" s="170"/>
      <c r="F18" s="1567" t="s">
        <v>4496</v>
      </c>
      <c r="G18" s="1568"/>
      <c r="H18" s="1568"/>
      <c r="I18" s="1570">
        <v>0.1</v>
      </c>
      <c r="J18" s="170"/>
      <c r="K18" s="280"/>
      <c r="L18" s="280"/>
      <c r="M18" s="280"/>
      <c r="N18" s="280"/>
      <c r="O18" s="170"/>
      <c r="P18" s="168"/>
      <c r="Q18" s="278"/>
      <c r="R18" s="278"/>
      <c r="S18" s="168"/>
      <c r="T18" s="168"/>
      <c r="U18" s="168"/>
      <c r="AA18" s="502"/>
      <c r="AB18" s="502"/>
    </row>
    <row r="19" spans="1:28" s="270" customFormat="1" ht="12.75" customHeight="1">
      <c r="A19" s="170"/>
      <c r="B19" s="170"/>
      <c r="C19" s="170"/>
      <c r="D19" s="1561"/>
      <c r="E19" s="1560"/>
      <c r="F19" s="1560"/>
      <c r="G19" s="1562"/>
      <c r="H19" s="279"/>
      <c r="I19" s="168"/>
      <c r="J19" s="170"/>
      <c r="K19" s="280"/>
      <c r="L19" s="280"/>
      <c r="M19" s="280"/>
      <c r="N19" s="280"/>
      <c r="O19" s="170"/>
      <c r="P19" s="168"/>
      <c r="Q19" s="278"/>
      <c r="R19" s="278"/>
      <c r="S19" s="168"/>
      <c r="T19" s="168"/>
      <c r="U19" s="168"/>
      <c r="AA19" s="502"/>
      <c r="AB19" s="502"/>
    </row>
    <row r="20" spans="1:28" s="270" customFormat="1" ht="11.4" customHeight="1">
      <c r="A20" s="170"/>
      <c r="B20" s="170"/>
      <c r="C20" s="170"/>
      <c r="D20" s="1404">
        <v>2019</v>
      </c>
      <c r="E20" s="168"/>
      <c r="F20" s="3457" t="s">
        <v>3253</v>
      </c>
      <c r="G20" s="3458"/>
      <c r="H20" s="3458"/>
      <c r="I20" s="3458"/>
      <c r="J20" s="3459"/>
      <c r="K20" s="280"/>
      <c r="L20" s="542" t="s">
        <v>3441</v>
      </c>
      <c r="M20" s="280"/>
      <c r="N20" s="3457" t="s">
        <v>3253</v>
      </c>
      <c r="O20" s="3458"/>
      <c r="P20" s="3458"/>
      <c r="Q20" s="3458"/>
      <c r="R20" s="3459"/>
      <c r="S20" s="291"/>
      <c r="T20" s="168"/>
      <c r="U20" s="168"/>
      <c r="V20" s="945"/>
      <c r="W20" s="945"/>
      <c r="X20" s="945"/>
      <c r="AA20" s="502"/>
      <c r="AB20" s="502"/>
    </row>
    <row r="21" spans="1:28" s="270" customFormat="1" ht="11.4" customHeight="1">
      <c r="A21" s="170"/>
      <c r="D21" s="543" t="s">
        <v>2546</v>
      </c>
      <c r="E21" s="543" t="s">
        <v>1270</v>
      </c>
      <c r="F21" s="544">
        <v>0</v>
      </c>
      <c r="G21" s="545">
        <v>1</v>
      </c>
      <c r="H21" s="1010">
        <v>2</v>
      </c>
      <c r="I21" s="1010">
        <v>3</v>
      </c>
      <c r="J21" s="546" t="s">
        <v>3250</v>
      </c>
      <c r="L21" s="543" t="s">
        <v>2546</v>
      </c>
      <c r="M21" s="543" t="s">
        <v>1270</v>
      </c>
      <c r="N21" s="544">
        <v>0</v>
      </c>
      <c r="O21" s="545">
        <v>1</v>
      </c>
      <c r="P21" s="1010">
        <v>2</v>
      </c>
      <c r="Q21" s="1010">
        <v>3</v>
      </c>
      <c r="R21" s="546" t="s">
        <v>3250</v>
      </c>
      <c r="S21" s="291"/>
      <c r="T21" s="168"/>
      <c r="U21" s="168"/>
      <c r="V21" s="945"/>
      <c r="W21" s="945"/>
      <c r="X21" s="945"/>
      <c r="AA21" s="502"/>
      <c r="AB21" s="502"/>
    </row>
    <row r="22" spans="1:28" s="270" customFormat="1" ht="11.4" customHeight="1">
      <c r="A22" s="170"/>
      <c r="C22" s="311"/>
      <c r="D22" s="965" t="s">
        <v>1738</v>
      </c>
      <c r="E22" s="965" t="s">
        <v>3252</v>
      </c>
      <c r="F22" s="966">
        <v>141961</v>
      </c>
      <c r="G22" s="966">
        <v>183643</v>
      </c>
      <c r="H22" s="966">
        <v>219722</v>
      </c>
      <c r="I22" s="966">
        <v>261937</v>
      </c>
      <c r="J22" s="966">
        <v>308633</v>
      </c>
      <c r="L22" s="291" t="s">
        <v>1738</v>
      </c>
      <c r="M22" s="291" t="s">
        <v>3252</v>
      </c>
      <c r="N22" s="1028">
        <f t="shared" ref="N22:R37" si="0">ROUNDDOWN(F22*1.1,0)</f>
        <v>156157</v>
      </c>
      <c r="O22" s="1028">
        <f t="shared" si="0"/>
        <v>202007</v>
      </c>
      <c r="P22" s="1028">
        <f t="shared" si="0"/>
        <v>241694</v>
      </c>
      <c r="Q22" s="1028">
        <f t="shared" si="0"/>
        <v>288130</v>
      </c>
      <c r="R22" s="1028">
        <f t="shared" si="0"/>
        <v>339496</v>
      </c>
      <c r="S22" s="291"/>
      <c r="T22" s="168"/>
      <c r="U22" s="168"/>
      <c r="V22" s="945"/>
      <c r="W22" s="945"/>
      <c r="X22" s="945"/>
      <c r="AA22" s="502"/>
      <c r="AB22" s="502"/>
    </row>
    <row r="23" spans="1:28" s="270" customFormat="1" ht="11.4" customHeight="1">
      <c r="A23" s="170"/>
      <c r="C23" s="311"/>
      <c r="D23" s="965" t="s">
        <v>1738</v>
      </c>
      <c r="E23" s="965" t="s">
        <v>3249</v>
      </c>
      <c r="F23" s="966">
        <v>110685</v>
      </c>
      <c r="G23" s="966">
        <v>154960</v>
      </c>
      <c r="H23" s="966">
        <v>199234</v>
      </c>
      <c r="I23" s="966">
        <v>265645</v>
      </c>
      <c r="J23" s="966">
        <v>332056</v>
      </c>
      <c r="L23" s="291" t="s">
        <v>1738</v>
      </c>
      <c r="M23" s="291" t="s">
        <v>3249</v>
      </c>
      <c r="N23" s="1028">
        <f t="shared" si="0"/>
        <v>121753</v>
      </c>
      <c r="O23" s="1028">
        <f t="shared" si="0"/>
        <v>170456</v>
      </c>
      <c r="P23" s="1028">
        <f t="shared" si="0"/>
        <v>219157</v>
      </c>
      <c r="Q23" s="1028">
        <f t="shared" si="0"/>
        <v>292209</v>
      </c>
      <c r="R23" s="1028">
        <f t="shared" si="0"/>
        <v>365261</v>
      </c>
      <c r="S23" s="291"/>
      <c r="T23" s="168"/>
      <c r="U23" s="168"/>
      <c r="V23" s="945"/>
      <c r="W23" s="945"/>
      <c r="X23" s="945"/>
      <c r="AA23" s="502"/>
      <c r="AB23" s="502"/>
    </row>
    <row r="24" spans="1:28" s="270" customFormat="1" ht="11.4" customHeight="1">
      <c r="A24" s="170"/>
      <c r="C24" s="311"/>
      <c r="D24" s="965" t="s">
        <v>1738</v>
      </c>
      <c r="E24" s="965" t="s">
        <v>3247</v>
      </c>
      <c r="F24" s="966">
        <v>122254</v>
      </c>
      <c r="G24" s="966">
        <v>159614</v>
      </c>
      <c r="H24" s="966">
        <v>193408</v>
      </c>
      <c r="I24" s="966">
        <v>236016</v>
      </c>
      <c r="J24" s="966">
        <v>279942</v>
      </c>
      <c r="L24" s="291" t="s">
        <v>1738</v>
      </c>
      <c r="M24" s="291" t="s">
        <v>3247</v>
      </c>
      <c r="N24" s="1028">
        <f t="shared" si="0"/>
        <v>134479</v>
      </c>
      <c r="O24" s="1028">
        <f t="shared" si="0"/>
        <v>175575</v>
      </c>
      <c r="P24" s="1028">
        <f t="shared" si="0"/>
        <v>212748</v>
      </c>
      <c r="Q24" s="1028">
        <f t="shared" si="0"/>
        <v>259617</v>
      </c>
      <c r="R24" s="1028">
        <f t="shared" si="0"/>
        <v>307936</v>
      </c>
      <c r="S24" s="291"/>
      <c r="T24" s="168"/>
      <c r="U24" s="168"/>
      <c r="V24" s="945"/>
      <c r="W24" s="945"/>
      <c r="X24" s="945"/>
      <c r="AA24" s="502"/>
      <c r="AB24" s="502"/>
    </row>
    <row r="25" spans="1:28" s="270" customFormat="1" ht="11.4" customHeight="1">
      <c r="A25" s="170"/>
      <c r="C25" s="311"/>
      <c r="D25" s="965" t="s">
        <v>1738</v>
      </c>
      <c r="E25" s="965" t="s">
        <v>3248</v>
      </c>
      <c r="F25" s="966">
        <v>107479</v>
      </c>
      <c r="G25" s="966">
        <v>146778</v>
      </c>
      <c r="H25" s="966">
        <v>185800</v>
      </c>
      <c r="I25" s="966">
        <v>244830</v>
      </c>
      <c r="J25" s="966">
        <v>303475</v>
      </c>
      <c r="L25" s="291" t="s">
        <v>1738</v>
      </c>
      <c r="M25" s="291" t="s">
        <v>3248</v>
      </c>
      <c r="N25" s="1028">
        <f t="shared" si="0"/>
        <v>118226</v>
      </c>
      <c r="O25" s="1028">
        <f t="shared" si="0"/>
        <v>161455</v>
      </c>
      <c r="P25" s="1028">
        <f t="shared" si="0"/>
        <v>204380</v>
      </c>
      <c r="Q25" s="1028">
        <f t="shared" si="0"/>
        <v>269313</v>
      </c>
      <c r="R25" s="1028">
        <f t="shared" si="0"/>
        <v>333822</v>
      </c>
      <c r="S25" s="291"/>
      <c r="T25" s="168"/>
      <c r="U25" s="168"/>
      <c r="V25" s="945"/>
      <c r="W25" s="945"/>
      <c r="X25" s="945"/>
      <c r="AA25" s="502"/>
      <c r="AB25" s="502"/>
    </row>
    <row r="26" spans="1:28" s="270" customFormat="1" ht="11.4" customHeight="1">
      <c r="A26" s="170"/>
      <c r="C26" s="311"/>
      <c r="D26" s="957" t="s">
        <v>162</v>
      </c>
      <c r="E26" s="957" t="s">
        <v>3252</v>
      </c>
      <c r="F26" s="958">
        <v>141914</v>
      </c>
      <c r="G26" s="958">
        <v>183685</v>
      </c>
      <c r="H26" s="958">
        <v>219843</v>
      </c>
      <c r="I26" s="958">
        <v>262188</v>
      </c>
      <c r="J26" s="958">
        <v>309029</v>
      </c>
      <c r="L26" s="291" t="s">
        <v>162</v>
      </c>
      <c r="M26" s="291" t="s">
        <v>3252</v>
      </c>
      <c r="N26" s="1028">
        <f t="shared" si="0"/>
        <v>156105</v>
      </c>
      <c r="O26" s="1028">
        <f t="shared" si="0"/>
        <v>202053</v>
      </c>
      <c r="P26" s="1028">
        <f t="shared" si="0"/>
        <v>241827</v>
      </c>
      <c r="Q26" s="1028">
        <f t="shared" si="0"/>
        <v>288406</v>
      </c>
      <c r="R26" s="1028">
        <f t="shared" si="0"/>
        <v>339931</v>
      </c>
      <c r="S26" s="291"/>
      <c r="T26" s="168"/>
      <c r="U26" s="168"/>
      <c r="V26" s="945"/>
      <c r="W26" s="945"/>
      <c r="X26" s="945"/>
      <c r="AA26" s="502"/>
      <c r="AB26" s="502"/>
    </row>
    <row r="27" spans="1:28" s="270" customFormat="1" ht="11.4" customHeight="1">
      <c r="A27" s="170"/>
      <c r="C27" s="311"/>
      <c r="D27" s="957" t="s">
        <v>162</v>
      </c>
      <c r="E27" s="957" t="s">
        <v>3249</v>
      </c>
      <c r="F27" s="958">
        <v>110625</v>
      </c>
      <c r="G27" s="958">
        <v>154874</v>
      </c>
      <c r="H27" s="958">
        <v>199124</v>
      </c>
      <c r="I27" s="958">
        <v>265499</v>
      </c>
      <c r="J27" s="958">
        <v>331874</v>
      </c>
      <c r="L27" s="291" t="s">
        <v>162</v>
      </c>
      <c r="M27" s="291" t="s">
        <v>3249</v>
      </c>
      <c r="N27" s="1028">
        <f t="shared" si="0"/>
        <v>121687</v>
      </c>
      <c r="O27" s="1028">
        <f t="shared" si="0"/>
        <v>170361</v>
      </c>
      <c r="P27" s="1028">
        <f t="shared" si="0"/>
        <v>219036</v>
      </c>
      <c r="Q27" s="1028">
        <f t="shared" si="0"/>
        <v>292048</v>
      </c>
      <c r="R27" s="1028">
        <f t="shared" si="0"/>
        <v>365061</v>
      </c>
      <c r="S27" s="291"/>
      <c r="T27" s="168"/>
      <c r="U27" s="168"/>
      <c r="V27" s="945"/>
      <c r="W27" s="945"/>
      <c r="X27" s="945"/>
      <c r="AA27" s="502"/>
      <c r="AB27" s="502"/>
    </row>
    <row r="28" spans="1:28" s="270" customFormat="1" ht="11.4" customHeight="1">
      <c r="A28" s="170"/>
      <c r="C28" s="311"/>
      <c r="D28" s="957" t="s">
        <v>162</v>
      </c>
      <c r="E28" s="957" t="s">
        <v>3247</v>
      </c>
      <c r="F28" s="958">
        <v>121732</v>
      </c>
      <c r="G28" s="958">
        <v>159078</v>
      </c>
      <c r="H28" s="958">
        <v>192895</v>
      </c>
      <c r="I28" s="958">
        <v>235643</v>
      </c>
      <c r="J28" s="958">
        <v>279647</v>
      </c>
      <c r="L28" s="291" t="s">
        <v>162</v>
      </c>
      <c r="M28" s="291" t="s">
        <v>3247</v>
      </c>
      <c r="N28" s="1028">
        <f t="shared" si="0"/>
        <v>133905</v>
      </c>
      <c r="O28" s="1028">
        <f t="shared" si="0"/>
        <v>174985</v>
      </c>
      <c r="P28" s="1028">
        <f t="shared" si="0"/>
        <v>212184</v>
      </c>
      <c r="Q28" s="1028">
        <f t="shared" si="0"/>
        <v>259207</v>
      </c>
      <c r="R28" s="1028">
        <f t="shared" si="0"/>
        <v>307611</v>
      </c>
      <c r="S28" s="291"/>
      <c r="T28" s="168"/>
      <c r="U28" s="168"/>
      <c r="V28" s="945"/>
      <c r="W28" s="945"/>
      <c r="X28" s="945"/>
      <c r="AA28" s="502"/>
      <c r="AB28" s="502"/>
    </row>
    <row r="29" spans="1:28" s="270" customFormat="1" ht="11.4" customHeight="1">
      <c r="A29" s="170"/>
      <c r="C29" s="311"/>
      <c r="D29" s="957" t="s">
        <v>162</v>
      </c>
      <c r="E29" s="957" t="s">
        <v>3248</v>
      </c>
      <c r="F29" s="958">
        <v>106625</v>
      </c>
      <c r="G29" s="958">
        <v>145495</v>
      </c>
      <c r="H29" s="958">
        <v>184080</v>
      </c>
      <c r="I29" s="958">
        <v>242466</v>
      </c>
      <c r="J29" s="958">
        <v>300459</v>
      </c>
      <c r="L29" s="291" t="s">
        <v>162</v>
      </c>
      <c r="M29" s="291" t="s">
        <v>3248</v>
      </c>
      <c r="N29" s="1028">
        <f t="shared" si="0"/>
        <v>117287</v>
      </c>
      <c r="O29" s="1028">
        <f t="shared" si="0"/>
        <v>160044</v>
      </c>
      <c r="P29" s="1028">
        <f t="shared" si="0"/>
        <v>202488</v>
      </c>
      <c r="Q29" s="1028">
        <f t="shared" si="0"/>
        <v>266712</v>
      </c>
      <c r="R29" s="1028">
        <f t="shared" si="0"/>
        <v>330504</v>
      </c>
      <c r="S29" s="291"/>
      <c r="T29" s="168"/>
      <c r="U29" s="168"/>
      <c r="V29" s="945"/>
      <c r="W29" s="945"/>
      <c r="X29" s="945"/>
      <c r="AA29" s="502"/>
      <c r="AB29" s="502"/>
    </row>
    <row r="30" spans="1:28" s="270" customFormat="1" ht="11.4" customHeight="1">
      <c r="A30" s="170"/>
      <c r="C30" s="311"/>
      <c r="D30" s="955" t="s">
        <v>1179</v>
      </c>
      <c r="E30" s="955" t="s">
        <v>3252</v>
      </c>
      <c r="F30" s="956">
        <v>153887</v>
      </c>
      <c r="G30" s="956">
        <v>199173</v>
      </c>
      <c r="H30" s="956">
        <v>238374</v>
      </c>
      <c r="I30" s="956">
        <v>284279</v>
      </c>
      <c r="J30" s="956">
        <v>335059</v>
      </c>
      <c r="L30" s="541" t="s">
        <v>1179</v>
      </c>
      <c r="M30" s="541" t="s">
        <v>3252</v>
      </c>
      <c r="N30" s="1028">
        <f t="shared" si="0"/>
        <v>169275</v>
      </c>
      <c r="O30" s="1028">
        <f t="shared" si="0"/>
        <v>219090</v>
      </c>
      <c r="P30" s="1028">
        <f t="shared" si="0"/>
        <v>262211</v>
      </c>
      <c r="Q30" s="1028">
        <f t="shared" si="0"/>
        <v>312706</v>
      </c>
      <c r="R30" s="1028">
        <f t="shared" si="0"/>
        <v>368564</v>
      </c>
      <c r="S30" s="291"/>
      <c r="T30" s="168"/>
      <c r="U30" s="168"/>
      <c r="V30" s="945"/>
      <c r="W30" s="945"/>
      <c r="X30" s="945"/>
      <c r="AA30" s="502"/>
      <c r="AB30" s="502"/>
    </row>
    <row r="31" spans="1:28" s="270" customFormat="1" ht="11.4" customHeight="1">
      <c r="A31" s="170"/>
      <c r="C31" s="311"/>
      <c r="D31" s="955" t="s">
        <v>1179</v>
      </c>
      <c r="E31" s="955" t="s">
        <v>3249</v>
      </c>
      <c r="F31" s="956">
        <v>119960</v>
      </c>
      <c r="G31" s="956">
        <v>167943</v>
      </c>
      <c r="H31" s="956">
        <v>215927</v>
      </c>
      <c r="I31" s="956">
        <v>287903</v>
      </c>
      <c r="J31" s="956">
        <v>359879</v>
      </c>
      <c r="L31" s="541" t="s">
        <v>1179</v>
      </c>
      <c r="M31" s="541" t="s">
        <v>3249</v>
      </c>
      <c r="N31" s="1028">
        <f t="shared" si="0"/>
        <v>131956</v>
      </c>
      <c r="O31" s="1028">
        <f t="shared" si="0"/>
        <v>184737</v>
      </c>
      <c r="P31" s="1028">
        <f t="shared" si="0"/>
        <v>237519</v>
      </c>
      <c r="Q31" s="1028">
        <f t="shared" si="0"/>
        <v>316693</v>
      </c>
      <c r="R31" s="1028">
        <f t="shared" si="0"/>
        <v>395866</v>
      </c>
      <c r="S31" s="291"/>
      <c r="T31" s="168"/>
      <c r="U31" s="168"/>
      <c r="V31" s="945"/>
      <c r="W31" s="945"/>
      <c r="X31" s="945"/>
      <c r="AA31" s="502"/>
      <c r="AB31" s="502"/>
    </row>
    <row r="32" spans="1:28" s="270" customFormat="1" ht="11.4" customHeight="1">
      <c r="A32" s="170"/>
      <c r="C32" s="311"/>
      <c r="D32" s="955" t="s">
        <v>1179</v>
      </c>
      <c r="E32" s="955" t="s">
        <v>3247</v>
      </c>
      <c r="F32" s="956">
        <v>132042</v>
      </c>
      <c r="G32" s="956">
        <v>172539</v>
      </c>
      <c r="H32" s="956">
        <v>209207</v>
      </c>
      <c r="I32" s="956">
        <v>255548</v>
      </c>
      <c r="J32" s="956">
        <v>303256</v>
      </c>
      <c r="L32" s="541" t="s">
        <v>1179</v>
      </c>
      <c r="M32" s="541" t="s">
        <v>3247</v>
      </c>
      <c r="N32" s="1028">
        <f t="shared" si="0"/>
        <v>145246</v>
      </c>
      <c r="O32" s="1028">
        <f t="shared" si="0"/>
        <v>189792</v>
      </c>
      <c r="P32" s="1028">
        <f t="shared" si="0"/>
        <v>230127</v>
      </c>
      <c r="Q32" s="1028">
        <f t="shared" si="0"/>
        <v>281102</v>
      </c>
      <c r="R32" s="1028">
        <f t="shared" si="0"/>
        <v>333581</v>
      </c>
      <c r="S32" s="291"/>
      <c r="T32" s="168"/>
      <c r="U32" s="168"/>
      <c r="V32" s="945"/>
      <c r="W32" s="945"/>
      <c r="X32" s="945"/>
      <c r="AA32" s="502"/>
      <c r="AB32" s="502"/>
    </row>
    <row r="33" spans="1:28" s="270" customFormat="1" ht="11.4" customHeight="1">
      <c r="A33" s="170"/>
      <c r="C33" s="311"/>
      <c r="D33" s="955" t="s">
        <v>1179</v>
      </c>
      <c r="E33" s="955" t="s">
        <v>3248</v>
      </c>
      <c r="F33" s="956">
        <v>115690</v>
      </c>
      <c r="G33" s="956">
        <v>157874</v>
      </c>
      <c r="H33" s="956">
        <v>199750</v>
      </c>
      <c r="I33" s="956">
        <v>263115</v>
      </c>
      <c r="J33" s="956">
        <v>326053</v>
      </c>
      <c r="L33" s="541" t="s">
        <v>1179</v>
      </c>
      <c r="M33" s="541" t="s">
        <v>3248</v>
      </c>
      <c r="N33" s="1028">
        <f t="shared" si="0"/>
        <v>127259</v>
      </c>
      <c r="O33" s="1028">
        <f t="shared" si="0"/>
        <v>173661</v>
      </c>
      <c r="P33" s="1028">
        <f t="shared" si="0"/>
        <v>219725</v>
      </c>
      <c r="Q33" s="1028">
        <f t="shared" si="0"/>
        <v>289426</v>
      </c>
      <c r="R33" s="1028">
        <f t="shared" si="0"/>
        <v>358658</v>
      </c>
      <c r="S33" s="291"/>
      <c r="T33" s="168"/>
      <c r="U33" s="168"/>
      <c r="V33" s="945"/>
      <c r="W33" s="945"/>
      <c r="X33" s="945"/>
      <c r="AA33" s="502"/>
      <c r="AB33" s="502"/>
    </row>
    <row r="34" spans="1:28" s="270" customFormat="1" ht="11.4" customHeight="1">
      <c r="A34" s="170"/>
      <c r="C34" s="311"/>
      <c r="D34" s="959" t="s">
        <v>1303</v>
      </c>
      <c r="E34" s="959" t="s">
        <v>3252</v>
      </c>
      <c r="F34" s="960">
        <v>143742</v>
      </c>
      <c r="G34" s="960">
        <v>185791</v>
      </c>
      <c r="H34" s="960">
        <v>222188</v>
      </c>
      <c r="I34" s="960">
        <v>264716</v>
      </c>
      <c r="J34" s="960">
        <v>311757</v>
      </c>
      <c r="L34" s="541" t="s">
        <v>1303</v>
      </c>
      <c r="M34" s="541" t="s">
        <v>3252</v>
      </c>
      <c r="N34" s="1028">
        <f t="shared" si="0"/>
        <v>158116</v>
      </c>
      <c r="O34" s="1028">
        <f t="shared" si="0"/>
        <v>204370</v>
      </c>
      <c r="P34" s="1028">
        <f t="shared" si="0"/>
        <v>244406</v>
      </c>
      <c r="Q34" s="1028">
        <f t="shared" si="0"/>
        <v>291187</v>
      </c>
      <c r="R34" s="1028">
        <f t="shared" si="0"/>
        <v>342932</v>
      </c>
      <c r="S34" s="291"/>
      <c r="T34" s="168"/>
      <c r="U34" s="168"/>
      <c r="V34" s="945"/>
      <c r="W34" s="945"/>
      <c r="X34" s="945"/>
      <c r="AA34" s="502"/>
      <c r="AB34" s="502"/>
    </row>
    <row r="35" spans="1:28" s="270" customFormat="1" ht="11.4" customHeight="1">
      <c r="A35" s="170"/>
      <c r="C35" s="311"/>
      <c r="D35" s="959" t="s">
        <v>1303</v>
      </c>
      <c r="E35" s="959" t="s">
        <v>3249</v>
      </c>
      <c r="F35" s="960">
        <v>112110</v>
      </c>
      <c r="G35" s="960">
        <v>156955</v>
      </c>
      <c r="H35" s="960">
        <v>201799</v>
      </c>
      <c r="I35" s="960">
        <v>269065</v>
      </c>
      <c r="J35" s="960">
        <v>336331</v>
      </c>
      <c r="L35" s="541" t="s">
        <v>1303</v>
      </c>
      <c r="M35" s="541" t="s">
        <v>3249</v>
      </c>
      <c r="N35" s="1028">
        <f t="shared" si="0"/>
        <v>123321</v>
      </c>
      <c r="O35" s="1028">
        <f t="shared" si="0"/>
        <v>172650</v>
      </c>
      <c r="P35" s="1028">
        <f t="shared" si="0"/>
        <v>221978</v>
      </c>
      <c r="Q35" s="1028">
        <f t="shared" si="0"/>
        <v>295971</v>
      </c>
      <c r="R35" s="1028">
        <f t="shared" si="0"/>
        <v>369964</v>
      </c>
      <c r="S35" s="291"/>
      <c r="T35" s="168"/>
      <c r="U35" s="168"/>
      <c r="V35" s="945"/>
      <c r="W35" s="945"/>
      <c r="X35" s="945"/>
      <c r="AA35" s="502"/>
      <c r="AB35" s="502"/>
    </row>
    <row r="36" spans="1:28" s="270" customFormat="1" ht="11.4" customHeight="1">
      <c r="A36" s="170"/>
      <c r="C36" s="311"/>
      <c r="D36" s="959" t="s">
        <v>1303</v>
      </c>
      <c r="E36" s="959" t="s">
        <v>3247</v>
      </c>
      <c r="F36" s="960">
        <v>124509</v>
      </c>
      <c r="G36" s="960">
        <v>162342</v>
      </c>
      <c r="H36" s="960">
        <v>196508</v>
      </c>
      <c r="I36" s="960">
        <v>239420</v>
      </c>
      <c r="J36" s="960">
        <v>283757</v>
      </c>
      <c r="L36" s="541" t="s">
        <v>1303</v>
      </c>
      <c r="M36" s="541" t="s">
        <v>3247</v>
      </c>
      <c r="N36" s="1028">
        <f t="shared" si="0"/>
        <v>136959</v>
      </c>
      <c r="O36" s="1028">
        <f t="shared" si="0"/>
        <v>178576</v>
      </c>
      <c r="P36" s="1028">
        <f t="shared" si="0"/>
        <v>216158</v>
      </c>
      <c r="Q36" s="1028">
        <f t="shared" si="0"/>
        <v>263362</v>
      </c>
      <c r="R36" s="1028">
        <f t="shared" si="0"/>
        <v>312132</v>
      </c>
      <c r="S36" s="291"/>
      <c r="T36" s="168"/>
      <c r="U36" s="168"/>
      <c r="V36" s="945"/>
      <c r="W36" s="945"/>
      <c r="X36" s="945"/>
      <c r="AA36" s="502"/>
      <c r="AB36" s="502"/>
    </row>
    <row r="37" spans="1:28" s="270" customFormat="1" ht="11.4" customHeight="1">
      <c r="A37" s="170"/>
      <c r="C37" s="311"/>
      <c r="D37" s="959" t="s">
        <v>1303</v>
      </c>
      <c r="E37" s="959" t="s">
        <v>3248</v>
      </c>
      <c r="F37" s="960">
        <v>110053</v>
      </c>
      <c r="G37" s="960">
        <v>150472</v>
      </c>
      <c r="H37" s="960">
        <v>190620</v>
      </c>
      <c r="I37" s="960">
        <v>251326</v>
      </c>
      <c r="J37" s="960">
        <v>311657</v>
      </c>
      <c r="L37" s="541" t="s">
        <v>1303</v>
      </c>
      <c r="M37" s="541" t="s">
        <v>3248</v>
      </c>
      <c r="N37" s="1028">
        <f t="shared" si="0"/>
        <v>121058</v>
      </c>
      <c r="O37" s="1028">
        <f t="shared" si="0"/>
        <v>165519</v>
      </c>
      <c r="P37" s="1028">
        <f t="shared" si="0"/>
        <v>209682</v>
      </c>
      <c r="Q37" s="1028">
        <f t="shared" si="0"/>
        <v>276458</v>
      </c>
      <c r="R37" s="1028">
        <f t="shared" si="0"/>
        <v>342822</v>
      </c>
      <c r="S37" s="291"/>
      <c r="T37" s="168"/>
      <c r="U37" s="168"/>
      <c r="V37" s="945"/>
      <c r="W37" s="945"/>
      <c r="X37" s="945"/>
      <c r="AA37" s="502"/>
      <c r="AB37" s="502"/>
    </row>
    <row r="38" spans="1:28" s="270" customFormat="1" ht="11.4" customHeight="1">
      <c r="A38" s="170"/>
      <c r="C38" s="311"/>
      <c r="D38" s="983" t="s">
        <v>1489</v>
      </c>
      <c r="E38" s="983" t="s">
        <v>3252</v>
      </c>
      <c r="F38" s="825">
        <v>152106</v>
      </c>
      <c r="G38" s="825">
        <v>197025</v>
      </c>
      <c r="H38" s="825">
        <v>235908</v>
      </c>
      <c r="I38" s="825">
        <v>281500</v>
      </c>
      <c r="J38" s="825">
        <v>331935</v>
      </c>
      <c r="L38" s="983" t="s">
        <v>1489</v>
      </c>
      <c r="M38" s="541" t="s">
        <v>3252</v>
      </c>
      <c r="N38" s="1028">
        <f t="shared" ref="N38:R41" si="1">ROUNDDOWN(F38*1.1,0)</f>
        <v>167316</v>
      </c>
      <c r="O38" s="1028">
        <f t="shared" si="1"/>
        <v>216727</v>
      </c>
      <c r="P38" s="1028">
        <f t="shared" si="1"/>
        <v>259498</v>
      </c>
      <c r="Q38" s="1028">
        <f t="shared" si="1"/>
        <v>309650</v>
      </c>
      <c r="R38" s="1028">
        <f t="shared" si="1"/>
        <v>365128</v>
      </c>
      <c r="S38" s="291"/>
      <c r="T38" s="168"/>
      <c r="U38" s="168"/>
      <c r="V38" s="945"/>
      <c r="W38" s="945"/>
      <c r="X38" s="945"/>
      <c r="AA38" s="502"/>
      <c r="AB38" s="502"/>
    </row>
    <row r="39" spans="1:28" s="270" customFormat="1" ht="11.4" customHeight="1">
      <c r="A39" s="170"/>
      <c r="C39" s="311"/>
      <c r="D39" s="983" t="s">
        <v>1489</v>
      </c>
      <c r="E39" s="983" t="s">
        <v>3249</v>
      </c>
      <c r="F39" s="825">
        <v>118535</v>
      </c>
      <c r="G39" s="825">
        <v>165949</v>
      </c>
      <c r="H39" s="825">
        <v>213362</v>
      </c>
      <c r="I39" s="825">
        <v>284483</v>
      </c>
      <c r="J39" s="825">
        <v>355604</v>
      </c>
      <c r="L39" s="983" t="s">
        <v>1489</v>
      </c>
      <c r="M39" s="541" t="s">
        <v>3249</v>
      </c>
      <c r="N39" s="1028">
        <f t="shared" si="1"/>
        <v>130388</v>
      </c>
      <c r="O39" s="1028">
        <f t="shared" si="1"/>
        <v>182543</v>
      </c>
      <c r="P39" s="1028">
        <f t="shared" si="1"/>
        <v>234698</v>
      </c>
      <c r="Q39" s="1028">
        <f t="shared" si="1"/>
        <v>312931</v>
      </c>
      <c r="R39" s="1028">
        <f t="shared" si="1"/>
        <v>391164</v>
      </c>
      <c r="S39" s="291"/>
      <c r="T39" s="168"/>
      <c r="U39" s="168"/>
      <c r="V39" s="945"/>
      <c r="W39" s="945"/>
      <c r="X39" s="945"/>
      <c r="AA39" s="502"/>
      <c r="AB39" s="502"/>
    </row>
    <row r="40" spans="1:28" s="270" customFormat="1" ht="11.4" customHeight="1">
      <c r="A40" s="170"/>
      <c r="C40" s="311"/>
      <c r="D40" s="983" t="s">
        <v>1489</v>
      </c>
      <c r="E40" s="983" t="s">
        <v>3247</v>
      </c>
      <c r="F40" s="825">
        <v>129787</v>
      </c>
      <c r="G40" s="825">
        <v>169811</v>
      </c>
      <c r="H40" s="825">
        <v>206107</v>
      </c>
      <c r="I40" s="825">
        <v>252144</v>
      </c>
      <c r="J40" s="825">
        <v>299441</v>
      </c>
      <c r="L40" s="983" t="s">
        <v>1489</v>
      </c>
      <c r="M40" s="541" t="s">
        <v>3247</v>
      </c>
      <c r="N40" s="1028">
        <f t="shared" si="1"/>
        <v>142765</v>
      </c>
      <c r="O40" s="1028">
        <f t="shared" si="1"/>
        <v>186792</v>
      </c>
      <c r="P40" s="1028">
        <f t="shared" si="1"/>
        <v>226717</v>
      </c>
      <c r="Q40" s="1028">
        <f t="shared" si="1"/>
        <v>277358</v>
      </c>
      <c r="R40" s="1028">
        <f t="shared" si="1"/>
        <v>329385</v>
      </c>
      <c r="S40" s="291"/>
      <c r="T40" s="168"/>
      <c r="U40" s="168"/>
      <c r="V40" s="945"/>
      <c r="W40" s="945"/>
      <c r="X40" s="945"/>
      <c r="AA40" s="502"/>
      <c r="AB40" s="502"/>
    </row>
    <row r="41" spans="1:28" s="270" customFormat="1" ht="11.4" customHeight="1">
      <c r="A41" s="170"/>
      <c r="C41" s="311"/>
      <c r="D41" s="983" t="s">
        <v>1489</v>
      </c>
      <c r="E41" s="983" t="s">
        <v>3248</v>
      </c>
      <c r="F41" s="825">
        <v>113115</v>
      </c>
      <c r="G41" s="825">
        <v>154180</v>
      </c>
      <c r="H41" s="825">
        <v>194931</v>
      </c>
      <c r="I41" s="825">
        <v>256619</v>
      </c>
      <c r="J41" s="825">
        <v>317872</v>
      </c>
      <c r="L41" s="983" t="s">
        <v>1489</v>
      </c>
      <c r="M41" s="541" t="s">
        <v>3248</v>
      </c>
      <c r="N41" s="1028">
        <f t="shared" si="1"/>
        <v>124426</v>
      </c>
      <c r="O41" s="1028">
        <f t="shared" si="1"/>
        <v>169598</v>
      </c>
      <c r="P41" s="1028">
        <f t="shared" si="1"/>
        <v>214424</v>
      </c>
      <c r="Q41" s="1028">
        <f t="shared" si="1"/>
        <v>282280</v>
      </c>
      <c r="R41" s="1028">
        <f t="shared" si="1"/>
        <v>349659</v>
      </c>
      <c r="S41" s="291"/>
      <c r="T41" s="168"/>
      <c r="U41" s="168"/>
      <c r="V41" s="945"/>
      <c r="W41" s="945"/>
      <c r="X41" s="945"/>
      <c r="AA41" s="502"/>
      <c r="AB41" s="502"/>
    </row>
    <row r="42" spans="1:28" s="270" customFormat="1" ht="11.4" customHeight="1">
      <c r="A42" s="170"/>
      <c r="C42" s="311"/>
      <c r="D42" s="961" t="s">
        <v>157</v>
      </c>
      <c r="E42" s="961" t="s">
        <v>3252</v>
      </c>
      <c r="F42" s="962">
        <v>140251</v>
      </c>
      <c r="G42" s="962">
        <v>181430</v>
      </c>
      <c r="H42" s="962">
        <v>217075</v>
      </c>
      <c r="I42" s="962">
        <v>258781</v>
      </c>
      <c r="J42" s="962">
        <v>304915</v>
      </c>
      <c r="L42" s="291" t="s">
        <v>157</v>
      </c>
      <c r="M42" s="291" t="s">
        <v>3252</v>
      </c>
      <c r="N42" s="1028">
        <f t="shared" ref="N42:R57" si="2">ROUNDDOWN(F42*1.1,0)</f>
        <v>154276</v>
      </c>
      <c r="O42" s="1028">
        <f t="shared" si="2"/>
        <v>199573</v>
      </c>
      <c r="P42" s="1028">
        <f t="shared" si="2"/>
        <v>238782</v>
      </c>
      <c r="Q42" s="1028">
        <f t="shared" si="2"/>
        <v>284659</v>
      </c>
      <c r="R42" s="1028">
        <f t="shared" si="2"/>
        <v>335406</v>
      </c>
      <c r="S42" s="291"/>
      <c r="T42" s="168"/>
      <c r="U42" s="168"/>
      <c r="V42" s="945"/>
      <c r="W42" s="945"/>
      <c r="X42" s="945"/>
      <c r="AA42" s="502"/>
      <c r="AB42" s="502"/>
    </row>
    <row r="43" spans="1:28" s="270" customFormat="1" ht="11.4" customHeight="1">
      <c r="A43" s="170"/>
      <c r="C43" s="311"/>
      <c r="D43" s="961" t="s">
        <v>157</v>
      </c>
      <c r="E43" s="961" t="s">
        <v>3249</v>
      </c>
      <c r="F43" s="962">
        <v>109352</v>
      </c>
      <c r="G43" s="962">
        <v>153093</v>
      </c>
      <c r="H43" s="962">
        <v>196833</v>
      </c>
      <c r="I43" s="962">
        <v>262445</v>
      </c>
      <c r="J43" s="962">
        <v>328056</v>
      </c>
      <c r="L43" s="291" t="s">
        <v>157</v>
      </c>
      <c r="M43" s="291" t="s">
        <v>3249</v>
      </c>
      <c r="N43" s="1028">
        <f t="shared" si="2"/>
        <v>120287</v>
      </c>
      <c r="O43" s="1028">
        <f t="shared" si="2"/>
        <v>168402</v>
      </c>
      <c r="P43" s="1028">
        <f t="shared" si="2"/>
        <v>216516</v>
      </c>
      <c r="Q43" s="1028">
        <f t="shared" si="2"/>
        <v>288689</v>
      </c>
      <c r="R43" s="1028">
        <f t="shared" si="2"/>
        <v>360861</v>
      </c>
      <c r="S43" s="291"/>
      <c r="T43" s="168"/>
      <c r="U43" s="168"/>
      <c r="V43" s="945"/>
      <c r="W43" s="945"/>
      <c r="X43" s="945"/>
      <c r="AA43" s="502"/>
      <c r="AB43" s="502"/>
    </row>
    <row r="44" spans="1:28" s="270" customFormat="1" ht="11.4" customHeight="1">
      <c r="A44" s="170"/>
      <c r="C44" s="311"/>
      <c r="D44" s="961" t="s">
        <v>157</v>
      </c>
      <c r="E44" s="961" t="s">
        <v>3247</v>
      </c>
      <c r="F44" s="962">
        <v>120781</v>
      </c>
      <c r="G44" s="962">
        <v>157691</v>
      </c>
      <c r="H44" s="962">
        <v>191078</v>
      </c>
      <c r="I44" s="962">
        <v>233173</v>
      </c>
      <c r="J44" s="962">
        <v>276569</v>
      </c>
      <c r="L44" s="291" t="s">
        <v>157</v>
      </c>
      <c r="M44" s="291" t="s">
        <v>3247</v>
      </c>
      <c r="N44" s="1028">
        <f t="shared" si="2"/>
        <v>132859</v>
      </c>
      <c r="O44" s="1028">
        <f t="shared" si="2"/>
        <v>173460</v>
      </c>
      <c r="P44" s="1028">
        <f t="shared" si="2"/>
        <v>210185</v>
      </c>
      <c r="Q44" s="1028">
        <f t="shared" si="2"/>
        <v>256490</v>
      </c>
      <c r="R44" s="1028">
        <f t="shared" si="2"/>
        <v>304225</v>
      </c>
      <c r="S44" s="291"/>
      <c r="T44" s="168"/>
      <c r="U44" s="168"/>
      <c r="V44" s="945"/>
      <c r="W44" s="945"/>
      <c r="X44" s="945"/>
      <c r="AA44" s="502"/>
      <c r="AB44" s="502"/>
    </row>
    <row r="45" spans="1:28" s="270" customFormat="1" ht="11.4" customHeight="1">
      <c r="A45" s="170"/>
      <c r="C45" s="311"/>
      <c r="D45" s="961" t="s">
        <v>157</v>
      </c>
      <c r="E45" s="961" t="s">
        <v>3248</v>
      </c>
      <c r="F45" s="962">
        <v>106184</v>
      </c>
      <c r="G45" s="962">
        <v>145010</v>
      </c>
      <c r="H45" s="962">
        <v>183562</v>
      </c>
      <c r="I45" s="962">
        <v>241880</v>
      </c>
      <c r="J45" s="962">
        <v>299819</v>
      </c>
      <c r="L45" s="291" t="s">
        <v>157</v>
      </c>
      <c r="M45" s="291" t="s">
        <v>3248</v>
      </c>
      <c r="N45" s="1028">
        <f t="shared" si="2"/>
        <v>116802</v>
      </c>
      <c r="O45" s="1028">
        <f t="shared" si="2"/>
        <v>159511</v>
      </c>
      <c r="P45" s="1028">
        <f t="shared" si="2"/>
        <v>201918</v>
      </c>
      <c r="Q45" s="1028">
        <f t="shared" si="2"/>
        <v>266068</v>
      </c>
      <c r="R45" s="1028">
        <f t="shared" si="2"/>
        <v>329800</v>
      </c>
      <c r="S45" s="291"/>
      <c r="T45" s="168"/>
      <c r="U45" s="168"/>
      <c r="V45" s="945"/>
      <c r="W45" s="945"/>
      <c r="X45" s="945"/>
      <c r="AA45" s="502"/>
      <c r="AB45" s="502"/>
    </row>
    <row r="46" spans="1:28" s="270" customFormat="1" ht="11.4" customHeight="1">
      <c r="A46" s="170"/>
      <c r="C46" s="311"/>
      <c r="D46" s="963" t="s">
        <v>1293</v>
      </c>
      <c r="E46" s="963" t="s">
        <v>3252</v>
      </c>
      <c r="F46" s="964">
        <v>143648</v>
      </c>
      <c r="G46" s="964">
        <v>185876</v>
      </c>
      <c r="H46" s="964">
        <v>222430</v>
      </c>
      <c r="I46" s="964">
        <v>265219</v>
      </c>
      <c r="J46" s="964">
        <v>312550</v>
      </c>
      <c r="L46" s="541" t="s">
        <v>1293</v>
      </c>
      <c r="M46" s="541" t="s">
        <v>3252</v>
      </c>
      <c r="N46" s="1028">
        <f t="shared" si="2"/>
        <v>158012</v>
      </c>
      <c r="O46" s="1028">
        <f t="shared" si="2"/>
        <v>204463</v>
      </c>
      <c r="P46" s="1028">
        <f t="shared" si="2"/>
        <v>244673</v>
      </c>
      <c r="Q46" s="1028">
        <f t="shared" si="2"/>
        <v>291740</v>
      </c>
      <c r="R46" s="1028">
        <f t="shared" si="2"/>
        <v>343805</v>
      </c>
      <c r="S46" s="291"/>
      <c r="T46" s="168"/>
      <c r="U46" s="168"/>
      <c r="V46" s="945"/>
      <c r="W46" s="945"/>
      <c r="X46" s="945"/>
      <c r="AA46" s="502"/>
      <c r="AB46" s="502"/>
    </row>
    <row r="47" spans="1:28" s="270" customFormat="1" ht="11.4" customHeight="1">
      <c r="A47" s="170"/>
      <c r="C47" s="311"/>
      <c r="D47" s="963" t="s">
        <v>1293</v>
      </c>
      <c r="E47" s="963" t="s">
        <v>3249</v>
      </c>
      <c r="F47" s="964">
        <v>111989</v>
      </c>
      <c r="G47" s="964">
        <v>156784</v>
      </c>
      <c r="H47" s="964">
        <v>201579</v>
      </c>
      <c r="I47" s="964">
        <v>268773</v>
      </c>
      <c r="J47" s="964">
        <v>335966</v>
      </c>
      <c r="L47" s="541" t="s">
        <v>1293</v>
      </c>
      <c r="M47" s="541" t="s">
        <v>3249</v>
      </c>
      <c r="N47" s="1028">
        <f t="shared" si="2"/>
        <v>123187</v>
      </c>
      <c r="O47" s="1028">
        <f t="shared" si="2"/>
        <v>172462</v>
      </c>
      <c r="P47" s="1028">
        <f t="shared" si="2"/>
        <v>221736</v>
      </c>
      <c r="Q47" s="1028">
        <f t="shared" si="2"/>
        <v>295650</v>
      </c>
      <c r="R47" s="1028">
        <f t="shared" si="2"/>
        <v>369562</v>
      </c>
      <c r="S47" s="291"/>
      <c r="T47" s="168"/>
      <c r="U47" s="168"/>
      <c r="V47" s="945"/>
      <c r="W47" s="945"/>
      <c r="X47" s="945"/>
      <c r="AA47" s="502"/>
      <c r="AB47" s="502"/>
    </row>
    <row r="48" spans="1:28" s="270" customFormat="1" ht="11.4" customHeight="1">
      <c r="A48" s="170"/>
      <c r="C48" s="311"/>
      <c r="D48" s="963" t="s">
        <v>1293</v>
      </c>
      <c r="E48" s="963" t="s">
        <v>3247</v>
      </c>
      <c r="F48" s="964">
        <v>123466</v>
      </c>
      <c r="G48" s="964">
        <v>161269</v>
      </c>
      <c r="H48" s="964">
        <v>195482</v>
      </c>
      <c r="I48" s="964">
        <v>238673</v>
      </c>
      <c r="J48" s="964">
        <v>283167</v>
      </c>
      <c r="L48" s="541" t="s">
        <v>1293</v>
      </c>
      <c r="M48" s="541" t="s">
        <v>3247</v>
      </c>
      <c r="N48" s="1028">
        <f t="shared" si="2"/>
        <v>135812</v>
      </c>
      <c r="O48" s="1028">
        <f t="shared" si="2"/>
        <v>177395</v>
      </c>
      <c r="P48" s="1028">
        <f t="shared" si="2"/>
        <v>215030</v>
      </c>
      <c r="Q48" s="1028">
        <f t="shared" si="2"/>
        <v>262540</v>
      </c>
      <c r="R48" s="1028">
        <f t="shared" si="2"/>
        <v>311483</v>
      </c>
      <c r="S48" s="291"/>
      <c r="T48" s="168"/>
      <c r="U48" s="168"/>
      <c r="V48" s="945"/>
      <c r="W48" s="945"/>
      <c r="X48" s="945"/>
      <c r="AA48" s="502"/>
      <c r="AB48" s="502"/>
    </row>
    <row r="49" spans="1:28" s="270" customFormat="1" ht="11.4" customHeight="1">
      <c r="A49" s="170"/>
      <c r="C49" s="311"/>
      <c r="D49" s="963" t="s">
        <v>1293</v>
      </c>
      <c r="E49" s="963" t="s">
        <v>3248</v>
      </c>
      <c r="F49" s="964">
        <v>108347</v>
      </c>
      <c r="G49" s="964">
        <v>147905</v>
      </c>
      <c r="H49" s="964">
        <v>187179</v>
      </c>
      <c r="I49" s="964">
        <v>246598</v>
      </c>
      <c r="J49" s="964">
        <v>305623</v>
      </c>
      <c r="L49" s="541" t="s">
        <v>1293</v>
      </c>
      <c r="M49" s="541" t="s">
        <v>3248</v>
      </c>
      <c r="N49" s="1028">
        <f t="shared" si="2"/>
        <v>119181</v>
      </c>
      <c r="O49" s="1028">
        <f t="shared" si="2"/>
        <v>162695</v>
      </c>
      <c r="P49" s="1028">
        <f t="shared" si="2"/>
        <v>205896</v>
      </c>
      <c r="Q49" s="1028">
        <f t="shared" si="2"/>
        <v>271257</v>
      </c>
      <c r="R49" s="1028">
        <f t="shared" si="2"/>
        <v>336185</v>
      </c>
      <c r="S49" s="291"/>
      <c r="T49" s="168"/>
      <c r="U49" s="168"/>
      <c r="V49" s="945"/>
      <c r="W49" s="945"/>
      <c r="X49" s="945"/>
      <c r="AA49" s="502"/>
      <c r="AB49" s="502"/>
    </row>
    <row r="50" spans="1:28" s="270" customFormat="1" ht="11.4" customHeight="1">
      <c r="A50" s="170"/>
      <c r="C50" s="311"/>
      <c r="D50" s="955" t="s">
        <v>1299</v>
      </c>
      <c r="E50" s="955" t="s">
        <v>3252</v>
      </c>
      <c r="F50" s="956">
        <v>146202</v>
      </c>
      <c r="G50" s="956">
        <v>189206</v>
      </c>
      <c r="H50" s="956">
        <v>226431</v>
      </c>
      <c r="I50" s="956">
        <v>270015</v>
      </c>
      <c r="J50" s="956">
        <v>318226</v>
      </c>
      <c r="L50" s="541" t="s">
        <v>1299</v>
      </c>
      <c r="M50" s="541" t="s">
        <v>3252</v>
      </c>
      <c r="N50" s="1028">
        <f t="shared" si="2"/>
        <v>160822</v>
      </c>
      <c r="O50" s="1028">
        <f t="shared" si="2"/>
        <v>208126</v>
      </c>
      <c r="P50" s="1028">
        <f t="shared" si="2"/>
        <v>249074</v>
      </c>
      <c r="Q50" s="1028">
        <f t="shared" si="2"/>
        <v>297016</v>
      </c>
      <c r="R50" s="1028">
        <f t="shared" si="2"/>
        <v>350048</v>
      </c>
      <c r="S50" s="291"/>
      <c r="T50" s="168"/>
      <c r="U50" s="168"/>
      <c r="V50" s="945"/>
      <c r="W50" s="945"/>
      <c r="X50" s="945"/>
      <c r="AA50" s="502"/>
      <c r="AB50" s="502"/>
    </row>
    <row r="51" spans="1:28" s="270" customFormat="1" ht="11.4" customHeight="1">
      <c r="A51" s="170"/>
      <c r="C51" s="311"/>
      <c r="D51" s="955" t="s">
        <v>1299</v>
      </c>
      <c r="E51" s="955" t="s">
        <v>3249</v>
      </c>
      <c r="F51" s="956">
        <v>113974</v>
      </c>
      <c r="G51" s="956">
        <v>159563</v>
      </c>
      <c r="H51" s="956">
        <v>205153</v>
      </c>
      <c r="I51" s="956">
        <v>273537</v>
      </c>
      <c r="J51" s="956">
        <v>341921</v>
      </c>
      <c r="L51" s="541" t="s">
        <v>1299</v>
      </c>
      <c r="M51" s="541" t="s">
        <v>3249</v>
      </c>
      <c r="N51" s="1028">
        <f t="shared" si="2"/>
        <v>125371</v>
      </c>
      <c r="O51" s="1028">
        <f t="shared" si="2"/>
        <v>175519</v>
      </c>
      <c r="P51" s="1028">
        <f t="shared" si="2"/>
        <v>225668</v>
      </c>
      <c r="Q51" s="1028">
        <f t="shared" si="2"/>
        <v>300890</v>
      </c>
      <c r="R51" s="1028">
        <f t="shared" si="2"/>
        <v>376113</v>
      </c>
      <c r="S51" s="291"/>
      <c r="T51" s="168"/>
      <c r="U51" s="168"/>
      <c r="V51" s="945"/>
      <c r="W51" s="945"/>
      <c r="X51" s="945"/>
      <c r="AA51" s="502"/>
      <c r="AB51" s="502"/>
    </row>
    <row r="52" spans="1:28" s="270" customFormat="1" ht="11.4" customHeight="1">
      <c r="A52" s="170"/>
      <c r="C52" s="311"/>
      <c r="D52" s="955" t="s">
        <v>1299</v>
      </c>
      <c r="E52" s="955" t="s">
        <v>3247</v>
      </c>
      <c r="F52" s="956">
        <v>125545</v>
      </c>
      <c r="G52" s="956">
        <v>164019</v>
      </c>
      <c r="H52" s="956">
        <v>198849</v>
      </c>
      <c r="I52" s="956">
        <v>242845</v>
      </c>
      <c r="J52" s="956">
        <v>288152</v>
      </c>
      <c r="L52" s="541" t="s">
        <v>1299</v>
      </c>
      <c r="M52" s="541" t="s">
        <v>3247</v>
      </c>
      <c r="N52" s="1028">
        <f t="shared" si="2"/>
        <v>138099</v>
      </c>
      <c r="O52" s="1028">
        <f t="shared" si="2"/>
        <v>180420</v>
      </c>
      <c r="P52" s="1028">
        <f t="shared" si="2"/>
        <v>218733</v>
      </c>
      <c r="Q52" s="1028">
        <f t="shared" si="2"/>
        <v>267129</v>
      </c>
      <c r="R52" s="1028">
        <f t="shared" si="2"/>
        <v>316967</v>
      </c>
      <c r="S52" s="291"/>
      <c r="T52" s="168"/>
      <c r="U52" s="168"/>
      <c r="V52" s="945"/>
      <c r="W52" s="945"/>
      <c r="X52" s="945"/>
      <c r="AA52" s="502"/>
      <c r="AB52" s="502"/>
    </row>
    <row r="53" spans="1:28" s="270" customFormat="1" ht="11.4" customHeight="1">
      <c r="A53" s="170"/>
      <c r="C53" s="311"/>
      <c r="D53" s="955" t="s">
        <v>1299</v>
      </c>
      <c r="E53" s="955" t="s">
        <v>3248</v>
      </c>
      <c r="F53" s="956">
        <v>110076</v>
      </c>
      <c r="G53" s="956">
        <v>150237</v>
      </c>
      <c r="H53" s="956">
        <v>190106</v>
      </c>
      <c r="I53" s="956">
        <v>250432</v>
      </c>
      <c r="J53" s="956">
        <v>310354</v>
      </c>
      <c r="L53" s="541" t="s">
        <v>1299</v>
      </c>
      <c r="M53" s="541" t="s">
        <v>3248</v>
      </c>
      <c r="N53" s="1028">
        <f t="shared" si="2"/>
        <v>121083</v>
      </c>
      <c r="O53" s="1028">
        <f t="shared" si="2"/>
        <v>165260</v>
      </c>
      <c r="P53" s="1028">
        <f t="shared" si="2"/>
        <v>209116</v>
      </c>
      <c r="Q53" s="1028">
        <f t="shared" si="2"/>
        <v>275475</v>
      </c>
      <c r="R53" s="1028">
        <f t="shared" si="2"/>
        <v>341389</v>
      </c>
      <c r="S53" s="291"/>
      <c r="T53" s="168"/>
      <c r="U53" s="168"/>
      <c r="V53" s="945"/>
      <c r="W53" s="945"/>
      <c r="X53" s="945"/>
      <c r="AA53" s="502"/>
      <c r="AB53" s="502"/>
    </row>
    <row r="54" spans="1:28" s="270" customFormat="1" ht="11.4" customHeight="1">
      <c r="A54" s="170"/>
      <c r="C54" s="311"/>
      <c r="D54" s="959" t="s">
        <v>1654</v>
      </c>
      <c r="E54" s="959" t="s">
        <v>3252</v>
      </c>
      <c r="F54" s="960">
        <v>133316</v>
      </c>
      <c r="G54" s="960">
        <v>172665</v>
      </c>
      <c r="H54" s="960">
        <v>206728</v>
      </c>
      <c r="I54" s="960">
        <v>246660</v>
      </c>
      <c r="J54" s="960">
        <v>290833</v>
      </c>
      <c r="L54" s="541" t="s">
        <v>1654</v>
      </c>
      <c r="M54" s="541" t="s">
        <v>3252</v>
      </c>
      <c r="N54" s="1028">
        <f t="shared" si="2"/>
        <v>146647</v>
      </c>
      <c r="O54" s="1028">
        <f t="shared" si="2"/>
        <v>189931</v>
      </c>
      <c r="P54" s="1028">
        <f t="shared" si="2"/>
        <v>227400</v>
      </c>
      <c r="Q54" s="1028">
        <f t="shared" si="2"/>
        <v>271326</v>
      </c>
      <c r="R54" s="1028">
        <f t="shared" si="2"/>
        <v>319916</v>
      </c>
      <c r="S54" s="291"/>
      <c r="T54" s="168"/>
      <c r="U54" s="168"/>
      <c r="V54" s="945"/>
      <c r="W54" s="945"/>
      <c r="X54" s="945"/>
      <c r="AA54" s="502"/>
      <c r="AB54" s="502"/>
    </row>
    <row r="55" spans="1:28" s="270" customFormat="1" ht="11.4" customHeight="1">
      <c r="A55" s="170"/>
      <c r="C55" s="311"/>
      <c r="D55" s="959" t="s">
        <v>1654</v>
      </c>
      <c r="E55" s="959" t="s">
        <v>3249</v>
      </c>
      <c r="F55" s="960">
        <v>103896</v>
      </c>
      <c r="G55" s="960">
        <v>145454</v>
      </c>
      <c r="H55" s="960">
        <v>187013</v>
      </c>
      <c r="I55" s="960">
        <v>249350</v>
      </c>
      <c r="J55" s="960">
        <v>311688</v>
      </c>
      <c r="L55" s="541" t="s">
        <v>1654</v>
      </c>
      <c r="M55" s="541" t="s">
        <v>3249</v>
      </c>
      <c r="N55" s="1028">
        <f t="shared" si="2"/>
        <v>114285</v>
      </c>
      <c r="O55" s="1028">
        <f t="shared" si="2"/>
        <v>159999</v>
      </c>
      <c r="P55" s="1028">
        <f t="shared" si="2"/>
        <v>205714</v>
      </c>
      <c r="Q55" s="1028">
        <f t="shared" si="2"/>
        <v>274285</v>
      </c>
      <c r="R55" s="1028">
        <f t="shared" si="2"/>
        <v>342856</v>
      </c>
      <c r="S55" s="291"/>
      <c r="T55" s="168"/>
      <c r="U55" s="168"/>
      <c r="V55" s="945"/>
      <c r="W55" s="945"/>
      <c r="X55" s="945"/>
      <c r="AA55" s="502"/>
      <c r="AB55" s="502"/>
    </row>
    <row r="56" spans="1:28" s="270" customFormat="1" ht="11.4" customHeight="1">
      <c r="A56" s="170"/>
      <c r="C56" s="311"/>
      <c r="D56" s="959" t="s">
        <v>1654</v>
      </c>
      <c r="E56" s="959" t="s">
        <v>3247</v>
      </c>
      <c r="F56" s="960">
        <v>113846</v>
      </c>
      <c r="G56" s="960">
        <v>148926</v>
      </c>
      <c r="H56" s="960">
        <v>180731</v>
      </c>
      <c r="I56" s="960">
        <v>221052</v>
      </c>
      <c r="J56" s="960">
        <v>262488</v>
      </c>
      <c r="L56" s="541" t="s">
        <v>1654</v>
      </c>
      <c r="M56" s="541" t="s">
        <v>3247</v>
      </c>
      <c r="N56" s="1028">
        <f t="shared" si="2"/>
        <v>125230</v>
      </c>
      <c r="O56" s="1028">
        <f t="shared" si="2"/>
        <v>163818</v>
      </c>
      <c r="P56" s="1028">
        <f t="shared" si="2"/>
        <v>198804</v>
      </c>
      <c r="Q56" s="1028">
        <f t="shared" si="2"/>
        <v>243157</v>
      </c>
      <c r="R56" s="1028">
        <f t="shared" si="2"/>
        <v>288736</v>
      </c>
      <c r="S56" s="291"/>
      <c r="T56" s="168"/>
      <c r="U56" s="168"/>
      <c r="V56" s="945"/>
      <c r="W56" s="945"/>
      <c r="X56" s="945"/>
      <c r="AA56" s="502"/>
      <c r="AB56" s="502"/>
    </row>
    <row r="57" spans="1:28" s="270" customFormat="1" ht="11.4" customHeight="1">
      <c r="A57" s="170"/>
      <c r="C57" s="311"/>
      <c r="D57" s="959" t="s">
        <v>1654</v>
      </c>
      <c r="E57" s="959" t="s">
        <v>3248</v>
      </c>
      <c r="F57" s="960">
        <v>99297</v>
      </c>
      <c r="G57" s="960">
        <v>135369</v>
      </c>
      <c r="H57" s="960">
        <v>171167</v>
      </c>
      <c r="I57" s="960">
        <v>225354</v>
      </c>
      <c r="J57" s="960">
        <v>279161</v>
      </c>
      <c r="L57" s="541" t="s">
        <v>1654</v>
      </c>
      <c r="M57" s="541" t="s">
        <v>3248</v>
      </c>
      <c r="N57" s="1028">
        <f t="shared" si="2"/>
        <v>109226</v>
      </c>
      <c r="O57" s="1028">
        <f t="shared" si="2"/>
        <v>148905</v>
      </c>
      <c r="P57" s="1028">
        <f t="shared" si="2"/>
        <v>188283</v>
      </c>
      <c r="Q57" s="1028">
        <f t="shared" si="2"/>
        <v>247889</v>
      </c>
      <c r="R57" s="1028">
        <f t="shared" si="2"/>
        <v>307077</v>
      </c>
      <c r="S57" s="291"/>
      <c r="T57" s="168"/>
      <c r="U57" s="168"/>
      <c r="V57" s="945"/>
      <c r="W57" s="945"/>
      <c r="X57" s="945"/>
      <c r="AA57" s="502"/>
      <c r="AB57" s="502"/>
    </row>
    <row r="58" spans="1:28" s="270" customFormat="1" ht="3" customHeight="1">
      <c r="A58" s="170"/>
      <c r="B58" s="170"/>
      <c r="C58" s="170"/>
      <c r="D58" s="170"/>
      <c r="E58" s="168"/>
      <c r="F58" s="170"/>
      <c r="G58" s="170"/>
      <c r="H58" s="279"/>
      <c r="I58" s="168"/>
      <c r="J58" s="170"/>
      <c r="K58" s="280"/>
      <c r="L58" s="280"/>
      <c r="M58" s="280"/>
      <c r="N58" s="280"/>
      <c r="O58" s="170"/>
      <c r="P58" s="168"/>
      <c r="Q58" s="278"/>
      <c r="R58" s="278"/>
      <c r="S58" s="168"/>
      <c r="T58" s="168"/>
      <c r="U58" s="168"/>
      <c r="AA58" s="502"/>
      <c r="AB58" s="502"/>
    </row>
    <row r="59" spans="1:28" s="270" customFormat="1" ht="11.4" customHeight="1">
      <c r="A59" s="170"/>
      <c r="B59" s="170"/>
      <c r="C59" s="170"/>
      <c r="D59" s="168"/>
      <c r="E59" s="168"/>
      <c r="O59" s="170"/>
      <c r="T59" s="276"/>
      <c r="U59" s="168"/>
      <c r="V59" s="945"/>
      <c r="W59" s="945"/>
      <c r="X59" s="945"/>
      <c r="AA59" s="502"/>
      <c r="AB59" s="502"/>
    </row>
    <row r="60" spans="1:28" s="270" customFormat="1" ht="11.4" customHeight="1">
      <c r="A60" s="271" t="s">
        <v>1684</v>
      </c>
      <c r="B60" s="271"/>
      <c r="C60" s="271"/>
      <c r="D60" s="168"/>
      <c r="E60" s="168"/>
      <c r="F60" s="271" t="s">
        <v>1685</v>
      </c>
      <c r="G60" s="271"/>
      <c r="H60" s="168"/>
      <c r="I60" s="168"/>
      <c r="J60" s="271" t="s">
        <v>1686</v>
      </c>
      <c r="K60" s="271"/>
      <c r="L60" s="271"/>
      <c r="M60" s="271"/>
      <c r="N60" s="271"/>
      <c r="O60" s="271"/>
      <c r="P60" s="168"/>
      <c r="Q60" s="171" t="s">
        <v>2940</v>
      </c>
      <c r="R60" s="171" t="s">
        <v>1687</v>
      </c>
      <c r="S60" s="291"/>
      <c r="T60" s="276"/>
      <c r="U60" s="168"/>
      <c r="V60" s="945"/>
      <c r="W60" s="945"/>
      <c r="X60" s="945"/>
      <c r="AA60" s="502"/>
      <c r="AB60" s="502"/>
    </row>
    <row r="61" spans="1:28" s="270" customFormat="1" ht="3" customHeight="1">
      <c r="A61" s="170"/>
      <c r="B61" s="170"/>
      <c r="C61" s="170"/>
      <c r="D61" s="170"/>
      <c r="E61" s="168"/>
      <c r="F61" s="170"/>
      <c r="G61" s="170"/>
      <c r="H61" s="279"/>
      <c r="I61" s="168"/>
      <c r="J61" s="170"/>
      <c r="K61" s="280"/>
      <c r="L61" s="280"/>
      <c r="M61" s="280"/>
      <c r="N61" s="280"/>
      <c r="O61" s="170"/>
      <c r="P61" s="168"/>
      <c r="Q61" s="278"/>
      <c r="R61" s="278"/>
      <c r="S61" s="168"/>
      <c r="T61" s="168"/>
      <c r="U61" s="168"/>
      <c r="AA61" s="502"/>
      <c r="AB61" s="502"/>
    </row>
    <row r="62" spans="1:28" s="270" customFormat="1" ht="12" customHeight="1">
      <c r="A62" s="275" t="s">
        <v>1169</v>
      </c>
      <c r="B62" s="271"/>
      <c r="C62" s="271"/>
      <c r="D62" s="271"/>
      <c r="E62" s="168"/>
      <c r="F62" s="271"/>
      <c r="G62" s="271"/>
      <c r="H62" s="271"/>
      <c r="I62" s="168"/>
      <c r="J62" s="170"/>
      <c r="K62" s="271"/>
      <c r="L62" s="271"/>
      <c r="M62" s="271"/>
      <c r="N62" s="271"/>
      <c r="O62" s="271"/>
      <c r="P62" s="168"/>
      <c r="Q62" s="272"/>
      <c r="R62" s="273"/>
      <c r="S62" s="274"/>
      <c r="AA62" s="502"/>
      <c r="AB62" s="502"/>
    </row>
    <row r="63" spans="1:28" s="270" customFormat="1" ht="11.4" customHeight="1">
      <c r="A63" s="168"/>
      <c r="B63" s="170" t="s">
        <v>1169</v>
      </c>
      <c r="C63" s="170"/>
      <c r="D63" s="168"/>
      <c r="E63" s="168"/>
      <c r="F63" s="170" t="s">
        <v>1170</v>
      </c>
      <c r="G63" s="170" t="s">
        <v>3487</v>
      </c>
      <c r="H63" s="168"/>
      <c r="I63" s="168"/>
      <c r="J63" s="170" t="s">
        <v>1498</v>
      </c>
      <c r="K63" s="170"/>
      <c r="L63" s="170"/>
      <c r="M63" s="170"/>
      <c r="N63" s="170"/>
      <c r="O63" s="170"/>
      <c r="P63" s="168"/>
      <c r="Q63" s="1058">
        <v>5000</v>
      </c>
      <c r="R63" s="281" t="s">
        <v>1690</v>
      </c>
      <c r="S63" s="282"/>
      <c r="AA63" s="502"/>
      <c r="AB63" s="502"/>
    </row>
    <row r="64" spans="1:28" s="270" customFormat="1" ht="11.4" customHeight="1">
      <c r="A64" s="168"/>
      <c r="B64" s="170"/>
      <c r="C64" s="170"/>
      <c r="D64" s="168"/>
      <c r="E64" s="168"/>
      <c r="F64" s="170"/>
      <c r="G64" s="170" t="s">
        <v>3486</v>
      </c>
      <c r="H64" s="168"/>
      <c r="I64" s="168"/>
      <c r="J64" s="170" t="s">
        <v>1498</v>
      </c>
      <c r="K64" s="170"/>
      <c r="L64" s="170"/>
      <c r="M64" s="170"/>
      <c r="N64" s="170"/>
      <c r="O64" s="170"/>
      <c r="P64" s="168"/>
      <c r="Q64" s="1058">
        <v>4500</v>
      </c>
      <c r="R64" s="281" t="s">
        <v>1690</v>
      </c>
      <c r="S64" s="282"/>
      <c r="AA64" s="502"/>
      <c r="AB64" s="502"/>
    </row>
    <row r="65" spans="1:28" s="270" customFormat="1" ht="11.4" customHeight="1">
      <c r="A65" s="168"/>
      <c r="B65" s="170"/>
      <c r="C65" s="170"/>
      <c r="D65" s="168"/>
      <c r="E65" s="168"/>
      <c r="F65" s="170" t="s">
        <v>2532</v>
      </c>
      <c r="G65" s="170" t="s">
        <v>2546</v>
      </c>
      <c r="H65" s="168"/>
      <c r="I65" s="168"/>
      <c r="J65" s="170" t="s">
        <v>1498</v>
      </c>
      <c r="K65" s="170"/>
      <c r="L65" s="170"/>
      <c r="M65" s="170"/>
      <c r="N65" s="170"/>
      <c r="O65" s="170"/>
      <c r="P65" s="168"/>
      <c r="Q65" s="1058">
        <v>3750</v>
      </c>
      <c r="R65" s="281" t="s">
        <v>1690</v>
      </c>
      <c r="S65" s="282"/>
      <c r="AA65" s="502"/>
      <c r="AB65" s="502"/>
    </row>
    <row r="66" spans="1:28" s="270" customFormat="1" ht="11.4" customHeight="1">
      <c r="A66" s="170"/>
      <c r="B66" s="170"/>
      <c r="C66" s="170"/>
      <c r="D66" s="168"/>
      <c r="E66" s="168"/>
      <c r="G66" s="170" t="s">
        <v>2545</v>
      </c>
      <c r="H66" s="168"/>
      <c r="I66" s="168"/>
      <c r="J66" s="170" t="s">
        <v>1498</v>
      </c>
      <c r="K66" s="170"/>
      <c r="L66" s="170"/>
      <c r="M66" s="170"/>
      <c r="N66" s="170"/>
      <c r="O66" s="170"/>
      <c r="P66" s="168"/>
      <c r="Q66" s="1058">
        <v>3250</v>
      </c>
      <c r="R66" s="281" t="s">
        <v>1690</v>
      </c>
      <c r="S66" s="282"/>
      <c r="AA66" s="502"/>
      <c r="AB66" s="502"/>
    </row>
    <row r="67" spans="1:28" s="270" customFormat="1" ht="11.4" customHeight="1">
      <c r="A67" s="170"/>
      <c r="B67" s="170"/>
      <c r="C67" s="170"/>
      <c r="D67" s="168"/>
      <c r="E67" s="168"/>
      <c r="G67" s="170" t="s">
        <v>3696</v>
      </c>
      <c r="H67" s="168"/>
      <c r="I67" s="168"/>
      <c r="J67" s="170" t="s">
        <v>1498</v>
      </c>
      <c r="K67" s="170"/>
      <c r="L67" s="170"/>
      <c r="M67" s="170"/>
      <c r="N67" s="170"/>
      <c r="O67" s="170"/>
      <c r="P67" s="168"/>
      <c r="Q67" s="1058">
        <v>3000</v>
      </c>
      <c r="R67" s="281" t="s">
        <v>1690</v>
      </c>
      <c r="S67" s="282"/>
      <c r="T67" s="282"/>
      <c r="U67" s="282"/>
      <c r="AA67" s="502"/>
      <c r="AB67" s="502"/>
    </row>
    <row r="68" spans="1:28" s="270" customFormat="1" ht="11.4" customHeight="1">
      <c r="A68" s="170"/>
      <c r="B68" s="170" t="s">
        <v>1171</v>
      </c>
      <c r="C68" s="170"/>
      <c r="D68" s="168"/>
      <c r="E68" s="168"/>
      <c r="F68" s="170" t="s">
        <v>271</v>
      </c>
      <c r="G68" s="170"/>
      <c r="H68" s="168"/>
      <c r="I68" s="168"/>
      <c r="J68" s="170" t="s">
        <v>1498</v>
      </c>
      <c r="K68" s="170"/>
      <c r="L68" s="170"/>
      <c r="M68" s="170"/>
      <c r="N68" s="170"/>
      <c r="O68" s="170"/>
      <c r="P68" s="168"/>
      <c r="Q68" s="1059">
        <v>350</v>
      </c>
      <c r="R68" s="281" t="s">
        <v>1690</v>
      </c>
      <c r="S68" s="282"/>
      <c r="T68" s="282"/>
      <c r="U68" s="282"/>
      <c r="AA68" s="502"/>
      <c r="AB68" s="502"/>
    </row>
    <row r="69" spans="1:28" s="270" customFormat="1" ht="11.4" customHeight="1">
      <c r="A69" s="170"/>
      <c r="B69" s="170"/>
      <c r="C69" s="170"/>
      <c r="D69" s="168"/>
      <c r="E69" s="168"/>
      <c r="F69" s="170" t="s">
        <v>1172</v>
      </c>
      <c r="G69" s="170"/>
      <c r="H69" s="168"/>
      <c r="I69" s="168"/>
      <c r="J69" s="170" t="s">
        <v>1498</v>
      </c>
      <c r="K69" s="170"/>
      <c r="L69" s="170"/>
      <c r="M69" s="170"/>
      <c r="N69" s="170"/>
      <c r="O69" s="170"/>
      <c r="P69" s="168"/>
      <c r="Q69" s="1059">
        <v>250</v>
      </c>
      <c r="R69" s="281" t="s">
        <v>1690</v>
      </c>
      <c r="S69" s="282"/>
      <c r="T69" s="282"/>
      <c r="U69" s="282"/>
      <c r="AA69" s="502"/>
      <c r="AB69" s="502"/>
    </row>
    <row r="70" spans="1:28" s="270" customFormat="1" ht="11.4" customHeight="1">
      <c r="A70" s="170"/>
      <c r="B70" s="170"/>
      <c r="C70" s="170"/>
      <c r="D70" s="170"/>
      <c r="E70" s="168"/>
      <c r="F70" s="170" t="s">
        <v>3317</v>
      </c>
      <c r="G70" s="170"/>
      <c r="H70" s="168"/>
      <c r="I70" s="168"/>
      <c r="J70" s="170" t="s">
        <v>1498</v>
      </c>
      <c r="K70" s="170"/>
      <c r="L70" s="170"/>
      <c r="M70" s="170"/>
      <c r="N70" s="170"/>
      <c r="O70" s="170"/>
      <c r="P70" s="168"/>
      <c r="Q70" s="1059">
        <v>420</v>
      </c>
      <c r="R70" s="281" t="s">
        <v>1690</v>
      </c>
      <c r="S70" s="282"/>
      <c r="T70" s="282"/>
      <c r="U70" s="282"/>
      <c r="AA70" s="502"/>
      <c r="AB70" s="502"/>
    </row>
    <row r="71" spans="1:28" s="270" customFormat="1" ht="11.4" customHeight="1">
      <c r="A71" s="170"/>
      <c r="B71" s="170"/>
      <c r="C71" s="170"/>
      <c r="D71" s="170"/>
      <c r="E71" s="168"/>
      <c r="F71" s="170" t="s">
        <v>360</v>
      </c>
      <c r="G71" s="170"/>
      <c r="H71" s="168"/>
      <c r="I71" s="168"/>
      <c r="J71" s="170" t="s">
        <v>1498</v>
      </c>
      <c r="K71" s="170"/>
      <c r="L71" s="170"/>
      <c r="M71" s="170"/>
      <c r="N71" s="170"/>
      <c r="O71" s="170"/>
      <c r="P71" s="168"/>
      <c r="Q71" s="1059">
        <v>420</v>
      </c>
      <c r="R71" s="281" t="s">
        <v>1690</v>
      </c>
      <c r="S71" s="282"/>
      <c r="T71" s="282"/>
      <c r="U71" s="282"/>
      <c r="AA71" s="502"/>
      <c r="AB71" s="502"/>
    </row>
    <row r="72" spans="1:28" s="270" customFormat="1" ht="3" customHeight="1">
      <c r="A72" s="168"/>
      <c r="B72" s="170"/>
      <c r="C72" s="170"/>
      <c r="D72" s="170"/>
      <c r="E72" s="168"/>
      <c r="F72" s="170"/>
      <c r="G72" s="170"/>
      <c r="H72" s="168"/>
      <c r="I72" s="168"/>
      <c r="J72" s="170"/>
      <c r="K72" s="170"/>
      <c r="L72" s="170"/>
      <c r="M72" s="170"/>
      <c r="N72" s="170"/>
      <c r="O72" s="170"/>
      <c r="P72" s="168"/>
      <c r="Q72" s="170"/>
      <c r="R72" s="277"/>
      <c r="S72" s="282"/>
      <c r="T72" s="282"/>
      <c r="U72" s="282"/>
      <c r="AA72" s="502"/>
      <c r="AB72" s="502"/>
    </row>
    <row r="73" spans="1:28" s="270" customFormat="1" ht="12" customHeight="1">
      <c r="A73" s="275" t="s">
        <v>1173</v>
      </c>
      <c r="B73" s="170"/>
      <c r="C73" s="170"/>
      <c r="D73" s="170"/>
      <c r="E73" s="168"/>
      <c r="F73" s="170"/>
      <c r="G73" s="170"/>
      <c r="H73" s="168"/>
      <c r="I73" s="168"/>
      <c r="J73" s="170"/>
      <c r="K73" s="170"/>
      <c r="L73" s="170"/>
      <c r="M73" s="170"/>
      <c r="N73" s="170"/>
      <c r="O73" s="170"/>
      <c r="P73" s="168"/>
      <c r="Q73" s="170"/>
      <c r="R73" s="277"/>
      <c r="S73" s="282"/>
      <c r="T73" s="282"/>
      <c r="U73" s="282"/>
      <c r="AA73" s="502"/>
      <c r="AB73" s="502"/>
    </row>
    <row r="74" spans="1:28" s="270" customFormat="1" ht="11.4" customHeight="1">
      <c r="A74" s="170"/>
      <c r="B74" s="170" t="s">
        <v>742</v>
      </c>
      <c r="C74" s="170"/>
      <c r="D74" s="168"/>
      <c r="E74" s="168"/>
      <c r="F74" s="170" t="s">
        <v>271</v>
      </c>
      <c r="G74" s="170"/>
      <c r="H74" s="168"/>
      <c r="I74" s="168"/>
      <c r="J74" s="170" t="s">
        <v>3646</v>
      </c>
      <c r="K74" s="170"/>
      <c r="L74" s="170"/>
      <c r="M74" s="170"/>
      <c r="N74" s="170"/>
      <c r="O74" s="170"/>
      <c r="P74" s="168"/>
      <c r="Q74" s="1012">
        <v>25000</v>
      </c>
      <c r="R74" s="281" t="s">
        <v>496</v>
      </c>
      <c r="S74" s="282"/>
      <c r="T74" s="282"/>
      <c r="U74" s="282"/>
      <c r="AA74" s="502"/>
      <c r="AB74" s="502"/>
    </row>
    <row r="75" spans="1:28" s="270" customFormat="1" ht="11.4" customHeight="1">
      <c r="A75" s="170"/>
      <c r="B75" s="170" t="s">
        <v>1914</v>
      </c>
      <c r="C75" s="170"/>
      <c r="D75" s="168"/>
      <c r="E75" s="168"/>
      <c r="F75" s="170" t="s">
        <v>1172</v>
      </c>
      <c r="G75" s="170"/>
      <c r="H75" s="168"/>
      <c r="I75" s="168"/>
      <c r="J75" s="170" t="s">
        <v>3697</v>
      </c>
      <c r="K75" s="170"/>
      <c r="L75" s="170"/>
      <c r="M75" s="170"/>
      <c r="N75" s="170"/>
      <c r="O75" s="170"/>
      <c r="P75" s="168"/>
      <c r="Q75" s="1011" t="s">
        <v>948</v>
      </c>
      <c r="R75" s="1011">
        <v>0.05</v>
      </c>
      <c r="S75" s="282"/>
      <c r="T75" s="282"/>
      <c r="U75" s="282"/>
      <c r="AA75" s="502"/>
      <c r="AB75" s="502"/>
    </row>
    <row r="76" spans="1:28" s="270" customFormat="1" ht="11.4" customHeight="1">
      <c r="A76" s="170"/>
      <c r="B76" s="170"/>
      <c r="C76" s="170"/>
      <c r="D76" s="168"/>
      <c r="E76" s="168"/>
      <c r="F76" s="170" t="s">
        <v>271</v>
      </c>
      <c r="G76" s="170"/>
      <c r="H76" s="168"/>
      <c r="I76" s="168"/>
      <c r="J76" s="170" t="s">
        <v>3697</v>
      </c>
      <c r="K76" s="170"/>
      <c r="L76" s="170"/>
      <c r="M76" s="170"/>
      <c r="N76" s="170"/>
      <c r="O76" s="170"/>
      <c r="P76" s="168"/>
      <c r="Q76" s="1011" t="s">
        <v>948</v>
      </c>
      <c r="R76" s="1011">
        <v>0.1</v>
      </c>
      <c r="S76" s="282"/>
      <c r="T76" s="282"/>
      <c r="U76" s="282"/>
      <c r="AA76" s="502"/>
      <c r="AB76" s="502"/>
    </row>
    <row r="77" spans="1:28" s="270" customFormat="1" ht="11.4" customHeight="1">
      <c r="A77" s="170"/>
      <c r="B77" s="170" t="s">
        <v>1990</v>
      </c>
      <c r="C77" s="170"/>
      <c r="D77" s="168"/>
      <c r="E77" s="168"/>
      <c r="F77" s="170" t="s">
        <v>1690</v>
      </c>
      <c r="G77" s="170"/>
      <c r="H77" s="168"/>
      <c r="I77" s="168"/>
      <c r="J77" s="170" t="s">
        <v>3698</v>
      </c>
      <c r="K77" s="170"/>
      <c r="L77" s="170"/>
      <c r="M77" s="170"/>
      <c r="N77" s="170"/>
      <c r="O77" s="170"/>
      <c r="P77" s="168"/>
      <c r="Q77" s="281" t="s">
        <v>1690</v>
      </c>
      <c r="R77" s="1011">
        <v>0.06</v>
      </c>
      <c r="S77" s="282"/>
      <c r="T77" s="282"/>
      <c r="U77" s="282"/>
      <c r="AA77" s="502"/>
      <c r="AB77" s="502"/>
    </row>
    <row r="78" spans="1:28" s="270" customFormat="1" ht="11.4" customHeight="1">
      <c r="A78" s="170"/>
      <c r="B78" s="170" t="s">
        <v>1991</v>
      </c>
      <c r="C78" s="170"/>
      <c r="D78" s="168"/>
      <c r="E78" s="168"/>
      <c r="F78" s="170" t="s">
        <v>1690</v>
      </c>
      <c r="G78" s="170"/>
      <c r="H78" s="168"/>
      <c r="I78" s="168"/>
      <c r="J78" s="170" t="s">
        <v>3698</v>
      </c>
      <c r="K78" s="170"/>
      <c r="L78" s="170"/>
      <c r="M78" s="170"/>
      <c r="N78" s="170"/>
      <c r="O78" s="170"/>
      <c r="P78" s="168"/>
      <c r="Q78" s="281" t="s">
        <v>1690</v>
      </c>
      <c r="R78" s="1011">
        <v>0.02</v>
      </c>
      <c r="S78" s="282"/>
      <c r="T78" s="282"/>
      <c r="U78" s="282"/>
      <c r="AA78" s="502"/>
      <c r="AB78" s="502"/>
    </row>
    <row r="79" spans="1:28" s="270" customFormat="1" ht="11.4" customHeight="1">
      <c r="A79" s="170"/>
      <c r="B79" s="170" t="s">
        <v>2721</v>
      </c>
      <c r="C79" s="170"/>
      <c r="D79" s="168"/>
      <c r="E79" s="168"/>
      <c r="F79" s="170" t="s">
        <v>1690</v>
      </c>
      <c r="G79" s="170"/>
      <c r="H79" s="168"/>
      <c r="I79" s="168"/>
      <c r="J79" s="170" t="s">
        <v>3698</v>
      </c>
      <c r="K79" s="170"/>
      <c r="L79" s="170"/>
      <c r="M79" s="170"/>
      <c r="N79" s="170"/>
      <c r="O79" s="170"/>
      <c r="P79" s="168"/>
      <c r="Q79" s="281" t="s">
        <v>1690</v>
      </c>
      <c r="R79" s="1011">
        <v>0.06</v>
      </c>
      <c r="S79" s="282"/>
      <c r="T79" s="282"/>
      <c r="U79" s="282"/>
      <c r="AA79" s="502"/>
      <c r="AB79" s="502"/>
    </row>
    <row r="80" spans="1:28" s="270" customFormat="1" ht="11.4" customHeight="1">
      <c r="A80" s="170"/>
      <c r="B80" s="170" t="s">
        <v>1266</v>
      </c>
      <c r="C80" s="170"/>
      <c r="D80" s="168"/>
      <c r="E80" s="168"/>
      <c r="F80" s="170" t="s">
        <v>1105</v>
      </c>
      <c r="G80" s="170"/>
      <c r="H80" s="168"/>
      <c r="I80" s="168"/>
      <c r="J80" s="170"/>
      <c r="K80" s="170"/>
      <c r="L80" s="170"/>
      <c r="M80" s="170"/>
      <c r="N80" s="170"/>
      <c r="O80" s="170"/>
      <c r="P80" s="168"/>
      <c r="Q80" s="281" t="s">
        <v>1690</v>
      </c>
      <c r="R80" s="1019">
        <v>20000</v>
      </c>
      <c r="S80" s="282"/>
      <c r="T80" s="282"/>
      <c r="U80" s="282"/>
      <c r="AA80" s="502"/>
      <c r="AB80" s="502"/>
    </row>
    <row r="81" spans="1:28" s="270" customFormat="1" ht="11.4" customHeight="1">
      <c r="A81" s="168"/>
      <c r="B81" s="282" t="s">
        <v>3631</v>
      </c>
      <c r="C81" s="170"/>
      <c r="D81" s="170"/>
      <c r="E81" s="168"/>
      <c r="F81" s="172" t="s">
        <v>3358</v>
      </c>
      <c r="G81" s="170"/>
      <c r="H81" s="168"/>
      <c r="I81" s="168"/>
      <c r="J81" s="170" t="s">
        <v>1174</v>
      </c>
      <c r="K81" s="170"/>
      <c r="L81" s="170"/>
      <c r="M81" s="170"/>
      <c r="N81" s="170"/>
      <c r="O81" s="170"/>
      <c r="P81" s="168"/>
      <c r="Q81" s="3440">
        <v>1000</v>
      </c>
      <c r="R81" s="3441"/>
      <c r="S81" s="282"/>
      <c r="T81" s="282"/>
      <c r="U81" s="282"/>
      <c r="AA81" s="502"/>
      <c r="AB81" s="502"/>
    </row>
    <row r="82" spans="1:28" s="270" customFormat="1" ht="11.4" customHeight="1">
      <c r="A82" s="170"/>
      <c r="B82" s="170"/>
      <c r="C82" s="170"/>
      <c r="D82" s="170"/>
      <c r="E82" s="168"/>
      <c r="G82" s="170"/>
      <c r="H82" s="168"/>
      <c r="I82" s="168"/>
      <c r="J82" s="170" t="s">
        <v>1175</v>
      </c>
      <c r="K82" s="170"/>
      <c r="L82" s="170"/>
      <c r="M82" s="170"/>
      <c r="N82" s="170"/>
      <c r="O82" s="170"/>
      <c r="P82" s="168"/>
      <c r="Q82" s="3440">
        <v>500</v>
      </c>
      <c r="R82" s="3441"/>
      <c r="S82" s="282"/>
      <c r="T82" s="282"/>
      <c r="U82" s="282"/>
      <c r="AA82" s="502"/>
      <c r="AB82" s="502"/>
    </row>
    <row r="83" spans="1:28" s="270" customFormat="1" ht="11.4" customHeight="1">
      <c r="A83" s="170"/>
      <c r="B83" s="170"/>
      <c r="C83" s="170"/>
      <c r="D83" s="170"/>
      <c r="E83" s="168"/>
      <c r="F83" s="172" t="s">
        <v>3705</v>
      </c>
      <c r="G83" s="170"/>
      <c r="H83" s="168"/>
      <c r="I83" s="168"/>
      <c r="J83" s="172" t="s">
        <v>3701</v>
      </c>
      <c r="K83" s="170"/>
      <c r="L83" s="170"/>
      <c r="M83" s="170"/>
      <c r="N83" s="170"/>
      <c r="O83" s="170"/>
      <c r="P83" s="168"/>
      <c r="Q83" s="3440">
        <v>1500</v>
      </c>
      <c r="R83" s="3441"/>
      <c r="S83" s="282"/>
      <c r="T83" s="282"/>
      <c r="U83" s="282"/>
      <c r="AA83" s="502"/>
      <c r="AB83" s="502"/>
    </row>
    <row r="84" spans="1:28" s="270" customFormat="1" ht="11.4" customHeight="1">
      <c r="A84" s="170"/>
      <c r="B84" s="170"/>
      <c r="C84" s="170"/>
      <c r="D84" s="170"/>
      <c r="E84" s="168"/>
      <c r="G84" s="170"/>
      <c r="H84" s="168"/>
      <c r="I84" s="168"/>
      <c r="J84" s="172" t="s">
        <v>3702</v>
      </c>
      <c r="K84" s="170"/>
      <c r="L84" s="170"/>
      <c r="M84" s="170"/>
      <c r="N84" s="170"/>
      <c r="O84" s="170"/>
      <c r="P84" s="168"/>
      <c r="Q84" s="3440">
        <v>1500</v>
      </c>
      <c r="R84" s="3441"/>
      <c r="S84" s="282"/>
      <c r="T84" s="282"/>
      <c r="U84" s="282"/>
      <c r="AA84" s="502"/>
      <c r="AB84" s="502"/>
    </row>
    <row r="85" spans="1:28" s="270" customFormat="1" ht="11.4" customHeight="1">
      <c r="A85" s="170"/>
      <c r="B85" s="170"/>
      <c r="C85" s="170"/>
      <c r="D85" s="170"/>
      <c r="E85" s="168"/>
      <c r="G85" s="170"/>
      <c r="H85" s="168"/>
      <c r="I85" s="168"/>
      <c r="J85" s="172" t="s">
        <v>3703</v>
      </c>
      <c r="K85" s="170"/>
      <c r="L85" s="170"/>
      <c r="M85" s="170"/>
      <c r="N85" s="170"/>
      <c r="O85" s="170"/>
      <c r="P85" s="168"/>
      <c r="Q85" s="3440">
        <v>1500</v>
      </c>
      <c r="R85" s="3441"/>
      <c r="S85" s="282"/>
      <c r="T85" s="282"/>
      <c r="U85" s="282"/>
      <c r="AA85" s="502"/>
      <c r="AB85" s="502"/>
    </row>
    <row r="86" spans="1:28" s="270" customFormat="1" ht="11.4" customHeight="1">
      <c r="A86" s="170"/>
      <c r="B86" s="170"/>
      <c r="C86" s="170"/>
      <c r="D86" s="170"/>
      <c r="E86" s="168"/>
      <c r="G86" s="170"/>
      <c r="H86" s="168"/>
      <c r="I86" s="168"/>
      <c r="J86" s="172" t="s">
        <v>3704</v>
      </c>
      <c r="K86" s="170"/>
      <c r="L86" s="170"/>
      <c r="M86" s="170"/>
      <c r="N86" s="170"/>
      <c r="O86" s="170"/>
      <c r="P86" s="168"/>
      <c r="Q86" s="3440">
        <v>1500</v>
      </c>
      <c r="R86" s="3441"/>
      <c r="S86" s="282"/>
      <c r="T86" s="282"/>
      <c r="U86" s="282"/>
      <c r="AA86" s="502"/>
      <c r="AB86" s="502"/>
    </row>
    <row r="87" spans="1:28" s="270" customFormat="1" ht="11.4" customHeight="1">
      <c r="A87" s="170"/>
      <c r="B87" s="170"/>
      <c r="C87" s="170"/>
      <c r="D87" s="170"/>
      <c r="E87" s="168"/>
      <c r="F87" s="172" t="s">
        <v>4234</v>
      </c>
      <c r="G87" s="170"/>
      <c r="H87" s="168"/>
      <c r="I87" s="168"/>
      <c r="J87" s="170" t="s">
        <v>1174</v>
      </c>
      <c r="K87" s="170"/>
      <c r="L87" s="170"/>
      <c r="M87" s="170"/>
      <c r="N87" s="170"/>
      <c r="O87" s="170"/>
      <c r="P87" s="168"/>
      <c r="Q87" s="3440">
        <v>6500</v>
      </c>
      <c r="R87" s="3441"/>
      <c r="S87" s="282"/>
      <c r="T87" s="282"/>
      <c r="U87" s="282"/>
      <c r="AA87" s="502"/>
      <c r="AB87" s="502"/>
    </row>
    <row r="88" spans="1:28" s="270" customFormat="1" ht="11.4" customHeight="1">
      <c r="A88" s="170"/>
      <c r="B88" s="170"/>
      <c r="C88" s="170"/>
      <c r="D88" s="170"/>
      <c r="E88" s="168"/>
      <c r="F88" s="172" t="s">
        <v>4234</v>
      </c>
      <c r="G88" s="170"/>
      <c r="H88" s="168"/>
      <c r="I88" s="168"/>
      <c r="J88" s="170" t="s">
        <v>1175</v>
      </c>
      <c r="K88" s="170"/>
      <c r="L88" s="170"/>
      <c r="M88" s="170"/>
      <c r="N88" s="170"/>
      <c r="O88" s="170"/>
      <c r="P88" s="168"/>
      <c r="Q88" s="3440">
        <v>5500</v>
      </c>
      <c r="R88" s="3441"/>
      <c r="S88" s="282"/>
      <c r="T88" s="282"/>
      <c r="U88" s="282"/>
      <c r="AA88" s="502"/>
      <c r="AB88" s="502"/>
    </row>
    <row r="89" spans="1:28" s="270" customFormat="1" ht="11.4" customHeight="1">
      <c r="A89" s="170"/>
      <c r="B89" s="170"/>
      <c r="C89" s="170"/>
      <c r="D89" s="170"/>
      <c r="E89" s="168"/>
      <c r="F89" s="172" t="s">
        <v>3325</v>
      </c>
      <c r="G89" s="170"/>
      <c r="H89" s="168"/>
      <c r="I89" s="168"/>
      <c r="J89" s="170"/>
      <c r="K89" s="170"/>
      <c r="L89" s="170"/>
      <c r="M89" s="170"/>
      <c r="N89" s="170"/>
      <c r="O89" s="170"/>
      <c r="P89" s="168"/>
      <c r="Q89" s="3440">
        <v>5000</v>
      </c>
      <c r="R89" s="3441"/>
      <c r="S89" s="282"/>
      <c r="T89" s="282"/>
      <c r="U89" s="282"/>
      <c r="AA89" s="502"/>
      <c r="AB89" s="502"/>
    </row>
    <row r="90" spans="1:28" s="270" customFormat="1" ht="11.4" customHeight="1">
      <c r="A90" s="170"/>
      <c r="B90" s="170"/>
      <c r="C90" s="170"/>
      <c r="D90" s="170"/>
      <c r="E90" s="168"/>
      <c r="F90" s="172"/>
      <c r="G90" s="170" t="s">
        <v>4232</v>
      </c>
      <c r="H90" s="168"/>
      <c r="I90" s="168"/>
      <c r="J90" s="170" t="s">
        <v>4233</v>
      </c>
      <c r="K90" s="170"/>
      <c r="L90" s="170"/>
      <c r="M90" s="170"/>
      <c r="N90" s="170"/>
      <c r="O90" s="170"/>
      <c r="P90" s="168"/>
      <c r="Q90" s="3440">
        <v>500</v>
      </c>
      <c r="R90" s="3441"/>
      <c r="S90" s="282"/>
      <c r="T90" s="282"/>
      <c r="U90" s="282"/>
      <c r="AA90" s="502"/>
      <c r="AB90" s="502"/>
    </row>
    <row r="91" spans="1:28" s="270" customFormat="1" ht="11.4" customHeight="1">
      <c r="A91" s="170"/>
      <c r="B91" s="170"/>
      <c r="C91" s="170"/>
      <c r="D91" s="170"/>
      <c r="E91" s="168"/>
      <c r="F91" s="172" t="s">
        <v>3699</v>
      </c>
      <c r="G91" s="170"/>
      <c r="H91" s="168"/>
      <c r="I91" s="168"/>
      <c r="J91" s="170"/>
      <c r="K91" s="170"/>
      <c r="L91" s="170"/>
      <c r="M91" s="170"/>
      <c r="N91" s="170"/>
      <c r="O91" s="170"/>
      <c r="P91" s="168"/>
      <c r="Q91" s="3440">
        <v>1500</v>
      </c>
      <c r="R91" s="3441"/>
      <c r="S91" s="282"/>
      <c r="T91" s="282"/>
      <c r="U91" s="282"/>
      <c r="AA91" s="502"/>
      <c r="AB91" s="502"/>
    </row>
    <row r="92" spans="1:28" s="270" customFormat="1" ht="11.4" customHeight="1">
      <c r="A92" s="170"/>
      <c r="C92" s="170"/>
      <c r="D92" s="168"/>
      <c r="E92" s="168"/>
      <c r="F92" s="172" t="s">
        <v>926</v>
      </c>
      <c r="H92" s="170"/>
      <c r="I92" s="168"/>
      <c r="J92" s="170" t="s">
        <v>927</v>
      </c>
      <c r="K92" s="170"/>
      <c r="L92" s="170"/>
      <c r="M92" s="170"/>
      <c r="N92" s="170"/>
      <c r="O92" s="170"/>
      <c r="P92" s="168"/>
      <c r="Q92" s="3446">
        <v>0.08</v>
      </c>
      <c r="R92" s="3446"/>
      <c r="S92" s="282"/>
      <c r="T92" s="282"/>
      <c r="U92" s="282"/>
      <c r="AA92" s="502"/>
      <c r="AB92" s="502"/>
    </row>
    <row r="93" spans="1:28" s="270" customFormat="1" ht="11.4" customHeight="1">
      <c r="A93" s="170"/>
      <c r="C93" s="170"/>
      <c r="D93" s="168"/>
      <c r="E93" s="168"/>
      <c r="F93" s="172" t="s">
        <v>928</v>
      </c>
      <c r="H93" s="170"/>
      <c r="I93" s="168"/>
      <c r="J93" s="170" t="s">
        <v>927</v>
      </c>
      <c r="K93" s="170"/>
      <c r="L93" s="170"/>
      <c r="M93" s="170"/>
      <c r="N93" s="170"/>
      <c r="O93" s="170"/>
      <c r="P93" s="168"/>
      <c r="Q93" s="3446">
        <v>0.08</v>
      </c>
      <c r="R93" s="3446"/>
      <c r="S93" s="282"/>
      <c r="T93" s="282"/>
      <c r="U93" s="282"/>
      <c r="AA93" s="502"/>
      <c r="AB93" s="502"/>
    </row>
    <row r="94" spans="1:28" s="270" customFormat="1" ht="11.4" customHeight="1">
      <c r="A94" s="170"/>
      <c r="C94" s="170"/>
      <c r="D94" s="168"/>
      <c r="E94" s="168"/>
      <c r="F94" s="172" t="s">
        <v>4235</v>
      </c>
      <c r="H94" s="170"/>
      <c r="I94" s="168"/>
      <c r="J94" s="170"/>
      <c r="K94" s="170"/>
      <c r="L94" s="170"/>
      <c r="M94" s="170"/>
      <c r="N94" s="170"/>
      <c r="O94" s="170"/>
      <c r="P94" s="168"/>
      <c r="Q94" s="3440">
        <v>3000</v>
      </c>
      <c r="R94" s="3441"/>
      <c r="S94" s="282"/>
      <c r="T94" s="282"/>
      <c r="U94" s="282"/>
      <c r="AA94" s="502"/>
      <c r="AB94" s="502"/>
    </row>
    <row r="95" spans="1:28" s="270" customFormat="1" ht="11.4" customHeight="1">
      <c r="A95" s="170"/>
      <c r="C95" s="170"/>
      <c r="D95" s="168"/>
      <c r="E95" s="168"/>
      <c r="F95" s="172" t="s">
        <v>3645</v>
      </c>
      <c r="H95" s="170"/>
      <c r="I95" s="168"/>
      <c r="J95" s="170"/>
      <c r="K95" s="170"/>
      <c r="L95" s="170"/>
      <c r="M95" s="170"/>
      <c r="N95" s="170"/>
      <c r="O95" s="170"/>
      <c r="P95" s="168"/>
      <c r="Q95" s="3440">
        <v>1500</v>
      </c>
      <c r="R95" s="3441"/>
      <c r="S95" s="282"/>
      <c r="T95" s="282"/>
      <c r="U95" s="282"/>
      <c r="AA95" s="502"/>
      <c r="AB95" s="502"/>
    </row>
    <row r="96" spans="1:28" s="270" customFormat="1" ht="11.4" customHeight="1">
      <c r="A96" s="170"/>
      <c r="C96" s="170"/>
      <c r="D96" s="168"/>
      <c r="E96" s="168"/>
      <c r="F96" s="170" t="s">
        <v>929</v>
      </c>
      <c r="H96" s="170" t="s">
        <v>1578</v>
      </c>
      <c r="I96" s="168"/>
      <c r="J96" s="170" t="s">
        <v>1498</v>
      </c>
      <c r="K96" s="170"/>
      <c r="L96" s="170"/>
      <c r="M96" s="170"/>
      <c r="N96" s="170"/>
      <c r="O96" s="170"/>
      <c r="P96" s="168"/>
      <c r="Q96" s="3440">
        <v>800</v>
      </c>
      <c r="R96" s="3441"/>
      <c r="S96" s="282"/>
      <c r="T96" s="282"/>
      <c r="U96" s="282"/>
      <c r="AA96" s="502"/>
      <c r="AB96" s="502"/>
    </row>
    <row r="97" spans="1:28" s="270" customFormat="1" ht="11.4" customHeight="1">
      <c r="A97" s="170"/>
      <c r="C97" s="170"/>
      <c r="D97" s="168"/>
      <c r="E97" s="168"/>
      <c r="F97" s="170"/>
      <c r="H97" s="170"/>
      <c r="I97" s="170" t="s">
        <v>4236</v>
      </c>
      <c r="J97" s="170" t="s">
        <v>1498</v>
      </c>
      <c r="K97" s="170"/>
      <c r="L97" s="170"/>
      <c r="M97" s="170"/>
      <c r="N97" s="170"/>
      <c r="O97" s="170"/>
      <c r="P97" s="168"/>
      <c r="Q97" s="3440">
        <v>1000</v>
      </c>
      <c r="R97" s="3441"/>
      <c r="S97" s="282"/>
      <c r="T97" s="282"/>
      <c r="U97" s="282"/>
      <c r="AA97" s="502"/>
      <c r="AB97" s="502"/>
    </row>
    <row r="98" spans="1:28" s="270" customFormat="1" ht="11.4" customHeight="1">
      <c r="A98" s="170"/>
      <c r="B98" s="170"/>
      <c r="C98" s="170"/>
      <c r="D98" s="168"/>
      <c r="E98" s="168"/>
      <c r="H98" s="172" t="s">
        <v>2606</v>
      </c>
      <c r="I98" s="293"/>
      <c r="J98" s="172" t="s">
        <v>1498</v>
      </c>
      <c r="K98" s="172" t="s">
        <v>3657</v>
      </c>
      <c r="L98" s="172"/>
      <c r="M98" s="172"/>
      <c r="N98" s="172"/>
      <c r="O98" s="172"/>
      <c r="P98" s="293"/>
      <c r="Q98" s="3440">
        <v>800</v>
      </c>
      <c r="R98" s="3441"/>
      <c r="S98" s="282"/>
      <c r="T98" s="282"/>
      <c r="U98" s="282"/>
      <c r="AA98" s="502"/>
      <c r="AB98" s="502"/>
    </row>
    <row r="99" spans="1:28" s="270" customFormat="1" ht="11.4" customHeight="1">
      <c r="A99" s="170"/>
      <c r="B99" s="170"/>
      <c r="C99" s="170"/>
      <c r="D99" s="168"/>
      <c r="E99" s="168"/>
      <c r="H99" s="170" t="s">
        <v>2726</v>
      </c>
      <c r="I99" s="168"/>
      <c r="J99" s="170" t="s">
        <v>2605</v>
      </c>
      <c r="K99" s="170"/>
      <c r="L99" s="170"/>
      <c r="M99" s="170"/>
      <c r="N99" s="170"/>
      <c r="O99" s="170"/>
      <c r="P99" s="168"/>
      <c r="Q99" s="3440">
        <v>1500</v>
      </c>
      <c r="R99" s="3441"/>
      <c r="S99" s="282"/>
      <c r="T99" s="282"/>
      <c r="U99" s="282"/>
      <c r="AA99" s="502"/>
      <c r="AB99" s="502"/>
    </row>
    <row r="100" spans="1:28" s="270" customFormat="1" ht="11.4" customHeight="1">
      <c r="A100" s="170"/>
      <c r="B100" s="170"/>
      <c r="C100" s="170"/>
      <c r="D100" s="168"/>
      <c r="E100" s="168"/>
      <c r="F100" s="170" t="s">
        <v>3842</v>
      </c>
      <c r="I100" s="168"/>
      <c r="J100" s="170" t="s">
        <v>4238</v>
      </c>
      <c r="K100" s="170"/>
      <c r="L100" s="170"/>
      <c r="M100" s="170"/>
      <c r="N100" s="170"/>
      <c r="O100" s="170"/>
      <c r="P100" s="168"/>
      <c r="Q100" s="281">
        <v>750</v>
      </c>
      <c r="R100" s="281" t="s">
        <v>1690</v>
      </c>
      <c r="S100" s="282"/>
      <c r="T100" s="282"/>
      <c r="U100" s="282"/>
      <c r="AA100" s="502"/>
      <c r="AB100" s="502"/>
    </row>
    <row r="101" spans="1:28" s="270" customFormat="1" ht="11.4" customHeight="1">
      <c r="A101" s="170"/>
      <c r="B101" s="170"/>
      <c r="C101" s="170"/>
      <c r="D101" s="168"/>
      <c r="E101" s="168"/>
      <c r="F101" s="170" t="s">
        <v>4237</v>
      </c>
      <c r="I101" s="168"/>
      <c r="J101" s="170" t="s">
        <v>1719</v>
      </c>
      <c r="K101" s="170"/>
      <c r="L101" s="170"/>
      <c r="M101" s="170"/>
      <c r="N101" s="170"/>
      <c r="O101" s="170"/>
      <c r="P101" s="168"/>
      <c r="Q101" s="3440">
        <v>3000</v>
      </c>
      <c r="R101" s="3441"/>
      <c r="S101" s="282"/>
      <c r="T101" s="282"/>
      <c r="U101" s="282"/>
      <c r="AA101" s="502"/>
      <c r="AB101" s="502"/>
    </row>
    <row r="102" spans="1:28" s="270" customFormat="1" ht="11.4" customHeight="1">
      <c r="A102" s="170"/>
      <c r="B102" s="172"/>
      <c r="C102" s="170"/>
      <c r="D102" s="168"/>
      <c r="E102" s="168"/>
      <c r="F102" s="170" t="s">
        <v>3326</v>
      </c>
      <c r="I102" s="168"/>
      <c r="J102" s="170" t="s">
        <v>3327</v>
      </c>
      <c r="K102" s="170"/>
      <c r="L102" s="170" t="s">
        <v>2725</v>
      </c>
      <c r="M102" s="170"/>
      <c r="N102" s="170"/>
      <c r="O102" s="170"/>
      <c r="P102" s="168"/>
      <c r="Q102" s="3440">
        <v>75</v>
      </c>
      <c r="R102" s="3441"/>
      <c r="S102" s="282"/>
      <c r="T102" s="282"/>
      <c r="U102" s="282"/>
      <c r="AA102" s="502"/>
      <c r="AB102" s="502"/>
    </row>
    <row r="103" spans="1:28" customFormat="1" ht="11.25" customHeight="1">
      <c r="B103" s="170" t="s">
        <v>1816</v>
      </c>
      <c r="C103" s="27"/>
      <c r="F103" s="1574" t="s">
        <v>4497</v>
      </c>
      <c r="G103" s="1566"/>
      <c r="H103" s="1571"/>
      <c r="I103" s="27"/>
      <c r="J103" s="170" t="s">
        <v>4506</v>
      </c>
      <c r="K103" s="170" t="s">
        <v>4507</v>
      </c>
      <c r="L103" s="1581"/>
      <c r="M103" s="1581"/>
      <c r="N103" s="1581"/>
      <c r="O103" s="1580" t="s">
        <v>4498</v>
      </c>
    </row>
    <row r="104" spans="1:28" customFormat="1" ht="11.25" customHeight="1">
      <c r="B104" s="27"/>
      <c r="C104" s="27"/>
      <c r="F104" s="158"/>
      <c r="G104" s="27"/>
      <c r="H104" s="1575">
        <v>0.09</v>
      </c>
      <c r="I104" s="27"/>
      <c r="J104" s="1582">
        <v>1</v>
      </c>
      <c r="K104" s="1584">
        <v>50</v>
      </c>
      <c r="Q104" s="3443">
        <v>25000</v>
      </c>
      <c r="R104" s="3443"/>
    </row>
    <row r="105" spans="1:28" customFormat="1" ht="11.25" customHeight="1">
      <c r="B105" s="27"/>
      <c r="C105" s="27"/>
      <c r="F105" s="158"/>
      <c r="G105" s="27"/>
      <c r="H105" s="1576"/>
      <c r="I105" s="27"/>
      <c r="J105" s="1582">
        <v>51</v>
      </c>
      <c r="K105" s="1584">
        <v>70</v>
      </c>
      <c r="Q105" s="3442">
        <v>20000</v>
      </c>
      <c r="R105" s="3442"/>
    </row>
    <row r="106" spans="1:28" customFormat="1" ht="11.25" customHeight="1">
      <c r="B106" s="27"/>
      <c r="C106" s="27"/>
      <c r="F106" s="158"/>
      <c r="G106" s="27"/>
      <c r="H106" s="1576"/>
      <c r="I106" s="27"/>
      <c r="J106" s="1582">
        <v>71</v>
      </c>
      <c r="K106" s="1583"/>
      <c r="Q106" s="3444">
        <v>15000</v>
      </c>
      <c r="R106" s="3444"/>
    </row>
    <row r="107" spans="1:28" customFormat="1" ht="11.25" customHeight="1">
      <c r="B107" s="27"/>
      <c r="C107" s="27"/>
      <c r="F107" s="27"/>
      <c r="G107" s="27"/>
      <c r="H107" s="1575">
        <v>0.04</v>
      </c>
      <c r="I107" s="27"/>
      <c r="J107" s="1582">
        <v>1</v>
      </c>
      <c r="K107" s="1584">
        <v>100</v>
      </c>
      <c r="Q107" s="3443">
        <v>18000</v>
      </c>
      <c r="R107" s="3443"/>
    </row>
    <row r="108" spans="1:28" customFormat="1" ht="11.25" customHeight="1">
      <c r="B108" s="27"/>
      <c r="C108" s="27"/>
      <c r="F108" s="27"/>
      <c r="G108" s="27"/>
      <c r="H108" s="1577"/>
      <c r="I108" s="27"/>
      <c r="J108" s="1582">
        <v>101</v>
      </c>
      <c r="K108" s="1584">
        <v>130</v>
      </c>
      <c r="Q108" s="3442">
        <v>15500</v>
      </c>
      <c r="R108" s="3442"/>
    </row>
    <row r="109" spans="1:28" customFormat="1" ht="11.25" customHeight="1">
      <c r="B109" s="27"/>
      <c r="C109" s="27"/>
      <c r="F109" s="27"/>
      <c r="G109" s="27"/>
      <c r="H109" s="1577"/>
      <c r="I109" s="27"/>
      <c r="J109" s="1582">
        <v>131</v>
      </c>
      <c r="K109" s="1583"/>
      <c r="Q109" s="3444">
        <v>13000</v>
      </c>
      <c r="R109" s="3444"/>
    </row>
    <row r="110" spans="1:28" customFormat="1" ht="11.25" customHeight="1">
      <c r="B110" s="27"/>
      <c r="C110" s="27"/>
      <c r="F110" s="1573"/>
      <c r="G110" s="27"/>
      <c r="H110" s="1578"/>
      <c r="I110" s="1573"/>
    </row>
    <row r="111" spans="1:28" customFormat="1" ht="11.25" customHeight="1">
      <c r="B111" s="27"/>
      <c r="C111" s="27"/>
      <c r="F111" s="1571" t="s">
        <v>4499</v>
      </c>
      <c r="G111" s="27"/>
      <c r="H111" s="1578"/>
      <c r="I111" s="1573"/>
    </row>
    <row r="112" spans="1:28" customFormat="1" ht="11.25" customHeight="1">
      <c r="B112" s="27"/>
      <c r="C112" s="27"/>
      <c r="F112" s="27"/>
      <c r="G112" s="27"/>
      <c r="H112" s="1579">
        <v>0.09</v>
      </c>
      <c r="I112" s="1571"/>
      <c r="J112" s="27"/>
      <c r="Q112" s="3445">
        <v>2000000</v>
      </c>
      <c r="R112" s="3445"/>
    </row>
    <row r="113" spans="1:28" customFormat="1" ht="11.25" customHeight="1">
      <c r="B113" s="27"/>
      <c r="C113" s="27"/>
      <c r="F113" s="27"/>
      <c r="G113" s="27"/>
      <c r="H113" s="1579">
        <v>0.04</v>
      </c>
      <c r="I113" s="1571"/>
      <c r="J113" s="27"/>
      <c r="Q113" s="3445">
        <v>3500000</v>
      </c>
      <c r="R113" s="3445"/>
    </row>
    <row r="114" spans="1:28" customFormat="1"/>
    <row r="115" spans="1:28" s="270" customFormat="1" ht="13.8">
      <c r="A115" s="170"/>
      <c r="B115" s="170"/>
      <c r="C115" s="170"/>
      <c r="D115" s="168"/>
      <c r="E115" s="168"/>
      <c r="F115" s="170"/>
      <c r="G115" s="170"/>
      <c r="H115" s="170"/>
      <c r="I115" s="168"/>
      <c r="J115" s="170" t="s">
        <v>3303</v>
      </c>
      <c r="K115" s="170"/>
      <c r="L115" s="170"/>
      <c r="M115" s="170"/>
      <c r="N115" s="170"/>
      <c r="O115" s="170"/>
      <c r="P115" s="168"/>
      <c r="Q115" s="3449">
        <v>3500000</v>
      </c>
      <c r="R115" s="3450"/>
      <c r="S115" s="282"/>
      <c r="T115" s="282"/>
      <c r="U115" s="282"/>
      <c r="AA115" s="502"/>
      <c r="AB115" s="502"/>
    </row>
    <row r="116" spans="1:28" s="270" customFormat="1" ht="13.8" hidden="1">
      <c r="A116" s="170"/>
      <c r="B116" s="170"/>
      <c r="C116" s="170"/>
      <c r="D116" s="168"/>
      <c r="E116" s="168"/>
      <c r="F116" s="170" t="s">
        <v>1673</v>
      </c>
      <c r="G116" s="170"/>
      <c r="H116" s="170" t="s">
        <v>2237</v>
      </c>
      <c r="I116" s="168"/>
      <c r="J116" s="170" t="s">
        <v>953</v>
      </c>
      <c r="K116" s="170"/>
      <c r="L116" s="170"/>
      <c r="M116" s="170"/>
      <c r="N116" s="170"/>
      <c r="O116" s="170"/>
      <c r="P116" s="168"/>
      <c r="Q116" s="3447">
        <v>0.15</v>
      </c>
      <c r="R116" s="3448"/>
      <c r="S116" s="282"/>
      <c r="T116" s="282"/>
      <c r="U116" s="282"/>
      <c r="AA116" s="502"/>
      <c r="AB116" s="502"/>
    </row>
    <row r="117" spans="1:28" s="270" customFormat="1" ht="13.8" hidden="1">
      <c r="A117" s="170"/>
      <c r="B117" s="382"/>
      <c r="C117" s="170"/>
      <c r="D117" s="168"/>
      <c r="E117" s="168"/>
      <c r="F117" s="170"/>
      <c r="G117" s="170"/>
      <c r="H117" s="170" t="s">
        <v>3465</v>
      </c>
      <c r="I117" s="170" t="s">
        <v>950</v>
      </c>
      <c r="J117" s="170" t="s">
        <v>952</v>
      </c>
      <c r="K117" s="170"/>
      <c r="L117" s="170"/>
      <c r="M117" s="170"/>
      <c r="N117" s="170"/>
      <c r="O117" s="170"/>
      <c r="P117" s="168"/>
      <c r="Q117" s="3447">
        <v>0.15</v>
      </c>
      <c r="R117" s="3448"/>
      <c r="S117" s="282"/>
      <c r="T117" s="282"/>
      <c r="U117" s="282"/>
      <c r="AA117" s="502"/>
      <c r="AB117" s="502"/>
    </row>
    <row r="118" spans="1:28" s="270" customFormat="1" ht="13.8" hidden="1">
      <c r="A118" s="170"/>
      <c r="B118" s="382"/>
      <c r="C118" s="170"/>
      <c r="D118" s="168"/>
      <c r="E118" s="168"/>
      <c r="F118" s="170"/>
      <c r="G118" s="170"/>
      <c r="H118" s="170"/>
      <c r="I118" s="170" t="s">
        <v>951</v>
      </c>
      <c r="J118" s="170" t="s">
        <v>954</v>
      </c>
      <c r="K118" s="170"/>
      <c r="L118" s="170"/>
      <c r="M118" s="170"/>
      <c r="N118" s="170"/>
      <c r="O118" s="170"/>
      <c r="P118" s="168"/>
      <c r="Q118" s="3447">
        <v>0.15</v>
      </c>
      <c r="R118" s="3448"/>
      <c r="S118" s="282"/>
      <c r="T118" s="282"/>
      <c r="U118" s="282"/>
      <c r="AA118" s="502"/>
      <c r="AB118" s="502"/>
    </row>
    <row r="119" spans="1:28" s="270" customFormat="1" ht="13.8" hidden="1">
      <c r="A119" s="170"/>
      <c r="B119" s="382"/>
      <c r="C119" s="170"/>
      <c r="D119" s="168"/>
      <c r="E119" s="168"/>
      <c r="F119" s="170"/>
      <c r="G119" s="170"/>
      <c r="H119" s="170" t="s">
        <v>949</v>
      </c>
      <c r="I119" s="168"/>
      <c r="J119" s="170" t="s">
        <v>954</v>
      </c>
      <c r="K119" s="170"/>
      <c r="L119" s="170"/>
      <c r="M119" s="170"/>
      <c r="N119" s="170"/>
      <c r="O119" s="170"/>
      <c r="P119" s="168"/>
      <c r="Q119" s="3447">
        <v>0.15</v>
      </c>
      <c r="R119" s="3448"/>
      <c r="S119" s="282"/>
      <c r="T119" s="282"/>
      <c r="U119" s="282"/>
      <c r="AA119" s="502"/>
      <c r="AB119" s="502"/>
    </row>
    <row r="120" spans="1:28" s="270" customFormat="1" ht="13.8" hidden="1">
      <c r="A120" s="170"/>
      <c r="B120" s="382"/>
      <c r="C120" s="170"/>
      <c r="D120" s="168"/>
      <c r="E120" s="168"/>
      <c r="F120" s="170"/>
      <c r="G120" s="170"/>
      <c r="H120" s="170"/>
      <c r="I120" s="170" t="s">
        <v>955</v>
      </c>
      <c r="J120" s="170" t="s">
        <v>956</v>
      </c>
      <c r="K120" s="170"/>
      <c r="L120" s="170"/>
      <c r="M120" s="170"/>
      <c r="N120" s="170"/>
      <c r="O120" s="170"/>
      <c r="P120" s="168"/>
      <c r="Q120" s="3447">
        <v>0.15</v>
      </c>
      <c r="R120" s="3448"/>
      <c r="S120" s="282"/>
      <c r="T120" s="282"/>
      <c r="U120" s="282"/>
      <c r="AA120" s="502"/>
      <c r="AB120" s="502"/>
    </row>
    <row r="121" spans="1:28" s="270" customFormat="1" ht="13.8" hidden="1">
      <c r="A121" s="170"/>
      <c r="B121" s="382"/>
      <c r="C121" s="170"/>
      <c r="D121" s="168"/>
      <c r="E121" s="168"/>
      <c r="F121" s="170" t="s">
        <v>1715</v>
      </c>
      <c r="G121" s="170"/>
      <c r="H121" s="170"/>
      <c r="I121" s="168"/>
      <c r="J121" s="170" t="s">
        <v>2311</v>
      </c>
      <c r="K121" s="170"/>
      <c r="L121" s="170"/>
      <c r="M121" s="170"/>
      <c r="N121" s="170"/>
      <c r="O121" s="170"/>
      <c r="P121" s="168"/>
      <c r="Q121" s="3447">
        <v>0.15</v>
      </c>
      <c r="R121" s="3448"/>
      <c r="S121" s="282"/>
      <c r="T121" s="282"/>
      <c r="U121" s="282"/>
      <c r="AA121" s="502"/>
      <c r="AB121" s="502"/>
    </row>
    <row r="122" spans="1:28" s="270" customFormat="1" ht="13.8" hidden="1">
      <c r="A122" s="170"/>
      <c r="B122" s="382"/>
      <c r="C122" s="170"/>
      <c r="D122" s="168"/>
      <c r="E122" s="168"/>
      <c r="G122" s="170"/>
      <c r="H122" s="170"/>
      <c r="I122" s="168"/>
      <c r="J122" s="170" t="s">
        <v>2312</v>
      </c>
      <c r="K122" s="170"/>
      <c r="L122" s="170"/>
      <c r="M122" s="170"/>
      <c r="N122" s="170"/>
      <c r="O122" s="170"/>
      <c r="P122" s="168"/>
      <c r="Q122" s="3447" t="s">
        <v>2313</v>
      </c>
      <c r="R122" s="3448"/>
      <c r="S122" s="282"/>
      <c r="T122" s="282"/>
      <c r="U122" s="282"/>
      <c r="AA122" s="502"/>
      <c r="AB122" s="502"/>
    </row>
    <row r="123" spans="1:28" s="270" customFormat="1" ht="13.8">
      <c r="A123" s="170"/>
      <c r="B123" s="382"/>
      <c r="C123" s="170"/>
      <c r="D123" s="168"/>
      <c r="E123" s="168"/>
      <c r="F123" s="170" t="s">
        <v>1986</v>
      </c>
      <c r="G123" s="170"/>
      <c r="H123" s="170"/>
      <c r="I123" s="168"/>
      <c r="J123" s="170"/>
      <c r="K123" s="170"/>
      <c r="L123" s="170"/>
      <c r="M123" s="170"/>
      <c r="N123" s="170"/>
      <c r="O123" s="170"/>
      <c r="P123" s="168"/>
      <c r="Q123" s="383">
        <v>0</v>
      </c>
      <c r="R123" s="383">
        <v>15</v>
      </c>
      <c r="S123" s="282"/>
      <c r="T123" s="282"/>
      <c r="U123" s="282"/>
      <c r="AA123" s="502"/>
      <c r="AB123" s="502"/>
    </row>
    <row r="124" spans="1:28" s="270" customFormat="1" ht="11.25" hidden="1" customHeight="1">
      <c r="A124" s="170"/>
      <c r="B124" s="382"/>
      <c r="C124" s="170"/>
      <c r="D124" s="168"/>
      <c r="E124" s="168"/>
      <c r="F124" s="170" t="s">
        <v>1985</v>
      </c>
      <c r="G124" s="170"/>
      <c r="I124" s="168"/>
      <c r="J124" s="170"/>
      <c r="K124" s="170"/>
      <c r="L124" s="170"/>
      <c r="M124" s="170"/>
      <c r="N124" s="170"/>
      <c r="O124" s="170"/>
      <c r="P124" s="168"/>
      <c r="Q124" s="1011">
        <v>0</v>
      </c>
      <c r="R124" s="1011">
        <v>0.5</v>
      </c>
      <c r="S124" s="282"/>
      <c r="T124" s="282"/>
      <c r="U124" s="282"/>
      <c r="AA124" s="502"/>
      <c r="AB124" s="502"/>
    </row>
    <row r="125" spans="1:28" s="270" customFormat="1" ht="11.4" customHeight="1">
      <c r="A125" s="170"/>
      <c r="B125" s="170" t="s">
        <v>1716</v>
      </c>
      <c r="C125" s="170"/>
      <c r="D125" s="170"/>
      <c r="E125" s="170"/>
      <c r="F125" s="170"/>
      <c r="G125" s="170"/>
      <c r="H125" s="168"/>
      <c r="I125" s="168"/>
      <c r="J125" s="170" t="s">
        <v>1717</v>
      </c>
      <c r="K125" s="170"/>
      <c r="L125" s="170"/>
      <c r="M125" s="170"/>
      <c r="N125" s="170"/>
      <c r="O125" s="170"/>
      <c r="P125" s="168"/>
      <c r="Q125" s="283">
        <v>6</v>
      </c>
      <c r="R125" s="281" t="s">
        <v>1690</v>
      </c>
      <c r="S125" s="282"/>
      <c r="T125" s="282"/>
      <c r="U125" s="282"/>
      <c r="AA125" s="502"/>
      <c r="AB125" s="502"/>
    </row>
    <row r="126" spans="1:28" s="270" customFormat="1" ht="11.4" customHeight="1">
      <c r="A126" s="170"/>
      <c r="B126" s="170"/>
      <c r="C126" s="170"/>
      <c r="D126" s="170"/>
      <c r="E126" s="170"/>
      <c r="F126" s="170"/>
      <c r="G126" s="170"/>
      <c r="H126" s="168"/>
      <c r="I126" s="168"/>
      <c r="J126" s="170" t="s">
        <v>1718</v>
      </c>
      <c r="K126" s="170"/>
      <c r="L126" s="170"/>
      <c r="M126" s="170"/>
      <c r="N126" s="170"/>
      <c r="O126" s="170"/>
      <c r="P126" s="168"/>
      <c r="Q126" s="283">
        <v>6</v>
      </c>
      <c r="R126" s="281" t="s">
        <v>1690</v>
      </c>
      <c r="S126" s="282"/>
      <c r="T126" s="282"/>
      <c r="U126" s="282"/>
      <c r="AA126" s="502"/>
      <c r="AB126" s="502"/>
    </row>
    <row r="127" spans="1:28" s="270" customFormat="1" ht="11.4" customHeight="1">
      <c r="A127" s="170"/>
      <c r="B127" s="384" t="s">
        <v>1987</v>
      </c>
      <c r="C127" s="170"/>
      <c r="D127" s="168"/>
      <c r="E127" s="168"/>
      <c r="F127" s="170"/>
      <c r="G127" s="170"/>
      <c r="I127" s="168"/>
      <c r="J127" s="170" t="s">
        <v>1988</v>
      </c>
      <c r="K127" s="170"/>
      <c r="L127" s="170"/>
      <c r="M127" s="170"/>
      <c r="N127" s="170"/>
      <c r="O127" s="170"/>
      <c r="P127" s="168"/>
      <c r="Q127" s="283">
        <v>3</v>
      </c>
      <c r="R127" s="281" t="s">
        <v>1690</v>
      </c>
      <c r="S127" s="282"/>
      <c r="T127" s="282"/>
      <c r="U127" s="282"/>
      <c r="AA127" s="502"/>
      <c r="AB127" s="502"/>
    </row>
    <row r="128" spans="1:28" s="270" customFormat="1" ht="11.4" customHeight="1">
      <c r="A128" s="170"/>
      <c r="B128" s="172" t="s">
        <v>3359</v>
      </c>
      <c r="C128" s="170"/>
      <c r="D128" s="168"/>
      <c r="E128" s="170"/>
      <c r="F128" s="170"/>
      <c r="G128" s="170"/>
      <c r="H128" s="168"/>
      <c r="I128" s="168"/>
      <c r="J128" s="170" t="s">
        <v>1719</v>
      </c>
      <c r="K128" s="170"/>
      <c r="L128" s="170"/>
      <c r="M128" s="170"/>
      <c r="N128" s="170"/>
      <c r="O128" s="170"/>
      <c r="P128" s="168"/>
      <c r="Q128" s="3440">
        <v>3000</v>
      </c>
      <c r="R128" s="3441"/>
      <c r="S128" s="282"/>
      <c r="T128" s="282"/>
      <c r="U128" s="282"/>
      <c r="AA128" s="502"/>
      <c r="AB128" s="502"/>
    </row>
    <row r="129" spans="1:28" s="270" customFormat="1" ht="11.4" customHeight="1">
      <c r="A129" s="170"/>
      <c r="B129" s="170"/>
      <c r="C129" s="170"/>
      <c r="D129" s="168"/>
      <c r="E129" s="168"/>
      <c r="O129" s="170"/>
      <c r="T129" s="276"/>
      <c r="U129" s="168"/>
      <c r="V129" s="945"/>
      <c r="W129" s="945"/>
      <c r="X129" s="945"/>
      <c r="AA129" s="502"/>
      <c r="AB129" s="502"/>
    </row>
    <row r="130" spans="1:28" s="270" customFormat="1" ht="11.4" customHeight="1">
      <c r="A130" s="271" t="s">
        <v>1684</v>
      </c>
      <c r="B130" s="271"/>
      <c r="C130" s="271"/>
      <c r="D130" s="168"/>
      <c r="E130" s="168"/>
      <c r="F130" s="271" t="s">
        <v>1685</v>
      </c>
      <c r="G130" s="271"/>
      <c r="H130" s="168"/>
      <c r="I130" s="168"/>
      <c r="J130" s="271" t="s">
        <v>1686</v>
      </c>
      <c r="K130" s="271"/>
      <c r="L130" s="271"/>
      <c r="M130" s="271"/>
      <c r="N130" s="271"/>
      <c r="O130" s="271"/>
      <c r="P130" s="168"/>
      <c r="Q130" s="171" t="s">
        <v>2940</v>
      </c>
      <c r="R130" s="171" t="s">
        <v>1687</v>
      </c>
      <c r="S130" s="291"/>
      <c r="T130" s="276"/>
      <c r="U130" s="168"/>
      <c r="V130" s="945"/>
      <c r="W130" s="945"/>
      <c r="X130" s="945"/>
      <c r="AA130" s="502"/>
      <c r="AB130" s="502"/>
    </row>
    <row r="131" spans="1:28" s="270" customFormat="1" ht="3" customHeight="1">
      <c r="A131" s="170"/>
      <c r="B131" s="170"/>
      <c r="C131" s="170"/>
      <c r="D131" s="170"/>
      <c r="E131" s="168"/>
      <c r="F131" s="170"/>
      <c r="G131" s="170"/>
      <c r="H131" s="279"/>
      <c r="I131" s="168"/>
      <c r="J131" s="170"/>
      <c r="K131" s="280"/>
      <c r="L131" s="280"/>
      <c r="M131" s="280"/>
      <c r="N131" s="280"/>
      <c r="O131" s="170"/>
      <c r="P131" s="168"/>
      <c r="Q131" s="278"/>
      <c r="R131" s="278"/>
      <c r="S131" s="168"/>
      <c r="T131" s="168"/>
      <c r="U131" s="168"/>
      <c r="AA131" s="502"/>
      <c r="AB131" s="502"/>
    </row>
    <row r="132" spans="1:28" s="270" customFormat="1" ht="3" customHeight="1">
      <c r="A132" s="168"/>
      <c r="B132" s="170"/>
      <c r="C132" s="170"/>
      <c r="D132" s="170"/>
      <c r="E132" s="170"/>
      <c r="F132" s="170"/>
      <c r="G132" s="170"/>
      <c r="H132" s="170"/>
      <c r="I132" s="168"/>
      <c r="J132" s="170"/>
      <c r="K132" s="170"/>
      <c r="L132" s="170"/>
      <c r="M132" s="170"/>
      <c r="N132" s="170"/>
      <c r="O132" s="170"/>
      <c r="P132" s="168"/>
      <c r="Q132" s="170"/>
      <c r="R132" s="170"/>
      <c r="S132" s="282"/>
      <c r="T132" s="282"/>
      <c r="U132" s="282"/>
      <c r="AA132" s="502"/>
      <c r="AB132" s="502"/>
    </row>
    <row r="133" spans="1:28" s="270" customFormat="1" ht="12" customHeight="1">
      <c r="A133" s="275" t="s">
        <v>1720</v>
      </c>
      <c r="B133" s="170"/>
      <c r="C133" s="170"/>
      <c r="D133" s="170"/>
      <c r="E133" s="170"/>
      <c r="F133" s="170"/>
      <c r="G133" s="170"/>
      <c r="H133" s="170"/>
      <c r="I133" s="168"/>
      <c r="J133" s="170"/>
      <c r="K133" s="170"/>
      <c r="L133" s="170"/>
      <c r="M133" s="170"/>
      <c r="N133" s="170"/>
      <c r="O133" s="170"/>
      <c r="P133" s="168"/>
      <c r="Q133" s="170"/>
      <c r="R133" s="170"/>
      <c r="S133" s="282"/>
      <c r="T133" s="282"/>
      <c r="U133" s="282"/>
      <c r="AA133" s="502"/>
      <c r="AB133" s="502"/>
    </row>
    <row r="134" spans="1:28" ht="11.4" customHeight="1">
      <c r="B134" s="284" t="s">
        <v>2349</v>
      </c>
      <c r="C134" s="149"/>
      <c r="D134" s="149"/>
      <c r="E134" s="149"/>
      <c r="F134" s="149"/>
      <c r="G134" s="149"/>
      <c r="J134" s="285">
        <v>1</v>
      </c>
      <c r="K134" s="285">
        <v>2</v>
      </c>
      <c r="L134" s="285">
        <v>3</v>
      </c>
      <c r="M134" s="285">
        <v>4</v>
      </c>
      <c r="N134" s="285">
        <v>5</v>
      </c>
      <c r="O134" s="285">
        <v>6</v>
      </c>
      <c r="P134" s="285">
        <v>7</v>
      </c>
      <c r="Q134" s="285">
        <v>8</v>
      </c>
    </row>
    <row r="135" spans="1:28" ht="11.1" customHeight="1">
      <c r="B135" s="149"/>
      <c r="C135" s="149"/>
      <c r="D135" s="149"/>
      <c r="E135" s="149"/>
      <c r="F135" s="149"/>
      <c r="G135" s="149"/>
      <c r="J135" s="286">
        <v>0.7</v>
      </c>
      <c r="K135" s="286">
        <v>0.8</v>
      </c>
      <c r="L135" s="286">
        <v>0.9</v>
      </c>
      <c r="M135" s="285" t="s">
        <v>134</v>
      </c>
      <c r="N135" s="286">
        <v>1.08</v>
      </c>
      <c r="O135" s="286">
        <v>1.1599999999999999</v>
      </c>
      <c r="P135" s="286">
        <v>1.24</v>
      </c>
      <c r="Q135" s="286">
        <v>1.32</v>
      </c>
    </row>
    <row r="136" spans="1:28" s="282" customFormat="1" ht="11.4" customHeight="1">
      <c r="A136" s="170"/>
      <c r="B136" s="170" t="s">
        <v>1721</v>
      </c>
      <c r="C136" s="170"/>
      <c r="D136" s="170"/>
      <c r="E136" s="170"/>
      <c r="F136" s="170"/>
      <c r="G136" s="170"/>
      <c r="H136" s="170"/>
      <c r="J136" s="170" t="s">
        <v>1722</v>
      </c>
      <c r="K136" s="170"/>
      <c r="L136" s="170"/>
      <c r="M136" s="170"/>
      <c r="N136" s="170"/>
      <c r="O136" s="170"/>
      <c r="Q136" s="3446">
        <v>0.02</v>
      </c>
      <c r="R136" s="3446"/>
      <c r="AA136" s="502"/>
      <c r="AB136" s="502"/>
    </row>
    <row r="137" spans="1:28" s="282" customFormat="1" ht="11.4" customHeight="1">
      <c r="A137" s="170"/>
      <c r="B137" s="170" t="s">
        <v>1723</v>
      </c>
      <c r="C137" s="170"/>
      <c r="D137" s="170"/>
      <c r="E137" s="170"/>
      <c r="F137" s="170"/>
      <c r="G137" s="170"/>
      <c r="H137" s="170"/>
      <c r="J137" s="170" t="s">
        <v>1722</v>
      </c>
      <c r="K137" s="170"/>
      <c r="L137" s="170"/>
      <c r="M137" s="170"/>
      <c r="N137" s="170"/>
      <c r="O137" s="170"/>
      <c r="Q137" s="3446">
        <v>7.0000000000000007E-2</v>
      </c>
      <c r="R137" s="3446"/>
      <c r="AA137" s="502"/>
      <c r="AB137" s="502"/>
    </row>
    <row r="138" spans="1:28" s="282" customFormat="1" ht="11.4" customHeight="1">
      <c r="A138" s="170"/>
      <c r="B138" s="170" t="s">
        <v>1724</v>
      </c>
      <c r="C138" s="170"/>
      <c r="D138" s="170"/>
      <c r="E138" s="170"/>
      <c r="F138" s="170"/>
      <c r="G138" s="170"/>
      <c r="H138" s="170"/>
      <c r="J138" s="170" t="s">
        <v>1722</v>
      </c>
      <c r="K138" s="170"/>
      <c r="L138" s="170"/>
      <c r="M138" s="170"/>
      <c r="N138" s="170"/>
      <c r="O138" s="170"/>
      <c r="Q138" s="3446">
        <v>7.0000000000000007E-2</v>
      </c>
      <c r="R138" s="3446"/>
      <c r="AA138" s="502"/>
      <c r="AB138" s="502"/>
    </row>
    <row r="139" spans="1:28" s="270" customFormat="1" ht="11.4" customHeight="1">
      <c r="A139" s="170"/>
      <c r="B139" s="170" t="s">
        <v>131</v>
      </c>
      <c r="C139" s="170"/>
      <c r="D139" s="168"/>
      <c r="E139" s="168"/>
      <c r="F139" s="168"/>
      <c r="G139" s="170"/>
      <c r="H139" s="168"/>
      <c r="I139" s="168"/>
      <c r="J139" s="170" t="s">
        <v>1722</v>
      </c>
      <c r="K139" s="170"/>
      <c r="L139" s="170"/>
      <c r="M139" s="170"/>
      <c r="N139" s="170"/>
      <c r="O139" s="170"/>
      <c r="P139" s="168"/>
      <c r="Q139" s="3446">
        <v>0.03</v>
      </c>
      <c r="R139" s="3446"/>
      <c r="S139" s="282"/>
      <c r="T139" s="282"/>
      <c r="U139" s="282"/>
      <c r="AA139" s="502"/>
      <c r="AB139" s="502"/>
    </row>
    <row r="140" spans="1:28" s="270" customFormat="1" ht="11.4" customHeight="1">
      <c r="A140" s="170"/>
      <c r="B140" s="170" t="s">
        <v>132</v>
      </c>
      <c r="C140" s="170"/>
      <c r="D140" s="168"/>
      <c r="E140" s="168"/>
      <c r="F140" s="168"/>
      <c r="G140" s="170"/>
      <c r="H140" s="168"/>
      <c r="I140" s="168"/>
      <c r="J140" s="170" t="s">
        <v>1722</v>
      </c>
      <c r="K140" s="170"/>
      <c r="L140" s="170"/>
      <c r="M140" s="170"/>
      <c r="N140" s="170"/>
      <c r="O140" s="170"/>
      <c r="P140" s="168"/>
      <c r="Q140" s="3446">
        <v>0.03</v>
      </c>
      <c r="R140" s="3446"/>
      <c r="S140" s="282"/>
      <c r="T140" s="282"/>
      <c r="U140" s="282"/>
      <c r="AA140" s="502"/>
      <c r="AB140" s="502"/>
    </row>
    <row r="141" spans="1:28" s="270" customFormat="1" ht="11.4" customHeight="1">
      <c r="A141" s="170"/>
      <c r="B141" s="170" t="s">
        <v>133</v>
      </c>
      <c r="C141" s="170"/>
      <c r="D141" s="168"/>
      <c r="E141" s="168"/>
      <c r="F141" s="168"/>
      <c r="G141" s="170"/>
      <c r="H141" s="168"/>
      <c r="I141" s="168"/>
      <c r="J141" s="170" t="s">
        <v>1722</v>
      </c>
      <c r="K141" s="170"/>
      <c r="L141" s="170"/>
      <c r="M141" s="170"/>
      <c r="N141" s="170"/>
      <c r="O141" s="170"/>
      <c r="P141" s="168"/>
      <c r="Q141" s="3446">
        <v>0</v>
      </c>
      <c r="R141" s="3446"/>
      <c r="S141" s="282"/>
      <c r="T141" s="282"/>
      <c r="U141" s="282"/>
      <c r="AA141" s="502"/>
      <c r="AB141" s="502"/>
    </row>
    <row r="142" spans="1:28" s="270" customFormat="1" ht="4.3499999999999996" customHeight="1">
      <c r="A142" s="271"/>
      <c r="B142" s="271"/>
      <c r="C142" s="271"/>
      <c r="D142" s="271"/>
      <c r="E142" s="168"/>
      <c r="F142" s="271"/>
      <c r="G142" s="271"/>
      <c r="H142" s="168"/>
      <c r="I142" s="168"/>
      <c r="J142" s="271"/>
      <c r="K142" s="271"/>
      <c r="L142" s="271"/>
      <c r="M142" s="271"/>
      <c r="N142" s="271"/>
      <c r="O142" s="271"/>
      <c r="P142" s="168"/>
      <c r="Q142" s="272"/>
      <c r="R142" s="273"/>
      <c r="S142" s="168"/>
      <c r="T142" s="168"/>
      <c r="U142" s="168"/>
      <c r="W142" s="274"/>
      <c r="X142" s="274"/>
      <c r="Y142" s="274"/>
      <c r="Z142" s="274"/>
      <c r="AA142" s="502"/>
      <c r="AB142" s="502"/>
    </row>
    <row r="143" spans="1:28" s="270" customFormat="1" ht="11.4" customHeight="1">
      <c r="A143" s="275" t="s">
        <v>2602</v>
      </c>
      <c r="B143" s="170"/>
      <c r="C143" s="170"/>
      <c r="D143" s="168"/>
      <c r="E143" s="168"/>
      <c r="F143" s="170" t="s">
        <v>497</v>
      </c>
      <c r="G143" s="170"/>
      <c r="H143" s="170" t="s">
        <v>2533</v>
      </c>
      <c r="I143" s="168"/>
      <c r="J143" s="170" t="s">
        <v>2604</v>
      </c>
      <c r="K143" s="170"/>
      <c r="L143" s="170"/>
      <c r="M143" s="170"/>
      <c r="N143" s="170"/>
      <c r="O143" s="170"/>
      <c r="P143" s="168"/>
      <c r="Q143" s="3446">
        <v>0.1</v>
      </c>
      <c r="R143" s="3446"/>
      <c r="S143" s="168"/>
      <c r="T143" s="168"/>
      <c r="U143" s="168"/>
      <c r="V143" s="894"/>
      <c r="W143" s="894"/>
      <c r="X143" s="171"/>
      <c r="AA143" s="502"/>
      <c r="AB143" s="502"/>
    </row>
    <row r="144" spans="1:28" s="270" customFormat="1" ht="11.4" customHeight="1">
      <c r="A144" s="275"/>
      <c r="B144" s="170"/>
      <c r="C144" s="170"/>
      <c r="D144" s="168"/>
      <c r="E144" s="168"/>
      <c r="F144" s="170"/>
      <c r="G144" s="170"/>
      <c r="H144" s="170" t="s">
        <v>3668</v>
      </c>
      <c r="I144" s="168"/>
      <c r="J144" s="170" t="s">
        <v>3669</v>
      </c>
      <c r="K144" s="170"/>
      <c r="L144" s="170"/>
      <c r="M144" s="170"/>
      <c r="N144" s="170"/>
      <c r="O144" s="170"/>
      <c r="P144" s="168"/>
      <c r="Q144" s="3439">
        <v>1000000</v>
      </c>
      <c r="R144" s="3439"/>
      <c r="S144" s="168"/>
      <c r="T144" s="168"/>
      <c r="U144" s="168"/>
      <c r="V144" s="894"/>
      <c r="W144" s="894"/>
      <c r="X144" s="171"/>
      <c r="AA144" s="502"/>
      <c r="AB144" s="502"/>
    </row>
    <row r="145" spans="1:28" s="270" customFormat="1" ht="11.4" customHeight="1">
      <c r="A145" s="170"/>
      <c r="B145" s="170"/>
      <c r="C145" s="170"/>
      <c r="D145" s="168"/>
      <c r="E145" s="168"/>
      <c r="F145" s="170"/>
      <c r="G145" s="170"/>
      <c r="H145" s="170" t="s">
        <v>3664</v>
      </c>
      <c r="I145" s="168"/>
      <c r="J145" s="170" t="s">
        <v>3670</v>
      </c>
      <c r="K145" s="170"/>
      <c r="L145" s="170"/>
      <c r="M145" s="170"/>
      <c r="N145" s="170"/>
      <c r="O145" s="170"/>
      <c r="P145" s="168"/>
      <c r="Q145" s="3439">
        <v>1500000</v>
      </c>
      <c r="R145" s="3439"/>
      <c r="S145" s="276"/>
      <c r="T145" s="276"/>
      <c r="U145" s="168"/>
      <c r="V145" s="945"/>
      <c r="W145" s="945"/>
      <c r="X145" s="945"/>
      <c r="AA145" s="502"/>
      <c r="AB145" s="502"/>
    </row>
    <row r="146" spans="1:28" s="270" customFormat="1" ht="11.4" customHeight="1">
      <c r="A146" s="170"/>
      <c r="B146" s="170"/>
      <c r="C146" s="170"/>
      <c r="D146" s="168"/>
      <c r="E146" s="168"/>
      <c r="F146" s="170"/>
      <c r="G146" s="170"/>
      <c r="H146" s="170"/>
      <c r="I146" s="168"/>
      <c r="J146" s="170" t="s">
        <v>3671</v>
      </c>
      <c r="K146" s="170"/>
      <c r="L146" s="170"/>
      <c r="M146" s="170"/>
      <c r="N146" s="170"/>
      <c r="O146" s="170"/>
      <c r="P146" s="168"/>
      <c r="Q146" s="3439">
        <v>375000</v>
      </c>
      <c r="R146" s="3439"/>
      <c r="S146" s="276"/>
      <c r="T146" s="276"/>
      <c r="U146" s="168"/>
      <c r="V146" s="945"/>
      <c r="W146" s="945"/>
      <c r="X146" s="945"/>
      <c r="AA146" s="502"/>
      <c r="AB146" s="502"/>
    </row>
    <row r="147" spans="1:28" s="270" customFormat="1" ht="11.4" customHeight="1">
      <c r="A147" s="170"/>
      <c r="B147" s="170"/>
      <c r="C147" s="170"/>
      <c r="D147" s="168"/>
      <c r="E147" s="168"/>
      <c r="F147" s="170"/>
      <c r="G147" s="170"/>
      <c r="H147" s="170" t="s">
        <v>4230</v>
      </c>
      <c r="I147" s="168"/>
      <c r="J147" s="170"/>
      <c r="K147" s="170"/>
      <c r="L147" s="170"/>
      <c r="M147" s="170"/>
      <c r="N147" s="170"/>
      <c r="O147" s="170"/>
      <c r="P147" s="168"/>
      <c r="Q147" s="3439"/>
      <c r="R147" s="3439"/>
      <c r="S147" s="276"/>
      <c r="T147" s="276"/>
      <c r="U147" s="168"/>
      <c r="V147" s="945"/>
      <c r="W147" s="945"/>
      <c r="X147" s="945"/>
      <c r="AA147" s="502"/>
      <c r="AB147" s="502"/>
    </row>
    <row r="148" spans="1:28" s="270" customFormat="1" ht="11.4" customHeight="1">
      <c r="A148" s="170"/>
      <c r="B148" s="170"/>
      <c r="C148" s="170"/>
      <c r="D148" s="168"/>
      <c r="E148" s="168"/>
      <c r="F148" s="170" t="s">
        <v>2347</v>
      </c>
      <c r="G148" s="170"/>
      <c r="H148" s="170" t="s">
        <v>2603</v>
      </c>
      <c r="I148" s="168"/>
      <c r="J148" s="170" t="s">
        <v>3695</v>
      </c>
      <c r="K148" s="170"/>
      <c r="L148" s="170"/>
      <c r="M148" s="170"/>
      <c r="N148" s="170"/>
      <c r="O148" s="170"/>
      <c r="P148" s="168"/>
      <c r="Q148" s="3439">
        <v>4000000</v>
      </c>
      <c r="R148" s="3439"/>
      <c r="S148" s="276"/>
      <c r="T148" s="276"/>
      <c r="U148" s="168"/>
      <c r="V148" s="945"/>
      <c r="W148" s="945"/>
      <c r="X148" s="945"/>
      <c r="AA148" s="502"/>
      <c r="AB148" s="502"/>
    </row>
    <row r="149" spans="1:28" s="270" customFormat="1" ht="11.4" customHeight="1">
      <c r="A149" s="170"/>
      <c r="B149" s="170"/>
      <c r="C149" s="170"/>
      <c r="D149" s="168"/>
      <c r="E149" s="168"/>
      <c r="F149" s="170"/>
      <c r="G149" s="170"/>
      <c r="H149" s="168"/>
      <c r="I149" s="168"/>
      <c r="J149" s="170"/>
      <c r="K149" s="170"/>
      <c r="L149" s="170"/>
      <c r="M149" s="170"/>
      <c r="N149" s="170"/>
      <c r="O149" s="170"/>
      <c r="P149" s="168"/>
      <c r="Q149" s="278"/>
      <c r="R149" s="278"/>
      <c r="S149" s="276"/>
      <c r="T149" s="276"/>
      <c r="U149" s="168"/>
      <c r="V149" s="945"/>
      <c r="W149" s="945"/>
      <c r="X149" s="945"/>
      <c r="AA149" s="502"/>
      <c r="AB149" s="502"/>
    </row>
    <row r="150" spans="1:28" ht="4.5" customHeight="1"/>
    <row r="151" spans="1:28" ht="13.8">
      <c r="A151" s="275" t="s">
        <v>2722</v>
      </c>
      <c r="F151" s="170" t="s">
        <v>2532</v>
      </c>
      <c r="G151" s="170"/>
      <c r="H151" s="168"/>
      <c r="I151" s="168"/>
      <c r="J151" s="170" t="s">
        <v>4231</v>
      </c>
      <c r="K151" s="170"/>
      <c r="L151" s="170"/>
      <c r="M151" s="170"/>
      <c r="N151" s="170"/>
      <c r="O151" s="170"/>
      <c r="P151" s="168"/>
      <c r="Q151" s="3446">
        <v>0.35</v>
      </c>
      <c r="R151" s="3446"/>
    </row>
    <row r="152" spans="1:28" s="270" customFormat="1" ht="12.75" customHeight="1">
      <c r="A152" s="275"/>
      <c r="B152" s="170"/>
      <c r="C152" s="170"/>
      <c r="D152" s="168"/>
      <c r="E152" s="168"/>
      <c r="F152" s="170" t="s">
        <v>2723</v>
      </c>
      <c r="G152" s="170"/>
      <c r="H152" s="168"/>
      <c r="I152" s="168"/>
      <c r="J152" s="170" t="s">
        <v>2604</v>
      </c>
      <c r="K152" s="170"/>
      <c r="L152" s="170"/>
      <c r="M152" s="170"/>
      <c r="N152" s="170"/>
      <c r="O152" s="170"/>
      <c r="P152" s="168"/>
      <c r="Q152" s="3446" t="s">
        <v>2724</v>
      </c>
      <c r="R152" s="3446"/>
      <c r="S152" s="168"/>
      <c r="T152" s="168"/>
      <c r="U152" s="168"/>
      <c r="V152" s="894"/>
      <c r="W152" s="894"/>
      <c r="X152" s="171"/>
      <c r="AA152" s="502"/>
      <c r="AB152" s="502"/>
    </row>
    <row r="153" spans="1:28" s="270" customFormat="1" ht="12.75" customHeight="1">
      <c r="A153" s="275"/>
      <c r="B153" s="170"/>
      <c r="C153" s="170"/>
      <c r="D153" s="168"/>
      <c r="E153" s="168"/>
      <c r="F153" s="170"/>
      <c r="G153" s="170"/>
      <c r="H153" s="168"/>
      <c r="I153" s="168"/>
      <c r="J153" s="170"/>
      <c r="K153" s="170"/>
      <c r="L153" s="170"/>
      <c r="M153" s="170"/>
      <c r="N153" s="170"/>
      <c r="O153" s="170"/>
      <c r="P153" s="168"/>
      <c r="Q153" s="382"/>
      <c r="R153" s="382"/>
      <c r="S153" s="168"/>
      <c r="T153" s="168"/>
      <c r="U153" s="168"/>
      <c r="V153" s="894"/>
      <c r="W153" s="894"/>
      <c r="X153" s="171"/>
      <c r="AA153" s="502"/>
      <c r="AB153" s="502"/>
    </row>
    <row r="154" spans="1:28" s="270" customFormat="1" ht="12.75" customHeight="1">
      <c r="A154" s="275" t="s">
        <v>3511</v>
      </c>
      <c r="B154" s="170"/>
      <c r="C154" s="170"/>
      <c r="D154" s="168"/>
      <c r="E154" s="168"/>
      <c r="F154" s="170" t="s">
        <v>3514</v>
      </c>
      <c r="G154" s="170"/>
      <c r="H154" s="168"/>
      <c r="I154" s="168"/>
      <c r="J154" s="170" t="s">
        <v>3515</v>
      </c>
      <c r="K154" s="170"/>
      <c r="L154" s="170"/>
      <c r="M154" s="170"/>
      <c r="N154" s="170"/>
      <c r="O154" s="170"/>
      <c r="P154" s="168"/>
      <c r="Q154" s="3446">
        <v>0.05</v>
      </c>
      <c r="R154" s="3446"/>
      <c r="S154" s="168"/>
      <c r="T154" s="168"/>
      <c r="U154" s="168"/>
      <c r="V154" s="894"/>
      <c r="W154" s="894"/>
      <c r="X154" s="171"/>
      <c r="AA154" s="502"/>
      <c r="AB154" s="502"/>
    </row>
    <row r="155" spans="1:28" s="270" customFormat="1" ht="12.75" customHeight="1">
      <c r="A155" s="275"/>
      <c r="B155" s="170"/>
      <c r="C155" s="170"/>
      <c r="D155" s="168"/>
      <c r="E155" s="168"/>
      <c r="F155" s="170"/>
      <c r="G155" s="170" t="s">
        <v>3512</v>
      </c>
      <c r="H155" s="168"/>
      <c r="I155" s="168"/>
      <c r="J155" s="170" t="s">
        <v>3516</v>
      </c>
      <c r="K155" s="170"/>
      <c r="L155" s="170"/>
      <c r="M155" s="170"/>
      <c r="N155" s="170"/>
      <c r="O155" s="170"/>
      <c r="P155" s="168"/>
      <c r="Q155" s="3446">
        <v>0.4</v>
      </c>
      <c r="R155" s="3446"/>
      <c r="S155" s="168"/>
      <c r="T155" s="168"/>
      <c r="U155" s="168"/>
      <c r="V155" s="894"/>
      <c r="W155" s="894"/>
      <c r="X155" s="171"/>
      <c r="AA155" s="502"/>
      <c r="AB155" s="502"/>
    </row>
    <row r="156" spans="1:28" s="270" customFormat="1" ht="12.75" customHeight="1">
      <c r="A156" s="275"/>
      <c r="B156" s="170"/>
      <c r="C156" s="170"/>
      <c r="D156" s="168"/>
      <c r="E156" s="168"/>
      <c r="F156" s="170" t="s">
        <v>3513</v>
      </c>
      <c r="G156" s="170"/>
      <c r="H156" s="168"/>
      <c r="I156" s="168"/>
      <c r="J156" s="170" t="s">
        <v>3515</v>
      </c>
      <c r="K156" s="170"/>
      <c r="L156" s="170"/>
      <c r="M156" s="170"/>
      <c r="N156" s="170"/>
      <c r="O156" s="170"/>
      <c r="P156" s="168"/>
      <c r="Q156" s="3446">
        <v>0.02</v>
      </c>
      <c r="R156" s="3446"/>
      <c r="S156" s="168"/>
      <c r="T156" s="168"/>
      <c r="U156" s="168"/>
      <c r="V156" s="894"/>
      <c r="W156" s="894"/>
      <c r="X156" s="171"/>
      <c r="AA156" s="502"/>
      <c r="AB156" s="502"/>
    </row>
    <row r="157" spans="1:28" s="270" customFormat="1" ht="12.75" customHeight="1">
      <c r="A157" s="275"/>
      <c r="B157" s="170"/>
      <c r="C157" s="170"/>
      <c r="D157" s="168"/>
      <c r="E157" s="168"/>
      <c r="F157" s="170"/>
      <c r="G157" s="170"/>
      <c r="H157" s="168"/>
      <c r="I157" s="168"/>
      <c r="J157" s="170"/>
      <c r="K157" s="170"/>
      <c r="L157" s="170"/>
      <c r="M157" s="170"/>
      <c r="N157" s="170"/>
      <c r="O157" s="170"/>
      <c r="P157" s="168"/>
      <c r="Q157" s="382"/>
      <c r="R157" s="382"/>
      <c r="S157" s="168"/>
      <c r="T157" s="168"/>
      <c r="U157" s="168"/>
      <c r="V157" s="894"/>
      <c r="W157" s="894"/>
      <c r="X157" s="171"/>
      <c r="AA157" s="502"/>
      <c r="AB157" s="502"/>
    </row>
    <row r="158" spans="1:28" ht="13.35" customHeight="1">
      <c r="C158" s="170"/>
      <c r="D158" s="168"/>
      <c r="E158" s="287"/>
      <c r="F158" s="287"/>
      <c r="G158" s="287"/>
      <c r="H158" s="287"/>
      <c r="I158" s="287"/>
    </row>
    <row r="159" spans="1:28" ht="13.8">
      <c r="C159" s="170"/>
      <c r="D159" s="168"/>
      <c r="J159" s="379" t="s">
        <v>784</v>
      </c>
      <c r="K159" s="379"/>
      <c r="L159" s="268"/>
    </row>
    <row r="160" spans="1:28" ht="13.8">
      <c r="C160" s="170"/>
      <c r="D160" s="168"/>
      <c r="J160" s="380" t="s">
        <v>787</v>
      </c>
      <c r="K160" s="380" t="s">
        <v>785</v>
      </c>
      <c r="L160" s="381" t="s">
        <v>786</v>
      </c>
    </row>
    <row r="161" spans="2:37" ht="10.5" customHeight="1">
      <c r="C161" s="170"/>
      <c r="D161" s="168"/>
      <c r="E161" s="282"/>
      <c r="F161" s="282"/>
      <c r="J161" s="395">
        <v>0</v>
      </c>
      <c r="K161" s="395">
        <v>0.7</v>
      </c>
      <c r="L161" s="395">
        <v>1</v>
      </c>
    </row>
    <row r="162" spans="2:37" ht="10.5" customHeight="1">
      <c r="C162" s="287"/>
      <c r="D162" s="287"/>
      <c r="E162" s="282"/>
      <c r="F162" s="282"/>
      <c r="J162" s="395">
        <v>1</v>
      </c>
      <c r="K162" s="395">
        <v>0.75</v>
      </c>
      <c r="L162" s="395">
        <v>1.5</v>
      </c>
    </row>
    <row r="163" spans="2:37" ht="10.5" customHeight="1">
      <c r="C163" s="287"/>
      <c r="D163" s="287"/>
      <c r="E163" s="282"/>
      <c r="F163" s="282"/>
      <c r="J163" s="395">
        <v>2</v>
      </c>
      <c r="K163" s="395">
        <v>0.9</v>
      </c>
      <c r="L163" s="395">
        <v>3</v>
      </c>
    </row>
    <row r="164" spans="2:37" ht="10.5" customHeight="1">
      <c r="C164" s="287"/>
      <c r="D164" s="287"/>
      <c r="E164" s="282"/>
      <c r="F164" s="282"/>
      <c r="J164" s="395">
        <v>3</v>
      </c>
      <c r="K164" s="395">
        <v>1.04</v>
      </c>
      <c r="L164" s="395">
        <v>4.5</v>
      </c>
    </row>
    <row r="165" spans="2:37" ht="10.5" customHeight="1">
      <c r="C165" s="287"/>
      <c r="D165" s="287"/>
      <c r="E165" s="282"/>
      <c r="F165" s="282"/>
      <c r="J165" s="395">
        <v>4</v>
      </c>
      <c r="K165" s="395">
        <v>1.1599999999999999</v>
      </c>
      <c r="L165" s="395">
        <v>6</v>
      </c>
    </row>
    <row r="166" spans="2:37" ht="10.5" customHeight="1">
      <c r="E166" s="282"/>
      <c r="F166" s="282"/>
      <c r="J166" s="395">
        <v>5</v>
      </c>
      <c r="K166" s="395">
        <v>1.28</v>
      </c>
      <c r="L166" s="395">
        <v>7.5</v>
      </c>
    </row>
    <row r="167" spans="2:37" ht="10.5" customHeight="1">
      <c r="E167" s="282"/>
      <c r="F167" s="282"/>
      <c r="J167" s="395"/>
      <c r="K167" s="395"/>
      <c r="L167" s="395"/>
    </row>
    <row r="168" spans="2:37" ht="10.5" customHeight="1">
      <c r="E168" s="282"/>
      <c r="F168" s="282"/>
      <c r="J168" s="395"/>
      <c r="K168" s="395"/>
      <c r="L168" s="395"/>
    </row>
    <row r="169" spans="2:37" ht="10.5" customHeight="1">
      <c r="C169" s="3453" t="s">
        <v>3828</v>
      </c>
      <c r="E169" s="282"/>
      <c r="F169" s="282"/>
    </row>
    <row r="170" spans="2:37" ht="10.5" customHeight="1">
      <c r="C170" s="3453"/>
      <c r="E170" s="282"/>
      <c r="F170" s="282"/>
    </row>
    <row r="171" spans="2:37" ht="10.5" customHeight="1">
      <c r="C171" s="3453"/>
      <c r="D171" s="1138" t="s">
        <v>4740</v>
      </c>
      <c r="E171" s="579"/>
      <c r="F171" s="282"/>
    </row>
    <row r="172" spans="2:37" ht="39.75" customHeight="1">
      <c r="C172" s="478" t="s">
        <v>1253</v>
      </c>
      <c r="D172" s="378" t="s">
        <v>1013</v>
      </c>
      <c r="E172" s="282"/>
      <c r="F172" s="526" t="s">
        <v>1754</v>
      </c>
      <c r="G172" s="526" t="s">
        <v>1181</v>
      </c>
      <c r="H172" s="526" t="s">
        <v>1182</v>
      </c>
      <c r="I172" s="527" t="s">
        <v>1183</v>
      </c>
      <c r="J172" s="527" t="s">
        <v>1128</v>
      </c>
      <c r="K172" s="526" t="s">
        <v>417</v>
      </c>
      <c r="L172" s="528" t="s">
        <v>1135</v>
      </c>
      <c r="M172" s="528" t="s">
        <v>2677</v>
      </c>
      <c r="N172" s="528" t="s">
        <v>3663</v>
      </c>
      <c r="O172" s="528" t="s">
        <v>3928</v>
      </c>
      <c r="P172" s="526" t="s">
        <v>2340</v>
      </c>
      <c r="Q172" s="526"/>
      <c r="R172" s="170"/>
      <c r="S172" s="387"/>
      <c r="T172" s="1407" t="s">
        <v>600</v>
      </c>
      <c r="U172" s="529" t="s">
        <v>601</v>
      </c>
      <c r="W172" s="558" t="s">
        <v>3278</v>
      </c>
      <c r="Z172" s="427"/>
      <c r="AA172" s="427"/>
      <c r="AB172" s="158"/>
      <c r="AC172" s="502"/>
      <c r="AD172" s="502"/>
      <c r="AE172" s="158"/>
      <c r="AF172" s="158"/>
      <c r="AG172" s="158"/>
      <c r="AH172" s="158"/>
      <c r="AI172" s="158"/>
      <c r="AJ172" s="158"/>
      <c r="AK172" s="158"/>
    </row>
    <row r="173" spans="2:37" ht="10.5" customHeight="1">
      <c r="B173" s="282"/>
      <c r="C173" s="376" t="s">
        <v>1738</v>
      </c>
      <c r="D173" s="439">
        <v>53400</v>
      </c>
      <c r="E173" s="282"/>
      <c r="F173" s="282" t="s">
        <v>819</v>
      </c>
      <c r="G173" s="967" t="s">
        <v>1184</v>
      </c>
      <c r="H173" s="967" t="s">
        <v>1185</v>
      </c>
      <c r="I173" s="968" t="s">
        <v>1186</v>
      </c>
      <c r="J173" s="968" t="s">
        <v>2545</v>
      </c>
      <c r="K173" s="969" t="s">
        <v>1136</v>
      </c>
      <c r="L173" s="970" t="s">
        <v>415</v>
      </c>
      <c r="M173" s="1049" t="s">
        <v>2532</v>
      </c>
      <c r="N173" s="1049" t="s">
        <v>1299</v>
      </c>
      <c r="O173" s="1207" t="s">
        <v>3929</v>
      </c>
      <c r="P173" s="530" t="s">
        <v>1490</v>
      </c>
      <c r="Q173" s="291"/>
      <c r="R173" s="170"/>
      <c r="S173" s="387"/>
      <c r="T173" s="491" t="s">
        <v>2676</v>
      </c>
      <c r="U173" s="491" t="s">
        <v>1575</v>
      </c>
      <c r="W173" s="427" t="s">
        <v>2341</v>
      </c>
      <c r="X173" s="427" t="s">
        <v>3279</v>
      </c>
      <c r="Z173" s="427"/>
      <c r="AA173" s="158"/>
      <c r="AB173" s="158"/>
      <c r="AC173" s="889"/>
      <c r="AD173" s="502"/>
      <c r="AE173" s="158"/>
      <c r="AF173" s="158"/>
      <c r="AG173" s="158"/>
      <c r="AH173" s="158"/>
      <c r="AI173" s="158"/>
      <c r="AJ173" s="158"/>
      <c r="AK173" s="158"/>
    </row>
    <row r="174" spans="2:37" ht="10.5" customHeight="1">
      <c r="B174" s="282"/>
      <c r="C174" s="376" t="s">
        <v>1186</v>
      </c>
      <c r="D174" s="439">
        <v>49300</v>
      </c>
      <c r="E174" s="282"/>
      <c r="F174" s="282" t="s">
        <v>818</v>
      </c>
      <c r="G174" s="967" t="s">
        <v>1733</v>
      </c>
      <c r="H174" s="967" t="s">
        <v>1185</v>
      </c>
      <c r="I174" s="968" t="s">
        <v>1734</v>
      </c>
      <c r="J174" s="968" t="s">
        <v>2545</v>
      </c>
      <c r="K174" s="969" t="s">
        <v>1137</v>
      </c>
      <c r="L174" s="970" t="s">
        <v>415</v>
      </c>
      <c r="M174" s="1049" t="s">
        <v>2532</v>
      </c>
      <c r="N174" s="1049" t="s">
        <v>1654</v>
      </c>
      <c r="O174" s="1207" t="s">
        <v>3930</v>
      </c>
      <c r="P174" s="530" t="s">
        <v>1492</v>
      </c>
      <c r="Q174" s="291"/>
      <c r="R174" s="170"/>
      <c r="S174" s="387"/>
      <c r="T174" s="491" t="s">
        <v>2341</v>
      </c>
      <c r="U174" s="491" t="s">
        <v>1904</v>
      </c>
      <c r="W174" s="427" t="s">
        <v>1491</v>
      </c>
      <c r="X174" s="427" t="s">
        <v>3279</v>
      </c>
      <c r="Z174" s="427"/>
      <c r="AA174" s="158"/>
      <c r="AB174" s="158"/>
      <c r="AC174" s="889"/>
      <c r="AD174" s="502"/>
      <c r="AE174" s="158"/>
      <c r="AF174" s="158"/>
      <c r="AG174" s="158"/>
      <c r="AH174" s="158"/>
      <c r="AI174" s="158"/>
      <c r="AJ174" s="158"/>
      <c r="AK174" s="158"/>
    </row>
    <row r="175" spans="2:37" ht="10.5" customHeight="1">
      <c r="B175" s="282"/>
      <c r="C175" s="376" t="s">
        <v>1014</v>
      </c>
      <c r="D175" s="439">
        <v>66700</v>
      </c>
      <c r="E175" s="282"/>
      <c r="F175" s="282" t="s">
        <v>821</v>
      </c>
      <c r="G175" s="967" t="s">
        <v>1735</v>
      </c>
      <c r="H175" s="967" t="s">
        <v>1185</v>
      </c>
      <c r="I175" s="968" t="s">
        <v>1736</v>
      </c>
      <c r="J175" s="968" t="s">
        <v>2545</v>
      </c>
      <c r="K175" s="969" t="s">
        <v>1138</v>
      </c>
      <c r="L175" s="970" t="s">
        <v>415</v>
      </c>
      <c r="M175" s="1049" t="s">
        <v>2532</v>
      </c>
      <c r="N175" s="1049" t="s">
        <v>1654</v>
      </c>
      <c r="O175" s="1207" t="s">
        <v>3931</v>
      </c>
      <c r="P175" s="530" t="s">
        <v>453</v>
      </c>
      <c r="Q175" s="291"/>
      <c r="R175" s="170"/>
      <c r="S175" s="387"/>
      <c r="T175" s="491" t="s">
        <v>1491</v>
      </c>
      <c r="U175" s="491" t="s">
        <v>2422</v>
      </c>
      <c r="W175" s="427" t="s">
        <v>923</v>
      </c>
      <c r="X175" s="427" t="s">
        <v>3279</v>
      </c>
      <c r="Z175" s="427"/>
      <c r="AA175" s="158"/>
      <c r="AB175" s="158"/>
      <c r="AC175" s="889"/>
      <c r="AD175" s="502"/>
      <c r="AE175" s="158"/>
      <c r="AF175" s="158"/>
      <c r="AG175" s="158"/>
      <c r="AH175" s="158"/>
      <c r="AI175" s="158"/>
      <c r="AJ175" s="158"/>
      <c r="AK175" s="158"/>
    </row>
    <row r="176" spans="2:37" ht="10.5" customHeight="1">
      <c r="B176" s="282"/>
      <c r="C176" s="376" t="s">
        <v>1734</v>
      </c>
      <c r="D176" s="439">
        <v>37200</v>
      </c>
      <c r="E176" s="282"/>
      <c r="F176" s="282" t="s">
        <v>820</v>
      </c>
      <c r="G176" s="967" t="s">
        <v>1737</v>
      </c>
      <c r="H176" s="967" t="s">
        <v>1185</v>
      </c>
      <c r="I176" s="971" t="s">
        <v>1738</v>
      </c>
      <c r="J176" s="971" t="s">
        <v>2546</v>
      </c>
      <c r="K176" s="969" t="s">
        <v>1139</v>
      </c>
      <c r="L176" s="970" t="s">
        <v>416</v>
      </c>
      <c r="M176" s="1049" t="s">
        <v>1170</v>
      </c>
      <c r="N176" s="1049" t="s">
        <v>1738</v>
      </c>
      <c r="O176" s="1207" t="s">
        <v>3932</v>
      </c>
      <c r="P176" s="530" t="s">
        <v>2032</v>
      </c>
      <c r="Q176" s="291"/>
      <c r="R176" s="170"/>
      <c r="S176" s="387"/>
      <c r="T176" s="491" t="s">
        <v>923</v>
      </c>
      <c r="U176" s="491" t="s">
        <v>1287</v>
      </c>
      <c r="W176" s="427" t="s">
        <v>2033</v>
      </c>
      <c r="X176" s="427" t="s">
        <v>3279</v>
      </c>
      <c r="Z176" s="427"/>
      <c r="AA176" s="158"/>
      <c r="AB176" s="158"/>
      <c r="AC176" s="889"/>
      <c r="AD176" s="502"/>
      <c r="AE176" s="158"/>
      <c r="AF176" s="158"/>
      <c r="AG176" s="158"/>
      <c r="AH176" s="158"/>
      <c r="AI176" s="158"/>
      <c r="AJ176" s="158"/>
      <c r="AK176" s="158"/>
    </row>
    <row r="177" spans="2:37" ht="10.5" customHeight="1">
      <c r="B177" s="282"/>
      <c r="C177" s="376" t="s">
        <v>746</v>
      </c>
      <c r="D177" s="439">
        <v>79700</v>
      </c>
      <c r="E177" s="282"/>
      <c r="F177" s="282" t="s">
        <v>822</v>
      </c>
      <c r="G177" s="967" t="s">
        <v>1739</v>
      </c>
      <c r="H177" s="967" t="s">
        <v>1185</v>
      </c>
      <c r="I177" s="971" t="s">
        <v>152</v>
      </c>
      <c r="J177" s="971" t="s">
        <v>2545</v>
      </c>
      <c r="K177" s="969" t="s">
        <v>1140</v>
      </c>
      <c r="L177" s="970" t="s">
        <v>415</v>
      </c>
      <c r="M177" s="1049" t="s">
        <v>2532</v>
      </c>
      <c r="N177" s="1049" t="s">
        <v>1293</v>
      </c>
      <c r="O177" s="1207" t="s">
        <v>3933</v>
      </c>
      <c r="P177" s="530" t="s">
        <v>2034</v>
      </c>
      <c r="Q177" s="291"/>
      <c r="R177" s="170"/>
      <c r="S177" s="387"/>
      <c r="T177" s="491" t="s">
        <v>454</v>
      </c>
      <c r="U177" s="491" t="s">
        <v>2463</v>
      </c>
      <c r="W177" s="427" t="s">
        <v>2037</v>
      </c>
      <c r="X177" s="427" t="s">
        <v>3279</v>
      </c>
      <c r="Z177" s="427"/>
      <c r="AA177" s="158"/>
      <c r="AB177" s="158"/>
      <c r="AC177" s="889"/>
      <c r="AD177" s="502"/>
      <c r="AE177" s="158"/>
      <c r="AF177" s="158"/>
      <c r="AG177" s="158"/>
      <c r="AH177" s="158"/>
      <c r="AI177" s="158"/>
      <c r="AJ177" s="158"/>
      <c r="AK177" s="158"/>
    </row>
    <row r="178" spans="2:37" ht="10.5" customHeight="1">
      <c r="B178" s="282"/>
      <c r="C178" s="376" t="s">
        <v>747</v>
      </c>
      <c r="D178" s="439">
        <v>62800</v>
      </c>
      <c r="E178" s="282"/>
      <c r="F178" s="282" t="s">
        <v>823</v>
      </c>
      <c r="G178" s="967" t="s">
        <v>1283</v>
      </c>
      <c r="H178" s="967" t="s">
        <v>1284</v>
      </c>
      <c r="I178" s="968" t="s">
        <v>1285</v>
      </c>
      <c r="J178" s="968" t="s">
        <v>2545</v>
      </c>
      <c r="K178" s="969" t="s">
        <v>1776</v>
      </c>
      <c r="L178" s="970" t="s">
        <v>415</v>
      </c>
      <c r="M178" s="1049" t="s">
        <v>2532</v>
      </c>
      <c r="N178" s="1049" t="s">
        <v>162</v>
      </c>
      <c r="O178" s="1207" t="s">
        <v>3934</v>
      </c>
      <c r="P178" s="530" t="s">
        <v>2036</v>
      </c>
      <c r="Q178" s="291"/>
      <c r="R178" s="170"/>
      <c r="S178" s="387"/>
      <c r="T178" s="491" t="s">
        <v>2033</v>
      </c>
      <c r="U178" s="491" t="s">
        <v>327</v>
      </c>
      <c r="W178" s="427" t="s">
        <v>1738</v>
      </c>
      <c r="X178" s="427" t="s">
        <v>3279</v>
      </c>
      <c r="Z178" s="427"/>
      <c r="AA178" s="158"/>
      <c r="AB178" s="158"/>
      <c r="AC178" s="889"/>
      <c r="AD178" s="502"/>
      <c r="AE178" s="158"/>
      <c r="AF178" s="158"/>
      <c r="AG178" s="158"/>
      <c r="AH178" s="158"/>
      <c r="AI178" s="158"/>
      <c r="AJ178" s="158"/>
      <c r="AK178" s="158"/>
    </row>
    <row r="179" spans="2:37" ht="10.5" customHeight="1">
      <c r="B179" s="282"/>
      <c r="C179" s="376" t="s">
        <v>1736</v>
      </c>
      <c r="D179" s="439">
        <v>49000</v>
      </c>
      <c r="E179" s="282"/>
      <c r="F179" s="282" t="s">
        <v>824</v>
      </c>
      <c r="G179" s="967" t="s">
        <v>1286</v>
      </c>
      <c r="H179" s="967" t="s">
        <v>1284</v>
      </c>
      <c r="I179" s="971" t="s">
        <v>746</v>
      </c>
      <c r="J179" s="971" t="s">
        <v>2546</v>
      </c>
      <c r="K179" s="969" t="s">
        <v>2510</v>
      </c>
      <c r="L179" s="970" t="s">
        <v>416</v>
      </c>
      <c r="M179" s="1049" t="s">
        <v>1170</v>
      </c>
      <c r="N179" s="1049" t="s">
        <v>1179</v>
      </c>
      <c r="O179" s="1207" t="s">
        <v>3935</v>
      </c>
      <c r="P179" s="530" t="s">
        <v>2038</v>
      </c>
      <c r="Q179" s="291"/>
      <c r="R179" s="170"/>
      <c r="S179" s="387"/>
      <c r="T179" s="491" t="s">
        <v>2035</v>
      </c>
      <c r="U179" s="491" t="s">
        <v>180</v>
      </c>
      <c r="W179" s="427" t="s">
        <v>435</v>
      </c>
      <c r="X179" s="427" t="s">
        <v>3279</v>
      </c>
      <c r="Z179" s="427"/>
      <c r="AA179" s="158"/>
      <c r="AB179" s="158"/>
      <c r="AC179" s="889"/>
      <c r="AD179" s="502"/>
      <c r="AE179" s="158"/>
      <c r="AF179" s="158"/>
      <c r="AG179" s="158"/>
      <c r="AH179" s="158"/>
      <c r="AI179" s="158"/>
      <c r="AJ179" s="158"/>
      <c r="AK179" s="158"/>
    </row>
    <row r="180" spans="2:37" ht="10.5" customHeight="1">
      <c r="B180" s="282"/>
      <c r="C180" s="376" t="s">
        <v>152</v>
      </c>
      <c r="D180" s="439">
        <v>53400</v>
      </c>
      <c r="E180" s="282"/>
      <c r="F180" s="282" t="s">
        <v>826</v>
      </c>
      <c r="G180" s="967" t="s">
        <v>1287</v>
      </c>
      <c r="H180" s="967" t="s">
        <v>1284</v>
      </c>
      <c r="I180" s="971" t="s">
        <v>746</v>
      </c>
      <c r="J180" s="971" t="s">
        <v>2546</v>
      </c>
      <c r="K180" s="969" t="s">
        <v>2510</v>
      </c>
      <c r="L180" s="970" t="s">
        <v>416</v>
      </c>
      <c r="M180" s="1049" t="s">
        <v>1170</v>
      </c>
      <c r="N180" s="1049" t="s">
        <v>1179</v>
      </c>
      <c r="O180" s="1207" t="s">
        <v>3936</v>
      </c>
      <c r="P180" s="530" t="s">
        <v>2040</v>
      </c>
      <c r="Q180" s="291"/>
      <c r="R180" s="170"/>
      <c r="S180" s="387"/>
      <c r="T180" s="491" t="s">
        <v>2037</v>
      </c>
      <c r="U180" s="491" t="s">
        <v>109</v>
      </c>
      <c r="W180" s="427" t="s">
        <v>437</v>
      </c>
      <c r="X180" s="427" t="s">
        <v>3279</v>
      </c>
      <c r="Z180" s="427"/>
      <c r="AA180" s="158"/>
      <c r="AB180" s="158"/>
      <c r="AC180" s="889"/>
      <c r="AD180" s="502"/>
      <c r="AE180" s="158"/>
      <c r="AF180" s="158"/>
      <c r="AG180" s="158"/>
      <c r="AH180" s="158"/>
      <c r="AI180" s="158"/>
      <c r="AJ180" s="158"/>
      <c r="AK180" s="158"/>
    </row>
    <row r="181" spans="2:37" ht="10.5" customHeight="1">
      <c r="B181" s="282"/>
      <c r="C181" s="376" t="s">
        <v>1285</v>
      </c>
      <c r="D181" s="439">
        <v>53200</v>
      </c>
      <c r="E181" s="282"/>
      <c r="F181" s="282" t="s">
        <v>825</v>
      </c>
      <c r="G181" s="967" t="s">
        <v>1288</v>
      </c>
      <c r="H181" s="967" t="s">
        <v>1185</v>
      </c>
      <c r="I181" s="968" t="s">
        <v>1289</v>
      </c>
      <c r="J181" s="968" t="s">
        <v>2545</v>
      </c>
      <c r="K181" s="969" t="s">
        <v>2511</v>
      </c>
      <c r="L181" s="970" t="s">
        <v>415</v>
      </c>
      <c r="M181" s="1049" t="s">
        <v>2532</v>
      </c>
      <c r="N181" s="1049" t="s">
        <v>1738</v>
      </c>
      <c r="O181" s="1207" t="s">
        <v>3937</v>
      </c>
      <c r="P181" s="530" t="s">
        <v>1915</v>
      </c>
      <c r="Q181" s="510"/>
      <c r="R181" s="170"/>
      <c r="S181" s="387"/>
      <c r="T181" s="491" t="s">
        <v>2039</v>
      </c>
      <c r="U181" s="491" t="s">
        <v>1290</v>
      </c>
      <c r="W181" s="427" t="s">
        <v>1802</v>
      </c>
      <c r="X181" s="427" t="s">
        <v>3279</v>
      </c>
      <c r="Z181" s="427"/>
      <c r="AA181" s="158"/>
      <c r="AB181" s="158"/>
      <c r="AC181" s="889"/>
      <c r="AD181" s="502"/>
      <c r="AE181" s="158"/>
      <c r="AF181" s="158"/>
      <c r="AG181" s="158"/>
      <c r="AH181" s="158"/>
      <c r="AI181" s="158"/>
      <c r="AJ181" s="158"/>
      <c r="AK181" s="158"/>
    </row>
    <row r="182" spans="2:37" ht="10.5" customHeight="1">
      <c r="B182" s="282"/>
      <c r="C182" s="377" t="s">
        <v>1017</v>
      </c>
      <c r="D182" s="439">
        <v>40400</v>
      </c>
      <c r="E182" s="282"/>
      <c r="F182" s="282" t="s">
        <v>827</v>
      </c>
      <c r="G182" s="967" t="s">
        <v>1290</v>
      </c>
      <c r="H182" s="967" t="s">
        <v>1185</v>
      </c>
      <c r="I182" s="968" t="s">
        <v>1291</v>
      </c>
      <c r="J182" s="968" t="s">
        <v>2545</v>
      </c>
      <c r="K182" s="969" t="s">
        <v>2512</v>
      </c>
      <c r="L182" s="970" t="s">
        <v>415</v>
      </c>
      <c r="M182" s="1049" t="s">
        <v>2532</v>
      </c>
      <c r="N182" s="1049" t="s">
        <v>1654</v>
      </c>
      <c r="O182" s="1207" t="s">
        <v>3938</v>
      </c>
      <c r="P182" s="530" t="s">
        <v>176</v>
      </c>
      <c r="Q182" s="510"/>
      <c r="R182" s="282"/>
      <c r="S182" s="387"/>
      <c r="T182" s="491" t="s">
        <v>1738</v>
      </c>
      <c r="U182" s="491" t="s">
        <v>933</v>
      </c>
      <c r="W182" s="427" t="s">
        <v>2482</v>
      </c>
      <c r="X182" s="427" t="s">
        <v>3279</v>
      </c>
      <c r="Z182" s="427"/>
      <c r="AA182" s="158"/>
      <c r="AB182" s="158"/>
      <c r="AC182" s="889"/>
      <c r="AD182" s="502"/>
      <c r="AE182" s="158"/>
      <c r="AF182" s="158"/>
      <c r="AG182" s="158"/>
      <c r="AH182" s="158"/>
      <c r="AI182" s="158"/>
      <c r="AJ182" s="158"/>
      <c r="AK182" s="158"/>
    </row>
    <row r="183" spans="2:37" ht="10.5" customHeight="1">
      <c r="B183" s="282"/>
      <c r="C183" s="377" t="s">
        <v>1291</v>
      </c>
      <c r="D183" s="439">
        <v>45800</v>
      </c>
      <c r="E183" s="282"/>
      <c r="F183" s="282" t="s">
        <v>828</v>
      </c>
      <c r="G183" s="967" t="s">
        <v>1292</v>
      </c>
      <c r="H183" s="967" t="s">
        <v>1752</v>
      </c>
      <c r="I183" s="971" t="s">
        <v>1293</v>
      </c>
      <c r="J183" s="971" t="s">
        <v>2546</v>
      </c>
      <c r="K183" s="969" t="s">
        <v>2513</v>
      </c>
      <c r="L183" s="970" t="s">
        <v>416</v>
      </c>
      <c r="M183" s="1049" t="s">
        <v>1170</v>
      </c>
      <c r="N183" s="1049" t="s">
        <v>1293</v>
      </c>
      <c r="O183" s="1207" t="s">
        <v>3939</v>
      </c>
      <c r="P183" s="530" t="s">
        <v>178</v>
      </c>
      <c r="Q183" s="510"/>
      <c r="R183" s="170"/>
      <c r="S183" s="387"/>
      <c r="T183" s="491" t="s">
        <v>1916</v>
      </c>
      <c r="U183" s="491" t="s">
        <v>421</v>
      </c>
      <c r="W183" s="427" t="s">
        <v>2488</v>
      </c>
      <c r="X183" s="427" t="s">
        <v>3279</v>
      </c>
      <c r="Z183" s="427"/>
      <c r="AA183" s="158"/>
      <c r="AB183" s="158"/>
      <c r="AC183" s="889"/>
      <c r="AD183" s="502"/>
      <c r="AE183" s="158"/>
      <c r="AF183" s="158"/>
      <c r="AG183" s="158"/>
      <c r="AH183" s="158"/>
      <c r="AI183" s="158"/>
      <c r="AJ183" s="158"/>
      <c r="AK183" s="158"/>
    </row>
    <row r="184" spans="2:37" ht="10.5" customHeight="1">
      <c r="B184" s="282"/>
      <c r="C184" s="377" t="s">
        <v>1295</v>
      </c>
      <c r="D184" s="439">
        <v>52600</v>
      </c>
      <c r="E184" s="282"/>
      <c r="F184" s="282" t="s">
        <v>829</v>
      </c>
      <c r="G184" s="967" t="s">
        <v>1294</v>
      </c>
      <c r="H184" s="967" t="s">
        <v>1185</v>
      </c>
      <c r="I184" s="971" t="s">
        <v>1295</v>
      </c>
      <c r="J184" s="971" t="s">
        <v>2545</v>
      </c>
      <c r="K184" s="969" t="s">
        <v>2514</v>
      </c>
      <c r="L184" s="970" t="s">
        <v>415</v>
      </c>
      <c r="M184" s="1049" t="s">
        <v>2532</v>
      </c>
      <c r="N184" s="1049" t="s">
        <v>1293</v>
      </c>
      <c r="O184" s="1207" t="s">
        <v>3940</v>
      </c>
      <c r="P184" s="530" t="s">
        <v>434</v>
      </c>
      <c r="Q184" s="291"/>
      <c r="R184" s="170"/>
      <c r="S184" s="387"/>
      <c r="T184" s="491" t="s">
        <v>177</v>
      </c>
      <c r="U184" s="491" t="s">
        <v>1427</v>
      </c>
      <c r="W184" s="427" t="s">
        <v>2493</v>
      </c>
      <c r="X184" s="427" t="s">
        <v>3279</v>
      </c>
      <c r="Z184" s="427"/>
      <c r="AA184" s="158"/>
      <c r="AB184" s="158"/>
      <c r="AC184" s="889"/>
      <c r="AD184" s="502"/>
      <c r="AE184" s="158"/>
      <c r="AF184" s="158"/>
      <c r="AG184" s="158"/>
      <c r="AH184" s="158"/>
      <c r="AI184" s="158"/>
      <c r="AJ184" s="158"/>
      <c r="AK184" s="158"/>
    </row>
    <row r="185" spans="2:37" ht="10.5" customHeight="1">
      <c r="B185" s="282"/>
      <c r="C185" s="376" t="s">
        <v>9</v>
      </c>
      <c r="D185" s="439">
        <v>58000</v>
      </c>
      <c r="E185" s="282"/>
      <c r="F185" s="282" t="s">
        <v>833</v>
      </c>
      <c r="G185" s="967" t="s">
        <v>1296</v>
      </c>
      <c r="H185" s="967" t="s">
        <v>1185</v>
      </c>
      <c r="I185" s="968" t="s">
        <v>9</v>
      </c>
      <c r="J185" s="968" t="s">
        <v>2546</v>
      </c>
      <c r="K185" s="969" t="s">
        <v>2515</v>
      </c>
      <c r="L185" s="970" t="s">
        <v>416</v>
      </c>
      <c r="M185" s="1049" t="s">
        <v>1170</v>
      </c>
      <c r="N185" s="1049" t="s">
        <v>1654</v>
      </c>
      <c r="O185" s="1207" t="s">
        <v>3941</v>
      </c>
      <c r="P185" s="530" t="s">
        <v>436</v>
      </c>
      <c r="Q185" s="291"/>
      <c r="R185" s="170"/>
      <c r="S185" s="387"/>
      <c r="T185" s="491" t="s">
        <v>179</v>
      </c>
      <c r="U185" s="491" t="s">
        <v>2337</v>
      </c>
      <c r="W185" s="427" t="s">
        <v>162</v>
      </c>
      <c r="X185" s="427" t="s">
        <v>3279</v>
      </c>
      <c r="Z185" s="427"/>
      <c r="AA185" s="158"/>
      <c r="AB185" s="158"/>
      <c r="AC185" s="889"/>
      <c r="AD185" s="502"/>
      <c r="AE185" s="158"/>
      <c r="AF185" s="158"/>
      <c r="AG185" s="158"/>
      <c r="AH185" s="158"/>
      <c r="AI185" s="158"/>
      <c r="AJ185" s="158"/>
      <c r="AK185" s="158"/>
    </row>
    <row r="186" spans="2:37" ht="10.5" customHeight="1">
      <c r="B186" s="282"/>
      <c r="C186" s="377" t="s">
        <v>1301</v>
      </c>
      <c r="D186" s="439">
        <v>55000</v>
      </c>
      <c r="E186" s="282"/>
      <c r="F186" s="282" t="s">
        <v>830</v>
      </c>
      <c r="G186" s="967" t="s">
        <v>1297</v>
      </c>
      <c r="H186" s="967" t="s">
        <v>1185</v>
      </c>
      <c r="I186" s="968" t="s">
        <v>1654</v>
      </c>
      <c r="J186" s="968" t="s">
        <v>2546</v>
      </c>
      <c r="K186" s="969" t="s">
        <v>2516</v>
      </c>
      <c r="L186" s="970" t="s">
        <v>416</v>
      </c>
      <c r="M186" s="1049" t="s">
        <v>1170</v>
      </c>
      <c r="N186" s="1049" t="s">
        <v>1654</v>
      </c>
      <c r="O186" s="1207" t="s">
        <v>3942</v>
      </c>
      <c r="P186" s="530" t="s">
        <v>438</v>
      </c>
      <c r="Q186" s="291"/>
      <c r="R186" s="170"/>
      <c r="S186" s="387"/>
      <c r="T186" s="491" t="s">
        <v>435</v>
      </c>
      <c r="U186" s="491" t="s">
        <v>1735</v>
      </c>
      <c r="W186" s="427" t="s">
        <v>1179</v>
      </c>
      <c r="X186" s="427" t="s">
        <v>3279</v>
      </c>
      <c r="Z186" s="427"/>
      <c r="AA186" s="158"/>
      <c r="AB186" s="158"/>
      <c r="AC186" s="889"/>
      <c r="AD186" s="502"/>
      <c r="AE186" s="158"/>
      <c r="AF186" s="158"/>
      <c r="AG186" s="158"/>
      <c r="AH186" s="158"/>
      <c r="AI186" s="158"/>
      <c r="AJ186" s="158"/>
      <c r="AK186" s="158"/>
    </row>
    <row r="187" spans="2:37" ht="10.5" customHeight="1">
      <c r="B187" s="282"/>
      <c r="C187" s="376" t="s">
        <v>1015</v>
      </c>
      <c r="D187" s="439">
        <v>56500</v>
      </c>
      <c r="E187" s="282"/>
      <c r="F187" s="282" t="s">
        <v>831</v>
      </c>
      <c r="G187" s="967" t="s">
        <v>1298</v>
      </c>
      <c r="H187" s="967" t="s">
        <v>1185</v>
      </c>
      <c r="I187" s="971" t="s">
        <v>1299</v>
      </c>
      <c r="J187" s="971" t="s">
        <v>2546</v>
      </c>
      <c r="K187" s="969" t="s">
        <v>1434</v>
      </c>
      <c r="L187" s="970" t="s">
        <v>416</v>
      </c>
      <c r="M187" s="1049" t="s">
        <v>1170</v>
      </c>
      <c r="N187" s="1049" t="s">
        <v>1299</v>
      </c>
      <c r="O187" s="1207" t="s">
        <v>3943</v>
      </c>
      <c r="P187" s="530" t="s">
        <v>440</v>
      </c>
      <c r="Q187" s="291"/>
      <c r="R187" s="170"/>
      <c r="S187" s="387"/>
      <c r="T187" s="491" t="s">
        <v>437</v>
      </c>
      <c r="U187" s="491" t="s">
        <v>1180</v>
      </c>
      <c r="W187" s="427" t="s">
        <v>2023</v>
      </c>
      <c r="X187" s="427" t="s">
        <v>3279</v>
      </c>
      <c r="Z187" s="427"/>
      <c r="AA187" s="158"/>
      <c r="AB187" s="158"/>
      <c r="AC187" s="889"/>
      <c r="AD187" s="502"/>
      <c r="AE187" s="158"/>
      <c r="AF187" s="158"/>
      <c r="AG187" s="158"/>
      <c r="AH187" s="158"/>
      <c r="AI187" s="158"/>
      <c r="AJ187" s="158"/>
      <c r="AK187" s="158"/>
    </row>
    <row r="188" spans="2:37" ht="10.5" customHeight="1">
      <c r="B188" s="282"/>
      <c r="C188" s="377" t="s">
        <v>1306</v>
      </c>
      <c r="D188" s="439">
        <v>35400</v>
      </c>
      <c r="E188" s="282"/>
      <c r="F188" s="282" t="s">
        <v>832</v>
      </c>
      <c r="G188" s="967" t="s">
        <v>1300</v>
      </c>
      <c r="H188" s="967" t="s">
        <v>1185</v>
      </c>
      <c r="I188" s="971" t="s">
        <v>1301</v>
      </c>
      <c r="J188" s="971" t="s">
        <v>2545</v>
      </c>
      <c r="K188" s="969" t="s">
        <v>2530</v>
      </c>
      <c r="L188" s="970" t="s">
        <v>415</v>
      </c>
      <c r="M188" s="1049" t="s">
        <v>2532</v>
      </c>
      <c r="N188" s="1049" t="s">
        <v>1299</v>
      </c>
      <c r="O188" s="1207" t="s">
        <v>3944</v>
      </c>
      <c r="P188" s="530" t="s">
        <v>2204</v>
      </c>
      <c r="Q188" s="291"/>
      <c r="R188" s="170"/>
      <c r="S188" s="387"/>
      <c r="T188" s="491" t="s">
        <v>439</v>
      </c>
      <c r="U188" s="491" t="s">
        <v>180</v>
      </c>
      <c r="W188" s="427" t="s">
        <v>1303</v>
      </c>
      <c r="X188" s="427" t="s">
        <v>3279</v>
      </c>
      <c r="Z188" s="427"/>
      <c r="AA188" s="158"/>
      <c r="AB188" s="158"/>
      <c r="AC188" s="889"/>
      <c r="AD188" s="502"/>
      <c r="AE188" s="158"/>
      <c r="AF188" s="158"/>
      <c r="AG188" s="158"/>
      <c r="AH188" s="158"/>
      <c r="AI188" s="158"/>
      <c r="AJ188" s="158"/>
      <c r="AK188" s="158"/>
    </row>
    <row r="189" spans="2:37" ht="10.5" customHeight="1">
      <c r="B189" s="282"/>
      <c r="C189" s="377" t="s">
        <v>712</v>
      </c>
      <c r="D189" s="439">
        <v>64400</v>
      </c>
      <c r="E189" s="282"/>
      <c r="F189" s="282" t="s">
        <v>834</v>
      </c>
      <c r="G189" s="967" t="s">
        <v>1302</v>
      </c>
      <c r="H189" s="967" t="s">
        <v>1185</v>
      </c>
      <c r="I189" s="971" t="s">
        <v>747</v>
      </c>
      <c r="J189" s="971" t="s">
        <v>2546</v>
      </c>
      <c r="K189" s="969" t="s">
        <v>2531</v>
      </c>
      <c r="L189" s="970" t="s">
        <v>416</v>
      </c>
      <c r="M189" s="1049" t="s">
        <v>2532</v>
      </c>
      <c r="N189" s="1049" t="s">
        <v>1303</v>
      </c>
      <c r="O189" s="1207" t="s">
        <v>3945</v>
      </c>
      <c r="P189" s="530" t="s">
        <v>2206</v>
      </c>
      <c r="Q189" s="291"/>
      <c r="R189" s="170"/>
      <c r="S189" s="387"/>
      <c r="T189" s="491" t="s">
        <v>441</v>
      </c>
      <c r="U189" s="491" t="s">
        <v>119</v>
      </c>
      <c r="W189" s="427" t="s">
        <v>2026</v>
      </c>
      <c r="X189" s="427" t="s">
        <v>3279</v>
      </c>
      <c r="Z189" s="427"/>
      <c r="AA189" s="158"/>
      <c r="AB189" s="158"/>
      <c r="AC189" s="889"/>
      <c r="AD189" s="502"/>
      <c r="AE189" s="158"/>
      <c r="AF189" s="158"/>
      <c r="AG189" s="158"/>
      <c r="AH189" s="158"/>
      <c r="AI189" s="158"/>
      <c r="AJ189" s="158"/>
      <c r="AK189" s="158"/>
    </row>
    <row r="190" spans="2:37" ht="10.5" customHeight="1">
      <c r="B190" s="282"/>
      <c r="C190" s="377" t="s">
        <v>714</v>
      </c>
      <c r="D190" s="439">
        <v>39500</v>
      </c>
      <c r="E190" s="282"/>
      <c r="F190" s="282" t="s">
        <v>835</v>
      </c>
      <c r="G190" s="967" t="s">
        <v>1304</v>
      </c>
      <c r="H190" s="967" t="s">
        <v>1284</v>
      </c>
      <c r="I190" s="971" t="s">
        <v>1015</v>
      </c>
      <c r="J190" s="971" t="s">
        <v>2546</v>
      </c>
      <c r="K190" s="969" t="s">
        <v>1231</v>
      </c>
      <c r="L190" s="970" t="s">
        <v>416</v>
      </c>
      <c r="M190" s="1049" t="s">
        <v>2532</v>
      </c>
      <c r="N190" s="1049" t="s">
        <v>1179</v>
      </c>
      <c r="O190" s="1207" t="s">
        <v>3946</v>
      </c>
      <c r="P190" s="530" t="s">
        <v>362</v>
      </c>
      <c r="Q190" s="291"/>
      <c r="R190" s="170"/>
      <c r="S190" s="387"/>
      <c r="T190" s="491" t="s">
        <v>2205</v>
      </c>
      <c r="U190" s="491" t="s">
        <v>2423</v>
      </c>
      <c r="W190" s="427" t="s">
        <v>2058</v>
      </c>
      <c r="X190" s="427" t="s">
        <v>3279</v>
      </c>
      <c r="Z190" s="427"/>
      <c r="AA190" s="158"/>
      <c r="AB190" s="158"/>
      <c r="AC190" s="889"/>
      <c r="AD190" s="502"/>
      <c r="AE190" s="158"/>
      <c r="AF190" s="158"/>
      <c r="AG190" s="158"/>
      <c r="AH190" s="158"/>
      <c r="AI190" s="158"/>
      <c r="AJ190" s="158"/>
      <c r="AK190" s="158"/>
    </row>
    <row r="191" spans="2:37" ht="10.5" customHeight="1">
      <c r="B191" s="282"/>
      <c r="C191" s="376" t="s">
        <v>154</v>
      </c>
      <c r="D191" s="439">
        <v>57400</v>
      </c>
      <c r="E191" s="282"/>
      <c r="F191" s="282" t="s">
        <v>836</v>
      </c>
      <c r="G191" s="967" t="s">
        <v>1305</v>
      </c>
      <c r="H191" s="967" t="s">
        <v>1185</v>
      </c>
      <c r="I191" s="968" t="s">
        <v>1306</v>
      </c>
      <c r="J191" s="968" t="s">
        <v>2545</v>
      </c>
      <c r="K191" s="969" t="s">
        <v>1232</v>
      </c>
      <c r="L191" s="970" t="s">
        <v>415</v>
      </c>
      <c r="M191" s="1049" t="s">
        <v>2532</v>
      </c>
      <c r="N191" s="1049" t="s">
        <v>1738</v>
      </c>
      <c r="O191" s="1207" t="s">
        <v>3947</v>
      </c>
      <c r="P191" s="530" t="s">
        <v>364</v>
      </c>
      <c r="Q191" s="291"/>
      <c r="R191" s="170"/>
      <c r="S191" s="387"/>
      <c r="T191" s="491" t="s">
        <v>1802</v>
      </c>
      <c r="U191" s="491" t="s">
        <v>2127</v>
      </c>
      <c r="W191" s="427" t="s">
        <v>2062</v>
      </c>
      <c r="X191" s="427" t="s">
        <v>3279</v>
      </c>
      <c r="Z191" s="427"/>
      <c r="AA191" s="158"/>
      <c r="AB191" s="158"/>
      <c r="AC191" s="889"/>
      <c r="AD191" s="502"/>
      <c r="AE191" s="158"/>
      <c r="AF191" s="158"/>
      <c r="AG191" s="158"/>
      <c r="AH191" s="158"/>
      <c r="AI191" s="158"/>
      <c r="AJ191" s="158"/>
      <c r="AK191" s="158"/>
    </row>
    <row r="192" spans="2:37" ht="10.5" customHeight="1">
      <c r="B192" s="282"/>
      <c r="C192" s="376" t="s">
        <v>1489</v>
      </c>
      <c r="D192" s="439">
        <v>70100</v>
      </c>
      <c r="E192" s="282"/>
      <c r="F192" s="282" t="s">
        <v>839</v>
      </c>
      <c r="G192" s="967" t="s">
        <v>1307</v>
      </c>
      <c r="H192" s="967" t="s">
        <v>1185</v>
      </c>
      <c r="I192" s="971" t="s">
        <v>712</v>
      </c>
      <c r="J192" s="971" t="s">
        <v>2545</v>
      </c>
      <c r="K192" s="969" t="s">
        <v>1233</v>
      </c>
      <c r="L192" s="970" t="s">
        <v>415</v>
      </c>
      <c r="M192" s="1049" t="s">
        <v>2532</v>
      </c>
      <c r="N192" s="1049" t="s">
        <v>1654</v>
      </c>
      <c r="O192" s="1207" t="s">
        <v>3948</v>
      </c>
      <c r="P192" s="530" t="s">
        <v>2479</v>
      </c>
      <c r="Q192" s="291"/>
      <c r="R192" s="170"/>
      <c r="S192" s="387"/>
      <c r="T192" s="491" t="s">
        <v>363</v>
      </c>
      <c r="U192" s="491" t="s">
        <v>2127</v>
      </c>
      <c r="W192" s="427" t="s">
        <v>1739</v>
      </c>
      <c r="X192" s="427" t="s">
        <v>3279</v>
      </c>
      <c r="Z192" s="427"/>
      <c r="AA192" s="158"/>
      <c r="AB192" s="158"/>
      <c r="AC192" s="889"/>
      <c r="AD192" s="502"/>
      <c r="AE192" s="158"/>
      <c r="AF192" s="158"/>
      <c r="AG192" s="158"/>
      <c r="AH192" s="158"/>
      <c r="AI192" s="158"/>
      <c r="AJ192" s="158"/>
      <c r="AK192" s="158"/>
    </row>
    <row r="193" spans="2:37" ht="10.5" customHeight="1">
      <c r="B193" s="282"/>
      <c r="C193" s="376" t="s">
        <v>159</v>
      </c>
      <c r="D193" s="439">
        <v>44500</v>
      </c>
      <c r="E193" s="282"/>
      <c r="F193" s="282" t="s">
        <v>838</v>
      </c>
      <c r="G193" s="967" t="s">
        <v>713</v>
      </c>
      <c r="H193" s="967" t="s">
        <v>1185</v>
      </c>
      <c r="I193" s="968" t="s">
        <v>714</v>
      </c>
      <c r="J193" s="968" t="s">
        <v>2545</v>
      </c>
      <c r="K193" s="969" t="s">
        <v>1669</v>
      </c>
      <c r="L193" s="970" t="s">
        <v>415</v>
      </c>
      <c r="M193" s="1049" t="s">
        <v>2532</v>
      </c>
      <c r="N193" s="1049" t="s">
        <v>1299</v>
      </c>
      <c r="O193" s="1207" t="s">
        <v>3949</v>
      </c>
      <c r="P193" s="530" t="s">
        <v>2481</v>
      </c>
      <c r="Q193" s="291"/>
      <c r="R193" s="170"/>
      <c r="S193" s="387"/>
      <c r="T193" s="491" t="s">
        <v>1184</v>
      </c>
      <c r="U193" s="491" t="s">
        <v>2462</v>
      </c>
      <c r="W193" s="427" t="s">
        <v>985</v>
      </c>
      <c r="X193" s="427" t="s">
        <v>3279</v>
      </c>
      <c r="Z193" s="427"/>
      <c r="AA193" s="158"/>
      <c r="AB193" s="158"/>
      <c r="AC193" s="889"/>
      <c r="AD193" s="502"/>
      <c r="AE193" s="158"/>
      <c r="AF193" s="158"/>
      <c r="AG193" s="158"/>
      <c r="AH193" s="158"/>
      <c r="AI193" s="158"/>
      <c r="AJ193" s="158"/>
      <c r="AK193" s="158"/>
    </row>
    <row r="194" spans="2:37" ht="10.5" customHeight="1">
      <c r="B194" s="282"/>
      <c r="C194" s="376" t="s">
        <v>2418</v>
      </c>
      <c r="D194" s="439">
        <v>37700</v>
      </c>
      <c r="E194" s="282"/>
      <c r="F194" s="282" t="s">
        <v>837</v>
      </c>
      <c r="G194" s="967" t="s">
        <v>715</v>
      </c>
      <c r="H194" s="967" t="s">
        <v>1284</v>
      </c>
      <c r="I194" s="971" t="s">
        <v>746</v>
      </c>
      <c r="J194" s="971" t="s">
        <v>2546</v>
      </c>
      <c r="K194" s="969" t="s">
        <v>2510</v>
      </c>
      <c r="L194" s="970" t="s">
        <v>416</v>
      </c>
      <c r="M194" s="1049" t="s">
        <v>1170</v>
      </c>
      <c r="N194" s="1049" t="s">
        <v>1179</v>
      </c>
      <c r="O194" s="1207" t="s">
        <v>3950</v>
      </c>
      <c r="P194" s="530" t="s">
        <v>2483</v>
      </c>
      <c r="Q194" s="291"/>
      <c r="R194" s="170"/>
      <c r="S194" s="387"/>
      <c r="T194" s="491" t="s">
        <v>2480</v>
      </c>
      <c r="U194" s="491" t="s">
        <v>2467</v>
      </c>
      <c r="W194" s="427" t="s">
        <v>2382</v>
      </c>
      <c r="X194" s="427" t="s">
        <v>3279</v>
      </c>
      <c r="Z194" s="427"/>
      <c r="AA194" s="158"/>
      <c r="AB194" s="158"/>
      <c r="AC194" s="889"/>
      <c r="AD194" s="502"/>
      <c r="AE194" s="158"/>
      <c r="AF194" s="158"/>
      <c r="AG194" s="158"/>
      <c r="AH194" s="158"/>
      <c r="AI194" s="158"/>
      <c r="AJ194" s="158"/>
      <c r="AK194" s="158"/>
    </row>
    <row r="195" spans="2:37" ht="10.5" customHeight="1">
      <c r="B195" s="282"/>
      <c r="C195" s="377" t="s">
        <v>2421</v>
      </c>
      <c r="D195" s="439">
        <v>39400</v>
      </c>
      <c r="E195" s="282"/>
      <c r="F195" s="282" t="s">
        <v>840</v>
      </c>
      <c r="G195" s="967" t="s">
        <v>1488</v>
      </c>
      <c r="H195" s="967" t="s">
        <v>1284</v>
      </c>
      <c r="I195" s="971" t="s">
        <v>1489</v>
      </c>
      <c r="J195" s="971" t="s">
        <v>2546</v>
      </c>
      <c r="K195" s="969" t="s">
        <v>1638</v>
      </c>
      <c r="L195" s="970" t="s">
        <v>416</v>
      </c>
      <c r="M195" s="1049" t="s">
        <v>2532</v>
      </c>
      <c r="N195" s="1049" t="s">
        <v>1489</v>
      </c>
      <c r="O195" s="1207" t="s">
        <v>3951</v>
      </c>
      <c r="P195" s="530" t="s">
        <v>2485</v>
      </c>
      <c r="Q195" s="291"/>
      <c r="R195" s="170"/>
      <c r="S195" s="387"/>
      <c r="T195" s="491" t="s">
        <v>2482</v>
      </c>
      <c r="U195" s="491" t="s">
        <v>1075</v>
      </c>
      <c r="W195" s="427" t="s">
        <v>2384</v>
      </c>
      <c r="X195" s="427" t="s">
        <v>3279</v>
      </c>
      <c r="Z195" s="427"/>
      <c r="AA195" s="158"/>
      <c r="AB195" s="158"/>
      <c r="AC195" s="889"/>
      <c r="AD195" s="502"/>
      <c r="AE195" s="158"/>
      <c r="AF195" s="158"/>
      <c r="AG195" s="158"/>
      <c r="AH195" s="158"/>
      <c r="AI195" s="158"/>
      <c r="AJ195" s="158"/>
      <c r="AK195" s="158"/>
    </row>
    <row r="196" spans="2:37" ht="10.5" customHeight="1">
      <c r="B196" s="282"/>
      <c r="C196" s="377" t="s">
        <v>2424</v>
      </c>
      <c r="D196" s="439">
        <v>46200</v>
      </c>
      <c r="E196" s="282"/>
      <c r="F196" s="282" t="s">
        <v>841</v>
      </c>
      <c r="G196" s="967" t="s">
        <v>153</v>
      </c>
      <c r="H196" s="967" t="s">
        <v>1185</v>
      </c>
      <c r="I196" s="968" t="s">
        <v>154</v>
      </c>
      <c r="J196" s="968" t="s">
        <v>2545</v>
      </c>
      <c r="K196" s="969" t="s">
        <v>1639</v>
      </c>
      <c r="L196" s="970" t="s">
        <v>415</v>
      </c>
      <c r="M196" s="1049" t="s">
        <v>2532</v>
      </c>
      <c r="N196" s="1049" t="s">
        <v>1654</v>
      </c>
      <c r="O196" s="1207" t="s">
        <v>3952</v>
      </c>
      <c r="P196" s="530" t="s">
        <v>2487</v>
      </c>
      <c r="Q196" s="291"/>
      <c r="R196" s="170"/>
      <c r="S196" s="387"/>
      <c r="T196" s="491" t="s">
        <v>2484</v>
      </c>
      <c r="U196" s="491" t="s">
        <v>318</v>
      </c>
      <c r="W196" s="427" t="s">
        <v>2386</v>
      </c>
      <c r="X196" s="427" t="s">
        <v>3279</v>
      </c>
      <c r="Z196" s="427"/>
      <c r="AA196" s="158"/>
      <c r="AB196" s="158"/>
      <c r="AC196" s="889"/>
      <c r="AD196" s="502"/>
      <c r="AE196" s="158"/>
      <c r="AF196" s="158"/>
      <c r="AG196" s="158"/>
      <c r="AH196" s="158"/>
      <c r="AI196" s="158"/>
      <c r="AJ196" s="158"/>
      <c r="AK196" s="158"/>
    </row>
    <row r="197" spans="2:37" ht="10.5" customHeight="1">
      <c r="B197" s="282"/>
      <c r="C197" s="377" t="s">
        <v>2461</v>
      </c>
      <c r="D197" s="439">
        <v>42000</v>
      </c>
      <c r="E197" s="282"/>
      <c r="F197" s="282" t="s">
        <v>1314</v>
      </c>
      <c r="G197" s="967" t="s">
        <v>155</v>
      </c>
      <c r="H197" s="967" t="s">
        <v>1752</v>
      </c>
      <c r="I197" s="971" t="s">
        <v>1299</v>
      </c>
      <c r="J197" s="971" t="s">
        <v>2546</v>
      </c>
      <c r="K197" s="969" t="s">
        <v>1434</v>
      </c>
      <c r="L197" s="970" t="s">
        <v>416</v>
      </c>
      <c r="M197" s="1049" t="s">
        <v>1170</v>
      </c>
      <c r="N197" s="1049" t="s">
        <v>1299</v>
      </c>
      <c r="O197" s="1207" t="s">
        <v>3953</v>
      </c>
      <c r="P197" s="530" t="s">
        <v>2489</v>
      </c>
      <c r="Q197" s="291"/>
      <c r="R197" s="170"/>
      <c r="S197" s="387"/>
      <c r="T197" s="491" t="s">
        <v>2486</v>
      </c>
      <c r="U197" s="491" t="s">
        <v>2420</v>
      </c>
      <c r="W197" s="427" t="s">
        <v>2389</v>
      </c>
      <c r="X197" s="427" t="s">
        <v>3279</v>
      </c>
      <c r="Z197" s="427"/>
      <c r="AA197" s="158"/>
      <c r="AB197" s="158"/>
      <c r="AC197" s="889"/>
      <c r="AD197" s="502"/>
      <c r="AE197" s="158"/>
      <c r="AF197" s="158"/>
      <c r="AG197" s="158"/>
      <c r="AH197" s="158"/>
      <c r="AI197" s="158"/>
      <c r="AJ197" s="158"/>
      <c r="AK197" s="158"/>
    </row>
    <row r="198" spans="2:37" ht="10.5" customHeight="1">
      <c r="B198" s="282"/>
      <c r="C198" s="376" t="s">
        <v>157</v>
      </c>
      <c r="D198" s="439">
        <v>59600</v>
      </c>
      <c r="E198" s="282"/>
      <c r="F198" s="282" t="s">
        <v>842</v>
      </c>
      <c r="G198" s="967" t="s">
        <v>156</v>
      </c>
      <c r="H198" s="967" t="s">
        <v>1185</v>
      </c>
      <c r="I198" s="971" t="s">
        <v>157</v>
      </c>
      <c r="J198" s="971" t="s">
        <v>2546</v>
      </c>
      <c r="K198" s="969" t="s">
        <v>1640</v>
      </c>
      <c r="L198" s="970" t="s">
        <v>416</v>
      </c>
      <c r="M198" s="1049" t="s">
        <v>2532</v>
      </c>
      <c r="N198" s="1049" t="s">
        <v>157</v>
      </c>
      <c r="O198" s="1207" t="s">
        <v>3954</v>
      </c>
      <c r="P198" s="530" t="s">
        <v>2490</v>
      </c>
      <c r="Q198" s="291"/>
      <c r="R198" s="170"/>
      <c r="S198" s="387"/>
      <c r="T198" s="491" t="s">
        <v>2488</v>
      </c>
      <c r="U198" s="491" t="s">
        <v>1305</v>
      </c>
      <c r="W198" s="427" t="s">
        <v>2175</v>
      </c>
      <c r="X198" s="427" t="s">
        <v>3279</v>
      </c>
      <c r="Z198" s="427"/>
      <c r="AA198" s="158"/>
      <c r="AB198" s="158"/>
      <c r="AC198" s="889"/>
      <c r="AD198" s="502"/>
      <c r="AE198" s="158"/>
      <c r="AF198" s="158"/>
      <c r="AG198" s="158"/>
      <c r="AH198" s="158"/>
      <c r="AI198" s="158"/>
      <c r="AJ198" s="158"/>
      <c r="AK198" s="158"/>
    </row>
    <row r="199" spans="2:37" ht="10.5" customHeight="1">
      <c r="B199" s="282"/>
      <c r="C199" s="377" t="s">
        <v>2464</v>
      </c>
      <c r="D199" s="439">
        <v>42000</v>
      </c>
      <c r="E199" s="282"/>
      <c r="F199" s="282" t="s">
        <v>1315</v>
      </c>
      <c r="G199" s="967" t="s">
        <v>158</v>
      </c>
      <c r="H199" s="967" t="s">
        <v>1284</v>
      </c>
      <c r="I199" s="968" t="s">
        <v>159</v>
      </c>
      <c r="J199" s="968" t="s">
        <v>2545</v>
      </c>
      <c r="K199" s="969" t="s">
        <v>1641</v>
      </c>
      <c r="L199" s="970" t="s">
        <v>415</v>
      </c>
      <c r="M199" s="1049" t="s">
        <v>2532</v>
      </c>
      <c r="N199" s="1049" t="s">
        <v>1489</v>
      </c>
      <c r="O199" s="1207" t="s">
        <v>3955</v>
      </c>
      <c r="P199" s="530" t="s">
        <v>2492</v>
      </c>
      <c r="Q199" s="291"/>
      <c r="R199" s="170"/>
      <c r="S199" s="387"/>
      <c r="T199" s="491" t="s">
        <v>2491</v>
      </c>
      <c r="U199" s="491" t="s">
        <v>2524</v>
      </c>
      <c r="W199" s="427" t="s">
        <v>2272</v>
      </c>
      <c r="X199" s="427" t="s">
        <v>3279</v>
      </c>
      <c r="Z199" s="427"/>
      <c r="AA199" s="158"/>
      <c r="AB199" s="158"/>
      <c r="AC199" s="889"/>
      <c r="AD199" s="502"/>
      <c r="AE199" s="158"/>
      <c r="AF199" s="158"/>
      <c r="AG199" s="158"/>
      <c r="AH199" s="158"/>
      <c r="AI199" s="158"/>
      <c r="AJ199" s="158"/>
      <c r="AK199" s="158"/>
    </row>
    <row r="200" spans="2:37" ht="10.5" customHeight="1">
      <c r="B200" s="282"/>
      <c r="C200" s="377" t="s">
        <v>189</v>
      </c>
      <c r="D200" s="439">
        <v>40100</v>
      </c>
      <c r="E200" s="282"/>
      <c r="F200" s="282" t="s">
        <v>1322</v>
      </c>
      <c r="G200" s="967" t="s">
        <v>160</v>
      </c>
      <c r="H200" s="967" t="s">
        <v>1284</v>
      </c>
      <c r="I200" s="971" t="s">
        <v>746</v>
      </c>
      <c r="J200" s="971" t="s">
        <v>2546</v>
      </c>
      <c r="K200" s="969" t="s">
        <v>2510</v>
      </c>
      <c r="L200" s="970" t="s">
        <v>416</v>
      </c>
      <c r="M200" s="1049" t="s">
        <v>1170</v>
      </c>
      <c r="N200" s="1049" t="s">
        <v>1179</v>
      </c>
      <c r="O200" s="1207" t="s">
        <v>3956</v>
      </c>
      <c r="P200" s="530" t="s">
        <v>409</v>
      </c>
      <c r="Q200" s="291"/>
      <c r="R200" s="170"/>
      <c r="S200" s="387"/>
      <c r="T200" s="491" t="s">
        <v>2493</v>
      </c>
      <c r="U200" s="491" t="s">
        <v>1870</v>
      </c>
      <c r="W200" s="427" t="s">
        <v>300</v>
      </c>
      <c r="X200" s="427" t="s">
        <v>3279</v>
      </c>
      <c r="Z200" s="427"/>
      <c r="AA200" s="158"/>
      <c r="AB200" s="158"/>
      <c r="AC200" s="889"/>
      <c r="AD200" s="502"/>
      <c r="AE200" s="158"/>
      <c r="AF200" s="158"/>
      <c r="AG200" s="158"/>
      <c r="AH200" s="158"/>
      <c r="AI200" s="158"/>
      <c r="AJ200" s="158"/>
      <c r="AK200" s="158"/>
    </row>
    <row r="201" spans="2:37" ht="10.5" customHeight="1">
      <c r="B201" s="282"/>
      <c r="C201" s="377" t="s">
        <v>330</v>
      </c>
      <c r="D201" s="439">
        <v>54400</v>
      </c>
      <c r="E201" s="282"/>
      <c r="F201" s="282" t="s">
        <v>1323</v>
      </c>
      <c r="G201" s="967" t="s">
        <v>161</v>
      </c>
      <c r="H201" s="967" t="s">
        <v>1284</v>
      </c>
      <c r="I201" s="968" t="s">
        <v>1995</v>
      </c>
      <c r="J201" s="968" t="s">
        <v>2546</v>
      </c>
      <c r="K201" s="969" t="s">
        <v>602</v>
      </c>
      <c r="L201" s="970" t="s">
        <v>416</v>
      </c>
      <c r="M201" s="1050" t="s">
        <v>1170</v>
      </c>
      <c r="N201" s="1050" t="s">
        <v>162</v>
      </c>
      <c r="O201" s="1207" t="s">
        <v>3957</v>
      </c>
      <c r="P201" s="530" t="s">
        <v>410</v>
      </c>
      <c r="Q201" s="291"/>
      <c r="R201" s="282"/>
      <c r="S201" s="387"/>
      <c r="T201" s="491" t="s">
        <v>162</v>
      </c>
      <c r="U201" s="491" t="s">
        <v>161</v>
      </c>
      <c r="W201" s="427" t="s">
        <v>9</v>
      </c>
      <c r="X201" s="427" t="s">
        <v>3279</v>
      </c>
      <c r="Z201" s="427"/>
      <c r="AA201" s="158"/>
      <c r="AB201" s="158"/>
      <c r="AC201" s="889"/>
      <c r="AD201" s="502"/>
      <c r="AE201" s="158"/>
      <c r="AF201" s="158"/>
      <c r="AG201" s="158"/>
      <c r="AH201" s="158"/>
      <c r="AI201" s="158"/>
      <c r="AJ201" s="158"/>
      <c r="AK201" s="158"/>
    </row>
    <row r="202" spans="2:37" ht="10.5" customHeight="1">
      <c r="B202" s="282"/>
      <c r="C202" s="376" t="s">
        <v>193</v>
      </c>
      <c r="D202" s="439">
        <v>48400</v>
      </c>
      <c r="E202" s="282"/>
      <c r="F202" s="282" t="s">
        <v>1316</v>
      </c>
      <c r="G202" s="967" t="s">
        <v>2417</v>
      </c>
      <c r="H202" s="967" t="s">
        <v>1185</v>
      </c>
      <c r="I202" s="968" t="s">
        <v>2418</v>
      </c>
      <c r="J202" s="968" t="s">
        <v>2545</v>
      </c>
      <c r="K202" s="969" t="s">
        <v>603</v>
      </c>
      <c r="L202" s="970" t="s">
        <v>415</v>
      </c>
      <c r="M202" s="1050" t="s">
        <v>2532</v>
      </c>
      <c r="N202" s="1050" t="s">
        <v>1738</v>
      </c>
      <c r="O202" s="1207" t="s">
        <v>3958</v>
      </c>
      <c r="P202" s="530" t="s">
        <v>758</v>
      </c>
      <c r="Q202" s="510"/>
      <c r="R202" s="170"/>
      <c r="S202" s="387"/>
      <c r="T202" s="491" t="s">
        <v>1179</v>
      </c>
      <c r="U202" s="491" t="s">
        <v>1180</v>
      </c>
      <c r="W202" s="427" t="s">
        <v>11</v>
      </c>
      <c r="X202" s="427" t="s">
        <v>3279</v>
      </c>
      <c r="Z202" s="427"/>
      <c r="AA202" s="158"/>
      <c r="AB202" s="158"/>
      <c r="AC202" s="889"/>
      <c r="AD202" s="502"/>
      <c r="AE202" s="158"/>
      <c r="AF202" s="158"/>
      <c r="AG202" s="158"/>
      <c r="AH202" s="158"/>
      <c r="AI202" s="158"/>
      <c r="AJ202" s="158"/>
      <c r="AK202" s="158"/>
    </row>
    <row r="203" spans="2:37" ht="10.5" customHeight="1">
      <c r="B203" s="282"/>
      <c r="C203" s="376" t="s">
        <v>930</v>
      </c>
      <c r="D203" s="439">
        <v>49600</v>
      </c>
      <c r="E203" s="282"/>
      <c r="F203" s="282" t="s">
        <v>1318</v>
      </c>
      <c r="G203" s="967" t="s">
        <v>2419</v>
      </c>
      <c r="H203" s="967" t="s">
        <v>1752</v>
      </c>
      <c r="I203" s="971" t="s">
        <v>746</v>
      </c>
      <c r="J203" s="971" t="s">
        <v>2546</v>
      </c>
      <c r="K203" s="969" t="s">
        <v>2510</v>
      </c>
      <c r="L203" s="970" t="s">
        <v>416</v>
      </c>
      <c r="M203" s="1049" t="s">
        <v>1170</v>
      </c>
      <c r="N203" s="1049" t="s">
        <v>1179</v>
      </c>
      <c r="O203" s="1207" t="s">
        <v>3959</v>
      </c>
      <c r="P203" s="530" t="s">
        <v>760</v>
      </c>
      <c r="Q203" s="510"/>
      <c r="R203" s="170"/>
      <c r="S203" s="387"/>
      <c r="T203" s="491" t="s">
        <v>759</v>
      </c>
      <c r="U203" s="491" t="s">
        <v>192</v>
      </c>
      <c r="W203" s="427" t="s">
        <v>57</v>
      </c>
      <c r="X203" s="427" t="s">
        <v>3279</v>
      </c>
      <c r="Z203" s="427"/>
      <c r="AA203" s="158"/>
      <c r="AB203" s="158"/>
      <c r="AC203" s="889"/>
      <c r="AD203" s="502"/>
      <c r="AE203" s="158"/>
      <c r="AF203" s="158"/>
      <c r="AG203" s="158"/>
      <c r="AH203" s="158"/>
      <c r="AI203" s="158"/>
      <c r="AJ203" s="158"/>
      <c r="AK203" s="158"/>
    </row>
    <row r="204" spans="2:37" ht="10.5" customHeight="1">
      <c r="B204" s="282"/>
      <c r="C204" s="377" t="s">
        <v>932</v>
      </c>
      <c r="D204" s="439">
        <v>48100</v>
      </c>
      <c r="E204" s="282"/>
      <c r="F204" s="282" t="s">
        <v>1319</v>
      </c>
      <c r="G204" s="967" t="s">
        <v>2420</v>
      </c>
      <c r="H204" s="967" t="s">
        <v>1185</v>
      </c>
      <c r="I204" s="968" t="s">
        <v>2421</v>
      </c>
      <c r="J204" s="968" t="s">
        <v>2545</v>
      </c>
      <c r="K204" s="969" t="s">
        <v>604</v>
      </c>
      <c r="L204" s="970" t="s">
        <v>415</v>
      </c>
      <c r="M204" s="1050" t="s">
        <v>2532</v>
      </c>
      <c r="N204" s="1050" t="s">
        <v>1654</v>
      </c>
      <c r="O204" s="1207" t="s">
        <v>3960</v>
      </c>
      <c r="P204" s="530" t="s">
        <v>2024</v>
      </c>
      <c r="Q204" s="510"/>
      <c r="R204" s="170"/>
      <c r="S204" s="387"/>
      <c r="T204" s="491" t="s">
        <v>2023</v>
      </c>
      <c r="U204" s="491" t="s">
        <v>1286</v>
      </c>
      <c r="W204" s="427" t="s">
        <v>59</v>
      </c>
      <c r="X204" s="427" t="s">
        <v>3279</v>
      </c>
      <c r="Z204" s="427"/>
      <c r="AA204" s="158"/>
      <c r="AB204" s="158"/>
      <c r="AC204" s="889"/>
      <c r="AD204" s="502"/>
      <c r="AE204" s="158"/>
      <c r="AF204" s="158"/>
      <c r="AG204" s="158"/>
      <c r="AH204" s="158"/>
      <c r="AI204" s="158"/>
      <c r="AJ204" s="158"/>
      <c r="AK204" s="158"/>
    </row>
    <row r="205" spans="2:37" ht="10.5" customHeight="1">
      <c r="B205" s="282"/>
      <c r="C205" s="376" t="s">
        <v>854</v>
      </c>
      <c r="D205" s="439">
        <v>38300</v>
      </c>
      <c r="E205" s="282"/>
      <c r="F205" s="282" t="s">
        <v>1320</v>
      </c>
      <c r="G205" s="967" t="s">
        <v>2422</v>
      </c>
      <c r="H205" s="967" t="s">
        <v>1752</v>
      </c>
      <c r="I205" s="971" t="s">
        <v>746</v>
      </c>
      <c r="J205" s="971" t="s">
        <v>2546</v>
      </c>
      <c r="K205" s="969" t="s">
        <v>2510</v>
      </c>
      <c r="L205" s="970" t="s">
        <v>416</v>
      </c>
      <c r="M205" s="1049" t="s">
        <v>1170</v>
      </c>
      <c r="N205" s="1049" t="s">
        <v>1179</v>
      </c>
      <c r="O205" s="1207" t="s">
        <v>3961</v>
      </c>
      <c r="P205" s="530" t="s">
        <v>2025</v>
      </c>
      <c r="Q205" s="510"/>
      <c r="R205" s="170"/>
      <c r="S205" s="387"/>
      <c r="T205" s="491" t="s">
        <v>1303</v>
      </c>
      <c r="U205" s="491" t="s">
        <v>1087</v>
      </c>
      <c r="W205" s="427" t="s">
        <v>346</v>
      </c>
      <c r="X205" s="427" t="s">
        <v>3279</v>
      </c>
      <c r="Z205" s="427"/>
      <c r="AA205" s="158"/>
      <c r="AB205" s="158"/>
      <c r="AC205" s="889"/>
      <c r="AD205" s="502"/>
      <c r="AE205" s="158"/>
      <c r="AF205" s="158"/>
      <c r="AG205" s="158"/>
      <c r="AH205" s="158"/>
      <c r="AI205" s="158"/>
      <c r="AJ205" s="158"/>
      <c r="AK205" s="158"/>
    </row>
    <row r="206" spans="2:37" ht="10.5" customHeight="1">
      <c r="B206" s="282"/>
      <c r="C206" s="377" t="s">
        <v>858</v>
      </c>
      <c r="D206" s="439">
        <v>46200</v>
      </c>
      <c r="E206" s="282"/>
      <c r="F206" s="282" t="s">
        <v>1317</v>
      </c>
      <c r="G206" s="967" t="s">
        <v>2423</v>
      </c>
      <c r="H206" s="967" t="s">
        <v>1185</v>
      </c>
      <c r="I206" s="968" t="s">
        <v>2424</v>
      </c>
      <c r="J206" s="968" t="s">
        <v>2545</v>
      </c>
      <c r="K206" s="969" t="s">
        <v>605</v>
      </c>
      <c r="L206" s="970" t="s">
        <v>415</v>
      </c>
      <c r="M206" s="1050" t="s">
        <v>2532</v>
      </c>
      <c r="N206" s="1050" t="s">
        <v>1654</v>
      </c>
      <c r="O206" s="1207" t="s">
        <v>3962</v>
      </c>
      <c r="P206" s="530" t="s">
        <v>2027</v>
      </c>
      <c r="Q206" s="510"/>
      <c r="R206" s="170"/>
      <c r="S206" s="387"/>
      <c r="T206" s="491" t="s">
        <v>2026</v>
      </c>
      <c r="U206" s="491" t="s">
        <v>2422</v>
      </c>
      <c r="W206" s="427" t="s">
        <v>350</v>
      </c>
      <c r="X206" s="427" t="s">
        <v>3279</v>
      </c>
      <c r="Z206" s="427"/>
      <c r="AA206" s="158"/>
      <c r="AB206" s="158"/>
      <c r="AC206" s="889"/>
      <c r="AD206" s="502"/>
      <c r="AE206" s="158"/>
      <c r="AF206" s="158"/>
      <c r="AG206" s="158"/>
      <c r="AH206" s="158"/>
      <c r="AI206" s="158"/>
      <c r="AJ206" s="158"/>
      <c r="AK206" s="158"/>
    </row>
    <row r="207" spans="2:37" ht="10.5" customHeight="1">
      <c r="B207" s="282"/>
      <c r="C207" s="377" t="s">
        <v>2186</v>
      </c>
      <c r="D207" s="439">
        <v>40200</v>
      </c>
      <c r="E207" s="282"/>
      <c r="F207" s="282" t="s">
        <v>1321</v>
      </c>
      <c r="G207" s="967" t="s">
        <v>2425</v>
      </c>
      <c r="H207" s="967" t="s">
        <v>1185</v>
      </c>
      <c r="I207" s="968" t="s">
        <v>2461</v>
      </c>
      <c r="J207" s="968" t="s">
        <v>2545</v>
      </c>
      <c r="K207" s="969" t="s">
        <v>606</v>
      </c>
      <c r="L207" s="970" t="s">
        <v>415</v>
      </c>
      <c r="M207" s="1050" t="s">
        <v>2532</v>
      </c>
      <c r="N207" s="1050" t="s">
        <v>1738</v>
      </c>
      <c r="O207" s="1207" t="s">
        <v>3963</v>
      </c>
      <c r="P207" s="530" t="s">
        <v>2057</v>
      </c>
      <c r="Q207" s="510"/>
      <c r="R207" s="170"/>
      <c r="S207" s="387"/>
      <c r="T207" s="491" t="s">
        <v>1952</v>
      </c>
      <c r="U207" s="491" t="s">
        <v>2123</v>
      </c>
      <c r="W207" s="427" t="s">
        <v>2232</v>
      </c>
      <c r="X207" s="427" t="s">
        <v>3279</v>
      </c>
      <c r="Z207" s="427"/>
      <c r="AA207" s="158"/>
      <c r="AB207" s="158"/>
      <c r="AC207" s="889"/>
      <c r="AD207" s="502"/>
      <c r="AE207" s="158"/>
      <c r="AF207" s="158"/>
      <c r="AG207" s="158"/>
      <c r="AH207" s="158"/>
      <c r="AI207" s="158"/>
      <c r="AJ207" s="158"/>
      <c r="AK207" s="158"/>
    </row>
    <row r="208" spans="2:37" ht="10.5" customHeight="1">
      <c r="B208" s="282"/>
      <c r="C208" s="377" t="s">
        <v>636</v>
      </c>
      <c r="D208" s="439">
        <v>51600</v>
      </c>
      <c r="E208" s="282"/>
      <c r="F208" s="282" t="s">
        <v>1324</v>
      </c>
      <c r="G208" s="967" t="s">
        <v>2462</v>
      </c>
      <c r="H208" s="967" t="s">
        <v>1284</v>
      </c>
      <c r="I208" s="971" t="s">
        <v>747</v>
      </c>
      <c r="J208" s="971" t="s">
        <v>2546</v>
      </c>
      <c r="K208" s="969" t="s">
        <v>2531</v>
      </c>
      <c r="L208" s="970" t="s">
        <v>416</v>
      </c>
      <c r="M208" s="1049" t="s">
        <v>2532</v>
      </c>
      <c r="N208" s="1049" t="s">
        <v>1303</v>
      </c>
      <c r="O208" s="1207" t="s">
        <v>3964</v>
      </c>
      <c r="P208" s="530" t="s">
        <v>2059</v>
      </c>
      <c r="Q208" s="510"/>
      <c r="R208" s="170"/>
      <c r="S208" s="387"/>
      <c r="T208" s="491" t="s">
        <v>2028</v>
      </c>
      <c r="U208" s="491" t="s">
        <v>323</v>
      </c>
      <c r="W208" s="427" t="s">
        <v>1305</v>
      </c>
      <c r="X208" s="427" t="s">
        <v>3279</v>
      </c>
      <c r="Z208" s="427"/>
      <c r="AA208" s="158"/>
      <c r="AB208" s="158"/>
      <c r="AC208" s="889"/>
      <c r="AD208" s="502"/>
      <c r="AE208" s="158"/>
      <c r="AF208" s="158"/>
      <c r="AG208" s="158"/>
      <c r="AH208" s="158"/>
      <c r="AI208" s="158"/>
      <c r="AJ208" s="158"/>
      <c r="AK208" s="158"/>
    </row>
    <row r="209" spans="2:37" ht="10.5" customHeight="1">
      <c r="B209" s="282"/>
      <c r="C209" s="377" t="s">
        <v>638</v>
      </c>
      <c r="D209" s="439">
        <v>53900</v>
      </c>
      <c r="E209" s="282"/>
      <c r="F209" s="282" t="s">
        <v>1325</v>
      </c>
      <c r="G209" s="967" t="s">
        <v>2463</v>
      </c>
      <c r="H209" s="967" t="s">
        <v>1185</v>
      </c>
      <c r="I209" s="968" t="s">
        <v>2464</v>
      </c>
      <c r="J209" s="968" t="s">
        <v>2545</v>
      </c>
      <c r="K209" s="969" t="s">
        <v>607</v>
      </c>
      <c r="L209" s="970" t="s">
        <v>415</v>
      </c>
      <c r="M209" s="1050" t="s">
        <v>2532</v>
      </c>
      <c r="N209" s="1050" t="s">
        <v>1654</v>
      </c>
      <c r="O209" s="1207" t="s">
        <v>3965</v>
      </c>
      <c r="P209" s="530" t="s">
        <v>2061</v>
      </c>
      <c r="Q209" s="510"/>
      <c r="R209" s="170"/>
      <c r="S209" s="387"/>
      <c r="T209" s="491" t="s">
        <v>2058</v>
      </c>
      <c r="U209" s="491" t="s">
        <v>610</v>
      </c>
      <c r="W209" s="427" t="s">
        <v>1527</v>
      </c>
      <c r="X209" s="427" t="s">
        <v>3279</v>
      </c>
      <c r="Z209" s="427"/>
      <c r="AA209" s="158"/>
      <c r="AB209" s="158"/>
      <c r="AC209" s="889"/>
      <c r="AD209" s="502"/>
      <c r="AE209" s="158"/>
      <c r="AF209" s="158"/>
      <c r="AG209" s="158"/>
      <c r="AH209" s="158"/>
      <c r="AI209" s="158"/>
      <c r="AJ209" s="158"/>
      <c r="AK209" s="158"/>
    </row>
    <row r="210" spans="2:37" ht="10.5" customHeight="1">
      <c r="B210" s="282"/>
      <c r="C210" s="377" t="s">
        <v>643</v>
      </c>
      <c r="D210" s="439">
        <v>49700</v>
      </c>
      <c r="E210" s="282"/>
      <c r="F210" s="282" t="s">
        <v>1326</v>
      </c>
      <c r="G210" s="967" t="s">
        <v>2465</v>
      </c>
      <c r="H210" s="967" t="s">
        <v>1185</v>
      </c>
      <c r="I210" s="971" t="s">
        <v>746</v>
      </c>
      <c r="J210" s="971" t="s">
        <v>2546</v>
      </c>
      <c r="K210" s="969" t="s">
        <v>2510</v>
      </c>
      <c r="L210" s="970" t="s">
        <v>416</v>
      </c>
      <c r="M210" s="1049" t="s">
        <v>1170</v>
      </c>
      <c r="N210" s="1049" t="s">
        <v>1179</v>
      </c>
      <c r="O210" s="1207" t="s">
        <v>3966</v>
      </c>
      <c r="P210" s="530" t="s">
        <v>2063</v>
      </c>
      <c r="Q210" s="510"/>
      <c r="R210" s="170"/>
      <c r="S210" s="387"/>
      <c r="T210" s="491" t="s">
        <v>2060</v>
      </c>
      <c r="U210" s="491" t="s">
        <v>1600</v>
      </c>
      <c r="W210" s="427" t="s">
        <v>1531</v>
      </c>
      <c r="X210" s="427" t="s">
        <v>3279</v>
      </c>
      <c r="Z210" s="427"/>
      <c r="AA210" s="158"/>
      <c r="AB210" s="158"/>
      <c r="AC210" s="889"/>
      <c r="AD210" s="502"/>
      <c r="AE210" s="158"/>
      <c r="AF210" s="158"/>
      <c r="AG210" s="158"/>
      <c r="AH210" s="158"/>
      <c r="AI210" s="158"/>
      <c r="AJ210" s="158"/>
      <c r="AK210" s="158"/>
    </row>
    <row r="211" spans="2:37" ht="10.5" customHeight="1">
      <c r="B211" s="282"/>
      <c r="C211" s="377" t="s">
        <v>1195</v>
      </c>
      <c r="D211" s="439">
        <v>66800</v>
      </c>
      <c r="E211" s="282"/>
      <c r="F211" s="282" t="s">
        <v>1327</v>
      </c>
      <c r="G211" s="967" t="s">
        <v>2466</v>
      </c>
      <c r="H211" s="967" t="s">
        <v>1284</v>
      </c>
      <c r="I211" s="971" t="s">
        <v>1293</v>
      </c>
      <c r="J211" s="971" t="s">
        <v>2546</v>
      </c>
      <c r="K211" s="969" t="s">
        <v>2513</v>
      </c>
      <c r="L211" s="970" t="s">
        <v>416</v>
      </c>
      <c r="M211" s="1049" t="s">
        <v>2532</v>
      </c>
      <c r="N211" s="1049" t="s">
        <v>1293</v>
      </c>
      <c r="O211" s="1207" t="s">
        <v>3967</v>
      </c>
      <c r="P211" s="530" t="s">
        <v>2473</v>
      </c>
      <c r="Q211" s="510"/>
      <c r="R211" s="170"/>
      <c r="S211" s="387"/>
      <c r="T211" s="491" t="s">
        <v>2062</v>
      </c>
      <c r="U211" s="491" t="s">
        <v>192</v>
      </c>
      <c r="W211" s="427" t="s">
        <v>1702</v>
      </c>
      <c r="X211" s="427" t="s">
        <v>3279</v>
      </c>
      <c r="Z211" s="427"/>
      <c r="AA211" s="158"/>
      <c r="AB211" s="158"/>
      <c r="AC211" s="889"/>
      <c r="AD211" s="502"/>
      <c r="AE211" s="158"/>
      <c r="AF211" s="158"/>
      <c r="AG211" s="158"/>
      <c r="AH211" s="158"/>
      <c r="AI211" s="158"/>
      <c r="AJ211" s="158"/>
      <c r="AK211" s="158"/>
    </row>
    <row r="212" spans="2:37" ht="10.5" customHeight="1">
      <c r="B212" s="282"/>
      <c r="C212" s="377" t="s">
        <v>645</v>
      </c>
      <c r="D212" s="439">
        <v>54900</v>
      </c>
      <c r="E212" s="282"/>
      <c r="F212" s="282" t="s">
        <v>1328</v>
      </c>
      <c r="G212" s="967" t="s">
        <v>2467</v>
      </c>
      <c r="H212" s="967" t="s">
        <v>1185</v>
      </c>
      <c r="I212" s="968" t="s">
        <v>189</v>
      </c>
      <c r="J212" s="968" t="s">
        <v>2545</v>
      </c>
      <c r="K212" s="969" t="s">
        <v>608</v>
      </c>
      <c r="L212" s="970" t="s">
        <v>415</v>
      </c>
      <c r="M212" s="1050" t="s">
        <v>2532</v>
      </c>
      <c r="N212" s="1050" t="s">
        <v>1738</v>
      </c>
      <c r="O212" s="1207" t="s">
        <v>3968</v>
      </c>
      <c r="P212" s="530" t="s">
        <v>984</v>
      </c>
      <c r="Q212" s="510"/>
      <c r="R212" s="170"/>
      <c r="S212" s="387"/>
      <c r="T212" s="491" t="s">
        <v>1739</v>
      </c>
      <c r="U212" s="491" t="s">
        <v>119</v>
      </c>
      <c r="W212" s="427" t="s">
        <v>1000</v>
      </c>
      <c r="X212" s="427" t="s">
        <v>3279</v>
      </c>
      <c r="Z212" s="427"/>
      <c r="AA212" s="158"/>
      <c r="AB212" s="158"/>
      <c r="AC212" s="889"/>
      <c r="AD212" s="502"/>
      <c r="AE212" s="158"/>
      <c r="AF212" s="158"/>
      <c r="AG212" s="158"/>
      <c r="AH212" s="158"/>
      <c r="AI212" s="158"/>
      <c r="AJ212" s="158"/>
      <c r="AK212" s="158"/>
    </row>
    <row r="213" spans="2:37" ht="10.5" customHeight="1">
      <c r="B213" s="282"/>
      <c r="C213" s="377" t="s">
        <v>647</v>
      </c>
      <c r="D213" s="439">
        <v>55300</v>
      </c>
      <c r="E213" s="282"/>
      <c r="F213" s="282" t="s">
        <v>1329</v>
      </c>
      <c r="G213" s="967" t="s">
        <v>190</v>
      </c>
      <c r="H213" s="967" t="s">
        <v>1284</v>
      </c>
      <c r="I213" s="971" t="s">
        <v>1489</v>
      </c>
      <c r="J213" s="971" t="s">
        <v>2546</v>
      </c>
      <c r="K213" s="969" t="s">
        <v>1638</v>
      </c>
      <c r="L213" s="970" t="s">
        <v>416</v>
      </c>
      <c r="M213" s="1049" t="s">
        <v>2532</v>
      </c>
      <c r="N213" s="1049" t="s">
        <v>1489</v>
      </c>
      <c r="O213" s="1207" t="s">
        <v>3969</v>
      </c>
      <c r="P213" s="530" t="s">
        <v>1955</v>
      </c>
      <c r="Q213" s="510"/>
      <c r="R213" s="170"/>
      <c r="S213" s="387"/>
      <c r="T213" s="491" t="s">
        <v>2474</v>
      </c>
      <c r="U213" s="491" t="s">
        <v>160</v>
      </c>
      <c r="W213" s="427" t="s">
        <v>1003</v>
      </c>
      <c r="X213" s="427" t="s">
        <v>3279</v>
      </c>
      <c r="Z213" s="427"/>
      <c r="AA213" s="158"/>
      <c r="AB213" s="158"/>
      <c r="AC213" s="889"/>
      <c r="AD213" s="502"/>
      <c r="AE213" s="158"/>
      <c r="AF213" s="158"/>
      <c r="AG213" s="158"/>
      <c r="AH213" s="158"/>
      <c r="AI213" s="158"/>
      <c r="AJ213" s="158"/>
      <c r="AK213" s="158"/>
    </row>
    <row r="214" spans="2:37" ht="10.5" customHeight="1">
      <c r="B214" s="282"/>
      <c r="C214" s="377" t="s">
        <v>650</v>
      </c>
      <c r="D214" s="439">
        <v>48800</v>
      </c>
      <c r="E214" s="282"/>
      <c r="F214" s="282" t="s">
        <v>1330</v>
      </c>
      <c r="G214" s="967" t="s">
        <v>191</v>
      </c>
      <c r="H214" s="967" t="s">
        <v>1284</v>
      </c>
      <c r="I214" s="971" t="s">
        <v>746</v>
      </c>
      <c r="J214" s="971" t="s">
        <v>2546</v>
      </c>
      <c r="K214" s="969" t="s">
        <v>2510</v>
      </c>
      <c r="L214" s="970" t="s">
        <v>416</v>
      </c>
      <c r="M214" s="1049" t="s">
        <v>1170</v>
      </c>
      <c r="N214" s="1049" t="s">
        <v>1179</v>
      </c>
      <c r="O214" s="1207" t="s">
        <v>3970</v>
      </c>
      <c r="P214" s="530" t="s">
        <v>13</v>
      </c>
      <c r="Q214" s="510"/>
      <c r="R214" s="170"/>
      <c r="S214" s="387"/>
      <c r="T214" s="491" t="s">
        <v>985</v>
      </c>
      <c r="U214" s="491" t="s">
        <v>421</v>
      </c>
      <c r="W214" s="427" t="s">
        <v>1714</v>
      </c>
      <c r="X214" s="427" t="s">
        <v>3279</v>
      </c>
      <c r="Z214" s="427"/>
      <c r="AA214" s="158"/>
      <c r="AB214" s="158"/>
      <c r="AC214" s="889"/>
      <c r="AD214" s="502"/>
      <c r="AE214" s="158"/>
      <c r="AF214" s="158"/>
      <c r="AG214" s="158"/>
      <c r="AH214" s="158"/>
      <c r="AI214" s="158"/>
      <c r="AJ214" s="158"/>
      <c r="AK214" s="158"/>
    </row>
    <row r="215" spans="2:37" ht="10.5" customHeight="1">
      <c r="B215" s="282"/>
      <c r="C215" s="377" t="s">
        <v>652</v>
      </c>
      <c r="D215" s="439">
        <v>43400</v>
      </c>
      <c r="E215" s="282"/>
      <c r="F215" s="282" t="s">
        <v>1331</v>
      </c>
      <c r="G215" s="967" t="s">
        <v>192</v>
      </c>
      <c r="H215" s="967" t="s">
        <v>1185</v>
      </c>
      <c r="I215" s="968" t="s">
        <v>193</v>
      </c>
      <c r="J215" s="968" t="s">
        <v>2545</v>
      </c>
      <c r="K215" s="969" t="s">
        <v>609</v>
      </c>
      <c r="L215" s="970" t="s">
        <v>415</v>
      </c>
      <c r="M215" s="1050" t="s">
        <v>2532</v>
      </c>
      <c r="N215" s="1050" t="s">
        <v>1738</v>
      </c>
      <c r="O215" s="1207" t="s">
        <v>3971</v>
      </c>
      <c r="P215" s="530" t="s">
        <v>2178</v>
      </c>
      <c r="Q215" s="510"/>
      <c r="R215" s="170"/>
      <c r="S215" s="387"/>
      <c r="T215" s="491" t="s">
        <v>1287</v>
      </c>
      <c r="U215" s="491" t="s">
        <v>323</v>
      </c>
      <c r="W215" s="427" t="s">
        <v>2016</v>
      </c>
      <c r="X215" s="427" t="s">
        <v>3279</v>
      </c>
      <c r="Z215" s="427"/>
      <c r="AA215" s="158"/>
      <c r="AB215" s="158"/>
      <c r="AC215" s="889"/>
      <c r="AD215" s="502"/>
      <c r="AE215" s="158"/>
      <c r="AF215" s="158"/>
      <c r="AG215" s="158"/>
      <c r="AH215" s="158"/>
      <c r="AI215" s="158"/>
      <c r="AJ215" s="158"/>
      <c r="AK215" s="158"/>
    </row>
    <row r="216" spans="2:37" ht="10.5" customHeight="1">
      <c r="B216" s="282"/>
      <c r="C216" s="377" t="s">
        <v>654</v>
      </c>
      <c r="D216" s="439">
        <v>57900</v>
      </c>
      <c r="E216" s="282"/>
      <c r="F216" s="282" t="s">
        <v>1332</v>
      </c>
      <c r="G216" s="967" t="s">
        <v>194</v>
      </c>
      <c r="H216" s="967" t="s">
        <v>1752</v>
      </c>
      <c r="I216" s="971" t="s">
        <v>746</v>
      </c>
      <c r="J216" s="971" t="s">
        <v>2546</v>
      </c>
      <c r="K216" s="969" t="s">
        <v>2510</v>
      </c>
      <c r="L216" s="970" t="s">
        <v>416</v>
      </c>
      <c r="M216" s="1049" t="s">
        <v>1170</v>
      </c>
      <c r="N216" s="1049" t="s">
        <v>1179</v>
      </c>
      <c r="O216" s="1207" t="s">
        <v>3972</v>
      </c>
      <c r="P216" s="530" t="s">
        <v>2180</v>
      </c>
      <c r="Q216" s="510"/>
      <c r="R216" s="170"/>
      <c r="S216" s="387"/>
      <c r="T216" s="491" t="s">
        <v>14</v>
      </c>
      <c r="U216" s="491" t="s">
        <v>1627</v>
      </c>
      <c r="W216" s="427" t="s">
        <v>2018</v>
      </c>
      <c r="X216" s="427" t="s">
        <v>3279</v>
      </c>
      <c r="Z216" s="427"/>
      <c r="AA216" s="158"/>
      <c r="AB216" s="158"/>
      <c r="AC216" s="889"/>
      <c r="AD216" s="502"/>
      <c r="AE216" s="158"/>
      <c r="AF216" s="158"/>
      <c r="AG216" s="158"/>
      <c r="AH216" s="158"/>
      <c r="AI216" s="158"/>
      <c r="AJ216" s="158"/>
      <c r="AK216" s="158"/>
    </row>
    <row r="217" spans="2:37" ht="10.5" customHeight="1">
      <c r="B217" s="282"/>
      <c r="C217" s="377" t="s">
        <v>120</v>
      </c>
      <c r="D217" s="439">
        <v>54000</v>
      </c>
      <c r="E217" s="282"/>
      <c r="F217" s="282" t="s">
        <v>1333</v>
      </c>
      <c r="G217" s="967" t="s">
        <v>195</v>
      </c>
      <c r="H217" s="967" t="s">
        <v>1185</v>
      </c>
      <c r="I217" s="968" t="s">
        <v>930</v>
      </c>
      <c r="J217" s="968" t="s">
        <v>2545</v>
      </c>
      <c r="K217" s="969" t="s">
        <v>1911</v>
      </c>
      <c r="L217" s="970" t="s">
        <v>415</v>
      </c>
      <c r="M217" s="1050" t="s">
        <v>2532</v>
      </c>
      <c r="N217" s="1050" t="s">
        <v>1293</v>
      </c>
      <c r="O217" s="1207" t="s">
        <v>3973</v>
      </c>
      <c r="P217" s="530" t="s">
        <v>2182</v>
      </c>
      <c r="Q217" s="510"/>
      <c r="R217" s="170"/>
      <c r="S217" s="387"/>
      <c r="T217" s="531" t="s">
        <v>2179</v>
      </c>
      <c r="U217" s="531" t="s">
        <v>1184</v>
      </c>
      <c r="W217" s="427" t="s">
        <v>658</v>
      </c>
      <c r="X217" s="427" t="s">
        <v>3279</v>
      </c>
      <c r="Z217" s="427"/>
      <c r="AA217" s="158"/>
      <c r="AB217" s="158"/>
      <c r="AC217" s="890"/>
      <c r="AD217" s="502"/>
      <c r="AE217" s="158"/>
      <c r="AF217" s="158"/>
      <c r="AG217" s="158"/>
      <c r="AH217" s="158"/>
      <c r="AI217" s="158"/>
      <c r="AJ217" s="158"/>
      <c r="AK217" s="158"/>
    </row>
    <row r="218" spans="2:37" ht="10.5" customHeight="1">
      <c r="B218" s="282"/>
      <c r="C218" s="377" t="s">
        <v>308</v>
      </c>
      <c r="D218" s="439">
        <v>32900</v>
      </c>
      <c r="E218" s="282"/>
      <c r="F218" s="282" t="s">
        <v>1335</v>
      </c>
      <c r="G218" s="967" t="s">
        <v>931</v>
      </c>
      <c r="H218" s="967" t="s">
        <v>1185</v>
      </c>
      <c r="I218" s="968" t="s">
        <v>932</v>
      </c>
      <c r="J218" s="968" t="s">
        <v>2545</v>
      </c>
      <c r="K218" s="969" t="s">
        <v>1912</v>
      </c>
      <c r="L218" s="970" t="s">
        <v>415</v>
      </c>
      <c r="M218" s="1050" t="s">
        <v>2532</v>
      </c>
      <c r="N218" s="1050" t="s">
        <v>1738</v>
      </c>
      <c r="O218" s="1207" t="s">
        <v>3974</v>
      </c>
      <c r="P218" s="530" t="s">
        <v>2211</v>
      </c>
      <c r="Q218" s="510"/>
      <c r="R218" s="170"/>
      <c r="S218" s="387"/>
      <c r="T218" s="491" t="s">
        <v>2181</v>
      </c>
      <c r="U218" s="491" t="s">
        <v>2187</v>
      </c>
      <c r="W218" s="427" t="s">
        <v>1221</v>
      </c>
      <c r="X218" s="427" t="s">
        <v>3279</v>
      </c>
      <c r="Z218" s="427"/>
      <c r="AA218" s="158"/>
      <c r="AB218" s="158"/>
      <c r="AC218" s="889"/>
      <c r="AD218" s="502"/>
      <c r="AE218" s="158"/>
      <c r="AF218" s="158"/>
      <c r="AG218" s="158"/>
      <c r="AH218" s="158"/>
      <c r="AI218" s="158"/>
      <c r="AJ218" s="158"/>
      <c r="AK218" s="158"/>
    </row>
    <row r="219" spans="2:37" ht="10.5" customHeight="1">
      <c r="B219" s="282"/>
      <c r="C219" s="377" t="s">
        <v>748</v>
      </c>
      <c r="D219" s="439">
        <v>54600</v>
      </c>
      <c r="E219" s="282"/>
      <c r="F219" s="282" t="s">
        <v>1334</v>
      </c>
      <c r="G219" s="967" t="s">
        <v>933</v>
      </c>
      <c r="H219" s="967" t="s">
        <v>1185</v>
      </c>
      <c r="I219" s="971" t="s">
        <v>1738</v>
      </c>
      <c r="J219" s="971" t="s">
        <v>2546</v>
      </c>
      <c r="K219" s="969" t="s">
        <v>1139</v>
      </c>
      <c r="L219" s="970" t="s">
        <v>416</v>
      </c>
      <c r="M219" s="1050" t="s">
        <v>1170</v>
      </c>
      <c r="N219" s="1050" t="s">
        <v>1738</v>
      </c>
      <c r="O219" s="1207" t="s">
        <v>3975</v>
      </c>
      <c r="P219" s="530" t="s">
        <v>1729</v>
      </c>
      <c r="Q219" s="510"/>
      <c r="R219" s="170"/>
      <c r="S219" s="387"/>
      <c r="T219" s="491" t="s">
        <v>2495</v>
      </c>
      <c r="U219" s="491" t="s">
        <v>610</v>
      </c>
      <c r="W219" s="427" t="s">
        <v>1223</v>
      </c>
      <c r="X219" s="427" t="s">
        <v>3279</v>
      </c>
      <c r="Z219" s="427"/>
      <c r="AA219" s="158"/>
      <c r="AB219" s="158"/>
      <c r="AC219" s="889"/>
      <c r="AD219" s="502"/>
      <c r="AE219" s="158"/>
      <c r="AF219" s="158"/>
      <c r="AG219" s="158"/>
      <c r="AH219" s="158"/>
      <c r="AI219" s="158"/>
      <c r="AJ219" s="158"/>
      <c r="AK219" s="158"/>
    </row>
    <row r="220" spans="2:37" ht="10.5" customHeight="1">
      <c r="B220" s="282"/>
      <c r="C220" s="377" t="s">
        <v>312</v>
      </c>
      <c r="D220" s="439">
        <v>50900</v>
      </c>
      <c r="E220" s="282"/>
      <c r="F220" s="282" t="s">
        <v>1336</v>
      </c>
      <c r="G220" s="967" t="s">
        <v>852</v>
      </c>
      <c r="H220" s="967" t="s">
        <v>1284</v>
      </c>
      <c r="I220" s="971" t="s">
        <v>746</v>
      </c>
      <c r="J220" s="971" t="s">
        <v>2546</v>
      </c>
      <c r="K220" s="969" t="s">
        <v>2510</v>
      </c>
      <c r="L220" s="970" t="s">
        <v>416</v>
      </c>
      <c r="M220" s="1049" t="s">
        <v>1170</v>
      </c>
      <c r="N220" s="1049" t="s">
        <v>1179</v>
      </c>
      <c r="O220" s="1207" t="s">
        <v>3976</v>
      </c>
      <c r="P220" s="530" t="s">
        <v>1731</v>
      </c>
      <c r="Q220" s="510"/>
      <c r="R220" s="170"/>
      <c r="S220" s="387"/>
      <c r="T220" s="491" t="s">
        <v>2183</v>
      </c>
      <c r="U220" s="491" t="s">
        <v>118</v>
      </c>
      <c r="W220" s="427" t="s">
        <v>2419</v>
      </c>
      <c r="X220" s="427" t="s">
        <v>3279</v>
      </c>
      <c r="Z220" s="427"/>
      <c r="AA220" s="158"/>
      <c r="AB220" s="158"/>
      <c r="AC220" s="889"/>
      <c r="AD220" s="502"/>
      <c r="AE220" s="158"/>
      <c r="AF220" s="158"/>
      <c r="AG220" s="158"/>
      <c r="AH220" s="158"/>
      <c r="AI220" s="158"/>
      <c r="AJ220" s="158"/>
      <c r="AK220" s="158"/>
    </row>
    <row r="221" spans="2:37" ht="10.5" customHeight="1">
      <c r="B221" s="282"/>
      <c r="C221" s="377" t="s">
        <v>1016</v>
      </c>
      <c r="D221" s="439">
        <v>52400</v>
      </c>
      <c r="E221" s="282"/>
      <c r="F221" s="282" t="s">
        <v>1338</v>
      </c>
      <c r="G221" s="967" t="s">
        <v>853</v>
      </c>
      <c r="H221" s="967" t="s">
        <v>1185</v>
      </c>
      <c r="I221" s="968" t="s">
        <v>854</v>
      </c>
      <c r="J221" s="968" t="s">
        <v>2545</v>
      </c>
      <c r="K221" s="969" t="s">
        <v>1913</v>
      </c>
      <c r="L221" s="970" t="s">
        <v>415</v>
      </c>
      <c r="M221" s="1050" t="s">
        <v>2532</v>
      </c>
      <c r="N221" s="1050" t="s">
        <v>1738</v>
      </c>
      <c r="O221" s="1207" t="s">
        <v>3977</v>
      </c>
      <c r="P221" s="530" t="s">
        <v>2108</v>
      </c>
      <c r="Q221" s="510"/>
      <c r="R221" s="170"/>
      <c r="S221" s="387"/>
      <c r="T221" s="491" t="s">
        <v>1706</v>
      </c>
      <c r="U221" s="491" t="s">
        <v>2425</v>
      </c>
      <c r="W221" s="427" t="s">
        <v>2428</v>
      </c>
      <c r="X221" s="427" t="s">
        <v>3279</v>
      </c>
      <c r="Z221" s="427"/>
      <c r="AA221" s="158"/>
      <c r="AB221" s="158"/>
      <c r="AC221" s="889"/>
      <c r="AD221" s="502"/>
      <c r="AE221" s="158"/>
      <c r="AF221" s="158"/>
      <c r="AG221" s="158"/>
      <c r="AH221" s="158"/>
      <c r="AI221" s="158"/>
      <c r="AJ221" s="158"/>
      <c r="AK221" s="158"/>
    </row>
    <row r="222" spans="2:37" ht="10.5" customHeight="1">
      <c r="B222" s="282"/>
      <c r="C222" s="377" t="s">
        <v>317</v>
      </c>
      <c r="D222" s="439">
        <v>47000</v>
      </c>
      <c r="E222" s="282"/>
      <c r="F222" s="282" t="s">
        <v>1337</v>
      </c>
      <c r="G222" s="967" t="s">
        <v>855</v>
      </c>
      <c r="H222" s="967" t="s">
        <v>1185</v>
      </c>
      <c r="I222" s="968" t="s">
        <v>1654</v>
      </c>
      <c r="J222" s="968" t="s">
        <v>2546</v>
      </c>
      <c r="K222" s="969" t="s">
        <v>2516</v>
      </c>
      <c r="L222" s="970" t="s">
        <v>416</v>
      </c>
      <c r="M222" s="1049" t="s">
        <v>2532</v>
      </c>
      <c r="N222" s="1049" t="s">
        <v>1654</v>
      </c>
      <c r="O222" s="1207" t="s">
        <v>3978</v>
      </c>
      <c r="P222" s="530" t="s">
        <v>2109</v>
      </c>
      <c r="Q222" s="510"/>
      <c r="R222" s="170"/>
      <c r="S222" s="387"/>
      <c r="T222" s="491" t="s">
        <v>1730</v>
      </c>
      <c r="U222" s="491" t="s">
        <v>1286</v>
      </c>
      <c r="W222" s="427" t="s">
        <v>85</v>
      </c>
      <c r="X222" s="427" t="s">
        <v>3279</v>
      </c>
      <c r="Z222" s="427"/>
      <c r="AA222" s="158"/>
      <c r="AB222" s="158"/>
      <c r="AC222" s="889"/>
      <c r="AD222" s="502"/>
      <c r="AE222" s="158"/>
      <c r="AF222" s="158"/>
      <c r="AG222" s="158"/>
      <c r="AH222" s="158"/>
      <c r="AI222" s="158"/>
      <c r="AJ222" s="158"/>
      <c r="AK222" s="158"/>
    </row>
    <row r="223" spans="2:37" ht="10.5" customHeight="1">
      <c r="B223" s="282"/>
      <c r="C223" s="376" t="s">
        <v>319</v>
      </c>
      <c r="D223" s="439">
        <v>66900</v>
      </c>
      <c r="E223" s="282"/>
      <c r="F223" s="282" t="s">
        <v>1339</v>
      </c>
      <c r="G223" s="967" t="s">
        <v>856</v>
      </c>
      <c r="H223" s="967" t="s">
        <v>1185</v>
      </c>
      <c r="I223" s="971" t="s">
        <v>1299</v>
      </c>
      <c r="J223" s="971" t="s">
        <v>2546</v>
      </c>
      <c r="K223" s="969" t="s">
        <v>1434</v>
      </c>
      <c r="L223" s="970" t="s">
        <v>416</v>
      </c>
      <c r="M223" s="1049" t="s">
        <v>2532</v>
      </c>
      <c r="N223" s="1049" t="s">
        <v>1299</v>
      </c>
      <c r="O223" s="1207" t="s">
        <v>3979</v>
      </c>
      <c r="P223" s="530" t="s">
        <v>2381</v>
      </c>
      <c r="Q223" s="291"/>
      <c r="R223" s="170"/>
      <c r="S223" s="387"/>
      <c r="T223" s="491" t="s">
        <v>1732</v>
      </c>
      <c r="U223" s="491" t="s">
        <v>1961</v>
      </c>
      <c r="W223" s="427" t="s">
        <v>1208</v>
      </c>
      <c r="X223" s="427" t="s">
        <v>3279</v>
      </c>
      <c r="Z223" s="427"/>
      <c r="AA223" s="158"/>
      <c r="AB223" s="158"/>
      <c r="AC223" s="889"/>
      <c r="AD223" s="889"/>
      <c r="AE223" s="158"/>
      <c r="AF223" s="158"/>
      <c r="AG223" s="158"/>
      <c r="AH223" s="158"/>
      <c r="AI223" s="158"/>
      <c r="AJ223" s="158"/>
      <c r="AK223" s="158"/>
    </row>
    <row r="224" spans="2:37" ht="10.5" customHeight="1">
      <c r="B224" s="282"/>
      <c r="C224" s="377" t="s">
        <v>322</v>
      </c>
      <c r="D224" s="439">
        <v>44100</v>
      </c>
      <c r="E224" s="282"/>
      <c r="F224" s="532"/>
      <c r="G224" s="967" t="s">
        <v>857</v>
      </c>
      <c r="H224" s="967" t="s">
        <v>1284</v>
      </c>
      <c r="I224" s="968" t="s">
        <v>858</v>
      </c>
      <c r="J224" s="968" t="s">
        <v>2545</v>
      </c>
      <c r="K224" s="969" t="s">
        <v>1308</v>
      </c>
      <c r="L224" s="970" t="s">
        <v>415</v>
      </c>
      <c r="M224" s="1050" t="s">
        <v>2532</v>
      </c>
      <c r="N224" s="1050" t="s">
        <v>162</v>
      </c>
      <c r="O224" s="1207" t="s">
        <v>3980</v>
      </c>
      <c r="P224" s="530" t="s">
        <v>2383</v>
      </c>
      <c r="Q224" s="291"/>
      <c r="R224" s="170"/>
      <c r="S224" s="387"/>
      <c r="T224" s="491" t="s">
        <v>805</v>
      </c>
      <c r="U224" s="491" t="s">
        <v>2521</v>
      </c>
      <c r="W224" s="427" t="s">
        <v>157</v>
      </c>
      <c r="X224" s="427" t="s">
        <v>3279</v>
      </c>
      <c r="Z224" s="427"/>
      <c r="AA224" s="158"/>
      <c r="AB224" s="158"/>
      <c r="AC224" s="889"/>
      <c r="AD224" s="502"/>
      <c r="AE224" s="158"/>
      <c r="AF224" s="158"/>
      <c r="AG224" s="158"/>
      <c r="AH224" s="158"/>
      <c r="AI224" s="158"/>
      <c r="AJ224" s="158"/>
      <c r="AK224" s="158"/>
    </row>
    <row r="225" spans="2:37" ht="10.5" customHeight="1">
      <c r="B225" s="282"/>
      <c r="C225" s="376" t="s">
        <v>324</v>
      </c>
      <c r="D225" s="439">
        <v>43700</v>
      </c>
      <c r="E225" s="282"/>
      <c r="F225" s="532"/>
      <c r="G225" s="967" t="s">
        <v>2185</v>
      </c>
      <c r="H225" s="967" t="s">
        <v>1185</v>
      </c>
      <c r="I225" s="968" t="s">
        <v>2186</v>
      </c>
      <c r="J225" s="968" t="s">
        <v>2545</v>
      </c>
      <c r="K225" s="969" t="s">
        <v>1309</v>
      </c>
      <c r="L225" s="970" t="s">
        <v>415</v>
      </c>
      <c r="M225" s="1050" t="s">
        <v>2532</v>
      </c>
      <c r="N225" s="1050" t="s">
        <v>1303</v>
      </c>
      <c r="O225" s="1207" t="s">
        <v>3981</v>
      </c>
      <c r="P225" s="530" t="s">
        <v>2385</v>
      </c>
      <c r="Q225" s="291"/>
      <c r="R225" s="170"/>
      <c r="S225" s="387"/>
      <c r="T225" s="531" t="s">
        <v>2110</v>
      </c>
      <c r="U225" s="531" t="s">
        <v>2523</v>
      </c>
      <c r="W225" s="427" t="s">
        <v>874</v>
      </c>
      <c r="X225" s="427" t="s">
        <v>3279</v>
      </c>
      <c r="Z225" s="427"/>
      <c r="AA225" s="158"/>
      <c r="AB225" s="158"/>
      <c r="AC225" s="890"/>
      <c r="AD225" s="502"/>
      <c r="AE225" s="158"/>
      <c r="AF225" s="158"/>
      <c r="AG225" s="158"/>
      <c r="AH225" s="158"/>
      <c r="AI225" s="158"/>
      <c r="AJ225" s="158"/>
      <c r="AK225" s="158"/>
    </row>
    <row r="226" spans="2:37" ht="10.5" customHeight="1">
      <c r="B226" s="282"/>
      <c r="C226" s="377" t="s">
        <v>326</v>
      </c>
      <c r="D226" s="439">
        <v>44500</v>
      </c>
      <c r="E226" s="282"/>
      <c r="F226" s="532"/>
      <c r="G226" s="967" t="s">
        <v>2187</v>
      </c>
      <c r="H226" s="967" t="s">
        <v>1185</v>
      </c>
      <c r="I226" s="968" t="s">
        <v>636</v>
      </c>
      <c r="J226" s="968" t="s">
        <v>2545</v>
      </c>
      <c r="K226" s="969" t="s">
        <v>1310</v>
      </c>
      <c r="L226" s="970" t="s">
        <v>415</v>
      </c>
      <c r="M226" s="1050" t="s">
        <v>2532</v>
      </c>
      <c r="N226" s="1050" t="s">
        <v>1299</v>
      </c>
      <c r="O226" s="1207" t="s">
        <v>3982</v>
      </c>
      <c r="P226" s="530" t="s">
        <v>2387</v>
      </c>
      <c r="Q226" s="291"/>
      <c r="R226" s="170"/>
      <c r="S226" s="387"/>
      <c r="T226" s="491" t="s">
        <v>2382</v>
      </c>
      <c r="U226" s="491" t="s">
        <v>1072</v>
      </c>
      <c r="W226" s="427" t="s">
        <v>2090</v>
      </c>
      <c r="X226" s="427" t="s">
        <v>3279</v>
      </c>
      <c r="Z226" s="427"/>
      <c r="AA226" s="158"/>
      <c r="AB226" s="158"/>
      <c r="AC226" s="889"/>
      <c r="AD226" s="893"/>
      <c r="AE226" s="158"/>
      <c r="AF226" s="158"/>
      <c r="AG226" s="158"/>
      <c r="AH226" s="158"/>
      <c r="AI226" s="158"/>
      <c r="AJ226" s="158"/>
      <c r="AK226" s="158"/>
    </row>
    <row r="227" spans="2:37" ht="10.5" customHeight="1">
      <c r="B227" s="282"/>
      <c r="C227" s="377" t="s">
        <v>328</v>
      </c>
      <c r="D227" s="439">
        <v>46500</v>
      </c>
      <c r="E227" s="282"/>
      <c r="F227" s="532"/>
      <c r="G227" s="967" t="s">
        <v>637</v>
      </c>
      <c r="H227" s="967" t="s">
        <v>1284</v>
      </c>
      <c r="I227" s="968" t="s">
        <v>638</v>
      </c>
      <c r="J227" s="968" t="s">
        <v>2545</v>
      </c>
      <c r="K227" s="969" t="s">
        <v>1311</v>
      </c>
      <c r="L227" s="970" t="s">
        <v>415</v>
      </c>
      <c r="M227" s="1050" t="s">
        <v>2532</v>
      </c>
      <c r="N227" s="1050" t="s">
        <v>1179</v>
      </c>
      <c r="O227" s="1207" t="s">
        <v>3983</v>
      </c>
      <c r="P227" s="530" t="s">
        <v>2388</v>
      </c>
      <c r="Q227" s="291"/>
      <c r="R227" s="170"/>
      <c r="S227" s="387"/>
      <c r="T227" s="491" t="s">
        <v>2496</v>
      </c>
      <c r="U227" s="491" t="s">
        <v>314</v>
      </c>
      <c r="W227" s="427" t="s">
        <v>2010</v>
      </c>
      <c r="X227" s="427" t="s">
        <v>3279</v>
      </c>
      <c r="Z227" s="427"/>
      <c r="AA227" s="158"/>
      <c r="AB227" s="158"/>
      <c r="AC227" s="889"/>
      <c r="AD227" s="502"/>
      <c r="AE227" s="158"/>
      <c r="AF227" s="158"/>
      <c r="AG227" s="158"/>
      <c r="AH227" s="158"/>
      <c r="AI227" s="158"/>
      <c r="AJ227" s="158"/>
      <c r="AK227" s="158"/>
    </row>
    <row r="228" spans="2:37" ht="10.5" customHeight="1">
      <c r="B228" s="282"/>
      <c r="C228" s="377" t="s">
        <v>749</v>
      </c>
      <c r="D228" s="439">
        <v>54500</v>
      </c>
      <c r="E228" s="282"/>
      <c r="F228" s="532"/>
      <c r="G228" s="967" t="s">
        <v>639</v>
      </c>
      <c r="H228" s="967" t="s">
        <v>1284</v>
      </c>
      <c r="I228" s="971" t="s">
        <v>746</v>
      </c>
      <c r="J228" s="971" t="s">
        <v>2546</v>
      </c>
      <c r="K228" s="969" t="s">
        <v>2510</v>
      </c>
      <c r="L228" s="970" t="s">
        <v>416</v>
      </c>
      <c r="M228" s="1049" t="s">
        <v>1170</v>
      </c>
      <c r="N228" s="1049" t="s">
        <v>1179</v>
      </c>
      <c r="O228" s="1207" t="s">
        <v>3984</v>
      </c>
      <c r="P228" s="530" t="s">
        <v>2174</v>
      </c>
      <c r="Q228" s="291"/>
      <c r="R228" s="170"/>
      <c r="S228" s="387"/>
      <c r="T228" s="491" t="s">
        <v>2384</v>
      </c>
      <c r="U228" s="491" t="s">
        <v>1873</v>
      </c>
      <c r="W228" s="427" t="s">
        <v>582</v>
      </c>
      <c r="X228" s="427" t="s">
        <v>3279</v>
      </c>
      <c r="Z228" s="427"/>
      <c r="AA228" s="158"/>
      <c r="AB228" s="158"/>
      <c r="AC228" s="889"/>
      <c r="AD228" s="502"/>
      <c r="AE228" s="158"/>
      <c r="AF228" s="158"/>
      <c r="AG228" s="158"/>
      <c r="AH228" s="158"/>
      <c r="AI228" s="158"/>
      <c r="AJ228" s="158"/>
      <c r="AK228" s="158"/>
    </row>
    <row r="229" spans="2:37" ht="10.5" customHeight="1">
      <c r="B229" s="282"/>
      <c r="C229" s="377" t="s">
        <v>1425</v>
      </c>
      <c r="D229" s="439">
        <v>45600</v>
      </c>
      <c r="E229" s="282"/>
      <c r="F229" s="532"/>
      <c r="G229" s="967" t="s">
        <v>640</v>
      </c>
      <c r="H229" s="967" t="s">
        <v>1284</v>
      </c>
      <c r="I229" s="971" t="s">
        <v>2210</v>
      </c>
      <c r="J229" s="971" t="s">
        <v>2546</v>
      </c>
      <c r="K229" s="969" t="s">
        <v>1312</v>
      </c>
      <c r="L229" s="970" t="s">
        <v>416</v>
      </c>
      <c r="M229" s="1050" t="s">
        <v>1170</v>
      </c>
      <c r="N229" s="1050" t="s">
        <v>1179</v>
      </c>
      <c r="O229" s="1207" t="s">
        <v>3985</v>
      </c>
      <c r="P229" s="530" t="s">
        <v>690</v>
      </c>
      <c r="Q229" s="291"/>
      <c r="R229" s="170"/>
      <c r="S229" s="387"/>
      <c r="T229" s="491" t="s">
        <v>2386</v>
      </c>
      <c r="U229" s="491" t="s">
        <v>853</v>
      </c>
      <c r="W229" s="427" t="s">
        <v>584</v>
      </c>
      <c r="X229" s="427" t="s">
        <v>3279</v>
      </c>
      <c r="Z229" s="427"/>
      <c r="AA229" s="158"/>
      <c r="AB229" s="158"/>
      <c r="AC229" s="889"/>
      <c r="AD229" s="502"/>
      <c r="AE229" s="158"/>
      <c r="AF229" s="158"/>
      <c r="AG229" s="158"/>
      <c r="AH229" s="158"/>
      <c r="AI229" s="158"/>
      <c r="AJ229" s="158"/>
      <c r="AK229" s="158"/>
    </row>
    <row r="230" spans="2:37" ht="10.5" customHeight="1">
      <c r="B230" s="282"/>
      <c r="C230" s="377" t="s">
        <v>1429</v>
      </c>
      <c r="D230" s="439">
        <v>50800</v>
      </c>
      <c r="E230" s="282"/>
      <c r="F230" s="532"/>
      <c r="G230" s="967" t="s">
        <v>641</v>
      </c>
      <c r="H230" s="967" t="s">
        <v>1284</v>
      </c>
      <c r="I230" s="971" t="s">
        <v>746</v>
      </c>
      <c r="J230" s="971" t="s">
        <v>2546</v>
      </c>
      <c r="K230" s="969" t="s">
        <v>2510</v>
      </c>
      <c r="L230" s="970" t="s">
        <v>416</v>
      </c>
      <c r="M230" s="1049" t="s">
        <v>1170</v>
      </c>
      <c r="N230" s="1049" t="s">
        <v>1179</v>
      </c>
      <c r="O230" s="1207" t="s">
        <v>3986</v>
      </c>
      <c r="P230" s="530" t="s">
        <v>692</v>
      </c>
      <c r="Q230" s="291"/>
      <c r="R230" s="170"/>
      <c r="S230" s="387"/>
      <c r="T230" s="491" t="s">
        <v>2389</v>
      </c>
      <c r="U230" s="491" t="s">
        <v>155</v>
      </c>
      <c r="W230" s="427" t="s">
        <v>2466</v>
      </c>
      <c r="X230" s="427" t="s">
        <v>3279</v>
      </c>
      <c r="Z230" s="427"/>
      <c r="AA230" s="158"/>
      <c r="AB230" s="158"/>
      <c r="AC230" s="889"/>
      <c r="AD230" s="502"/>
      <c r="AE230" s="158"/>
      <c r="AF230" s="158"/>
      <c r="AG230" s="158"/>
      <c r="AH230" s="158"/>
      <c r="AI230" s="158"/>
      <c r="AJ230" s="158"/>
      <c r="AK230" s="158"/>
    </row>
    <row r="231" spans="2:37" ht="10.5" customHeight="1">
      <c r="B231" s="282"/>
      <c r="C231" s="377" t="s">
        <v>1431</v>
      </c>
      <c r="D231" s="439">
        <v>58200</v>
      </c>
      <c r="E231" s="282"/>
      <c r="F231" s="532"/>
      <c r="G231" s="967" t="s">
        <v>642</v>
      </c>
      <c r="H231" s="967" t="s">
        <v>1284</v>
      </c>
      <c r="I231" s="971" t="s">
        <v>643</v>
      </c>
      <c r="J231" s="971" t="s">
        <v>2545</v>
      </c>
      <c r="K231" s="969" t="s">
        <v>1313</v>
      </c>
      <c r="L231" s="970" t="s">
        <v>415</v>
      </c>
      <c r="M231" s="1050" t="s">
        <v>2532</v>
      </c>
      <c r="N231" s="1050" t="s">
        <v>162</v>
      </c>
      <c r="O231" s="1207" t="s">
        <v>3987</v>
      </c>
      <c r="P231" s="530" t="s">
        <v>694</v>
      </c>
      <c r="Q231" s="291"/>
      <c r="R231" s="170"/>
      <c r="S231" s="387"/>
      <c r="T231" s="491" t="s">
        <v>2175</v>
      </c>
      <c r="U231" s="491" t="s">
        <v>637</v>
      </c>
      <c r="W231" s="427" t="s">
        <v>588</v>
      </c>
      <c r="X231" s="427" t="s">
        <v>3279</v>
      </c>
      <c r="Z231" s="427"/>
      <c r="AA231" s="158"/>
      <c r="AB231" s="158"/>
      <c r="AC231" s="889"/>
      <c r="AD231" s="502"/>
      <c r="AE231" s="158"/>
      <c r="AF231" s="158"/>
      <c r="AG231" s="158"/>
      <c r="AH231" s="158"/>
      <c r="AI231" s="158"/>
      <c r="AJ231" s="158"/>
      <c r="AK231" s="158"/>
    </row>
    <row r="232" spans="2:37" ht="10.5" customHeight="1">
      <c r="B232" s="282"/>
      <c r="C232" s="377" t="s">
        <v>173</v>
      </c>
      <c r="D232" s="439">
        <v>54900</v>
      </c>
      <c r="E232" s="282"/>
      <c r="F232" s="532"/>
      <c r="G232" s="967" t="s">
        <v>1180</v>
      </c>
      <c r="H232" s="967" t="s">
        <v>1752</v>
      </c>
      <c r="I232" s="971" t="s">
        <v>746</v>
      </c>
      <c r="J232" s="971" t="s">
        <v>2546</v>
      </c>
      <c r="K232" s="969" t="s">
        <v>2510</v>
      </c>
      <c r="L232" s="970" t="s">
        <v>416</v>
      </c>
      <c r="M232" s="1049" t="s">
        <v>1170</v>
      </c>
      <c r="N232" s="1049" t="s">
        <v>1179</v>
      </c>
      <c r="O232" s="1207" t="s">
        <v>3988</v>
      </c>
      <c r="P232" s="530" t="s">
        <v>696</v>
      </c>
      <c r="Q232" s="291"/>
      <c r="R232" s="170"/>
      <c r="S232" s="387"/>
      <c r="T232" s="491" t="s">
        <v>691</v>
      </c>
      <c r="U232" s="491" t="s">
        <v>2417</v>
      </c>
      <c r="W232" s="427" t="s">
        <v>531</v>
      </c>
      <c r="X232" s="427" t="s">
        <v>3279</v>
      </c>
      <c r="Z232" s="427"/>
      <c r="AA232" s="158"/>
      <c r="AB232" s="158"/>
      <c r="AC232" s="889"/>
      <c r="AD232" s="502"/>
      <c r="AE232" s="158"/>
      <c r="AF232" s="158"/>
      <c r="AG232" s="158"/>
      <c r="AH232" s="158"/>
      <c r="AI232" s="158"/>
      <c r="AJ232" s="158"/>
      <c r="AK232" s="158"/>
    </row>
    <row r="233" spans="2:37" ht="10.5" customHeight="1">
      <c r="B233" s="282"/>
      <c r="C233" s="377" t="s">
        <v>1293</v>
      </c>
      <c r="D233" s="439">
        <v>40500</v>
      </c>
      <c r="E233" s="282"/>
      <c r="F233" s="532"/>
      <c r="G233" s="967" t="s">
        <v>644</v>
      </c>
      <c r="H233" s="967" t="s">
        <v>1284</v>
      </c>
      <c r="I233" s="968" t="s">
        <v>645</v>
      </c>
      <c r="J233" s="968" t="s">
        <v>2545</v>
      </c>
      <c r="K233" s="969" t="s">
        <v>234</v>
      </c>
      <c r="L233" s="970" t="s">
        <v>415</v>
      </c>
      <c r="M233" s="1050" t="s">
        <v>2532</v>
      </c>
      <c r="N233" s="1050" t="s">
        <v>1179</v>
      </c>
      <c r="O233" s="1207" t="s">
        <v>3989</v>
      </c>
      <c r="P233" s="530" t="s">
        <v>2166</v>
      </c>
      <c r="Q233" s="291"/>
      <c r="R233" s="170"/>
      <c r="S233" s="387"/>
      <c r="T233" s="531" t="s">
        <v>693</v>
      </c>
      <c r="U233" s="531" t="s">
        <v>1087</v>
      </c>
      <c r="W233" s="427" t="s">
        <v>728</v>
      </c>
      <c r="X233" s="427" t="s">
        <v>3279</v>
      </c>
      <c r="Z233" s="427"/>
      <c r="AA233" s="158"/>
      <c r="AB233" s="158"/>
      <c r="AC233" s="890"/>
      <c r="AD233" s="502"/>
      <c r="AE233" s="158"/>
      <c r="AF233" s="158"/>
      <c r="AG233" s="158"/>
      <c r="AH233" s="158"/>
      <c r="AI233" s="158"/>
      <c r="AJ233" s="158"/>
      <c r="AK233" s="158"/>
    </row>
    <row r="234" spans="2:37" ht="10.5" customHeight="1">
      <c r="B234" s="282"/>
      <c r="C234" s="377" t="s">
        <v>174</v>
      </c>
      <c r="D234" s="439">
        <v>53900</v>
      </c>
      <c r="E234" s="282"/>
      <c r="F234" s="532"/>
      <c r="G234" s="967" t="s">
        <v>646</v>
      </c>
      <c r="H234" s="967" t="s">
        <v>1284</v>
      </c>
      <c r="I234" s="971" t="s">
        <v>647</v>
      </c>
      <c r="J234" s="971" t="s">
        <v>2545</v>
      </c>
      <c r="K234" s="969" t="s">
        <v>235</v>
      </c>
      <c r="L234" s="970" t="s">
        <v>415</v>
      </c>
      <c r="M234" s="1050" t="s">
        <v>2532</v>
      </c>
      <c r="N234" s="1050" t="s">
        <v>1303</v>
      </c>
      <c r="O234" s="1207" t="s">
        <v>3990</v>
      </c>
      <c r="P234" s="530" t="s">
        <v>2167</v>
      </c>
      <c r="Q234" s="291"/>
      <c r="R234" s="170"/>
      <c r="S234" s="387"/>
      <c r="T234" s="491" t="s">
        <v>695</v>
      </c>
      <c r="U234" s="491" t="s">
        <v>2523</v>
      </c>
      <c r="W234" s="427" t="s">
        <v>35</v>
      </c>
      <c r="X234" s="427" t="s">
        <v>3279</v>
      </c>
      <c r="Z234" s="427"/>
      <c r="AA234" s="158"/>
      <c r="AB234" s="158"/>
      <c r="AC234" s="889"/>
      <c r="AD234" s="502"/>
      <c r="AE234" s="158"/>
      <c r="AF234" s="158"/>
      <c r="AG234" s="158"/>
      <c r="AH234" s="158"/>
      <c r="AI234" s="158"/>
      <c r="AJ234" s="158"/>
      <c r="AK234" s="158"/>
    </row>
    <row r="235" spans="2:37" ht="10.5" customHeight="1">
      <c r="B235" s="282"/>
      <c r="C235" s="377" t="s">
        <v>751</v>
      </c>
      <c r="D235" s="439">
        <v>49500</v>
      </c>
      <c r="E235" s="282"/>
      <c r="F235" s="532"/>
      <c r="G235" s="967" t="s">
        <v>648</v>
      </c>
      <c r="H235" s="967" t="s">
        <v>1752</v>
      </c>
      <c r="I235" s="968" t="s">
        <v>9</v>
      </c>
      <c r="J235" s="968" t="s">
        <v>2546</v>
      </c>
      <c r="K235" s="969" t="s">
        <v>2515</v>
      </c>
      <c r="L235" s="970" t="s">
        <v>416</v>
      </c>
      <c r="M235" s="1050" t="s">
        <v>1170</v>
      </c>
      <c r="N235" s="1050" t="s">
        <v>1299</v>
      </c>
      <c r="O235" s="1207" t="s">
        <v>3991</v>
      </c>
      <c r="P235" s="530" t="s">
        <v>2169</v>
      </c>
      <c r="Q235" s="291"/>
      <c r="R235" s="170"/>
      <c r="S235" s="387"/>
      <c r="T235" s="491" t="s">
        <v>2497</v>
      </c>
      <c r="U235" s="491" t="s">
        <v>2419</v>
      </c>
      <c r="W235" s="427" t="s">
        <v>1920</v>
      </c>
      <c r="X235" s="427" t="s">
        <v>3279</v>
      </c>
      <c r="Z235" s="427"/>
      <c r="AA235" s="158"/>
      <c r="AB235" s="158"/>
      <c r="AC235" s="889"/>
      <c r="AD235" s="502"/>
      <c r="AE235" s="158"/>
      <c r="AF235" s="158"/>
      <c r="AG235" s="158"/>
      <c r="AH235" s="158"/>
      <c r="AI235" s="158"/>
      <c r="AJ235" s="158"/>
      <c r="AK235" s="158"/>
    </row>
    <row r="236" spans="2:37" ht="10.5" customHeight="1">
      <c r="B236" s="282"/>
      <c r="C236" s="377" t="s">
        <v>1599</v>
      </c>
      <c r="D236" s="439">
        <v>50500</v>
      </c>
      <c r="E236" s="282"/>
      <c r="F236" s="532"/>
      <c r="G236" s="967" t="s">
        <v>649</v>
      </c>
      <c r="H236" s="967" t="s">
        <v>1284</v>
      </c>
      <c r="I236" s="968" t="s">
        <v>650</v>
      </c>
      <c r="J236" s="968" t="s">
        <v>2545</v>
      </c>
      <c r="K236" s="969" t="s">
        <v>236</v>
      </c>
      <c r="L236" s="970" t="s">
        <v>415</v>
      </c>
      <c r="M236" s="1050" t="s">
        <v>2532</v>
      </c>
      <c r="N236" s="1050" t="s">
        <v>1179</v>
      </c>
      <c r="O236" s="1207" t="s">
        <v>3992</v>
      </c>
      <c r="P236" s="530" t="s">
        <v>666</v>
      </c>
      <c r="Q236" s="291"/>
      <c r="R236" s="170"/>
      <c r="S236" s="387"/>
      <c r="T236" s="491" t="s">
        <v>2168</v>
      </c>
      <c r="U236" s="491" t="s">
        <v>1627</v>
      </c>
      <c r="W236" s="427" t="s">
        <v>330</v>
      </c>
      <c r="X236" s="427" t="s">
        <v>3279</v>
      </c>
      <c r="Z236" s="427"/>
      <c r="AA236" s="158"/>
      <c r="AB236" s="158"/>
      <c r="AC236" s="889"/>
      <c r="AD236" s="502"/>
      <c r="AE236" s="158"/>
      <c r="AF236" s="158"/>
      <c r="AG236" s="158"/>
      <c r="AH236" s="158"/>
      <c r="AI236" s="158"/>
      <c r="AJ236" s="158"/>
      <c r="AK236" s="158"/>
    </row>
    <row r="237" spans="2:37" ht="10.5" customHeight="1">
      <c r="B237" s="282"/>
      <c r="C237" s="377" t="s">
        <v>1601</v>
      </c>
      <c r="D237" s="439">
        <v>40200</v>
      </c>
      <c r="E237" s="282"/>
      <c r="F237" s="532"/>
      <c r="G237" s="967" t="s">
        <v>651</v>
      </c>
      <c r="H237" s="967" t="s">
        <v>1185</v>
      </c>
      <c r="I237" s="968" t="s">
        <v>652</v>
      </c>
      <c r="J237" s="968" t="s">
        <v>2545</v>
      </c>
      <c r="K237" s="969" t="s">
        <v>395</v>
      </c>
      <c r="L237" s="970" t="s">
        <v>415</v>
      </c>
      <c r="M237" s="1050" t="s">
        <v>2532</v>
      </c>
      <c r="N237" s="1050" t="s">
        <v>1738</v>
      </c>
      <c r="O237" s="1207" t="s">
        <v>3993</v>
      </c>
      <c r="P237" s="530" t="s">
        <v>769</v>
      </c>
      <c r="Q237" s="291"/>
      <c r="R237" s="170"/>
      <c r="S237" s="387"/>
      <c r="T237" s="491" t="s">
        <v>2170</v>
      </c>
      <c r="U237" s="491" t="s">
        <v>2517</v>
      </c>
      <c r="W237" s="427" t="s">
        <v>338</v>
      </c>
      <c r="X237" s="427" t="s">
        <v>3279</v>
      </c>
      <c r="Z237" s="427"/>
      <c r="AA237" s="158"/>
      <c r="AB237" s="158"/>
      <c r="AC237" s="889"/>
      <c r="AD237" s="502"/>
      <c r="AE237" s="158"/>
      <c r="AF237" s="158"/>
      <c r="AG237" s="158"/>
      <c r="AH237" s="158"/>
      <c r="AI237" s="158"/>
      <c r="AJ237" s="158"/>
      <c r="AK237" s="158"/>
    </row>
    <row r="238" spans="2:37" ht="10.5" customHeight="1">
      <c r="B238" s="282"/>
      <c r="C238" s="377" t="s">
        <v>1994</v>
      </c>
      <c r="D238" s="439">
        <v>63800</v>
      </c>
      <c r="E238" s="282"/>
      <c r="F238" s="532"/>
      <c r="G238" s="967" t="s">
        <v>653</v>
      </c>
      <c r="H238" s="967" t="s">
        <v>1284</v>
      </c>
      <c r="I238" s="968" t="s">
        <v>654</v>
      </c>
      <c r="J238" s="968" t="s">
        <v>2545</v>
      </c>
      <c r="K238" s="969" t="s">
        <v>396</v>
      </c>
      <c r="L238" s="970" t="s">
        <v>415</v>
      </c>
      <c r="M238" s="1050" t="s">
        <v>2532</v>
      </c>
      <c r="N238" s="1050" t="s">
        <v>162</v>
      </c>
      <c r="O238" s="1207" t="s">
        <v>3994</v>
      </c>
      <c r="P238" s="530" t="s">
        <v>2213</v>
      </c>
      <c r="Q238" s="291"/>
      <c r="R238" s="170"/>
      <c r="S238" s="387"/>
      <c r="T238" s="491" t="s">
        <v>667</v>
      </c>
      <c r="U238" s="491" t="s">
        <v>715</v>
      </c>
      <c r="W238" s="427" t="s">
        <v>191</v>
      </c>
      <c r="X238" s="427" t="s">
        <v>3279</v>
      </c>
      <c r="Z238" s="427"/>
      <c r="AA238" s="158"/>
      <c r="AB238" s="158"/>
      <c r="AC238" s="889"/>
      <c r="AD238" s="502"/>
      <c r="AE238" s="158"/>
      <c r="AF238" s="158"/>
      <c r="AG238" s="158"/>
      <c r="AH238" s="158"/>
      <c r="AI238" s="158"/>
      <c r="AJ238" s="158"/>
      <c r="AK238" s="158"/>
    </row>
    <row r="239" spans="2:37" ht="10.5" customHeight="1">
      <c r="B239" s="282"/>
      <c r="C239" s="377" t="s">
        <v>181</v>
      </c>
      <c r="D239" s="439">
        <v>50500</v>
      </c>
      <c r="E239" s="282"/>
      <c r="F239" s="532"/>
      <c r="G239" s="967" t="s">
        <v>118</v>
      </c>
      <c r="H239" s="967" t="s">
        <v>1284</v>
      </c>
      <c r="I239" s="971" t="s">
        <v>746</v>
      </c>
      <c r="J239" s="971" t="s">
        <v>2546</v>
      </c>
      <c r="K239" s="969" t="s">
        <v>2510</v>
      </c>
      <c r="L239" s="970" t="s">
        <v>416</v>
      </c>
      <c r="M239" s="1049" t="s">
        <v>1170</v>
      </c>
      <c r="N239" s="1049" t="s">
        <v>1179</v>
      </c>
      <c r="O239" s="1207" t="s">
        <v>3995</v>
      </c>
      <c r="P239" s="530" t="s">
        <v>2242</v>
      </c>
      <c r="Q239" s="291"/>
      <c r="R239" s="170"/>
      <c r="S239" s="387"/>
      <c r="T239" s="491" t="s">
        <v>2212</v>
      </c>
      <c r="U239" s="491" t="s">
        <v>311</v>
      </c>
      <c r="W239" s="427" t="s">
        <v>2105</v>
      </c>
      <c r="X239" s="427" t="s">
        <v>3279</v>
      </c>
      <c r="Z239" s="427"/>
      <c r="AA239" s="158"/>
      <c r="AB239" s="158"/>
      <c r="AC239" s="889"/>
      <c r="AD239" s="502"/>
      <c r="AE239" s="158"/>
      <c r="AF239" s="158"/>
      <c r="AG239" s="158"/>
      <c r="AH239" s="158"/>
      <c r="AI239" s="158"/>
      <c r="AJ239" s="158"/>
      <c r="AK239" s="158"/>
    </row>
    <row r="240" spans="2:37" ht="10.5" customHeight="1">
      <c r="B240" s="282"/>
      <c r="C240" s="376" t="s">
        <v>2518</v>
      </c>
      <c r="D240" s="439">
        <v>62400</v>
      </c>
      <c r="E240" s="282"/>
      <c r="F240" s="532"/>
      <c r="G240" s="967" t="s">
        <v>119</v>
      </c>
      <c r="H240" s="967" t="s">
        <v>1284</v>
      </c>
      <c r="I240" s="968" t="s">
        <v>120</v>
      </c>
      <c r="J240" s="968" t="s">
        <v>2545</v>
      </c>
      <c r="K240" s="969" t="s">
        <v>397</v>
      </c>
      <c r="L240" s="970" t="s">
        <v>415</v>
      </c>
      <c r="M240" s="1050" t="s">
        <v>2532</v>
      </c>
      <c r="N240" s="1050" t="s">
        <v>162</v>
      </c>
      <c r="O240" s="1207" t="s">
        <v>3996</v>
      </c>
      <c r="P240" s="530" t="s">
        <v>43</v>
      </c>
      <c r="Q240" s="291"/>
      <c r="R240" s="170"/>
      <c r="S240" s="387"/>
      <c r="T240" s="491" t="s">
        <v>2272</v>
      </c>
      <c r="U240" s="491" t="s">
        <v>857</v>
      </c>
      <c r="W240" s="427" t="s">
        <v>192</v>
      </c>
      <c r="X240" s="427" t="s">
        <v>3279</v>
      </c>
      <c r="Z240" s="427"/>
      <c r="AA240" s="158"/>
      <c r="AB240" s="158"/>
      <c r="AC240" s="892"/>
      <c r="AD240" s="502"/>
      <c r="AE240" s="158"/>
      <c r="AF240" s="158"/>
      <c r="AG240" s="158"/>
      <c r="AH240" s="158"/>
      <c r="AI240" s="158"/>
      <c r="AJ240" s="158"/>
      <c r="AK240" s="158"/>
    </row>
    <row r="241" spans="2:37" ht="10.5" customHeight="1">
      <c r="B241" s="282"/>
      <c r="C241" s="377" t="s">
        <v>2520</v>
      </c>
      <c r="D241" s="439">
        <v>49500</v>
      </c>
      <c r="E241" s="282"/>
      <c r="F241" s="532"/>
      <c r="G241" s="967" t="s">
        <v>306</v>
      </c>
      <c r="H241" s="967" t="s">
        <v>1284</v>
      </c>
      <c r="I241" s="968" t="s">
        <v>1195</v>
      </c>
      <c r="J241" s="968" t="s">
        <v>2546</v>
      </c>
      <c r="K241" s="969" t="s">
        <v>398</v>
      </c>
      <c r="L241" s="970" t="s">
        <v>416</v>
      </c>
      <c r="M241" s="1050" t="s">
        <v>1170</v>
      </c>
      <c r="N241" s="1050" t="s">
        <v>1179</v>
      </c>
      <c r="O241" s="1207" t="s">
        <v>3997</v>
      </c>
      <c r="P241" s="530" t="s">
        <v>615</v>
      </c>
      <c r="Q241" s="291"/>
      <c r="R241" s="170"/>
      <c r="S241" s="387"/>
      <c r="T241" s="491" t="s">
        <v>44</v>
      </c>
      <c r="U241" s="491" t="s">
        <v>318</v>
      </c>
      <c r="W241" s="427" t="s">
        <v>376</v>
      </c>
      <c r="X241" s="427" t="s">
        <v>3279</v>
      </c>
      <c r="Z241" s="427"/>
      <c r="AA241" s="158"/>
      <c r="AB241" s="158"/>
      <c r="AC241" s="889"/>
      <c r="AD241" s="502"/>
      <c r="AE241" s="158"/>
      <c r="AF241" s="158"/>
      <c r="AG241" s="158"/>
      <c r="AH241" s="158"/>
      <c r="AI241" s="158"/>
      <c r="AJ241" s="158"/>
      <c r="AK241" s="158"/>
    </row>
    <row r="242" spans="2:37" ht="10.5" customHeight="1">
      <c r="B242" s="282"/>
      <c r="C242" s="377" t="s">
        <v>1070</v>
      </c>
      <c r="D242" s="439">
        <v>56600</v>
      </c>
      <c r="E242" s="282"/>
      <c r="F242" s="532"/>
      <c r="G242" s="972" t="s">
        <v>307</v>
      </c>
      <c r="H242" s="967" t="s">
        <v>1284</v>
      </c>
      <c r="I242" s="968" t="s">
        <v>308</v>
      </c>
      <c r="J242" s="968" t="s">
        <v>2545</v>
      </c>
      <c r="K242" s="969" t="s">
        <v>399</v>
      </c>
      <c r="L242" s="970" t="s">
        <v>415</v>
      </c>
      <c r="M242" s="1050" t="s">
        <v>2532</v>
      </c>
      <c r="N242" s="1050" t="s">
        <v>1293</v>
      </c>
      <c r="O242" s="1207" t="s">
        <v>3998</v>
      </c>
      <c r="P242" s="530" t="s">
        <v>299</v>
      </c>
      <c r="Q242" s="291"/>
      <c r="R242" s="170"/>
      <c r="S242" s="387"/>
      <c r="T242" s="491" t="s">
        <v>616</v>
      </c>
      <c r="U242" s="491" t="s">
        <v>2525</v>
      </c>
      <c r="W242" s="427" t="s">
        <v>852</v>
      </c>
      <c r="X242" s="427" t="s">
        <v>3279</v>
      </c>
      <c r="Z242" s="427"/>
      <c r="AA242" s="158"/>
      <c r="AB242" s="158"/>
      <c r="AC242" s="889"/>
      <c r="AD242" s="502"/>
      <c r="AE242" s="158"/>
      <c r="AF242" s="158"/>
      <c r="AG242" s="158"/>
      <c r="AH242" s="158"/>
      <c r="AI242" s="158"/>
      <c r="AJ242" s="158"/>
      <c r="AK242" s="158"/>
    </row>
    <row r="243" spans="2:37" ht="10.5" customHeight="1">
      <c r="B243" s="282"/>
      <c r="C243" s="377" t="s">
        <v>1073</v>
      </c>
      <c r="D243" s="439">
        <v>53900</v>
      </c>
      <c r="E243" s="282"/>
      <c r="F243" s="532"/>
      <c r="G243" s="967" t="s">
        <v>309</v>
      </c>
      <c r="H243" s="967" t="s">
        <v>1284</v>
      </c>
      <c r="I243" s="971" t="s">
        <v>748</v>
      </c>
      <c r="J243" s="971" t="s">
        <v>2546</v>
      </c>
      <c r="K243" s="969" t="s">
        <v>400</v>
      </c>
      <c r="L243" s="970" t="s">
        <v>416</v>
      </c>
      <c r="M243" s="1049" t="s">
        <v>2532</v>
      </c>
      <c r="N243" s="1049" t="s">
        <v>1179</v>
      </c>
      <c r="O243" s="1207" t="s">
        <v>3999</v>
      </c>
      <c r="P243" s="530" t="s">
        <v>2309</v>
      </c>
      <c r="Q243" s="291"/>
      <c r="R243" s="170"/>
      <c r="S243" s="387"/>
      <c r="T243" s="491" t="s">
        <v>300</v>
      </c>
      <c r="U243" s="491" t="s">
        <v>309</v>
      </c>
      <c r="W243" s="427" t="s">
        <v>1877</v>
      </c>
      <c r="X243" s="427" t="s">
        <v>3279</v>
      </c>
      <c r="Z243" s="427"/>
      <c r="AA243" s="158"/>
      <c r="AB243" s="158"/>
      <c r="AC243" s="889"/>
      <c r="AD243" s="502"/>
      <c r="AE243" s="158"/>
      <c r="AF243" s="158"/>
      <c r="AG243" s="158"/>
      <c r="AH243" s="158"/>
      <c r="AI243" s="158"/>
      <c r="AJ243" s="158"/>
      <c r="AK243" s="158"/>
    </row>
    <row r="244" spans="2:37" ht="10.5" customHeight="1">
      <c r="B244" s="282"/>
      <c r="C244" s="377" t="s">
        <v>1076</v>
      </c>
      <c r="D244" s="439">
        <v>51100</v>
      </c>
      <c r="E244" s="282"/>
      <c r="F244" s="532"/>
      <c r="G244" s="967" t="s">
        <v>310</v>
      </c>
      <c r="H244" s="967" t="s">
        <v>1185</v>
      </c>
      <c r="I244" s="971" t="s">
        <v>157</v>
      </c>
      <c r="J244" s="971" t="s">
        <v>2546</v>
      </c>
      <c r="K244" s="969" t="s">
        <v>1640</v>
      </c>
      <c r="L244" s="970" t="s">
        <v>416</v>
      </c>
      <c r="M244" s="1049" t="s">
        <v>2532</v>
      </c>
      <c r="N244" s="1049" t="s">
        <v>157</v>
      </c>
      <c r="O244" s="1207" t="s">
        <v>4000</v>
      </c>
      <c r="P244" s="530" t="s">
        <v>2330</v>
      </c>
      <c r="Q244" s="291"/>
      <c r="R244" s="170"/>
      <c r="S244" s="387"/>
      <c r="T244" s="491" t="s">
        <v>2310</v>
      </c>
      <c r="U244" s="491" t="s">
        <v>192</v>
      </c>
      <c r="W244" s="427" t="s">
        <v>1881</v>
      </c>
      <c r="X244" s="427" t="s">
        <v>3279</v>
      </c>
      <c r="Z244" s="427"/>
      <c r="AA244" s="158"/>
      <c r="AB244" s="158"/>
      <c r="AC244" s="889"/>
      <c r="AD244" s="502"/>
      <c r="AE244" s="158"/>
      <c r="AF244" s="158"/>
      <c r="AG244" s="158"/>
      <c r="AH244" s="158"/>
      <c r="AI244" s="158"/>
      <c r="AJ244" s="158"/>
      <c r="AK244" s="158"/>
    </row>
    <row r="245" spans="2:37" ht="10.5" customHeight="1">
      <c r="B245" s="282"/>
      <c r="C245" s="376" t="s">
        <v>1078</v>
      </c>
      <c r="D245" s="439">
        <v>49800</v>
      </c>
      <c r="E245" s="282"/>
      <c r="F245" s="532"/>
      <c r="G245" s="967" t="s">
        <v>311</v>
      </c>
      <c r="H245" s="967" t="s">
        <v>1284</v>
      </c>
      <c r="I245" s="968" t="s">
        <v>312</v>
      </c>
      <c r="J245" s="968" t="s">
        <v>2545</v>
      </c>
      <c r="K245" s="969" t="s">
        <v>401</v>
      </c>
      <c r="L245" s="970" t="s">
        <v>415</v>
      </c>
      <c r="M245" s="1050" t="s">
        <v>2532</v>
      </c>
      <c r="N245" s="1050" t="s">
        <v>162</v>
      </c>
      <c r="O245" s="1207" t="s">
        <v>4001</v>
      </c>
      <c r="P245" s="530" t="s">
        <v>2332</v>
      </c>
      <c r="Q245" s="291"/>
      <c r="R245" s="170"/>
      <c r="S245" s="387"/>
      <c r="T245" s="491" t="s">
        <v>2331</v>
      </c>
      <c r="U245" s="491" t="s">
        <v>1626</v>
      </c>
      <c r="W245" s="427" t="s">
        <v>699</v>
      </c>
      <c r="X245" s="427" t="s">
        <v>3279</v>
      </c>
      <c r="Z245" s="427"/>
      <c r="AA245" s="158"/>
      <c r="AB245" s="158"/>
      <c r="AC245" s="889"/>
      <c r="AD245" s="502"/>
      <c r="AE245" s="158"/>
      <c r="AF245" s="158"/>
      <c r="AG245" s="158"/>
      <c r="AH245" s="158"/>
      <c r="AI245" s="158"/>
      <c r="AJ245" s="158"/>
      <c r="AK245" s="158"/>
    </row>
    <row r="246" spans="2:37" ht="10.5" customHeight="1">
      <c r="B246" s="282"/>
      <c r="C246" s="377" t="s">
        <v>1080</v>
      </c>
      <c r="D246" s="439">
        <v>60100</v>
      </c>
      <c r="E246" s="282"/>
      <c r="F246" s="532"/>
      <c r="G246" s="967" t="s">
        <v>313</v>
      </c>
      <c r="H246" s="967" t="s">
        <v>1185</v>
      </c>
      <c r="I246" s="971" t="s">
        <v>746</v>
      </c>
      <c r="J246" s="971" t="s">
        <v>2546</v>
      </c>
      <c r="K246" s="969" t="s">
        <v>2510</v>
      </c>
      <c r="L246" s="970" t="s">
        <v>416</v>
      </c>
      <c r="M246" s="1049" t="s">
        <v>1170</v>
      </c>
      <c r="N246" s="1049" t="s">
        <v>1179</v>
      </c>
      <c r="O246" s="1207" t="s">
        <v>4002</v>
      </c>
      <c r="P246" s="530" t="s">
        <v>2333</v>
      </c>
      <c r="Q246" s="291"/>
      <c r="R246" s="170"/>
      <c r="S246" s="387"/>
      <c r="T246" s="491" t="s">
        <v>2748</v>
      </c>
      <c r="U246" s="491" t="s">
        <v>610</v>
      </c>
      <c r="W246" s="427" t="s">
        <v>1118</v>
      </c>
      <c r="X246" s="427" t="s">
        <v>3279</v>
      </c>
      <c r="Z246" s="427"/>
      <c r="AA246" s="158"/>
      <c r="AB246" s="158"/>
      <c r="AC246" s="889"/>
      <c r="AD246" s="502"/>
      <c r="AE246" s="158"/>
      <c r="AF246" s="158"/>
      <c r="AG246" s="158"/>
      <c r="AH246" s="158"/>
      <c r="AI246" s="158"/>
      <c r="AJ246" s="158"/>
      <c r="AK246" s="158"/>
    </row>
    <row r="247" spans="2:37" ht="10.5" customHeight="1">
      <c r="B247" s="282"/>
      <c r="C247" s="377" t="s">
        <v>1082</v>
      </c>
      <c r="D247" s="439">
        <v>38300</v>
      </c>
      <c r="E247" s="282"/>
      <c r="F247" s="532"/>
      <c r="G247" s="967" t="s">
        <v>314</v>
      </c>
      <c r="H247" s="967" t="s">
        <v>1284</v>
      </c>
      <c r="I247" s="971" t="s">
        <v>746</v>
      </c>
      <c r="J247" s="971" t="s">
        <v>2546</v>
      </c>
      <c r="K247" s="969" t="s">
        <v>2510</v>
      </c>
      <c r="L247" s="970" t="s">
        <v>416</v>
      </c>
      <c r="M247" s="1049" t="s">
        <v>1170</v>
      </c>
      <c r="N247" s="1049" t="s">
        <v>1179</v>
      </c>
      <c r="O247" s="1207" t="s">
        <v>4003</v>
      </c>
      <c r="P247" s="530" t="s">
        <v>2301</v>
      </c>
      <c r="Q247" s="291"/>
      <c r="R247" s="170"/>
      <c r="S247" s="387"/>
      <c r="T247" s="491" t="s">
        <v>611</v>
      </c>
      <c r="U247" s="491" t="s">
        <v>1300</v>
      </c>
      <c r="W247" s="427" t="s">
        <v>1120</v>
      </c>
      <c r="X247" s="427" t="s">
        <v>3279</v>
      </c>
      <c r="Z247" s="427"/>
      <c r="AA247" s="158"/>
      <c r="AB247" s="158"/>
      <c r="AC247" s="889"/>
      <c r="AD247" s="502"/>
      <c r="AE247" s="158"/>
      <c r="AF247" s="158"/>
      <c r="AG247" s="158"/>
      <c r="AH247" s="158"/>
      <c r="AI247" s="158"/>
      <c r="AJ247" s="158"/>
      <c r="AK247" s="158"/>
    </row>
    <row r="248" spans="2:37" ht="10.5" customHeight="1">
      <c r="B248" s="282"/>
      <c r="C248" s="377" t="s">
        <v>1084</v>
      </c>
      <c r="D248" s="439">
        <v>56800</v>
      </c>
      <c r="E248" s="282"/>
      <c r="F248" s="532"/>
      <c r="G248" s="967" t="s">
        <v>315</v>
      </c>
      <c r="H248" s="967" t="s">
        <v>1284</v>
      </c>
      <c r="I248" s="971" t="s">
        <v>1667</v>
      </c>
      <c r="J248" s="971" t="s">
        <v>2546</v>
      </c>
      <c r="K248" s="969" t="s">
        <v>402</v>
      </c>
      <c r="L248" s="970" t="s">
        <v>416</v>
      </c>
      <c r="M248" s="1050" t="s">
        <v>1170</v>
      </c>
      <c r="N248" s="1050" t="s">
        <v>1293</v>
      </c>
      <c r="O248" s="1207" t="s">
        <v>4004</v>
      </c>
      <c r="P248" s="530" t="s">
        <v>8</v>
      </c>
      <c r="Q248" s="291"/>
      <c r="R248" s="170"/>
      <c r="S248" s="387"/>
      <c r="T248" s="491" t="s">
        <v>1297</v>
      </c>
      <c r="U248" s="491" t="s">
        <v>639</v>
      </c>
      <c r="W248" s="427" t="s">
        <v>1122</v>
      </c>
      <c r="X248" s="427" t="s">
        <v>3279</v>
      </c>
      <c r="Z248" s="427"/>
      <c r="AA248" s="158"/>
      <c r="AB248" s="158"/>
      <c r="AC248" s="889"/>
      <c r="AD248" s="502"/>
      <c r="AE248" s="158"/>
      <c r="AF248" s="158"/>
      <c r="AG248" s="158"/>
      <c r="AH248" s="158"/>
      <c r="AI248" s="158"/>
      <c r="AJ248" s="158"/>
      <c r="AK248" s="158"/>
    </row>
    <row r="249" spans="2:37" ht="10.5" customHeight="1">
      <c r="B249" s="282"/>
      <c r="C249" s="376" t="s">
        <v>1086</v>
      </c>
      <c r="D249" s="439">
        <v>37800</v>
      </c>
      <c r="E249" s="282"/>
      <c r="F249" s="532"/>
      <c r="G249" s="967" t="s">
        <v>316</v>
      </c>
      <c r="H249" s="967" t="s">
        <v>1185</v>
      </c>
      <c r="I249" s="968" t="s">
        <v>317</v>
      </c>
      <c r="J249" s="968" t="s">
        <v>2545</v>
      </c>
      <c r="K249" s="969" t="s">
        <v>630</v>
      </c>
      <c r="L249" s="970" t="s">
        <v>415</v>
      </c>
      <c r="M249" s="1050" t="s">
        <v>2532</v>
      </c>
      <c r="N249" s="1050" t="s">
        <v>1738</v>
      </c>
      <c r="O249" s="1207" t="s">
        <v>4005</v>
      </c>
      <c r="P249" s="530" t="s">
        <v>10</v>
      </c>
      <c r="Q249" s="291"/>
      <c r="R249" s="170"/>
      <c r="S249" s="387"/>
      <c r="T249" s="491" t="s">
        <v>2302</v>
      </c>
      <c r="U249" s="491" t="s">
        <v>2423</v>
      </c>
      <c r="W249" s="427" t="s">
        <v>2448</v>
      </c>
      <c r="X249" s="427" t="s">
        <v>3279</v>
      </c>
      <c r="Z249" s="427"/>
      <c r="AA249" s="158"/>
      <c r="AB249" s="158"/>
      <c r="AC249" s="889"/>
      <c r="AD249" s="502"/>
      <c r="AE249" s="158"/>
      <c r="AF249" s="158"/>
      <c r="AG249" s="158"/>
      <c r="AH249" s="158"/>
      <c r="AI249" s="158"/>
      <c r="AJ249" s="158"/>
      <c r="AK249" s="158"/>
    </row>
    <row r="250" spans="2:37" ht="10.5" customHeight="1">
      <c r="B250" s="282"/>
      <c r="C250" s="376" t="s">
        <v>2210</v>
      </c>
      <c r="D250" s="439">
        <v>65100</v>
      </c>
      <c r="E250" s="282"/>
      <c r="F250" s="532"/>
      <c r="G250" s="967" t="s">
        <v>318</v>
      </c>
      <c r="H250" s="967" t="s">
        <v>1284</v>
      </c>
      <c r="I250" s="968" t="s">
        <v>319</v>
      </c>
      <c r="J250" s="968" t="s">
        <v>2545</v>
      </c>
      <c r="K250" s="969" t="s">
        <v>631</v>
      </c>
      <c r="L250" s="970" t="s">
        <v>415</v>
      </c>
      <c r="M250" s="1050" t="s">
        <v>2532</v>
      </c>
      <c r="N250" s="1050" t="s">
        <v>1179</v>
      </c>
      <c r="O250" s="1207" t="s">
        <v>4006</v>
      </c>
      <c r="P250" s="530" t="s">
        <v>54</v>
      </c>
      <c r="Q250" s="291"/>
      <c r="R250" s="170"/>
      <c r="S250" s="387"/>
      <c r="T250" s="491" t="s">
        <v>9</v>
      </c>
      <c r="U250" s="491" t="s">
        <v>648</v>
      </c>
      <c r="W250" s="427" t="s">
        <v>446</v>
      </c>
      <c r="X250" s="427" t="s">
        <v>3279</v>
      </c>
      <c r="Z250" s="427"/>
      <c r="AA250" s="158"/>
      <c r="AB250" s="158"/>
      <c r="AC250" s="889"/>
      <c r="AD250" s="502"/>
      <c r="AE250" s="158"/>
      <c r="AF250" s="158"/>
      <c r="AG250" s="158"/>
      <c r="AH250" s="158"/>
      <c r="AI250" s="158"/>
      <c r="AJ250" s="158"/>
      <c r="AK250" s="158"/>
    </row>
    <row r="251" spans="2:37" ht="10.5" customHeight="1">
      <c r="B251" s="282"/>
      <c r="C251" s="377" t="s">
        <v>1299</v>
      </c>
      <c r="D251" s="439">
        <v>75400</v>
      </c>
      <c r="E251" s="282"/>
      <c r="F251" s="532"/>
      <c r="G251" s="967" t="s">
        <v>320</v>
      </c>
      <c r="H251" s="967" t="s">
        <v>1284</v>
      </c>
      <c r="I251" s="971" t="s">
        <v>746</v>
      </c>
      <c r="J251" s="971" t="s">
        <v>2546</v>
      </c>
      <c r="K251" s="969" t="s">
        <v>2510</v>
      </c>
      <c r="L251" s="970" t="s">
        <v>416</v>
      </c>
      <c r="M251" s="1049" t="s">
        <v>1170</v>
      </c>
      <c r="N251" s="1049" t="s">
        <v>1179</v>
      </c>
      <c r="O251" s="1207" t="s">
        <v>4007</v>
      </c>
      <c r="P251" s="530" t="s">
        <v>56</v>
      </c>
      <c r="Q251" s="291"/>
      <c r="R251" s="170"/>
      <c r="S251" s="387"/>
      <c r="T251" s="491" t="s">
        <v>11</v>
      </c>
      <c r="U251" s="491" t="s">
        <v>309</v>
      </c>
      <c r="W251" s="427" t="s">
        <v>296</v>
      </c>
      <c r="X251" s="427" t="s">
        <v>3279</v>
      </c>
      <c r="Z251" s="427"/>
      <c r="AA251" s="158"/>
      <c r="AB251" s="158"/>
      <c r="AC251" s="889"/>
      <c r="AD251" s="502"/>
      <c r="AE251" s="158"/>
      <c r="AF251" s="158"/>
      <c r="AG251" s="158"/>
      <c r="AH251" s="158"/>
      <c r="AI251" s="158"/>
      <c r="AJ251" s="158"/>
      <c r="AK251" s="158"/>
    </row>
    <row r="252" spans="2:37" ht="10.5" customHeight="1">
      <c r="B252" s="282"/>
      <c r="C252" s="377" t="s">
        <v>2117</v>
      </c>
      <c r="D252" s="439">
        <v>50800</v>
      </c>
      <c r="E252" s="282"/>
      <c r="F252" s="532"/>
      <c r="G252" s="967" t="s">
        <v>321</v>
      </c>
      <c r="H252" s="967" t="s">
        <v>1185</v>
      </c>
      <c r="I252" s="968" t="s">
        <v>322</v>
      </c>
      <c r="J252" s="968" t="s">
        <v>2545</v>
      </c>
      <c r="K252" s="969" t="s">
        <v>632</v>
      </c>
      <c r="L252" s="970" t="s">
        <v>415</v>
      </c>
      <c r="M252" s="1050" t="s">
        <v>2532</v>
      </c>
      <c r="N252" s="1050" t="s">
        <v>1654</v>
      </c>
      <c r="O252" s="1207" t="s">
        <v>4008</v>
      </c>
      <c r="P252" s="530" t="s">
        <v>58</v>
      </c>
      <c r="Q252" s="291"/>
      <c r="R252" s="170"/>
      <c r="S252" s="387"/>
      <c r="T252" s="491" t="s">
        <v>55</v>
      </c>
      <c r="U252" s="491" t="s">
        <v>2517</v>
      </c>
      <c r="W252" s="427" t="s">
        <v>1778</v>
      </c>
      <c r="X252" s="427" t="s">
        <v>3279</v>
      </c>
      <c r="Z252" s="427"/>
      <c r="AA252" s="158"/>
      <c r="AB252" s="158"/>
      <c r="AC252" s="889"/>
      <c r="AD252" s="502"/>
      <c r="AE252" s="158"/>
      <c r="AF252" s="158"/>
      <c r="AG252" s="158"/>
      <c r="AH252" s="158"/>
      <c r="AI252" s="158"/>
      <c r="AJ252" s="158"/>
      <c r="AK252" s="158"/>
    </row>
    <row r="253" spans="2:37" ht="10.5" customHeight="1">
      <c r="B253" s="282"/>
      <c r="C253" s="377" t="s">
        <v>2119</v>
      </c>
      <c r="D253" s="439">
        <v>45100</v>
      </c>
      <c r="E253" s="282"/>
      <c r="F253" s="532"/>
      <c r="G253" s="967" t="s">
        <v>323</v>
      </c>
      <c r="H253" s="967" t="s">
        <v>1185</v>
      </c>
      <c r="I253" s="968" t="s">
        <v>324</v>
      </c>
      <c r="J253" s="968" t="s">
        <v>2545</v>
      </c>
      <c r="K253" s="969" t="s">
        <v>259</v>
      </c>
      <c r="L253" s="970" t="s">
        <v>415</v>
      </c>
      <c r="M253" s="1050" t="s">
        <v>2532</v>
      </c>
      <c r="N253" s="1050" t="s">
        <v>1303</v>
      </c>
      <c r="O253" s="1207" t="s">
        <v>4009</v>
      </c>
      <c r="P253" s="530" t="s">
        <v>345</v>
      </c>
      <c r="Q253" s="291"/>
      <c r="R253" s="170"/>
      <c r="S253" s="387"/>
      <c r="T253" s="491" t="s">
        <v>57</v>
      </c>
      <c r="U253" s="491" t="s">
        <v>351</v>
      </c>
      <c r="W253" s="427" t="s">
        <v>1780</v>
      </c>
      <c r="X253" s="427" t="s">
        <v>3279</v>
      </c>
      <c r="Z253" s="427"/>
      <c r="AA253" s="158"/>
      <c r="AB253" s="158"/>
      <c r="AC253" s="889"/>
      <c r="AD253" s="502"/>
      <c r="AE253" s="158"/>
      <c r="AF253" s="158"/>
      <c r="AG253" s="158"/>
      <c r="AH253" s="158"/>
      <c r="AI253" s="158"/>
      <c r="AJ253" s="158"/>
      <c r="AK253" s="158"/>
    </row>
    <row r="254" spans="2:37" ht="10.5" customHeight="1">
      <c r="B254" s="282"/>
      <c r="C254" s="377" t="s">
        <v>2121</v>
      </c>
      <c r="D254" s="439">
        <v>46300</v>
      </c>
      <c r="E254" s="282"/>
      <c r="F254" s="532"/>
      <c r="G254" s="967" t="s">
        <v>325</v>
      </c>
      <c r="H254" s="967" t="s">
        <v>1185</v>
      </c>
      <c r="I254" s="968" t="s">
        <v>326</v>
      </c>
      <c r="J254" s="968" t="s">
        <v>2545</v>
      </c>
      <c r="K254" s="969" t="s">
        <v>260</v>
      </c>
      <c r="L254" s="970" t="s">
        <v>415</v>
      </c>
      <c r="M254" s="1050" t="s">
        <v>2532</v>
      </c>
      <c r="N254" s="1050" t="s">
        <v>1303</v>
      </c>
      <c r="O254" s="1207" t="s">
        <v>4010</v>
      </c>
      <c r="P254" s="530" t="s">
        <v>347</v>
      </c>
      <c r="Q254" s="291"/>
      <c r="R254" s="170"/>
      <c r="S254" s="387"/>
      <c r="T254" s="491" t="s">
        <v>59</v>
      </c>
      <c r="U254" s="491" t="s">
        <v>118</v>
      </c>
      <c r="W254" s="427" t="s">
        <v>1848</v>
      </c>
      <c r="X254" s="427" t="s">
        <v>3279</v>
      </c>
      <c r="Z254" s="427"/>
      <c r="AA254" s="158"/>
      <c r="AB254" s="158"/>
      <c r="AC254" s="889"/>
      <c r="AD254" s="502"/>
      <c r="AE254" s="158"/>
      <c r="AF254" s="158"/>
      <c r="AG254" s="158"/>
      <c r="AH254" s="158"/>
      <c r="AI254" s="158"/>
      <c r="AJ254" s="158"/>
      <c r="AK254" s="158"/>
    </row>
    <row r="255" spans="2:37" ht="10.5" customHeight="1">
      <c r="B255" s="282"/>
      <c r="C255" s="377" t="s">
        <v>2124</v>
      </c>
      <c r="D255" s="439">
        <v>54100</v>
      </c>
      <c r="E255" s="282"/>
      <c r="F255" s="532"/>
      <c r="G255" s="967" t="s">
        <v>327</v>
      </c>
      <c r="H255" s="967" t="s">
        <v>1185</v>
      </c>
      <c r="I255" s="968" t="s">
        <v>328</v>
      </c>
      <c r="J255" s="968" t="s">
        <v>2545</v>
      </c>
      <c r="K255" s="969" t="s">
        <v>261</v>
      </c>
      <c r="L255" s="970" t="s">
        <v>415</v>
      </c>
      <c r="M255" s="1050" t="s">
        <v>2532</v>
      </c>
      <c r="N255" s="1050" t="s">
        <v>1293</v>
      </c>
      <c r="O255" s="1207" t="s">
        <v>4011</v>
      </c>
      <c r="P255" s="530" t="s">
        <v>349</v>
      </c>
      <c r="Q255" s="291"/>
      <c r="R255" s="170"/>
      <c r="S255" s="387"/>
      <c r="T255" s="491" t="s">
        <v>346</v>
      </c>
      <c r="U255" s="491" t="s">
        <v>2135</v>
      </c>
      <c r="W255" s="427" t="s">
        <v>2187</v>
      </c>
      <c r="X255" s="427" t="s">
        <v>3279</v>
      </c>
      <c r="Z255" s="427"/>
      <c r="AA255" s="158"/>
      <c r="AB255" s="158"/>
      <c r="AC255" s="889"/>
      <c r="AD255" s="502"/>
      <c r="AE255" s="158"/>
      <c r="AF255" s="158"/>
      <c r="AG255" s="158"/>
      <c r="AH255" s="158"/>
      <c r="AI255" s="158"/>
      <c r="AJ255" s="158"/>
      <c r="AK255" s="158"/>
    </row>
    <row r="256" spans="2:37" ht="10.5" customHeight="1">
      <c r="B256" s="282"/>
      <c r="C256" s="376" t="s">
        <v>2126</v>
      </c>
      <c r="D256" s="439">
        <v>23900</v>
      </c>
      <c r="E256" s="282"/>
      <c r="F256" s="532"/>
      <c r="G256" s="967" t="s">
        <v>420</v>
      </c>
      <c r="H256" s="967" t="s">
        <v>1185</v>
      </c>
      <c r="I256" s="971" t="s">
        <v>1293</v>
      </c>
      <c r="J256" s="971" t="s">
        <v>2546</v>
      </c>
      <c r="K256" s="969" t="s">
        <v>2513</v>
      </c>
      <c r="L256" s="970" t="s">
        <v>416</v>
      </c>
      <c r="M256" s="1049" t="s">
        <v>2532</v>
      </c>
      <c r="N256" s="1049" t="s">
        <v>1293</v>
      </c>
      <c r="O256" s="1207" t="s">
        <v>4012</v>
      </c>
      <c r="P256" s="530" t="s">
        <v>2231</v>
      </c>
      <c r="Q256" s="291"/>
      <c r="R256" s="170"/>
      <c r="S256" s="387"/>
      <c r="T256" s="491" t="s">
        <v>348</v>
      </c>
      <c r="U256" s="491" t="s">
        <v>931</v>
      </c>
      <c r="W256" s="427" t="s">
        <v>412</v>
      </c>
      <c r="X256" s="427" t="s">
        <v>3279</v>
      </c>
      <c r="Z256" s="427"/>
      <c r="AA256" s="158"/>
      <c r="AB256" s="158"/>
      <c r="AC256" s="889"/>
      <c r="AD256" s="502"/>
      <c r="AE256" s="158"/>
      <c r="AF256" s="158"/>
      <c r="AG256" s="158"/>
      <c r="AH256" s="158"/>
      <c r="AI256" s="158"/>
      <c r="AJ256" s="158"/>
      <c r="AK256" s="158"/>
    </row>
    <row r="257" spans="2:37" ht="10.5" customHeight="1">
      <c r="B257" s="282"/>
      <c r="C257" s="376" t="s">
        <v>2128</v>
      </c>
      <c r="D257" s="439">
        <v>44700</v>
      </c>
      <c r="E257" s="282"/>
      <c r="F257" s="532"/>
      <c r="G257" s="967" t="s">
        <v>421</v>
      </c>
      <c r="H257" s="967" t="s">
        <v>1284</v>
      </c>
      <c r="I257" s="971" t="s">
        <v>749</v>
      </c>
      <c r="J257" s="971" t="s">
        <v>2546</v>
      </c>
      <c r="K257" s="969" t="s">
        <v>262</v>
      </c>
      <c r="L257" s="970" t="s">
        <v>416</v>
      </c>
      <c r="M257" s="1049" t="s">
        <v>2532</v>
      </c>
      <c r="N257" s="1049" t="s">
        <v>1179</v>
      </c>
      <c r="O257" s="1207" t="s">
        <v>4013</v>
      </c>
      <c r="P257" s="530" t="s">
        <v>2233</v>
      </c>
      <c r="Q257" s="291"/>
      <c r="R257" s="170"/>
      <c r="S257" s="387"/>
      <c r="T257" s="491" t="s">
        <v>350</v>
      </c>
      <c r="U257" s="491" t="s">
        <v>1069</v>
      </c>
      <c r="W257" s="427" t="s">
        <v>2223</v>
      </c>
      <c r="X257" s="427" t="s">
        <v>3279</v>
      </c>
      <c r="Z257" s="427"/>
      <c r="AA257" s="158"/>
      <c r="AB257" s="158"/>
      <c r="AC257" s="889"/>
      <c r="AD257" s="502"/>
      <c r="AE257" s="158"/>
      <c r="AF257" s="158"/>
      <c r="AG257" s="158"/>
      <c r="AH257" s="158"/>
      <c r="AI257" s="158"/>
      <c r="AJ257" s="158"/>
      <c r="AK257" s="158"/>
    </row>
    <row r="258" spans="2:37" ht="10.5" customHeight="1">
      <c r="B258" s="282"/>
      <c r="C258" s="377" t="s">
        <v>2130</v>
      </c>
      <c r="D258" s="439">
        <v>47500</v>
      </c>
      <c r="E258" s="282"/>
      <c r="F258" s="532"/>
      <c r="G258" s="967" t="s">
        <v>1423</v>
      </c>
      <c r="H258" s="967" t="s">
        <v>1185</v>
      </c>
      <c r="I258" s="968" t="s">
        <v>1654</v>
      </c>
      <c r="J258" s="968" t="s">
        <v>2546</v>
      </c>
      <c r="K258" s="969" t="s">
        <v>2516</v>
      </c>
      <c r="L258" s="970" t="s">
        <v>416</v>
      </c>
      <c r="M258" s="1049" t="s">
        <v>2532</v>
      </c>
      <c r="N258" s="1049" t="s">
        <v>1654</v>
      </c>
      <c r="O258" s="1207" t="s">
        <v>4014</v>
      </c>
      <c r="P258" s="530" t="s">
        <v>2234</v>
      </c>
      <c r="Q258" s="291"/>
      <c r="R258" s="170"/>
      <c r="S258" s="387"/>
      <c r="T258" s="491" t="s">
        <v>612</v>
      </c>
      <c r="U258" s="491" t="s">
        <v>1424</v>
      </c>
      <c r="W258" s="427" t="s">
        <v>3269</v>
      </c>
      <c r="X258" s="427" t="s">
        <v>3279</v>
      </c>
      <c r="Z258" s="427"/>
      <c r="AA258" s="158"/>
      <c r="AB258" s="158"/>
      <c r="AC258" s="889"/>
      <c r="AD258" s="502"/>
      <c r="AE258" s="158"/>
      <c r="AF258" s="158"/>
      <c r="AG258" s="158"/>
      <c r="AH258" s="158"/>
      <c r="AI258" s="158"/>
      <c r="AJ258" s="158"/>
      <c r="AK258" s="158"/>
    </row>
    <row r="259" spans="2:37" ht="10.5" customHeight="1">
      <c r="B259" s="282"/>
      <c r="C259" s="377" t="s">
        <v>2132</v>
      </c>
      <c r="D259" s="439">
        <v>44200</v>
      </c>
      <c r="E259" s="282"/>
      <c r="F259" s="532"/>
      <c r="G259" s="967" t="s">
        <v>1424</v>
      </c>
      <c r="H259" s="967" t="s">
        <v>1284</v>
      </c>
      <c r="I259" s="968" t="s">
        <v>1425</v>
      </c>
      <c r="J259" s="968" t="s">
        <v>2545</v>
      </c>
      <c r="K259" s="969" t="s">
        <v>263</v>
      </c>
      <c r="L259" s="970" t="s">
        <v>415</v>
      </c>
      <c r="M259" s="1050" t="s">
        <v>2532</v>
      </c>
      <c r="N259" s="1050" t="s">
        <v>1293</v>
      </c>
      <c r="O259" s="1207" t="s">
        <v>4015</v>
      </c>
      <c r="P259" s="530" t="s">
        <v>2235</v>
      </c>
      <c r="Q259" s="291"/>
      <c r="R259" s="170"/>
      <c r="S259" s="387"/>
      <c r="T259" s="491" t="s">
        <v>2232</v>
      </c>
      <c r="U259" s="491" t="s">
        <v>651</v>
      </c>
      <c r="W259" s="427" t="s">
        <v>656</v>
      </c>
      <c r="X259" s="427" t="s">
        <v>3279</v>
      </c>
      <c r="Z259" s="427"/>
      <c r="AA259" s="158"/>
      <c r="AB259" s="158"/>
      <c r="AC259" s="889"/>
      <c r="AD259" s="502"/>
      <c r="AE259" s="158"/>
      <c r="AF259" s="158"/>
      <c r="AG259" s="158"/>
      <c r="AH259" s="158"/>
      <c r="AI259" s="158"/>
      <c r="AJ259" s="158"/>
      <c r="AK259" s="158"/>
    </row>
    <row r="260" spans="2:37" ht="10.5" customHeight="1">
      <c r="B260" s="282"/>
      <c r="C260" s="377" t="s">
        <v>2134</v>
      </c>
      <c r="D260" s="439">
        <v>49500</v>
      </c>
      <c r="E260" s="282"/>
      <c r="F260" s="532"/>
      <c r="G260" s="967" t="s">
        <v>1426</v>
      </c>
      <c r="H260" s="967" t="s">
        <v>1185</v>
      </c>
      <c r="I260" s="971" t="s">
        <v>1738</v>
      </c>
      <c r="J260" s="971" t="s">
        <v>2546</v>
      </c>
      <c r="K260" s="969" t="s">
        <v>1139</v>
      </c>
      <c r="L260" s="970" t="s">
        <v>416</v>
      </c>
      <c r="M260" s="1049" t="s">
        <v>2532</v>
      </c>
      <c r="N260" s="1049" t="s">
        <v>1738</v>
      </c>
      <c r="O260" s="1207" t="s">
        <v>4016</v>
      </c>
      <c r="P260" s="530" t="s">
        <v>1526</v>
      </c>
      <c r="Q260" s="291"/>
      <c r="R260" s="170"/>
      <c r="S260" s="387"/>
      <c r="T260" s="491" t="s">
        <v>1305</v>
      </c>
      <c r="U260" s="491" t="s">
        <v>649</v>
      </c>
      <c r="W260" s="427" t="s">
        <v>2326</v>
      </c>
      <c r="X260" s="427" t="s">
        <v>3279</v>
      </c>
      <c r="Z260" s="427"/>
      <c r="AA260" s="158"/>
      <c r="AB260" s="158"/>
      <c r="AC260" s="889"/>
      <c r="AD260" s="502"/>
      <c r="AE260" s="158"/>
      <c r="AF260" s="158"/>
      <c r="AG260" s="158"/>
      <c r="AH260" s="158"/>
      <c r="AI260" s="158"/>
      <c r="AJ260" s="158"/>
      <c r="AK260" s="158"/>
    </row>
    <row r="261" spans="2:37" ht="10.5" customHeight="1">
      <c r="B261" s="282"/>
      <c r="C261" s="377" t="s">
        <v>849</v>
      </c>
      <c r="D261" s="439">
        <v>33900</v>
      </c>
      <c r="E261" s="282"/>
      <c r="F261" s="532"/>
      <c r="G261" s="967" t="s">
        <v>1427</v>
      </c>
      <c r="H261" s="967" t="s">
        <v>1185</v>
      </c>
      <c r="I261" s="968" t="s">
        <v>750</v>
      </c>
      <c r="J261" s="968" t="s">
        <v>2546</v>
      </c>
      <c r="K261" s="969" t="s">
        <v>264</v>
      </c>
      <c r="L261" s="970" t="s">
        <v>416</v>
      </c>
      <c r="M261" s="1050" t="s">
        <v>1170</v>
      </c>
      <c r="N261" s="1050" t="s">
        <v>1299</v>
      </c>
      <c r="O261" s="1207" t="s">
        <v>4017</v>
      </c>
      <c r="P261" s="530" t="s">
        <v>1528</v>
      </c>
      <c r="Q261" s="291"/>
      <c r="R261" s="170"/>
      <c r="S261" s="387"/>
      <c r="T261" s="491" t="s">
        <v>2749</v>
      </c>
      <c r="U261" s="491" t="s">
        <v>651</v>
      </c>
      <c r="W261" s="427" t="s">
        <v>215</v>
      </c>
      <c r="X261" s="427" t="s">
        <v>3279</v>
      </c>
      <c r="Z261" s="427"/>
      <c r="AA261" s="158"/>
      <c r="AB261" s="158"/>
      <c r="AC261" s="889"/>
      <c r="AD261" s="502"/>
      <c r="AE261" s="158"/>
      <c r="AF261" s="158"/>
      <c r="AG261" s="158"/>
      <c r="AH261" s="158"/>
      <c r="AI261" s="158"/>
      <c r="AJ261" s="158"/>
      <c r="AK261" s="158"/>
    </row>
    <row r="262" spans="2:37" ht="10.5" customHeight="1">
      <c r="B262" s="282"/>
      <c r="C262" s="377" t="s">
        <v>851</v>
      </c>
      <c r="D262" s="439">
        <v>32400</v>
      </c>
      <c r="E262" s="282"/>
      <c r="F262" s="532"/>
      <c r="G262" s="967" t="s">
        <v>1428</v>
      </c>
      <c r="H262" s="967" t="s">
        <v>1284</v>
      </c>
      <c r="I262" s="968" t="s">
        <v>1429</v>
      </c>
      <c r="J262" s="968" t="s">
        <v>2546</v>
      </c>
      <c r="K262" s="969" t="s">
        <v>3555</v>
      </c>
      <c r="L262" s="970" t="s">
        <v>416</v>
      </c>
      <c r="M262" s="1050" t="s">
        <v>2532</v>
      </c>
      <c r="N262" s="1050" t="s">
        <v>1303</v>
      </c>
      <c r="O262" s="1207" t="s">
        <v>4018</v>
      </c>
      <c r="P262" s="530" t="s">
        <v>1530</v>
      </c>
      <c r="Q262" s="291"/>
      <c r="R262" s="170"/>
      <c r="S262" s="387"/>
      <c r="T262" s="491" t="s">
        <v>2236</v>
      </c>
      <c r="U262" s="491" t="s">
        <v>101</v>
      </c>
      <c r="W262" s="427" t="s">
        <v>641</v>
      </c>
      <c r="X262" s="427" t="s">
        <v>3279</v>
      </c>
      <c r="Z262" s="427"/>
      <c r="AA262" s="158"/>
      <c r="AB262" s="158"/>
      <c r="AC262" s="889"/>
      <c r="AD262" s="502"/>
      <c r="AE262" s="158"/>
      <c r="AF262" s="158"/>
      <c r="AG262" s="158"/>
      <c r="AH262" s="158"/>
      <c r="AI262" s="158"/>
      <c r="AJ262" s="158"/>
      <c r="AK262" s="158"/>
    </row>
    <row r="263" spans="2:37" ht="10.5" customHeight="1">
      <c r="B263" s="282"/>
      <c r="C263" s="377" t="s">
        <v>1628</v>
      </c>
      <c r="D263" s="439">
        <v>49200</v>
      </c>
      <c r="E263" s="282"/>
      <c r="F263" s="532"/>
      <c r="G263" s="967" t="s">
        <v>1430</v>
      </c>
      <c r="H263" s="967" t="s">
        <v>1185</v>
      </c>
      <c r="I263" s="968" t="s">
        <v>1431</v>
      </c>
      <c r="J263" s="968" t="s">
        <v>2546</v>
      </c>
      <c r="K263" s="969" t="s">
        <v>675</v>
      </c>
      <c r="L263" s="970" t="s">
        <v>416</v>
      </c>
      <c r="M263" s="1049" t="s">
        <v>2532</v>
      </c>
      <c r="N263" s="1049" t="s">
        <v>1299</v>
      </c>
      <c r="O263" s="1207" t="s">
        <v>4019</v>
      </c>
      <c r="P263" s="530" t="s">
        <v>1532</v>
      </c>
      <c r="Q263" s="291"/>
      <c r="R263" s="170"/>
      <c r="S263" s="387"/>
      <c r="T263" s="491" t="s">
        <v>1527</v>
      </c>
      <c r="U263" s="491" t="s">
        <v>1600</v>
      </c>
      <c r="W263" s="427" t="s">
        <v>229</v>
      </c>
      <c r="X263" s="427" t="s">
        <v>3279</v>
      </c>
      <c r="Z263" s="427"/>
      <c r="AA263" s="158"/>
      <c r="AB263" s="158"/>
      <c r="AC263" s="889"/>
      <c r="AD263" s="502"/>
      <c r="AE263" s="158"/>
      <c r="AF263" s="158"/>
      <c r="AG263" s="158"/>
      <c r="AH263" s="158"/>
      <c r="AI263" s="158"/>
      <c r="AJ263" s="158"/>
      <c r="AK263" s="158"/>
    </row>
    <row r="264" spans="2:37" ht="10.5" customHeight="1">
      <c r="B264" s="282"/>
      <c r="C264" s="377" t="s">
        <v>1861</v>
      </c>
      <c r="D264" s="439">
        <v>48500</v>
      </c>
      <c r="E264" s="282"/>
      <c r="F264" s="532"/>
      <c r="G264" s="967" t="s">
        <v>171</v>
      </c>
      <c r="H264" s="967" t="s">
        <v>1185</v>
      </c>
      <c r="I264" s="968" t="s">
        <v>1654</v>
      </c>
      <c r="J264" s="968" t="s">
        <v>2546</v>
      </c>
      <c r="K264" s="969" t="s">
        <v>2516</v>
      </c>
      <c r="L264" s="970" t="s">
        <v>416</v>
      </c>
      <c r="M264" s="1050" t="s">
        <v>1170</v>
      </c>
      <c r="N264" s="1050" t="s">
        <v>1654</v>
      </c>
      <c r="O264" s="1207" t="s">
        <v>4020</v>
      </c>
      <c r="P264" s="530" t="s">
        <v>1534</v>
      </c>
      <c r="Q264" s="291"/>
      <c r="R264" s="170"/>
      <c r="S264" s="387"/>
      <c r="T264" s="491" t="s">
        <v>2498</v>
      </c>
      <c r="U264" s="491" t="s">
        <v>610</v>
      </c>
      <c r="W264" s="427" t="s">
        <v>642</v>
      </c>
      <c r="X264" s="427" t="s">
        <v>3279</v>
      </c>
      <c r="Z264" s="427"/>
      <c r="AA264" s="158"/>
      <c r="AB264" s="158"/>
      <c r="AC264" s="889"/>
      <c r="AD264" s="502"/>
      <c r="AE264" s="158"/>
      <c r="AF264" s="158"/>
      <c r="AG264" s="158"/>
      <c r="AH264" s="158"/>
      <c r="AI264" s="158"/>
      <c r="AJ264" s="158"/>
      <c r="AK264" s="158"/>
    </row>
    <row r="265" spans="2:37" ht="10.5" customHeight="1">
      <c r="B265" s="282"/>
      <c r="C265" s="376" t="s">
        <v>1863</v>
      </c>
      <c r="D265" s="439">
        <v>47500</v>
      </c>
      <c r="E265" s="282"/>
      <c r="F265" s="532"/>
      <c r="G265" s="967" t="s">
        <v>172</v>
      </c>
      <c r="H265" s="967" t="s">
        <v>1284</v>
      </c>
      <c r="I265" s="971" t="s">
        <v>173</v>
      </c>
      <c r="J265" s="971" t="s">
        <v>2545</v>
      </c>
      <c r="K265" s="969" t="s">
        <v>676</v>
      </c>
      <c r="L265" s="970" t="s">
        <v>415</v>
      </c>
      <c r="M265" s="1050" t="s">
        <v>2532</v>
      </c>
      <c r="N265" s="1050" t="s">
        <v>1179</v>
      </c>
      <c r="O265" s="1207" t="s">
        <v>4021</v>
      </c>
      <c r="P265" s="530" t="s">
        <v>1699</v>
      </c>
      <c r="Q265" s="291"/>
      <c r="R265" s="170"/>
      <c r="S265" s="387"/>
      <c r="T265" s="491" t="s">
        <v>1529</v>
      </c>
      <c r="U265" s="491" t="s">
        <v>642</v>
      </c>
      <c r="W265" s="427" t="s">
        <v>767</v>
      </c>
      <c r="X265" s="427" t="s">
        <v>3279</v>
      </c>
      <c r="Z265" s="427"/>
      <c r="AA265" s="158"/>
      <c r="AB265" s="158"/>
      <c r="AC265" s="889"/>
      <c r="AD265" s="502"/>
      <c r="AE265" s="158"/>
      <c r="AF265" s="158"/>
      <c r="AG265" s="158"/>
      <c r="AH265" s="158"/>
      <c r="AI265" s="158"/>
      <c r="AJ265" s="158"/>
      <c r="AK265" s="158"/>
    </row>
    <row r="266" spans="2:37" ht="10.5" customHeight="1">
      <c r="B266" s="282"/>
      <c r="C266" s="376" t="s">
        <v>1865</v>
      </c>
      <c r="D266" s="439">
        <v>51800</v>
      </c>
      <c r="E266" s="282"/>
      <c r="F266" s="532"/>
      <c r="G266" s="967" t="s">
        <v>1293</v>
      </c>
      <c r="H266" s="967" t="s">
        <v>1185</v>
      </c>
      <c r="I266" s="968" t="s">
        <v>174</v>
      </c>
      <c r="J266" s="968" t="s">
        <v>2545</v>
      </c>
      <c r="K266" s="969" t="s">
        <v>677</v>
      </c>
      <c r="L266" s="970" t="s">
        <v>415</v>
      </c>
      <c r="M266" s="1050" t="s">
        <v>2532</v>
      </c>
      <c r="N266" s="1050" t="s">
        <v>1293</v>
      </c>
      <c r="O266" s="1207" t="s">
        <v>4022</v>
      </c>
      <c r="P266" s="530" t="s">
        <v>1701</v>
      </c>
      <c r="Q266" s="291"/>
      <c r="R266" s="170"/>
      <c r="S266" s="387"/>
      <c r="T266" s="491" t="s">
        <v>2750</v>
      </c>
      <c r="U266" s="491" t="s">
        <v>2185</v>
      </c>
      <c r="W266" s="427" t="s">
        <v>3270</v>
      </c>
      <c r="X266" s="427" t="s">
        <v>3279</v>
      </c>
      <c r="Z266" s="427"/>
      <c r="AA266" s="158"/>
      <c r="AB266" s="158"/>
      <c r="AC266" s="889"/>
      <c r="AD266" s="502"/>
      <c r="AE266" s="158"/>
      <c r="AF266" s="158"/>
      <c r="AG266" s="158"/>
      <c r="AH266" s="158"/>
      <c r="AI266" s="158"/>
      <c r="AJ266" s="158"/>
      <c r="AK266" s="158"/>
    </row>
    <row r="267" spans="2:37" ht="10.5" customHeight="1">
      <c r="B267" s="282"/>
      <c r="C267" s="376" t="s">
        <v>1867</v>
      </c>
      <c r="D267" s="439">
        <v>58900</v>
      </c>
      <c r="E267" s="282"/>
      <c r="F267" s="532"/>
      <c r="G267" s="967" t="s">
        <v>175</v>
      </c>
      <c r="H267" s="967" t="s">
        <v>1284</v>
      </c>
      <c r="I267" s="968" t="s">
        <v>1995</v>
      </c>
      <c r="J267" s="968" t="s">
        <v>2546</v>
      </c>
      <c r="K267" s="969" t="s">
        <v>602</v>
      </c>
      <c r="L267" s="970" t="s">
        <v>416</v>
      </c>
      <c r="M267" s="1049" t="s">
        <v>2532</v>
      </c>
      <c r="N267" s="1049" t="s">
        <v>162</v>
      </c>
      <c r="O267" s="1207" t="s">
        <v>4023</v>
      </c>
      <c r="P267" s="530" t="s">
        <v>1703</v>
      </c>
      <c r="Q267" s="291"/>
      <c r="R267" s="170"/>
      <c r="S267" s="387"/>
      <c r="T267" s="491" t="s">
        <v>1531</v>
      </c>
      <c r="U267" s="491" t="s">
        <v>160</v>
      </c>
      <c r="W267" s="427" t="s">
        <v>3271</v>
      </c>
      <c r="X267" s="427" t="s">
        <v>3279</v>
      </c>
      <c r="Z267" s="427"/>
      <c r="AA267" s="158"/>
      <c r="AB267" s="158"/>
      <c r="AC267" s="889"/>
      <c r="AD267" s="502"/>
      <c r="AE267" s="158"/>
      <c r="AF267" s="158"/>
      <c r="AG267" s="158"/>
      <c r="AH267" s="158"/>
      <c r="AI267" s="158"/>
      <c r="AJ267" s="158"/>
      <c r="AK267" s="158"/>
    </row>
    <row r="268" spans="2:37" ht="10.5" customHeight="1">
      <c r="B268" s="282"/>
      <c r="C268" s="376" t="s">
        <v>1869</v>
      </c>
      <c r="D268" s="439">
        <v>54800</v>
      </c>
      <c r="E268" s="282"/>
      <c r="F268" s="532"/>
      <c r="G268" s="967" t="s">
        <v>351</v>
      </c>
      <c r="H268" s="967" t="s">
        <v>1185</v>
      </c>
      <c r="I268" s="971" t="s">
        <v>157</v>
      </c>
      <c r="J268" s="971" t="s">
        <v>2546</v>
      </c>
      <c r="K268" s="969" t="s">
        <v>1640</v>
      </c>
      <c r="L268" s="970" t="s">
        <v>416</v>
      </c>
      <c r="M268" s="1049" t="s">
        <v>2532</v>
      </c>
      <c r="N268" s="1049" t="s">
        <v>157</v>
      </c>
      <c r="O268" s="1207" t="s">
        <v>4024</v>
      </c>
      <c r="P268" s="530" t="s">
        <v>1001</v>
      </c>
      <c r="Q268" s="291"/>
      <c r="R268" s="170"/>
      <c r="S268" s="387"/>
      <c r="T268" s="491" t="s">
        <v>1533</v>
      </c>
      <c r="U268" s="491" t="s">
        <v>1286</v>
      </c>
      <c r="W268" s="427" t="s">
        <v>1195</v>
      </c>
      <c r="X268" s="427" t="s">
        <v>3279</v>
      </c>
      <c r="Z268" s="427"/>
      <c r="AA268" s="158"/>
      <c r="AB268" s="158"/>
      <c r="AC268" s="889"/>
      <c r="AD268" s="502"/>
      <c r="AE268" s="158"/>
      <c r="AF268" s="158"/>
      <c r="AG268" s="158"/>
      <c r="AH268" s="158"/>
      <c r="AI268" s="158"/>
      <c r="AJ268" s="158"/>
      <c r="AK268" s="158"/>
    </row>
    <row r="269" spans="2:37" ht="10.5" customHeight="1">
      <c r="B269" s="282"/>
      <c r="C269" s="376" t="s">
        <v>1871</v>
      </c>
      <c r="D269" s="439">
        <v>45300</v>
      </c>
      <c r="E269" s="282"/>
      <c r="F269" s="532"/>
      <c r="G269" s="967" t="s">
        <v>1829</v>
      </c>
      <c r="H269" s="967" t="s">
        <v>1284</v>
      </c>
      <c r="I269" s="971" t="s">
        <v>747</v>
      </c>
      <c r="J269" s="971" t="s">
        <v>2546</v>
      </c>
      <c r="K269" s="969" t="s">
        <v>2531</v>
      </c>
      <c r="L269" s="970" t="s">
        <v>416</v>
      </c>
      <c r="M269" s="1049" t="s">
        <v>2532</v>
      </c>
      <c r="N269" s="1049" t="s">
        <v>1303</v>
      </c>
      <c r="O269" s="1207" t="s">
        <v>4025</v>
      </c>
      <c r="P269" s="530" t="s">
        <v>1002</v>
      </c>
      <c r="Q269" s="291"/>
      <c r="R269" s="170"/>
      <c r="S269" s="387"/>
      <c r="T269" s="491" t="s">
        <v>1535</v>
      </c>
      <c r="U269" s="491" t="s">
        <v>175</v>
      </c>
      <c r="W269" s="427" t="s">
        <v>662</v>
      </c>
      <c r="X269" s="427" t="s">
        <v>3279</v>
      </c>
      <c r="Z269" s="427"/>
      <c r="AA269" s="158"/>
      <c r="AB269" s="158"/>
      <c r="AC269" s="889"/>
      <c r="AD269" s="502"/>
      <c r="AE269" s="158"/>
      <c r="AF269" s="158"/>
      <c r="AG269" s="158"/>
      <c r="AH269" s="158"/>
      <c r="AI269" s="158"/>
      <c r="AJ269" s="158"/>
      <c r="AK269" s="158"/>
    </row>
    <row r="270" spans="2:37" ht="10.5" customHeight="1">
      <c r="B270" s="282"/>
      <c r="C270" s="377" t="s">
        <v>1874</v>
      </c>
      <c r="D270" s="439">
        <v>57100</v>
      </c>
      <c r="E270" s="282"/>
      <c r="F270" s="532"/>
      <c r="G270" s="967" t="s">
        <v>1830</v>
      </c>
      <c r="H270" s="967" t="s">
        <v>1185</v>
      </c>
      <c r="I270" s="968" t="s">
        <v>9</v>
      </c>
      <c r="J270" s="968" t="s">
        <v>2546</v>
      </c>
      <c r="K270" s="969" t="s">
        <v>2515</v>
      </c>
      <c r="L270" s="970" t="s">
        <v>416</v>
      </c>
      <c r="M270" s="1049" t="s">
        <v>2532</v>
      </c>
      <c r="N270" s="1049" t="s">
        <v>1299</v>
      </c>
      <c r="O270" s="1207" t="s">
        <v>4026</v>
      </c>
      <c r="P270" s="530" t="s">
        <v>231</v>
      </c>
      <c r="Q270" s="291"/>
      <c r="R270" s="170"/>
      <c r="S270" s="387"/>
      <c r="T270" s="491" t="s">
        <v>1700</v>
      </c>
      <c r="U270" s="491" t="s">
        <v>642</v>
      </c>
      <c r="W270" s="427" t="s">
        <v>649</v>
      </c>
      <c r="X270" s="427" t="s">
        <v>3279</v>
      </c>
      <c r="Z270" s="427"/>
      <c r="AA270" s="158"/>
      <c r="AB270" s="158"/>
      <c r="AC270" s="889"/>
      <c r="AD270" s="502"/>
      <c r="AE270" s="158"/>
      <c r="AF270" s="158"/>
      <c r="AG270" s="158"/>
      <c r="AH270" s="158"/>
      <c r="AI270" s="158"/>
      <c r="AJ270" s="158"/>
      <c r="AK270" s="158"/>
    </row>
    <row r="271" spans="2:37" ht="10.5" customHeight="1">
      <c r="B271" s="282"/>
      <c r="C271" s="376" t="s">
        <v>1959</v>
      </c>
      <c r="D271" s="439">
        <v>50500</v>
      </c>
      <c r="E271" s="282"/>
      <c r="F271" s="532"/>
      <c r="G271" s="967" t="s">
        <v>1831</v>
      </c>
      <c r="H271" s="967" t="s">
        <v>1185</v>
      </c>
      <c r="I271" s="971" t="s">
        <v>751</v>
      </c>
      <c r="J271" s="971" t="s">
        <v>2546</v>
      </c>
      <c r="K271" s="969" t="s">
        <v>678</v>
      </c>
      <c r="L271" s="970" t="s">
        <v>416</v>
      </c>
      <c r="M271" s="1049" t="s">
        <v>2532</v>
      </c>
      <c r="N271" s="1049" t="s">
        <v>1179</v>
      </c>
      <c r="O271" s="1207" t="s">
        <v>4027</v>
      </c>
      <c r="P271" s="530" t="s">
        <v>233</v>
      </c>
      <c r="Q271" s="291"/>
      <c r="R271" s="170"/>
      <c r="S271" s="387"/>
      <c r="T271" s="491" t="s">
        <v>1702</v>
      </c>
      <c r="U271" s="491" t="s">
        <v>715</v>
      </c>
      <c r="W271" s="427" t="s">
        <v>959</v>
      </c>
      <c r="X271" s="427" t="s">
        <v>3279</v>
      </c>
      <c r="Z271" s="427"/>
      <c r="AA271" s="158"/>
      <c r="AB271" s="158"/>
      <c r="AC271" s="889"/>
      <c r="AD271" s="502"/>
      <c r="AE271" s="158"/>
      <c r="AF271" s="158"/>
      <c r="AG271" s="158"/>
      <c r="AH271" s="158"/>
      <c r="AI271" s="158"/>
      <c r="AJ271" s="158"/>
      <c r="AK271" s="158"/>
    </row>
    <row r="272" spans="2:37" ht="10.5" customHeight="1">
      <c r="B272" s="282"/>
      <c r="C272" s="376" t="s">
        <v>1654</v>
      </c>
      <c r="D272" s="439">
        <v>54200</v>
      </c>
      <c r="E272" s="282"/>
      <c r="F272" s="532"/>
      <c r="G272" s="967" t="s">
        <v>1598</v>
      </c>
      <c r="H272" s="967" t="s">
        <v>1185</v>
      </c>
      <c r="I272" s="968" t="s">
        <v>1599</v>
      </c>
      <c r="J272" s="968" t="s">
        <v>2545</v>
      </c>
      <c r="K272" s="969" t="s">
        <v>679</v>
      </c>
      <c r="L272" s="970" t="s">
        <v>415</v>
      </c>
      <c r="M272" s="1050" t="s">
        <v>2532</v>
      </c>
      <c r="N272" s="1050" t="s">
        <v>1738</v>
      </c>
      <c r="O272" s="1207" t="s">
        <v>4028</v>
      </c>
      <c r="P272" s="530" t="s">
        <v>1237</v>
      </c>
      <c r="Q272" s="291"/>
      <c r="R272" s="170"/>
      <c r="S272" s="387"/>
      <c r="T272" s="491" t="s">
        <v>1000</v>
      </c>
      <c r="U272" s="491" t="s">
        <v>1287</v>
      </c>
      <c r="W272" s="427" t="s">
        <v>963</v>
      </c>
      <c r="X272" s="427" t="s">
        <v>3279</v>
      </c>
      <c r="Z272" s="427"/>
      <c r="AA272" s="158"/>
      <c r="AB272" s="158"/>
      <c r="AC272" s="889"/>
      <c r="AD272" s="502"/>
      <c r="AE272" s="158"/>
      <c r="AF272" s="158"/>
      <c r="AG272" s="158"/>
      <c r="AH272" s="158"/>
      <c r="AI272" s="158"/>
      <c r="AJ272" s="158"/>
      <c r="AK272" s="158"/>
    </row>
    <row r="273" spans="2:37" ht="10.5" customHeight="1">
      <c r="B273" s="282"/>
      <c r="C273" s="377" t="s">
        <v>100</v>
      </c>
      <c r="D273" s="439">
        <v>44800</v>
      </c>
      <c r="E273" s="282"/>
      <c r="F273" s="532"/>
      <c r="G273" s="967" t="s">
        <v>1600</v>
      </c>
      <c r="H273" s="967" t="s">
        <v>1185</v>
      </c>
      <c r="I273" s="968" t="s">
        <v>1601</v>
      </c>
      <c r="J273" s="968" t="s">
        <v>2545</v>
      </c>
      <c r="K273" s="969" t="s">
        <v>680</v>
      </c>
      <c r="L273" s="970" t="s">
        <v>415</v>
      </c>
      <c r="M273" s="1050" t="s">
        <v>2532</v>
      </c>
      <c r="N273" s="1050" t="s">
        <v>1738</v>
      </c>
      <c r="O273" s="1207" t="s">
        <v>4029</v>
      </c>
      <c r="P273" s="530" t="s">
        <v>2011</v>
      </c>
      <c r="Q273" s="291"/>
      <c r="R273" s="170"/>
      <c r="S273" s="387"/>
      <c r="T273" s="491" t="s">
        <v>1003</v>
      </c>
      <c r="U273" s="491" t="s">
        <v>640</v>
      </c>
      <c r="W273" s="427" t="s">
        <v>965</v>
      </c>
      <c r="X273" s="427" t="s">
        <v>3279</v>
      </c>
      <c r="Z273" s="427"/>
      <c r="AA273" s="158"/>
      <c r="AB273" s="158"/>
      <c r="AC273" s="889"/>
      <c r="AD273" s="502"/>
      <c r="AE273" s="158"/>
      <c r="AF273" s="158"/>
      <c r="AG273" s="158"/>
      <c r="AH273" s="158"/>
      <c r="AI273" s="158"/>
      <c r="AJ273" s="158"/>
      <c r="AK273" s="158"/>
    </row>
    <row r="274" spans="2:37" ht="10.5" customHeight="1">
      <c r="B274" s="282"/>
      <c r="C274" s="376" t="s">
        <v>1667</v>
      </c>
      <c r="D274" s="439">
        <v>75300</v>
      </c>
      <c r="E274" s="282"/>
      <c r="F274" s="532"/>
      <c r="G274" s="967" t="s">
        <v>1602</v>
      </c>
      <c r="H274" s="967" t="s">
        <v>1284</v>
      </c>
      <c r="I274" s="971" t="s">
        <v>1994</v>
      </c>
      <c r="J274" s="971" t="s">
        <v>2546</v>
      </c>
      <c r="K274" s="969" t="s">
        <v>681</v>
      </c>
      <c r="L274" s="970" t="s">
        <v>416</v>
      </c>
      <c r="M274" s="1049" t="s">
        <v>2532</v>
      </c>
      <c r="N274" s="1049" t="s">
        <v>1179</v>
      </c>
      <c r="O274" s="1207" t="s">
        <v>4030</v>
      </c>
      <c r="P274" s="530" t="s">
        <v>2013</v>
      </c>
      <c r="Q274" s="291"/>
      <c r="R274" s="170"/>
      <c r="S274" s="387"/>
      <c r="T274" s="491" t="s">
        <v>232</v>
      </c>
      <c r="U274" s="491" t="s">
        <v>2463</v>
      </c>
      <c r="W274" s="427" t="s">
        <v>557</v>
      </c>
      <c r="X274" s="427" t="s">
        <v>3279</v>
      </c>
      <c r="Z274" s="427"/>
      <c r="AA274" s="158"/>
      <c r="AB274" s="158"/>
      <c r="AC274" s="889"/>
      <c r="AD274" s="502"/>
      <c r="AE274" s="158"/>
      <c r="AF274" s="158"/>
      <c r="AG274" s="158"/>
      <c r="AH274" s="158"/>
      <c r="AI274" s="158"/>
      <c r="AJ274" s="158"/>
      <c r="AK274" s="158"/>
    </row>
    <row r="275" spans="2:37" ht="10.5" customHeight="1">
      <c r="B275" s="282"/>
      <c r="C275" s="376" t="s">
        <v>102</v>
      </c>
      <c r="D275" s="439">
        <v>42400</v>
      </c>
      <c r="F275" s="532"/>
      <c r="G275" s="967" t="s">
        <v>180</v>
      </c>
      <c r="H275" s="967" t="s">
        <v>1185</v>
      </c>
      <c r="I275" s="968" t="s">
        <v>181</v>
      </c>
      <c r="J275" s="968" t="s">
        <v>2545</v>
      </c>
      <c r="K275" s="969" t="s">
        <v>682</v>
      </c>
      <c r="L275" s="970" t="s">
        <v>415</v>
      </c>
      <c r="M275" s="1050" t="s">
        <v>2532</v>
      </c>
      <c r="N275" s="1050" t="s">
        <v>1299</v>
      </c>
      <c r="O275" s="1207" t="s">
        <v>4031</v>
      </c>
      <c r="P275" s="530" t="s">
        <v>2015</v>
      </c>
      <c r="Q275" s="291"/>
      <c r="R275" s="170"/>
      <c r="S275" s="387"/>
      <c r="T275" s="531" t="s">
        <v>2751</v>
      </c>
      <c r="U275" s="531" t="s">
        <v>853</v>
      </c>
      <c r="W275" s="427" t="s">
        <v>366</v>
      </c>
      <c r="X275" s="427" t="s">
        <v>3279</v>
      </c>
      <c r="Z275" s="427"/>
      <c r="AA275" s="158"/>
      <c r="AB275" s="158"/>
      <c r="AC275" s="889"/>
      <c r="AD275" s="502"/>
      <c r="AE275" s="158"/>
      <c r="AF275" s="158"/>
      <c r="AG275" s="158"/>
      <c r="AH275" s="158"/>
      <c r="AI275" s="158"/>
      <c r="AJ275" s="158"/>
      <c r="AK275" s="158"/>
    </row>
    <row r="276" spans="2:37" ht="10.5" customHeight="1">
      <c r="B276" s="282"/>
      <c r="C276" s="376" t="s">
        <v>104</v>
      </c>
      <c r="D276" s="439">
        <v>49600</v>
      </c>
      <c r="F276" s="532"/>
      <c r="G276" s="967" t="s">
        <v>2517</v>
      </c>
      <c r="H276" s="967" t="s">
        <v>1284</v>
      </c>
      <c r="I276" s="971" t="s">
        <v>2518</v>
      </c>
      <c r="J276" s="968" t="s">
        <v>2546</v>
      </c>
      <c r="K276" s="969" t="s">
        <v>3554</v>
      </c>
      <c r="L276" s="970" t="s">
        <v>416</v>
      </c>
      <c r="M276" s="1050" t="s">
        <v>2532</v>
      </c>
      <c r="N276" s="1050" t="s">
        <v>1179</v>
      </c>
      <c r="O276" s="1207" t="s">
        <v>4032</v>
      </c>
      <c r="P276" s="530" t="s">
        <v>2017</v>
      </c>
      <c r="Q276" s="291"/>
      <c r="R276" s="170"/>
      <c r="S276" s="387"/>
      <c r="T276" s="491" t="s">
        <v>1714</v>
      </c>
      <c r="U276" s="491" t="s">
        <v>1075</v>
      </c>
      <c r="W276" s="427" t="s">
        <v>1562</v>
      </c>
      <c r="X276" s="427" t="s">
        <v>3279</v>
      </c>
      <c r="Z276" s="427"/>
      <c r="AA276" s="158"/>
      <c r="AB276" s="158"/>
      <c r="AC276" s="890"/>
      <c r="AD276" s="502"/>
      <c r="AE276" s="158"/>
      <c r="AF276" s="158"/>
      <c r="AG276" s="158"/>
      <c r="AH276" s="158"/>
      <c r="AI276" s="158"/>
      <c r="AJ276" s="158"/>
      <c r="AK276" s="158"/>
    </row>
    <row r="277" spans="2:37" ht="10.5" customHeight="1">
      <c r="B277" s="282"/>
      <c r="C277" s="376" t="s">
        <v>106</v>
      </c>
      <c r="D277" s="439">
        <v>53900</v>
      </c>
      <c r="F277" s="532"/>
      <c r="G277" s="967" t="s">
        <v>2519</v>
      </c>
      <c r="H277" s="967" t="s">
        <v>1284</v>
      </c>
      <c r="I277" s="968" t="s">
        <v>2520</v>
      </c>
      <c r="J277" s="968" t="s">
        <v>2546</v>
      </c>
      <c r="K277" s="969" t="s">
        <v>1905</v>
      </c>
      <c r="L277" s="970" t="s">
        <v>416</v>
      </c>
      <c r="M277" s="1049" t="s">
        <v>2532</v>
      </c>
      <c r="N277" s="1049" t="s">
        <v>1179</v>
      </c>
      <c r="O277" s="1207" t="s">
        <v>4033</v>
      </c>
      <c r="P277" s="530" t="s">
        <v>2019</v>
      </c>
      <c r="Q277" s="291"/>
      <c r="R277" s="170"/>
      <c r="S277" s="387"/>
      <c r="T277" s="491" t="s">
        <v>2012</v>
      </c>
      <c r="U277" s="491" t="s">
        <v>315</v>
      </c>
      <c r="W277" s="427" t="s">
        <v>987</v>
      </c>
      <c r="X277" s="427" t="s">
        <v>3279</v>
      </c>
      <c r="Z277" s="427"/>
      <c r="AA277" s="158"/>
      <c r="AB277" s="158"/>
      <c r="AC277" s="889"/>
      <c r="AD277" s="502"/>
      <c r="AE277" s="158"/>
      <c r="AF277" s="158"/>
      <c r="AG277" s="158"/>
      <c r="AH277" s="158"/>
      <c r="AI277" s="158"/>
      <c r="AJ277" s="158"/>
      <c r="AK277" s="158"/>
    </row>
    <row r="278" spans="2:37" ht="10.5" customHeight="1">
      <c r="B278" s="282"/>
      <c r="C278" s="376" t="s">
        <v>108</v>
      </c>
      <c r="D278" s="439">
        <v>52800</v>
      </c>
      <c r="F278" s="532"/>
      <c r="G278" s="967" t="s">
        <v>2521</v>
      </c>
      <c r="H278" s="967" t="s">
        <v>1752</v>
      </c>
      <c r="I278" s="971" t="s">
        <v>157</v>
      </c>
      <c r="J278" s="971" t="s">
        <v>2546</v>
      </c>
      <c r="K278" s="969" t="s">
        <v>1640</v>
      </c>
      <c r="L278" s="970" t="s">
        <v>416</v>
      </c>
      <c r="M278" s="1050" t="s">
        <v>1170</v>
      </c>
      <c r="N278" s="1050" t="s">
        <v>157</v>
      </c>
      <c r="O278" s="1207" t="s">
        <v>4034</v>
      </c>
      <c r="P278" s="530" t="s">
        <v>2021</v>
      </c>
      <c r="Q278" s="291"/>
      <c r="R278" s="170"/>
      <c r="S278" s="387"/>
      <c r="T278" s="491" t="s">
        <v>2014</v>
      </c>
      <c r="U278" s="491" t="s">
        <v>313</v>
      </c>
      <c r="W278" s="427" t="s">
        <v>989</v>
      </c>
      <c r="X278" s="427" t="s">
        <v>3279</v>
      </c>
      <c r="Z278" s="427"/>
      <c r="AA278" s="158"/>
      <c r="AB278" s="158"/>
      <c r="AC278" s="889"/>
      <c r="AD278" s="502"/>
      <c r="AE278" s="158"/>
      <c r="AF278" s="158"/>
      <c r="AG278" s="158"/>
      <c r="AH278" s="158"/>
      <c r="AI278" s="158"/>
      <c r="AJ278" s="158"/>
      <c r="AK278" s="158"/>
    </row>
    <row r="279" spans="2:37" ht="10.5" customHeight="1">
      <c r="B279" s="282"/>
      <c r="C279" s="376" t="s">
        <v>110</v>
      </c>
      <c r="D279" s="439">
        <v>38500</v>
      </c>
      <c r="F279" s="532"/>
      <c r="G279" s="967" t="s">
        <v>2522</v>
      </c>
      <c r="H279" s="967" t="s">
        <v>1284</v>
      </c>
      <c r="I279" s="971" t="s">
        <v>746</v>
      </c>
      <c r="J279" s="971" t="s">
        <v>2546</v>
      </c>
      <c r="K279" s="969" t="s">
        <v>2510</v>
      </c>
      <c r="L279" s="970" t="s">
        <v>416</v>
      </c>
      <c r="M279" s="1049" t="s">
        <v>1170</v>
      </c>
      <c r="N279" s="1049" t="s">
        <v>1179</v>
      </c>
      <c r="O279" s="1207" t="s">
        <v>4035</v>
      </c>
      <c r="P279" s="530" t="s">
        <v>657</v>
      </c>
      <c r="Q279" s="291"/>
      <c r="R279" s="170"/>
      <c r="S279" s="387"/>
      <c r="T279" s="491" t="s">
        <v>2016</v>
      </c>
      <c r="U279" s="491" t="s">
        <v>610</v>
      </c>
      <c r="W279" s="427" t="s">
        <v>1637</v>
      </c>
      <c r="X279" s="427" t="s">
        <v>3279</v>
      </c>
      <c r="Z279" s="427"/>
      <c r="AA279" s="158"/>
      <c r="AB279" s="158"/>
      <c r="AC279" s="889"/>
      <c r="AD279" s="502"/>
      <c r="AE279" s="158"/>
      <c r="AF279" s="158"/>
      <c r="AG279" s="158"/>
      <c r="AH279" s="158"/>
      <c r="AI279" s="158"/>
      <c r="AJ279" s="158"/>
      <c r="AK279" s="158"/>
    </row>
    <row r="280" spans="2:37" ht="10.5" customHeight="1">
      <c r="B280" s="282"/>
      <c r="C280" s="376" t="s">
        <v>112</v>
      </c>
      <c r="D280" s="439">
        <v>53300</v>
      </c>
      <c r="F280" s="532"/>
      <c r="G280" s="967" t="s">
        <v>2523</v>
      </c>
      <c r="H280" s="967" t="s">
        <v>1284</v>
      </c>
      <c r="I280" s="968" t="s">
        <v>1995</v>
      </c>
      <c r="J280" s="968" t="s">
        <v>2546</v>
      </c>
      <c r="K280" s="969" t="s">
        <v>602</v>
      </c>
      <c r="L280" s="970" t="s">
        <v>416</v>
      </c>
      <c r="M280" s="1049" t="s">
        <v>2532</v>
      </c>
      <c r="N280" s="1049" t="s">
        <v>162</v>
      </c>
      <c r="O280" s="1207" t="s">
        <v>4036</v>
      </c>
      <c r="P280" s="530" t="s">
        <v>2269</v>
      </c>
      <c r="Q280" s="291"/>
      <c r="R280" s="170"/>
      <c r="S280" s="387"/>
      <c r="T280" s="491" t="s">
        <v>2018</v>
      </c>
      <c r="U280" s="491" t="s">
        <v>2519</v>
      </c>
      <c r="W280" s="427" t="s">
        <v>846</v>
      </c>
      <c r="X280" s="427" t="s">
        <v>3279</v>
      </c>
      <c r="Z280" s="427"/>
      <c r="AA280" s="158"/>
      <c r="AB280" s="158"/>
      <c r="AC280" s="889"/>
      <c r="AD280" s="502"/>
      <c r="AE280" s="158"/>
      <c r="AF280" s="158"/>
      <c r="AG280" s="158"/>
      <c r="AH280" s="158"/>
      <c r="AI280" s="158"/>
      <c r="AJ280" s="158"/>
      <c r="AK280" s="158"/>
    </row>
    <row r="281" spans="2:37" ht="10.5" customHeight="1">
      <c r="B281" s="282"/>
      <c r="C281" s="376" t="s">
        <v>2334</v>
      </c>
      <c r="D281" s="439">
        <v>48200</v>
      </c>
      <c r="F281" s="532"/>
      <c r="G281" s="967" t="s">
        <v>2524</v>
      </c>
      <c r="H281" s="967" t="s">
        <v>1284</v>
      </c>
      <c r="I281" s="968" t="s">
        <v>1995</v>
      </c>
      <c r="J281" s="968" t="s">
        <v>2546</v>
      </c>
      <c r="K281" s="969" t="s">
        <v>602</v>
      </c>
      <c r="L281" s="970" t="s">
        <v>416</v>
      </c>
      <c r="M281" s="1049" t="s">
        <v>2532</v>
      </c>
      <c r="N281" s="1049" t="s">
        <v>162</v>
      </c>
      <c r="O281" s="1207" t="s">
        <v>4037</v>
      </c>
      <c r="P281" s="530" t="s">
        <v>2270</v>
      </c>
      <c r="Q281" s="291"/>
      <c r="R281" s="170"/>
      <c r="S281" s="387"/>
      <c r="T281" s="491" t="s">
        <v>4239</v>
      </c>
      <c r="U281" s="491" t="s">
        <v>1180</v>
      </c>
      <c r="W281" s="427" t="s">
        <v>1697</v>
      </c>
      <c r="X281" s="427" t="s">
        <v>3279</v>
      </c>
      <c r="Z281" s="427"/>
      <c r="AA281" s="158"/>
      <c r="AB281" s="158"/>
      <c r="AC281" s="889"/>
      <c r="AD281" s="502"/>
      <c r="AE281" s="158"/>
      <c r="AF281" s="158"/>
      <c r="AG281" s="158"/>
      <c r="AH281" s="158"/>
      <c r="AI281" s="158"/>
      <c r="AJ281" s="158"/>
      <c r="AK281" s="158"/>
    </row>
    <row r="282" spans="2:37" ht="10.5" customHeight="1">
      <c r="B282" s="282"/>
      <c r="C282" s="376" t="s">
        <v>2336</v>
      </c>
      <c r="D282" s="439">
        <v>50500</v>
      </c>
      <c r="F282" s="532"/>
      <c r="G282" s="967" t="s">
        <v>2525</v>
      </c>
      <c r="H282" s="967" t="s">
        <v>1284</v>
      </c>
      <c r="I282" s="971" t="s">
        <v>746</v>
      </c>
      <c r="J282" s="971" t="s">
        <v>2546</v>
      </c>
      <c r="K282" s="969" t="s">
        <v>2510</v>
      </c>
      <c r="L282" s="970" t="s">
        <v>416</v>
      </c>
      <c r="M282" s="1049" t="s">
        <v>1170</v>
      </c>
      <c r="N282" s="1049" t="s">
        <v>1179</v>
      </c>
      <c r="O282" s="1207" t="s">
        <v>4038</v>
      </c>
      <c r="P282" s="530" t="s">
        <v>1220</v>
      </c>
      <c r="Q282" s="291"/>
      <c r="R282" s="170"/>
      <c r="S282" s="387"/>
      <c r="T282" s="491" t="s">
        <v>2499</v>
      </c>
      <c r="U282" s="491" t="s">
        <v>1960</v>
      </c>
      <c r="W282" s="427" t="s">
        <v>613</v>
      </c>
      <c r="X282" s="427" t="s">
        <v>3279</v>
      </c>
      <c r="Z282" s="427"/>
      <c r="AA282" s="158"/>
      <c r="AB282" s="158"/>
      <c r="AC282" s="889"/>
      <c r="AD282" s="502"/>
      <c r="AE282" s="158"/>
      <c r="AF282" s="158"/>
      <c r="AG282" s="158"/>
      <c r="AH282" s="158"/>
      <c r="AI282" s="158"/>
      <c r="AJ282" s="158"/>
      <c r="AK282" s="158"/>
    </row>
    <row r="283" spans="2:37" ht="10.5" customHeight="1">
      <c r="B283" s="282"/>
      <c r="C283" s="376" t="s">
        <v>2338</v>
      </c>
      <c r="D283" s="439">
        <v>53300</v>
      </c>
      <c r="F283" s="532"/>
      <c r="G283" s="967" t="s">
        <v>1069</v>
      </c>
      <c r="H283" s="967" t="s">
        <v>1284</v>
      </c>
      <c r="I283" s="971" t="s">
        <v>1070</v>
      </c>
      <c r="J283" s="971" t="s">
        <v>2546</v>
      </c>
      <c r="K283" s="969" t="s">
        <v>1906</v>
      </c>
      <c r="L283" s="970" t="s">
        <v>416</v>
      </c>
      <c r="M283" s="1050" t="s">
        <v>2532</v>
      </c>
      <c r="N283" s="1050" t="s">
        <v>1293</v>
      </c>
      <c r="O283" s="1207" t="s">
        <v>4039</v>
      </c>
      <c r="P283" s="530" t="s">
        <v>1222</v>
      </c>
      <c r="Q283" s="291"/>
      <c r="R283" s="170"/>
      <c r="S283" s="387"/>
      <c r="T283" s="491" t="s">
        <v>2020</v>
      </c>
      <c r="U283" s="491" t="s">
        <v>195</v>
      </c>
      <c r="W283" s="427" t="s">
        <v>2230</v>
      </c>
      <c r="X283" s="427" t="s">
        <v>3279</v>
      </c>
      <c r="Z283" s="427"/>
      <c r="AA283" s="158"/>
      <c r="AB283" s="158"/>
      <c r="AC283" s="889"/>
      <c r="AD283" s="502"/>
      <c r="AE283" s="158"/>
      <c r="AF283" s="158"/>
      <c r="AG283" s="158"/>
      <c r="AH283" s="158"/>
      <c r="AI283" s="158"/>
      <c r="AJ283" s="158"/>
      <c r="AK283" s="158"/>
    </row>
    <row r="284" spans="2:37" ht="10.5" customHeight="1">
      <c r="F284" s="532"/>
      <c r="G284" s="967" t="s">
        <v>1071</v>
      </c>
      <c r="H284" s="967" t="s">
        <v>1284</v>
      </c>
      <c r="I284" s="971" t="s">
        <v>746</v>
      </c>
      <c r="J284" s="971" t="s">
        <v>2546</v>
      </c>
      <c r="K284" s="969" t="s">
        <v>2510</v>
      </c>
      <c r="L284" s="970" t="s">
        <v>416</v>
      </c>
      <c r="M284" s="1049" t="s">
        <v>1170</v>
      </c>
      <c r="N284" s="1049" t="s">
        <v>1179</v>
      </c>
      <c r="O284" s="1207" t="s">
        <v>4040</v>
      </c>
      <c r="P284" s="530" t="s">
        <v>1224</v>
      </c>
      <c r="Q284" s="291"/>
      <c r="R284" s="170"/>
      <c r="S284" s="387"/>
      <c r="T284" s="491" t="s">
        <v>2752</v>
      </c>
      <c r="U284" s="491" t="s">
        <v>644</v>
      </c>
      <c r="W284" s="427" t="s">
        <v>1011</v>
      </c>
      <c r="X284" s="427" t="s">
        <v>3279</v>
      </c>
      <c r="Z284" s="158"/>
      <c r="AA284" s="158"/>
      <c r="AB284" s="158"/>
      <c r="AC284" s="889"/>
      <c r="AD284" s="502"/>
      <c r="AE284" s="158"/>
      <c r="AF284" s="158"/>
      <c r="AG284" s="158"/>
      <c r="AH284" s="158"/>
      <c r="AI284" s="158"/>
      <c r="AJ284" s="158"/>
      <c r="AK284" s="158"/>
    </row>
    <row r="285" spans="2:37" ht="10.5" customHeight="1">
      <c r="F285" s="532"/>
      <c r="G285" s="967" t="s">
        <v>1072</v>
      </c>
      <c r="H285" s="967" t="s">
        <v>1185</v>
      </c>
      <c r="I285" s="968" t="s">
        <v>1073</v>
      </c>
      <c r="J285" s="968" t="s">
        <v>2545</v>
      </c>
      <c r="K285" s="969" t="s">
        <v>1907</v>
      </c>
      <c r="L285" s="970" t="s">
        <v>415</v>
      </c>
      <c r="M285" s="1050" t="s">
        <v>2532</v>
      </c>
      <c r="N285" s="1050" t="s">
        <v>1654</v>
      </c>
      <c r="O285" s="1207" t="s">
        <v>4041</v>
      </c>
      <c r="P285" s="530" t="s">
        <v>1225</v>
      </c>
      <c r="Q285" s="291"/>
      <c r="R285" s="170"/>
      <c r="S285" s="387"/>
      <c r="T285" s="491" t="s">
        <v>2022</v>
      </c>
      <c r="U285" s="491" t="s">
        <v>195</v>
      </c>
      <c r="W285" s="427" t="s">
        <v>1897</v>
      </c>
      <c r="X285" s="427" t="s">
        <v>3279</v>
      </c>
      <c r="Z285" s="158"/>
      <c r="AA285" s="158"/>
      <c r="AB285" s="158"/>
      <c r="AC285" s="889"/>
      <c r="AD285" s="502"/>
      <c r="AE285" s="158"/>
      <c r="AF285" s="158"/>
      <c r="AG285" s="158"/>
      <c r="AH285" s="158"/>
      <c r="AI285" s="158"/>
      <c r="AJ285" s="158"/>
      <c r="AK285" s="158"/>
    </row>
    <row r="286" spans="2:37" ht="10.5" customHeight="1">
      <c r="F286" s="532"/>
      <c r="G286" s="967" t="s">
        <v>1074</v>
      </c>
      <c r="H286" s="967" t="s">
        <v>1284</v>
      </c>
      <c r="I286" s="971" t="s">
        <v>746</v>
      </c>
      <c r="J286" s="971" t="s">
        <v>2546</v>
      </c>
      <c r="K286" s="969" t="s">
        <v>2510</v>
      </c>
      <c r="L286" s="970" t="s">
        <v>416</v>
      </c>
      <c r="M286" s="1049" t="s">
        <v>1170</v>
      </c>
      <c r="N286" s="1049" t="s">
        <v>1179</v>
      </c>
      <c r="O286" s="1207" t="s">
        <v>4042</v>
      </c>
      <c r="P286" s="530" t="s">
        <v>1227</v>
      </c>
      <c r="Q286" s="291"/>
      <c r="R286" s="170"/>
      <c r="S286" s="387"/>
      <c r="T286" s="491" t="s">
        <v>658</v>
      </c>
      <c r="U286" s="491" t="s">
        <v>1960</v>
      </c>
      <c r="W286" s="427" t="s">
        <v>482</v>
      </c>
      <c r="X286" s="427" t="s">
        <v>3279</v>
      </c>
      <c r="Z286" s="158"/>
      <c r="AA286" s="158"/>
      <c r="AB286" s="158"/>
      <c r="AC286" s="889"/>
      <c r="AD286" s="502"/>
      <c r="AE286" s="158"/>
      <c r="AF286" s="158"/>
      <c r="AG286" s="158"/>
      <c r="AH286" s="158"/>
      <c r="AI286" s="158"/>
      <c r="AJ286" s="158"/>
      <c r="AK286" s="158"/>
    </row>
    <row r="287" spans="2:37" ht="10.5" customHeight="1">
      <c r="F287" s="532"/>
      <c r="G287" s="967" t="s">
        <v>1075</v>
      </c>
      <c r="H287" s="967" t="s">
        <v>1284</v>
      </c>
      <c r="I287" s="968" t="s">
        <v>1076</v>
      </c>
      <c r="J287" s="968" t="s">
        <v>2545</v>
      </c>
      <c r="K287" s="969" t="s">
        <v>1908</v>
      </c>
      <c r="L287" s="970" t="s">
        <v>415</v>
      </c>
      <c r="M287" s="1050" t="s">
        <v>2532</v>
      </c>
      <c r="N287" s="1050" t="s">
        <v>1179</v>
      </c>
      <c r="O287" s="1207" t="s">
        <v>4043</v>
      </c>
      <c r="P287" s="530" t="s">
        <v>2429</v>
      </c>
      <c r="Q287" s="291"/>
      <c r="R287" s="170"/>
      <c r="S287" s="387"/>
      <c r="T287" s="491" t="s">
        <v>2271</v>
      </c>
      <c r="U287" s="491" t="s">
        <v>119</v>
      </c>
      <c r="W287" s="427" t="s">
        <v>1608</v>
      </c>
      <c r="X287" s="427" t="s">
        <v>3279</v>
      </c>
      <c r="Z287" s="158"/>
      <c r="AA287" s="158"/>
      <c r="AB287" s="158"/>
      <c r="AC287" s="889"/>
      <c r="AD287" s="502"/>
      <c r="AE287" s="158"/>
      <c r="AF287" s="158"/>
      <c r="AG287" s="158"/>
      <c r="AH287" s="158"/>
      <c r="AI287" s="158"/>
      <c r="AJ287" s="158"/>
      <c r="AK287" s="158"/>
    </row>
    <row r="288" spans="2:37" ht="10.5" customHeight="1">
      <c r="F288" s="532"/>
      <c r="G288" s="967" t="s">
        <v>1077</v>
      </c>
      <c r="H288" s="967" t="s">
        <v>1185</v>
      </c>
      <c r="I288" s="971" t="s">
        <v>1078</v>
      </c>
      <c r="J288" s="971" t="s">
        <v>2546</v>
      </c>
      <c r="K288" s="969" t="s">
        <v>1909</v>
      </c>
      <c r="L288" s="970" t="s">
        <v>416</v>
      </c>
      <c r="M288" s="1050" t="s">
        <v>2532</v>
      </c>
      <c r="N288" s="1050" t="s">
        <v>1293</v>
      </c>
      <c r="O288" s="1207" t="s">
        <v>4044</v>
      </c>
      <c r="P288" s="530" t="s">
        <v>80</v>
      </c>
      <c r="Q288" s="291"/>
      <c r="R288" s="170"/>
      <c r="S288" s="387"/>
      <c r="T288" s="491" t="s">
        <v>1221</v>
      </c>
      <c r="U288" s="491" t="s">
        <v>610</v>
      </c>
      <c r="W288" s="427" t="s">
        <v>921</v>
      </c>
      <c r="X288" s="427" t="s">
        <v>3279</v>
      </c>
      <c r="Z288" s="158"/>
      <c r="AA288" s="158"/>
      <c r="AB288" s="158"/>
      <c r="AC288" s="889"/>
      <c r="AD288" s="502"/>
      <c r="AE288" s="158"/>
      <c r="AF288" s="158"/>
      <c r="AG288" s="158"/>
      <c r="AH288" s="158"/>
      <c r="AI288" s="158"/>
      <c r="AJ288" s="158"/>
      <c r="AK288" s="158"/>
    </row>
    <row r="289" spans="6:37" ht="10.5" customHeight="1">
      <c r="F289" s="532"/>
      <c r="G289" s="967" t="s">
        <v>1079</v>
      </c>
      <c r="H289" s="967" t="s">
        <v>1284</v>
      </c>
      <c r="I289" s="971" t="s">
        <v>1080</v>
      </c>
      <c r="J289" s="971" t="s">
        <v>2545</v>
      </c>
      <c r="K289" s="969" t="s">
        <v>1910</v>
      </c>
      <c r="L289" s="970" t="s">
        <v>415</v>
      </c>
      <c r="M289" s="1050" t="s">
        <v>2532</v>
      </c>
      <c r="N289" s="1050" t="s">
        <v>1179</v>
      </c>
      <c r="O289" s="1207" t="s">
        <v>4045</v>
      </c>
      <c r="P289" s="530" t="s">
        <v>81</v>
      </c>
      <c r="Q289" s="291"/>
      <c r="R289" s="170"/>
      <c r="S289" s="387"/>
      <c r="T289" s="491" t="s">
        <v>1223</v>
      </c>
      <c r="U289" s="491" t="s">
        <v>2187</v>
      </c>
      <c r="W289" s="427" t="s">
        <v>2248</v>
      </c>
      <c r="X289" s="427" t="s">
        <v>3279</v>
      </c>
      <c r="Z289" s="158"/>
      <c r="AA289" s="158"/>
      <c r="AB289" s="158"/>
      <c r="AC289" s="889"/>
      <c r="AD289" s="502"/>
      <c r="AE289" s="158"/>
      <c r="AF289" s="158"/>
      <c r="AG289" s="158"/>
      <c r="AH289" s="158"/>
      <c r="AI289" s="158"/>
      <c r="AJ289" s="158"/>
      <c r="AK289" s="158"/>
    </row>
    <row r="290" spans="6:37" ht="10.5" customHeight="1">
      <c r="F290" s="532"/>
      <c r="G290" s="967" t="s">
        <v>1081</v>
      </c>
      <c r="H290" s="967" t="s">
        <v>1185</v>
      </c>
      <c r="I290" s="968" t="s">
        <v>1082</v>
      </c>
      <c r="J290" s="968" t="s">
        <v>2545</v>
      </c>
      <c r="K290" s="969" t="s">
        <v>1740</v>
      </c>
      <c r="L290" s="970" t="s">
        <v>415</v>
      </c>
      <c r="M290" s="1050" t="s">
        <v>2532</v>
      </c>
      <c r="N290" s="1050" t="s">
        <v>157</v>
      </c>
      <c r="O290" s="1207" t="s">
        <v>4046</v>
      </c>
      <c r="P290" s="530" t="s">
        <v>82</v>
      </c>
      <c r="Q290" s="291"/>
      <c r="R290" s="170"/>
      <c r="S290" s="387"/>
      <c r="T290" s="491" t="s">
        <v>2419</v>
      </c>
      <c r="U290" s="491" t="s">
        <v>1083</v>
      </c>
      <c r="W290" s="427" t="s">
        <v>318</v>
      </c>
      <c r="X290" s="427" t="s">
        <v>3279</v>
      </c>
      <c r="Z290" s="158"/>
      <c r="AA290" s="158"/>
      <c r="AB290" s="158"/>
      <c r="AC290" s="889"/>
      <c r="AD290" s="502"/>
      <c r="AE290" s="158"/>
      <c r="AF290" s="158"/>
      <c r="AG290" s="158"/>
      <c r="AH290" s="158"/>
      <c r="AI290" s="158"/>
      <c r="AJ290" s="158"/>
      <c r="AK290" s="158"/>
    </row>
    <row r="291" spans="6:37" ht="10.5" customHeight="1">
      <c r="F291" s="532"/>
      <c r="G291" s="967" t="s">
        <v>1083</v>
      </c>
      <c r="H291" s="967" t="s">
        <v>1284</v>
      </c>
      <c r="I291" s="968" t="s">
        <v>1084</v>
      </c>
      <c r="J291" s="968" t="s">
        <v>2545</v>
      </c>
      <c r="K291" s="969" t="s">
        <v>1741</v>
      </c>
      <c r="L291" s="970" t="s">
        <v>415</v>
      </c>
      <c r="M291" s="1050" t="s">
        <v>2532</v>
      </c>
      <c r="N291" s="1050" t="s">
        <v>162</v>
      </c>
      <c r="O291" s="1207" t="s">
        <v>4047</v>
      </c>
      <c r="P291" s="530" t="s">
        <v>84</v>
      </c>
      <c r="Q291" s="291"/>
      <c r="R291" s="170"/>
      <c r="S291" s="387"/>
      <c r="T291" s="491" t="s">
        <v>1226</v>
      </c>
      <c r="U291" s="491" t="s">
        <v>306</v>
      </c>
      <c r="W291" s="427" t="s">
        <v>320</v>
      </c>
      <c r="X291" s="427" t="s">
        <v>3279</v>
      </c>
      <c r="Z291" s="158"/>
      <c r="AA291" s="158"/>
      <c r="AB291" s="158"/>
      <c r="AC291" s="889"/>
      <c r="AD291" s="502"/>
      <c r="AE291" s="158"/>
      <c r="AF291" s="158"/>
      <c r="AG291" s="158"/>
      <c r="AH291" s="158"/>
      <c r="AI291" s="158"/>
      <c r="AJ291" s="158"/>
      <c r="AK291" s="158"/>
    </row>
    <row r="292" spans="6:37" ht="10.5" customHeight="1">
      <c r="F292" s="532"/>
      <c r="G292" s="967" t="s">
        <v>1085</v>
      </c>
      <c r="H292" s="967" t="s">
        <v>1185</v>
      </c>
      <c r="I292" s="968" t="s">
        <v>1086</v>
      </c>
      <c r="J292" s="968" t="s">
        <v>2545</v>
      </c>
      <c r="K292" s="969" t="s">
        <v>1742</v>
      </c>
      <c r="L292" s="970" t="s">
        <v>415</v>
      </c>
      <c r="M292" s="1050" t="s">
        <v>2532</v>
      </c>
      <c r="N292" s="1050" t="s">
        <v>1738</v>
      </c>
      <c r="O292" s="1207" t="s">
        <v>4048</v>
      </c>
      <c r="P292" s="530" t="s">
        <v>1201</v>
      </c>
      <c r="Q292" s="291"/>
      <c r="R292" s="170"/>
      <c r="S292" s="387"/>
      <c r="T292" s="491" t="s">
        <v>2428</v>
      </c>
      <c r="U292" s="491" t="s">
        <v>111</v>
      </c>
      <c r="W292" s="427" t="s">
        <v>323</v>
      </c>
      <c r="X292" s="427" t="s">
        <v>3279</v>
      </c>
      <c r="Z292" s="158"/>
      <c r="AA292" s="158"/>
      <c r="AB292" s="158"/>
      <c r="AC292" s="889"/>
      <c r="AD292" s="502"/>
      <c r="AE292" s="158"/>
      <c r="AF292" s="158"/>
      <c r="AG292" s="158"/>
      <c r="AH292" s="158"/>
      <c r="AI292" s="158"/>
      <c r="AJ292" s="158"/>
      <c r="AK292" s="158"/>
    </row>
    <row r="293" spans="6:37" ht="10.5" customHeight="1">
      <c r="F293" s="532"/>
      <c r="G293" s="967" t="s">
        <v>1087</v>
      </c>
      <c r="H293" s="967" t="s">
        <v>1752</v>
      </c>
      <c r="I293" s="971" t="s">
        <v>747</v>
      </c>
      <c r="J293" s="971" t="s">
        <v>2546</v>
      </c>
      <c r="K293" s="969" t="s">
        <v>2531</v>
      </c>
      <c r="L293" s="970" t="s">
        <v>416</v>
      </c>
      <c r="M293" s="1050" t="s">
        <v>1170</v>
      </c>
      <c r="N293" s="1050" t="s">
        <v>1303</v>
      </c>
      <c r="O293" s="1207" t="s">
        <v>4049</v>
      </c>
      <c r="P293" s="530" t="s">
        <v>1203</v>
      </c>
      <c r="Q293" s="291"/>
      <c r="R293" s="170"/>
      <c r="S293" s="387"/>
      <c r="T293" s="491" t="s">
        <v>79</v>
      </c>
      <c r="U293" s="491" t="s">
        <v>192</v>
      </c>
      <c r="W293" s="427" t="s">
        <v>1712</v>
      </c>
      <c r="X293" s="427" t="s">
        <v>3279</v>
      </c>
      <c r="AA293" s="27"/>
      <c r="AB293" s="27"/>
      <c r="AC293" s="889"/>
      <c r="AD293" s="502"/>
    </row>
    <row r="294" spans="6:37" ht="10.5" customHeight="1">
      <c r="F294" s="532"/>
      <c r="G294" s="967" t="s">
        <v>1088</v>
      </c>
      <c r="H294" s="967" t="s">
        <v>1284</v>
      </c>
      <c r="I294" s="971" t="s">
        <v>746</v>
      </c>
      <c r="J294" s="971" t="s">
        <v>2546</v>
      </c>
      <c r="K294" s="969" t="s">
        <v>2510</v>
      </c>
      <c r="L294" s="970" t="s">
        <v>416</v>
      </c>
      <c r="M294" s="1049" t="s">
        <v>1170</v>
      </c>
      <c r="N294" s="1049" t="s">
        <v>1179</v>
      </c>
      <c r="O294" s="1207" t="s">
        <v>4050</v>
      </c>
      <c r="P294" s="530" t="s">
        <v>1205</v>
      </c>
      <c r="Q294" s="291"/>
      <c r="R294" s="170"/>
      <c r="S294" s="387"/>
      <c r="T294" s="491" t="s">
        <v>83</v>
      </c>
      <c r="U294" s="491" t="s">
        <v>2133</v>
      </c>
      <c r="W294" s="427" t="s">
        <v>673</v>
      </c>
      <c r="X294" s="427" t="s">
        <v>3279</v>
      </c>
      <c r="AA294" s="27"/>
      <c r="AB294" s="27"/>
      <c r="AC294" s="889"/>
      <c r="AD294" s="502"/>
    </row>
    <row r="295" spans="6:37" ht="10.5" customHeight="1">
      <c r="F295" s="532"/>
      <c r="G295" s="967" t="s">
        <v>1089</v>
      </c>
      <c r="H295" s="967" t="s">
        <v>1185</v>
      </c>
      <c r="I295" s="968" t="s">
        <v>2117</v>
      </c>
      <c r="J295" s="968" t="s">
        <v>2545</v>
      </c>
      <c r="K295" s="969" t="s">
        <v>1743</v>
      </c>
      <c r="L295" s="970" t="s">
        <v>415</v>
      </c>
      <c r="M295" s="1050" t="s">
        <v>2532</v>
      </c>
      <c r="N295" s="1050" t="s">
        <v>157</v>
      </c>
      <c r="O295" s="1207" t="s">
        <v>4051</v>
      </c>
      <c r="P295" s="530" t="s">
        <v>1207</v>
      </c>
      <c r="Q295" s="291"/>
      <c r="R295" s="170"/>
      <c r="S295" s="387"/>
      <c r="T295" s="491" t="s">
        <v>85</v>
      </c>
      <c r="U295" s="491" t="s">
        <v>1294</v>
      </c>
      <c r="W295" s="427" t="s">
        <v>2293</v>
      </c>
      <c r="X295" s="427" t="s">
        <v>3279</v>
      </c>
      <c r="AA295" s="27"/>
      <c r="AB295" s="27"/>
      <c r="AC295" s="889"/>
      <c r="AD295" s="502"/>
    </row>
    <row r="296" spans="6:37" ht="10.5" customHeight="1">
      <c r="F296" s="532"/>
      <c r="G296" s="967" t="s">
        <v>2118</v>
      </c>
      <c r="H296" s="967" t="s">
        <v>1185</v>
      </c>
      <c r="I296" s="968" t="s">
        <v>2119</v>
      </c>
      <c r="J296" s="968" t="s">
        <v>2545</v>
      </c>
      <c r="K296" s="969" t="s">
        <v>1744</v>
      </c>
      <c r="L296" s="970" t="s">
        <v>415</v>
      </c>
      <c r="M296" s="1050" t="s">
        <v>2532</v>
      </c>
      <c r="N296" s="1050" t="s">
        <v>1299</v>
      </c>
      <c r="O296" s="1207" t="s">
        <v>4052</v>
      </c>
      <c r="P296" s="530" t="s">
        <v>1209</v>
      </c>
      <c r="Q296" s="291"/>
      <c r="R296" s="170"/>
      <c r="S296" s="387"/>
      <c r="T296" s="491" t="s">
        <v>1202</v>
      </c>
      <c r="U296" s="491" t="s">
        <v>1903</v>
      </c>
      <c r="W296" s="427" t="s">
        <v>466</v>
      </c>
      <c r="X296" s="427" t="s">
        <v>3279</v>
      </c>
      <c r="AA296" s="27"/>
      <c r="AB296" s="27"/>
      <c r="AC296" s="889"/>
      <c r="AD296" s="502"/>
    </row>
    <row r="297" spans="6:37" ht="10.5" customHeight="1">
      <c r="F297" s="532"/>
      <c r="G297" s="967" t="s">
        <v>1575</v>
      </c>
      <c r="H297" s="967" t="s">
        <v>1575</v>
      </c>
      <c r="I297" s="967" t="s">
        <v>1575</v>
      </c>
      <c r="J297" s="968"/>
      <c r="K297" s="969"/>
      <c r="L297" s="970"/>
      <c r="M297" s="967" t="s">
        <v>1575</v>
      </c>
      <c r="N297" s="967" t="s">
        <v>1575</v>
      </c>
      <c r="O297" s="1207" t="s">
        <v>4053</v>
      </c>
      <c r="P297" s="530" t="s">
        <v>1211</v>
      </c>
      <c r="Q297" s="291"/>
      <c r="R297" s="170"/>
      <c r="S297" s="387"/>
      <c r="T297" s="491" t="s">
        <v>1204</v>
      </c>
      <c r="U297" s="491" t="s">
        <v>175</v>
      </c>
      <c r="W297" s="427" t="s">
        <v>3272</v>
      </c>
      <c r="X297" s="427" t="s">
        <v>3279</v>
      </c>
      <c r="AA297" s="27"/>
      <c r="AB297" s="27"/>
      <c r="AC297" s="889"/>
      <c r="AD297" s="502"/>
    </row>
    <row r="298" spans="6:37" ht="10.5" customHeight="1">
      <c r="F298" s="532"/>
      <c r="G298" s="967" t="s">
        <v>2120</v>
      </c>
      <c r="H298" s="967" t="s">
        <v>1185</v>
      </c>
      <c r="I298" s="971" t="s">
        <v>2121</v>
      </c>
      <c r="J298" s="968" t="s">
        <v>2545</v>
      </c>
      <c r="K298" s="969" t="s">
        <v>447</v>
      </c>
      <c r="L298" s="970" t="s">
        <v>415</v>
      </c>
      <c r="M298" s="1050" t="s">
        <v>2532</v>
      </c>
      <c r="N298" s="1050" t="s">
        <v>1738</v>
      </c>
      <c r="O298" s="1207" t="s">
        <v>4054</v>
      </c>
      <c r="P298" s="530" t="s">
        <v>870</v>
      </c>
      <c r="Q298" s="291"/>
      <c r="R298" s="170"/>
      <c r="S298" s="387"/>
      <c r="T298" s="531" t="s">
        <v>1206</v>
      </c>
      <c r="U298" s="531" t="s">
        <v>1085</v>
      </c>
      <c r="W298" s="427" t="s">
        <v>3273</v>
      </c>
      <c r="X298" s="427" t="s">
        <v>3279</v>
      </c>
      <c r="AA298" s="27"/>
      <c r="AB298" s="27"/>
      <c r="AC298" s="889"/>
      <c r="AD298" s="502"/>
    </row>
    <row r="299" spans="6:37" ht="10.5" customHeight="1">
      <c r="F299" s="532"/>
      <c r="G299" s="967" t="s">
        <v>2122</v>
      </c>
      <c r="H299" s="967" t="s">
        <v>1185</v>
      </c>
      <c r="I299" s="971" t="s">
        <v>746</v>
      </c>
      <c r="J299" s="971" t="s">
        <v>2546</v>
      </c>
      <c r="K299" s="969" t="s">
        <v>2510</v>
      </c>
      <c r="L299" s="970" t="s">
        <v>416</v>
      </c>
      <c r="M299" s="1049" t="s">
        <v>1170</v>
      </c>
      <c r="N299" s="1050" t="s">
        <v>1179</v>
      </c>
      <c r="O299" s="1207" t="s">
        <v>4055</v>
      </c>
      <c r="P299" s="530" t="s">
        <v>871</v>
      </c>
      <c r="Q299" s="291"/>
      <c r="R299" s="170"/>
      <c r="S299" s="387"/>
      <c r="T299" s="491" t="s">
        <v>1208</v>
      </c>
      <c r="U299" s="491" t="s">
        <v>1180</v>
      </c>
      <c r="W299" s="427" t="s">
        <v>76</v>
      </c>
      <c r="X299" s="427" t="s">
        <v>3279</v>
      </c>
      <c r="AA299" s="27"/>
      <c r="AB299" s="27"/>
      <c r="AC299" s="890"/>
      <c r="AD299" s="502"/>
    </row>
    <row r="300" spans="6:37" ht="10.5" customHeight="1">
      <c r="F300" s="532"/>
      <c r="G300" s="967" t="s">
        <v>2123</v>
      </c>
      <c r="H300" s="967" t="s">
        <v>1284</v>
      </c>
      <c r="I300" s="971" t="s">
        <v>2124</v>
      </c>
      <c r="J300" s="971" t="s">
        <v>2545</v>
      </c>
      <c r="K300" s="969" t="s">
        <v>216</v>
      </c>
      <c r="L300" s="970" t="s">
        <v>415</v>
      </c>
      <c r="M300" s="1050" t="s">
        <v>2532</v>
      </c>
      <c r="N300" s="1049" t="s">
        <v>162</v>
      </c>
      <c r="O300" s="1207" t="s">
        <v>4056</v>
      </c>
      <c r="P300" s="530" t="s">
        <v>873</v>
      </c>
      <c r="Q300" s="291"/>
      <c r="R300" s="170"/>
      <c r="S300" s="387"/>
      <c r="T300" s="491" t="s">
        <v>1210</v>
      </c>
      <c r="U300" s="491" t="s">
        <v>2133</v>
      </c>
      <c r="W300" s="427" t="s">
        <v>2351</v>
      </c>
      <c r="X300" s="427" t="s">
        <v>3279</v>
      </c>
      <c r="AA300" s="27"/>
      <c r="AB300" s="27"/>
      <c r="AC300" s="889"/>
      <c r="AD300" s="502"/>
    </row>
    <row r="301" spans="6:37" ht="10.5" customHeight="1">
      <c r="F301" s="532"/>
      <c r="G301" s="967" t="s">
        <v>2125</v>
      </c>
      <c r="H301" s="967" t="s">
        <v>1185</v>
      </c>
      <c r="I301" s="968" t="s">
        <v>2126</v>
      </c>
      <c r="J301" s="971" t="s">
        <v>2545</v>
      </c>
      <c r="K301" s="969" t="s">
        <v>1393</v>
      </c>
      <c r="L301" s="970" t="s">
        <v>415</v>
      </c>
      <c r="M301" s="1050" t="s">
        <v>2532</v>
      </c>
      <c r="N301" s="1050" t="s">
        <v>157</v>
      </c>
      <c r="O301" s="1207" t="s">
        <v>4057</v>
      </c>
      <c r="P301" s="530" t="s">
        <v>875</v>
      </c>
      <c r="Q301" s="291"/>
      <c r="R301" s="170"/>
      <c r="S301" s="387"/>
      <c r="T301" s="491" t="s">
        <v>2425</v>
      </c>
      <c r="U301" s="491" t="s">
        <v>1598</v>
      </c>
      <c r="W301" s="427" t="s">
        <v>596</v>
      </c>
      <c r="X301" s="427" t="s">
        <v>3279</v>
      </c>
      <c r="AA301" s="27"/>
      <c r="AB301" s="27"/>
      <c r="AC301" s="889"/>
      <c r="AD301" s="502"/>
    </row>
    <row r="302" spans="6:37" ht="10.5" customHeight="1">
      <c r="F302" s="532"/>
      <c r="G302" s="967" t="s">
        <v>2127</v>
      </c>
      <c r="H302" s="967" t="s">
        <v>1752</v>
      </c>
      <c r="I302" s="968" t="s">
        <v>2128</v>
      </c>
      <c r="J302" s="968" t="s">
        <v>2545</v>
      </c>
      <c r="K302" s="969" t="s">
        <v>1394</v>
      </c>
      <c r="L302" s="970" t="s">
        <v>415</v>
      </c>
      <c r="M302" s="1050" t="s">
        <v>2532</v>
      </c>
      <c r="N302" s="1050" t="s">
        <v>1738</v>
      </c>
      <c r="O302" s="1207" t="s">
        <v>4058</v>
      </c>
      <c r="P302" s="530" t="s">
        <v>2088</v>
      </c>
      <c r="Q302" s="291"/>
      <c r="R302" s="170"/>
      <c r="S302" s="387"/>
      <c r="T302" s="491" t="s">
        <v>157</v>
      </c>
      <c r="U302" s="491" t="s">
        <v>2521</v>
      </c>
      <c r="W302" s="427" t="s">
        <v>945</v>
      </c>
      <c r="X302" s="427" t="s">
        <v>3279</v>
      </c>
      <c r="AA302" s="27"/>
      <c r="AB302" s="27"/>
      <c r="AC302" s="889"/>
      <c r="AD302" s="502"/>
    </row>
    <row r="303" spans="6:37" ht="10.5" customHeight="1">
      <c r="F303" s="532"/>
      <c r="G303" s="967" t="s">
        <v>2129</v>
      </c>
      <c r="H303" s="967" t="s">
        <v>1185</v>
      </c>
      <c r="I303" s="968" t="s">
        <v>2130</v>
      </c>
      <c r="J303" s="968" t="s">
        <v>2545</v>
      </c>
      <c r="K303" s="969" t="s">
        <v>1395</v>
      </c>
      <c r="L303" s="970" t="s">
        <v>415</v>
      </c>
      <c r="M303" s="1050" t="s">
        <v>2532</v>
      </c>
      <c r="N303" s="1050" t="s">
        <v>157</v>
      </c>
      <c r="O303" s="1207" t="s">
        <v>4059</v>
      </c>
      <c r="P303" s="530" t="s">
        <v>2089</v>
      </c>
      <c r="Q303" s="291"/>
      <c r="R303" s="170"/>
      <c r="S303" s="387"/>
      <c r="T303" s="491" t="s">
        <v>872</v>
      </c>
      <c r="U303" s="491" t="s">
        <v>175</v>
      </c>
      <c r="W303" s="427" t="s">
        <v>1461</v>
      </c>
      <c r="X303" s="427" t="s">
        <v>3279</v>
      </c>
      <c r="AA303" s="27"/>
      <c r="AB303" s="27"/>
      <c r="AC303" s="889"/>
      <c r="AD303" s="502"/>
    </row>
    <row r="304" spans="6:37" ht="10.5" customHeight="1">
      <c r="F304" s="532"/>
      <c r="G304" s="967" t="s">
        <v>2131</v>
      </c>
      <c r="H304" s="967" t="s">
        <v>1284</v>
      </c>
      <c r="I304" s="968" t="s">
        <v>2132</v>
      </c>
      <c r="J304" s="968" t="s">
        <v>2545</v>
      </c>
      <c r="K304" s="969" t="s">
        <v>1965</v>
      </c>
      <c r="L304" s="970" t="s">
        <v>415</v>
      </c>
      <c r="M304" s="1050" t="s">
        <v>2532</v>
      </c>
      <c r="N304" s="1050" t="s">
        <v>162</v>
      </c>
      <c r="O304" s="1207" t="s">
        <v>4060</v>
      </c>
      <c r="P304" s="530" t="s">
        <v>2007</v>
      </c>
      <c r="Q304" s="291"/>
      <c r="R304" s="170"/>
      <c r="S304" s="387"/>
      <c r="T304" s="531" t="s">
        <v>874</v>
      </c>
      <c r="U304" s="531" t="s">
        <v>318</v>
      </c>
      <c r="W304" s="427" t="s">
        <v>2278</v>
      </c>
      <c r="X304" s="427" t="s">
        <v>3279</v>
      </c>
      <c r="AA304" s="27"/>
      <c r="AB304" s="27"/>
      <c r="AC304" s="889"/>
      <c r="AD304" s="502"/>
    </row>
    <row r="305" spans="6:30" ht="10.5" customHeight="1">
      <c r="F305" s="532"/>
      <c r="G305" s="967" t="s">
        <v>2133</v>
      </c>
      <c r="H305" s="967" t="s">
        <v>1185</v>
      </c>
      <c r="I305" s="968" t="s">
        <v>2134</v>
      </c>
      <c r="J305" s="968" t="s">
        <v>2545</v>
      </c>
      <c r="K305" s="969" t="s">
        <v>1966</v>
      </c>
      <c r="L305" s="970" t="s">
        <v>415</v>
      </c>
      <c r="M305" s="1050" t="s">
        <v>2532</v>
      </c>
      <c r="N305" s="1050" t="s">
        <v>1299</v>
      </c>
      <c r="O305" s="1207" t="s">
        <v>4061</v>
      </c>
      <c r="P305" s="530" t="s">
        <v>2009</v>
      </c>
      <c r="Q305" s="291"/>
      <c r="R305" s="170"/>
      <c r="S305" s="387"/>
      <c r="T305" s="491" t="s">
        <v>876</v>
      </c>
      <c r="U305" s="491" t="s">
        <v>1074</v>
      </c>
      <c r="W305" s="427" t="s">
        <v>801</v>
      </c>
      <c r="X305" s="427" t="s">
        <v>3279</v>
      </c>
      <c r="AA305" s="27"/>
      <c r="AB305" s="27"/>
      <c r="AC305" s="890"/>
      <c r="AD305" s="502"/>
    </row>
    <row r="306" spans="6:30" ht="10.5" customHeight="1">
      <c r="F306" s="532"/>
      <c r="G306" s="967" t="s">
        <v>2135</v>
      </c>
      <c r="H306" s="967" t="s">
        <v>1185</v>
      </c>
      <c r="I306" s="968" t="s">
        <v>849</v>
      </c>
      <c r="J306" s="968" t="s">
        <v>2545</v>
      </c>
      <c r="K306" s="969" t="s">
        <v>1967</v>
      </c>
      <c r="L306" s="970" t="s">
        <v>415</v>
      </c>
      <c r="M306" s="1050" t="s">
        <v>2532</v>
      </c>
      <c r="N306" s="1050" t="s">
        <v>157</v>
      </c>
      <c r="O306" s="1207" t="s">
        <v>4062</v>
      </c>
      <c r="P306" s="530" t="s">
        <v>580</v>
      </c>
      <c r="Q306" s="291"/>
      <c r="R306" s="170"/>
      <c r="S306" s="387"/>
      <c r="T306" s="491" t="s">
        <v>2500</v>
      </c>
      <c r="U306" s="491" t="s">
        <v>2419</v>
      </c>
      <c r="W306" s="427" t="s">
        <v>804</v>
      </c>
      <c r="X306" s="427" t="s">
        <v>3279</v>
      </c>
      <c r="AA306" s="27"/>
      <c r="AB306" s="27"/>
      <c r="AC306" s="889"/>
      <c r="AD306" s="502"/>
    </row>
    <row r="307" spans="6:30" ht="10.5" customHeight="1">
      <c r="F307" s="532"/>
      <c r="G307" s="967" t="s">
        <v>850</v>
      </c>
      <c r="H307" s="967" t="s">
        <v>1185</v>
      </c>
      <c r="I307" s="968" t="s">
        <v>851</v>
      </c>
      <c r="J307" s="968" t="s">
        <v>2545</v>
      </c>
      <c r="K307" s="969" t="s">
        <v>1968</v>
      </c>
      <c r="L307" s="970" t="s">
        <v>415</v>
      </c>
      <c r="M307" s="1050" t="s">
        <v>2532</v>
      </c>
      <c r="N307" s="1050" t="s">
        <v>1738</v>
      </c>
      <c r="O307" s="1207" t="s">
        <v>4063</v>
      </c>
      <c r="P307" s="530" t="s">
        <v>581</v>
      </c>
      <c r="Q307" s="291"/>
      <c r="R307" s="170"/>
      <c r="S307" s="387"/>
      <c r="T307" s="491" t="s">
        <v>2090</v>
      </c>
      <c r="U307" s="491" t="s">
        <v>1088</v>
      </c>
      <c r="W307" s="427" t="s">
        <v>1477</v>
      </c>
      <c r="X307" s="427" t="s">
        <v>3279</v>
      </c>
      <c r="AA307" s="27"/>
      <c r="AB307" s="27"/>
      <c r="AC307" s="889"/>
      <c r="AD307" s="502"/>
    </row>
    <row r="308" spans="6:30" ht="10.5" customHeight="1">
      <c r="F308" s="532"/>
      <c r="G308" s="967" t="s">
        <v>1626</v>
      </c>
      <c r="H308" s="967" t="s">
        <v>1185</v>
      </c>
      <c r="I308" s="971" t="s">
        <v>1738</v>
      </c>
      <c r="J308" s="968" t="s">
        <v>2546</v>
      </c>
      <c r="K308" s="969" t="s">
        <v>1139</v>
      </c>
      <c r="L308" s="970" t="s">
        <v>416</v>
      </c>
      <c r="M308" s="1049" t="s">
        <v>2532</v>
      </c>
      <c r="N308" s="1050" t="s">
        <v>1738</v>
      </c>
      <c r="O308" s="1207" t="s">
        <v>4064</v>
      </c>
      <c r="P308" s="530" t="s">
        <v>583</v>
      </c>
      <c r="Q308" s="291"/>
      <c r="R308" s="170"/>
      <c r="S308" s="387"/>
      <c r="T308" s="491" t="s">
        <v>2008</v>
      </c>
      <c r="U308" s="491" t="s">
        <v>1627</v>
      </c>
      <c r="W308" s="427" t="s">
        <v>474</v>
      </c>
      <c r="X308" s="427" t="s">
        <v>3279</v>
      </c>
      <c r="AA308" s="27"/>
      <c r="AB308" s="27"/>
      <c r="AC308" s="889"/>
      <c r="AD308" s="502"/>
    </row>
    <row r="309" spans="6:30" ht="10.5" customHeight="1">
      <c r="F309" s="532"/>
      <c r="G309" s="967" t="s">
        <v>1627</v>
      </c>
      <c r="H309" s="967" t="s">
        <v>1185</v>
      </c>
      <c r="I309" s="971" t="s">
        <v>1628</v>
      </c>
      <c r="J309" s="971" t="s">
        <v>2545</v>
      </c>
      <c r="K309" s="969" t="s">
        <v>1969</v>
      </c>
      <c r="L309" s="970" t="s">
        <v>415</v>
      </c>
      <c r="M309" s="1050" t="s">
        <v>2532</v>
      </c>
      <c r="N309" s="1049" t="s">
        <v>1654</v>
      </c>
      <c r="O309" s="1207" t="s">
        <v>4065</v>
      </c>
      <c r="P309" s="530" t="s">
        <v>585</v>
      </c>
      <c r="Q309" s="291"/>
      <c r="R309" s="170"/>
      <c r="S309" s="387"/>
      <c r="T309" s="491" t="s">
        <v>2010</v>
      </c>
      <c r="U309" s="491" t="s">
        <v>2467</v>
      </c>
      <c r="W309" s="427" t="s">
        <v>1366</v>
      </c>
      <c r="X309" s="427" t="s">
        <v>3279</v>
      </c>
      <c r="AA309" s="27"/>
      <c r="AB309" s="27"/>
      <c r="AC309" s="889"/>
      <c r="AD309" s="502"/>
    </row>
    <row r="310" spans="6:30" ht="10.5" customHeight="1">
      <c r="F310" s="532"/>
      <c r="G310" s="967" t="s">
        <v>1629</v>
      </c>
      <c r="H310" s="967" t="s">
        <v>1185</v>
      </c>
      <c r="I310" s="971" t="s">
        <v>1861</v>
      </c>
      <c r="J310" s="971" t="s">
        <v>2545</v>
      </c>
      <c r="K310" s="969" t="s">
        <v>1143</v>
      </c>
      <c r="L310" s="970" t="s">
        <v>415</v>
      </c>
      <c r="M310" s="1050" t="s">
        <v>2532</v>
      </c>
      <c r="N310" s="1050" t="s">
        <v>1738</v>
      </c>
      <c r="O310" s="1207" t="s">
        <v>4066</v>
      </c>
      <c r="P310" s="530" t="s">
        <v>586</v>
      </c>
      <c r="Q310" s="291"/>
      <c r="R310" s="170"/>
      <c r="S310" s="387"/>
      <c r="T310" s="491" t="s">
        <v>806</v>
      </c>
      <c r="U310" s="491" t="s">
        <v>313</v>
      </c>
      <c r="W310" s="427" t="s">
        <v>1368</v>
      </c>
      <c r="X310" s="427" t="s">
        <v>3279</v>
      </c>
      <c r="AA310" s="27"/>
      <c r="AB310" s="27"/>
      <c r="AC310" s="889"/>
      <c r="AD310" s="893"/>
    </row>
    <row r="311" spans="6:30" ht="10.5" customHeight="1">
      <c r="F311" s="532"/>
      <c r="G311" s="967" t="s">
        <v>1862</v>
      </c>
      <c r="H311" s="967" t="s">
        <v>1185</v>
      </c>
      <c r="I311" s="971" t="s">
        <v>1863</v>
      </c>
      <c r="J311" s="971" t="s">
        <v>2545</v>
      </c>
      <c r="K311" s="969" t="s">
        <v>1144</v>
      </c>
      <c r="L311" s="970" t="s">
        <v>415</v>
      </c>
      <c r="M311" s="1050" t="s">
        <v>2532</v>
      </c>
      <c r="N311" s="1050" t="s">
        <v>1299</v>
      </c>
      <c r="O311" s="1207" t="s">
        <v>4067</v>
      </c>
      <c r="P311" s="530" t="s">
        <v>587</v>
      </c>
      <c r="Q311" s="291"/>
      <c r="R311" s="170"/>
      <c r="S311" s="387"/>
      <c r="T311" s="491" t="s">
        <v>582</v>
      </c>
      <c r="U311" s="491" t="s">
        <v>119</v>
      </c>
      <c r="W311" s="427" t="s">
        <v>2427</v>
      </c>
      <c r="X311" s="427" t="s">
        <v>3279</v>
      </c>
      <c r="AA311" s="27"/>
      <c r="AB311" s="27"/>
      <c r="AC311" s="889"/>
      <c r="AD311" s="502"/>
    </row>
    <row r="312" spans="6:30" ht="10.5" customHeight="1">
      <c r="F312" s="532"/>
      <c r="G312" s="967" t="s">
        <v>1864</v>
      </c>
      <c r="H312" s="967" t="s">
        <v>1284</v>
      </c>
      <c r="I312" s="971" t="s">
        <v>1865</v>
      </c>
      <c r="J312" s="971" t="s">
        <v>2545</v>
      </c>
      <c r="K312" s="969" t="s">
        <v>1145</v>
      </c>
      <c r="L312" s="970" t="s">
        <v>415</v>
      </c>
      <c r="M312" s="1050" t="s">
        <v>2532</v>
      </c>
      <c r="N312" s="1050" t="s">
        <v>162</v>
      </c>
      <c r="O312" s="1207" t="s">
        <v>4068</v>
      </c>
      <c r="P312" s="530" t="s">
        <v>589</v>
      </c>
      <c r="Q312" s="291"/>
      <c r="R312" s="170"/>
      <c r="S312" s="387"/>
      <c r="T312" s="491" t="s">
        <v>2501</v>
      </c>
      <c r="U312" s="491" t="s">
        <v>1300</v>
      </c>
      <c r="W312" s="427" t="s">
        <v>1035</v>
      </c>
      <c r="X312" s="427" t="s">
        <v>3279</v>
      </c>
      <c r="AA312" s="27"/>
      <c r="AB312" s="27"/>
      <c r="AC312" s="889"/>
      <c r="AD312" s="502"/>
    </row>
    <row r="313" spans="6:30" ht="10.5" customHeight="1">
      <c r="F313" s="532"/>
      <c r="G313" s="967" t="s">
        <v>1866</v>
      </c>
      <c r="H313" s="967" t="s">
        <v>1185</v>
      </c>
      <c r="I313" s="971" t="s">
        <v>1867</v>
      </c>
      <c r="J313" s="971" t="s">
        <v>2545</v>
      </c>
      <c r="K313" s="969" t="s">
        <v>1146</v>
      </c>
      <c r="L313" s="970" t="s">
        <v>415</v>
      </c>
      <c r="M313" s="1050" t="s">
        <v>2532</v>
      </c>
      <c r="N313" s="1050" t="s">
        <v>1293</v>
      </c>
      <c r="O313" s="1207" t="s">
        <v>4069</v>
      </c>
      <c r="P313" s="530" t="s">
        <v>591</v>
      </c>
      <c r="Q313" s="291"/>
      <c r="R313" s="170"/>
      <c r="S313" s="387"/>
      <c r="T313" s="491" t="s">
        <v>584</v>
      </c>
      <c r="U313" s="491" t="s">
        <v>2522</v>
      </c>
      <c r="W313" s="427" t="s">
        <v>1293</v>
      </c>
      <c r="X313" s="427" t="s">
        <v>3279</v>
      </c>
      <c r="AA313" s="27"/>
      <c r="AB313" s="27"/>
      <c r="AC313" s="889"/>
      <c r="AD313" s="502"/>
    </row>
    <row r="314" spans="6:30" ht="10.5" customHeight="1">
      <c r="F314" s="532"/>
      <c r="G314" s="967" t="s">
        <v>1868</v>
      </c>
      <c r="H314" s="967" t="s">
        <v>1185</v>
      </c>
      <c r="I314" s="968" t="s">
        <v>1869</v>
      </c>
      <c r="J314" s="971" t="s">
        <v>2545</v>
      </c>
      <c r="K314" s="969" t="s">
        <v>1147</v>
      </c>
      <c r="L314" s="970" t="s">
        <v>415</v>
      </c>
      <c r="M314" s="1050" t="s">
        <v>2532</v>
      </c>
      <c r="N314" s="1050" t="s">
        <v>1179</v>
      </c>
      <c r="O314" s="1207" t="s">
        <v>4070</v>
      </c>
      <c r="P314" s="530" t="s">
        <v>532</v>
      </c>
      <c r="Q314" s="291"/>
      <c r="R314" s="170"/>
      <c r="S314" s="387"/>
      <c r="T314" s="491" t="s">
        <v>2466</v>
      </c>
      <c r="U314" s="491" t="s">
        <v>2524</v>
      </c>
      <c r="W314" s="427" t="s">
        <v>175</v>
      </c>
      <c r="X314" s="427" t="s">
        <v>3279</v>
      </c>
      <c r="AA314" s="27"/>
      <c r="AB314" s="27"/>
      <c r="AC314" s="889"/>
      <c r="AD314" s="502"/>
    </row>
    <row r="315" spans="6:30" ht="10.5" customHeight="1">
      <c r="F315" s="532"/>
      <c r="G315" s="967" t="s">
        <v>1870</v>
      </c>
      <c r="H315" s="967" t="s">
        <v>1185</v>
      </c>
      <c r="I315" s="971" t="s">
        <v>1871</v>
      </c>
      <c r="J315" s="968" t="s">
        <v>2545</v>
      </c>
      <c r="K315" s="969" t="s">
        <v>1148</v>
      </c>
      <c r="L315" s="970" t="s">
        <v>415</v>
      </c>
      <c r="M315" s="1050" t="s">
        <v>2532</v>
      </c>
      <c r="N315" s="1050" t="s">
        <v>1738</v>
      </c>
      <c r="O315" s="1207" t="s">
        <v>4071</v>
      </c>
      <c r="P315" s="530" t="s">
        <v>1134</v>
      </c>
      <c r="Q315" s="291"/>
      <c r="R315" s="170"/>
      <c r="S315" s="387"/>
      <c r="T315" s="491" t="s">
        <v>588</v>
      </c>
      <c r="U315" s="491" t="s">
        <v>2131</v>
      </c>
      <c r="W315" s="427" t="s">
        <v>1542</v>
      </c>
      <c r="X315" s="427" t="s">
        <v>3279</v>
      </c>
      <c r="AA315" s="27"/>
      <c r="AB315" s="27"/>
      <c r="AC315" s="889"/>
      <c r="AD315" s="502"/>
    </row>
    <row r="316" spans="6:30" ht="10.5" customHeight="1">
      <c r="F316" s="532"/>
      <c r="G316" s="967" t="s">
        <v>1872</v>
      </c>
      <c r="H316" s="967" t="s">
        <v>1185</v>
      </c>
      <c r="I316" s="971" t="s">
        <v>1293</v>
      </c>
      <c r="J316" s="971" t="s">
        <v>2546</v>
      </c>
      <c r="K316" s="969" t="s">
        <v>2513</v>
      </c>
      <c r="L316" s="970" t="s">
        <v>416</v>
      </c>
      <c r="M316" s="1049" t="s">
        <v>2532</v>
      </c>
      <c r="N316" s="1050" t="s">
        <v>1293</v>
      </c>
      <c r="O316" s="1207" t="s">
        <v>4072</v>
      </c>
      <c r="P316" s="530" t="s">
        <v>729</v>
      </c>
      <c r="Q316" s="291"/>
      <c r="R316" s="170"/>
      <c r="S316" s="387"/>
      <c r="T316" s="491" t="s">
        <v>2753</v>
      </c>
      <c r="U316" s="491" t="s">
        <v>1079</v>
      </c>
      <c r="W316" s="427" t="s">
        <v>371</v>
      </c>
      <c r="X316" s="427" t="s">
        <v>3279</v>
      </c>
      <c r="AA316" s="27"/>
      <c r="AB316" s="27"/>
      <c r="AC316" s="889"/>
      <c r="AD316" s="502"/>
    </row>
    <row r="317" spans="6:30" ht="10.5" customHeight="1">
      <c r="F317" s="532"/>
      <c r="G317" s="967" t="s">
        <v>1873</v>
      </c>
      <c r="H317" s="967" t="s">
        <v>1284</v>
      </c>
      <c r="I317" s="971" t="s">
        <v>1874</v>
      </c>
      <c r="J317" s="971" t="s">
        <v>2545</v>
      </c>
      <c r="K317" s="969" t="s">
        <v>1149</v>
      </c>
      <c r="L317" s="970" t="s">
        <v>415</v>
      </c>
      <c r="M317" s="1050" t="s">
        <v>2532</v>
      </c>
      <c r="N317" s="1049" t="s">
        <v>162</v>
      </c>
      <c r="O317" s="1207" t="s">
        <v>4073</v>
      </c>
      <c r="P317" s="530" t="s">
        <v>34</v>
      </c>
      <c r="Q317" s="291"/>
      <c r="R317" s="170"/>
      <c r="S317" s="387"/>
      <c r="T317" s="491" t="s">
        <v>590</v>
      </c>
      <c r="U317" s="491" t="s">
        <v>1602</v>
      </c>
      <c r="W317" s="427" t="s">
        <v>373</v>
      </c>
      <c r="X317" s="427" t="s">
        <v>3279</v>
      </c>
      <c r="AA317" s="27"/>
      <c r="AB317" s="27"/>
      <c r="AC317" s="889"/>
      <c r="AD317" s="502"/>
    </row>
    <row r="318" spans="6:30" ht="10.5" customHeight="1">
      <c r="F318" s="532"/>
      <c r="G318" s="967" t="s">
        <v>1958</v>
      </c>
      <c r="H318" s="967" t="s">
        <v>1185</v>
      </c>
      <c r="I318" s="968" t="s">
        <v>1959</v>
      </c>
      <c r="J318" s="971" t="s">
        <v>2545</v>
      </c>
      <c r="K318" s="969" t="s">
        <v>1150</v>
      </c>
      <c r="L318" s="970" t="s">
        <v>415</v>
      </c>
      <c r="M318" s="1050" t="s">
        <v>2532</v>
      </c>
      <c r="N318" s="1050" t="s">
        <v>1179</v>
      </c>
      <c r="O318" s="1207" t="s">
        <v>4074</v>
      </c>
      <c r="P318" s="530" t="s">
        <v>1917</v>
      </c>
      <c r="Q318" s="291"/>
      <c r="R318" s="170"/>
      <c r="S318" s="387"/>
      <c r="T318" s="491" t="s">
        <v>531</v>
      </c>
      <c r="U318" s="491" t="s">
        <v>641</v>
      </c>
      <c r="W318" s="427" t="s">
        <v>1574</v>
      </c>
      <c r="X318" s="427" t="s">
        <v>3279</v>
      </c>
      <c r="AA318" s="27"/>
      <c r="AB318" s="27"/>
      <c r="AC318" s="889"/>
      <c r="AD318" s="502"/>
    </row>
    <row r="319" spans="6:30" ht="10.5" customHeight="1">
      <c r="F319" s="532"/>
      <c r="G319" s="967" t="s">
        <v>1960</v>
      </c>
      <c r="H319" s="967" t="s">
        <v>1284</v>
      </c>
      <c r="I319" s="971" t="s">
        <v>1489</v>
      </c>
      <c r="J319" s="968" t="s">
        <v>2546</v>
      </c>
      <c r="K319" s="969" t="s">
        <v>1638</v>
      </c>
      <c r="L319" s="970" t="s">
        <v>416</v>
      </c>
      <c r="M319" s="1049" t="s">
        <v>2532</v>
      </c>
      <c r="N319" s="1050" t="s">
        <v>1489</v>
      </c>
      <c r="O319" s="1207" t="s">
        <v>4075</v>
      </c>
      <c r="P319" s="530" t="s">
        <v>1919</v>
      </c>
      <c r="Q319" s="291"/>
      <c r="R319" s="170"/>
      <c r="S319" s="387"/>
      <c r="T319" s="491" t="s">
        <v>533</v>
      </c>
      <c r="U319" s="491" t="s">
        <v>156</v>
      </c>
      <c r="W319" s="427" t="s">
        <v>1066</v>
      </c>
      <c r="X319" s="427" t="s">
        <v>3279</v>
      </c>
      <c r="AA319" s="27"/>
      <c r="AB319" s="27"/>
      <c r="AC319" s="889"/>
      <c r="AD319" s="502"/>
    </row>
    <row r="320" spans="6:30" ht="10.5" customHeight="1">
      <c r="F320" s="532"/>
      <c r="G320" s="967" t="s">
        <v>1961</v>
      </c>
      <c r="H320" s="967" t="s">
        <v>1284</v>
      </c>
      <c r="I320" s="971" t="s">
        <v>746</v>
      </c>
      <c r="J320" s="971" t="s">
        <v>2546</v>
      </c>
      <c r="K320" s="969" t="s">
        <v>2510</v>
      </c>
      <c r="L320" s="970" t="s">
        <v>416</v>
      </c>
      <c r="M320" s="1049" t="s">
        <v>1170</v>
      </c>
      <c r="N320" s="1049" t="s">
        <v>1179</v>
      </c>
      <c r="O320" s="1207" t="s">
        <v>4076</v>
      </c>
      <c r="P320" s="530" t="s">
        <v>329</v>
      </c>
      <c r="Q320" s="291"/>
      <c r="R320" s="170"/>
      <c r="S320" s="387"/>
      <c r="T320" s="491" t="s">
        <v>728</v>
      </c>
      <c r="U320" s="491" t="s">
        <v>1085</v>
      </c>
      <c r="W320" s="427" t="s">
        <v>3274</v>
      </c>
      <c r="X320" s="427" t="s">
        <v>3279</v>
      </c>
      <c r="AA320" s="27"/>
      <c r="AB320" s="27"/>
      <c r="AC320" s="889"/>
      <c r="AD320" s="502"/>
    </row>
    <row r="321" spans="3:30" ht="10.5" customHeight="1">
      <c r="F321" s="532"/>
      <c r="G321" s="967" t="s">
        <v>1962</v>
      </c>
      <c r="H321" s="967" t="s">
        <v>1185</v>
      </c>
      <c r="I321" s="971" t="s">
        <v>100</v>
      </c>
      <c r="J321" s="971" t="s">
        <v>2545</v>
      </c>
      <c r="K321" s="969" t="s">
        <v>1151</v>
      </c>
      <c r="L321" s="970" t="s">
        <v>415</v>
      </c>
      <c r="M321" s="1050" t="s">
        <v>2532</v>
      </c>
      <c r="N321" s="1049" t="s">
        <v>1654</v>
      </c>
      <c r="O321" s="1207" t="s">
        <v>4077</v>
      </c>
      <c r="P321" s="530" t="s">
        <v>331</v>
      </c>
      <c r="Q321" s="291"/>
      <c r="R321" s="170"/>
      <c r="S321" s="387"/>
      <c r="T321" s="491" t="s">
        <v>730</v>
      </c>
      <c r="U321" s="491" t="s">
        <v>118</v>
      </c>
      <c r="W321" s="427" t="s">
        <v>3275</v>
      </c>
      <c r="X321" s="427" t="s">
        <v>3279</v>
      </c>
      <c r="AA321" s="27"/>
      <c r="AB321" s="27"/>
      <c r="AC321" s="889"/>
      <c r="AD321" s="502"/>
    </row>
    <row r="322" spans="3:30" ht="10.5" customHeight="1">
      <c r="F322" s="532"/>
      <c r="G322" s="967" t="s">
        <v>101</v>
      </c>
      <c r="H322" s="967" t="s">
        <v>1284</v>
      </c>
      <c r="I322" s="971" t="s">
        <v>102</v>
      </c>
      <c r="J322" s="971" t="s">
        <v>2545</v>
      </c>
      <c r="K322" s="969" t="s">
        <v>1152</v>
      </c>
      <c r="L322" s="970" t="s">
        <v>415</v>
      </c>
      <c r="M322" s="1050" t="s">
        <v>2532</v>
      </c>
      <c r="N322" s="1050" t="s">
        <v>1303</v>
      </c>
      <c r="O322" s="1207" t="s">
        <v>4078</v>
      </c>
      <c r="P322" s="530" t="s">
        <v>333</v>
      </c>
      <c r="Q322" s="291"/>
      <c r="R322" s="170"/>
      <c r="S322" s="387"/>
      <c r="T322" s="491" t="s">
        <v>35</v>
      </c>
      <c r="U322" s="491" t="s">
        <v>172</v>
      </c>
      <c r="W322" s="427" t="s">
        <v>507</v>
      </c>
      <c r="X322" s="427" t="s">
        <v>3279</v>
      </c>
      <c r="AA322" s="27"/>
      <c r="AB322" s="27"/>
      <c r="AC322" s="889"/>
      <c r="AD322" s="502"/>
    </row>
    <row r="323" spans="3:30" ht="10.5" customHeight="1">
      <c r="F323" s="532"/>
      <c r="G323" s="967" t="s">
        <v>103</v>
      </c>
      <c r="H323" s="967" t="s">
        <v>1185</v>
      </c>
      <c r="I323" s="971" t="s">
        <v>104</v>
      </c>
      <c r="J323" s="971" t="s">
        <v>2545</v>
      </c>
      <c r="K323" s="969" t="s">
        <v>1153</v>
      </c>
      <c r="L323" s="970" t="s">
        <v>415</v>
      </c>
      <c r="M323" s="1050" t="s">
        <v>2532</v>
      </c>
      <c r="N323" s="1050" t="s">
        <v>1293</v>
      </c>
      <c r="O323" s="1207" t="s">
        <v>4079</v>
      </c>
      <c r="P323" s="530" t="s">
        <v>335</v>
      </c>
      <c r="Q323" s="291"/>
      <c r="R323" s="170"/>
      <c r="S323" s="387"/>
      <c r="T323" s="491" t="s">
        <v>1918</v>
      </c>
      <c r="U323" s="491" t="s">
        <v>2187</v>
      </c>
      <c r="W323" s="427" t="s">
        <v>509</v>
      </c>
      <c r="X323" s="427" t="s">
        <v>3279</v>
      </c>
      <c r="AA323" s="27"/>
      <c r="AB323" s="27"/>
      <c r="AC323" s="889"/>
      <c r="AD323" s="502"/>
    </row>
    <row r="324" spans="3:30" ht="10.5" customHeight="1">
      <c r="F324" s="532"/>
      <c r="G324" s="967" t="s">
        <v>105</v>
      </c>
      <c r="H324" s="967" t="s">
        <v>1185</v>
      </c>
      <c r="I324" s="971" t="s">
        <v>106</v>
      </c>
      <c r="J324" s="971" t="s">
        <v>2545</v>
      </c>
      <c r="K324" s="969" t="s">
        <v>1154</v>
      </c>
      <c r="L324" s="970" t="s">
        <v>415</v>
      </c>
      <c r="M324" s="1050" t="s">
        <v>2532</v>
      </c>
      <c r="N324" s="1050" t="s">
        <v>1299</v>
      </c>
      <c r="O324" s="1207" t="s">
        <v>4080</v>
      </c>
      <c r="P324" s="530" t="s">
        <v>337</v>
      </c>
      <c r="Q324" s="291"/>
      <c r="R324" s="170"/>
      <c r="S324" s="387"/>
      <c r="T324" s="491" t="s">
        <v>1920</v>
      </c>
      <c r="U324" s="491" t="s">
        <v>2525</v>
      </c>
      <c r="W324" s="427" t="s">
        <v>515</v>
      </c>
      <c r="X324" s="427" t="s">
        <v>3279</v>
      </c>
      <c r="AA324" s="27"/>
      <c r="AB324" s="27"/>
      <c r="AC324" s="889"/>
      <c r="AD324" s="502"/>
    </row>
    <row r="325" spans="3:30" ht="10.5" customHeight="1">
      <c r="F325" s="532"/>
      <c r="G325" s="967" t="s">
        <v>107</v>
      </c>
      <c r="H325" s="967" t="s">
        <v>1185</v>
      </c>
      <c r="I325" s="971" t="s">
        <v>108</v>
      </c>
      <c r="J325" s="971" t="s">
        <v>2545</v>
      </c>
      <c r="K325" s="969" t="s">
        <v>1155</v>
      </c>
      <c r="L325" s="970" t="s">
        <v>415</v>
      </c>
      <c r="M325" s="1050" t="s">
        <v>2532</v>
      </c>
      <c r="N325" s="1050" t="s">
        <v>157</v>
      </c>
      <c r="O325" s="1207" t="s">
        <v>4081</v>
      </c>
      <c r="P325" s="530" t="s">
        <v>339</v>
      </c>
      <c r="Q325" s="291"/>
      <c r="R325" s="170"/>
      <c r="S325" s="387"/>
      <c r="T325" s="491" t="s">
        <v>330</v>
      </c>
      <c r="U325" s="491" t="s">
        <v>1903</v>
      </c>
      <c r="W325" s="427" t="s">
        <v>527</v>
      </c>
      <c r="X325" s="427" t="s">
        <v>3279</v>
      </c>
      <c r="AA325" s="27"/>
      <c r="AB325" s="27"/>
      <c r="AC325" s="889"/>
      <c r="AD325" s="502"/>
    </row>
    <row r="326" spans="3:30" ht="10.5" customHeight="1">
      <c r="F326" s="532"/>
      <c r="G326" s="967" t="s">
        <v>109</v>
      </c>
      <c r="H326" s="967" t="s">
        <v>1185</v>
      </c>
      <c r="I326" s="971" t="s">
        <v>110</v>
      </c>
      <c r="J326" s="971" t="s">
        <v>2545</v>
      </c>
      <c r="K326" s="969" t="s">
        <v>2297</v>
      </c>
      <c r="L326" s="970" t="s">
        <v>415</v>
      </c>
      <c r="M326" s="1050" t="s">
        <v>2532</v>
      </c>
      <c r="N326" s="1050" t="s">
        <v>1293</v>
      </c>
      <c r="O326" s="1207" t="s">
        <v>4082</v>
      </c>
      <c r="P326" s="530" t="s">
        <v>1893</v>
      </c>
      <c r="Q326" s="291"/>
      <c r="R326" s="170"/>
      <c r="S326" s="387"/>
      <c r="T326" s="491" t="s">
        <v>332</v>
      </c>
      <c r="U326" s="491" t="s">
        <v>853</v>
      </c>
      <c r="W326" s="427" t="s">
        <v>1602</v>
      </c>
      <c r="X326" s="427" t="s">
        <v>3279</v>
      </c>
      <c r="AA326" s="27"/>
      <c r="AB326" s="27"/>
      <c r="AC326" s="889"/>
      <c r="AD326" s="502"/>
    </row>
    <row r="327" spans="3:30" ht="10.5" customHeight="1">
      <c r="F327" s="532"/>
      <c r="G327" s="967" t="s">
        <v>111</v>
      </c>
      <c r="H327" s="967" t="s">
        <v>1284</v>
      </c>
      <c r="I327" s="971" t="s">
        <v>112</v>
      </c>
      <c r="J327" s="971" t="s">
        <v>2545</v>
      </c>
      <c r="K327" s="969" t="s">
        <v>2298</v>
      </c>
      <c r="L327" s="970" t="s">
        <v>415</v>
      </c>
      <c r="M327" s="1050" t="s">
        <v>2532</v>
      </c>
      <c r="N327" s="1050" t="s">
        <v>162</v>
      </c>
      <c r="O327" s="1207" t="s">
        <v>4083</v>
      </c>
      <c r="P327" s="530" t="s">
        <v>1895</v>
      </c>
      <c r="Q327" s="291"/>
      <c r="R327" s="170"/>
      <c r="S327" s="387"/>
      <c r="T327" s="491" t="s">
        <v>334</v>
      </c>
      <c r="U327" s="491" t="s">
        <v>175</v>
      </c>
      <c r="W327" s="427" t="s">
        <v>2047</v>
      </c>
      <c r="X327" s="427" t="s">
        <v>3279</v>
      </c>
      <c r="AA327" s="27"/>
      <c r="AB327" s="27"/>
      <c r="AC327" s="889"/>
      <c r="AD327" s="502"/>
    </row>
    <row r="328" spans="3:30" ht="10.5" customHeight="1">
      <c r="F328" s="532"/>
      <c r="G328" s="967" t="s">
        <v>1903</v>
      </c>
      <c r="H328" s="967" t="s">
        <v>1284</v>
      </c>
      <c r="I328" s="968" t="s">
        <v>330</v>
      </c>
      <c r="J328" s="971" t="s">
        <v>2546</v>
      </c>
      <c r="K328" s="969" t="s">
        <v>2299</v>
      </c>
      <c r="L328" s="970" t="s">
        <v>416</v>
      </c>
      <c r="M328" s="1050" t="s">
        <v>1170</v>
      </c>
      <c r="N328" s="1050" t="s">
        <v>1489</v>
      </c>
      <c r="O328" s="1207" t="s">
        <v>4084</v>
      </c>
      <c r="P328" s="530" t="s">
        <v>2104</v>
      </c>
      <c r="Q328" s="291"/>
      <c r="R328" s="170"/>
      <c r="S328" s="387"/>
      <c r="T328" s="531" t="s">
        <v>336</v>
      </c>
      <c r="U328" s="531" t="s">
        <v>2337</v>
      </c>
      <c r="W328" s="427" t="s">
        <v>3276</v>
      </c>
      <c r="X328" s="427" t="s">
        <v>3279</v>
      </c>
      <c r="AA328" s="27"/>
      <c r="AB328" s="27"/>
      <c r="AC328" s="889"/>
      <c r="AD328" s="502"/>
    </row>
    <row r="329" spans="3:30" ht="10.5" customHeight="1">
      <c r="F329" s="532"/>
      <c r="G329" s="967" t="s">
        <v>1904</v>
      </c>
      <c r="H329" s="967" t="s">
        <v>1185</v>
      </c>
      <c r="I329" s="971" t="s">
        <v>2334</v>
      </c>
      <c r="J329" s="968" t="s">
        <v>2545</v>
      </c>
      <c r="K329" s="969" t="s">
        <v>2300</v>
      </c>
      <c r="L329" s="970" t="s">
        <v>415</v>
      </c>
      <c r="M329" s="1050" t="s">
        <v>2532</v>
      </c>
      <c r="N329" s="1050" t="s">
        <v>1738</v>
      </c>
      <c r="O329" s="1207" t="s">
        <v>4085</v>
      </c>
      <c r="P329" s="530" t="s">
        <v>149</v>
      </c>
      <c r="Q329" s="291"/>
      <c r="R329" s="170"/>
      <c r="S329" s="387"/>
      <c r="T329" s="491" t="s">
        <v>338</v>
      </c>
      <c r="U329" s="491" t="s">
        <v>1830</v>
      </c>
      <c r="W329" s="427" t="s">
        <v>2191</v>
      </c>
      <c r="X329" s="427" t="s">
        <v>3279</v>
      </c>
      <c r="AA329" s="27"/>
      <c r="AB329" s="27"/>
      <c r="AC329" s="890"/>
      <c r="AD329" s="502"/>
    </row>
    <row r="330" spans="3:30" ht="10.5" customHeight="1">
      <c r="F330" s="532"/>
      <c r="G330" s="967" t="s">
        <v>2335</v>
      </c>
      <c r="H330" s="967" t="s">
        <v>1284</v>
      </c>
      <c r="I330" s="971" t="s">
        <v>2336</v>
      </c>
      <c r="J330" s="971" t="s">
        <v>2545</v>
      </c>
      <c r="K330" s="969" t="s">
        <v>413</v>
      </c>
      <c r="L330" s="970" t="s">
        <v>415</v>
      </c>
      <c r="M330" s="1050" t="s">
        <v>2532</v>
      </c>
      <c r="N330" s="1050" t="s">
        <v>1303</v>
      </c>
      <c r="O330" s="1207" t="s">
        <v>4086</v>
      </c>
      <c r="P330" s="530" t="s">
        <v>150</v>
      </c>
      <c r="Q330" s="291"/>
      <c r="R330" s="170"/>
      <c r="S330" s="387"/>
      <c r="T330" s="491" t="s">
        <v>340</v>
      </c>
      <c r="U330" s="491" t="s">
        <v>171</v>
      </c>
      <c r="W330" s="427" t="s">
        <v>391</v>
      </c>
      <c r="X330" s="427" t="s">
        <v>3279</v>
      </c>
      <c r="AA330" s="27"/>
      <c r="AB330" s="27"/>
      <c r="AC330" s="889"/>
      <c r="AD330" s="502"/>
    </row>
    <row r="331" spans="3:30" ht="10.5" customHeight="1">
      <c r="F331" s="532"/>
      <c r="G331" s="967" t="s">
        <v>2337</v>
      </c>
      <c r="H331" s="967" t="s">
        <v>1185</v>
      </c>
      <c r="I331" s="971" t="s">
        <v>2338</v>
      </c>
      <c r="J331" s="971" t="s">
        <v>2545</v>
      </c>
      <c r="K331" s="969" t="s">
        <v>414</v>
      </c>
      <c r="L331" s="970" t="s">
        <v>415</v>
      </c>
      <c r="M331" s="1050" t="s">
        <v>2532</v>
      </c>
      <c r="N331" s="1050" t="s">
        <v>1293</v>
      </c>
      <c r="O331" s="1207" t="s">
        <v>4087</v>
      </c>
      <c r="P331" s="530" t="s">
        <v>1547</v>
      </c>
      <c r="Q331" s="291"/>
      <c r="R331" s="170"/>
      <c r="S331" s="387"/>
      <c r="T331" s="491" t="s">
        <v>1894</v>
      </c>
      <c r="U331" s="491" t="s">
        <v>103</v>
      </c>
      <c r="W331" s="427" t="s">
        <v>1793</v>
      </c>
      <c r="X331" s="427" t="s">
        <v>3279</v>
      </c>
      <c r="AA331" s="27"/>
      <c r="AB331" s="27"/>
      <c r="AC331" s="889"/>
      <c r="AD331" s="502"/>
    </row>
    <row r="332" spans="3:30" ht="10.5" customHeight="1">
      <c r="F332" s="330"/>
      <c r="G332" s="967" t="s">
        <v>2339</v>
      </c>
      <c r="H332" s="967" t="s">
        <v>1185</v>
      </c>
      <c r="I332" s="971" t="s">
        <v>1738</v>
      </c>
      <c r="J332" s="971" t="s">
        <v>2546</v>
      </c>
      <c r="K332" s="969" t="s">
        <v>1139</v>
      </c>
      <c r="L332" s="970" t="s">
        <v>416</v>
      </c>
      <c r="M332" s="1049" t="s">
        <v>2532</v>
      </c>
      <c r="N332" s="1050" t="s">
        <v>1738</v>
      </c>
      <c r="O332" s="1207" t="s">
        <v>4088</v>
      </c>
      <c r="P332" s="530" t="s">
        <v>770</v>
      </c>
      <c r="Q332" s="291"/>
      <c r="R332" s="170"/>
      <c r="S332" s="387"/>
      <c r="T332" s="491" t="s">
        <v>191</v>
      </c>
      <c r="U332" s="491" t="s">
        <v>1626</v>
      </c>
      <c r="W332" s="427" t="s">
        <v>2214</v>
      </c>
      <c r="X332" s="427" t="s">
        <v>3279</v>
      </c>
      <c r="AA332" s="27"/>
      <c r="AB332" s="27"/>
      <c r="AC332" s="889"/>
      <c r="AD332" s="502"/>
    </row>
    <row r="333" spans="3:30" ht="10.5" customHeight="1">
      <c r="F333" s="330"/>
      <c r="G333" s="311"/>
      <c r="H333" s="311"/>
      <c r="I333" s="1736"/>
      <c r="J333" s="1736"/>
      <c r="K333" s="1737"/>
      <c r="L333" s="1738"/>
      <c r="M333" s="364"/>
      <c r="N333" s="364"/>
      <c r="O333" s="364"/>
      <c r="P333" s="530" t="s">
        <v>772</v>
      </c>
      <c r="Q333" s="291"/>
      <c r="R333" s="170"/>
      <c r="S333" s="387"/>
      <c r="T333" s="491" t="s">
        <v>2105</v>
      </c>
      <c r="U333" s="491" t="s">
        <v>191</v>
      </c>
      <c r="W333" s="427" t="s">
        <v>545</v>
      </c>
      <c r="X333" s="427" t="s">
        <v>3279</v>
      </c>
      <c r="AA333" s="27"/>
      <c r="AB333" s="27"/>
      <c r="AC333" s="889"/>
      <c r="AD333" s="502"/>
    </row>
    <row r="334" spans="3:30" ht="10.5" customHeight="1">
      <c r="C334" s="3432">
        <v>2019</v>
      </c>
      <c r="D334" s="3433"/>
      <c r="E334" s="3433"/>
      <c r="F334" s="3433"/>
      <c r="G334" s="3432">
        <v>2020</v>
      </c>
      <c r="H334" s="3432"/>
      <c r="I334" s="3432"/>
      <c r="J334" s="3432"/>
      <c r="K334"/>
      <c r="L334" s="3434" t="s">
        <v>4764</v>
      </c>
      <c r="M334" s="3435"/>
      <c r="N334" s="3435"/>
      <c r="O334" s="3436"/>
      <c r="P334" s="530" t="s">
        <v>774</v>
      </c>
      <c r="Q334" s="291"/>
      <c r="R334" s="170"/>
      <c r="S334" s="387"/>
      <c r="T334" s="531" t="s">
        <v>671</v>
      </c>
      <c r="U334" s="531" t="s">
        <v>2127</v>
      </c>
      <c r="W334" s="427" t="s">
        <v>1422</v>
      </c>
      <c r="X334" s="427" t="s">
        <v>3279</v>
      </c>
      <c r="AA334" s="27"/>
      <c r="AB334" s="27"/>
      <c r="AC334" s="889"/>
      <c r="AD334" s="502"/>
    </row>
    <row r="335" spans="3:30" ht="10.5" customHeight="1">
      <c r="C335" s="3437" t="s">
        <v>4607</v>
      </c>
      <c r="D335" s="3438" t="s">
        <v>4608</v>
      </c>
      <c r="E335" s="3438" t="s">
        <v>4609</v>
      </c>
      <c r="F335" s="3438" t="s">
        <v>4610</v>
      </c>
      <c r="G335" s="3437" t="s">
        <v>4607</v>
      </c>
      <c r="H335" s="3438" t="s">
        <v>4608</v>
      </c>
      <c r="I335" s="3438" t="s">
        <v>4609</v>
      </c>
      <c r="J335" s="3438" t="s">
        <v>4610</v>
      </c>
      <c r="K335"/>
      <c r="L335" s="3437" t="s">
        <v>4607</v>
      </c>
      <c r="M335" s="3438" t="s">
        <v>4608</v>
      </c>
      <c r="N335" s="3438" t="s">
        <v>4609</v>
      </c>
      <c r="O335" s="3438" t="s">
        <v>4610</v>
      </c>
      <c r="P335" s="530" t="s">
        <v>2359</v>
      </c>
      <c r="Q335" s="291"/>
      <c r="R335" s="170"/>
      <c r="S335" s="387"/>
      <c r="T335" s="491" t="s">
        <v>151</v>
      </c>
      <c r="U335" s="491" t="s">
        <v>1829</v>
      </c>
      <c r="W335" s="427" t="s">
        <v>1549</v>
      </c>
      <c r="X335" s="427" t="s">
        <v>3279</v>
      </c>
      <c r="AA335" s="27"/>
      <c r="AB335" s="27"/>
      <c r="AC335" s="890"/>
      <c r="AD335" s="502"/>
    </row>
    <row r="336" spans="3:30" ht="10.5" customHeight="1">
      <c r="C336" s="3437"/>
      <c r="D336" s="3438"/>
      <c r="E336" s="3438"/>
      <c r="F336" s="3438"/>
      <c r="G336" s="3437"/>
      <c r="H336" s="3438"/>
      <c r="I336" s="3438"/>
      <c r="J336" s="3438"/>
      <c r="K336"/>
      <c r="L336" s="3437"/>
      <c r="M336" s="3438"/>
      <c r="N336" s="3438"/>
      <c r="O336" s="3438"/>
      <c r="P336" s="530" t="s">
        <v>2360</v>
      </c>
      <c r="Q336" s="291"/>
      <c r="R336" s="170"/>
      <c r="S336" s="387"/>
      <c r="T336" s="491" t="s">
        <v>192</v>
      </c>
      <c r="U336" s="491" t="s">
        <v>610</v>
      </c>
      <c r="W336" s="427" t="s">
        <v>2070</v>
      </c>
      <c r="X336" s="427" t="s">
        <v>3279</v>
      </c>
      <c r="AA336" s="27"/>
      <c r="AB336" s="27"/>
      <c r="AC336" s="889"/>
      <c r="AD336" s="502"/>
    </row>
    <row r="337" spans="3:30" ht="10.5" customHeight="1">
      <c r="C337" s="3437"/>
      <c r="D337" s="3438"/>
      <c r="E337" s="3438"/>
      <c r="F337" s="3438"/>
      <c r="G337" s="3437"/>
      <c r="H337" s="3438"/>
      <c r="I337" s="3438"/>
      <c r="J337" s="3438"/>
      <c r="K337"/>
      <c r="L337" s="3437"/>
      <c r="M337" s="3438"/>
      <c r="N337" s="3438"/>
      <c r="O337" s="3438"/>
      <c r="P337" s="530" t="s">
        <v>2362</v>
      </c>
      <c r="Q337" s="291"/>
      <c r="R337" s="170"/>
      <c r="S337" s="387"/>
      <c r="T337" s="491" t="s">
        <v>2502</v>
      </c>
      <c r="U337" s="491" t="s">
        <v>1962</v>
      </c>
      <c r="W337" s="427" t="s">
        <v>2072</v>
      </c>
      <c r="X337" s="427" t="s">
        <v>3279</v>
      </c>
      <c r="AA337" s="27"/>
      <c r="AB337" s="27"/>
      <c r="AC337" s="889"/>
      <c r="AD337" s="502"/>
    </row>
    <row r="338" spans="3:30" ht="10.5" customHeight="1">
      <c r="C338" s="3437"/>
      <c r="D338" s="3438"/>
      <c r="E338" s="3438"/>
      <c r="F338" s="3438"/>
      <c r="G338" s="3437"/>
      <c r="H338" s="3438"/>
      <c r="I338" s="3438"/>
      <c r="J338" s="3438"/>
      <c r="K338"/>
      <c r="L338" s="3437"/>
      <c r="M338" s="3438"/>
      <c r="N338" s="3438"/>
      <c r="O338" s="3438"/>
      <c r="P338" s="530" t="s">
        <v>2364</v>
      </c>
      <c r="Q338" s="291"/>
      <c r="R338" s="170"/>
      <c r="S338" s="387"/>
      <c r="T338" s="491" t="s">
        <v>771</v>
      </c>
      <c r="U338" s="491" t="s">
        <v>103</v>
      </c>
      <c r="W338" s="427" t="s">
        <v>1413</v>
      </c>
      <c r="X338" s="427" t="s">
        <v>3279</v>
      </c>
      <c r="AA338" s="27"/>
      <c r="AB338" s="27"/>
      <c r="AC338" s="889"/>
      <c r="AD338" s="502"/>
    </row>
    <row r="339" spans="3:30" ht="10.5" customHeight="1">
      <c r="C339" s="3437"/>
      <c r="D339" s="3438"/>
      <c r="E339" s="3438"/>
      <c r="F339" s="3438"/>
      <c r="G339" s="3437"/>
      <c r="H339" s="3438"/>
      <c r="I339" s="3438"/>
      <c r="J339" s="3438"/>
      <c r="K339"/>
      <c r="L339" s="3437"/>
      <c r="M339" s="3438"/>
      <c r="N339" s="3438"/>
      <c r="O339" s="3438"/>
      <c r="P339" s="530" t="s">
        <v>2365</v>
      </c>
      <c r="Q339" s="291"/>
      <c r="R339" s="170"/>
      <c r="S339" s="387"/>
      <c r="T339" s="491" t="s">
        <v>773</v>
      </c>
      <c r="U339" s="491" t="s">
        <v>119</v>
      </c>
      <c r="W339" s="427" t="s">
        <v>1523</v>
      </c>
      <c r="X339" s="427" t="s">
        <v>3279</v>
      </c>
      <c r="AA339" s="27"/>
      <c r="AB339" s="27"/>
      <c r="AC339" s="889"/>
      <c r="AD339" s="502"/>
    </row>
    <row r="340" spans="3:30" ht="10.5" customHeight="1">
      <c r="C340" s="3437"/>
      <c r="D340" s="3438"/>
      <c r="E340" s="3438"/>
      <c r="F340" s="3438"/>
      <c r="G340" s="3437"/>
      <c r="H340" s="3438"/>
      <c r="I340" s="3438"/>
      <c r="J340" s="3438"/>
      <c r="K340"/>
      <c r="L340" s="3437"/>
      <c r="M340" s="3438"/>
      <c r="N340" s="3438"/>
      <c r="O340" s="3438"/>
      <c r="P340" s="530" t="s">
        <v>375</v>
      </c>
      <c r="Q340" s="291"/>
      <c r="R340" s="170"/>
      <c r="S340" s="387"/>
      <c r="T340" s="491" t="s">
        <v>775</v>
      </c>
      <c r="U340" s="491" t="s">
        <v>321</v>
      </c>
      <c r="W340" s="427" t="s">
        <v>1159</v>
      </c>
      <c r="X340" s="427" t="s">
        <v>3279</v>
      </c>
      <c r="AA340" s="27"/>
      <c r="AB340" s="27"/>
      <c r="AC340" s="889"/>
      <c r="AD340" s="502"/>
    </row>
    <row r="341" spans="3:30" ht="10.5" customHeight="1">
      <c r="C341" s="1795">
        <v>13001950100</v>
      </c>
      <c r="D341" s="1796">
        <v>0</v>
      </c>
      <c r="E341" s="1796">
        <v>1</v>
      </c>
      <c r="F341" s="1797">
        <v>1</v>
      </c>
      <c r="G341" s="1996" t="s">
        <v>4731</v>
      </c>
      <c r="H341" s="1997">
        <v>0</v>
      </c>
      <c r="I341" s="1997">
        <v>0</v>
      </c>
      <c r="J341" s="1998">
        <v>0</v>
      </c>
      <c r="K341" s="1798"/>
      <c r="L341" s="1790" t="s">
        <v>4731</v>
      </c>
      <c r="M341" s="1791">
        <v>0</v>
      </c>
      <c r="N341" s="1791">
        <v>1</v>
      </c>
      <c r="O341" s="1791">
        <v>1</v>
      </c>
      <c r="P341" s="530" t="s">
        <v>45</v>
      </c>
      <c r="Q341" s="291"/>
      <c r="R341" s="170"/>
      <c r="S341" s="387"/>
      <c r="T341" s="531" t="s">
        <v>2754</v>
      </c>
      <c r="U341" s="531" t="s">
        <v>857</v>
      </c>
      <c r="W341" s="427" t="s">
        <v>1707</v>
      </c>
      <c r="X341" s="427" t="s">
        <v>3279</v>
      </c>
      <c r="AA341" s="27"/>
      <c r="AB341" s="27"/>
      <c r="AC341" s="889"/>
      <c r="AD341" s="502"/>
    </row>
    <row r="342" spans="3:30" ht="10.5" customHeight="1">
      <c r="C342" s="1799" t="s">
        <v>4832</v>
      </c>
      <c r="D342" s="1796">
        <v>0</v>
      </c>
      <c r="E342" s="1796">
        <v>0</v>
      </c>
      <c r="F342" s="1797">
        <v>0</v>
      </c>
      <c r="G342" s="1999" t="s">
        <v>4832</v>
      </c>
      <c r="H342" s="1794">
        <v>0</v>
      </c>
      <c r="I342" s="1794">
        <v>0</v>
      </c>
      <c r="J342" s="2000">
        <v>0</v>
      </c>
      <c r="K342" s="1798"/>
      <c r="L342" s="1792">
        <v>13001950200</v>
      </c>
      <c r="M342" s="1793">
        <v>0</v>
      </c>
      <c r="N342" s="1793">
        <v>0</v>
      </c>
      <c r="O342" s="1793">
        <v>0</v>
      </c>
      <c r="P342" s="530" t="s">
        <v>47</v>
      </c>
      <c r="Q342" s="291"/>
      <c r="R342" s="170"/>
      <c r="S342" s="387"/>
      <c r="T342" s="491" t="s">
        <v>2361</v>
      </c>
      <c r="U342" s="491" t="s">
        <v>1424</v>
      </c>
      <c r="W342" s="427" t="s">
        <v>1769</v>
      </c>
      <c r="X342" s="427" t="s">
        <v>3279</v>
      </c>
      <c r="AA342" s="27"/>
      <c r="AB342" s="27"/>
      <c r="AC342" s="890"/>
      <c r="AD342" s="502"/>
    </row>
    <row r="343" spans="3:30" ht="10.5" customHeight="1">
      <c r="C343" s="1799" t="s">
        <v>4833</v>
      </c>
      <c r="D343" s="1796">
        <v>0</v>
      </c>
      <c r="E343" s="1796">
        <v>0</v>
      </c>
      <c r="F343" s="1797">
        <v>0</v>
      </c>
      <c r="G343" s="1999" t="s">
        <v>4833</v>
      </c>
      <c r="H343" s="1794">
        <v>0</v>
      </c>
      <c r="I343" s="1794">
        <v>0</v>
      </c>
      <c r="J343" s="2000">
        <v>0</v>
      </c>
      <c r="K343" s="1798"/>
      <c r="L343" s="1792">
        <v>13001950300</v>
      </c>
      <c r="M343" s="1793">
        <v>0</v>
      </c>
      <c r="N343" s="1793">
        <v>0</v>
      </c>
      <c r="O343" s="1793">
        <v>0</v>
      </c>
      <c r="P343" s="530" t="s">
        <v>1875</v>
      </c>
      <c r="Q343" s="291"/>
      <c r="R343" s="170"/>
      <c r="S343" s="387"/>
      <c r="T343" s="491" t="s">
        <v>2363</v>
      </c>
      <c r="U343" s="491" t="s">
        <v>1083</v>
      </c>
      <c r="W343" s="427" t="s">
        <v>1081</v>
      </c>
      <c r="X343" s="427" t="s">
        <v>3279</v>
      </c>
      <c r="AA343" s="27"/>
      <c r="AB343" s="27"/>
      <c r="AC343" s="889"/>
      <c r="AD343" s="502"/>
    </row>
    <row r="344" spans="3:30" ht="10.5" customHeight="1">
      <c r="C344" s="1799" t="s">
        <v>4834</v>
      </c>
      <c r="D344" s="1796">
        <v>0</v>
      </c>
      <c r="E344" s="1796">
        <v>0</v>
      </c>
      <c r="F344" s="1797">
        <v>0</v>
      </c>
      <c r="G344" s="1999" t="s">
        <v>4834</v>
      </c>
      <c r="H344" s="1794">
        <v>0</v>
      </c>
      <c r="I344" s="1794">
        <v>0</v>
      </c>
      <c r="J344" s="2000">
        <v>0</v>
      </c>
      <c r="K344" s="1798"/>
      <c r="L344" s="1792">
        <v>13001950400</v>
      </c>
      <c r="M344" s="1793">
        <v>0</v>
      </c>
      <c r="N344" s="1793">
        <v>0</v>
      </c>
      <c r="O344" s="1793">
        <v>0</v>
      </c>
      <c r="P344" s="530" t="s">
        <v>1876</v>
      </c>
      <c r="Q344" s="291"/>
      <c r="R344" s="170"/>
      <c r="S344" s="387"/>
      <c r="T344" s="491" t="s">
        <v>2503</v>
      </c>
      <c r="U344" s="491" t="s">
        <v>648</v>
      </c>
      <c r="W344" s="427" t="s">
        <v>3277</v>
      </c>
      <c r="X344" s="427" t="s">
        <v>3279</v>
      </c>
      <c r="AA344" s="27"/>
      <c r="AB344" s="27"/>
      <c r="AC344" s="889"/>
      <c r="AD344" s="502"/>
    </row>
    <row r="345" spans="3:30" ht="10.5" customHeight="1">
      <c r="C345" s="1799" t="s">
        <v>4835</v>
      </c>
      <c r="D345" s="1796">
        <v>0</v>
      </c>
      <c r="E345" s="1796">
        <v>0</v>
      </c>
      <c r="F345" s="1797">
        <v>0</v>
      </c>
      <c r="G345" s="1999" t="s">
        <v>4835</v>
      </c>
      <c r="H345" s="1794">
        <v>0</v>
      </c>
      <c r="I345" s="1794">
        <v>0</v>
      </c>
      <c r="J345" s="2000">
        <v>0</v>
      </c>
      <c r="K345" s="1798"/>
      <c r="L345" s="1792">
        <v>13001950500</v>
      </c>
      <c r="M345" s="1793">
        <v>0</v>
      </c>
      <c r="N345" s="1793">
        <v>0</v>
      </c>
      <c r="O345" s="1793">
        <v>0</v>
      </c>
      <c r="P345" s="530" t="s">
        <v>1878</v>
      </c>
      <c r="Q345" s="291"/>
      <c r="R345" s="170"/>
      <c r="S345" s="387"/>
      <c r="T345" s="533" t="s">
        <v>374</v>
      </c>
      <c r="U345" s="491" t="s">
        <v>2425</v>
      </c>
      <c r="W345" s="427" t="s">
        <v>2094</v>
      </c>
      <c r="X345" s="427" t="s">
        <v>3279</v>
      </c>
      <c r="AA345" s="27"/>
      <c r="AB345" s="27"/>
      <c r="AC345" s="889"/>
      <c r="AD345" s="502"/>
    </row>
    <row r="346" spans="3:30" ht="10.5" customHeight="1">
      <c r="C346" s="1799" t="s">
        <v>4836</v>
      </c>
      <c r="D346" s="1796">
        <v>0</v>
      </c>
      <c r="E346" s="1796">
        <v>0</v>
      </c>
      <c r="F346" s="1797">
        <v>0</v>
      </c>
      <c r="G346" s="1999" t="s">
        <v>4836</v>
      </c>
      <c r="H346" s="1794">
        <v>0</v>
      </c>
      <c r="I346" s="1794">
        <v>0</v>
      </c>
      <c r="J346" s="2000">
        <v>0</v>
      </c>
      <c r="K346" s="1798"/>
      <c r="L346" s="1792">
        <v>13003960100</v>
      </c>
      <c r="M346" s="1793">
        <v>0</v>
      </c>
      <c r="N346" s="1793">
        <v>0</v>
      </c>
      <c r="O346" s="1793">
        <v>0</v>
      </c>
      <c r="P346" s="530" t="s">
        <v>1879</v>
      </c>
      <c r="Q346" s="291"/>
      <c r="R346" s="170"/>
      <c r="S346" s="387"/>
      <c r="T346" s="491" t="s">
        <v>376</v>
      </c>
      <c r="U346" s="491" t="s">
        <v>2120</v>
      </c>
      <c r="W346" s="427" t="s">
        <v>1487</v>
      </c>
      <c r="X346" s="427" t="s">
        <v>3279</v>
      </c>
      <c r="AA346" s="27"/>
      <c r="AB346" s="27"/>
      <c r="AC346" s="891"/>
      <c r="AD346" s="502"/>
    </row>
    <row r="347" spans="3:30" ht="10.5" customHeight="1">
      <c r="C347" s="1799" t="s">
        <v>4837</v>
      </c>
      <c r="D347" s="1796">
        <v>0</v>
      </c>
      <c r="E347" s="1796">
        <v>0</v>
      </c>
      <c r="F347" s="1797">
        <v>0</v>
      </c>
      <c r="G347" s="1999" t="s">
        <v>4837</v>
      </c>
      <c r="H347" s="1794">
        <v>0</v>
      </c>
      <c r="I347" s="1794">
        <v>0</v>
      </c>
      <c r="J347" s="2000">
        <v>0</v>
      </c>
      <c r="K347" s="1798"/>
      <c r="L347" s="1792">
        <v>13003960200</v>
      </c>
      <c r="M347" s="1793">
        <v>0</v>
      </c>
      <c r="N347" s="1793">
        <v>0</v>
      </c>
      <c r="O347" s="1793">
        <v>0</v>
      </c>
      <c r="P347" s="530" t="s">
        <v>1880</v>
      </c>
      <c r="Q347" s="291"/>
      <c r="R347" s="170"/>
      <c r="S347" s="387"/>
      <c r="T347" s="491" t="s">
        <v>46</v>
      </c>
      <c r="U347" s="491" t="s">
        <v>931</v>
      </c>
      <c r="W347" s="427" t="s">
        <v>61</v>
      </c>
      <c r="X347" s="427" t="s">
        <v>3279</v>
      </c>
      <c r="AA347" s="27"/>
      <c r="AB347" s="27"/>
      <c r="AC347" s="889"/>
      <c r="AD347" s="502"/>
    </row>
    <row r="348" spans="3:30" ht="10.5" customHeight="1">
      <c r="C348" s="1799" t="s">
        <v>4838</v>
      </c>
      <c r="D348" s="1796">
        <v>0</v>
      </c>
      <c r="E348" s="1796">
        <v>0</v>
      </c>
      <c r="F348" s="1797">
        <v>0</v>
      </c>
      <c r="G348" s="1999" t="s">
        <v>4838</v>
      </c>
      <c r="H348" s="1794">
        <v>0</v>
      </c>
      <c r="I348" s="1794">
        <v>0</v>
      </c>
      <c r="J348" s="2000">
        <v>0</v>
      </c>
      <c r="K348" s="1798"/>
      <c r="L348" s="1792">
        <v>13003960300</v>
      </c>
      <c r="M348" s="1793">
        <v>0</v>
      </c>
      <c r="N348" s="1793">
        <v>0</v>
      </c>
      <c r="O348" s="1793">
        <v>0</v>
      </c>
      <c r="P348" s="530" t="s">
        <v>1882</v>
      </c>
      <c r="Q348" s="291"/>
      <c r="R348" s="170"/>
      <c r="S348" s="387"/>
      <c r="T348" s="491" t="s">
        <v>48</v>
      </c>
      <c r="U348" s="491" t="s">
        <v>610</v>
      </c>
      <c r="W348" s="427" t="s">
        <v>65</v>
      </c>
      <c r="X348" s="427" t="s">
        <v>3279</v>
      </c>
      <c r="AA348" s="27"/>
      <c r="AB348" s="27"/>
      <c r="AC348" s="889"/>
      <c r="AD348" s="502"/>
    </row>
    <row r="349" spans="3:30" ht="10.5" customHeight="1">
      <c r="C349" s="1799" t="s">
        <v>4839</v>
      </c>
      <c r="D349" s="1796">
        <v>1</v>
      </c>
      <c r="E349" s="1796">
        <v>0</v>
      </c>
      <c r="F349" s="1797">
        <v>1</v>
      </c>
      <c r="G349" s="1999" t="s">
        <v>4839</v>
      </c>
      <c r="H349" s="1794">
        <v>0</v>
      </c>
      <c r="I349" s="1794">
        <v>0</v>
      </c>
      <c r="J349" s="2000">
        <v>0</v>
      </c>
      <c r="K349" s="1798"/>
      <c r="L349" s="1792">
        <v>13005970100</v>
      </c>
      <c r="M349" s="1793">
        <v>1</v>
      </c>
      <c r="N349" s="1793">
        <v>0</v>
      </c>
      <c r="O349" s="1793">
        <v>1</v>
      </c>
      <c r="P349" s="530" t="s">
        <v>698</v>
      </c>
      <c r="Q349" s="291"/>
      <c r="R349" s="170"/>
      <c r="S349" s="387"/>
      <c r="T349" s="531" t="s">
        <v>852</v>
      </c>
      <c r="U349" s="531" t="s">
        <v>2423</v>
      </c>
      <c r="W349" s="427" t="s">
        <v>67</v>
      </c>
      <c r="X349" s="427" t="s">
        <v>3279</v>
      </c>
      <c r="AA349" s="27"/>
      <c r="AB349" s="27"/>
      <c r="AC349" s="889"/>
      <c r="AD349" s="502"/>
    </row>
    <row r="350" spans="3:30" ht="10.5" customHeight="1">
      <c r="C350" s="1799" t="s">
        <v>4840</v>
      </c>
      <c r="D350" s="1796">
        <v>0</v>
      </c>
      <c r="E350" s="1796">
        <v>0</v>
      </c>
      <c r="F350" s="1797">
        <v>0</v>
      </c>
      <c r="G350" s="1999" t="s">
        <v>4840</v>
      </c>
      <c r="H350" s="1794">
        <v>0</v>
      </c>
      <c r="I350" s="1794">
        <v>0</v>
      </c>
      <c r="J350" s="2000">
        <v>0</v>
      </c>
      <c r="K350" s="1798"/>
      <c r="L350" s="1792">
        <v>13005970201</v>
      </c>
      <c r="M350" s="1793">
        <v>0</v>
      </c>
      <c r="N350" s="1793">
        <v>0</v>
      </c>
      <c r="O350" s="1793">
        <v>0</v>
      </c>
      <c r="P350" s="530" t="s">
        <v>1117</v>
      </c>
      <c r="Q350" s="291"/>
      <c r="R350" s="170"/>
      <c r="S350" s="387"/>
      <c r="T350" s="531" t="s">
        <v>1877</v>
      </c>
      <c r="U350" s="531" t="s">
        <v>852</v>
      </c>
      <c r="W350" s="427" t="s">
        <v>757</v>
      </c>
      <c r="X350" s="427" t="s">
        <v>3279</v>
      </c>
      <c r="AA350" s="27"/>
      <c r="AB350" s="27"/>
      <c r="AC350" s="890"/>
      <c r="AD350" s="502"/>
    </row>
    <row r="351" spans="3:30" ht="10.5" customHeight="1">
      <c r="C351" s="1799" t="s">
        <v>4841</v>
      </c>
      <c r="D351" s="1796">
        <v>0</v>
      </c>
      <c r="E351" s="1796">
        <v>0</v>
      </c>
      <c r="F351" s="1797">
        <v>0</v>
      </c>
      <c r="G351" s="1999" t="s">
        <v>4841</v>
      </c>
      <c r="H351" s="1794">
        <v>0</v>
      </c>
      <c r="I351" s="1794">
        <v>0</v>
      </c>
      <c r="J351" s="2000">
        <v>0</v>
      </c>
      <c r="K351" s="1798"/>
      <c r="L351" s="1792">
        <v>13005970202</v>
      </c>
      <c r="M351" s="1793">
        <v>0</v>
      </c>
      <c r="N351" s="1793">
        <v>0</v>
      </c>
      <c r="O351" s="1793">
        <v>0</v>
      </c>
      <c r="P351" s="530" t="s">
        <v>1119</v>
      </c>
      <c r="Q351" s="291"/>
      <c r="R351" s="170"/>
      <c r="S351" s="387"/>
      <c r="T351" s="491" t="s">
        <v>2504</v>
      </c>
      <c r="U351" s="491" t="s">
        <v>610</v>
      </c>
      <c r="W351" s="427" t="s">
        <v>919</v>
      </c>
      <c r="X351" s="427" t="s">
        <v>3279</v>
      </c>
      <c r="AA351" s="27"/>
      <c r="AB351" s="27"/>
      <c r="AC351" s="890"/>
      <c r="AD351" s="502"/>
    </row>
    <row r="352" spans="3:30" ht="10.5" customHeight="1">
      <c r="C352" s="1799" t="s">
        <v>4842</v>
      </c>
      <c r="D352" s="1796">
        <v>0</v>
      </c>
      <c r="E352" s="1796">
        <v>0</v>
      </c>
      <c r="F352" s="1797">
        <v>0</v>
      </c>
      <c r="G352" s="1999" t="s">
        <v>4842</v>
      </c>
      <c r="H352" s="1794">
        <v>0</v>
      </c>
      <c r="I352" s="1794">
        <v>1</v>
      </c>
      <c r="J352" s="2000">
        <v>1</v>
      </c>
      <c r="K352" s="1798"/>
      <c r="L352" s="1792">
        <v>13007960100</v>
      </c>
      <c r="M352" s="1793">
        <v>0</v>
      </c>
      <c r="N352" s="1793">
        <v>1</v>
      </c>
      <c r="O352" s="1793">
        <v>1</v>
      </c>
      <c r="P352" s="530" t="s">
        <v>1121</v>
      </c>
      <c r="Q352" s="291"/>
      <c r="R352" s="170"/>
      <c r="S352" s="387"/>
      <c r="T352" s="491" t="s">
        <v>2755</v>
      </c>
      <c r="U352" s="491" t="s">
        <v>2420</v>
      </c>
      <c r="W352" s="427" t="s">
        <v>1021</v>
      </c>
      <c r="X352" s="427" t="s">
        <v>3279</v>
      </c>
      <c r="AA352" s="27"/>
      <c r="AB352" s="27"/>
      <c r="AC352" s="889"/>
      <c r="AD352" s="502"/>
    </row>
    <row r="353" spans="3:30" ht="10.5" customHeight="1">
      <c r="C353" s="1799" t="s">
        <v>4843</v>
      </c>
      <c r="D353" s="1796">
        <v>1</v>
      </c>
      <c r="E353" s="1796">
        <v>0</v>
      </c>
      <c r="F353" s="1797">
        <v>1</v>
      </c>
      <c r="G353" s="1999" t="s">
        <v>4843</v>
      </c>
      <c r="H353" s="1794">
        <v>0</v>
      </c>
      <c r="I353" s="1794">
        <v>0</v>
      </c>
      <c r="J353" s="2000">
        <v>0</v>
      </c>
      <c r="K353" s="1798"/>
      <c r="L353" s="1792">
        <v>13007960200</v>
      </c>
      <c r="M353" s="1793">
        <v>1</v>
      </c>
      <c r="N353" s="1793">
        <v>0</v>
      </c>
      <c r="O353" s="1793">
        <v>1</v>
      </c>
      <c r="P353" s="530" t="s">
        <v>2447</v>
      </c>
      <c r="Q353" s="291"/>
      <c r="R353" s="170"/>
      <c r="S353" s="387"/>
      <c r="T353" s="491" t="s">
        <v>1881</v>
      </c>
      <c r="U353" s="491" t="s">
        <v>1424</v>
      </c>
      <c r="W353" s="427" t="s">
        <v>2210</v>
      </c>
      <c r="X353" s="427" t="s">
        <v>3279</v>
      </c>
      <c r="AA353" s="27"/>
      <c r="AB353" s="27"/>
      <c r="AC353" s="889"/>
      <c r="AD353" s="502"/>
    </row>
    <row r="354" spans="3:30" ht="10.5" customHeight="1">
      <c r="C354" s="1799" t="s">
        <v>4844</v>
      </c>
      <c r="D354" s="1796">
        <v>0</v>
      </c>
      <c r="E354" s="1796">
        <v>0</v>
      </c>
      <c r="F354" s="1797">
        <v>0</v>
      </c>
      <c r="G354" s="1999" t="s">
        <v>4844</v>
      </c>
      <c r="H354" s="1794">
        <v>1</v>
      </c>
      <c r="I354" s="1794">
        <v>0</v>
      </c>
      <c r="J354" s="2000">
        <v>1</v>
      </c>
      <c r="K354" s="1798"/>
      <c r="L354" s="1792">
        <v>13009970100</v>
      </c>
      <c r="M354" s="1793">
        <v>1</v>
      </c>
      <c r="N354" s="1793">
        <v>0</v>
      </c>
      <c r="O354" s="1793">
        <v>1</v>
      </c>
      <c r="P354" s="530" t="s">
        <v>2449</v>
      </c>
      <c r="Q354" s="291"/>
      <c r="R354" s="170"/>
      <c r="S354" s="387"/>
      <c r="T354" s="491" t="s">
        <v>1883</v>
      </c>
      <c r="U354" s="491" t="s">
        <v>1424</v>
      </c>
      <c r="W354" s="427" t="s">
        <v>2455</v>
      </c>
      <c r="X354" s="427" t="s">
        <v>3279</v>
      </c>
      <c r="AA354" s="27"/>
      <c r="AB354" s="27"/>
      <c r="AC354" s="889"/>
      <c r="AD354" s="502"/>
    </row>
    <row r="355" spans="3:30" ht="10.5" customHeight="1">
      <c r="C355" s="1799" t="s">
        <v>4845</v>
      </c>
      <c r="D355" s="1796">
        <v>0</v>
      </c>
      <c r="E355" s="1796">
        <v>0</v>
      </c>
      <c r="F355" s="1797">
        <v>0</v>
      </c>
      <c r="G355" s="1999" t="s">
        <v>4845</v>
      </c>
      <c r="H355" s="1794">
        <v>0</v>
      </c>
      <c r="I355" s="1794">
        <v>1</v>
      </c>
      <c r="J355" s="2000">
        <v>1</v>
      </c>
      <c r="K355" s="1798"/>
      <c r="L355" s="1792">
        <v>13009970200</v>
      </c>
      <c r="M355" s="1793">
        <v>0</v>
      </c>
      <c r="N355" s="1793">
        <v>1</v>
      </c>
      <c r="O355" s="1793">
        <v>1</v>
      </c>
      <c r="P355" s="530" t="s">
        <v>184</v>
      </c>
      <c r="Q355" s="291"/>
      <c r="R355" s="170"/>
      <c r="S355" s="387"/>
      <c r="T355" s="491" t="s">
        <v>699</v>
      </c>
      <c r="U355" s="491" t="s">
        <v>118</v>
      </c>
      <c r="W355" s="427" t="s">
        <v>2114</v>
      </c>
      <c r="X355" s="427" t="s">
        <v>3279</v>
      </c>
      <c r="AA355" s="27"/>
      <c r="AB355" s="27"/>
      <c r="AC355" s="889"/>
      <c r="AD355" s="502"/>
    </row>
    <row r="356" spans="3:30" ht="10.5" customHeight="1">
      <c r="C356" s="1799" t="s">
        <v>4846</v>
      </c>
      <c r="D356" s="1796">
        <v>1</v>
      </c>
      <c r="E356" s="1796">
        <v>1</v>
      </c>
      <c r="F356" s="1797">
        <v>2</v>
      </c>
      <c r="G356" s="1999" t="s">
        <v>4846</v>
      </c>
      <c r="H356" s="1794">
        <v>0</v>
      </c>
      <c r="I356" s="1794">
        <v>1</v>
      </c>
      <c r="J356" s="2000">
        <v>1</v>
      </c>
      <c r="K356" s="1798"/>
      <c r="L356" s="1792">
        <v>13009970300</v>
      </c>
      <c r="M356" s="1793">
        <v>1</v>
      </c>
      <c r="N356" s="1793">
        <v>1</v>
      </c>
      <c r="O356" s="1793">
        <v>2</v>
      </c>
      <c r="P356" s="530" t="s">
        <v>185</v>
      </c>
      <c r="Q356" s="291"/>
      <c r="R356" s="170"/>
      <c r="S356" s="387"/>
      <c r="T356" s="491" t="s">
        <v>672</v>
      </c>
      <c r="U356" s="491" t="s">
        <v>610</v>
      </c>
      <c r="W356" s="427" t="s">
        <v>1581</v>
      </c>
      <c r="X356" s="427" t="s">
        <v>3279</v>
      </c>
      <c r="AA356" s="27"/>
      <c r="AB356" s="27"/>
      <c r="AC356" s="889"/>
      <c r="AD356" s="502"/>
    </row>
    <row r="357" spans="3:30" ht="10.5" customHeight="1">
      <c r="C357" s="1799" t="s">
        <v>4847</v>
      </c>
      <c r="D357" s="1796">
        <v>0</v>
      </c>
      <c r="E357" s="1796">
        <v>0</v>
      </c>
      <c r="F357" s="1797">
        <v>0</v>
      </c>
      <c r="G357" s="1999" t="s">
        <v>4847</v>
      </c>
      <c r="H357" s="1794">
        <v>0</v>
      </c>
      <c r="I357" s="1794">
        <v>1</v>
      </c>
      <c r="J357" s="2000">
        <v>1</v>
      </c>
      <c r="K357" s="1798"/>
      <c r="L357" s="1792">
        <v>13009970400</v>
      </c>
      <c r="M357" s="1793">
        <v>0</v>
      </c>
      <c r="N357" s="1793">
        <v>1</v>
      </c>
      <c r="O357" s="1793">
        <v>1</v>
      </c>
      <c r="P357" s="530" t="s">
        <v>1777</v>
      </c>
      <c r="Q357" s="291"/>
      <c r="R357" s="170"/>
      <c r="S357" s="387"/>
      <c r="T357" s="491" t="s">
        <v>2756</v>
      </c>
      <c r="U357" s="491" t="s">
        <v>155</v>
      </c>
      <c r="W357" s="427" t="s">
        <v>2354</v>
      </c>
      <c r="X357" s="427" t="s">
        <v>3279</v>
      </c>
      <c r="AA357" s="27"/>
      <c r="AB357" s="27"/>
      <c r="AC357" s="889"/>
      <c r="AD357" s="502"/>
    </row>
    <row r="358" spans="3:30" ht="10.5" customHeight="1">
      <c r="C358" s="1799" t="s">
        <v>4848</v>
      </c>
      <c r="D358" s="1796">
        <v>0</v>
      </c>
      <c r="E358" s="1796">
        <v>0</v>
      </c>
      <c r="F358" s="1797">
        <v>0</v>
      </c>
      <c r="G358" s="1999" t="s">
        <v>4848</v>
      </c>
      <c r="H358" s="1794">
        <v>0</v>
      </c>
      <c r="I358" s="1794">
        <v>0</v>
      </c>
      <c r="J358" s="2000">
        <v>0</v>
      </c>
      <c r="K358" s="1798"/>
      <c r="L358" s="1792">
        <v>13009970500</v>
      </c>
      <c r="M358" s="1793">
        <v>0</v>
      </c>
      <c r="N358" s="1793">
        <v>0</v>
      </c>
      <c r="O358" s="1793">
        <v>0</v>
      </c>
      <c r="P358" s="530" t="s">
        <v>1779</v>
      </c>
      <c r="Q358" s="291"/>
      <c r="R358" s="170"/>
      <c r="S358" s="387"/>
      <c r="T358" s="491" t="s">
        <v>2757</v>
      </c>
      <c r="U358" s="491" t="s">
        <v>311</v>
      </c>
      <c r="W358" s="427" t="s">
        <v>795</v>
      </c>
      <c r="X358" s="427" t="s">
        <v>3279</v>
      </c>
      <c r="AA358" s="27"/>
      <c r="AB358" s="27"/>
      <c r="AC358" s="889"/>
      <c r="AD358" s="502"/>
    </row>
    <row r="359" spans="3:30" ht="10.5" customHeight="1">
      <c r="C359" s="1799" t="s">
        <v>4849</v>
      </c>
      <c r="D359" s="1796">
        <v>0</v>
      </c>
      <c r="E359" s="1796">
        <v>0</v>
      </c>
      <c r="F359" s="1797">
        <v>0</v>
      </c>
      <c r="G359" s="1999" t="s">
        <v>4849</v>
      </c>
      <c r="H359" s="1794">
        <v>0</v>
      </c>
      <c r="I359" s="1794">
        <v>0</v>
      </c>
      <c r="J359" s="2000">
        <v>0</v>
      </c>
      <c r="K359" s="1798"/>
      <c r="L359" s="1792">
        <v>13009970600</v>
      </c>
      <c r="M359" s="1793">
        <v>0</v>
      </c>
      <c r="N359" s="1793">
        <v>0</v>
      </c>
      <c r="O359" s="1793">
        <v>0</v>
      </c>
      <c r="P359" s="530" t="s">
        <v>1844</v>
      </c>
      <c r="Q359" s="291"/>
      <c r="R359" s="170"/>
      <c r="S359" s="387"/>
      <c r="T359" s="491" t="s">
        <v>1118</v>
      </c>
      <c r="U359" s="491" t="s">
        <v>1424</v>
      </c>
      <c r="W359" s="427" t="s">
        <v>164</v>
      </c>
      <c r="X359" s="427" t="s">
        <v>3279</v>
      </c>
      <c r="AA359" s="27"/>
      <c r="AB359" s="27"/>
      <c r="AC359" s="889"/>
      <c r="AD359" s="502"/>
    </row>
    <row r="360" spans="3:30" ht="10.5" customHeight="1">
      <c r="C360" s="1799" t="s">
        <v>4850</v>
      </c>
      <c r="D360" s="1796">
        <v>0</v>
      </c>
      <c r="E360" s="1796">
        <v>0</v>
      </c>
      <c r="F360" s="1797">
        <v>0</v>
      </c>
      <c r="G360" s="1999" t="s">
        <v>4850</v>
      </c>
      <c r="H360" s="1794">
        <v>0</v>
      </c>
      <c r="I360" s="1794">
        <v>0</v>
      </c>
      <c r="J360" s="2000">
        <v>0</v>
      </c>
      <c r="K360" s="1798"/>
      <c r="L360" s="1792">
        <v>13009970701</v>
      </c>
      <c r="M360" s="1793">
        <v>0</v>
      </c>
      <c r="N360" s="1793">
        <v>0</v>
      </c>
      <c r="O360" s="1793">
        <v>0</v>
      </c>
      <c r="P360" s="530" t="s">
        <v>1846</v>
      </c>
      <c r="Q360" s="291"/>
      <c r="R360" s="170"/>
      <c r="S360" s="387"/>
      <c r="T360" s="491" t="s">
        <v>1120</v>
      </c>
      <c r="U360" s="491" t="s">
        <v>644</v>
      </c>
      <c r="W360" s="427" t="s">
        <v>1299</v>
      </c>
      <c r="X360" s="427" t="s">
        <v>3279</v>
      </c>
      <c r="AA360" s="27"/>
      <c r="AB360" s="27"/>
      <c r="AC360" s="889"/>
      <c r="AD360" s="502"/>
    </row>
    <row r="361" spans="3:30" ht="10.5" customHeight="1">
      <c r="C361" s="1799" t="s">
        <v>4851</v>
      </c>
      <c r="D361" s="1796">
        <v>0</v>
      </c>
      <c r="E361" s="1796">
        <v>0</v>
      </c>
      <c r="F361" s="1797">
        <v>0</v>
      </c>
      <c r="G361" s="1999" t="s">
        <v>4851</v>
      </c>
      <c r="H361" s="1794">
        <v>0</v>
      </c>
      <c r="I361" s="1794">
        <v>0</v>
      </c>
      <c r="J361" s="2000">
        <v>0</v>
      </c>
      <c r="K361" s="1798"/>
      <c r="L361" s="1792">
        <v>13009970702</v>
      </c>
      <c r="M361" s="1793">
        <v>0</v>
      </c>
      <c r="N361" s="1793">
        <v>0</v>
      </c>
      <c r="O361" s="1793">
        <v>0</v>
      </c>
      <c r="P361" s="530" t="s">
        <v>1847</v>
      </c>
      <c r="Q361" s="291"/>
      <c r="R361" s="170"/>
      <c r="S361" s="387"/>
      <c r="T361" s="491" t="s">
        <v>2505</v>
      </c>
      <c r="U361" s="491" t="s">
        <v>2122</v>
      </c>
      <c r="W361" s="427" t="s">
        <v>1050</v>
      </c>
      <c r="X361" s="427" t="s">
        <v>3279</v>
      </c>
      <c r="AA361" s="27"/>
      <c r="AB361" s="27"/>
      <c r="AC361" s="889"/>
      <c r="AD361" s="502"/>
    </row>
    <row r="362" spans="3:30" ht="10.5" customHeight="1">
      <c r="C362" s="1799" t="s">
        <v>4852</v>
      </c>
      <c r="D362" s="1796">
        <v>0</v>
      </c>
      <c r="E362" s="1796">
        <v>0</v>
      </c>
      <c r="F362" s="1797">
        <v>0</v>
      </c>
      <c r="G362" s="1999" t="s">
        <v>4852</v>
      </c>
      <c r="H362" s="1794">
        <v>0</v>
      </c>
      <c r="I362" s="1794">
        <v>0</v>
      </c>
      <c r="J362" s="2000">
        <v>0</v>
      </c>
      <c r="K362" s="1798"/>
      <c r="L362" s="1792">
        <v>13009970800</v>
      </c>
      <c r="M362" s="1793">
        <v>0</v>
      </c>
      <c r="N362" s="1793">
        <v>0</v>
      </c>
      <c r="O362" s="1793">
        <v>0</v>
      </c>
      <c r="P362" s="530" t="s">
        <v>1849</v>
      </c>
      <c r="Q362" s="291"/>
      <c r="R362" s="170"/>
      <c r="S362" s="387"/>
      <c r="T362" s="491" t="s">
        <v>2506</v>
      </c>
      <c r="U362" s="491" t="s">
        <v>2465</v>
      </c>
      <c r="W362" s="427" t="s">
        <v>1945</v>
      </c>
      <c r="X362" s="427" t="s">
        <v>3279</v>
      </c>
      <c r="AA362" s="27"/>
      <c r="AB362" s="27"/>
      <c r="AC362" s="889"/>
      <c r="AD362" s="502"/>
    </row>
    <row r="363" spans="3:30" ht="10.5" customHeight="1">
      <c r="C363" s="1799" t="s">
        <v>4853</v>
      </c>
      <c r="D363" s="1796">
        <v>0</v>
      </c>
      <c r="E363" s="1796">
        <v>0</v>
      </c>
      <c r="F363" s="1797">
        <v>0</v>
      </c>
      <c r="G363" s="1999" t="s">
        <v>4853</v>
      </c>
      <c r="H363" s="1794">
        <v>0</v>
      </c>
      <c r="I363" s="1794">
        <v>0</v>
      </c>
      <c r="J363" s="2000">
        <v>0</v>
      </c>
      <c r="K363" s="1798"/>
      <c r="L363" s="1792">
        <v>13011970100</v>
      </c>
      <c r="M363" s="1793">
        <v>0</v>
      </c>
      <c r="N363" s="1793">
        <v>0</v>
      </c>
      <c r="O363" s="1793">
        <v>0</v>
      </c>
      <c r="P363" s="530" t="s">
        <v>1851</v>
      </c>
      <c r="Q363" s="291"/>
      <c r="R363" s="170"/>
      <c r="S363" s="387"/>
      <c r="T363" s="491" t="s">
        <v>1122</v>
      </c>
      <c r="U363" s="491" t="s">
        <v>1180</v>
      </c>
      <c r="W363" s="427" t="s">
        <v>1841</v>
      </c>
      <c r="X363" s="427" t="s">
        <v>3279</v>
      </c>
      <c r="AA363" s="27"/>
      <c r="AB363" s="27"/>
      <c r="AC363" s="889"/>
      <c r="AD363" s="502"/>
    </row>
    <row r="364" spans="3:30" ht="10.5" customHeight="1">
      <c r="C364" s="1799" t="s">
        <v>4854</v>
      </c>
      <c r="D364" s="1796">
        <v>0</v>
      </c>
      <c r="E364" s="1796">
        <v>0</v>
      </c>
      <c r="F364" s="1797">
        <v>0</v>
      </c>
      <c r="G364" s="1999" t="s">
        <v>4854</v>
      </c>
      <c r="H364" s="1794">
        <v>0</v>
      </c>
      <c r="I364" s="1794">
        <v>0</v>
      </c>
      <c r="J364" s="2000">
        <v>0</v>
      </c>
      <c r="K364" s="1798"/>
      <c r="L364" s="1792">
        <v>13011970200</v>
      </c>
      <c r="M364" s="1793">
        <v>0</v>
      </c>
      <c r="N364" s="1793">
        <v>0</v>
      </c>
      <c r="O364" s="1793">
        <v>0</v>
      </c>
      <c r="P364" s="530" t="s">
        <v>1885</v>
      </c>
      <c r="Q364" s="291"/>
      <c r="R364" s="170"/>
      <c r="S364" s="387"/>
      <c r="T364" s="491" t="s">
        <v>2448</v>
      </c>
      <c r="U364" s="491" t="s">
        <v>195</v>
      </c>
      <c r="W364" s="427" t="s">
        <v>2470</v>
      </c>
      <c r="X364" s="427" t="s">
        <v>3279</v>
      </c>
      <c r="AA364" s="27"/>
      <c r="AB364" s="27"/>
      <c r="AC364" s="889"/>
      <c r="AD364" s="502"/>
    </row>
    <row r="365" spans="3:30" ht="10.5" customHeight="1">
      <c r="C365" s="1799" t="s">
        <v>4855</v>
      </c>
      <c r="D365" s="1796">
        <v>1</v>
      </c>
      <c r="E365" s="1796">
        <v>1</v>
      </c>
      <c r="F365" s="1797">
        <v>2</v>
      </c>
      <c r="G365" s="1999" t="s">
        <v>4855</v>
      </c>
      <c r="H365" s="1794">
        <v>0</v>
      </c>
      <c r="I365" s="1794">
        <v>0</v>
      </c>
      <c r="J365" s="2000">
        <v>0</v>
      </c>
      <c r="K365" s="1798"/>
      <c r="L365" s="1792">
        <v>13011970300</v>
      </c>
      <c r="M365" s="1793">
        <v>1</v>
      </c>
      <c r="N365" s="1793">
        <v>1</v>
      </c>
      <c r="O365" s="1793">
        <v>2</v>
      </c>
      <c r="P365" s="530" t="s">
        <v>1887</v>
      </c>
      <c r="Q365" s="291"/>
      <c r="R365" s="170"/>
      <c r="S365" s="387"/>
      <c r="T365" s="531" t="s">
        <v>446</v>
      </c>
      <c r="U365" s="531" t="s">
        <v>1079</v>
      </c>
      <c r="W365" s="427" t="s">
        <v>1133</v>
      </c>
      <c r="X365" s="427" t="s">
        <v>3279</v>
      </c>
      <c r="AA365" s="27"/>
      <c r="AB365" s="27"/>
      <c r="AC365" s="889"/>
      <c r="AD365" s="502"/>
    </row>
    <row r="366" spans="3:30" ht="10.5" customHeight="1">
      <c r="C366" s="1799" t="s">
        <v>4856</v>
      </c>
      <c r="D366" s="1796">
        <v>0</v>
      </c>
      <c r="E366" s="1796">
        <v>0</v>
      </c>
      <c r="F366" s="1797">
        <v>0</v>
      </c>
      <c r="G366" s="1999" t="s">
        <v>4856</v>
      </c>
      <c r="H366" s="1794">
        <v>0</v>
      </c>
      <c r="I366" s="1794">
        <v>0</v>
      </c>
      <c r="J366" s="2000">
        <v>0</v>
      </c>
      <c r="K366" s="1798"/>
      <c r="L366" s="1792">
        <v>13011970400</v>
      </c>
      <c r="M366" s="1793">
        <v>0</v>
      </c>
      <c r="N366" s="1793">
        <v>0</v>
      </c>
      <c r="O366" s="1793">
        <v>0</v>
      </c>
      <c r="P366" s="530" t="s">
        <v>1888</v>
      </c>
      <c r="Q366" s="291"/>
      <c r="R366" s="170"/>
      <c r="S366" s="387"/>
      <c r="T366" s="531" t="s">
        <v>4240</v>
      </c>
      <c r="U366" s="531" t="s">
        <v>646</v>
      </c>
      <c r="W366" s="427" t="s">
        <v>2451</v>
      </c>
      <c r="X366" s="427" t="s">
        <v>3279</v>
      </c>
      <c r="AA366" s="27"/>
      <c r="AB366" s="27"/>
      <c r="AC366" s="890"/>
      <c r="AD366" s="502"/>
    </row>
    <row r="367" spans="3:30" ht="10.5" customHeight="1">
      <c r="C367" s="1799" t="s">
        <v>4857</v>
      </c>
      <c r="D367" s="1796">
        <v>1</v>
      </c>
      <c r="E367" s="1796">
        <v>1</v>
      </c>
      <c r="F367" s="1797">
        <v>2</v>
      </c>
      <c r="G367" s="1999" t="s">
        <v>4857</v>
      </c>
      <c r="H367" s="1794">
        <v>1</v>
      </c>
      <c r="I367" s="1794">
        <v>1</v>
      </c>
      <c r="J367" s="2000">
        <v>2</v>
      </c>
      <c r="K367" s="1798"/>
      <c r="L367" s="1792">
        <v>13013180103</v>
      </c>
      <c r="M367" s="1793">
        <v>1</v>
      </c>
      <c r="N367" s="1793">
        <v>1</v>
      </c>
      <c r="O367" s="1793">
        <v>2</v>
      </c>
      <c r="P367" s="530" t="s">
        <v>1890</v>
      </c>
      <c r="Q367" s="291"/>
      <c r="R367" s="170"/>
      <c r="S367" s="387"/>
      <c r="T367" s="531" t="s">
        <v>296</v>
      </c>
      <c r="U367" s="531" t="s">
        <v>1305</v>
      </c>
      <c r="W367" s="427" t="s">
        <v>796</v>
      </c>
      <c r="X367" s="427" t="s">
        <v>3279</v>
      </c>
      <c r="AA367" s="27"/>
      <c r="AB367" s="27"/>
      <c r="AC367" s="890"/>
      <c r="AD367" s="502"/>
    </row>
    <row r="368" spans="3:30" ht="10.5" customHeight="1">
      <c r="C368" s="1799" t="s">
        <v>4858</v>
      </c>
      <c r="D368" s="1796">
        <v>0</v>
      </c>
      <c r="E368" s="1796">
        <v>1</v>
      </c>
      <c r="F368" s="1797">
        <v>1</v>
      </c>
      <c r="G368" s="1999" t="s">
        <v>4858</v>
      </c>
      <c r="H368" s="1794">
        <v>0</v>
      </c>
      <c r="I368" s="1794">
        <v>0</v>
      </c>
      <c r="J368" s="2000">
        <v>0</v>
      </c>
      <c r="K368" s="1798"/>
      <c r="L368" s="1792">
        <v>13013180104</v>
      </c>
      <c r="M368" s="1793">
        <v>0</v>
      </c>
      <c r="N368" s="1793">
        <v>1</v>
      </c>
      <c r="O368" s="1793">
        <v>1</v>
      </c>
      <c r="P368" s="530" t="s">
        <v>1892</v>
      </c>
      <c r="Q368" s="291"/>
      <c r="R368" s="170"/>
      <c r="S368" s="387"/>
      <c r="T368" s="491" t="s">
        <v>1778</v>
      </c>
      <c r="U368" s="491" t="s">
        <v>857</v>
      </c>
      <c r="W368" s="427" t="s">
        <v>2054</v>
      </c>
      <c r="X368" s="427" t="s">
        <v>3279</v>
      </c>
      <c r="AA368" s="27"/>
      <c r="AB368" s="27"/>
      <c r="AC368" s="890"/>
      <c r="AD368" s="502"/>
    </row>
    <row r="369" spans="3:30" ht="10.5" customHeight="1">
      <c r="C369" s="1799" t="s">
        <v>4859</v>
      </c>
      <c r="D369" s="1796">
        <v>0</v>
      </c>
      <c r="E369" s="1796">
        <v>1</v>
      </c>
      <c r="F369" s="1797">
        <v>1</v>
      </c>
      <c r="G369" s="1999" t="s">
        <v>4859</v>
      </c>
      <c r="H369" s="1794">
        <v>1</v>
      </c>
      <c r="I369" s="1794">
        <v>0</v>
      </c>
      <c r="J369" s="2000">
        <v>1</v>
      </c>
      <c r="K369" s="1798"/>
      <c r="L369" s="1792">
        <v>13013180105</v>
      </c>
      <c r="M369" s="1793">
        <v>1</v>
      </c>
      <c r="N369" s="1793">
        <v>1</v>
      </c>
      <c r="O369" s="1793">
        <v>1</v>
      </c>
      <c r="P369" s="530" t="s">
        <v>411</v>
      </c>
      <c r="Q369" s="291"/>
      <c r="R369" s="170"/>
      <c r="S369" s="387"/>
      <c r="T369" s="491" t="s">
        <v>1780</v>
      </c>
      <c r="U369" s="491" t="s">
        <v>1089</v>
      </c>
      <c r="W369" s="427" t="s">
        <v>917</v>
      </c>
      <c r="X369" s="427" t="s">
        <v>3279</v>
      </c>
      <c r="AA369" s="27"/>
      <c r="AB369" s="27"/>
      <c r="AC369" s="889"/>
      <c r="AD369" s="502"/>
    </row>
    <row r="370" spans="3:30" ht="10.5" customHeight="1">
      <c r="C370" s="1799" t="s">
        <v>4860</v>
      </c>
      <c r="D370" s="1796">
        <v>0</v>
      </c>
      <c r="E370" s="1796">
        <v>1</v>
      </c>
      <c r="F370" s="1797">
        <v>1</v>
      </c>
      <c r="G370" s="1999" t="s">
        <v>4860</v>
      </c>
      <c r="H370" s="1794">
        <v>1</v>
      </c>
      <c r="I370" s="1794">
        <v>0</v>
      </c>
      <c r="J370" s="2000">
        <v>1</v>
      </c>
      <c r="K370" s="1798"/>
      <c r="L370" s="1792">
        <v>13013180106</v>
      </c>
      <c r="M370" s="1793">
        <v>1</v>
      </c>
      <c r="N370" s="1793">
        <v>1</v>
      </c>
      <c r="O370" s="1793">
        <v>1</v>
      </c>
      <c r="P370" s="530" t="s">
        <v>130</v>
      </c>
      <c r="Q370" s="291"/>
      <c r="R370" s="170"/>
      <c r="S370" s="387"/>
      <c r="T370" s="531" t="s">
        <v>1845</v>
      </c>
      <c r="U370" s="531" t="s">
        <v>2425</v>
      </c>
      <c r="W370" s="427" t="s">
        <v>2437</v>
      </c>
      <c r="X370" s="427" t="s">
        <v>3279</v>
      </c>
      <c r="AA370" s="27"/>
      <c r="AB370" s="27"/>
      <c r="AC370" s="889"/>
      <c r="AD370" s="502"/>
    </row>
    <row r="371" spans="3:30" ht="10.5" customHeight="1">
      <c r="C371" s="1799" t="s">
        <v>4861</v>
      </c>
      <c r="D371" s="1796">
        <v>0</v>
      </c>
      <c r="E371" s="1796">
        <v>0</v>
      </c>
      <c r="F371" s="1797">
        <v>0</v>
      </c>
      <c r="G371" s="1999" t="s">
        <v>4861</v>
      </c>
      <c r="H371" s="1794">
        <v>0</v>
      </c>
      <c r="I371" s="1794">
        <v>0</v>
      </c>
      <c r="J371" s="2000">
        <v>0</v>
      </c>
      <c r="K371" s="1798"/>
      <c r="L371" s="1792">
        <v>13013180107</v>
      </c>
      <c r="M371" s="1793">
        <v>0</v>
      </c>
      <c r="N371" s="1793">
        <v>0</v>
      </c>
      <c r="O371" s="1793">
        <v>0</v>
      </c>
      <c r="P371" s="530" t="s">
        <v>1632</v>
      </c>
      <c r="Q371" s="291"/>
      <c r="R371" s="170"/>
      <c r="S371" s="387"/>
      <c r="T371" s="491" t="s">
        <v>1848</v>
      </c>
      <c r="U371" s="491" t="s">
        <v>644</v>
      </c>
      <c r="W371" s="427" t="s">
        <v>1858</v>
      </c>
      <c r="X371" s="427" t="s">
        <v>3279</v>
      </c>
      <c r="AA371" s="27"/>
      <c r="AB371" s="27"/>
      <c r="AC371" s="890"/>
      <c r="AD371" s="502"/>
    </row>
    <row r="372" spans="3:30" ht="10.5" customHeight="1">
      <c r="C372" s="1799" t="s">
        <v>4862</v>
      </c>
      <c r="D372" s="1796">
        <v>0</v>
      </c>
      <c r="E372" s="1796">
        <v>1</v>
      </c>
      <c r="F372" s="1797">
        <v>1</v>
      </c>
      <c r="G372" s="1999" t="s">
        <v>4862</v>
      </c>
      <c r="H372" s="1794">
        <v>0</v>
      </c>
      <c r="I372" s="1794">
        <v>0</v>
      </c>
      <c r="J372" s="2000">
        <v>0</v>
      </c>
      <c r="K372" s="1798"/>
      <c r="L372" s="1792">
        <v>13013180108</v>
      </c>
      <c r="M372" s="1793">
        <v>0</v>
      </c>
      <c r="N372" s="1793">
        <v>1</v>
      </c>
      <c r="O372" s="1793">
        <v>1</v>
      </c>
      <c r="P372" s="530" t="s">
        <v>1705</v>
      </c>
      <c r="Q372" s="291"/>
      <c r="R372" s="170"/>
      <c r="S372" s="387"/>
      <c r="T372" s="491" t="s">
        <v>1850</v>
      </c>
      <c r="U372" s="491" t="s">
        <v>1287</v>
      </c>
      <c r="W372" s="427" t="s">
        <v>1386</v>
      </c>
      <c r="X372" s="427" t="s">
        <v>3279</v>
      </c>
      <c r="AA372" s="27"/>
      <c r="AB372" s="27"/>
      <c r="AC372" s="889"/>
      <c r="AD372" s="502"/>
    </row>
    <row r="373" spans="3:30" ht="10.5" customHeight="1">
      <c r="C373" s="1799" t="s">
        <v>4863</v>
      </c>
      <c r="D373" s="1796">
        <v>0</v>
      </c>
      <c r="E373" s="1796">
        <v>0</v>
      </c>
      <c r="F373" s="1797">
        <v>0</v>
      </c>
      <c r="G373" s="1999" t="s">
        <v>4863</v>
      </c>
      <c r="H373" s="1794">
        <v>0</v>
      </c>
      <c r="I373" s="1794">
        <v>0</v>
      </c>
      <c r="J373" s="2000">
        <v>0</v>
      </c>
      <c r="K373" s="1798"/>
      <c r="L373" s="1792">
        <v>13013180203</v>
      </c>
      <c r="M373" s="1793">
        <v>0</v>
      </c>
      <c r="N373" s="1793">
        <v>0</v>
      </c>
      <c r="O373" s="1793">
        <v>0</v>
      </c>
      <c r="P373" s="530" t="s">
        <v>2220</v>
      </c>
      <c r="Q373" s="291"/>
      <c r="R373" s="170"/>
      <c r="S373" s="387"/>
      <c r="T373" s="491" t="s">
        <v>2758</v>
      </c>
      <c r="U373" s="491" t="s">
        <v>195</v>
      </c>
      <c r="W373" s="427" t="s">
        <v>2200</v>
      </c>
      <c r="X373" s="427" t="s">
        <v>3279</v>
      </c>
      <c r="AA373" s="27"/>
      <c r="AB373" s="27"/>
      <c r="AC373" s="889"/>
      <c r="AD373" s="502"/>
    </row>
    <row r="374" spans="3:30" ht="10.5" customHeight="1">
      <c r="C374" s="1799" t="s">
        <v>4864</v>
      </c>
      <c r="D374" s="1796">
        <v>0</v>
      </c>
      <c r="E374" s="1796">
        <v>0</v>
      </c>
      <c r="F374" s="1797">
        <v>0</v>
      </c>
      <c r="G374" s="1999" t="s">
        <v>4864</v>
      </c>
      <c r="H374" s="1794">
        <v>0</v>
      </c>
      <c r="I374" s="1794">
        <v>0</v>
      </c>
      <c r="J374" s="2000">
        <v>0</v>
      </c>
      <c r="K374" s="1798"/>
      <c r="L374" s="1792">
        <v>13013180204</v>
      </c>
      <c r="M374" s="1793">
        <v>0</v>
      </c>
      <c r="N374" s="1793">
        <v>0</v>
      </c>
      <c r="O374" s="1793">
        <v>0</v>
      </c>
      <c r="P374" s="530" t="s">
        <v>2222</v>
      </c>
      <c r="Q374" s="291"/>
      <c r="R374" s="170"/>
      <c r="S374" s="387"/>
      <c r="T374" s="491" t="s">
        <v>1852</v>
      </c>
      <c r="U374" s="491" t="s">
        <v>1290</v>
      </c>
      <c r="W374" s="427" t="s">
        <v>2202</v>
      </c>
      <c r="X374" s="427" t="s">
        <v>3279</v>
      </c>
      <c r="AA374" s="27"/>
      <c r="AB374" s="27"/>
      <c r="AC374" s="889"/>
      <c r="AD374" s="502"/>
    </row>
    <row r="375" spans="3:30" ht="10.5" customHeight="1">
      <c r="C375" s="1799" t="s">
        <v>4865</v>
      </c>
      <c r="D375" s="1796">
        <v>0</v>
      </c>
      <c r="E375" s="1796">
        <v>0</v>
      </c>
      <c r="F375" s="1797">
        <v>0</v>
      </c>
      <c r="G375" s="1999" t="s">
        <v>4865</v>
      </c>
      <c r="H375" s="1794">
        <v>0</v>
      </c>
      <c r="I375" s="1794">
        <v>0</v>
      </c>
      <c r="J375" s="2000">
        <v>0</v>
      </c>
      <c r="K375" s="1798"/>
      <c r="L375" s="1792">
        <v>13013180205</v>
      </c>
      <c r="M375" s="1793">
        <v>0</v>
      </c>
      <c r="N375" s="1793">
        <v>0</v>
      </c>
      <c r="O375" s="1793">
        <v>0</v>
      </c>
      <c r="P375" s="530" t="s">
        <v>970</v>
      </c>
      <c r="Q375" s="291"/>
      <c r="R375" s="170"/>
      <c r="S375" s="387"/>
      <c r="T375" s="491" t="s">
        <v>1886</v>
      </c>
      <c r="U375" s="491" t="s">
        <v>313</v>
      </c>
      <c r="W375" s="427" t="s">
        <v>1094</v>
      </c>
      <c r="X375" s="427" t="s">
        <v>3279</v>
      </c>
      <c r="AA375" s="27"/>
      <c r="AB375" s="27"/>
      <c r="AC375" s="889"/>
      <c r="AD375" s="502"/>
    </row>
    <row r="376" spans="3:30" ht="10.5" customHeight="1">
      <c r="C376" s="1799" t="s">
        <v>4866</v>
      </c>
      <c r="D376" s="1796">
        <v>1</v>
      </c>
      <c r="E376" s="1796">
        <v>1</v>
      </c>
      <c r="F376" s="1797">
        <v>2</v>
      </c>
      <c r="G376" s="1999" t="s">
        <v>4866</v>
      </c>
      <c r="H376" s="1794">
        <v>1</v>
      </c>
      <c r="I376" s="1794">
        <v>0</v>
      </c>
      <c r="J376" s="2000">
        <v>1</v>
      </c>
      <c r="K376" s="1798"/>
      <c r="L376" s="1792">
        <v>13013180206</v>
      </c>
      <c r="M376" s="1793">
        <v>1</v>
      </c>
      <c r="N376" s="1793">
        <v>1</v>
      </c>
      <c r="O376" s="1793">
        <v>2</v>
      </c>
      <c r="P376" s="530" t="s">
        <v>659</v>
      </c>
      <c r="Q376" s="291"/>
      <c r="R376" s="170"/>
      <c r="S376" s="387"/>
      <c r="T376" s="491" t="s">
        <v>2759</v>
      </c>
      <c r="U376" s="491" t="s">
        <v>637</v>
      </c>
      <c r="W376" s="427" t="s">
        <v>2075</v>
      </c>
      <c r="X376" s="427" t="s">
        <v>3279</v>
      </c>
      <c r="AA376" s="27"/>
      <c r="AB376" s="27"/>
      <c r="AC376" s="889"/>
      <c r="AD376" s="502"/>
    </row>
    <row r="377" spans="3:30" ht="10.5" customHeight="1">
      <c r="C377" s="1799" t="s">
        <v>4867</v>
      </c>
      <c r="D377" s="1796">
        <v>1</v>
      </c>
      <c r="E377" s="1796">
        <v>1</v>
      </c>
      <c r="F377" s="1797">
        <v>2</v>
      </c>
      <c r="G377" s="1999" t="s">
        <v>4867</v>
      </c>
      <c r="H377" s="1794">
        <v>1</v>
      </c>
      <c r="I377" s="1794">
        <v>0</v>
      </c>
      <c r="J377" s="2000">
        <v>1</v>
      </c>
      <c r="K377" s="1798"/>
      <c r="L377" s="1792">
        <v>13013180301</v>
      </c>
      <c r="M377" s="1793">
        <v>1</v>
      </c>
      <c r="N377" s="1793">
        <v>1</v>
      </c>
      <c r="O377" s="1793">
        <v>2</v>
      </c>
      <c r="P377" s="530" t="s">
        <v>552</v>
      </c>
      <c r="Q377" s="291"/>
      <c r="R377" s="170"/>
      <c r="S377" s="387"/>
      <c r="T377" s="491" t="s">
        <v>1889</v>
      </c>
      <c r="U377" s="491" t="s">
        <v>2519</v>
      </c>
      <c r="W377" s="427" t="s">
        <v>2076</v>
      </c>
      <c r="X377" s="427" t="s">
        <v>3279</v>
      </c>
      <c r="AA377" s="27"/>
      <c r="AB377" s="27"/>
      <c r="AC377" s="889"/>
      <c r="AD377" s="502"/>
    </row>
    <row r="378" spans="3:30" ht="10.5" customHeight="1">
      <c r="C378" s="1799" t="s">
        <v>4868</v>
      </c>
      <c r="D378" s="1796">
        <v>1</v>
      </c>
      <c r="E378" s="1796">
        <v>1</v>
      </c>
      <c r="F378" s="1797">
        <v>2</v>
      </c>
      <c r="G378" s="1999" t="s">
        <v>4868</v>
      </c>
      <c r="H378" s="1794">
        <v>1</v>
      </c>
      <c r="I378" s="1794">
        <v>1</v>
      </c>
      <c r="J378" s="2000">
        <v>2</v>
      </c>
      <c r="K378" s="1798"/>
      <c r="L378" s="1792">
        <v>13013180302</v>
      </c>
      <c r="M378" s="1793">
        <v>1</v>
      </c>
      <c r="N378" s="1793">
        <v>1</v>
      </c>
      <c r="O378" s="1793">
        <v>2</v>
      </c>
      <c r="P378" s="530" t="s">
        <v>655</v>
      </c>
      <c r="Q378" s="291"/>
      <c r="R378" s="170"/>
      <c r="S378" s="387"/>
      <c r="T378" s="491" t="s">
        <v>1891</v>
      </c>
      <c r="U378" s="491" t="s">
        <v>1287</v>
      </c>
      <c r="W378" s="427" t="s">
        <v>2077</v>
      </c>
      <c r="X378" s="427" t="s">
        <v>3279</v>
      </c>
      <c r="AA378" s="27"/>
      <c r="AB378" s="27"/>
      <c r="AC378" s="889"/>
      <c r="AD378" s="502"/>
    </row>
    <row r="379" spans="3:30" ht="10.5" customHeight="1">
      <c r="C379" s="1799" t="s">
        <v>4869</v>
      </c>
      <c r="D379" s="1796">
        <v>1</v>
      </c>
      <c r="E379" s="1796">
        <v>1</v>
      </c>
      <c r="F379" s="1797">
        <v>2</v>
      </c>
      <c r="G379" s="1999" t="s">
        <v>4869</v>
      </c>
      <c r="H379" s="1794">
        <v>0</v>
      </c>
      <c r="I379" s="1794">
        <v>0</v>
      </c>
      <c r="J379" s="2000">
        <v>0</v>
      </c>
      <c r="K379" s="1798"/>
      <c r="L379" s="1792">
        <v>13013180303</v>
      </c>
      <c r="M379" s="1793">
        <v>1</v>
      </c>
      <c r="N379" s="1793">
        <v>1</v>
      </c>
      <c r="O379" s="1793">
        <v>2</v>
      </c>
      <c r="P379" s="530" t="s">
        <v>2325</v>
      </c>
      <c r="Q379" s="291"/>
      <c r="R379" s="170"/>
      <c r="S379" s="387"/>
      <c r="T379" s="491" t="s">
        <v>2187</v>
      </c>
      <c r="U379" s="491" t="s">
        <v>2462</v>
      </c>
      <c r="W379" s="427" t="s">
        <v>2273</v>
      </c>
      <c r="X379" s="427" t="s">
        <v>3279</v>
      </c>
      <c r="AA379" s="27"/>
      <c r="AB379" s="27"/>
      <c r="AC379" s="889"/>
      <c r="AD379" s="502"/>
    </row>
    <row r="380" spans="3:30" ht="10.5" customHeight="1">
      <c r="C380" s="1799" t="s">
        <v>4870</v>
      </c>
      <c r="D380" s="1796">
        <v>1</v>
      </c>
      <c r="E380" s="1796">
        <v>1</v>
      </c>
      <c r="F380" s="1797">
        <v>2</v>
      </c>
      <c r="G380" s="1999" t="s">
        <v>4870</v>
      </c>
      <c r="H380" s="1794">
        <v>0</v>
      </c>
      <c r="I380" s="1794">
        <v>1</v>
      </c>
      <c r="J380" s="2000">
        <v>1</v>
      </c>
      <c r="K380" s="1798"/>
      <c r="L380" s="1792">
        <v>13013180401</v>
      </c>
      <c r="M380" s="1793">
        <v>1</v>
      </c>
      <c r="N380" s="1793">
        <v>1</v>
      </c>
      <c r="O380" s="1793">
        <v>2</v>
      </c>
      <c r="P380" s="530" t="s">
        <v>214</v>
      </c>
      <c r="Q380" s="291"/>
      <c r="R380" s="170"/>
      <c r="S380" s="387"/>
      <c r="T380" s="491" t="s">
        <v>2507</v>
      </c>
      <c r="U380" s="491" t="s">
        <v>2122</v>
      </c>
      <c r="W380" s="427" t="s">
        <v>2275</v>
      </c>
      <c r="X380" s="427" t="s">
        <v>3279</v>
      </c>
      <c r="AA380" s="27"/>
      <c r="AB380" s="27"/>
      <c r="AC380" s="889"/>
      <c r="AD380" s="502"/>
    </row>
    <row r="381" spans="3:30" ht="10.5" customHeight="1">
      <c r="C381" s="1799" t="s">
        <v>4871</v>
      </c>
      <c r="D381" s="1796">
        <v>0</v>
      </c>
      <c r="E381" s="1796">
        <v>0</v>
      </c>
      <c r="F381" s="1797">
        <v>0</v>
      </c>
      <c r="G381" s="1999" t="s">
        <v>4871</v>
      </c>
      <c r="H381" s="1794">
        <v>0</v>
      </c>
      <c r="I381" s="1794">
        <v>0</v>
      </c>
      <c r="J381" s="2000">
        <v>0</v>
      </c>
      <c r="K381" s="1798"/>
      <c r="L381" s="1792">
        <v>13013180402</v>
      </c>
      <c r="M381" s="1793">
        <v>0</v>
      </c>
      <c r="N381" s="1793">
        <v>0</v>
      </c>
      <c r="O381" s="1793">
        <v>0</v>
      </c>
      <c r="P381" s="530" t="s">
        <v>761</v>
      </c>
      <c r="Q381" s="291"/>
      <c r="R381" s="170"/>
      <c r="S381" s="387"/>
      <c r="T381" s="491" t="s">
        <v>2508</v>
      </c>
      <c r="U381" s="491" t="s">
        <v>2422</v>
      </c>
      <c r="W381" s="427" t="s">
        <v>2203</v>
      </c>
      <c r="X381" s="427" t="s">
        <v>3279</v>
      </c>
      <c r="AA381" s="27"/>
      <c r="AB381" s="27"/>
      <c r="AC381" s="889"/>
      <c r="AD381" s="502"/>
    </row>
    <row r="382" spans="3:30" ht="10.5" customHeight="1">
      <c r="C382" s="1799" t="s">
        <v>4872</v>
      </c>
      <c r="D382" s="1796">
        <v>1</v>
      </c>
      <c r="E382" s="1796">
        <v>1</v>
      </c>
      <c r="F382" s="1797">
        <v>2</v>
      </c>
      <c r="G382" s="1999" t="s">
        <v>4872</v>
      </c>
      <c r="H382" s="1794">
        <v>1</v>
      </c>
      <c r="I382" s="1794" t="s">
        <v>4485</v>
      </c>
      <c r="J382" s="2000">
        <v>1</v>
      </c>
      <c r="K382" s="1798"/>
      <c r="L382" s="1792">
        <v>13013180501</v>
      </c>
      <c r="M382" s="1793">
        <v>1</v>
      </c>
      <c r="N382" s="1793">
        <v>1</v>
      </c>
      <c r="O382" s="1793">
        <v>2</v>
      </c>
      <c r="P382" s="530" t="s">
        <v>762</v>
      </c>
      <c r="Q382" s="291"/>
      <c r="R382" s="170"/>
      <c r="S382" s="387"/>
      <c r="T382" s="531" t="s">
        <v>412</v>
      </c>
      <c r="U382" s="531" t="s">
        <v>1180</v>
      </c>
      <c r="W382" s="427" t="s">
        <v>1594</v>
      </c>
      <c r="X382" s="427" t="s">
        <v>3279</v>
      </c>
      <c r="AA382" s="27"/>
      <c r="AB382" s="27"/>
      <c r="AC382" s="889"/>
      <c r="AD382" s="502"/>
    </row>
    <row r="383" spans="3:30" ht="10.5" customHeight="1">
      <c r="C383" s="1799" t="s">
        <v>4873</v>
      </c>
      <c r="D383" s="1796">
        <v>1</v>
      </c>
      <c r="E383" s="1796">
        <v>1</v>
      </c>
      <c r="F383" s="1797">
        <v>2</v>
      </c>
      <c r="G383" s="1999" t="s">
        <v>4873</v>
      </c>
      <c r="H383" s="1794">
        <v>1</v>
      </c>
      <c r="I383" s="1794">
        <v>0</v>
      </c>
      <c r="J383" s="2000">
        <v>1</v>
      </c>
      <c r="K383" s="1798"/>
      <c r="L383" s="1792">
        <v>13013180502</v>
      </c>
      <c r="M383" s="1793">
        <v>1</v>
      </c>
      <c r="N383" s="1793">
        <v>1</v>
      </c>
      <c r="O383" s="1793">
        <v>2</v>
      </c>
      <c r="P383" s="530" t="s">
        <v>226</v>
      </c>
      <c r="Q383" s="291"/>
      <c r="R383" s="170"/>
      <c r="S383" s="387"/>
      <c r="T383" s="491" t="s">
        <v>222</v>
      </c>
      <c r="U383" s="491" t="s">
        <v>649</v>
      </c>
      <c r="W383" s="427" t="s">
        <v>1644</v>
      </c>
      <c r="X383" s="427" t="s">
        <v>3279</v>
      </c>
      <c r="AA383" s="27"/>
      <c r="AB383" s="27"/>
      <c r="AC383" s="890"/>
      <c r="AD383" s="502"/>
    </row>
    <row r="384" spans="3:30" ht="10.5" customHeight="1">
      <c r="C384" s="1799" t="s">
        <v>4874</v>
      </c>
      <c r="D384" s="1796">
        <v>1</v>
      </c>
      <c r="E384" s="1796">
        <v>1</v>
      </c>
      <c r="F384" s="1797">
        <v>2</v>
      </c>
      <c r="G384" s="1999" t="s">
        <v>4874</v>
      </c>
      <c r="H384" s="1794">
        <v>1</v>
      </c>
      <c r="I384" s="1794">
        <v>1</v>
      </c>
      <c r="J384" s="2000">
        <v>2</v>
      </c>
      <c r="K384" s="1798"/>
      <c r="L384" s="1792">
        <v>13013180503</v>
      </c>
      <c r="M384" s="1793">
        <v>1</v>
      </c>
      <c r="N384" s="1793">
        <v>1</v>
      </c>
      <c r="O384" s="1793">
        <v>2</v>
      </c>
      <c r="P384" s="530" t="s">
        <v>228</v>
      </c>
      <c r="Q384" s="291"/>
      <c r="R384" s="170"/>
      <c r="S384" s="387"/>
      <c r="T384" s="491" t="s">
        <v>2509</v>
      </c>
      <c r="U384" s="491" t="s">
        <v>1960</v>
      </c>
      <c r="W384" s="427" t="s">
        <v>1055</v>
      </c>
      <c r="X384" s="427" t="s">
        <v>3279</v>
      </c>
      <c r="AA384" s="27"/>
      <c r="AB384" s="27"/>
      <c r="AC384" s="889"/>
      <c r="AD384" s="502"/>
    </row>
    <row r="385" spans="3:30" ht="10.5" customHeight="1">
      <c r="C385" s="1799" t="s">
        <v>4875</v>
      </c>
      <c r="D385" s="1796">
        <v>1</v>
      </c>
      <c r="E385" s="1796">
        <v>1</v>
      </c>
      <c r="F385" s="1797">
        <v>2</v>
      </c>
      <c r="G385" s="1999" t="s">
        <v>4875</v>
      </c>
      <c r="H385" s="1794">
        <v>1</v>
      </c>
      <c r="I385" s="1794">
        <v>1</v>
      </c>
      <c r="J385" s="2000">
        <v>2</v>
      </c>
      <c r="K385" s="1798"/>
      <c r="L385" s="1792">
        <v>13015960101</v>
      </c>
      <c r="M385" s="1793">
        <v>1</v>
      </c>
      <c r="N385" s="1793">
        <v>1</v>
      </c>
      <c r="O385" s="1793">
        <v>2</v>
      </c>
      <c r="P385" s="530" t="s">
        <v>230</v>
      </c>
      <c r="Q385" s="291"/>
      <c r="R385" s="170"/>
      <c r="S385" s="387"/>
      <c r="T385" s="491" t="s">
        <v>1633</v>
      </c>
      <c r="U385" s="491" t="s">
        <v>2420</v>
      </c>
      <c r="W385" s="427" t="s">
        <v>1651</v>
      </c>
      <c r="X385" s="427" t="s">
        <v>3279</v>
      </c>
      <c r="AA385" s="27"/>
      <c r="AB385" s="27"/>
      <c r="AC385" s="889"/>
      <c r="AD385" s="502"/>
    </row>
    <row r="386" spans="3:30" ht="10.5" customHeight="1">
      <c r="C386" s="1799" t="s">
        <v>4876</v>
      </c>
      <c r="D386" s="1796">
        <v>1</v>
      </c>
      <c r="E386" s="1796">
        <v>1</v>
      </c>
      <c r="F386" s="1797">
        <v>2</v>
      </c>
      <c r="G386" s="1999" t="s">
        <v>4876</v>
      </c>
      <c r="H386" s="1794">
        <v>1</v>
      </c>
      <c r="I386" s="1794">
        <v>1</v>
      </c>
      <c r="J386" s="2000">
        <v>2</v>
      </c>
      <c r="K386" s="1798"/>
      <c r="L386" s="1792">
        <v>13015960102</v>
      </c>
      <c r="M386" s="1793">
        <v>1</v>
      </c>
      <c r="N386" s="1793">
        <v>1</v>
      </c>
      <c r="O386" s="1793">
        <v>2</v>
      </c>
      <c r="P386" s="530" t="s">
        <v>765</v>
      </c>
      <c r="Q386" s="291"/>
      <c r="R386" s="170"/>
      <c r="S386" s="387"/>
      <c r="T386" s="491" t="s">
        <v>2221</v>
      </c>
      <c r="U386" s="491" t="s">
        <v>639</v>
      </c>
      <c r="W386" s="427" t="s">
        <v>1652</v>
      </c>
      <c r="X386" s="427" t="s">
        <v>3279</v>
      </c>
      <c r="AA386" s="27"/>
      <c r="AB386" s="27"/>
      <c r="AC386" s="889"/>
      <c r="AD386" s="502"/>
    </row>
    <row r="387" spans="3:30" ht="10.5" customHeight="1">
      <c r="C387" s="1799" t="s">
        <v>4877</v>
      </c>
      <c r="D387" s="1796">
        <v>0</v>
      </c>
      <c r="E387" s="1796">
        <v>1</v>
      </c>
      <c r="F387" s="1797">
        <v>1</v>
      </c>
      <c r="G387" s="1999" t="s">
        <v>4877</v>
      </c>
      <c r="H387" s="1794">
        <v>1</v>
      </c>
      <c r="I387" s="1794">
        <v>0</v>
      </c>
      <c r="J387" s="2000">
        <v>1</v>
      </c>
      <c r="K387" s="1798"/>
      <c r="L387" s="1792">
        <v>13015960200</v>
      </c>
      <c r="M387" s="1793">
        <v>1</v>
      </c>
      <c r="N387" s="1793">
        <v>1</v>
      </c>
      <c r="O387" s="1793">
        <v>1</v>
      </c>
      <c r="P387" s="530" t="s">
        <v>766</v>
      </c>
      <c r="Q387" s="291"/>
      <c r="R387" s="170"/>
      <c r="S387" s="387"/>
      <c r="T387" s="491" t="s">
        <v>2223</v>
      </c>
      <c r="U387" s="491" t="s">
        <v>1288</v>
      </c>
      <c r="W387" s="427" t="s">
        <v>1654</v>
      </c>
      <c r="X387" s="427" t="s">
        <v>3279</v>
      </c>
      <c r="AA387" s="27"/>
      <c r="AB387" s="27"/>
      <c r="AC387" s="889"/>
      <c r="AD387" s="502"/>
    </row>
    <row r="388" spans="3:30" ht="10.5" customHeight="1">
      <c r="C388" s="1799" t="s">
        <v>4878</v>
      </c>
      <c r="D388" s="1796">
        <v>1</v>
      </c>
      <c r="E388" s="1796">
        <v>1</v>
      </c>
      <c r="F388" s="1797">
        <v>2</v>
      </c>
      <c r="G388" s="1999" t="s">
        <v>4878</v>
      </c>
      <c r="H388" s="1794">
        <v>1</v>
      </c>
      <c r="I388" s="1794">
        <v>1</v>
      </c>
      <c r="J388" s="2000">
        <v>2</v>
      </c>
      <c r="K388" s="1798"/>
      <c r="L388" s="1792">
        <v>13015960300</v>
      </c>
      <c r="M388" s="1793">
        <v>1</v>
      </c>
      <c r="N388" s="1793">
        <v>1</v>
      </c>
      <c r="O388" s="1793">
        <v>2</v>
      </c>
      <c r="P388" s="530" t="s">
        <v>768</v>
      </c>
      <c r="Q388" s="291"/>
      <c r="R388" s="170"/>
      <c r="S388" s="387"/>
      <c r="T388" s="491" t="s">
        <v>971</v>
      </c>
      <c r="U388" s="491" t="s">
        <v>1427</v>
      </c>
      <c r="W388" s="427" t="s">
        <v>1657</v>
      </c>
      <c r="X388" s="427" t="s">
        <v>3279</v>
      </c>
      <c r="AA388" s="27"/>
      <c r="AB388" s="27"/>
      <c r="AC388" s="889"/>
      <c r="AD388" s="502"/>
    </row>
    <row r="389" spans="3:30" ht="10.5" customHeight="1">
      <c r="C389" s="1799" t="s">
        <v>4879</v>
      </c>
      <c r="D389" s="1796">
        <v>1</v>
      </c>
      <c r="E389" s="1796">
        <v>1</v>
      </c>
      <c r="F389" s="1797">
        <v>2</v>
      </c>
      <c r="G389" s="1999" t="s">
        <v>4879</v>
      </c>
      <c r="H389" s="1794">
        <v>1</v>
      </c>
      <c r="I389" s="1794">
        <v>0</v>
      </c>
      <c r="J389" s="2000">
        <v>1</v>
      </c>
      <c r="K389" s="1798"/>
      <c r="L389" s="1792">
        <v>13015960401</v>
      </c>
      <c r="M389" s="1793">
        <v>1</v>
      </c>
      <c r="N389" s="1793">
        <v>1</v>
      </c>
      <c r="O389" s="1793">
        <v>2</v>
      </c>
      <c r="P389" s="530" t="s">
        <v>1521</v>
      </c>
      <c r="Q389" s="291"/>
      <c r="R389" s="170"/>
      <c r="S389" s="387"/>
      <c r="T389" s="491" t="s">
        <v>553</v>
      </c>
      <c r="U389" s="491" t="s">
        <v>1304</v>
      </c>
      <c r="W389" s="427" t="s">
        <v>1659</v>
      </c>
      <c r="X389" s="427" t="s">
        <v>3279</v>
      </c>
      <c r="AA389" s="27"/>
      <c r="AB389" s="27"/>
      <c r="AC389" s="889"/>
      <c r="AD389" s="502"/>
    </row>
    <row r="390" spans="3:30" ht="10.5" customHeight="1">
      <c r="C390" s="1799" t="s">
        <v>4880</v>
      </c>
      <c r="D390" s="1796">
        <v>0</v>
      </c>
      <c r="E390" s="1796">
        <v>1</v>
      </c>
      <c r="F390" s="1797">
        <v>1</v>
      </c>
      <c r="G390" s="1999" t="s">
        <v>4880</v>
      </c>
      <c r="H390" s="1794">
        <v>0</v>
      </c>
      <c r="I390" s="1794">
        <v>0</v>
      </c>
      <c r="J390" s="2000">
        <v>0</v>
      </c>
      <c r="K390" s="1798"/>
      <c r="L390" s="1792">
        <v>13015960402</v>
      </c>
      <c r="M390" s="1793">
        <v>0</v>
      </c>
      <c r="N390" s="1793">
        <v>1</v>
      </c>
      <c r="O390" s="1793">
        <v>1</v>
      </c>
      <c r="P390" s="530" t="s">
        <v>1194</v>
      </c>
      <c r="Q390" s="291"/>
      <c r="R390" s="170"/>
      <c r="S390" s="387"/>
      <c r="T390" s="491" t="s">
        <v>656</v>
      </c>
      <c r="U390" s="491" t="s">
        <v>306</v>
      </c>
      <c r="W390" s="427" t="s">
        <v>1660</v>
      </c>
      <c r="X390" s="427" t="s">
        <v>3279</v>
      </c>
      <c r="AA390" s="27"/>
      <c r="AB390" s="27"/>
      <c r="AC390" s="889"/>
      <c r="AD390" s="502"/>
    </row>
    <row r="391" spans="3:30" ht="10.5" customHeight="1">
      <c r="C391" s="1799" t="s">
        <v>4881</v>
      </c>
      <c r="D391" s="1796">
        <v>0</v>
      </c>
      <c r="E391" s="1796">
        <v>0</v>
      </c>
      <c r="F391" s="1797">
        <v>0</v>
      </c>
      <c r="G391" s="1999" t="s">
        <v>4881</v>
      </c>
      <c r="H391" s="1794">
        <v>0</v>
      </c>
      <c r="I391" s="1794">
        <v>0</v>
      </c>
      <c r="J391" s="2000">
        <v>0</v>
      </c>
      <c r="K391" s="1798"/>
      <c r="L391" s="1792">
        <v>13015960500</v>
      </c>
      <c r="M391" s="1793">
        <v>0</v>
      </c>
      <c r="N391" s="1793">
        <v>0</v>
      </c>
      <c r="O391" s="1793">
        <v>0</v>
      </c>
      <c r="P391" s="530" t="s">
        <v>1196</v>
      </c>
      <c r="Q391" s="291"/>
      <c r="R391" s="170"/>
      <c r="S391" s="387"/>
      <c r="T391" s="491" t="s">
        <v>2326</v>
      </c>
      <c r="U391" s="491" t="s">
        <v>153</v>
      </c>
      <c r="W391" s="427" t="s">
        <v>1662</v>
      </c>
      <c r="X391" s="427" t="s">
        <v>3279</v>
      </c>
      <c r="AA391" s="27"/>
      <c r="AB391" s="27"/>
      <c r="AC391" s="889"/>
      <c r="AD391" s="502"/>
    </row>
    <row r="392" spans="3:30" ht="10.5" customHeight="1">
      <c r="C392" s="1799" t="s">
        <v>4882</v>
      </c>
      <c r="D392" s="1796">
        <v>0</v>
      </c>
      <c r="E392" s="1796">
        <v>0</v>
      </c>
      <c r="F392" s="1797">
        <v>0</v>
      </c>
      <c r="G392" s="1999" t="s">
        <v>4882</v>
      </c>
      <c r="H392" s="1794">
        <v>1</v>
      </c>
      <c r="I392" s="1794">
        <v>0</v>
      </c>
      <c r="J392" s="2000">
        <v>0</v>
      </c>
      <c r="K392" s="1798"/>
      <c r="L392" s="1792">
        <v>13015960600</v>
      </c>
      <c r="M392" s="1793">
        <v>1</v>
      </c>
      <c r="N392" s="1793">
        <v>0</v>
      </c>
      <c r="O392" s="1793">
        <v>0</v>
      </c>
      <c r="P392" s="530" t="s">
        <v>877</v>
      </c>
      <c r="Q392" s="291"/>
      <c r="R392" s="170"/>
      <c r="S392" s="387"/>
      <c r="T392" s="491" t="s">
        <v>215</v>
      </c>
      <c r="U392" s="491" t="s">
        <v>2419</v>
      </c>
      <c r="W392" s="427" t="s">
        <v>1666</v>
      </c>
      <c r="X392" s="427" t="s">
        <v>3279</v>
      </c>
      <c r="AA392" s="27"/>
      <c r="AB392" s="27"/>
      <c r="AC392" s="889"/>
      <c r="AD392" s="502"/>
    </row>
    <row r="393" spans="3:30" ht="10.5" customHeight="1">
      <c r="C393" s="1799" t="s">
        <v>4883</v>
      </c>
      <c r="D393" s="1796">
        <v>0</v>
      </c>
      <c r="E393" s="1796">
        <v>0</v>
      </c>
      <c r="F393" s="1797">
        <v>0</v>
      </c>
      <c r="G393" s="1999" t="s">
        <v>4883</v>
      </c>
      <c r="H393" s="1794">
        <v>0</v>
      </c>
      <c r="I393" s="1794">
        <v>0</v>
      </c>
      <c r="J393" s="2000">
        <v>0</v>
      </c>
      <c r="K393" s="1798"/>
      <c r="L393" s="1792">
        <v>13015960700</v>
      </c>
      <c r="M393" s="1793">
        <v>0</v>
      </c>
      <c r="N393" s="1793">
        <v>0</v>
      </c>
      <c r="O393" s="1793">
        <v>0</v>
      </c>
      <c r="P393" s="530" t="s">
        <v>2397</v>
      </c>
      <c r="Q393" s="291"/>
      <c r="R393" s="170"/>
      <c r="S393" s="387"/>
      <c r="T393" s="491" t="s">
        <v>641</v>
      </c>
      <c r="U393" s="491" t="s">
        <v>1602</v>
      </c>
      <c r="W393" s="427" t="s">
        <v>1667</v>
      </c>
      <c r="X393" s="427" t="s">
        <v>3279</v>
      </c>
      <c r="AA393" s="27"/>
      <c r="AB393" s="27"/>
      <c r="AC393" s="889"/>
      <c r="AD393" s="502"/>
    </row>
    <row r="394" spans="3:30" ht="10.5" customHeight="1">
      <c r="C394" s="1799" t="s">
        <v>4884</v>
      </c>
      <c r="D394" s="1796">
        <v>0</v>
      </c>
      <c r="E394" s="1796">
        <v>0</v>
      </c>
      <c r="F394" s="1797">
        <v>0</v>
      </c>
      <c r="G394" s="1999" t="s">
        <v>4884</v>
      </c>
      <c r="H394" s="1794">
        <v>0</v>
      </c>
      <c r="I394" s="1794">
        <v>0</v>
      </c>
      <c r="J394" s="2000">
        <v>0</v>
      </c>
      <c r="K394" s="1798"/>
      <c r="L394" s="1792">
        <v>13015960801</v>
      </c>
      <c r="M394" s="1793">
        <v>0</v>
      </c>
      <c r="N394" s="1793">
        <v>0</v>
      </c>
      <c r="O394" s="1793">
        <v>0</v>
      </c>
      <c r="P394" s="530" t="s">
        <v>3544</v>
      </c>
      <c r="Q394" s="291"/>
      <c r="R394" s="170"/>
      <c r="S394" s="387"/>
      <c r="T394" s="491" t="s">
        <v>2303</v>
      </c>
      <c r="U394" s="491" t="s">
        <v>2417</v>
      </c>
      <c r="W394" s="427" t="s">
        <v>1668</v>
      </c>
      <c r="X394" s="427" t="s">
        <v>3279</v>
      </c>
      <c r="AA394" s="27"/>
      <c r="AB394" s="27"/>
      <c r="AC394" s="889"/>
      <c r="AD394" s="502"/>
    </row>
    <row r="395" spans="3:30" ht="10.5" customHeight="1">
      <c r="C395" s="1799" t="s">
        <v>4885</v>
      </c>
      <c r="D395" s="1796">
        <v>0</v>
      </c>
      <c r="E395" s="1796">
        <v>0</v>
      </c>
      <c r="F395" s="1797">
        <v>0</v>
      </c>
      <c r="G395" s="1999" t="s">
        <v>4885</v>
      </c>
      <c r="H395" s="1794">
        <v>0</v>
      </c>
      <c r="I395" s="1794">
        <v>0</v>
      </c>
      <c r="J395" s="2000">
        <v>0</v>
      </c>
      <c r="K395" s="1798"/>
      <c r="L395" s="1792">
        <v>13015960802</v>
      </c>
      <c r="M395" s="1793">
        <v>0</v>
      </c>
      <c r="N395" s="1793">
        <v>0</v>
      </c>
      <c r="O395" s="1793">
        <v>0</v>
      </c>
      <c r="P395" s="530" t="s">
        <v>880</v>
      </c>
      <c r="Q395" s="291"/>
      <c r="R395" s="170"/>
      <c r="S395" s="387"/>
      <c r="T395" s="491" t="s">
        <v>227</v>
      </c>
      <c r="U395" s="491" t="s">
        <v>1488</v>
      </c>
      <c r="W395" s="427" t="s">
        <v>103</v>
      </c>
      <c r="X395" s="427" t="s">
        <v>3279</v>
      </c>
      <c r="AA395" s="27"/>
      <c r="AB395" s="27"/>
      <c r="AC395" s="889"/>
      <c r="AD395" s="502"/>
    </row>
    <row r="396" spans="3:30" ht="10.5" customHeight="1">
      <c r="C396" s="1799" t="s">
        <v>4886</v>
      </c>
      <c r="D396" s="1796">
        <v>0</v>
      </c>
      <c r="E396" s="1796">
        <v>0</v>
      </c>
      <c r="F396" s="1797">
        <v>0</v>
      </c>
      <c r="G396" s="1999" t="s">
        <v>4886</v>
      </c>
      <c r="H396" s="1794">
        <v>0</v>
      </c>
      <c r="I396" s="1794">
        <v>0</v>
      </c>
      <c r="J396" s="2000">
        <v>0</v>
      </c>
      <c r="K396" s="1798"/>
      <c r="L396" s="1792">
        <v>13015960803</v>
      </c>
      <c r="M396" s="1793">
        <v>0</v>
      </c>
      <c r="N396" s="1793">
        <v>0</v>
      </c>
      <c r="O396" s="1793">
        <v>0</v>
      </c>
      <c r="P396" s="530" t="s">
        <v>882</v>
      </c>
      <c r="Q396" s="291"/>
      <c r="R396" s="170"/>
      <c r="S396" s="387"/>
      <c r="T396" s="491" t="s">
        <v>1023</v>
      </c>
      <c r="U396" s="491" t="s">
        <v>1427</v>
      </c>
      <c r="W396" s="427" t="s">
        <v>291</v>
      </c>
      <c r="X396" s="427" t="s">
        <v>3279</v>
      </c>
      <c r="AA396" s="27"/>
      <c r="AB396" s="27"/>
      <c r="AC396" s="889"/>
      <c r="AD396" s="502"/>
    </row>
    <row r="397" spans="3:30" ht="10.5" customHeight="1">
      <c r="C397" s="1799" t="s">
        <v>4887</v>
      </c>
      <c r="D397" s="1796">
        <v>0</v>
      </c>
      <c r="E397" s="1796">
        <v>1</v>
      </c>
      <c r="F397" s="1797">
        <v>1</v>
      </c>
      <c r="G397" s="1999" t="s">
        <v>4887</v>
      </c>
      <c r="H397" s="1794">
        <v>1</v>
      </c>
      <c r="I397" s="1794" t="s">
        <v>4485</v>
      </c>
      <c r="J397" s="2000">
        <v>1</v>
      </c>
      <c r="K397" s="1798"/>
      <c r="L397" s="1792">
        <v>13015960901</v>
      </c>
      <c r="M397" s="1793">
        <v>1</v>
      </c>
      <c r="N397" s="1793">
        <v>1</v>
      </c>
      <c r="O397" s="1793">
        <v>1</v>
      </c>
      <c r="P397" s="530" t="s">
        <v>884</v>
      </c>
      <c r="Q397" s="291"/>
      <c r="R397" s="170"/>
      <c r="S397" s="387"/>
      <c r="T397" s="491" t="s">
        <v>229</v>
      </c>
      <c r="U397" s="491" t="s">
        <v>1069</v>
      </c>
      <c r="W397" s="427" t="s">
        <v>292</v>
      </c>
      <c r="X397" s="427" t="s">
        <v>3279</v>
      </c>
      <c r="AA397" s="27"/>
      <c r="AB397" s="27"/>
      <c r="AC397" s="889"/>
      <c r="AD397" s="502"/>
    </row>
    <row r="398" spans="3:30" ht="10.5" customHeight="1">
      <c r="C398" s="1799" t="s">
        <v>4888</v>
      </c>
      <c r="D398" s="1796">
        <v>1</v>
      </c>
      <c r="E398" s="1796">
        <v>1</v>
      </c>
      <c r="F398" s="1797">
        <v>2</v>
      </c>
      <c r="G398" s="1999" t="s">
        <v>4888</v>
      </c>
      <c r="H398" s="1794">
        <v>0</v>
      </c>
      <c r="I398" s="1794">
        <v>1</v>
      </c>
      <c r="J398" s="2000">
        <v>1</v>
      </c>
      <c r="K398" s="1798"/>
      <c r="L398" s="1792">
        <v>13015960902</v>
      </c>
      <c r="M398" s="1793">
        <v>1</v>
      </c>
      <c r="N398" s="1793">
        <v>1</v>
      </c>
      <c r="O398" s="1793">
        <v>2</v>
      </c>
      <c r="P398" s="530" t="s">
        <v>886</v>
      </c>
      <c r="Q398" s="291"/>
      <c r="R398" s="170"/>
      <c r="S398" s="387"/>
      <c r="T398" s="491" t="s">
        <v>642</v>
      </c>
      <c r="U398" s="491" t="s">
        <v>313</v>
      </c>
      <c r="W398" s="427" t="s">
        <v>293</v>
      </c>
      <c r="X398" s="427" t="s">
        <v>3279</v>
      </c>
      <c r="AA398" s="27"/>
      <c r="AB398" s="27"/>
      <c r="AC398" s="889"/>
      <c r="AD398" s="502"/>
    </row>
    <row r="399" spans="3:30" ht="10.5" customHeight="1">
      <c r="C399" s="1799" t="s">
        <v>4889</v>
      </c>
      <c r="D399" s="1796">
        <v>1</v>
      </c>
      <c r="E399" s="1796">
        <v>1</v>
      </c>
      <c r="F399" s="1797">
        <v>2</v>
      </c>
      <c r="G399" s="1999" t="s">
        <v>4889</v>
      </c>
      <c r="H399" s="1794">
        <v>1</v>
      </c>
      <c r="I399" s="1794">
        <v>0</v>
      </c>
      <c r="J399" s="2000">
        <v>1</v>
      </c>
      <c r="K399" s="1798"/>
      <c r="L399" s="1792">
        <v>13015961000</v>
      </c>
      <c r="M399" s="1793">
        <v>1</v>
      </c>
      <c r="N399" s="1793">
        <v>1</v>
      </c>
      <c r="O399" s="1793">
        <v>2</v>
      </c>
      <c r="P399" s="530" t="s">
        <v>888</v>
      </c>
      <c r="Q399" s="291"/>
      <c r="R399" s="170"/>
      <c r="S399" s="387"/>
      <c r="T399" s="491" t="s">
        <v>767</v>
      </c>
      <c r="U399" s="491" t="s">
        <v>642</v>
      </c>
      <c r="W399" s="427" t="s">
        <v>1508</v>
      </c>
      <c r="X399" s="427" t="s">
        <v>3279</v>
      </c>
      <c r="AA399" s="27"/>
      <c r="AB399" s="27"/>
      <c r="AC399" s="889"/>
      <c r="AD399" s="502"/>
    </row>
    <row r="400" spans="3:30" ht="10.5" customHeight="1">
      <c r="C400" s="1799" t="s">
        <v>4890</v>
      </c>
      <c r="D400" s="1796">
        <v>0</v>
      </c>
      <c r="E400" s="1796">
        <v>0</v>
      </c>
      <c r="F400" s="1797">
        <v>0</v>
      </c>
      <c r="G400" s="1999" t="s">
        <v>4890</v>
      </c>
      <c r="H400" s="1794">
        <v>0</v>
      </c>
      <c r="I400" s="1794">
        <v>0</v>
      </c>
      <c r="J400" s="2000">
        <v>0</v>
      </c>
      <c r="K400" s="1798"/>
      <c r="L400" s="1792">
        <v>13017960100</v>
      </c>
      <c r="M400" s="1793">
        <v>0</v>
      </c>
      <c r="N400" s="1793">
        <v>0</v>
      </c>
      <c r="O400" s="1793">
        <v>0</v>
      </c>
      <c r="P400" s="530" t="s">
        <v>661</v>
      </c>
      <c r="Q400" s="291"/>
      <c r="R400" s="170"/>
      <c r="S400" s="387"/>
      <c r="T400" s="491" t="s">
        <v>1193</v>
      </c>
      <c r="U400" s="491" t="s">
        <v>2425</v>
      </c>
      <c r="W400" s="427" t="s">
        <v>1509</v>
      </c>
      <c r="X400" s="427" t="s">
        <v>3279</v>
      </c>
      <c r="AA400" s="27"/>
      <c r="AB400" s="27"/>
      <c r="AC400" s="889"/>
      <c r="AD400" s="502"/>
    </row>
    <row r="401" spans="3:30" ht="10.5" customHeight="1">
      <c r="C401" s="1799" t="s">
        <v>4891</v>
      </c>
      <c r="D401" s="1796">
        <v>0</v>
      </c>
      <c r="E401" s="1796">
        <v>0</v>
      </c>
      <c r="F401" s="1797">
        <v>0</v>
      </c>
      <c r="G401" s="1999" t="s">
        <v>4891</v>
      </c>
      <c r="H401" s="1794">
        <v>0</v>
      </c>
      <c r="I401" s="1794">
        <v>0</v>
      </c>
      <c r="J401" s="2000">
        <v>0</v>
      </c>
      <c r="K401" s="1798"/>
      <c r="L401" s="1792">
        <v>13017960200</v>
      </c>
      <c r="M401" s="1793">
        <v>0</v>
      </c>
      <c r="N401" s="1793">
        <v>0</v>
      </c>
      <c r="O401" s="1793">
        <v>0</v>
      </c>
      <c r="P401" s="530" t="s">
        <v>52</v>
      </c>
      <c r="Q401" s="291"/>
      <c r="R401" s="170"/>
      <c r="S401" s="387"/>
      <c r="T401" s="491" t="s">
        <v>1195</v>
      </c>
      <c r="U401" s="491" t="s">
        <v>306</v>
      </c>
      <c r="W401" s="427" t="s">
        <v>1510</v>
      </c>
      <c r="X401" s="427" t="s">
        <v>3279</v>
      </c>
      <c r="AA401" s="27"/>
      <c r="AB401" s="27"/>
      <c r="AC401" s="889"/>
      <c r="AD401" s="502"/>
    </row>
    <row r="402" spans="3:30" ht="10.5" customHeight="1">
      <c r="C402" s="1799" t="s">
        <v>4892</v>
      </c>
      <c r="D402" s="1796">
        <v>0</v>
      </c>
      <c r="E402" s="1796">
        <v>0</v>
      </c>
      <c r="F402" s="1797">
        <v>0</v>
      </c>
      <c r="G402" s="1999" t="s">
        <v>4892</v>
      </c>
      <c r="H402" s="1794">
        <v>0</v>
      </c>
      <c r="I402" s="1794">
        <v>0</v>
      </c>
      <c r="J402" s="2000">
        <v>0</v>
      </c>
      <c r="K402" s="1798"/>
      <c r="L402" s="1792">
        <v>13017960300</v>
      </c>
      <c r="M402" s="1793">
        <v>0</v>
      </c>
      <c r="N402" s="1793">
        <v>0</v>
      </c>
      <c r="O402" s="1793">
        <v>0</v>
      </c>
      <c r="P402" s="530" t="s">
        <v>939</v>
      </c>
      <c r="Q402" s="291"/>
      <c r="R402" s="170"/>
      <c r="S402" s="387"/>
      <c r="T402" s="491" t="s">
        <v>1197</v>
      </c>
      <c r="U402" s="491" t="s">
        <v>155</v>
      </c>
      <c r="W402" s="427" t="s">
        <v>1515</v>
      </c>
      <c r="X402" s="427" t="s">
        <v>3279</v>
      </c>
      <c r="AA402" s="27"/>
      <c r="AB402" s="27"/>
      <c r="AC402" s="889"/>
      <c r="AD402" s="502"/>
    </row>
    <row r="403" spans="3:30" ht="10.5" customHeight="1">
      <c r="C403" s="1799" t="s">
        <v>4893</v>
      </c>
      <c r="D403" s="1796">
        <v>0</v>
      </c>
      <c r="E403" s="1796">
        <v>0</v>
      </c>
      <c r="F403" s="1797">
        <v>0</v>
      </c>
      <c r="G403" s="1999" t="s">
        <v>4893</v>
      </c>
      <c r="H403" s="1794">
        <v>0</v>
      </c>
      <c r="I403" s="1794">
        <v>0</v>
      </c>
      <c r="J403" s="2000">
        <v>0</v>
      </c>
      <c r="K403" s="1798"/>
      <c r="L403" s="1792">
        <v>13017960400</v>
      </c>
      <c r="M403" s="1793">
        <v>0</v>
      </c>
      <c r="N403" s="1793">
        <v>0</v>
      </c>
      <c r="O403" s="1793">
        <v>0</v>
      </c>
      <c r="P403" s="530" t="s">
        <v>1698</v>
      </c>
      <c r="Q403" s="291"/>
      <c r="R403" s="170"/>
      <c r="S403" s="387"/>
      <c r="T403" s="491" t="s">
        <v>878</v>
      </c>
      <c r="U403" s="491" t="s">
        <v>2185</v>
      </c>
      <c r="W403" s="427" t="s">
        <v>2322</v>
      </c>
      <c r="X403" s="427" t="s">
        <v>3279</v>
      </c>
      <c r="AA403" s="27"/>
      <c r="AB403" s="27"/>
      <c r="AC403" s="889"/>
      <c r="AD403" s="502"/>
    </row>
    <row r="404" spans="3:30" ht="10.5" customHeight="1">
      <c r="C404" s="1799" t="s">
        <v>4894</v>
      </c>
      <c r="D404" s="1796">
        <v>0</v>
      </c>
      <c r="E404" s="1796">
        <v>0</v>
      </c>
      <c r="F404" s="1797">
        <v>0</v>
      </c>
      <c r="G404" s="1999" t="s">
        <v>4894</v>
      </c>
      <c r="H404" s="1794">
        <v>0</v>
      </c>
      <c r="I404" s="1794">
        <v>1</v>
      </c>
      <c r="J404" s="2000">
        <v>1</v>
      </c>
      <c r="K404" s="1798"/>
      <c r="L404" s="1792">
        <v>13017960500</v>
      </c>
      <c r="M404" s="1793">
        <v>0</v>
      </c>
      <c r="N404" s="1793">
        <v>1</v>
      </c>
      <c r="O404" s="1793">
        <v>1</v>
      </c>
      <c r="P404" s="530" t="s">
        <v>976</v>
      </c>
      <c r="Q404" s="291"/>
      <c r="R404" s="170"/>
      <c r="S404" s="387"/>
      <c r="T404" s="491" t="s">
        <v>2398</v>
      </c>
      <c r="U404" s="491" t="s">
        <v>1831</v>
      </c>
      <c r="W404" s="427" t="s">
        <v>814</v>
      </c>
      <c r="X404" s="427" t="s">
        <v>3279</v>
      </c>
      <c r="AA404" s="27"/>
      <c r="AB404" s="27"/>
      <c r="AC404" s="889"/>
      <c r="AD404" s="502"/>
    </row>
    <row r="405" spans="3:30" ht="10.5" customHeight="1">
      <c r="C405" s="1799" t="s">
        <v>4895</v>
      </c>
      <c r="D405" s="1796">
        <v>0</v>
      </c>
      <c r="E405" s="1796">
        <v>0</v>
      </c>
      <c r="F405" s="1797">
        <v>0</v>
      </c>
      <c r="G405" s="1999" t="s">
        <v>4895</v>
      </c>
      <c r="H405" s="1794">
        <v>0</v>
      </c>
      <c r="I405" s="1794" t="s">
        <v>4485</v>
      </c>
      <c r="J405" s="2000">
        <v>0</v>
      </c>
      <c r="K405" s="1798"/>
      <c r="L405" s="1792">
        <v>13019970100</v>
      </c>
      <c r="M405" s="1793">
        <v>0</v>
      </c>
      <c r="N405" s="1793">
        <v>0</v>
      </c>
      <c r="O405" s="1793">
        <v>0</v>
      </c>
      <c r="P405" s="530" t="s">
        <v>977</v>
      </c>
      <c r="Q405" s="291"/>
      <c r="R405" s="170"/>
      <c r="S405" s="387"/>
      <c r="T405" s="531" t="s">
        <v>881</v>
      </c>
      <c r="U405" s="531" t="s">
        <v>2129</v>
      </c>
      <c r="W405" s="427" t="s">
        <v>816</v>
      </c>
      <c r="X405" s="427" t="s">
        <v>3279</v>
      </c>
      <c r="AA405" s="27"/>
      <c r="AB405" s="27"/>
      <c r="AC405" s="889"/>
      <c r="AD405" s="502"/>
    </row>
    <row r="406" spans="3:30" ht="10.5" customHeight="1">
      <c r="C406" s="1799" t="s">
        <v>4896</v>
      </c>
      <c r="D406" s="1796">
        <v>0</v>
      </c>
      <c r="E406" s="1796">
        <v>0</v>
      </c>
      <c r="F406" s="1797">
        <v>0</v>
      </c>
      <c r="G406" s="1999" t="s">
        <v>4896</v>
      </c>
      <c r="H406" s="1794">
        <v>0</v>
      </c>
      <c r="I406" s="1794">
        <v>0</v>
      </c>
      <c r="J406" s="2000">
        <v>0</v>
      </c>
      <c r="K406" s="1798"/>
      <c r="L406" s="1792">
        <v>13019970200</v>
      </c>
      <c r="M406" s="1793">
        <v>0</v>
      </c>
      <c r="N406" s="1793">
        <v>0</v>
      </c>
      <c r="O406" s="1793">
        <v>0</v>
      </c>
      <c r="P406" s="530" t="s">
        <v>979</v>
      </c>
      <c r="Q406" s="291"/>
      <c r="R406" s="170"/>
      <c r="S406" s="387"/>
      <c r="T406" s="491" t="s">
        <v>883</v>
      </c>
      <c r="U406" s="491" t="s">
        <v>1081</v>
      </c>
      <c r="AA406" s="27"/>
      <c r="AB406" s="27"/>
      <c r="AC406" s="890"/>
      <c r="AD406" s="502"/>
    </row>
    <row r="407" spans="3:30" ht="10.5" customHeight="1">
      <c r="C407" s="1799" t="s">
        <v>4897</v>
      </c>
      <c r="D407" s="1796">
        <v>0</v>
      </c>
      <c r="E407" s="1796">
        <v>0</v>
      </c>
      <c r="F407" s="1797">
        <v>0</v>
      </c>
      <c r="G407" s="1999" t="s">
        <v>4897</v>
      </c>
      <c r="H407" s="1794">
        <v>0</v>
      </c>
      <c r="I407" s="1794">
        <v>0</v>
      </c>
      <c r="J407" s="2000">
        <v>0</v>
      </c>
      <c r="K407" s="1798"/>
      <c r="L407" s="1792">
        <v>13019970300</v>
      </c>
      <c r="M407" s="1793">
        <v>0</v>
      </c>
      <c r="N407" s="1793">
        <v>0</v>
      </c>
      <c r="O407" s="1793">
        <v>0</v>
      </c>
      <c r="P407" s="530" t="s">
        <v>958</v>
      </c>
      <c r="Q407" s="291"/>
      <c r="R407" s="170"/>
      <c r="S407" s="387"/>
      <c r="T407" s="491" t="s">
        <v>885</v>
      </c>
      <c r="U407" s="491" t="s">
        <v>646</v>
      </c>
      <c r="AA407" s="27"/>
      <c r="AB407" s="27"/>
      <c r="AC407" s="889"/>
      <c r="AD407" s="502"/>
    </row>
    <row r="408" spans="3:30" ht="10.5" customHeight="1">
      <c r="C408" s="1799" t="s">
        <v>4898</v>
      </c>
      <c r="D408" s="1796">
        <v>0</v>
      </c>
      <c r="E408" s="1796">
        <v>0</v>
      </c>
      <c r="F408" s="1797">
        <v>0</v>
      </c>
      <c r="G408" s="1999" t="s">
        <v>4898</v>
      </c>
      <c r="H408" s="1794">
        <v>0</v>
      </c>
      <c r="I408" s="1794">
        <v>0</v>
      </c>
      <c r="J408" s="2000">
        <v>0</v>
      </c>
      <c r="K408" s="1798"/>
      <c r="L408" s="1792">
        <v>13019970400</v>
      </c>
      <c r="M408" s="1793">
        <v>0</v>
      </c>
      <c r="N408" s="1793">
        <v>0</v>
      </c>
      <c r="O408" s="1793">
        <v>0</v>
      </c>
      <c r="P408" s="530" t="s">
        <v>960</v>
      </c>
      <c r="Q408" s="291"/>
      <c r="R408" s="170"/>
      <c r="S408" s="387"/>
      <c r="T408" s="491" t="s">
        <v>887</v>
      </c>
      <c r="U408" s="491" t="s">
        <v>306</v>
      </c>
      <c r="AA408" s="27"/>
      <c r="AB408" s="27"/>
      <c r="AC408" s="889"/>
      <c r="AD408" s="502"/>
    </row>
    <row r="409" spans="3:30" ht="10.5" customHeight="1">
      <c r="C409" s="1799" t="s">
        <v>4899</v>
      </c>
      <c r="D409" s="1796">
        <v>0</v>
      </c>
      <c r="E409" s="1796">
        <v>0</v>
      </c>
      <c r="F409" s="1797">
        <v>0</v>
      </c>
      <c r="G409" s="1999" t="s">
        <v>4899</v>
      </c>
      <c r="H409" s="1794">
        <v>0</v>
      </c>
      <c r="I409" s="1794">
        <v>1</v>
      </c>
      <c r="J409" s="2000">
        <v>1</v>
      </c>
      <c r="K409" s="1798"/>
      <c r="L409" s="1792">
        <v>13019970500</v>
      </c>
      <c r="M409" s="1793">
        <v>0</v>
      </c>
      <c r="N409" s="1793">
        <v>1</v>
      </c>
      <c r="O409" s="1793">
        <v>1</v>
      </c>
      <c r="P409" s="530" t="s">
        <v>962</v>
      </c>
      <c r="Q409" s="291"/>
      <c r="R409" s="170"/>
      <c r="S409" s="387"/>
      <c r="T409" s="531" t="s">
        <v>889</v>
      </c>
      <c r="U409" s="531" t="s">
        <v>1302</v>
      </c>
      <c r="AA409" s="27"/>
      <c r="AB409" s="27"/>
      <c r="AC409" s="889"/>
      <c r="AD409" s="502"/>
    </row>
    <row r="410" spans="3:30" ht="10.5" customHeight="1">
      <c r="C410" s="1799" t="s">
        <v>4900</v>
      </c>
      <c r="D410" s="1796">
        <v>0</v>
      </c>
      <c r="E410" s="1796">
        <v>0</v>
      </c>
      <c r="F410" s="1797">
        <v>0</v>
      </c>
      <c r="G410" s="1999" t="s">
        <v>4900</v>
      </c>
      <c r="H410" s="1794">
        <v>0</v>
      </c>
      <c r="I410" s="1794">
        <v>0</v>
      </c>
      <c r="J410" s="2000">
        <v>0</v>
      </c>
      <c r="K410" s="1798"/>
      <c r="L410" s="1792">
        <v>13019970600</v>
      </c>
      <c r="M410" s="1793">
        <v>0</v>
      </c>
      <c r="N410" s="1793">
        <v>0</v>
      </c>
      <c r="O410" s="1793">
        <v>0</v>
      </c>
      <c r="P410" s="530" t="s">
        <v>964</v>
      </c>
      <c r="Q410" s="291"/>
      <c r="R410" s="170"/>
      <c r="S410" s="387"/>
      <c r="T410" s="491" t="s">
        <v>662</v>
      </c>
      <c r="U410" s="491" t="s">
        <v>2133</v>
      </c>
      <c r="AA410" s="27"/>
      <c r="AB410" s="27"/>
      <c r="AC410" s="890"/>
      <c r="AD410" s="502"/>
    </row>
    <row r="411" spans="3:30" ht="10.5" customHeight="1">
      <c r="C411" s="1799" t="s">
        <v>4901</v>
      </c>
      <c r="D411" s="1796">
        <v>0</v>
      </c>
      <c r="E411" s="1796">
        <v>0</v>
      </c>
      <c r="F411" s="1797">
        <v>0</v>
      </c>
      <c r="G411" s="1999" t="s">
        <v>4901</v>
      </c>
      <c r="H411" s="1794">
        <v>0</v>
      </c>
      <c r="I411" s="1794">
        <v>0</v>
      </c>
      <c r="J411" s="2000">
        <v>0</v>
      </c>
      <c r="K411" s="1798"/>
      <c r="L411" s="1792">
        <v>13021010100</v>
      </c>
      <c r="M411" s="1793">
        <v>0</v>
      </c>
      <c r="N411" s="1793">
        <v>0</v>
      </c>
      <c r="O411" s="1793">
        <v>0</v>
      </c>
      <c r="P411" s="530" t="s">
        <v>556</v>
      </c>
      <c r="Q411" s="291"/>
      <c r="R411" s="170"/>
      <c r="S411" s="387"/>
      <c r="T411" s="491" t="s">
        <v>53</v>
      </c>
      <c r="U411" s="491" t="s">
        <v>109</v>
      </c>
      <c r="AA411" s="27"/>
      <c r="AB411" s="27"/>
      <c r="AC411" s="889"/>
      <c r="AD411" s="502"/>
    </row>
    <row r="412" spans="3:30" ht="10.5" customHeight="1">
      <c r="C412" s="1799" t="s">
        <v>4902</v>
      </c>
      <c r="D412" s="1796">
        <v>0</v>
      </c>
      <c r="E412" s="1796">
        <v>0</v>
      </c>
      <c r="F412" s="1797">
        <v>0</v>
      </c>
      <c r="G412" s="1999" t="s">
        <v>4902</v>
      </c>
      <c r="H412" s="1794">
        <v>0</v>
      </c>
      <c r="I412" s="1794">
        <v>1</v>
      </c>
      <c r="J412" s="2000">
        <v>1</v>
      </c>
      <c r="K412" s="1798"/>
      <c r="L412" s="1792">
        <v>13021010200</v>
      </c>
      <c r="M412" s="1793">
        <v>0</v>
      </c>
      <c r="N412" s="1793">
        <v>1</v>
      </c>
      <c r="O412" s="1793">
        <v>1</v>
      </c>
      <c r="P412" s="530" t="s">
        <v>365</v>
      </c>
      <c r="Q412" s="291"/>
      <c r="R412" s="170"/>
      <c r="S412" s="387"/>
      <c r="T412" s="491" t="s">
        <v>940</v>
      </c>
      <c r="U412" s="491" t="s">
        <v>1961</v>
      </c>
      <c r="AA412" s="27"/>
      <c r="AB412" s="27"/>
      <c r="AC412" s="889"/>
      <c r="AD412" s="502"/>
    </row>
    <row r="413" spans="3:30" ht="10.5" customHeight="1">
      <c r="C413" s="1799" t="s">
        <v>4903</v>
      </c>
      <c r="D413" s="1796">
        <v>0</v>
      </c>
      <c r="E413" s="1796">
        <v>0</v>
      </c>
      <c r="F413" s="1797">
        <v>0</v>
      </c>
      <c r="G413" s="1999" t="s">
        <v>4903</v>
      </c>
      <c r="H413" s="1794">
        <v>0</v>
      </c>
      <c r="I413" s="1794" t="s">
        <v>4485</v>
      </c>
      <c r="J413" s="2000">
        <v>0</v>
      </c>
      <c r="K413" s="1798"/>
      <c r="L413" s="1792">
        <v>13021010300</v>
      </c>
      <c r="M413" s="1793">
        <v>0</v>
      </c>
      <c r="N413" s="1793">
        <v>0</v>
      </c>
      <c r="O413" s="1793">
        <v>0</v>
      </c>
      <c r="P413" s="530" t="s">
        <v>367</v>
      </c>
      <c r="Q413" s="291"/>
      <c r="R413" s="170"/>
      <c r="S413" s="387"/>
      <c r="T413" s="491" t="s">
        <v>649</v>
      </c>
      <c r="U413" s="491" t="s">
        <v>2337</v>
      </c>
      <c r="AA413" s="27"/>
      <c r="AB413" s="27"/>
      <c r="AC413" s="889"/>
      <c r="AD413" s="502"/>
    </row>
    <row r="414" spans="3:30" ht="10.5" customHeight="1">
      <c r="C414" s="1799" t="s">
        <v>4904</v>
      </c>
      <c r="D414" s="1796">
        <v>0</v>
      </c>
      <c r="E414" s="1796">
        <v>0</v>
      </c>
      <c r="F414" s="1797">
        <v>0</v>
      </c>
      <c r="G414" s="1999" t="s">
        <v>4904</v>
      </c>
      <c r="H414" s="1794">
        <v>0</v>
      </c>
      <c r="I414" s="1794">
        <v>0</v>
      </c>
      <c r="J414" s="2000">
        <v>0</v>
      </c>
      <c r="K414" s="1798"/>
      <c r="L414" s="1792">
        <v>13021010400</v>
      </c>
      <c r="M414" s="1793">
        <v>0</v>
      </c>
      <c r="N414" s="1793">
        <v>0</v>
      </c>
      <c r="O414" s="1793">
        <v>0</v>
      </c>
      <c r="P414" s="530" t="s">
        <v>369</v>
      </c>
      <c r="Q414" s="291"/>
      <c r="R414" s="170"/>
      <c r="S414" s="387"/>
      <c r="T414" s="491" t="s">
        <v>978</v>
      </c>
      <c r="U414" s="491" t="s">
        <v>1184</v>
      </c>
      <c r="AA414" s="27"/>
      <c r="AB414" s="27"/>
      <c r="AC414" s="889"/>
      <c r="AD414" s="502"/>
    </row>
    <row r="415" spans="3:30" ht="10.5" customHeight="1">
      <c r="C415" s="1799" t="s">
        <v>4905</v>
      </c>
      <c r="D415" s="1796">
        <v>0</v>
      </c>
      <c r="E415" s="1796">
        <v>0</v>
      </c>
      <c r="F415" s="1797">
        <v>0</v>
      </c>
      <c r="G415" s="1999" t="s">
        <v>4905</v>
      </c>
      <c r="H415" s="1794">
        <v>0</v>
      </c>
      <c r="I415" s="1794">
        <v>0</v>
      </c>
      <c r="J415" s="2000">
        <v>0</v>
      </c>
      <c r="K415" s="1798"/>
      <c r="L415" s="1792">
        <v>13021010500</v>
      </c>
      <c r="M415" s="1793">
        <v>0</v>
      </c>
      <c r="N415" s="1793">
        <v>0</v>
      </c>
      <c r="O415" s="1793">
        <v>0</v>
      </c>
      <c r="P415" s="530" t="s">
        <v>579</v>
      </c>
      <c r="Q415" s="291"/>
      <c r="R415" s="170"/>
      <c r="S415" s="387"/>
      <c r="T415" s="531" t="s">
        <v>980</v>
      </c>
      <c r="U415" s="531" t="s">
        <v>2465</v>
      </c>
      <c r="AA415" s="27"/>
      <c r="AB415" s="27"/>
      <c r="AC415" s="889"/>
      <c r="AD415" s="502"/>
    </row>
    <row r="416" spans="3:30" ht="10.5" customHeight="1">
      <c r="C416" s="1799" t="s">
        <v>4906</v>
      </c>
      <c r="D416" s="1796">
        <v>1</v>
      </c>
      <c r="E416" s="1796">
        <v>1</v>
      </c>
      <c r="F416" s="1797">
        <v>2</v>
      </c>
      <c r="G416" s="1999" t="s">
        <v>4906</v>
      </c>
      <c r="H416" s="1794">
        <v>0</v>
      </c>
      <c r="I416" s="1794" t="s">
        <v>4485</v>
      </c>
      <c r="J416" s="2000">
        <v>0</v>
      </c>
      <c r="K416" s="1798"/>
      <c r="L416" s="1792">
        <v>13021010800</v>
      </c>
      <c r="M416" s="1793">
        <v>1</v>
      </c>
      <c r="N416" s="1793">
        <v>1</v>
      </c>
      <c r="O416" s="1793">
        <v>2</v>
      </c>
      <c r="P416" s="530" t="s">
        <v>1388</v>
      </c>
      <c r="Q416" s="291"/>
      <c r="R416" s="170"/>
      <c r="S416" s="387"/>
      <c r="T416" s="491" t="s">
        <v>959</v>
      </c>
      <c r="U416" s="491" t="s">
        <v>420</v>
      </c>
      <c r="AA416" s="27"/>
      <c r="AB416" s="27"/>
      <c r="AC416" s="890"/>
      <c r="AD416" s="502"/>
    </row>
    <row r="417" spans="3:30" ht="10.5" customHeight="1">
      <c r="C417" s="1799" t="s">
        <v>4907</v>
      </c>
      <c r="D417" s="1796">
        <v>0</v>
      </c>
      <c r="E417" s="1796">
        <v>0</v>
      </c>
      <c r="F417" s="1797">
        <v>0</v>
      </c>
      <c r="G417" s="1999" t="s">
        <v>4907</v>
      </c>
      <c r="H417" s="1794">
        <v>0</v>
      </c>
      <c r="I417" s="1794">
        <v>0</v>
      </c>
      <c r="J417" s="2000">
        <v>0</v>
      </c>
      <c r="K417" s="1798"/>
      <c r="L417" s="1792">
        <v>13021011000</v>
      </c>
      <c r="M417" s="1793">
        <v>0</v>
      </c>
      <c r="N417" s="1793">
        <v>0</v>
      </c>
      <c r="O417" s="1793">
        <v>0</v>
      </c>
      <c r="P417" s="530" t="s">
        <v>1561</v>
      </c>
      <c r="Q417" s="291"/>
      <c r="R417" s="170"/>
      <c r="S417" s="387"/>
      <c r="T417" s="491" t="s">
        <v>961</v>
      </c>
      <c r="U417" s="491" t="s">
        <v>118</v>
      </c>
      <c r="AA417" s="27"/>
      <c r="AB417" s="27"/>
      <c r="AC417" s="889"/>
      <c r="AD417" s="502"/>
    </row>
    <row r="418" spans="3:30" ht="10.5" customHeight="1">
      <c r="C418" s="1799" t="s">
        <v>4908</v>
      </c>
      <c r="D418" s="1796">
        <v>0</v>
      </c>
      <c r="E418" s="1796">
        <v>0</v>
      </c>
      <c r="F418" s="1797">
        <v>0</v>
      </c>
      <c r="G418" s="1999" t="s">
        <v>4908</v>
      </c>
      <c r="H418" s="1794">
        <v>0</v>
      </c>
      <c r="I418" s="1794">
        <v>0</v>
      </c>
      <c r="J418" s="2000">
        <v>0</v>
      </c>
      <c r="K418" s="1798"/>
      <c r="L418" s="1792">
        <v>13021011100</v>
      </c>
      <c r="M418" s="1793">
        <v>0</v>
      </c>
      <c r="N418" s="1793">
        <v>0</v>
      </c>
      <c r="O418" s="1793">
        <v>0</v>
      </c>
      <c r="P418" s="530" t="s">
        <v>986</v>
      </c>
      <c r="Q418" s="291"/>
      <c r="R418" s="170"/>
      <c r="S418" s="387"/>
      <c r="T418" s="491" t="s">
        <v>963</v>
      </c>
      <c r="U418" s="491" t="s">
        <v>653</v>
      </c>
      <c r="AA418" s="27"/>
      <c r="AB418" s="27"/>
      <c r="AC418" s="889"/>
      <c r="AD418" s="502"/>
    </row>
    <row r="419" spans="3:30" ht="10.5" customHeight="1">
      <c r="C419" s="1799" t="s">
        <v>4909</v>
      </c>
      <c r="D419" s="1796">
        <v>0</v>
      </c>
      <c r="E419" s="1796">
        <v>0</v>
      </c>
      <c r="F419" s="1797">
        <v>0</v>
      </c>
      <c r="G419" s="1999" t="s">
        <v>4909</v>
      </c>
      <c r="H419" s="1794">
        <v>0</v>
      </c>
      <c r="I419" s="1794">
        <v>0</v>
      </c>
      <c r="J419" s="2000">
        <v>0</v>
      </c>
      <c r="K419" s="1798"/>
      <c r="L419" s="1792">
        <v>13021011500</v>
      </c>
      <c r="M419" s="1793">
        <v>0</v>
      </c>
      <c r="N419" s="1793">
        <v>0</v>
      </c>
      <c r="O419" s="1793">
        <v>0</v>
      </c>
      <c r="P419" s="530" t="s">
        <v>988</v>
      </c>
      <c r="Q419" s="291"/>
      <c r="R419" s="170"/>
      <c r="S419" s="387"/>
      <c r="T419" s="491" t="s">
        <v>965</v>
      </c>
      <c r="U419" s="491" t="s">
        <v>1831</v>
      </c>
      <c r="AA419" s="27"/>
      <c r="AB419" s="27"/>
      <c r="AC419" s="889"/>
      <c r="AD419" s="502"/>
    </row>
    <row r="420" spans="3:30" ht="10.5" customHeight="1">
      <c r="C420" s="1799" t="s">
        <v>4910</v>
      </c>
      <c r="D420" s="1796">
        <v>0</v>
      </c>
      <c r="E420" s="1796">
        <v>0</v>
      </c>
      <c r="F420" s="1797">
        <v>0</v>
      </c>
      <c r="G420" s="1999" t="s">
        <v>4910</v>
      </c>
      <c r="H420" s="1794">
        <v>0</v>
      </c>
      <c r="I420" s="1794">
        <v>1</v>
      </c>
      <c r="J420" s="2000">
        <v>1</v>
      </c>
      <c r="K420" s="1798"/>
      <c r="L420" s="1792">
        <v>13021011701</v>
      </c>
      <c r="M420" s="1793">
        <v>0</v>
      </c>
      <c r="N420" s="1793">
        <v>1</v>
      </c>
      <c r="O420" s="1793">
        <v>1</v>
      </c>
      <c r="P420" s="530" t="s">
        <v>990</v>
      </c>
      <c r="Q420" s="291"/>
      <c r="R420" s="170"/>
      <c r="S420" s="387"/>
      <c r="T420" s="491" t="s">
        <v>1024</v>
      </c>
      <c r="U420" s="491" t="s">
        <v>610</v>
      </c>
      <c r="AA420" s="27"/>
      <c r="AB420" s="27"/>
      <c r="AC420" s="889"/>
      <c r="AD420" s="502"/>
    </row>
    <row r="421" spans="3:30" ht="10.5" customHeight="1">
      <c r="C421" s="1799" t="s">
        <v>4911</v>
      </c>
      <c r="D421" s="1796">
        <v>0</v>
      </c>
      <c r="E421" s="1796">
        <v>0</v>
      </c>
      <c r="F421" s="1797">
        <v>0</v>
      </c>
      <c r="G421" s="1999" t="s">
        <v>4911</v>
      </c>
      <c r="H421" s="1794">
        <v>0</v>
      </c>
      <c r="I421" s="1794">
        <v>0</v>
      </c>
      <c r="J421" s="2000">
        <v>0</v>
      </c>
      <c r="K421" s="1798"/>
      <c r="L421" s="1792">
        <v>13021011702</v>
      </c>
      <c r="M421" s="1793">
        <v>0</v>
      </c>
      <c r="N421" s="1793">
        <v>0</v>
      </c>
      <c r="O421" s="1793">
        <v>0</v>
      </c>
      <c r="P421" s="530" t="s">
        <v>1634</v>
      </c>
      <c r="Q421" s="291"/>
      <c r="R421" s="170"/>
      <c r="S421" s="387"/>
      <c r="T421" s="491" t="s">
        <v>557</v>
      </c>
      <c r="U421" s="491" t="s">
        <v>2122</v>
      </c>
      <c r="AA421" s="27"/>
      <c r="AB421" s="27"/>
      <c r="AC421" s="889"/>
      <c r="AD421" s="502"/>
    </row>
    <row r="422" spans="3:30" ht="10.5" customHeight="1">
      <c r="C422" s="1799" t="s">
        <v>4912</v>
      </c>
      <c r="D422" s="1796">
        <v>1</v>
      </c>
      <c r="E422" s="1796">
        <v>0</v>
      </c>
      <c r="F422" s="1797">
        <v>1</v>
      </c>
      <c r="G422" s="1999" t="s">
        <v>4912</v>
      </c>
      <c r="H422" s="1794">
        <v>1</v>
      </c>
      <c r="I422" s="1794">
        <v>1</v>
      </c>
      <c r="J422" s="2000">
        <v>2</v>
      </c>
      <c r="K422" s="1798"/>
      <c r="L422" s="1792">
        <v>13021011800</v>
      </c>
      <c r="M422" s="1793">
        <v>1</v>
      </c>
      <c r="N422" s="1793">
        <v>1</v>
      </c>
      <c r="O422" s="1793">
        <v>2</v>
      </c>
      <c r="P422" s="530" t="s">
        <v>1635</v>
      </c>
      <c r="Q422" s="291"/>
      <c r="R422" s="170"/>
      <c r="S422" s="387"/>
      <c r="T422" s="491" t="s">
        <v>366</v>
      </c>
      <c r="U422" s="491" t="s">
        <v>2462</v>
      </c>
      <c r="AA422" s="27"/>
      <c r="AB422" s="27"/>
      <c r="AC422" s="889"/>
      <c r="AD422" s="502"/>
    </row>
    <row r="423" spans="3:30" ht="10.5" customHeight="1">
      <c r="C423" s="1799" t="s">
        <v>4913</v>
      </c>
      <c r="D423" s="1796">
        <v>0</v>
      </c>
      <c r="E423" s="1796">
        <v>0</v>
      </c>
      <c r="F423" s="1797">
        <v>0</v>
      </c>
      <c r="G423" s="1999" t="s">
        <v>4913</v>
      </c>
      <c r="H423" s="1794">
        <v>0</v>
      </c>
      <c r="I423" s="1794">
        <v>0</v>
      </c>
      <c r="J423" s="2000">
        <v>0</v>
      </c>
      <c r="K423" s="1798"/>
      <c r="L423" s="1792">
        <v>13021011900</v>
      </c>
      <c r="M423" s="1793">
        <v>0</v>
      </c>
      <c r="N423" s="1793">
        <v>0</v>
      </c>
      <c r="O423" s="1793">
        <v>0</v>
      </c>
      <c r="P423" s="530" t="s">
        <v>1636</v>
      </c>
      <c r="Q423" s="291"/>
      <c r="R423" s="170"/>
      <c r="S423" s="387"/>
      <c r="T423" s="491" t="s">
        <v>368</v>
      </c>
      <c r="U423" s="491" t="s">
        <v>1427</v>
      </c>
      <c r="AA423" s="27"/>
      <c r="AB423" s="27"/>
      <c r="AC423" s="889"/>
      <c r="AD423" s="502"/>
    </row>
    <row r="424" spans="3:30" ht="10.5" customHeight="1">
      <c r="C424" s="1799" t="s">
        <v>4914</v>
      </c>
      <c r="D424" s="1796">
        <v>1</v>
      </c>
      <c r="E424" s="1796">
        <v>1</v>
      </c>
      <c r="F424" s="1797">
        <v>2</v>
      </c>
      <c r="G424" s="1999" t="s">
        <v>4914</v>
      </c>
      <c r="H424" s="1794">
        <v>1</v>
      </c>
      <c r="I424" s="1794">
        <v>1</v>
      </c>
      <c r="J424" s="2000">
        <v>2</v>
      </c>
      <c r="K424" s="1798"/>
      <c r="L424" s="1792">
        <v>13021012000</v>
      </c>
      <c r="M424" s="1793">
        <v>1</v>
      </c>
      <c r="N424" s="1793">
        <v>1</v>
      </c>
      <c r="O424" s="1793">
        <v>2</v>
      </c>
      <c r="P424" s="530" t="s">
        <v>843</v>
      </c>
      <c r="Q424" s="291"/>
      <c r="R424" s="170"/>
      <c r="S424" s="387"/>
      <c r="T424" s="491" t="s">
        <v>1025</v>
      </c>
      <c r="U424" s="491" t="s">
        <v>1864</v>
      </c>
      <c r="AA424" s="27"/>
      <c r="AB424" s="27"/>
      <c r="AC424" s="889"/>
      <c r="AD424" s="502"/>
    </row>
    <row r="425" spans="3:30" ht="10.5" customHeight="1">
      <c r="C425" s="1799" t="s">
        <v>4915</v>
      </c>
      <c r="D425" s="1796">
        <v>1</v>
      </c>
      <c r="E425" s="1796">
        <v>1</v>
      </c>
      <c r="F425" s="1797">
        <v>2</v>
      </c>
      <c r="G425" s="1999" t="s">
        <v>4915</v>
      </c>
      <c r="H425" s="1794">
        <v>1</v>
      </c>
      <c r="I425" s="1794">
        <v>1</v>
      </c>
      <c r="J425" s="2000">
        <v>2</v>
      </c>
      <c r="K425" s="1798"/>
      <c r="L425" s="1792">
        <v>13021012101</v>
      </c>
      <c r="M425" s="1793">
        <v>1</v>
      </c>
      <c r="N425" s="1793">
        <v>1</v>
      </c>
      <c r="O425" s="1793">
        <v>2</v>
      </c>
      <c r="P425" s="530" t="s">
        <v>845</v>
      </c>
      <c r="Q425" s="291"/>
      <c r="R425" s="170"/>
      <c r="S425" s="387"/>
      <c r="T425" s="491" t="s">
        <v>370</v>
      </c>
      <c r="U425" s="491" t="s">
        <v>856</v>
      </c>
      <c r="AA425" s="27"/>
      <c r="AB425" s="27"/>
      <c r="AC425" s="889"/>
      <c r="AD425" s="502"/>
    </row>
    <row r="426" spans="3:30" ht="10.5" customHeight="1">
      <c r="C426" s="1799" t="s">
        <v>4916</v>
      </c>
      <c r="D426" s="1796">
        <v>0</v>
      </c>
      <c r="E426" s="1796">
        <v>1</v>
      </c>
      <c r="F426" s="1797">
        <v>1</v>
      </c>
      <c r="G426" s="1999" t="s">
        <v>4916</v>
      </c>
      <c r="H426" s="1794">
        <v>0</v>
      </c>
      <c r="I426" s="1794">
        <v>1</v>
      </c>
      <c r="J426" s="2000">
        <v>1</v>
      </c>
      <c r="K426" s="1798"/>
      <c r="L426" s="1792">
        <v>13021012102</v>
      </c>
      <c r="M426" s="1793">
        <v>0</v>
      </c>
      <c r="N426" s="1793">
        <v>1</v>
      </c>
      <c r="O426" s="1793">
        <v>1</v>
      </c>
      <c r="P426" s="530" t="s">
        <v>847</v>
      </c>
      <c r="Q426" s="291"/>
      <c r="R426" s="170"/>
      <c r="S426" s="387"/>
      <c r="T426" s="491" t="s">
        <v>1389</v>
      </c>
      <c r="U426" s="491" t="s">
        <v>2187</v>
      </c>
      <c r="AA426" s="27"/>
      <c r="AB426" s="27"/>
      <c r="AC426" s="889"/>
      <c r="AD426" s="502"/>
    </row>
    <row r="427" spans="3:30" ht="10.5" customHeight="1">
      <c r="C427" s="1799" t="s">
        <v>4917</v>
      </c>
      <c r="D427" s="1796">
        <v>0</v>
      </c>
      <c r="E427" s="1796">
        <v>0</v>
      </c>
      <c r="F427" s="1797">
        <v>0</v>
      </c>
      <c r="G427" s="1999" t="s">
        <v>4917</v>
      </c>
      <c r="H427" s="1794">
        <v>0</v>
      </c>
      <c r="I427" s="1794">
        <v>0</v>
      </c>
      <c r="J427" s="2000">
        <v>0</v>
      </c>
      <c r="K427" s="1798"/>
      <c r="L427" s="1792">
        <v>13021012200</v>
      </c>
      <c r="M427" s="1793">
        <v>0</v>
      </c>
      <c r="N427" s="1793">
        <v>0</v>
      </c>
      <c r="O427" s="1793">
        <v>0</v>
      </c>
      <c r="P427" s="530" t="s">
        <v>423</v>
      </c>
      <c r="Q427" s="291"/>
      <c r="R427" s="170"/>
      <c r="S427" s="387"/>
      <c r="T427" s="491" t="s">
        <v>1562</v>
      </c>
      <c r="U427" s="491" t="s">
        <v>171</v>
      </c>
      <c r="AA427" s="27"/>
      <c r="AB427" s="27"/>
      <c r="AC427" s="889"/>
      <c r="AD427" s="502"/>
    </row>
    <row r="428" spans="3:30" ht="10.5" customHeight="1">
      <c r="C428" s="1799" t="s">
        <v>4918</v>
      </c>
      <c r="D428" s="1796">
        <v>0</v>
      </c>
      <c r="E428" s="1796">
        <v>0</v>
      </c>
      <c r="F428" s="1797">
        <v>0</v>
      </c>
      <c r="G428" s="1999" t="s">
        <v>4918</v>
      </c>
      <c r="H428" s="1794">
        <v>0</v>
      </c>
      <c r="I428" s="1794">
        <v>0</v>
      </c>
      <c r="J428" s="2000">
        <v>0</v>
      </c>
      <c r="K428" s="1798"/>
      <c r="L428" s="1792">
        <v>13021012300</v>
      </c>
      <c r="M428" s="1793">
        <v>0</v>
      </c>
      <c r="N428" s="1793">
        <v>0</v>
      </c>
      <c r="O428" s="1793">
        <v>0</v>
      </c>
      <c r="P428" s="530" t="s">
        <v>1680</v>
      </c>
      <c r="Q428" s="291"/>
      <c r="R428" s="170"/>
      <c r="S428" s="387"/>
      <c r="T428" s="531" t="s">
        <v>987</v>
      </c>
      <c r="U428" s="531" t="s">
        <v>310</v>
      </c>
      <c r="AA428" s="27"/>
      <c r="AB428" s="27"/>
      <c r="AC428" s="889"/>
      <c r="AD428" s="502"/>
    </row>
    <row r="429" spans="3:30" ht="10.5" customHeight="1">
      <c r="C429" s="1799" t="s">
        <v>4919</v>
      </c>
      <c r="D429" s="1796">
        <v>0</v>
      </c>
      <c r="E429" s="1796">
        <v>0</v>
      </c>
      <c r="F429" s="1797">
        <v>0</v>
      </c>
      <c r="G429" s="1999" t="s">
        <v>4919</v>
      </c>
      <c r="H429" s="1794">
        <v>0</v>
      </c>
      <c r="I429" s="1794">
        <v>0</v>
      </c>
      <c r="J429" s="2000">
        <v>0</v>
      </c>
      <c r="K429" s="1798"/>
      <c r="L429" s="1792">
        <v>13021012400</v>
      </c>
      <c r="M429" s="1793">
        <v>0</v>
      </c>
      <c r="N429" s="1793">
        <v>0</v>
      </c>
      <c r="O429" s="1793">
        <v>0</v>
      </c>
      <c r="P429" s="530" t="s">
        <v>2229</v>
      </c>
      <c r="Q429" s="291"/>
      <c r="R429" s="170"/>
      <c r="S429" s="387"/>
      <c r="T429" s="491" t="s">
        <v>989</v>
      </c>
      <c r="U429" s="491" t="s">
        <v>314</v>
      </c>
      <c r="AA429" s="27"/>
      <c r="AB429" s="27"/>
      <c r="AC429" s="890"/>
      <c r="AD429" s="502"/>
    </row>
    <row r="430" spans="3:30" ht="10.5" customHeight="1">
      <c r="C430" s="1799" t="s">
        <v>4920</v>
      </c>
      <c r="D430" s="1796">
        <v>0</v>
      </c>
      <c r="E430" s="1796">
        <v>0</v>
      </c>
      <c r="F430" s="1797">
        <v>0</v>
      </c>
      <c r="G430" s="1999" t="s">
        <v>4920</v>
      </c>
      <c r="H430" s="1794">
        <v>0</v>
      </c>
      <c r="I430" s="1794">
        <v>0</v>
      </c>
      <c r="J430" s="2000">
        <v>0</v>
      </c>
      <c r="K430" s="1798"/>
      <c r="L430" s="1792">
        <v>13021012500</v>
      </c>
      <c r="M430" s="1793">
        <v>0</v>
      </c>
      <c r="N430" s="1793">
        <v>0</v>
      </c>
      <c r="O430" s="1793">
        <v>0</v>
      </c>
      <c r="P430" s="530" t="s">
        <v>1956</v>
      </c>
      <c r="Q430" s="291"/>
      <c r="R430" s="170"/>
      <c r="S430" s="387"/>
      <c r="T430" s="491" t="s">
        <v>1026</v>
      </c>
      <c r="U430" s="491" t="s">
        <v>1958</v>
      </c>
      <c r="AA430" s="27"/>
      <c r="AB430" s="27"/>
      <c r="AC430" s="889"/>
      <c r="AD430" s="502"/>
    </row>
    <row r="431" spans="3:30" ht="10.5" customHeight="1">
      <c r="C431" s="1799" t="s">
        <v>4921</v>
      </c>
      <c r="D431" s="1796">
        <v>0</v>
      </c>
      <c r="E431" s="1796">
        <v>0</v>
      </c>
      <c r="F431" s="1797">
        <v>0</v>
      </c>
      <c r="G431" s="1999" t="s">
        <v>4921</v>
      </c>
      <c r="H431" s="1794">
        <v>0</v>
      </c>
      <c r="I431" s="1794">
        <v>0</v>
      </c>
      <c r="J431" s="2000">
        <v>0</v>
      </c>
      <c r="K431" s="1798"/>
      <c r="L431" s="1792">
        <v>13021012600</v>
      </c>
      <c r="M431" s="1793">
        <v>0</v>
      </c>
      <c r="N431" s="1793">
        <v>0</v>
      </c>
      <c r="O431" s="1793">
        <v>0</v>
      </c>
      <c r="P431" s="530" t="s">
        <v>1010</v>
      </c>
      <c r="Q431" s="291"/>
      <c r="R431" s="170"/>
      <c r="S431" s="387"/>
      <c r="T431" s="491" t="s">
        <v>991</v>
      </c>
      <c r="U431" s="491" t="s">
        <v>1180</v>
      </c>
      <c r="AA431" s="27"/>
      <c r="AB431" s="27"/>
      <c r="AC431" s="889"/>
      <c r="AD431" s="502"/>
    </row>
    <row r="432" spans="3:30" ht="10.5" customHeight="1">
      <c r="C432" s="1799" t="s">
        <v>4922</v>
      </c>
      <c r="D432" s="1796">
        <v>0</v>
      </c>
      <c r="E432" s="1796">
        <v>0</v>
      </c>
      <c r="F432" s="1797">
        <v>0</v>
      </c>
      <c r="G432" s="1999" t="s">
        <v>4922</v>
      </c>
      <c r="H432" s="1794">
        <v>0</v>
      </c>
      <c r="I432" s="1794">
        <v>0</v>
      </c>
      <c r="J432" s="2000">
        <v>0</v>
      </c>
      <c r="K432" s="1798"/>
      <c r="L432" s="1792">
        <v>13021012700</v>
      </c>
      <c r="M432" s="1793">
        <v>0</v>
      </c>
      <c r="N432" s="1793">
        <v>0</v>
      </c>
      <c r="O432" s="1793">
        <v>0</v>
      </c>
      <c r="P432" s="530" t="s">
        <v>403</v>
      </c>
      <c r="Q432" s="291"/>
      <c r="R432" s="170"/>
      <c r="S432" s="387"/>
      <c r="T432" s="491" t="s">
        <v>309</v>
      </c>
      <c r="U432" s="491" t="s">
        <v>2465</v>
      </c>
      <c r="AA432" s="27"/>
      <c r="AB432" s="27"/>
      <c r="AC432" s="889"/>
      <c r="AD432" s="502"/>
    </row>
    <row r="433" spans="3:30" ht="10.5" customHeight="1">
      <c r="C433" s="1799" t="s">
        <v>4923</v>
      </c>
      <c r="D433" s="1796">
        <v>0</v>
      </c>
      <c r="E433" s="1796">
        <v>0</v>
      </c>
      <c r="F433" s="1797">
        <v>0</v>
      </c>
      <c r="G433" s="1999" t="s">
        <v>4923</v>
      </c>
      <c r="H433" s="1794">
        <v>0</v>
      </c>
      <c r="I433" s="1794">
        <v>0</v>
      </c>
      <c r="J433" s="2000">
        <v>0</v>
      </c>
      <c r="K433" s="1798"/>
      <c r="L433" s="1792">
        <v>13021012800</v>
      </c>
      <c r="M433" s="1793">
        <v>0</v>
      </c>
      <c r="N433" s="1793">
        <v>0</v>
      </c>
      <c r="O433" s="1793">
        <v>0</v>
      </c>
      <c r="P433" s="530" t="s">
        <v>405</v>
      </c>
      <c r="Q433" s="291"/>
      <c r="R433" s="170"/>
      <c r="S433" s="387"/>
      <c r="T433" s="491" t="s">
        <v>2760</v>
      </c>
      <c r="U433" s="491" t="s">
        <v>1739</v>
      </c>
      <c r="AA433" s="27"/>
      <c r="AB433" s="27"/>
      <c r="AC433" s="889"/>
      <c r="AD433" s="502"/>
    </row>
    <row r="434" spans="3:30" ht="10.5" customHeight="1">
      <c r="C434" s="1799" t="s">
        <v>4924</v>
      </c>
      <c r="D434" s="1796">
        <v>0</v>
      </c>
      <c r="E434" s="1796">
        <v>0</v>
      </c>
      <c r="F434" s="1797">
        <v>0</v>
      </c>
      <c r="G434" s="1999" t="s">
        <v>4924</v>
      </c>
      <c r="H434" s="1794">
        <v>0</v>
      </c>
      <c r="I434" s="1794">
        <v>0</v>
      </c>
      <c r="J434" s="2000">
        <v>0</v>
      </c>
      <c r="K434" s="1798"/>
      <c r="L434" s="1792">
        <v>13021012900</v>
      </c>
      <c r="M434" s="1793">
        <v>0</v>
      </c>
      <c r="N434" s="1793">
        <v>0</v>
      </c>
      <c r="O434" s="1793">
        <v>0</v>
      </c>
      <c r="P434" s="530" t="s">
        <v>406</v>
      </c>
      <c r="Q434" s="291"/>
      <c r="R434" s="170"/>
      <c r="S434" s="387"/>
      <c r="T434" s="491" t="s">
        <v>1637</v>
      </c>
      <c r="U434" s="491" t="s">
        <v>2462</v>
      </c>
      <c r="AA434" s="27"/>
      <c r="AB434" s="27"/>
      <c r="AC434" s="889"/>
      <c r="AD434" s="502"/>
    </row>
    <row r="435" spans="3:30" ht="10.5" customHeight="1">
      <c r="C435" s="1799" t="s">
        <v>4925</v>
      </c>
      <c r="D435" s="1796">
        <v>0</v>
      </c>
      <c r="E435" s="1796">
        <v>0</v>
      </c>
      <c r="F435" s="1797">
        <v>0</v>
      </c>
      <c r="G435" s="1999" t="s">
        <v>4925</v>
      </c>
      <c r="H435" s="1794">
        <v>0</v>
      </c>
      <c r="I435" s="1794">
        <v>0</v>
      </c>
      <c r="J435" s="2000">
        <v>0</v>
      </c>
      <c r="K435" s="1798"/>
      <c r="L435" s="1792">
        <v>13021013101</v>
      </c>
      <c r="M435" s="1793">
        <v>0</v>
      </c>
      <c r="N435" s="1793">
        <v>0</v>
      </c>
      <c r="O435" s="1793">
        <v>0</v>
      </c>
      <c r="P435" s="530" t="s">
        <v>1896</v>
      </c>
      <c r="Q435" s="291"/>
      <c r="R435" s="170"/>
      <c r="S435" s="387"/>
      <c r="T435" s="491" t="s">
        <v>844</v>
      </c>
      <c r="U435" s="491" t="s">
        <v>103</v>
      </c>
      <c r="AA435" s="27"/>
      <c r="AB435" s="27"/>
      <c r="AC435" s="889"/>
      <c r="AD435" s="502"/>
    </row>
    <row r="436" spans="3:30" ht="10.5" customHeight="1">
      <c r="C436" s="1799" t="s">
        <v>4926</v>
      </c>
      <c r="D436" s="1796">
        <v>0</v>
      </c>
      <c r="E436" s="1796">
        <v>0</v>
      </c>
      <c r="F436" s="1797">
        <v>0</v>
      </c>
      <c r="G436" s="1999" t="s">
        <v>4926</v>
      </c>
      <c r="H436" s="1794">
        <v>0</v>
      </c>
      <c r="I436" s="1794">
        <v>0</v>
      </c>
      <c r="J436" s="2000">
        <v>0</v>
      </c>
      <c r="K436" s="1798"/>
      <c r="L436" s="1792">
        <v>13021013102</v>
      </c>
      <c r="M436" s="1793">
        <v>0</v>
      </c>
      <c r="N436" s="1793">
        <v>0</v>
      </c>
      <c r="O436" s="1793">
        <v>0</v>
      </c>
      <c r="P436" s="530" t="s">
        <v>481</v>
      </c>
      <c r="Q436" s="291"/>
      <c r="R436" s="170"/>
      <c r="S436" s="387"/>
      <c r="T436" s="491" t="s">
        <v>846</v>
      </c>
      <c r="U436" s="491" t="s">
        <v>311</v>
      </c>
      <c r="AA436" s="27"/>
      <c r="AB436" s="27"/>
      <c r="AC436" s="889"/>
      <c r="AD436" s="502"/>
    </row>
    <row r="437" spans="3:30" ht="10.5" customHeight="1">
      <c r="C437" s="1799" t="s">
        <v>4927</v>
      </c>
      <c r="D437" s="1796">
        <v>0</v>
      </c>
      <c r="E437" s="1796">
        <v>0</v>
      </c>
      <c r="F437" s="1797">
        <v>0</v>
      </c>
      <c r="G437" s="1999" t="s">
        <v>4927</v>
      </c>
      <c r="H437" s="1794">
        <v>0</v>
      </c>
      <c r="I437" s="1794">
        <v>0</v>
      </c>
      <c r="J437" s="2000">
        <v>0</v>
      </c>
      <c r="K437" s="1798"/>
      <c r="L437" s="1792">
        <v>13021013201</v>
      </c>
      <c r="M437" s="1793">
        <v>0</v>
      </c>
      <c r="N437" s="1793">
        <v>0</v>
      </c>
      <c r="O437" s="1793">
        <v>0</v>
      </c>
      <c r="P437" s="530" t="s">
        <v>2111</v>
      </c>
      <c r="Q437" s="291"/>
      <c r="R437" s="170"/>
      <c r="S437" s="387"/>
      <c r="T437" s="491" t="s">
        <v>1697</v>
      </c>
      <c r="U437" s="491" t="s">
        <v>1077</v>
      </c>
      <c r="AA437" s="27"/>
      <c r="AB437" s="27"/>
      <c r="AC437" s="889"/>
      <c r="AD437" s="502"/>
    </row>
    <row r="438" spans="3:30" ht="10.5" customHeight="1">
      <c r="C438" s="1799" t="s">
        <v>4928</v>
      </c>
      <c r="D438" s="1796">
        <v>0</v>
      </c>
      <c r="E438" s="1796">
        <v>0</v>
      </c>
      <c r="F438" s="1797">
        <v>0</v>
      </c>
      <c r="G438" s="1999" t="s">
        <v>4928</v>
      </c>
      <c r="H438" s="1794">
        <v>0</v>
      </c>
      <c r="I438" s="1794">
        <v>0</v>
      </c>
      <c r="J438" s="2000">
        <v>0</v>
      </c>
      <c r="K438" s="1798"/>
      <c r="L438" s="1792">
        <v>13021013202</v>
      </c>
      <c r="M438" s="1793">
        <v>0</v>
      </c>
      <c r="N438" s="1793">
        <v>0</v>
      </c>
      <c r="O438" s="1793">
        <v>0</v>
      </c>
      <c r="P438" s="530" t="s">
        <v>1607</v>
      </c>
      <c r="Q438" s="291"/>
      <c r="R438" s="170"/>
      <c r="S438" s="387"/>
      <c r="T438" s="491" t="s">
        <v>613</v>
      </c>
      <c r="U438" s="491" t="s">
        <v>321</v>
      </c>
      <c r="AA438" s="27"/>
      <c r="AB438" s="27"/>
      <c r="AC438" s="889"/>
      <c r="AD438" s="502"/>
    </row>
    <row r="439" spans="3:30" ht="10.5" customHeight="1">
      <c r="C439" s="1799" t="s">
        <v>4929</v>
      </c>
      <c r="D439" s="1796">
        <v>0</v>
      </c>
      <c r="E439" s="1796">
        <v>0</v>
      </c>
      <c r="F439" s="1797">
        <v>0</v>
      </c>
      <c r="G439" s="1999" t="s">
        <v>4929</v>
      </c>
      <c r="H439" s="1794">
        <v>0</v>
      </c>
      <c r="I439" s="1794">
        <v>0</v>
      </c>
      <c r="J439" s="2000">
        <v>0</v>
      </c>
      <c r="K439" s="1798"/>
      <c r="L439" s="1792">
        <v>13021013302</v>
      </c>
      <c r="M439" s="1793">
        <v>0</v>
      </c>
      <c r="N439" s="1793">
        <v>0</v>
      </c>
      <c r="O439" s="1793">
        <v>0</v>
      </c>
      <c r="P439" s="530" t="s">
        <v>1609</v>
      </c>
      <c r="Q439" s="291"/>
      <c r="R439" s="170"/>
      <c r="S439" s="387"/>
      <c r="T439" s="491" t="s">
        <v>1681</v>
      </c>
      <c r="U439" s="491" t="s">
        <v>111</v>
      </c>
      <c r="AA439" s="27"/>
      <c r="AB439" s="27"/>
      <c r="AC439" s="889"/>
      <c r="AD439" s="502"/>
    </row>
    <row r="440" spans="3:30" ht="10.5" customHeight="1">
      <c r="C440" s="1799" t="s">
        <v>4930</v>
      </c>
      <c r="D440" s="1796">
        <v>1</v>
      </c>
      <c r="E440" s="1796">
        <v>1</v>
      </c>
      <c r="F440" s="1797">
        <v>2</v>
      </c>
      <c r="G440" s="1999" t="s">
        <v>4930</v>
      </c>
      <c r="H440" s="1794">
        <v>0</v>
      </c>
      <c r="I440" s="1794">
        <v>1</v>
      </c>
      <c r="J440" s="2000">
        <v>1</v>
      </c>
      <c r="K440" s="1798"/>
      <c r="L440" s="1792">
        <v>13021013407</v>
      </c>
      <c r="M440" s="1793">
        <v>1</v>
      </c>
      <c r="N440" s="1793">
        <v>1</v>
      </c>
      <c r="O440" s="1793">
        <v>2</v>
      </c>
      <c r="P440" s="530" t="s">
        <v>301</v>
      </c>
      <c r="Q440" s="291"/>
      <c r="R440" s="170"/>
      <c r="S440" s="387"/>
      <c r="T440" s="491" t="s">
        <v>2761</v>
      </c>
      <c r="U440" s="491" t="s">
        <v>155</v>
      </c>
      <c r="AA440" s="27"/>
      <c r="AB440" s="27"/>
      <c r="AC440" s="889"/>
      <c r="AD440" s="502"/>
    </row>
    <row r="441" spans="3:30" ht="10.5" customHeight="1">
      <c r="C441" s="1799" t="s">
        <v>4931</v>
      </c>
      <c r="D441" s="1796">
        <v>1</v>
      </c>
      <c r="E441" s="1796">
        <v>1</v>
      </c>
      <c r="F441" s="1797">
        <v>2</v>
      </c>
      <c r="G441" s="1999" t="s">
        <v>4931</v>
      </c>
      <c r="H441" s="1794">
        <v>1</v>
      </c>
      <c r="I441" s="1794">
        <v>1</v>
      </c>
      <c r="J441" s="2000">
        <v>2</v>
      </c>
      <c r="K441" s="1798"/>
      <c r="L441" s="1792">
        <v>13021013408</v>
      </c>
      <c r="M441" s="1793">
        <v>1</v>
      </c>
      <c r="N441" s="1793">
        <v>1</v>
      </c>
      <c r="O441" s="1793">
        <v>2</v>
      </c>
      <c r="P441" s="530" t="s">
        <v>303</v>
      </c>
      <c r="Q441" s="291"/>
      <c r="R441" s="170"/>
      <c r="S441" s="387"/>
      <c r="T441" s="491" t="s">
        <v>1957</v>
      </c>
      <c r="U441" s="491" t="s">
        <v>1087</v>
      </c>
      <c r="AA441" s="27"/>
      <c r="AB441" s="27"/>
      <c r="AC441" s="889"/>
      <c r="AD441" s="502"/>
    </row>
    <row r="442" spans="3:30" ht="10.5" customHeight="1">
      <c r="C442" s="1799" t="s">
        <v>4932</v>
      </c>
      <c r="D442" s="1796">
        <v>1</v>
      </c>
      <c r="E442" s="1796">
        <v>1</v>
      </c>
      <c r="F442" s="1797">
        <v>2</v>
      </c>
      <c r="G442" s="1999" t="s">
        <v>4932</v>
      </c>
      <c r="H442" s="1794">
        <v>1</v>
      </c>
      <c r="I442" s="1794">
        <v>1</v>
      </c>
      <c r="J442" s="2000">
        <v>2</v>
      </c>
      <c r="K442" s="1798"/>
      <c r="L442" s="1792">
        <v>13021013409</v>
      </c>
      <c r="M442" s="1793">
        <v>1</v>
      </c>
      <c r="N442" s="1793">
        <v>1</v>
      </c>
      <c r="O442" s="1793">
        <v>2</v>
      </c>
      <c r="P442" s="530" t="s">
        <v>920</v>
      </c>
      <c r="Q442" s="291"/>
      <c r="R442" s="170"/>
      <c r="S442" s="387"/>
      <c r="T442" s="531" t="s">
        <v>2762</v>
      </c>
      <c r="U442" s="531" t="s">
        <v>314</v>
      </c>
      <c r="AA442" s="27"/>
      <c r="AB442" s="27"/>
      <c r="AC442" s="889"/>
      <c r="AD442" s="502"/>
    </row>
    <row r="443" spans="3:30" ht="10.5" customHeight="1">
      <c r="C443" s="1799" t="s">
        <v>4933</v>
      </c>
      <c r="D443" s="1796">
        <v>1</v>
      </c>
      <c r="E443" s="1796">
        <v>1</v>
      </c>
      <c r="F443" s="1797">
        <v>2</v>
      </c>
      <c r="G443" s="1999" t="s">
        <v>4933</v>
      </c>
      <c r="H443" s="1794">
        <v>1</v>
      </c>
      <c r="I443" s="1794">
        <v>1</v>
      </c>
      <c r="J443" s="2000">
        <v>2</v>
      </c>
      <c r="K443" s="1798"/>
      <c r="L443" s="1792">
        <v>13021013410</v>
      </c>
      <c r="M443" s="1793">
        <v>1</v>
      </c>
      <c r="N443" s="1793">
        <v>1</v>
      </c>
      <c r="O443" s="1793">
        <v>2</v>
      </c>
      <c r="P443" s="530" t="s">
        <v>2262</v>
      </c>
      <c r="Q443" s="291"/>
      <c r="R443" s="170"/>
      <c r="S443" s="387"/>
      <c r="T443" s="491" t="s">
        <v>1011</v>
      </c>
      <c r="U443" s="491" t="s">
        <v>1864</v>
      </c>
      <c r="AA443" s="27"/>
      <c r="AB443" s="27"/>
      <c r="AC443" s="890"/>
      <c r="AD443" s="502"/>
    </row>
    <row r="444" spans="3:30" ht="10.5" customHeight="1">
      <c r="C444" s="1799" t="s">
        <v>4934</v>
      </c>
      <c r="D444" s="1796">
        <v>1</v>
      </c>
      <c r="E444" s="1796">
        <v>1</v>
      </c>
      <c r="F444" s="1797">
        <v>2</v>
      </c>
      <c r="G444" s="1999" t="s">
        <v>4934</v>
      </c>
      <c r="H444" s="1794">
        <v>1</v>
      </c>
      <c r="I444" s="1794" t="s">
        <v>4485</v>
      </c>
      <c r="J444" s="2000">
        <v>1</v>
      </c>
      <c r="K444" s="1798"/>
      <c r="L444" s="1792">
        <v>13021013411</v>
      </c>
      <c r="M444" s="1793">
        <v>1</v>
      </c>
      <c r="N444" s="1793">
        <v>1</v>
      </c>
      <c r="O444" s="1793">
        <v>2</v>
      </c>
      <c r="P444" s="530" t="s">
        <v>2263</v>
      </c>
      <c r="Q444" s="291"/>
      <c r="R444" s="170"/>
      <c r="S444" s="387"/>
      <c r="T444" s="531" t="s">
        <v>404</v>
      </c>
      <c r="U444" s="531" t="s">
        <v>180</v>
      </c>
      <c r="AA444" s="27"/>
      <c r="AB444" s="27"/>
      <c r="AC444" s="889"/>
      <c r="AD444" s="502"/>
    </row>
    <row r="445" spans="3:30" ht="10.5" customHeight="1">
      <c r="C445" s="1799" t="s">
        <v>4935</v>
      </c>
      <c r="D445" s="1796">
        <v>0</v>
      </c>
      <c r="E445" s="1796">
        <v>0</v>
      </c>
      <c r="F445" s="1797">
        <v>0</v>
      </c>
      <c r="G445" s="1999" t="s">
        <v>4935</v>
      </c>
      <c r="H445" s="1794">
        <v>0</v>
      </c>
      <c r="I445" s="1794">
        <v>0</v>
      </c>
      <c r="J445" s="2000">
        <v>0</v>
      </c>
      <c r="K445" s="1798"/>
      <c r="L445" s="1792">
        <v>13021013502</v>
      </c>
      <c r="M445" s="1793">
        <v>0</v>
      </c>
      <c r="N445" s="1793">
        <v>0</v>
      </c>
      <c r="O445" s="1793">
        <v>0</v>
      </c>
      <c r="P445" s="530" t="s">
        <v>2244</v>
      </c>
      <c r="Q445" s="291"/>
      <c r="R445" s="170"/>
      <c r="S445" s="387"/>
      <c r="T445" s="491" t="s">
        <v>1027</v>
      </c>
      <c r="U445" s="491" t="s">
        <v>1074</v>
      </c>
      <c r="AA445" s="27"/>
      <c r="AB445" s="27"/>
      <c r="AC445" s="890"/>
      <c r="AD445" s="502"/>
    </row>
    <row r="446" spans="3:30" ht="10.5" customHeight="1">
      <c r="C446" s="1799" t="s">
        <v>4936</v>
      </c>
      <c r="D446" s="1796">
        <v>0</v>
      </c>
      <c r="E446" s="1796">
        <v>0</v>
      </c>
      <c r="F446" s="1797">
        <v>0</v>
      </c>
      <c r="G446" s="1999" t="s">
        <v>4936</v>
      </c>
      <c r="H446" s="1794">
        <v>0</v>
      </c>
      <c r="I446" s="1794">
        <v>0</v>
      </c>
      <c r="J446" s="2000">
        <v>0</v>
      </c>
      <c r="K446" s="1798"/>
      <c r="L446" s="1792">
        <v>13021013503</v>
      </c>
      <c r="M446" s="1793">
        <v>0</v>
      </c>
      <c r="N446" s="1793">
        <v>0</v>
      </c>
      <c r="O446" s="1793">
        <v>0</v>
      </c>
      <c r="P446" s="530" t="s">
        <v>2245</v>
      </c>
      <c r="Q446" s="291"/>
      <c r="R446" s="170"/>
      <c r="S446" s="387"/>
      <c r="T446" s="531" t="s">
        <v>407</v>
      </c>
      <c r="U446" s="531" t="s">
        <v>2118</v>
      </c>
      <c r="AA446" s="27"/>
      <c r="AB446" s="27"/>
      <c r="AC446" s="889"/>
      <c r="AD446" s="502"/>
    </row>
    <row r="447" spans="3:30" ht="10.5" customHeight="1">
      <c r="C447" s="1799" t="s">
        <v>4937</v>
      </c>
      <c r="D447" s="1796">
        <v>1</v>
      </c>
      <c r="E447" s="1796">
        <v>1</v>
      </c>
      <c r="F447" s="1797">
        <v>2</v>
      </c>
      <c r="G447" s="1999" t="s">
        <v>4937</v>
      </c>
      <c r="H447" s="1794">
        <v>0</v>
      </c>
      <c r="I447" s="1794">
        <v>0</v>
      </c>
      <c r="J447" s="2000">
        <v>0</v>
      </c>
      <c r="K447" s="1798"/>
      <c r="L447" s="1792">
        <v>13021013504</v>
      </c>
      <c r="M447" s="1793">
        <v>1</v>
      </c>
      <c r="N447" s="1793">
        <v>1</v>
      </c>
      <c r="O447" s="1793">
        <v>2</v>
      </c>
      <c r="P447" s="530" t="s">
        <v>2247</v>
      </c>
      <c r="Q447" s="291"/>
      <c r="R447" s="170"/>
      <c r="S447" s="387"/>
      <c r="T447" s="491" t="s">
        <v>1897</v>
      </c>
      <c r="U447" s="491" t="s">
        <v>1427</v>
      </c>
      <c r="AA447" s="27"/>
      <c r="AB447" s="27"/>
      <c r="AC447" s="890"/>
      <c r="AD447" s="502"/>
    </row>
    <row r="448" spans="3:30" ht="10.5" customHeight="1">
      <c r="C448" s="1799" t="s">
        <v>4938</v>
      </c>
      <c r="D448" s="1796">
        <v>0</v>
      </c>
      <c r="E448" s="1796">
        <v>1</v>
      </c>
      <c r="F448" s="1797">
        <v>1</v>
      </c>
      <c r="G448" s="1999" t="s">
        <v>4938</v>
      </c>
      <c r="H448" s="1794">
        <v>0</v>
      </c>
      <c r="I448" s="1794">
        <v>1</v>
      </c>
      <c r="J448" s="2000">
        <v>1</v>
      </c>
      <c r="K448" s="1798"/>
      <c r="L448" s="1792">
        <v>13021013603</v>
      </c>
      <c r="M448" s="1793">
        <v>0</v>
      </c>
      <c r="N448" s="1793">
        <v>1</v>
      </c>
      <c r="O448" s="1793">
        <v>1</v>
      </c>
      <c r="P448" s="530" t="s">
        <v>498</v>
      </c>
      <c r="Q448" s="291"/>
      <c r="R448" s="170"/>
      <c r="S448" s="387"/>
      <c r="T448" s="491" t="s">
        <v>482</v>
      </c>
      <c r="U448" s="491" t="s">
        <v>2525</v>
      </c>
      <c r="AA448" s="27"/>
      <c r="AB448" s="27"/>
      <c r="AC448" s="889"/>
      <c r="AD448" s="502"/>
    </row>
    <row r="449" spans="3:30" ht="10.5" customHeight="1">
      <c r="C449" s="1799" t="s">
        <v>4939</v>
      </c>
      <c r="D449" s="1796">
        <v>1</v>
      </c>
      <c r="E449" s="1796">
        <v>1</v>
      </c>
      <c r="F449" s="1797">
        <v>2</v>
      </c>
      <c r="G449" s="1999" t="s">
        <v>4939</v>
      </c>
      <c r="H449" s="1794">
        <v>0</v>
      </c>
      <c r="I449" s="1794" t="s">
        <v>4485</v>
      </c>
      <c r="J449" s="2000">
        <v>0</v>
      </c>
      <c r="K449" s="1798"/>
      <c r="L449" s="1792">
        <v>13021013604</v>
      </c>
      <c r="M449" s="1793">
        <v>1</v>
      </c>
      <c r="N449" s="1793">
        <v>1</v>
      </c>
      <c r="O449" s="1793">
        <v>2</v>
      </c>
      <c r="P449" s="530" t="s">
        <v>182</v>
      </c>
      <c r="Q449" s="291"/>
      <c r="R449" s="170"/>
      <c r="S449" s="387"/>
      <c r="T449" s="491" t="s">
        <v>2112</v>
      </c>
      <c r="U449" s="491" t="s">
        <v>1296</v>
      </c>
      <c r="AA449" s="27"/>
      <c r="AB449" s="27"/>
      <c r="AC449" s="889"/>
      <c r="AD449" s="502"/>
    </row>
    <row r="450" spans="3:30" ht="10.5" customHeight="1">
      <c r="C450" s="1799" t="s">
        <v>4940</v>
      </c>
      <c r="D450" s="1796">
        <v>1</v>
      </c>
      <c r="E450" s="1796">
        <v>1</v>
      </c>
      <c r="F450" s="1797">
        <v>2</v>
      </c>
      <c r="G450" s="1999" t="s">
        <v>4940</v>
      </c>
      <c r="H450" s="1794">
        <v>1</v>
      </c>
      <c r="I450" s="1794" t="s">
        <v>4485</v>
      </c>
      <c r="J450" s="2000">
        <v>1</v>
      </c>
      <c r="K450" s="1798"/>
      <c r="L450" s="1792">
        <v>13021013605</v>
      </c>
      <c r="M450" s="1793">
        <v>1</v>
      </c>
      <c r="N450" s="1793">
        <v>1</v>
      </c>
      <c r="O450" s="1793">
        <v>2</v>
      </c>
      <c r="P450" s="530" t="s">
        <v>2064</v>
      </c>
      <c r="Q450" s="291"/>
      <c r="R450" s="170"/>
      <c r="S450" s="387"/>
      <c r="T450" s="491" t="s">
        <v>1608</v>
      </c>
      <c r="U450" s="491" t="s">
        <v>1868</v>
      </c>
      <c r="AA450" s="27"/>
      <c r="AB450" s="27"/>
      <c r="AC450" s="889"/>
      <c r="AD450" s="502"/>
    </row>
    <row r="451" spans="3:30" ht="10.5" customHeight="1">
      <c r="C451" s="1799" t="s">
        <v>4941</v>
      </c>
      <c r="D451" s="1796">
        <v>1</v>
      </c>
      <c r="E451" s="1796">
        <v>1</v>
      </c>
      <c r="F451" s="1797">
        <v>2</v>
      </c>
      <c r="G451" s="1999" t="s">
        <v>4941</v>
      </c>
      <c r="H451" s="1794">
        <v>1</v>
      </c>
      <c r="I451" s="1794">
        <v>1</v>
      </c>
      <c r="J451" s="2000">
        <v>2</v>
      </c>
      <c r="K451" s="1798"/>
      <c r="L451" s="1792">
        <v>13021013606</v>
      </c>
      <c r="M451" s="1793">
        <v>1</v>
      </c>
      <c r="N451" s="1793">
        <v>1</v>
      </c>
      <c r="O451" s="1793">
        <v>2</v>
      </c>
      <c r="P451" s="530" t="s">
        <v>1928</v>
      </c>
      <c r="Q451" s="291"/>
      <c r="R451" s="170"/>
      <c r="S451" s="387"/>
      <c r="T451" s="491" t="s">
        <v>1610</v>
      </c>
      <c r="U451" s="491" t="s">
        <v>160</v>
      </c>
      <c r="AA451" s="27"/>
      <c r="AB451" s="27"/>
      <c r="AC451" s="889"/>
      <c r="AD451" s="502"/>
    </row>
    <row r="452" spans="3:30" ht="10.5" customHeight="1">
      <c r="C452" s="1799" t="s">
        <v>4942</v>
      </c>
      <c r="D452" s="1796">
        <v>0</v>
      </c>
      <c r="E452" s="1796">
        <v>0</v>
      </c>
      <c r="F452" s="1797">
        <v>0</v>
      </c>
      <c r="G452" s="1999" t="s">
        <v>4942</v>
      </c>
      <c r="H452" s="1794">
        <v>0</v>
      </c>
      <c r="I452" s="1794">
        <v>1</v>
      </c>
      <c r="J452" s="2000">
        <v>1</v>
      </c>
      <c r="K452" s="1798"/>
      <c r="L452" s="1792">
        <v>13021013700</v>
      </c>
      <c r="M452" s="1793">
        <v>0</v>
      </c>
      <c r="N452" s="1793">
        <v>1</v>
      </c>
      <c r="O452" s="1793">
        <v>1</v>
      </c>
      <c r="P452" s="530" t="s">
        <v>1930</v>
      </c>
      <c r="Q452" s="291"/>
      <c r="R452" s="170"/>
      <c r="S452" s="387"/>
      <c r="T452" s="491" t="s">
        <v>302</v>
      </c>
      <c r="U452" s="491" t="s">
        <v>153</v>
      </c>
      <c r="AA452" s="27"/>
      <c r="AB452" s="27"/>
      <c r="AC452" s="889"/>
      <c r="AD452" s="502"/>
    </row>
    <row r="453" spans="3:30" ht="10.5" customHeight="1">
      <c r="C453" s="1799" t="s">
        <v>4943</v>
      </c>
      <c r="D453" s="1796">
        <v>0</v>
      </c>
      <c r="E453" s="1796">
        <v>0</v>
      </c>
      <c r="F453" s="1797">
        <v>0</v>
      </c>
      <c r="G453" s="1999" t="s">
        <v>4943</v>
      </c>
      <c r="H453" s="1794">
        <v>0</v>
      </c>
      <c r="I453" s="1794">
        <v>0</v>
      </c>
      <c r="J453" s="2000">
        <v>0</v>
      </c>
      <c r="K453" s="1798"/>
      <c r="L453" s="1792">
        <v>13021013800</v>
      </c>
      <c r="M453" s="1793">
        <v>0</v>
      </c>
      <c r="N453" s="1793">
        <v>0</v>
      </c>
      <c r="O453" s="1793">
        <v>0</v>
      </c>
      <c r="P453" s="530" t="s">
        <v>1123</v>
      </c>
      <c r="Q453" s="291"/>
      <c r="R453" s="170"/>
      <c r="S453" s="387"/>
      <c r="T453" s="491" t="s">
        <v>304</v>
      </c>
      <c r="U453" s="491" t="s">
        <v>1283</v>
      </c>
      <c r="AA453" s="27"/>
      <c r="AB453" s="27"/>
      <c r="AC453" s="889"/>
      <c r="AD453" s="502"/>
    </row>
    <row r="454" spans="3:30" ht="10.5" customHeight="1">
      <c r="C454" s="1799" t="s">
        <v>4944</v>
      </c>
      <c r="D454" s="1796">
        <v>0</v>
      </c>
      <c r="E454" s="1796">
        <v>0</v>
      </c>
      <c r="F454" s="1797">
        <v>0</v>
      </c>
      <c r="G454" s="1999" t="s">
        <v>4944</v>
      </c>
      <c r="H454" s="1794">
        <v>0</v>
      </c>
      <c r="I454" s="1794">
        <v>0</v>
      </c>
      <c r="J454" s="2000">
        <v>0</v>
      </c>
      <c r="K454" s="1798"/>
      <c r="L454" s="1792">
        <v>13021013900</v>
      </c>
      <c r="M454" s="1793">
        <v>0</v>
      </c>
      <c r="N454" s="1793">
        <v>0</v>
      </c>
      <c r="O454" s="1793">
        <v>0</v>
      </c>
      <c r="P454" s="530" t="s">
        <v>1125</v>
      </c>
      <c r="Q454" s="291"/>
      <c r="R454" s="170"/>
      <c r="S454" s="387"/>
      <c r="T454" s="491" t="s">
        <v>921</v>
      </c>
      <c r="U454" s="491" t="s">
        <v>2420</v>
      </c>
      <c r="AA454" s="27"/>
      <c r="AB454" s="27"/>
      <c r="AC454" s="889"/>
      <c r="AD454" s="502"/>
    </row>
    <row r="455" spans="3:30" ht="10.5" customHeight="1">
      <c r="C455" s="1799" t="s">
        <v>4945</v>
      </c>
      <c r="D455" s="1796">
        <v>1</v>
      </c>
      <c r="E455" s="1796">
        <v>0</v>
      </c>
      <c r="F455" s="1797">
        <v>1</v>
      </c>
      <c r="G455" s="1999" t="s">
        <v>4945</v>
      </c>
      <c r="H455" s="1794">
        <v>0</v>
      </c>
      <c r="I455" s="1794">
        <v>0</v>
      </c>
      <c r="J455" s="2000">
        <v>0</v>
      </c>
      <c r="K455" s="1798"/>
      <c r="L455" s="1792">
        <v>13023790100</v>
      </c>
      <c r="M455" s="1793">
        <v>1</v>
      </c>
      <c r="N455" s="1793">
        <v>0</v>
      </c>
      <c r="O455" s="1793">
        <v>1</v>
      </c>
      <c r="P455" s="530" t="s">
        <v>1091</v>
      </c>
      <c r="Q455" s="291"/>
      <c r="R455" s="170"/>
      <c r="S455" s="387"/>
      <c r="T455" s="491" t="s">
        <v>2264</v>
      </c>
      <c r="U455" s="491" t="s">
        <v>318</v>
      </c>
      <c r="AA455" s="27"/>
      <c r="AB455" s="27"/>
      <c r="AC455" s="889"/>
      <c r="AD455" s="502"/>
    </row>
    <row r="456" spans="3:30" ht="10.5" customHeight="1">
      <c r="C456" s="1799" t="s">
        <v>4946</v>
      </c>
      <c r="D456" s="1796">
        <v>0</v>
      </c>
      <c r="E456" s="1796">
        <v>0</v>
      </c>
      <c r="F456" s="1797">
        <v>0</v>
      </c>
      <c r="G456" s="1999" t="s">
        <v>4946</v>
      </c>
      <c r="H456" s="1794">
        <v>0</v>
      </c>
      <c r="I456" s="1794">
        <v>0</v>
      </c>
      <c r="J456" s="2000">
        <v>0</v>
      </c>
      <c r="K456" s="1798"/>
      <c r="L456" s="1792">
        <v>13023790200</v>
      </c>
      <c r="M456" s="1793">
        <v>0</v>
      </c>
      <c r="N456" s="1793">
        <v>0</v>
      </c>
      <c r="O456" s="1793">
        <v>0</v>
      </c>
      <c r="P456" s="530" t="s">
        <v>1092</v>
      </c>
      <c r="Q456" s="291"/>
      <c r="R456" s="170"/>
      <c r="S456" s="387"/>
      <c r="T456" s="491" t="s">
        <v>2763</v>
      </c>
      <c r="U456" s="491" t="s">
        <v>2135</v>
      </c>
      <c r="AA456" s="27"/>
      <c r="AB456" s="27"/>
      <c r="AC456" s="889"/>
      <c r="AD456" s="502"/>
    </row>
    <row r="457" spans="3:30" ht="10.5" customHeight="1">
      <c r="C457" s="1799" t="s">
        <v>4947</v>
      </c>
      <c r="D457" s="1796">
        <v>0</v>
      </c>
      <c r="E457" s="1796">
        <v>0</v>
      </c>
      <c r="F457" s="1797">
        <v>0</v>
      </c>
      <c r="G457" s="1999" t="s">
        <v>4947</v>
      </c>
      <c r="H457" s="1794">
        <v>0</v>
      </c>
      <c r="I457" s="1794">
        <v>1</v>
      </c>
      <c r="J457" s="2000">
        <v>1</v>
      </c>
      <c r="K457" s="1798"/>
      <c r="L457" s="1792">
        <v>13023790300</v>
      </c>
      <c r="M457" s="1793">
        <v>0</v>
      </c>
      <c r="N457" s="1793">
        <v>1</v>
      </c>
      <c r="O457" s="1793">
        <v>1</v>
      </c>
      <c r="P457" s="530" t="s">
        <v>70</v>
      </c>
      <c r="Q457" s="291"/>
      <c r="R457" s="170"/>
      <c r="S457" s="387"/>
      <c r="T457" s="533" t="s">
        <v>2246</v>
      </c>
      <c r="U457" s="491" t="s">
        <v>175</v>
      </c>
      <c r="AA457" s="27"/>
      <c r="AB457" s="27"/>
      <c r="AC457" s="889"/>
      <c r="AD457" s="502"/>
    </row>
    <row r="458" spans="3:30" ht="10.5" customHeight="1">
      <c r="C458" s="1799" t="s">
        <v>4948</v>
      </c>
      <c r="D458" s="1796">
        <v>0</v>
      </c>
      <c r="E458" s="1796">
        <v>0</v>
      </c>
      <c r="F458" s="1797">
        <v>0</v>
      </c>
      <c r="G458" s="1999" t="s">
        <v>4948</v>
      </c>
      <c r="H458" s="1794">
        <v>0</v>
      </c>
      <c r="I458" s="1794">
        <v>0</v>
      </c>
      <c r="J458" s="2000">
        <v>0</v>
      </c>
      <c r="K458" s="1798"/>
      <c r="L458" s="1792">
        <v>13025960100</v>
      </c>
      <c r="M458" s="1793">
        <v>0</v>
      </c>
      <c r="N458" s="1793">
        <v>0</v>
      </c>
      <c r="O458" s="1793">
        <v>0</v>
      </c>
      <c r="P458" s="530" t="s">
        <v>361</v>
      </c>
      <c r="Q458" s="291"/>
      <c r="R458" s="170"/>
      <c r="S458" s="387"/>
      <c r="T458" s="491" t="s">
        <v>2248</v>
      </c>
      <c r="U458" s="491" t="s">
        <v>1293</v>
      </c>
      <c r="AA458" s="27"/>
      <c r="AB458" s="27"/>
      <c r="AC458" s="891"/>
      <c r="AD458" s="502"/>
    </row>
    <row r="459" spans="3:30" ht="10.5" customHeight="1">
      <c r="C459" s="1799" t="s">
        <v>4949</v>
      </c>
      <c r="D459" s="1796">
        <v>0</v>
      </c>
      <c r="E459" s="1796">
        <v>0</v>
      </c>
      <c r="F459" s="1797">
        <v>0</v>
      </c>
      <c r="G459" s="1999" t="s">
        <v>4949</v>
      </c>
      <c r="H459" s="1794">
        <v>0</v>
      </c>
      <c r="I459" s="1794">
        <v>0</v>
      </c>
      <c r="J459" s="2000">
        <v>0</v>
      </c>
      <c r="K459" s="1798"/>
      <c r="L459" s="1792">
        <v>13025960200</v>
      </c>
      <c r="M459" s="1793">
        <v>0</v>
      </c>
      <c r="N459" s="1793">
        <v>0</v>
      </c>
      <c r="O459" s="1793">
        <v>0</v>
      </c>
      <c r="P459" s="530" t="s">
        <v>2192</v>
      </c>
      <c r="Q459" s="291"/>
      <c r="R459" s="170"/>
      <c r="S459" s="387"/>
      <c r="T459" s="491" t="s">
        <v>499</v>
      </c>
      <c r="U459" s="491" t="s">
        <v>175</v>
      </c>
      <c r="AA459" s="27"/>
      <c r="AB459" s="27"/>
      <c r="AC459" s="889"/>
      <c r="AD459" s="502"/>
    </row>
    <row r="460" spans="3:30" ht="10.5" customHeight="1">
      <c r="C460" s="1799" t="s">
        <v>4950</v>
      </c>
      <c r="D460" s="1796">
        <v>0</v>
      </c>
      <c r="E460" s="1796">
        <v>0</v>
      </c>
      <c r="F460" s="1797">
        <v>0</v>
      </c>
      <c r="G460" s="1999" t="s">
        <v>4950</v>
      </c>
      <c r="H460" s="1794">
        <v>0</v>
      </c>
      <c r="I460" s="1794">
        <v>0</v>
      </c>
      <c r="J460" s="2000">
        <v>0</v>
      </c>
      <c r="K460" s="1798"/>
      <c r="L460" s="1792">
        <v>13025960300</v>
      </c>
      <c r="M460" s="1793">
        <v>0</v>
      </c>
      <c r="N460" s="1793">
        <v>0</v>
      </c>
      <c r="O460" s="1793">
        <v>0</v>
      </c>
      <c r="P460" s="530" t="s">
        <v>1772</v>
      </c>
      <c r="Q460" s="291"/>
      <c r="R460" s="170"/>
      <c r="S460" s="387"/>
      <c r="T460" s="491" t="s">
        <v>1028</v>
      </c>
      <c r="U460" s="491" t="s">
        <v>1488</v>
      </c>
      <c r="AA460" s="27"/>
      <c r="AB460" s="27"/>
      <c r="AC460" s="889"/>
      <c r="AD460" s="502"/>
    </row>
    <row r="461" spans="3:30" ht="10.5" customHeight="1">
      <c r="C461" s="1799" t="s">
        <v>4951</v>
      </c>
      <c r="D461" s="1796">
        <v>0</v>
      </c>
      <c r="E461" s="1796">
        <v>0</v>
      </c>
      <c r="F461" s="1797">
        <v>0</v>
      </c>
      <c r="G461" s="1999" t="s">
        <v>4951</v>
      </c>
      <c r="H461" s="1794">
        <v>0</v>
      </c>
      <c r="I461" s="1794">
        <v>0</v>
      </c>
      <c r="J461" s="2000">
        <v>0</v>
      </c>
      <c r="K461" s="1798"/>
      <c r="L461" s="1792">
        <v>13027960200</v>
      </c>
      <c r="M461" s="1793">
        <v>0</v>
      </c>
      <c r="N461" s="1793">
        <v>0</v>
      </c>
      <c r="O461" s="1793">
        <v>0</v>
      </c>
      <c r="P461" s="530" t="s">
        <v>1711</v>
      </c>
      <c r="Q461" s="291"/>
      <c r="R461" s="170"/>
      <c r="S461" s="387"/>
      <c r="T461" s="491" t="s">
        <v>183</v>
      </c>
      <c r="U461" s="491" t="s">
        <v>2120</v>
      </c>
      <c r="AA461" s="27"/>
      <c r="AB461" s="27"/>
      <c r="AC461" s="889"/>
      <c r="AD461" s="502"/>
    </row>
    <row r="462" spans="3:30" ht="10.5" customHeight="1">
      <c r="C462" s="1799" t="s">
        <v>4952</v>
      </c>
      <c r="D462" s="1796">
        <v>0</v>
      </c>
      <c r="E462" s="1796">
        <v>0</v>
      </c>
      <c r="F462" s="1797">
        <v>0</v>
      </c>
      <c r="G462" s="1999" t="s">
        <v>4952</v>
      </c>
      <c r="H462" s="1794">
        <v>0</v>
      </c>
      <c r="I462" s="1794">
        <v>0</v>
      </c>
      <c r="J462" s="2000">
        <v>0</v>
      </c>
      <c r="K462" s="1798"/>
      <c r="L462" s="1792">
        <v>13027960300</v>
      </c>
      <c r="M462" s="1793">
        <v>0</v>
      </c>
      <c r="N462" s="1793">
        <v>0</v>
      </c>
      <c r="O462" s="1793">
        <v>0</v>
      </c>
      <c r="P462" s="530" t="s">
        <v>269</v>
      </c>
      <c r="Q462" s="291"/>
      <c r="R462" s="170"/>
      <c r="S462" s="387"/>
      <c r="T462" s="531" t="s">
        <v>1029</v>
      </c>
      <c r="U462" s="531" t="s">
        <v>2419</v>
      </c>
      <c r="AA462" s="27"/>
      <c r="AB462" s="27"/>
      <c r="AC462" s="889"/>
      <c r="AD462" s="502"/>
    </row>
    <row r="463" spans="3:30" ht="10.5" customHeight="1">
      <c r="C463" s="1799" t="s">
        <v>4953</v>
      </c>
      <c r="D463" s="1796">
        <v>0</v>
      </c>
      <c r="E463" s="1796">
        <v>0</v>
      </c>
      <c r="F463" s="1797">
        <v>0</v>
      </c>
      <c r="G463" s="1999" t="s">
        <v>4953</v>
      </c>
      <c r="H463" s="1794">
        <v>0</v>
      </c>
      <c r="I463" s="1794">
        <v>0</v>
      </c>
      <c r="J463" s="2000">
        <v>0</v>
      </c>
      <c r="K463" s="1798"/>
      <c r="L463" s="1792">
        <v>13027960400</v>
      </c>
      <c r="M463" s="1793">
        <v>0</v>
      </c>
      <c r="N463" s="1793">
        <v>0</v>
      </c>
      <c r="O463" s="1793">
        <v>0</v>
      </c>
      <c r="P463" s="530" t="s">
        <v>2294</v>
      </c>
      <c r="Q463" s="291"/>
      <c r="R463" s="170"/>
      <c r="S463" s="387"/>
      <c r="T463" s="491" t="s">
        <v>1927</v>
      </c>
      <c r="U463" s="491" t="s">
        <v>2337</v>
      </c>
      <c r="AA463" s="27"/>
      <c r="AB463" s="27"/>
      <c r="AC463" s="890"/>
      <c r="AD463" s="502"/>
    </row>
    <row r="464" spans="3:30" ht="10.5" customHeight="1">
      <c r="C464" s="1799" t="s">
        <v>4954</v>
      </c>
      <c r="D464" s="1796">
        <v>0</v>
      </c>
      <c r="E464" s="1796">
        <v>0</v>
      </c>
      <c r="F464" s="1797">
        <v>0</v>
      </c>
      <c r="G464" s="1999" t="s">
        <v>4954</v>
      </c>
      <c r="H464" s="1794">
        <v>0</v>
      </c>
      <c r="I464" s="1794">
        <v>0</v>
      </c>
      <c r="J464" s="2000">
        <v>0</v>
      </c>
      <c r="K464" s="1798"/>
      <c r="L464" s="1792">
        <v>13027960500</v>
      </c>
      <c r="M464" s="1793">
        <v>0</v>
      </c>
      <c r="N464" s="1793">
        <v>0</v>
      </c>
      <c r="O464" s="1793">
        <v>0</v>
      </c>
      <c r="P464" s="530" t="s">
        <v>460</v>
      </c>
      <c r="Q464" s="291"/>
      <c r="R464" s="170"/>
      <c r="S464" s="387"/>
      <c r="T464" s="491" t="s">
        <v>1030</v>
      </c>
      <c r="U464" s="491" t="s">
        <v>155</v>
      </c>
      <c r="AA464" s="27"/>
      <c r="AB464" s="27"/>
      <c r="AC464" s="889"/>
      <c r="AD464" s="502"/>
    </row>
    <row r="465" spans="3:30" ht="10.5" customHeight="1">
      <c r="C465" s="1799" t="s">
        <v>4955</v>
      </c>
      <c r="D465" s="1796">
        <v>0</v>
      </c>
      <c r="E465" s="1796">
        <v>0</v>
      </c>
      <c r="F465" s="1797">
        <v>0</v>
      </c>
      <c r="G465" s="1999" t="s">
        <v>4955</v>
      </c>
      <c r="H465" s="1794">
        <v>0</v>
      </c>
      <c r="I465" s="1794">
        <v>0</v>
      </c>
      <c r="J465" s="2000">
        <v>0</v>
      </c>
      <c r="K465" s="1798"/>
      <c r="L465" s="1792">
        <v>13027960600</v>
      </c>
      <c r="M465" s="1793">
        <v>0</v>
      </c>
      <c r="N465" s="1793">
        <v>0</v>
      </c>
      <c r="O465" s="1793">
        <v>0</v>
      </c>
      <c r="P465" s="530" t="s">
        <v>461</v>
      </c>
      <c r="Q465" s="291"/>
      <c r="R465" s="170"/>
      <c r="S465" s="387"/>
      <c r="T465" s="491" t="s">
        <v>1929</v>
      </c>
      <c r="U465" s="491" t="s">
        <v>2337</v>
      </c>
      <c r="AA465" s="27"/>
      <c r="AB465" s="27"/>
      <c r="AC465" s="889"/>
      <c r="AD465" s="502"/>
    </row>
    <row r="466" spans="3:30" ht="10.5" customHeight="1">
      <c r="C466" s="1799" t="s">
        <v>4956</v>
      </c>
      <c r="D466" s="1796">
        <v>0</v>
      </c>
      <c r="E466" s="1796">
        <v>0</v>
      </c>
      <c r="F466" s="1797">
        <v>0</v>
      </c>
      <c r="G466" s="1999" t="s">
        <v>4956</v>
      </c>
      <c r="H466" s="1794">
        <v>0</v>
      </c>
      <c r="I466" s="1794">
        <v>0</v>
      </c>
      <c r="J466" s="2000">
        <v>0</v>
      </c>
      <c r="K466" s="1798"/>
      <c r="L466" s="1792">
        <v>13029920101</v>
      </c>
      <c r="M466" s="1793">
        <v>0</v>
      </c>
      <c r="N466" s="1793">
        <v>0</v>
      </c>
      <c r="O466" s="1793">
        <v>0</v>
      </c>
      <c r="P466" s="530" t="s">
        <v>463</v>
      </c>
      <c r="Q466" s="291"/>
      <c r="R466" s="170"/>
      <c r="S466" s="387"/>
      <c r="T466" s="491" t="s">
        <v>318</v>
      </c>
      <c r="U466" s="491" t="s">
        <v>1304</v>
      </c>
      <c r="AA466" s="27"/>
      <c r="AB466" s="27"/>
      <c r="AC466" s="889"/>
      <c r="AD466" s="502"/>
    </row>
    <row r="467" spans="3:30" ht="10.5" customHeight="1">
      <c r="C467" s="1799" t="s">
        <v>4957</v>
      </c>
      <c r="D467" s="1796">
        <v>0</v>
      </c>
      <c r="E467" s="1796">
        <v>0</v>
      </c>
      <c r="F467" s="1797">
        <v>0</v>
      </c>
      <c r="G467" s="1999" t="s">
        <v>4957</v>
      </c>
      <c r="H467" s="1794">
        <v>0</v>
      </c>
      <c r="I467" s="1794">
        <v>0</v>
      </c>
      <c r="J467" s="2000">
        <v>0</v>
      </c>
      <c r="K467" s="1798"/>
      <c r="L467" s="1792">
        <v>13029920102</v>
      </c>
      <c r="M467" s="1793">
        <v>0</v>
      </c>
      <c r="N467" s="1793">
        <v>0</v>
      </c>
      <c r="O467" s="1793">
        <v>0</v>
      </c>
      <c r="P467" s="530" t="s">
        <v>465</v>
      </c>
      <c r="Q467" s="291"/>
      <c r="R467" s="170"/>
      <c r="S467" s="387"/>
      <c r="T467" s="491" t="s">
        <v>1124</v>
      </c>
      <c r="U467" s="491" t="s">
        <v>850</v>
      </c>
      <c r="AA467" s="27"/>
      <c r="AB467" s="27"/>
      <c r="AC467" s="889"/>
      <c r="AD467" s="502"/>
    </row>
    <row r="468" spans="3:30" ht="10.5" customHeight="1">
      <c r="C468" s="1799" t="s">
        <v>4958</v>
      </c>
      <c r="D468" s="1796">
        <v>1</v>
      </c>
      <c r="E468" s="1796">
        <v>1</v>
      </c>
      <c r="F468" s="1797">
        <v>2</v>
      </c>
      <c r="G468" s="1999" t="s">
        <v>4958</v>
      </c>
      <c r="H468" s="1794">
        <v>1</v>
      </c>
      <c r="I468" s="1794" t="s">
        <v>4485</v>
      </c>
      <c r="J468" s="2000">
        <v>1</v>
      </c>
      <c r="K468" s="1798"/>
      <c r="L468" s="1792">
        <v>13029920301</v>
      </c>
      <c r="M468" s="1793">
        <v>1</v>
      </c>
      <c r="N468" s="1793">
        <v>1</v>
      </c>
      <c r="O468" s="1793">
        <v>2</v>
      </c>
      <c r="P468" s="530" t="s">
        <v>1214</v>
      </c>
      <c r="Q468" s="291"/>
      <c r="R468" s="170"/>
      <c r="S468" s="387"/>
      <c r="T468" s="491" t="s">
        <v>1090</v>
      </c>
      <c r="U468" s="491" t="s">
        <v>853</v>
      </c>
      <c r="AA468" s="27"/>
      <c r="AB468" s="27"/>
      <c r="AC468" s="889"/>
      <c r="AD468" s="502"/>
    </row>
    <row r="469" spans="3:30" ht="10.5" customHeight="1">
      <c r="C469" s="1799" t="s">
        <v>4959</v>
      </c>
      <c r="D469" s="1796">
        <v>1</v>
      </c>
      <c r="E469" s="1796">
        <v>1</v>
      </c>
      <c r="F469" s="1797">
        <v>2</v>
      </c>
      <c r="G469" s="1999" t="s">
        <v>4959</v>
      </c>
      <c r="H469" s="1794">
        <v>0</v>
      </c>
      <c r="I469" s="1794">
        <v>0</v>
      </c>
      <c r="J469" s="2000">
        <v>0</v>
      </c>
      <c r="K469" s="1798"/>
      <c r="L469" s="1792">
        <v>13029920303</v>
      </c>
      <c r="M469" s="1793">
        <v>1</v>
      </c>
      <c r="N469" s="1793">
        <v>1</v>
      </c>
      <c r="O469" s="1793">
        <v>2</v>
      </c>
      <c r="P469" s="530" t="s">
        <v>1216</v>
      </c>
      <c r="Q469" s="291"/>
      <c r="R469" s="170"/>
      <c r="S469" s="387"/>
      <c r="T469" s="491" t="s">
        <v>320</v>
      </c>
      <c r="U469" s="491" t="s">
        <v>1071</v>
      </c>
      <c r="AA469" s="27"/>
      <c r="AB469" s="27"/>
      <c r="AC469" s="889"/>
      <c r="AD469" s="502"/>
    </row>
    <row r="470" spans="3:30" ht="10.5" customHeight="1">
      <c r="C470" s="1799" t="s">
        <v>4960</v>
      </c>
      <c r="D470" s="1796">
        <v>1</v>
      </c>
      <c r="E470" s="1796">
        <v>1</v>
      </c>
      <c r="F470" s="1797">
        <v>2</v>
      </c>
      <c r="G470" s="1999" t="s">
        <v>4960</v>
      </c>
      <c r="H470" s="1794">
        <v>1</v>
      </c>
      <c r="I470" s="1794">
        <v>1</v>
      </c>
      <c r="J470" s="2000">
        <v>2</v>
      </c>
      <c r="K470" s="1798"/>
      <c r="L470" s="1792">
        <v>13029920305</v>
      </c>
      <c r="M470" s="1793">
        <v>1</v>
      </c>
      <c r="N470" s="1793">
        <v>1</v>
      </c>
      <c r="O470" s="1793">
        <v>2</v>
      </c>
      <c r="P470" s="530" t="s">
        <v>1946</v>
      </c>
      <c r="Q470" s="291"/>
      <c r="R470" s="170"/>
      <c r="S470" s="387"/>
      <c r="T470" s="491" t="s">
        <v>323</v>
      </c>
      <c r="U470" s="491" t="s">
        <v>318</v>
      </c>
      <c r="AA470" s="27"/>
      <c r="AB470" s="27"/>
      <c r="AC470" s="889"/>
      <c r="AD470" s="502"/>
    </row>
    <row r="471" spans="3:30" ht="10.5" customHeight="1">
      <c r="C471" s="1799" t="s">
        <v>4961</v>
      </c>
      <c r="D471" s="1796">
        <v>1</v>
      </c>
      <c r="E471" s="1796">
        <v>1</v>
      </c>
      <c r="F471" s="1797">
        <v>2</v>
      </c>
      <c r="G471" s="1999" t="s">
        <v>4961</v>
      </c>
      <c r="H471" s="1794">
        <v>1</v>
      </c>
      <c r="I471" s="1794">
        <v>1</v>
      </c>
      <c r="J471" s="2000">
        <v>2</v>
      </c>
      <c r="K471" s="1798"/>
      <c r="L471" s="1792">
        <v>13029920306</v>
      </c>
      <c r="M471" s="1793">
        <v>1</v>
      </c>
      <c r="N471" s="1793">
        <v>1</v>
      </c>
      <c r="O471" s="1793">
        <v>2</v>
      </c>
      <c r="P471" s="530" t="s">
        <v>1947</v>
      </c>
      <c r="Q471" s="291"/>
      <c r="R471" s="170"/>
      <c r="S471" s="387"/>
      <c r="T471" s="531" t="s">
        <v>71</v>
      </c>
      <c r="U471" s="531" t="s">
        <v>1872</v>
      </c>
      <c r="AA471" s="27"/>
      <c r="AB471" s="27"/>
      <c r="AC471" s="889"/>
      <c r="AD471" s="502"/>
    </row>
    <row r="472" spans="3:30" ht="10.5" customHeight="1">
      <c r="C472" s="1799" t="s">
        <v>4962</v>
      </c>
      <c r="D472" s="1796" t="s">
        <v>4485</v>
      </c>
      <c r="E472" s="1796" t="s">
        <v>4485</v>
      </c>
      <c r="F472" s="1797">
        <v>0</v>
      </c>
      <c r="G472" s="1999" t="s">
        <v>4962</v>
      </c>
      <c r="H472" s="1794" t="s">
        <v>4485</v>
      </c>
      <c r="I472" s="1794" t="s">
        <v>4485</v>
      </c>
      <c r="J472" s="2000">
        <v>0</v>
      </c>
      <c r="K472" s="1798"/>
      <c r="L472" s="1792">
        <v>13029980000</v>
      </c>
      <c r="M472" s="1793">
        <v>0</v>
      </c>
      <c r="N472" s="1793">
        <v>0</v>
      </c>
      <c r="O472" s="1793">
        <v>0</v>
      </c>
      <c r="P472" s="530" t="s">
        <v>73</v>
      </c>
      <c r="Q472" s="291"/>
      <c r="R472" s="170"/>
      <c r="S472" s="387"/>
      <c r="T472" s="531" t="s">
        <v>2193</v>
      </c>
      <c r="U472" s="531" t="s">
        <v>1304</v>
      </c>
      <c r="AA472" s="27"/>
      <c r="AB472" s="27"/>
      <c r="AC472" s="890"/>
      <c r="AD472" s="502"/>
    </row>
    <row r="473" spans="3:30" ht="10.5" customHeight="1">
      <c r="C473" s="1799" t="s">
        <v>4963</v>
      </c>
      <c r="D473" s="1796">
        <v>0</v>
      </c>
      <c r="E473" s="1796">
        <v>0</v>
      </c>
      <c r="F473" s="1797">
        <v>0</v>
      </c>
      <c r="G473" s="1999" t="s">
        <v>4963</v>
      </c>
      <c r="H473" s="1794">
        <v>0</v>
      </c>
      <c r="I473" s="1794">
        <v>0</v>
      </c>
      <c r="J473" s="2000">
        <v>0</v>
      </c>
      <c r="K473" s="1798"/>
      <c r="L473" s="1792">
        <v>13031110100</v>
      </c>
      <c r="M473" s="1793">
        <v>0</v>
      </c>
      <c r="N473" s="1793">
        <v>0</v>
      </c>
      <c r="O473" s="1793">
        <v>0</v>
      </c>
      <c r="P473" s="530" t="s">
        <v>75</v>
      </c>
      <c r="Q473" s="291"/>
      <c r="R473" s="170"/>
      <c r="S473" s="387"/>
      <c r="T473" s="491" t="s">
        <v>1710</v>
      </c>
      <c r="U473" s="491" t="s">
        <v>1961</v>
      </c>
      <c r="AA473" s="27"/>
      <c r="AB473" s="27"/>
      <c r="AC473" s="890"/>
      <c r="AD473" s="502"/>
    </row>
    <row r="474" spans="3:30" ht="10.5" customHeight="1">
      <c r="C474" s="1799" t="s">
        <v>4964</v>
      </c>
      <c r="D474" s="1796">
        <v>0</v>
      </c>
      <c r="E474" s="1796">
        <v>0</v>
      </c>
      <c r="F474" s="1797">
        <v>0</v>
      </c>
      <c r="G474" s="1999" t="s">
        <v>4964</v>
      </c>
      <c r="H474" s="1794">
        <v>1</v>
      </c>
      <c r="I474" s="1794">
        <v>0</v>
      </c>
      <c r="J474" s="2000">
        <v>1</v>
      </c>
      <c r="K474" s="1798"/>
      <c r="L474" s="1792">
        <v>13031110200</v>
      </c>
      <c r="M474" s="1793">
        <v>1</v>
      </c>
      <c r="N474" s="1793">
        <v>0</v>
      </c>
      <c r="O474" s="1793">
        <v>1</v>
      </c>
      <c r="P474" s="530" t="s">
        <v>2350</v>
      </c>
      <c r="Q474" s="291"/>
      <c r="R474" s="170"/>
      <c r="S474" s="387"/>
      <c r="T474" s="491" t="s">
        <v>1712</v>
      </c>
      <c r="U474" s="491" t="s">
        <v>105</v>
      </c>
      <c r="AA474" s="27"/>
      <c r="AB474" s="27"/>
      <c r="AC474" s="889"/>
      <c r="AD474" s="502"/>
    </row>
    <row r="475" spans="3:30" ht="10.5" customHeight="1">
      <c r="C475" s="1799" t="s">
        <v>4965</v>
      </c>
      <c r="D475" s="1796">
        <v>1</v>
      </c>
      <c r="E475" s="1796">
        <v>1</v>
      </c>
      <c r="F475" s="1797">
        <v>2</v>
      </c>
      <c r="G475" s="1999" t="s">
        <v>4965</v>
      </c>
      <c r="H475" s="1794">
        <v>1</v>
      </c>
      <c r="I475" s="1794">
        <v>1</v>
      </c>
      <c r="J475" s="2000">
        <v>2</v>
      </c>
      <c r="K475" s="1798"/>
      <c r="L475" s="1792">
        <v>13031110300</v>
      </c>
      <c r="M475" s="1793">
        <v>1</v>
      </c>
      <c r="N475" s="1793">
        <v>1</v>
      </c>
      <c r="O475" s="1793">
        <v>2</v>
      </c>
      <c r="P475" s="530" t="s">
        <v>2149</v>
      </c>
      <c r="Q475" s="291"/>
      <c r="R475" s="170"/>
      <c r="S475" s="387"/>
      <c r="T475" s="491" t="s">
        <v>673</v>
      </c>
      <c r="U475" s="491" t="s">
        <v>1180</v>
      </c>
      <c r="AA475" s="27"/>
      <c r="AB475" s="27"/>
      <c r="AC475" s="889"/>
      <c r="AD475" s="502"/>
    </row>
    <row r="476" spans="3:30" ht="10.5" customHeight="1">
      <c r="C476" s="1799" t="s">
        <v>4966</v>
      </c>
      <c r="D476" s="1796">
        <v>0</v>
      </c>
      <c r="E476" s="1796">
        <v>0</v>
      </c>
      <c r="F476" s="1797">
        <v>0</v>
      </c>
      <c r="G476" s="1999" t="s">
        <v>4966</v>
      </c>
      <c r="H476" s="1794">
        <v>0</v>
      </c>
      <c r="I476" s="1794">
        <v>0</v>
      </c>
      <c r="J476" s="2000">
        <v>0</v>
      </c>
      <c r="K476" s="1798"/>
      <c r="L476" s="1792">
        <v>13031110401</v>
      </c>
      <c r="M476" s="1793">
        <v>0</v>
      </c>
      <c r="N476" s="1793">
        <v>0</v>
      </c>
      <c r="O476" s="1793">
        <v>0</v>
      </c>
      <c r="P476" s="530" t="s">
        <v>2150</v>
      </c>
      <c r="Q476" s="291"/>
      <c r="R476" s="170"/>
      <c r="S476" s="387"/>
      <c r="T476" s="491" t="s">
        <v>2293</v>
      </c>
      <c r="U476" s="491" t="s">
        <v>2419</v>
      </c>
      <c r="AA476" s="27"/>
      <c r="AB476" s="27"/>
      <c r="AC476" s="889"/>
      <c r="AD476" s="502"/>
    </row>
    <row r="477" spans="3:30" ht="10.5" customHeight="1">
      <c r="C477" s="1799" t="s">
        <v>4967</v>
      </c>
      <c r="D477" s="1796">
        <v>0</v>
      </c>
      <c r="E477" s="1796">
        <v>1</v>
      </c>
      <c r="F477" s="1797">
        <v>1</v>
      </c>
      <c r="G477" s="1999" t="s">
        <v>4967</v>
      </c>
      <c r="H477" s="1794">
        <v>0</v>
      </c>
      <c r="I477" s="1794" t="s">
        <v>4485</v>
      </c>
      <c r="J477" s="2000">
        <v>0</v>
      </c>
      <c r="K477" s="1798"/>
      <c r="L477" s="1792">
        <v>13031110403</v>
      </c>
      <c r="M477" s="1793">
        <v>0</v>
      </c>
      <c r="N477" s="1793">
        <v>1</v>
      </c>
      <c r="O477" s="1793">
        <v>1</v>
      </c>
      <c r="P477" s="530" t="s">
        <v>944</v>
      </c>
      <c r="Q477" s="291"/>
      <c r="R477" s="170"/>
      <c r="S477" s="387"/>
      <c r="T477" s="491" t="s">
        <v>2295</v>
      </c>
      <c r="U477" s="491" t="s">
        <v>2129</v>
      </c>
      <c r="AA477" s="27"/>
      <c r="AB477" s="27"/>
      <c r="AC477" s="889"/>
      <c r="AD477" s="502"/>
    </row>
    <row r="478" spans="3:30" ht="10.5" customHeight="1">
      <c r="C478" s="1799" t="s">
        <v>4968</v>
      </c>
      <c r="D478" s="1796">
        <v>0</v>
      </c>
      <c r="E478" s="1796">
        <v>1</v>
      </c>
      <c r="F478" s="1797">
        <v>1</v>
      </c>
      <c r="G478" s="1999" t="s">
        <v>4968</v>
      </c>
      <c r="H478" s="1794">
        <v>0</v>
      </c>
      <c r="I478" s="1794" t="s">
        <v>4485</v>
      </c>
      <c r="J478" s="2000">
        <v>0</v>
      </c>
      <c r="K478" s="1798"/>
      <c r="L478" s="1792">
        <v>13031110404</v>
      </c>
      <c r="M478" s="1793">
        <v>0</v>
      </c>
      <c r="N478" s="1793">
        <v>1</v>
      </c>
      <c r="O478" s="1793">
        <v>1</v>
      </c>
      <c r="P478" s="530" t="s">
        <v>946</v>
      </c>
      <c r="Q478" s="291"/>
      <c r="R478" s="170"/>
      <c r="S478" s="387"/>
      <c r="T478" s="491" t="s">
        <v>462</v>
      </c>
      <c r="U478" s="491" t="s">
        <v>2422</v>
      </c>
      <c r="AA478" s="27"/>
      <c r="AB478" s="27"/>
      <c r="AC478" s="889"/>
      <c r="AD478" s="502"/>
    </row>
    <row r="479" spans="3:30" ht="10.5" customHeight="1">
      <c r="C479" s="1799" t="s">
        <v>4969</v>
      </c>
      <c r="D479" s="1796">
        <v>0</v>
      </c>
      <c r="E479" s="1796">
        <v>0</v>
      </c>
      <c r="F479" s="1797">
        <v>0</v>
      </c>
      <c r="G479" s="1999" t="s">
        <v>4969</v>
      </c>
      <c r="H479" s="1794">
        <v>0</v>
      </c>
      <c r="I479" s="1794" t="s">
        <v>4485</v>
      </c>
      <c r="J479" s="2000">
        <v>0</v>
      </c>
      <c r="K479" s="1798"/>
      <c r="L479" s="1792">
        <v>13031110500</v>
      </c>
      <c r="M479" s="1793">
        <v>0</v>
      </c>
      <c r="N479" s="1793">
        <v>0</v>
      </c>
      <c r="O479" s="1793">
        <v>0</v>
      </c>
      <c r="P479" s="530" t="s">
        <v>1459</v>
      </c>
      <c r="Q479" s="291"/>
      <c r="R479" s="170"/>
      <c r="S479" s="387"/>
      <c r="T479" s="491" t="s">
        <v>464</v>
      </c>
      <c r="U479" s="491" t="s">
        <v>1302</v>
      </c>
      <c r="AA479" s="27"/>
      <c r="AB479" s="27"/>
      <c r="AC479" s="889"/>
      <c r="AD479" s="502"/>
    </row>
    <row r="480" spans="3:30" ht="10.5" customHeight="1">
      <c r="C480" s="1799" t="s">
        <v>4970</v>
      </c>
      <c r="D480" s="1796">
        <v>1</v>
      </c>
      <c r="E480" s="1796">
        <v>0</v>
      </c>
      <c r="F480" s="1797">
        <v>1</v>
      </c>
      <c r="G480" s="1999" t="s">
        <v>4970</v>
      </c>
      <c r="H480" s="1794">
        <v>0</v>
      </c>
      <c r="I480" s="1794">
        <v>1</v>
      </c>
      <c r="J480" s="2000">
        <v>1</v>
      </c>
      <c r="K480" s="1798"/>
      <c r="L480" s="1792">
        <v>13031110601</v>
      </c>
      <c r="M480" s="1793">
        <v>1</v>
      </c>
      <c r="N480" s="1793">
        <v>1</v>
      </c>
      <c r="O480" s="1793">
        <v>1</v>
      </c>
      <c r="P480" s="530" t="s">
        <v>1460</v>
      </c>
      <c r="Q480" s="291"/>
      <c r="R480" s="170"/>
      <c r="S480" s="387"/>
      <c r="T480" s="491" t="s">
        <v>1031</v>
      </c>
      <c r="U480" s="491" t="s">
        <v>1307</v>
      </c>
      <c r="AA480" s="27"/>
      <c r="AB480" s="27"/>
      <c r="AC480" s="889"/>
      <c r="AD480" s="502"/>
    </row>
    <row r="481" spans="3:30" ht="10.5" customHeight="1">
      <c r="C481" s="1799" t="s">
        <v>4971</v>
      </c>
      <c r="D481" s="1796">
        <v>0</v>
      </c>
      <c r="E481" s="1796">
        <v>0</v>
      </c>
      <c r="F481" s="1797">
        <v>0</v>
      </c>
      <c r="G481" s="1999" t="s">
        <v>4971</v>
      </c>
      <c r="H481" s="1794">
        <v>0</v>
      </c>
      <c r="I481" s="1794">
        <v>0</v>
      </c>
      <c r="J481" s="2000">
        <v>0</v>
      </c>
      <c r="K481" s="1798"/>
      <c r="L481" s="1792">
        <v>13031110602</v>
      </c>
      <c r="M481" s="1793">
        <v>0</v>
      </c>
      <c r="N481" s="1793">
        <v>0</v>
      </c>
      <c r="O481" s="1793">
        <v>0</v>
      </c>
      <c r="P481" s="530" t="s">
        <v>1462</v>
      </c>
      <c r="Q481" s="291"/>
      <c r="R481" s="170"/>
      <c r="S481" s="387"/>
      <c r="T481" s="491" t="s">
        <v>466</v>
      </c>
      <c r="U481" s="491" t="s">
        <v>1307</v>
      </c>
      <c r="AA481" s="27"/>
      <c r="AB481" s="27"/>
      <c r="AC481" s="889"/>
      <c r="AD481" s="502"/>
    </row>
    <row r="482" spans="3:30" ht="10.5" customHeight="1">
      <c r="C482" s="1799" t="s">
        <v>4972</v>
      </c>
      <c r="D482" s="1796">
        <v>1</v>
      </c>
      <c r="E482" s="1796">
        <v>1</v>
      </c>
      <c r="F482" s="1797">
        <v>2</v>
      </c>
      <c r="G482" s="1999" t="s">
        <v>4972</v>
      </c>
      <c r="H482" s="1794">
        <v>1</v>
      </c>
      <c r="I482" s="1794">
        <v>1</v>
      </c>
      <c r="J482" s="2000">
        <v>2</v>
      </c>
      <c r="K482" s="1798"/>
      <c r="L482" s="1792">
        <v>13031110700</v>
      </c>
      <c r="M482" s="1793">
        <v>1</v>
      </c>
      <c r="N482" s="1793">
        <v>1</v>
      </c>
      <c r="O482" s="1793">
        <v>2</v>
      </c>
      <c r="P482" s="530" t="s">
        <v>1464</v>
      </c>
      <c r="Q482" s="291"/>
      <c r="R482" s="170"/>
      <c r="S482" s="387"/>
      <c r="T482" s="531" t="s">
        <v>1215</v>
      </c>
      <c r="U482" s="531" t="s">
        <v>1287</v>
      </c>
      <c r="AA482" s="27"/>
      <c r="AB482" s="27"/>
      <c r="AC482" s="889"/>
      <c r="AD482" s="502"/>
    </row>
    <row r="483" spans="3:30" ht="10.5" customHeight="1">
      <c r="C483" s="1799" t="s">
        <v>4973</v>
      </c>
      <c r="D483" s="1796">
        <v>0</v>
      </c>
      <c r="E483" s="1796">
        <v>0</v>
      </c>
      <c r="F483" s="1797">
        <v>0</v>
      </c>
      <c r="G483" s="1999" t="s">
        <v>4973</v>
      </c>
      <c r="H483" s="1794">
        <v>0</v>
      </c>
      <c r="I483" s="1794">
        <v>0</v>
      </c>
      <c r="J483" s="2000">
        <v>0</v>
      </c>
      <c r="K483" s="1798"/>
      <c r="L483" s="1792">
        <v>13031110800</v>
      </c>
      <c r="M483" s="1793">
        <v>0</v>
      </c>
      <c r="N483" s="1793">
        <v>0</v>
      </c>
      <c r="O483" s="1793">
        <v>0</v>
      </c>
      <c r="P483" s="530" t="s">
        <v>1466</v>
      </c>
      <c r="Q483" s="291"/>
      <c r="R483" s="170"/>
      <c r="S483" s="387"/>
      <c r="T483" s="491" t="s">
        <v>1217</v>
      </c>
      <c r="U483" s="491" t="s">
        <v>327</v>
      </c>
      <c r="AA483" s="27"/>
      <c r="AB483" s="27"/>
      <c r="AC483" s="890"/>
      <c r="AD483" s="502"/>
    </row>
    <row r="484" spans="3:30" ht="10.5" customHeight="1">
      <c r="C484" s="1799" t="s">
        <v>4974</v>
      </c>
      <c r="D484" s="1796">
        <v>0</v>
      </c>
      <c r="E484" s="1796">
        <v>0</v>
      </c>
      <c r="F484" s="1797">
        <v>0</v>
      </c>
      <c r="G484" s="1999" t="s">
        <v>4974</v>
      </c>
      <c r="H484" s="1794">
        <v>0</v>
      </c>
      <c r="I484" s="1794">
        <v>0</v>
      </c>
      <c r="J484" s="2000">
        <v>0</v>
      </c>
      <c r="K484" s="1798"/>
      <c r="L484" s="1792">
        <v>13031110900</v>
      </c>
      <c r="M484" s="1793">
        <v>0</v>
      </c>
      <c r="N484" s="1793">
        <v>0</v>
      </c>
      <c r="O484" s="1793">
        <v>0</v>
      </c>
      <c r="P484" s="530" t="s">
        <v>2279</v>
      </c>
      <c r="Q484" s="291"/>
      <c r="R484" s="170"/>
      <c r="S484" s="387"/>
      <c r="T484" s="491" t="s">
        <v>2764</v>
      </c>
      <c r="U484" s="491" t="s">
        <v>2466</v>
      </c>
      <c r="AA484" s="27"/>
      <c r="AB484" s="27"/>
      <c r="AC484" s="889"/>
      <c r="AD484" s="502"/>
    </row>
    <row r="485" spans="3:30" ht="10.5" customHeight="1">
      <c r="C485" s="1799" t="s">
        <v>4975</v>
      </c>
      <c r="D485" s="1796">
        <v>0</v>
      </c>
      <c r="E485" s="1796">
        <v>0</v>
      </c>
      <c r="F485" s="1797">
        <v>0</v>
      </c>
      <c r="G485" s="1999" t="s">
        <v>4975</v>
      </c>
      <c r="H485" s="1794">
        <v>0</v>
      </c>
      <c r="I485" s="1794">
        <v>0</v>
      </c>
      <c r="J485" s="2000">
        <v>0</v>
      </c>
      <c r="K485" s="1798"/>
      <c r="L485" s="1792">
        <v>13033950100</v>
      </c>
      <c r="M485" s="1793">
        <v>0</v>
      </c>
      <c r="N485" s="1793">
        <v>0</v>
      </c>
      <c r="O485" s="1793">
        <v>0</v>
      </c>
      <c r="P485" s="530" t="s">
        <v>2529</v>
      </c>
      <c r="Q485" s="291"/>
      <c r="R485" s="170"/>
      <c r="S485" s="387"/>
      <c r="T485" s="491" t="s">
        <v>1948</v>
      </c>
      <c r="U485" s="491" t="s">
        <v>1960</v>
      </c>
      <c r="AA485" s="27"/>
      <c r="AB485" s="27"/>
      <c r="AC485" s="889"/>
      <c r="AD485" s="502"/>
    </row>
    <row r="486" spans="3:30" ht="10.5" customHeight="1">
      <c r="C486" s="1799" t="s">
        <v>4976</v>
      </c>
      <c r="D486" s="1796">
        <v>0</v>
      </c>
      <c r="E486" s="1796">
        <v>0</v>
      </c>
      <c r="F486" s="1797">
        <v>0</v>
      </c>
      <c r="G486" s="1999" t="s">
        <v>4976</v>
      </c>
      <c r="H486" s="1794">
        <v>0</v>
      </c>
      <c r="I486" s="1794" t="s">
        <v>4485</v>
      </c>
      <c r="J486" s="2000">
        <v>0</v>
      </c>
      <c r="K486" s="1798"/>
      <c r="L486" s="1792">
        <v>13033950200</v>
      </c>
      <c r="M486" s="1793">
        <v>0</v>
      </c>
      <c r="N486" s="1793">
        <v>0</v>
      </c>
      <c r="O486" s="1793">
        <v>0</v>
      </c>
      <c r="P486" s="530" t="s">
        <v>1255</v>
      </c>
      <c r="Q486" s="291"/>
      <c r="R486" s="170"/>
      <c r="S486" s="387"/>
      <c r="T486" s="491" t="s">
        <v>74</v>
      </c>
      <c r="U486" s="491" t="s">
        <v>1868</v>
      </c>
      <c r="AA486" s="27"/>
      <c r="AB486" s="27"/>
      <c r="AC486" s="889"/>
      <c r="AD486" s="502"/>
    </row>
    <row r="487" spans="3:30" ht="10.5" customHeight="1">
      <c r="C487" s="1799" t="s">
        <v>4977</v>
      </c>
      <c r="D487" s="1796">
        <v>0</v>
      </c>
      <c r="E487" s="1796">
        <v>0</v>
      </c>
      <c r="F487" s="1797">
        <v>0</v>
      </c>
      <c r="G487" s="1999" t="s">
        <v>4977</v>
      </c>
      <c r="H487" s="1794">
        <v>0</v>
      </c>
      <c r="I487" s="1794">
        <v>0</v>
      </c>
      <c r="J487" s="2000">
        <v>0</v>
      </c>
      <c r="K487" s="1798"/>
      <c r="L487" s="1792">
        <v>13033950400</v>
      </c>
      <c r="M487" s="1793">
        <v>0</v>
      </c>
      <c r="N487" s="1793">
        <v>0</v>
      </c>
      <c r="O487" s="1793">
        <v>0</v>
      </c>
      <c r="P487" s="530" t="s">
        <v>1476</v>
      </c>
      <c r="Q487" s="291"/>
      <c r="R487" s="170"/>
      <c r="S487" s="387"/>
      <c r="T487" s="491" t="s">
        <v>614</v>
      </c>
      <c r="U487" s="491" t="s">
        <v>2419</v>
      </c>
      <c r="AA487" s="27"/>
      <c r="AB487" s="27"/>
      <c r="AC487" s="889"/>
      <c r="AD487" s="502"/>
    </row>
    <row r="488" spans="3:30" ht="10.5" customHeight="1">
      <c r="C488" s="1799" t="s">
        <v>4978</v>
      </c>
      <c r="D488" s="1796">
        <v>0</v>
      </c>
      <c r="E488" s="1796">
        <v>0</v>
      </c>
      <c r="F488" s="1797">
        <v>0</v>
      </c>
      <c r="G488" s="1999" t="s">
        <v>4978</v>
      </c>
      <c r="H488" s="1794">
        <v>0</v>
      </c>
      <c r="I488" s="1794">
        <v>0</v>
      </c>
      <c r="J488" s="2000">
        <v>0</v>
      </c>
      <c r="K488" s="1798"/>
      <c r="L488" s="1792">
        <v>13033950500</v>
      </c>
      <c r="M488" s="1793">
        <v>0</v>
      </c>
      <c r="N488" s="1793">
        <v>0</v>
      </c>
      <c r="O488" s="1793">
        <v>0</v>
      </c>
      <c r="P488" s="530" t="s">
        <v>799</v>
      </c>
      <c r="Q488" s="291"/>
      <c r="R488" s="170"/>
      <c r="S488" s="387"/>
      <c r="T488" s="491" t="s">
        <v>76</v>
      </c>
      <c r="U488" s="491" t="s">
        <v>171</v>
      </c>
      <c r="AA488" s="27"/>
      <c r="AB488" s="27"/>
      <c r="AC488" s="889"/>
      <c r="AD488" s="502"/>
    </row>
    <row r="489" spans="3:30" ht="10.5" customHeight="1">
      <c r="C489" s="1799" t="s">
        <v>4979</v>
      </c>
      <c r="D489" s="1796">
        <v>0</v>
      </c>
      <c r="E489" s="1796">
        <v>0</v>
      </c>
      <c r="F489" s="1797">
        <v>0</v>
      </c>
      <c r="G489" s="1999" t="s">
        <v>4979</v>
      </c>
      <c r="H489" s="1794">
        <v>0</v>
      </c>
      <c r="I489" s="1794">
        <v>0</v>
      </c>
      <c r="J489" s="2000">
        <v>0</v>
      </c>
      <c r="K489" s="1798"/>
      <c r="L489" s="1792">
        <v>13033950700</v>
      </c>
      <c r="M489" s="1793">
        <v>0</v>
      </c>
      <c r="N489" s="1793">
        <v>0</v>
      </c>
      <c r="O489" s="1793">
        <v>0</v>
      </c>
      <c r="P489" s="530" t="s">
        <v>800</v>
      </c>
      <c r="Q489" s="291"/>
      <c r="R489" s="170"/>
      <c r="S489" s="387"/>
      <c r="T489" s="491" t="s">
        <v>2351</v>
      </c>
      <c r="U489" s="491" t="s">
        <v>1423</v>
      </c>
      <c r="AA489" s="27"/>
      <c r="AB489" s="27"/>
      <c r="AC489" s="889"/>
      <c r="AD489" s="502"/>
    </row>
    <row r="490" spans="3:30" ht="10.5" customHeight="1">
      <c r="C490" s="1799" t="s">
        <v>4980</v>
      </c>
      <c r="D490" s="1796">
        <v>0</v>
      </c>
      <c r="E490" s="1796">
        <v>0</v>
      </c>
      <c r="F490" s="1797">
        <v>0</v>
      </c>
      <c r="G490" s="1999" t="s">
        <v>4980</v>
      </c>
      <c r="H490" s="1794">
        <v>0</v>
      </c>
      <c r="I490" s="1794">
        <v>0</v>
      </c>
      <c r="J490" s="2000">
        <v>0</v>
      </c>
      <c r="K490" s="1798"/>
      <c r="L490" s="1792">
        <v>13033950900</v>
      </c>
      <c r="M490" s="1793">
        <v>0</v>
      </c>
      <c r="N490" s="1793">
        <v>0</v>
      </c>
      <c r="O490" s="1793">
        <v>0</v>
      </c>
      <c r="P490" s="530" t="s">
        <v>802</v>
      </c>
      <c r="Q490" s="291"/>
      <c r="R490" s="170"/>
      <c r="S490" s="387"/>
      <c r="T490" s="491" t="s">
        <v>1032</v>
      </c>
      <c r="U490" s="491" t="s">
        <v>1488</v>
      </c>
      <c r="AA490" s="27"/>
      <c r="AB490" s="27"/>
      <c r="AC490" s="889"/>
      <c r="AD490" s="502"/>
    </row>
    <row r="491" spans="3:30" ht="10.5" customHeight="1">
      <c r="C491" s="1799" t="s">
        <v>4981</v>
      </c>
      <c r="D491" s="1796">
        <v>0</v>
      </c>
      <c r="E491" s="1796">
        <v>1</v>
      </c>
      <c r="F491" s="1797">
        <v>1</v>
      </c>
      <c r="G491" s="1999" t="s">
        <v>4981</v>
      </c>
      <c r="H491" s="1794">
        <v>0</v>
      </c>
      <c r="I491" s="1794">
        <v>0</v>
      </c>
      <c r="J491" s="2000">
        <v>0</v>
      </c>
      <c r="K491" s="1798"/>
      <c r="L491" s="1792">
        <v>13035150100</v>
      </c>
      <c r="M491" s="1793">
        <v>0</v>
      </c>
      <c r="N491" s="1793">
        <v>1</v>
      </c>
      <c r="O491" s="1793">
        <v>1</v>
      </c>
      <c r="P491" s="530" t="s">
        <v>803</v>
      </c>
      <c r="Q491" s="291"/>
      <c r="R491" s="170"/>
      <c r="S491" s="387"/>
      <c r="T491" s="491" t="s">
        <v>1033</v>
      </c>
      <c r="U491" s="491" t="s">
        <v>1088</v>
      </c>
      <c r="AA491" s="27"/>
      <c r="AB491" s="27"/>
      <c r="AC491" s="889"/>
      <c r="AD491" s="502"/>
    </row>
    <row r="492" spans="3:30" ht="10.5" customHeight="1">
      <c r="C492" s="1799" t="s">
        <v>4982</v>
      </c>
      <c r="D492" s="1796">
        <v>0</v>
      </c>
      <c r="E492" s="1796">
        <v>0</v>
      </c>
      <c r="F492" s="1797">
        <v>0</v>
      </c>
      <c r="G492" s="1999" t="s">
        <v>4982</v>
      </c>
      <c r="H492" s="1794">
        <v>0</v>
      </c>
      <c r="I492" s="1794">
        <v>0</v>
      </c>
      <c r="J492" s="2000">
        <v>0</v>
      </c>
      <c r="K492" s="1798"/>
      <c r="L492" s="1792">
        <v>13035150200</v>
      </c>
      <c r="M492" s="1793">
        <v>0</v>
      </c>
      <c r="N492" s="1793">
        <v>0</v>
      </c>
      <c r="O492" s="1793">
        <v>0</v>
      </c>
      <c r="P492" s="530" t="s">
        <v>116</v>
      </c>
      <c r="Q492" s="291"/>
      <c r="R492" s="170"/>
      <c r="S492" s="387"/>
      <c r="T492" s="491" t="s">
        <v>596</v>
      </c>
      <c r="U492" s="491" t="s">
        <v>642</v>
      </c>
      <c r="AA492" s="27"/>
      <c r="AB492" s="27"/>
      <c r="AC492" s="889"/>
      <c r="AD492" s="502"/>
    </row>
    <row r="493" spans="3:30" ht="10.5" customHeight="1">
      <c r="C493" s="1799" t="s">
        <v>4983</v>
      </c>
      <c r="D493" s="1796">
        <v>0</v>
      </c>
      <c r="E493" s="1796">
        <v>1</v>
      </c>
      <c r="F493" s="1797">
        <v>1</v>
      </c>
      <c r="G493" s="1999" t="s">
        <v>4983</v>
      </c>
      <c r="H493" s="1794">
        <v>0</v>
      </c>
      <c r="I493" s="1794">
        <v>1</v>
      </c>
      <c r="J493" s="2000">
        <v>1</v>
      </c>
      <c r="K493" s="1798"/>
      <c r="L493" s="1792">
        <v>13035150300</v>
      </c>
      <c r="M493" s="1793">
        <v>0</v>
      </c>
      <c r="N493" s="1793">
        <v>1</v>
      </c>
      <c r="O493" s="1793">
        <v>1</v>
      </c>
      <c r="P493" s="530" t="s">
        <v>244</v>
      </c>
      <c r="Q493" s="291"/>
      <c r="R493" s="170"/>
      <c r="S493" s="387"/>
      <c r="T493" s="491" t="s">
        <v>945</v>
      </c>
      <c r="U493" s="491" t="s">
        <v>118</v>
      </c>
      <c r="AA493" s="27"/>
      <c r="AB493" s="27"/>
      <c r="AC493" s="889"/>
      <c r="AD493" s="502"/>
    </row>
    <row r="494" spans="3:30" ht="10.5" customHeight="1">
      <c r="C494" s="1799" t="s">
        <v>4984</v>
      </c>
      <c r="D494" s="1796">
        <v>0</v>
      </c>
      <c r="E494" s="1796">
        <v>0</v>
      </c>
      <c r="F494" s="1797">
        <v>0</v>
      </c>
      <c r="G494" s="1999" t="s">
        <v>4984</v>
      </c>
      <c r="H494" s="1794">
        <v>0</v>
      </c>
      <c r="I494" s="1794">
        <v>1</v>
      </c>
      <c r="J494" s="2000">
        <v>1</v>
      </c>
      <c r="K494" s="1798"/>
      <c r="L494" s="1792">
        <v>13037950100</v>
      </c>
      <c r="M494" s="1793">
        <v>0</v>
      </c>
      <c r="N494" s="1793">
        <v>1</v>
      </c>
      <c r="O494" s="1793">
        <v>1</v>
      </c>
      <c r="P494" s="530" t="s">
        <v>1473</v>
      </c>
      <c r="Q494" s="291"/>
      <c r="R494" s="170"/>
      <c r="S494" s="387"/>
      <c r="T494" s="491" t="s">
        <v>947</v>
      </c>
      <c r="U494" s="491" t="s">
        <v>1305</v>
      </c>
      <c r="AA494" s="27"/>
      <c r="AB494" s="27"/>
      <c r="AC494" s="889"/>
      <c r="AD494" s="502"/>
    </row>
    <row r="495" spans="3:30" ht="10.5" customHeight="1">
      <c r="C495" s="1799" t="s">
        <v>4985</v>
      </c>
      <c r="D495" s="1796">
        <v>0</v>
      </c>
      <c r="E495" s="1796">
        <v>0</v>
      </c>
      <c r="F495" s="1797">
        <v>0</v>
      </c>
      <c r="G495" s="1999" t="s">
        <v>4985</v>
      </c>
      <c r="H495" s="1794">
        <v>0</v>
      </c>
      <c r="I495" s="1794">
        <v>0</v>
      </c>
      <c r="J495" s="2000">
        <v>0</v>
      </c>
      <c r="K495" s="1798"/>
      <c r="L495" s="1792">
        <v>13037950200</v>
      </c>
      <c r="M495" s="1793">
        <v>0</v>
      </c>
      <c r="N495" s="1793">
        <v>0</v>
      </c>
      <c r="O495" s="1793">
        <v>0</v>
      </c>
      <c r="P495" s="530" t="s">
        <v>239</v>
      </c>
      <c r="Q495" s="291"/>
      <c r="R495" s="170"/>
      <c r="S495" s="387"/>
      <c r="T495" s="491" t="s">
        <v>1461</v>
      </c>
      <c r="U495" s="491" t="s">
        <v>1426</v>
      </c>
      <c r="AA495" s="27"/>
      <c r="AB495" s="27"/>
      <c r="AC495" s="889"/>
      <c r="AD495" s="502"/>
    </row>
    <row r="496" spans="3:30" ht="10.5" customHeight="1">
      <c r="C496" s="1799" t="s">
        <v>4986</v>
      </c>
      <c r="D496" s="1796">
        <v>0</v>
      </c>
      <c r="E496" s="1796">
        <v>0</v>
      </c>
      <c r="F496" s="1797">
        <v>0</v>
      </c>
      <c r="G496" s="1999" t="s">
        <v>4986</v>
      </c>
      <c r="H496" s="1794">
        <v>0</v>
      </c>
      <c r="I496" s="1794">
        <v>1</v>
      </c>
      <c r="J496" s="2000">
        <v>1</v>
      </c>
      <c r="K496" s="1798"/>
      <c r="L496" s="1792">
        <v>13039010100</v>
      </c>
      <c r="M496" s="1793">
        <v>0</v>
      </c>
      <c r="N496" s="1793">
        <v>1</v>
      </c>
      <c r="O496" s="1793">
        <v>1</v>
      </c>
      <c r="P496" s="530" t="s">
        <v>1478</v>
      </c>
      <c r="Q496" s="291"/>
      <c r="R496" s="170"/>
      <c r="S496" s="387"/>
      <c r="T496" s="491" t="s">
        <v>1463</v>
      </c>
      <c r="U496" s="491" t="s">
        <v>2463</v>
      </c>
      <c r="AA496" s="27"/>
      <c r="AB496" s="27"/>
      <c r="AC496" s="889"/>
      <c r="AD496" s="502"/>
    </row>
    <row r="497" spans="3:30" ht="10.5" customHeight="1">
      <c r="C497" s="1799" t="s">
        <v>4987</v>
      </c>
      <c r="D497" s="1796">
        <v>0</v>
      </c>
      <c r="E497" s="1796">
        <v>1</v>
      </c>
      <c r="F497" s="1797">
        <v>1</v>
      </c>
      <c r="G497" s="1999" t="s">
        <v>4987</v>
      </c>
      <c r="H497" s="1794">
        <v>0</v>
      </c>
      <c r="I497" s="1794">
        <v>0</v>
      </c>
      <c r="J497" s="2000">
        <v>0</v>
      </c>
      <c r="K497" s="1798"/>
      <c r="L497" s="1792">
        <v>13039010200</v>
      </c>
      <c r="M497" s="1793">
        <v>0</v>
      </c>
      <c r="N497" s="1793">
        <v>1</v>
      </c>
      <c r="O497" s="1793">
        <v>1</v>
      </c>
      <c r="P497" s="530" t="s">
        <v>1480</v>
      </c>
      <c r="Q497" s="291"/>
      <c r="R497" s="170"/>
      <c r="S497" s="387"/>
      <c r="T497" s="491" t="s">
        <v>1465</v>
      </c>
      <c r="U497" s="491" t="s">
        <v>2127</v>
      </c>
      <c r="AA497" s="27"/>
      <c r="AB497" s="27"/>
      <c r="AC497" s="889"/>
      <c r="AD497" s="502"/>
    </row>
    <row r="498" spans="3:30" ht="10.5" customHeight="1">
      <c r="C498" s="1799" t="s">
        <v>4988</v>
      </c>
      <c r="D498" s="1796">
        <v>0</v>
      </c>
      <c r="E498" s="1796">
        <v>0</v>
      </c>
      <c r="F498" s="1797">
        <v>0</v>
      </c>
      <c r="G498" s="1999" t="s">
        <v>4988</v>
      </c>
      <c r="H498" s="1794">
        <v>0</v>
      </c>
      <c r="I498" s="1794">
        <v>0</v>
      </c>
      <c r="J498" s="2000">
        <v>0</v>
      </c>
      <c r="K498" s="1798"/>
      <c r="L498" s="1792">
        <v>13039010301</v>
      </c>
      <c r="M498" s="1793">
        <v>0</v>
      </c>
      <c r="N498" s="1793">
        <v>0</v>
      </c>
      <c r="O498" s="1793">
        <v>0</v>
      </c>
      <c r="P498" s="530" t="s">
        <v>1365</v>
      </c>
      <c r="Q498" s="291"/>
      <c r="R498" s="170"/>
      <c r="S498" s="387"/>
      <c r="T498" s="491" t="s">
        <v>2278</v>
      </c>
      <c r="U498" s="491" t="s">
        <v>2524</v>
      </c>
      <c r="AA498" s="27"/>
      <c r="AB498" s="27"/>
      <c r="AC498" s="889"/>
      <c r="AD498" s="502"/>
    </row>
    <row r="499" spans="3:30" ht="10.5" customHeight="1">
      <c r="C499" s="1799" t="s">
        <v>4989</v>
      </c>
      <c r="D499" s="1796">
        <v>0</v>
      </c>
      <c r="E499" s="1796">
        <v>0</v>
      </c>
      <c r="F499" s="1797">
        <v>0</v>
      </c>
      <c r="G499" s="1999" t="s">
        <v>4989</v>
      </c>
      <c r="H499" s="1794">
        <v>0</v>
      </c>
      <c r="I499" s="1794">
        <v>0</v>
      </c>
      <c r="J499" s="2000">
        <v>0</v>
      </c>
      <c r="K499" s="1798"/>
      <c r="L499" s="1792">
        <v>13039010302</v>
      </c>
      <c r="M499" s="1793">
        <v>0</v>
      </c>
      <c r="N499" s="1793">
        <v>0</v>
      </c>
      <c r="O499" s="1793">
        <v>0</v>
      </c>
      <c r="P499" s="530" t="s">
        <v>1367</v>
      </c>
      <c r="Q499" s="291"/>
      <c r="R499" s="170"/>
      <c r="S499" s="387"/>
      <c r="T499" s="491" t="s">
        <v>2280</v>
      </c>
      <c r="U499" s="491" t="s">
        <v>118</v>
      </c>
      <c r="AA499" s="27"/>
      <c r="AB499" s="27"/>
      <c r="AC499" s="889"/>
      <c r="AD499" s="502"/>
    </row>
    <row r="500" spans="3:30" ht="10.5" customHeight="1">
      <c r="C500" s="1799" t="s">
        <v>4990</v>
      </c>
      <c r="D500" s="1796">
        <v>1</v>
      </c>
      <c r="E500" s="1796">
        <v>1</v>
      </c>
      <c r="F500" s="1797">
        <v>2</v>
      </c>
      <c r="G500" s="1999" t="s">
        <v>4990</v>
      </c>
      <c r="H500" s="1794">
        <v>1</v>
      </c>
      <c r="I500" s="1794">
        <v>0</v>
      </c>
      <c r="J500" s="2000">
        <v>1</v>
      </c>
      <c r="K500" s="1798"/>
      <c r="L500" s="1792">
        <v>13039010401</v>
      </c>
      <c r="M500" s="1793">
        <v>1</v>
      </c>
      <c r="N500" s="1793">
        <v>1</v>
      </c>
      <c r="O500" s="1793">
        <v>2</v>
      </c>
      <c r="P500" s="530" t="s">
        <v>1369</v>
      </c>
      <c r="Q500" s="291"/>
      <c r="R500" s="170"/>
      <c r="S500" s="387"/>
      <c r="T500" s="531" t="s">
        <v>1254</v>
      </c>
      <c r="U500" s="531" t="s">
        <v>931</v>
      </c>
      <c r="AA500" s="27"/>
      <c r="AB500" s="27"/>
      <c r="AC500" s="889"/>
      <c r="AD500" s="502"/>
    </row>
    <row r="501" spans="3:30" ht="10.5" customHeight="1">
      <c r="C501" s="1799" t="s">
        <v>4991</v>
      </c>
      <c r="D501" s="1796">
        <v>1</v>
      </c>
      <c r="E501" s="1796">
        <v>1</v>
      </c>
      <c r="F501" s="1797">
        <v>2</v>
      </c>
      <c r="G501" s="1999" t="s">
        <v>4991</v>
      </c>
      <c r="H501" s="1794">
        <v>1</v>
      </c>
      <c r="I501" s="1794">
        <v>1</v>
      </c>
      <c r="J501" s="2000">
        <v>2</v>
      </c>
      <c r="K501" s="1798"/>
      <c r="L501" s="1792">
        <v>13039010402</v>
      </c>
      <c r="M501" s="1793">
        <v>1</v>
      </c>
      <c r="N501" s="1793">
        <v>1</v>
      </c>
      <c r="O501" s="1793">
        <v>2</v>
      </c>
      <c r="P501" s="530" t="s">
        <v>1370</v>
      </c>
      <c r="Q501" s="291"/>
      <c r="R501" s="170"/>
      <c r="S501" s="387"/>
      <c r="T501" s="491" t="s">
        <v>1034</v>
      </c>
      <c r="U501" s="491" t="s">
        <v>1958</v>
      </c>
      <c r="AA501" s="27"/>
      <c r="AB501" s="27"/>
      <c r="AC501" s="890"/>
      <c r="AD501" s="502"/>
    </row>
    <row r="502" spans="3:30" ht="10.5" customHeight="1">
      <c r="C502" s="1799" t="s">
        <v>4992</v>
      </c>
      <c r="D502" s="1796">
        <v>1</v>
      </c>
      <c r="E502" s="1796">
        <v>1</v>
      </c>
      <c r="F502" s="1797">
        <v>2</v>
      </c>
      <c r="G502" s="1999" t="s">
        <v>4992</v>
      </c>
      <c r="H502" s="1794">
        <v>1</v>
      </c>
      <c r="I502" s="1794">
        <v>1</v>
      </c>
      <c r="J502" s="2000">
        <v>2</v>
      </c>
      <c r="K502" s="1798"/>
      <c r="L502" s="1792">
        <v>13039010403</v>
      </c>
      <c r="M502" s="1793">
        <v>1</v>
      </c>
      <c r="N502" s="1793">
        <v>1</v>
      </c>
      <c r="O502" s="1793">
        <v>2</v>
      </c>
      <c r="P502" s="530" t="s">
        <v>1372</v>
      </c>
      <c r="Q502" s="291"/>
      <c r="R502" s="170"/>
      <c r="S502" s="387"/>
      <c r="T502" s="491" t="s">
        <v>1256</v>
      </c>
      <c r="U502" s="491" t="s">
        <v>1428</v>
      </c>
      <c r="AA502" s="27"/>
      <c r="AB502" s="27"/>
      <c r="AC502" s="889"/>
      <c r="AD502" s="502"/>
    </row>
    <row r="503" spans="3:30" ht="10.5" customHeight="1">
      <c r="C503" s="1799" t="s">
        <v>4993</v>
      </c>
      <c r="D503" s="1796">
        <v>0</v>
      </c>
      <c r="E503" s="1796">
        <v>1</v>
      </c>
      <c r="F503" s="1797">
        <v>1</v>
      </c>
      <c r="G503" s="1999" t="s">
        <v>4993</v>
      </c>
      <c r="H503" s="1794">
        <v>0</v>
      </c>
      <c r="I503" s="1794" t="s">
        <v>4485</v>
      </c>
      <c r="J503" s="2000">
        <v>0</v>
      </c>
      <c r="K503" s="1798"/>
      <c r="L503" s="1792">
        <v>13039010500</v>
      </c>
      <c r="M503" s="1793">
        <v>0</v>
      </c>
      <c r="N503" s="1793">
        <v>1</v>
      </c>
      <c r="O503" s="1793">
        <v>1</v>
      </c>
      <c r="P503" s="530" t="s">
        <v>1374</v>
      </c>
      <c r="Q503" s="291"/>
      <c r="R503" s="170"/>
      <c r="S503" s="387"/>
      <c r="T503" s="491" t="s">
        <v>807</v>
      </c>
      <c r="U503" s="491" t="s">
        <v>1960</v>
      </c>
      <c r="AA503" s="27"/>
      <c r="AB503" s="27"/>
      <c r="AC503" s="889"/>
      <c r="AD503" s="502"/>
    </row>
    <row r="504" spans="3:30" ht="10.5" customHeight="1">
      <c r="C504" s="1799" t="s">
        <v>4994</v>
      </c>
      <c r="D504" s="1796">
        <v>0</v>
      </c>
      <c r="E504" s="1796">
        <v>0</v>
      </c>
      <c r="F504" s="1797">
        <v>0</v>
      </c>
      <c r="G504" s="1999" t="s">
        <v>4994</v>
      </c>
      <c r="H504" s="1794">
        <v>0</v>
      </c>
      <c r="I504" s="1794">
        <v>0</v>
      </c>
      <c r="J504" s="2000">
        <v>0</v>
      </c>
      <c r="K504" s="1798"/>
      <c r="L504" s="1792">
        <v>13039010601</v>
      </c>
      <c r="M504" s="1793">
        <v>0</v>
      </c>
      <c r="N504" s="1793">
        <v>0</v>
      </c>
      <c r="O504" s="1793">
        <v>0</v>
      </c>
      <c r="P504" s="530" t="s">
        <v>1536</v>
      </c>
      <c r="Q504" s="291"/>
      <c r="R504" s="170"/>
      <c r="S504" s="387"/>
      <c r="T504" s="491" t="s">
        <v>808</v>
      </c>
      <c r="U504" s="491" t="s">
        <v>852</v>
      </c>
      <c r="AA504" s="27"/>
      <c r="AB504" s="27"/>
      <c r="AC504" s="889"/>
      <c r="AD504" s="502"/>
    </row>
    <row r="505" spans="3:30" ht="10.5" customHeight="1">
      <c r="C505" s="1799" t="s">
        <v>4995</v>
      </c>
      <c r="D505" s="1796">
        <v>0</v>
      </c>
      <c r="E505" s="1796">
        <v>0</v>
      </c>
      <c r="F505" s="1797">
        <v>0</v>
      </c>
      <c r="G505" s="1999" t="s">
        <v>4995</v>
      </c>
      <c r="H505" s="1794">
        <v>0</v>
      </c>
      <c r="I505" s="1794" t="s">
        <v>4485</v>
      </c>
      <c r="J505" s="2000">
        <v>0</v>
      </c>
      <c r="K505" s="1798"/>
      <c r="L505" s="1792">
        <v>13039010602</v>
      </c>
      <c r="M505" s="1793">
        <v>0</v>
      </c>
      <c r="N505" s="1793">
        <v>0</v>
      </c>
      <c r="O505" s="1793">
        <v>0</v>
      </c>
      <c r="P505" s="530" t="s">
        <v>1537</v>
      </c>
      <c r="Q505" s="291"/>
      <c r="R505" s="170"/>
      <c r="S505" s="387"/>
      <c r="T505" s="491" t="s">
        <v>801</v>
      </c>
      <c r="U505" s="491" t="s">
        <v>610</v>
      </c>
      <c r="AA505" s="27"/>
      <c r="AB505" s="27"/>
      <c r="AC505" s="889"/>
      <c r="AD505" s="502"/>
    </row>
    <row r="506" spans="3:30" ht="10.5" customHeight="1">
      <c r="C506" s="1799" t="s">
        <v>4996</v>
      </c>
      <c r="D506" s="1796" t="s">
        <v>4485</v>
      </c>
      <c r="E506" s="1796" t="s">
        <v>4485</v>
      </c>
      <c r="F506" s="1797">
        <v>0</v>
      </c>
      <c r="G506" s="1999" t="s">
        <v>4996</v>
      </c>
      <c r="H506" s="1794" t="s">
        <v>4485</v>
      </c>
      <c r="I506" s="1794" t="s">
        <v>4485</v>
      </c>
      <c r="J506" s="2000">
        <v>0</v>
      </c>
      <c r="K506" s="1798"/>
      <c r="L506" s="1792">
        <v>13039990000</v>
      </c>
      <c r="M506" s="1793">
        <v>0</v>
      </c>
      <c r="N506" s="1793">
        <v>0</v>
      </c>
      <c r="O506" s="1793">
        <v>0</v>
      </c>
      <c r="P506" s="530" t="s">
        <v>1538</v>
      </c>
      <c r="Q506" s="291"/>
      <c r="R506" s="170"/>
      <c r="S506" s="387"/>
      <c r="T506" s="491" t="s">
        <v>804</v>
      </c>
      <c r="U506" s="491" t="s">
        <v>314</v>
      </c>
      <c r="AA506" s="27"/>
      <c r="AB506" s="27"/>
      <c r="AC506" s="889"/>
      <c r="AD506" s="502"/>
    </row>
    <row r="507" spans="3:30" ht="10.5" customHeight="1">
      <c r="C507" s="1799" t="s">
        <v>4997</v>
      </c>
      <c r="D507" s="1796">
        <v>0</v>
      </c>
      <c r="E507" s="1796">
        <v>0</v>
      </c>
      <c r="F507" s="1797">
        <v>0</v>
      </c>
      <c r="G507" s="1999" t="s">
        <v>4997</v>
      </c>
      <c r="H507" s="1794">
        <v>0</v>
      </c>
      <c r="I507" s="1794">
        <v>0</v>
      </c>
      <c r="J507" s="2000">
        <v>0</v>
      </c>
      <c r="K507" s="1798"/>
      <c r="L507" s="1792">
        <v>13043950100</v>
      </c>
      <c r="M507" s="1793">
        <v>0</v>
      </c>
      <c r="N507" s="1793">
        <v>0</v>
      </c>
      <c r="O507" s="1793">
        <v>0</v>
      </c>
      <c r="P507" s="530" t="s">
        <v>1539</v>
      </c>
      <c r="Q507" s="291"/>
      <c r="R507" s="170"/>
      <c r="S507" s="387"/>
      <c r="T507" s="491" t="s">
        <v>117</v>
      </c>
      <c r="U507" s="491" t="s">
        <v>1961</v>
      </c>
      <c r="AA507" s="27"/>
      <c r="AB507" s="27"/>
      <c r="AC507" s="889"/>
      <c r="AD507" s="502"/>
    </row>
    <row r="508" spans="3:30" ht="10.5" customHeight="1">
      <c r="C508" s="1799" t="s">
        <v>4998</v>
      </c>
      <c r="D508" s="1796">
        <v>0</v>
      </c>
      <c r="E508" s="1796">
        <v>0</v>
      </c>
      <c r="F508" s="1797">
        <v>0</v>
      </c>
      <c r="G508" s="1999" t="s">
        <v>4998</v>
      </c>
      <c r="H508" s="1794">
        <v>0</v>
      </c>
      <c r="I508" s="1794">
        <v>0</v>
      </c>
      <c r="J508" s="2000">
        <v>0</v>
      </c>
      <c r="K508" s="1798"/>
      <c r="L508" s="1792">
        <v>13043950200</v>
      </c>
      <c r="M508" s="1793">
        <v>0</v>
      </c>
      <c r="N508" s="1793">
        <v>0</v>
      </c>
      <c r="O508" s="1793">
        <v>0</v>
      </c>
      <c r="P508" s="530" t="s">
        <v>1541</v>
      </c>
      <c r="Q508" s="291"/>
      <c r="R508" s="170"/>
      <c r="S508" s="387"/>
      <c r="T508" s="491" t="s">
        <v>245</v>
      </c>
      <c r="U508" s="491" t="s">
        <v>1831</v>
      </c>
      <c r="AA508" s="27"/>
      <c r="AB508" s="27"/>
      <c r="AC508" s="889"/>
      <c r="AD508" s="502"/>
    </row>
    <row r="509" spans="3:30" ht="10.5" customHeight="1">
      <c r="C509" s="1799" t="s">
        <v>4999</v>
      </c>
      <c r="D509" s="1796">
        <v>0</v>
      </c>
      <c r="E509" s="1796">
        <v>0</v>
      </c>
      <c r="F509" s="1797">
        <v>0</v>
      </c>
      <c r="G509" s="1999" t="s">
        <v>4999</v>
      </c>
      <c r="H509" s="1794">
        <v>0</v>
      </c>
      <c r="I509" s="1794">
        <v>0</v>
      </c>
      <c r="J509" s="2000">
        <v>0</v>
      </c>
      <c r="K509" s="1798"/>
      <c r="L509" s="1792">
        <v>13043950300</v>
      </c>
      <c r="M509" s="1793">
        <v>0</v>
      </c>
      <c r="N509" s="1793">
        <v>0</v>
      </c>
      <c r="O509" s="1793">
        <v>0</v>
      </c>
      <c r="P509" s="530" t="s">
        <v>1543</v>
      </c>
      <c r="Q509" s="291"/>
      <c r="R509" s="170"/>
      <c r="S509" s="387"/>
      <c r="T509" s="531" t="s">
        <v>1474</v>
      </c>
      <c r="U509" s="531" t="s">
        <v>1960</v>
      </c>
      <c r="AA509" s="27"/>
      <c r="AB509" s="27"/>
      <c r="AC509" s="889"/>
      <c r="AD509" s="502"/>
    </row>
    <row r="510" spans="3:30" ht="10.5" customHeight="1">
      <c r="C510" s="1799" t="s">
        <v>5000</v>
      </c>
      <c r="D510" s="1796">
        <v>0</v>
      </c>
      <c r="E510" s="1796">
        <v>1</v>
      </c>
      <c r="F510" s="1797">
        <v>1</v>
      </c>
      <c r="G510" s="1999" t="s">
        <v>5000</v>
      </c>
      <c r="H510" s="1794">
        <v>0</v>
      </c>
      <c r="I510" s="1794">
        <v>0</v>
      </c>
      <c r="J510" s="2000">
        <v>0</v>
      </c>
      <c r="K510" s="1798"/>
      <c r="L510" s="1792">
        <v>13045910101</v>
      </c>
      <c r="M510" s="1793">
        <v>0</v>
      </c>
      <c r="N510" s="1793">
        <v>1</v>
      </c>
      <c r="O510" s="1793">
        <v>1</v>
      </c>
      <c r="P510" s="530" t="s">
        <v>1544</v>
      </c>
      <c r="Q510" s="291"/>
      <c r="R510" s="170"/>
      <c r="S510" s="387"/>
      <c r="T510" s="491" t="s">
        <v>1477</v>
      </c>
      <c r="U510" s="491" t="s">
        <v>323</v>
      </c>
      <c r="AA510" s="27"/>
      <c r="AB510" s="27"/>
      <c r="AC510" s="890"/>
      <c r="AD510" s="502"/>
    </row>
    <row r="511" spans="3:30" ht="10.5" customHeight="1">
      <c r="C511" s="1799" t="s">
        <v>5001</v>
      </c>
      <c r="D511" s="1796">
        <v>1</v>
      </c>
      <c r="E511" s="1796">
        <v>1</v>
      </c>
      <c r="F511" s="1797">
        <v>2</v>
      </c>
      <c r="G511" s="1999" t="s">
        <v>5001</v>
      </c>
      <c r="H511" s="1794">
        <v>1</v>
      </c>
      <c r="I511" s="1794">
        <v>0</v>
      </c>
      <c r="J511" s="2000">
        <v>1</v>
      </c>
      <c r="K511" s="1798"/>
      <c r="L511" s="1792">
        <v>13045910103</v>
      </c>
      <c r="M511" s="1793">
        <v>1</v>
      </c>
      <c r="N511" s="1793">
        <v>1</v>
      </c>
      <c r="O511" s="1793">
        <v>2</v>
      </c>
      <c r="P511" s="530" t="s">
        <v>1546</v>
      </c>
      <c r="Q511" s="291"/>
      <c r="R511" s="170"/>
      <c r="S511" s="387"/>
      <c r="T511" s="491" t="s">
        <v>1479</v>
      </c>
      <c r="U511" s="491" t="s">
        <v>2419</v>
      </c>
      <c r="AA511" s="27"/>
      <c r="AB511" s="27"/>
      <c r="AC511" s="889"/>
      <c r="AD511" s="502"/>
    </row>
    <row r="512" spans="3:30" ht="10.5" customHeight="1">
      <c r="C512" s="1799" t="s">
        <v>5002</v>
      </c>
      <c r="D512" s="1796">
        <v>0</v>
      </c>
      <c r="E512" s="1796">
        <v>1</v>
      </c>
      <c r="F512" s="1797">
        <v>1</v>
      </c>
      <c r="G512" s="1999" t="s">
        <v>5002</v>
      </c>
      <c r="H512" s="1794">
        <v>0</v>
      </c>
      <c r="I512" s="1794">
        <v>0</v>
      </c>
      <c r="J512" s="2000">
        <v>0</v>
      </c>
      <c r="K512" s="1798"/>
      <c r="L512" s="1792">
        <v>13045910104</v>
      </c>
      <c r="M512" s="1793">
        <v>0</v>
      </c>
      <c r="N512" s="1793">
        <v>1</v>
      </c>
      <c r="O512" s="1793">
        <v>1</v>
      </c>
      <c r="P512" s="530" t="s">
        <v>372</v>
      </c>
      <c r="Q512" s="291"/>
      <c r="R512" s="170"/>
      <c r="S512" s="387"/>
      <c r="T512" s="491" t="s">
        <v>474</v>
      </c>
      <c r="U512" s="491" t="s">
        <v>1430</v>
      </c>
      <c r="AA512" s="27"/>
      <c r="AB512" s="27"/>
      <c r="AC512" s="889"/>
      <c r="AD512" s="502"/>
    </row>
    <row r="513" spans="3:30" ht="10.5" customHeight="1">
      <c r="C513" s="1799" t="s">
        <v>5003</v>
      </c>
      <c r="D513" s="1796">
        <v>0</v>
      </c>
      <c r="E513" s="1796">
        <v>0</v>
      </c>
      <c r="F513" s="1797">
        <v>0</v>
      </c>
      <c r="G513" s="1999" t="s">
        <v>5003</v>
      </c>
      <c r="H513" s="1794">
        <v>0</v>
      </c>
      <c r="I513" s="1794">
        <v>0</v>
      </c>
      <c r="J513" s="2000">
        <v>0</v>
      </c>
      <c r="K513" s="1798"/>
      <c r="L513" s="1792">
        <v>13045910200</v>
      </c>
      <c r="M513" s="1793">
        <v>0</v>
      </c>
      <c r="N513" s="1793">
        <v>0</v>
      </c>
      <c r="O513" s="1793">
        <v>0</v>
      </c>
      <c r="P513" s="530" t="s">
        <v>241</v>
      </c>
      <c r="Q513" s="291"/>
      <c r="R513" s="170"/>
      <c r="S513" s="387"/>
      <c r="T513" s="491" t="s">
        <v>1366</v>
      </c>
      <c r="U513" s="491" t="s">
        <v>306</v>
      </c>
      <c r="AA513" s="27"/>
      <c r="AB513" s="27"/>
      <c r="AC513" s="889"/>
      <c r="AD513" s="502"/>
    </row>
    <row r="514" spans="3:30" ht="10.5" customHeight="1">
      <c r="C514" s="1799" t="s">
        <v>5004</v>
      </c>
      <c r="D514" s="1796">
        <v>0</v>
      </c>
      <c r="E514" s="1796">
        <v>1</v>
      </c>
      <c r="F514" s="1797">
        <v>1</v>
      </c>
      <c r="G514" s="1999" t="s">
        <v>5004</v>
      </c>
      <c r="H514" s="1794">
        <v>0</v>
      </c>
      <c r="I514" s="1794">
        <v>0</v>
      </c>
      <c r="J514" s="2000">
        <v>0</v>
      </c>
      <c r="K514" s="1798"/>
      <c r="L514" s="1792">
        <v>13045910300</v>
      </c>
      <c r="M514" s="1793">
        <v>0</v>
      </c>
      <c r="N514" s="1793">
        <v>1</v>
      </c>
      <c r="O514" s="1793">
        <v>1</v>
      </c>
      <c r="P514" s="530" t="s">
        <v>243</v>
      </c>
      <c r="Q514" s="291"/>
      <c r="R514" s="170"/>
      <c r="S514" s="387"/>
      <c r="T514" s="491" t="s">
        <v>1368</v>
      </c>
      <c r="U514" s="491" t="s">
        <v>850</v>
      </c>
      <c r="AA514" s="27"/>
      <c r="AB514" s="27"/>
      <c r="AC514" s="889"/>
      <c r="AD514" s="502"/>
    </row>
    <row r="515" spans="3:30" ht="10.5" customHeight="1">
      <c r="C515" s="1799" t="s">
        <v>5005</v>
      </c>
      <c r="D515" s="1796">
        <v>0</v>
      </c>
      <c r="E515" s="1796">
        <v>0</v>
      </c>
      <c r="F515" s="1797">
        <v>0</v>
      </c>
      <c r="G515" s="1999" t="s">
        <v>5005</v>
      </c>
      <c r="H515" s="1794">
        <v>0</v>
      </c>
      <c r="I515" s="1794" t="s">
        <v>4485</v>
      </c>
      <c r="J515" s="2000">
        <v>0</v>
      </c>
      <c r="K515" s="1798"/>
      <c r="L515" s="1792">
        <v>13045910400</v>
      </c>
      <c r="M515" s="1793">
        <v>0</v>
      </c>
      <c r="N515" s="1793">
        <v>0</v>
      </c>
      <c r="O515" s="1793">
        <v>0</v>
      </c>
      <c r="P515" s="530" t="s">
        <v>12</v>
      </c>
      <c r="Q515" s="291"/>
      <c r="R515" s="170"/>
      <c r="S515" s="387"/>
      <c r="T515" s="491" t="s">
        <v>172</v>
      </c>
      <c r="U515" s="491" t="s">
        <v>2125</v>
      </c>
      <c r="AA515" s="27"/>
      <c r="AB515" s="27"/>
      <c r="AC515" s="889"/>
      <c r="AD515" s="502"/>
    </row>
    <row r="516" spans="3:30" ht="10.5" customHeight="1">
      <c r="C516" s="1799" t="s">
        <v>5006</v>
      </c>
      <c r="D516" s="1796">
        <v>0</v>
      </c>
      <c r="E516" s="1796">
        <v>1</v>
      </c>
      <c r="F516" s="1797">
        <v>1</v>
      </c>
      <c r="G516" s="1999" t="s">
        <v>5006</v>
      </c>
      <c r="H516" s="1794">
        <v>0</v>
      </c>
      <c r="I516" s="1794">
        <v>0</v>
      </c>
      <c r="J516" s="2000">
        <v>0</v>
      </c>
      <c r="K516" s="1798"/>
      <c r="L516" s="1792">
        <v>13045910501</v>
      </c>
      <c r="M516" s="1793">
        <v>0</v>
      </c>
      <c r="N516" s="1793">
        <v>1</v>
      </c>
      <c r="O516" s="1793">
        <v>1</v>
      </c>
      <c r="P516" s="530" t="s">
        <v>1063</v>
      </c>
      <c r="Q516" s="291"/>
      <c r="R516" s="170"/>
      <c r="S516" s="387"/>
      <c r="T516" s="491" t="s">
        <v>1371</v>
      </c>
      <c r="U516" s="491" t="s">
        <v>1831</v>
      </c>
      <c r="AA516" s="27"/>
      <c r="AB516" s="27"/>
      <c r="AC516" s="889"/>
      <c r="AD516" s="502"/>
    </row>
    <row r="517" spans="3:30" ht="10.5" customHeight="1">
      <c r="C517" s="1799" t="s">
        <v>5007</v>
      </c>
      <c r="D517" s="1796">
        <v>0</v>
      </c>
      <c r="E517" s="1796">
        <v>0</v>
      </c>
      <c r="F517" s="1797">
        <v>0</v>
      </c>
      <c r="G517" s="1999" t="s">
        <v>5007</v>
      </c>
      <c r="H517" s="1794">
        <v>0</v>
      </c>
      <c r="I517" s="1794">
        <v>0</v>
      </c>
      <c r="J517" s="2000">
        <v>0</v>
      </c>
      <c r="K517" s="1798"/>
      <c r="L517" s="1792">
        <v>13045910502</v>
      </c>
      <c r="M517" s="1793">
        <v>0</v>
      </c>
      <c r="N517" s="1793">
        <v>0</v>
      </c>
      <c r="O517" s="1793">
        <v>0</v>
      </c>
      <c r="P517" s="530" t="s">
        <v>1065</v>
      </c>
      <c r="Q517" s="291"/>
      <c r="R517" s="170"/>
      <c r="S517" s="387"/>
      <c r="T517" s="491" t="s">
        <v>1373</v>
      </c>
      <c r="U517" s="491" t="s">
        <v>158</v>
      </c>
      <c r="AA517" s="27"/>
      <c r="AB517" s="27"/>
      <c r="AC517" s="889"/>
      <c r="AD517" s="502"/>
    </row>
    <row r="518" spans="3:30" ht="10.5" customHeight="1">
      <c r="C518" s="1799" t="s">
        <v>5008</v>
      </c>
      <c r="D518" s="1796">
        <v>0</v>
      </c>
      <c r="E518" s="1796">
        <v>0</v>
      </c>
      <c r="F518" s="1797">
        <v>0</v>
      </c>
      <c r="G518" s="1999" t="s">
        <v>5008</v>
      </c>
      <c r="H518" s="1794">
        <v>1</v>
      </c>
      <c r="I518" s="1794">
        <v>0</v>
      </c>
      <c r="J518" s="2000">
        <v>1</v>
      </c>
      <c r="K518" s="1798"/>
      <c r="L518" s="1792">
        <v>13045910600</v>
      </c>
      <c r="M518" s="1793">
        <v>1</v>
      </c>
      <c r="N518" s="1793">
        <v>0</v>
      </c>
      <c r="O518" s="1793">
        <v>1</v>
      </c>
      <c r="P518" s="530" t="s">
        <v>1067</v>
      </c>
      <c r="Q518" s="291"/>
      <c r="R518" s="170"/>
      <c r="S518" s="387"/>
      <c r="T518" s="491" t="s">
        <v>2427</v>
      </c>
      <c r="U518" s="491" t="s">
        <v>1862</v>
      </c>
      <c r="AA518" s="27"/>
      <c r="AB518" s="27"/>
      <c r="AC518" s="889"/>
      <c r="AD518" s="502"/>
    </row>
    <row r="519" spans="3:30" ht="10.5" customHeight="1">
      <c r="C519" s="1799" t="s">
        <v>5009</v>
      </c>
      <c r="D519" s="1796">
        <v>0</v>
      </c>
      <c r="E519" s="1796">
        <v>1</v>
      </c>
      <c r="F519" s="1797">
        <v>1</v>
      </c>
      <c r="G519" s="1999" t="s">
        <v>5009</v>
      </c>
      <c r="H519" s="1794">
        <v>0</v>
      </c>
      <c r="I519" s="1794">
        <v>0</v>
      </c>
      <c r="J519" s="2000">
        <v>0</v>
      </c>
      <c r="K519" s="1798"/>
      <c r="L519" s="1792">
        <v>13045910701</v>
      </c>
      <c r="M519" s="1793">
        <v>0</v>
      </c>
      <c r="N519" s="1793">
        <v>1</v>
      </c>
      <c r="O519" s="1793">
        <v>1</v>
      </c>
      <c r="P519" s="530" t="s">
        <v>252</v>
      </c>
      <c r="Q519" s="291"/>
      <c r="R519" s="170"/>
      <c r="S519" s="387"/>
      <c r="T519" s="491" t="s">
        <v>1035</v>
      </c>
      <c r="U519" s="491" t="s">
        <v>2422</v>
      </c>
      <c r="AA519" s="27"/>
      <c r="AB519" s="27"/>
      <c r="AC519" s="889"/>
      <c r="AD519" s="502"/>
    </row>
    <row r="520" spans="3:30" ht="10.5" customHeight="1">
      <c r="C520" s="1799" t="s">
        <v>5010</v>
      </c>
      <c r="D520" s="1796">
        <v>1</v>
      </c>
      <c r="E520" s="1796">
        <v>1</v>
      </c>
      <c r="F520" s="1797">
        <v>2</v>
      </c>
      <c r="G520" s="1999" t="s">
        <v>5010</v>
      </c>
      <c r="H520" s="1794">
        <v>0</v>
      </c>
      <c r="I520" s="1794">
        <v>1</v>
      </c>
      <c r="J520" s="2000">
        <v>1</v>
      </c>
      <c r="K520" s="1798"/>
      <c r="L520" s="1792">
        <v>13045910702</v>
      </c>
      <c r="M520" s="1793">
        <v>1</v>
      </c>
      <c r="N520" s="1793">
        <v>1</v>
      </c>
      <c r="O520" s="1793">
        <v>2</v>
      </c>
      <c r="P520" s="530" t="s">
        <v>254</v>
      </c>
      <c r="Q520" s="291"/>
      <c r="R520" s="170"/>
      <c r="S520" s="387"/>
      <c r="T520" s="491" t="s">
        <v>1293</v>
      </c>
      <c r="U520" s="491" t="s">
        <v>1292</v>
      </c>
      <c r="AA520" s="27"/>
      <c r="AB520" s="27"/>
      <c r="AC520" s="889"/>
      <c r="AD520" s="502"/>
    </row>
    <row r="521" spans="3:30" ht="10.5" customHeight="1">
      <c r="C521" s="1799" t="s">
        <v>5011</v>
      </c>
      <c r="D521" s="1796">
        <v>0</v>
      </c>
      <c r="E521" s="1796">
        <v>1</v>
      </c>
      <c r="F521" s="1797">
        <v>1</v>
      </c>
      <c r="G521" s="1999" t="s">
        <v>5011</v>
      </c>
      <c r="H521" s="1794">
        <v>0</v>
      </c>
      <c r="I521" s="1794">
        <v>0</v>
      </c>
      <c r="J521" s="2000">
        <v>0</v>
      </c>
      <c r="K521" s="1798"/>
      <c r="L521" s="1792">
        <v>13045910703</v>
      </c>
      <c r="M521" s="1793">
        <v>0</v>
      </c>
      <c r="N521" s="1793">
        <v>1</v>
      </c>
      <c r="O521" s="1793">
        <v>1</v>
      </c>
      <c r="P521" s="530" t="s">
        <v>1595</v>
      </c>
      <c r="Q521" s="291"/>
      <c r="R521" s="170"/>
      <c r="S521" s="387"/>
      <c r="T521" s="491" t="s">
        <v>175</v>
      </c>
      <c r="U521" s="491" t="s">
        <v>2517</v>
      </c>
      <c r="AA521" s="27"/>
      <c r="AB521" s="27"/>
      <c r="AC521" s="889"/>
      <c r="AD521" s="502"/>
    </row>
    <row r="522" spans="3:30" ht="10.5" customHeight="1">
      <c r="C522" s="1799" t="s">
        <v>5012</v>
      </c>
      <c r="D522" s="1796">
        <v>0</v>
      </c>
      <c r="E522" s="1796">
        <v>1</v>
      </c>
      <c r="F522" s="1797">
        <v>1</v>
      </c>
      <c r="G522" s="1999" t="s">
        <v>5012</v>
      </c>
      <c r="H522" s="1794">
        <v>0</v>
      </c>
      <c r="I522" s="1794">
        <v>0</v>
      </c>
      <c r="J522" s="2000">
        <v>0</v>
      </c>
      <c r="K522" s="1798"/>
      <c r="L522" s="1792">
        <v>13045910800</v>
      </c>
      <c r="M522" s="1793">
        <v>0</v>
      </c>
      <c r="N522" s="1793">
        <v>1</v>
      </c>
      <c r="O522" s="1793">
        <v>1</v>
      </c>
      <c r="P522" s="530" t="s">
        <v>2265</v>
      </c>
      <c r="Q522" s="291"/>
      <c r="R522" s="170"/>
      <c r="S522" s="387"/>
      <c r="T522" s="491" t="s">
        <v>1540</v>
      </c>
      <c r="U522" s="491" t="s">
        <v>2133</v>
      </c>
      <c r="AA522" s="27"/>
      <c r="AB522" s="27"/>
      <c r="AC522" s="889"/>
      <c r="AD522" s="502"/>
    </row>
    <row r="523" spans="3:30" ht="10.5" customHeight="1">
      <c r="C523" s="1799" t="s">
        <v>5013</v>
      </c>
      <c r="D523" s="1796">
        <v>0</v>
      </c>
      <c r="E523" s="1796">
        <v>1</v>
      </c>
      <c r="F523" s="1797">
        <v>1</v>
      </c>
      <c r="G523" s="1999" t="s">
        <v>5013</v>
      </c>
      <c r="H523" s="1794">
        <v>0</v>
      </c>
      <c r="I523" s="1794">
        <v>1</v>
      </c>
      <c r="J523" s="2000">
        <v>1</v>
      </c>
      <c r="K523" s="1798"/>
      <c r="L523" s="1792">
        <v>13045910900</v>
      </c>
      <c r="M523" s="1793">
        <v>0</v>
      </c>
      <c r="N523" s="1793">
        <v>1</v>
      </c>
      <c r="O523" s="1793">
        <v>1</v>
      </c>
      <c r="P523" s="530" t="s">
        <v>472</v>
      </c>
      <c r="Q523" s="291"/>
      <c r="R523" s="170"/>
      <c r="S523" s="387"/>
      <c r="T523" s="491" t="s">
        <v>1542</v>
      </c>
      <c r="U523" s="491" t="s">
        <v>1831</v>
      </c>
      <c r="AA523" s="27"/>
      <c r="AB523" s="27"/>
      <c r="AC523" s="889"/>
      <c r="AD523" s="502"/>
    </row>
    <row r="524" spans="3:30" ht="10.5" customHeight="1">
      <c r="C524" s="1799" t="s">
        <v>5014</v>
      </c>
      <c r="D524" s="1796">
        <v>1</v>
      </c>
      <c r="E524" s="1796">
        <v>1</v>
      </c>
      <c r="F524" s="1797">
        <v>2</v>
      </c>
      <c r="G524" s="1999" t="s">
        <v>5014</v>
      </c>
      <c r="H524" s="1794">
        <v>1</v>
      </c>
      <c r="I524" s="1794">
        <v>1</v>
      </c>
      <c r="J524" s="2000">
        <v>2</v>
      </c>
      <c r="K524" s="1798"/>
      <c r="L524" s="1792">
        <v>13045911000</v>
      </c>
      <c r="M524" s="1793">
        <v>1</v>
      </c>
      <c r="N524" s="1793">
        <v>1</v>
      </c>
      <c r="O524" s="1793">
        <v>2</v>
      </c>
      <c r="P524" s="530" t="s">
        <v>1275</v>
      </c>
      <c r="Q524" s="291"/>
      <c r="R524" s="170"/>
      <c r="S524" s="387"/>
      <c r="T524" s="491" t="s">
        <v>1545</v>
      </c>
      <c r="U524" s="491" t="s">
        <v>2522</v>
      </c>
      <c r="AA524" s="27"/>
      <c r="AB524" s="27"/>
      <c r="AC524" s="889"/>
      <c r="AD524" s="502"/>
    </row>
    <row r="525" spans="3:30" ht="10.5" customHeight="1">
      <c r="C525" s="1799" t="s">
        <v>5015</v>
      </c>
      <c r="D525" s="1796">
        <v>1</v>
      </c>
      <c r="E525" s="1796">
        <v>1</v>
      </c>
      <c r="F525" s="1797">
        <v>2</v>
      </c>
      <c r="G525" s="1999" t="s">
        <v>5015</v>
      </c>
      <c r="H525" s="1794">
        <v>0</v>
      </c>
      <c r="I525" s="1794">
        <v>1</v>
      </c>
      <c r="J525" s="2000">
        <v>1</v>
      </c>
      <c r="K525" s="1798"/>
      <c r="L525" s="1792">
        <v>13045911100</v>
      </c>
      <c r="M525" s="1793">
        <v>1</v>
      </c>
      <c r="N525" s="1793">
        <v>1</v>
      </c>
      <c r="O525" s="1793">
        <v>2</v>
      </c>
      <c r="P525" s="530" t="s">
        <v>629</v>
      </c>
      <c r="Q525" s="291"/>
      <c r="R525" s="170"/>
      <c r="S525" s="387"/>
      <c r="T525" s="491" t="s">
        <v>371</v>
      </c>
      <c r="U525" s="491" t="s">
        <v>2422</v>
      </c>
      <c r="AA525" s="27"/>
      <c r="AB525" s="27"/>
      <c r="AC525" s="889"/>
      <c r="AD525" s="502"/>
    </row>
    <row r="526" spans="3:30" ht="10.5" customHeight="1">
      <c r="C526" s="1799" t="s">
        <v>5016</v>
      </c>
      <c r="D526" s="1796">
        <v>0</v>
      </c>
      <c r="E526" s="1796">
        <v>0</v>
      </c>
      <c r="F526" s="1797">
        <v>0</v>
      </c>
      <c r="G526" s="1999" t="s">
        <v>5016</v>
      </c>
      <c r="H526" s="1794">
        <v>0</v>
      </c>
      <c r="I526" s="1794">
        <v>0</v>
      </c>
      <c r="J526" s="2000">
        <v>0</v>
      </c>
      <c r="K526" s="1798"/>
      <c r="L526" s="1792">
        <v>13045911200</v>
      </c>
      <c r="M526" s="1793">
        <v>0</v>
      </c>
      <c r="N526" s="1793">
        <v>0</v>
      </c>
      <c r="O526" s="1793">
        <v>0</v>
      </c>
      <c r="P526" s="530" t="s">
        <v>669</v>
      </c>
      <c r="Q526" s="291"/>
      <c r="R526" s="170"/>
      <c r="S526" s="387"/>
      <c r="T526" s="533" t="s">
        <v>373</v>
      </c>
      <c r="U526" s="491" t="s">
        <v>1293</v>
      </c>
      <c r="AA526" s="27"/>
      <c r="AB526" s="27"/>
      <c r="AC526" s="889"/>
      <c r="AD526" s="502"/>
    </row>
    <row r="527" spans="3:30" ht="10.5" customHeight="1">
      <c r="C527" s="1799" t="s">
        <v>5017</v>
      </c>
      <c r="D527" s="1796">
        <v>0</v>
      </c>
      <c r="E527" s="1796">
        <v>0</v>
      </c>
      <c r="F527" s="1797">
        <v>0</v>
      </c>
      <c r="G527" s="1999" t="s">
        <v>5017</v>
      </c>
      <c r="H527" s="1794">
        <v>0</v>
      </c>
      <c r="I527" s="1794">
        <v>0</v>
      </c>
      <c r="J527" s="2000">
        <v>0</v>
      </c>
      <c r="K527" s="1798"/>
      <c r="L527" s="1792">
        <v>13047030100</v>
      </c>
      <c r="M527" s="1793">
        <v>0</v>
      </c>
      <c r="N527" s="1793">
        <v>0</v>
      </c>
      <c r="O527" s="1793">
        <v>0</v>
      </c>
      <c r="P527" s="530" t="s">
        <v>670</v>
      </c>
      <c r="Q527" s="291"/>
      <c r="R527" s="170"/>
      <c r="S527" s="387"/>
      <c r="T527" s="533" t="s">
        <v>242</v>
      </c>
      <c r="U527" s="491" t="s">
        <v>2123</v>
      </c>
      <c r="AA527" s="27"/>
      <c r="AB527" s="27"/>
      <c r="AC527" s="891"/>
      <c r="AD527" s="502"/>
    </row>
    <row r="528" spans="3:30" ht="10.5" customHeight="1">
      <c r="C528" s="1799" t="s">
        <v>5018</v>
      </c>
      <c r="D528" s="1796">
        <v>1</v>
      </c>
      <c r="E528" s="1796">
        <v>0</v>
      </c>
      <c r="F528" s="1797">
        <v>1</v>
      </c>
      <c r="G528" s="1999" t="s">
        <v>5018</v>
      </c>
      <c r="H528" s="1794">
        <v>0</v>
      </c>
      <c r="I528" s="1794">
        <v>0</v>
      </c>
      <c r="J528" s="2000">
        <v>0</v>
      </c>
      <c r="K528" s="1798"/>
      <c r="L528" s="1792">
        <v>13047030201</v>
      </c>
      <c r="M528" s="1793">
        <v>1</v>
      </c>
      <c r="N528" s="1793">
        <v>0</v>
      </c>
      <c r="O528" s="1793">
        <v>1</v>
      </c>
      <c r="P528" s="530" t="s">
        <v>508</v>
      </c>
      <c r="Q528" s="291"/>
      <c r="R528" s="170"/>
      <c r="S528" s="387"/>
      <c r="T528" s="491" t="s">
        <v>1574</v>
      </c>
      <c r="U528" s="491" t="s">
        <v>2462</v>
      </c>
      <c r="AA528" s="27"/>
      <c r="AB528" s="27"/>
      <c r="AC528" s="891"/>
      <c r="AD528" s="502"/>
    </row>
    <row r="529" spans="3:30" ht="10.5" customHeight="1">
      <c r="C529" s="1799" t="s">
        <v>5019</v>
      </c>
      <c r="D529" s="1796">
        <v>1</v>
      </c>
      <c r="E529" s="1796">
        <v>1</v>
      </c>
      <c r="F529" s="1797">
        <v>2</v>
      </c>
      <c r="G529" s="1999" t="s">
        <v>5019</v>
      </c>
      <c r="H529" s="1794">
        <v>1</v>
      </c>
      <c r="I529" s="1794">
        <v>1</v>
      </c>
      <c r="J529" s="2000">
        <v>2</v>
      </c>
      <c r="K529" s="1798"/>
      <c r="L529" s="1792">
        <v>13047030202</v>
      </c>
      <c r="M529" s="1793">
        <v>1</v>
      </c>
      <c r="N529" s="1793">
        <v>1</v>
      </c>
      <c r="O529" s="1793">
        <v>2</v>
      </c>
      <c r="P529" s="530" t="s">
        <v>510</v>
      </c>
      <c r="Q529" s="291"/>
      <c r="R529" s="170"/>
      <c r="S529" s="387"/>
      <c r="T529" s="491" t="s">
        <v>2765</v>
      </c>
      <c r="U529" s="491" t="s">
        <v>323</v>
      </c>
      <c r="AA529" s="27"/>
      <c r="AB529" s="27"/>
      <c r="AC529" s="889"/>
      <c r="AD529" s="502"/>
    </row>
    <row r="530" spans="3:30" ht="10.5" customHeight="1">
      <c r="C530" s="1799" t="s">
        <v>5020</v>
      </c>
      <c r="D530" s="1796">
        <v>1</v>
      </c>
      <c r="E530" s="1796">
        <v>1</v>
      </c>
      <c r="F530" s="1797">
        <v>2</v>
      </c>
      <c r="G530" s="1999" t="s">
        <v>5020</v>
      </c>
      <c r="H530" s="1794">
        <v>1</v>
      </c>
      <c r="I530" s="1794">
        <v>1</v>
      </c>
      <c r="J530" s="2000">
        <v>2</v>
      </c>
      <c r="K530" s="1798"/>
      <c r="L530" s="1792">
        <v>13047030301</v>
      </c>
      <c r="M530" s="1793">
        <v>1</v>
      </c>
      <c r="N530" s="1793">
        <v>1</v>
      </c>
      <c r="O530" s="1793">
        <v>2</v>
      </c>
      <c r="P530" s="530" t="s">
        <v>512</v>
      </c>
      <c r="Q530" s="291"/>
      <c r="R530" s="170"/>
      <c r="S530" s="387"/>
      <c r="T530" s="491" t="s">
        <v>1064</v>
      </c>
      <c r="U530" s="491" t="s">
        <v>2524</v>
      </c>
      <c r="AA530" s="27"/>
      <c r="AB530" s="27"/>
      <c r="AC530" s="889"/>
      <c r="AD530" s="502"/>
    </row>
    <row r="531" spans="3:30" ht="10.5" customHeight="1">
      <c r="C531" s="1799" t="s">
        <v>5021</v>
      </c>
      <c r="D531" s="1796">
        <v>1</v>
      </c>
      <c r="E531" s="1796">
        <v>1</v>
      </c>
      <c r="F531" s="1797">
        <v>2</v>
      </c>
      <c r="G531" s="1999" t="s">
        <v>5021</v>
      </c>
      <c r="H531" s="1794">
        <v>1</v>
      </c>
      <c r="I531" s="1794">
        <v>0</v>
      </c>
      <c r="J531" s="2000">
        <v>1</v>
      </c>
      <c r="K531" s="1798"/>
      <c r="L531" s="1792">
        <v>13047030303</v>
      </c>
      <c r="M531" s="1793">
        <v>1</v>
      </c>
      <c r="N531" s="1793">
        <v>1</v>
      </c>
      <c r="O531" s="1793">
        <v>2</v>
      </c>
      <c r="P531" s="530" t="s">
        <v>514</v>
      </c>
      <c r="Q531" s="291"/>
      <c r="R531" s="170"/>
      <c r="S531" s="387"/>
      <c r="T531" s="491" t="s">
        <v>1066</v>
      </c>
      <c r="U531" s="491" t="s">
        <v>1283</v>
      </c>
      <c r="AA531" s="27"/>
      <c r="AB531" s="27"/>
      <c r="AC531" s="889"/>
      <c r="AD531" s="502"/>
    </row>
    <row r="532" spans="3:30" ht="10.5" customHeight="1">
      <c r="C532" s="1799" t="s">
        <v>5022</v>
      </c>
      <c r="D532" s="1796">
        <v>1</v>
      </c>
      <c r="E532" s="1796">
        <v>1</v>
      </c>
      <c r="F532" s="1797">
        <v>2</v>
      </c>
      <c r="G532" s="1999" t="s">
        <v>5022</v>
      </c>
      <c r="H532" s="1794">
        <v>1</v>
      </c>
      <c r="I532" s="1794">
        <v>1</v>
      </c>
      <c r="J532" s="2000">
        <v>2</v>
      </c>
      <c r="K532" s="1798"/>
      <c r="L532" s="1792">
        <v>13047030304</v>
      </c>
      <c r="M532" s="1793">
        <v>1</v>
      </c>
      <c r="N532" s="1793">
        <v>1</v>
      </c>
      <c r="O532" s="1793">
        <v>2</v>
      </c>
      <c r="P532" s="530" t="s">
        <v>526</v>
      </c>
      <c r="Q532" s="291"/>
      <c r="R532" s="170"/>
      <c r="S532" s="387"/>
      <c r="T532" s="531" t="s">
        <v>1068</v>
      </c>
      <c r="U532" s="531" t="s">
        <v>637</v>
      </c>
      <c r="AA532" s="27"/>
      <c r="AB532" s="27"/>
      <c r="AC532" s="889"/>
      <c r="AD532" s="502"/>
    </row>
    <row r="533" spans="3:30" ht="10.5" customHeight="1">
      <c r="C533" s="1799" t="s">
        <v>5023</v>
      </c>
      <c r="D533" s="1796">
        <v>1</v>
      </c>
      <c r="E533" s="1796">
        <v>1</v>
      </c>
      <c r="F533" s="1797">
        <v>2</v>
      </c>
      <c r="G533" s="1999" t="s">
        <v>5023</v>
      </c>
      <c r="H533" s="1794">
        <v>1</v>
      </c>
      <c r="I533" s="1794">
        <v>1</v>
      </c>
      <c r="J533" s="2000">
        <v>2</v>
      </c>
      <c r="K533" s="1798"/>
      <c r="L533" s="1792">
        <v>13047030401</v>
      </c>
      <c r="M533" s="1793">
        <v>1</v>
      </c>
      <c r="N533" s="1793">
        <v>1</v>
      </c>
      <c r="O533" s="1793">
        <v>2</v>
      </c>
      <c r="P533" s="530" t="s">
        <v>528</v>
      </c>
      <c r="Q533" s="291"/>
      <c r="R533" s="170"/>
      <c r="S533" s="387"/>
      <c r="T533" s="491" t="s">
        <v>253</v>
      </c>
      <c r="U533" s="491" t="s">
        <v>314</v>
      </c>
      <c r="AA533" s="27"/>
      <c r="AB533" s="27"/>
      <c r="AC533" s="890"/>
      <c r="AD533" s="502"/>
    </row>
    <row r="534" spans="3:30" ht="10.5" customHeight="1">
      <c r="C534" s="1799" t="s">
        <v>5024</v>
      </c>
      <c r="D534" s="1796">
        <v>0</v>
      </c>
      <c r="E534" s="1796">
        <v>0</v>
      </c>
      <c r="F534" s="1797">
        <v>0</v>
      </c>
      <c r="G534" s="1999" t="s">
        <v>5024</v>
      </c>
      <c r="H534" s="1794">
        <v>1</v>
      </c>
      <c r="I534" s="1794">
        <v>0</v>
      </c>
      <c r="J534" s="2000">
        <v>0</v>
      </c>
      <c r="K534" s="1798"/>
      <c r="L534" s="1792">
        <v>13047030402</v>
      </c>
      <c r="M534" s="1793">
        <v>1</v>
      </c>
      <c r="N534" s="1793">
        <v>0</v>
      </c>
      <c r="O534" s="1793">
        <v>0</v>
      </c>
      <c r="P534" s="530" t="s">
        <v>697</v>
      </c>
      <c r="Q534" s="291"/>
      <c r="R534" s="170"/>
      <c r="S534" s="387"/>
      <c r="T534" s="491" t="s">
        <v>255</v>
      </c>
      <c r="U534" s="491" t="s">
        <v>2337</v>
      </c>
      <c r="AA534" s="27"/>
      <c r="AB534" s="27"/>
      <c r="AC534" s="889"/>
      <c r="AD534" s="502"/>
    </row>
    <row r="535" spans="3:30" ht="10.5" customHeight="1">
      <c r="C535" s="1799" t="s">
        <v>5025</v>
      </c>
      <c r="D535" s="1796">
        <v>1</v>
      </c>
      <c r="E535" s="1796">
        <v>0</v>
      </c>
      <c r="F535" s="1797">
        <v>1</v>
      </c>
      <c r="G535" s="1999" t="s">
        <v>5025</v>
      </c>
      <c r="H535" s="1794">
        <v>0</v>
      </c>
      <c r="I535" s="1794">
        <v>0</v>
      </c>
      <c r="J535" s="2000">
        <v>0</v>
      </c>
      <c r="K535" s="1798"/>
      <c r="L535" s="1792">
        <v>13047030500</v>
      </c>
      <c r="M535" s="1793">
        <v>1</v>
      </c>
      <c r="N535" s="1793">
        <v>0</v>
      </c>
      <c r="O535" s="1793">
        <v>1</v>
      </c>
      <c r="P535" s="530" t="s">
        <v>570</v>
      </c>
      <c r="Q535" s="291"/>
      <c r="R535" s="170"/>
      <c r="S535" s="387"/>
      <c r="T535" s="531" t="s">
        <v>3752</v>
      </c>
      <c r="U535" s="531" t="s">
        <v>850</v>
      </c>
      <c r="AA535" s="27"/>
      <c r="AB535" s="27"/>
      <c r="AC535" s="889"/>
      <c r="AD535" s="502"/>
    </row>
    <row r="536" spans="3:30" ht="10.5" customHeight="1">
      <c r="C536" s="1799" t="s">
        <v>5026</v>
      </c>
      <c r="D536" s="1796">
        <v>0</v>
      </c>
      <c r="E536" s="1796">
        <v>0</v>
      </c>
      <c r="F536" s="1797">
        <v>0</v>
      </c>
      <c r="G536" s="1999" t="s">
        <v>5026</v>
      </c>
      <c r="H536" s="1794">
        <v>1</v>
      </c>
      <c r="I536" s="1794">
        <v>0</v>
      </c>
      <c r="J536" s="2000">
        <v>1</v>
      </c>
      <c r="K536" s="1798"/>
      <c r="L536" s="1792">
        <v>13047030600</v>
      </c>
      <c r="M536" s="1793">
        <v>1</v>
      </c>
      <c r="N536" s="1793">
        <v>0</v>
      </c>
      <c r="O536" s="1793">
        <v>1</v>
      </c>
      <c r="P536" s="530" t="s">
        <v>571</v>
      </c>
      <c r="Q536" s="291"/>
      <c r="R536" s="170"/>
      <c r="S536" s="387"/>
      <c r="T536" s="491" t="s">
        <v>2266</v>
      </c>
      <c r="U536" s="491" t="s">
        <v>1074</v>
      </c>
      <c r="AA536" s="27"/>
      <c r="AB536" s="27"/>
      <c r="AC536" s="890"/>
      <c r="AD536" s="502"/>
    </row>
    <row r="537" spans="3:30" ht="10.5" customHeight="1">
      <c r="C537" s="1799" t="s">
        <v>5027</v>
      </c>
      <c r="D537" s="1796">
        <v>0</v>
      </c>
      <c r="E537" s="1796">
        <v>0</v>
      </c>
      <c r="F537" s="1797">
        <v>0</v>
      </c>
      <c r="G537" s="1999" t="s">
        <v>5027</v>
      </c>
      <c r="H537" s="1794">
        <v>0</v>
      </c>
      <c r="I537" s="1794">
        <v>0</v>
      </c>
      <c r="J537" s="2000">
        <v>0</v>
      </c>
      <c r="K537" s="1798"/>
      <c r="L537" s="1792">
        <v>13047030700</v>
      </c>
      <c r="M537" s="1793">
        <v>0</v>
      </c>
      <c r="N537" s="1793">
        <v>0</v>
      </c>
      <c r="O537" s="1793">
        <v>0</v>
      </c>
      <c r="P537" s="530" t="s">
        <v>2029</v>
      </c>
      <c r="Q537" s="291"/>
      <c r="R537" s="170"/>
      <c r="S537" s="387"/>
      <c r="T537" s="491" t="s">
        <v>473</v>
      </c>
      <c r="U537" s="491" t="s">
        <v>1627</v>
      </c>
      <c r="AA537" s="27"/>
      <c r="AB537" s="27"/>
      <c r="AC537" s="889"/>
      <c r="AD537" s="502"/>
    </row>
    <row r="538" spans="3:30" ht="10.5" customHeight="1">
      <c r="C538" s="1799" t="s">
        <v>5028</v>
      </c>
      <c r="D538" s="1796">
        <v>0</v>
      </c>
      <c r="E538" s="1796">
        <v>0</v>
      </c>
      <c r="F538" s="1797">
        <v>0</v>
      </c>
      <c r="G538" s="1999" t="s">
        <v>5028</v>
      </c>
      <c r="H538" s="1794">
        <v>0</v>
      </c>
      <c r="I538" s="1794">
        <v>0</v>
      </c>
      <c r="J538" s="2000">
        <v>0</v>
      </c>
      <c r="K538" s="1798"/>
      <c r="L538" s="1792">
        <v>13049010100</v>
      </c>
      <c r="M538" s="1793">
        <v>0</v>
      </c>
      <c r="N538" s="1793">
        <v>0</v>
      </c>
      <c r="O538" s="1793">
        <v>0</v>
      </c>
      <c r="P538" s="530" t="s">
        <v>455</v>
      </c>
      <c r="Q538" s="291"/>
      <c r="R538" s="170"/>
      <c r="S538" s="387"/>
      <c r="T538" s="491" t="s">
        <v>2766</v>
      </c>
      <c r="U538" s="491" t="s">
        <v>2133</v>
      </c>
      <c r="AA538" s="27"/>
      <c r="AB538" s="27"/>
      <c r="AC538" s="889"/>
      <c r="AD538" s="502"/>
    </row>
    <row r="539" spans="3:30" ht="10.5" customHeight="1">
      <c r="C539" s="1799" t="s">
        <v>5029</v>
      </c>
      <c r="D539" s="1796">
        <v>0</v>
      </c>
      <c r="E539" s="1796">
        <v>0</v>
      </c>
      <c r="F539" s="1797">
        <v>0</v>
      </c>
      <c r="G539" s="1999" t="s">
        <v>5029</v>
      </c>
      <c r="H539" s="1794">
        <v>0</v>
      </c>
      <c r="I539" s="1794">
        <v>0</v>
      </c>
      <c r="J539" s="2000">
        <v>0</v>
      </c>
      <c r="K539" s="1798"/>
      <c r="L539" s="1792">
        <v>13049010200</v>
      </c>
      <c r="M539" s="1793">
        <v>0</v>
      </c>
      <c r="N539" s="1793">
        <v>0</v>
      </c>
      <c r="O539" s="1793">
        <v>0</v>
      </c>
      <c r="P539" s="530" t="s">
        <v>456</v>
      </c>
      <c r="Q539" s="291"/>
      <c r="R539" s="170"/>
      <c r="S539" s="387"/>
      <c r="T539" s="491" t="s">
        <v>668</v>
      </c>
      <c r="U539" s="491" t="s">
        <v>158</v>
      </c>
      <c r="AA539" s="27"/>
      <c r="AB539" s="27"/>
      <c r="AC539" s="889"/>
      <c r="AD539" s="502"/>
    </row>
    <row r="540" spans="3:30" ht="10.5" customHeight="1">
      <c r="C540" s="1799" t="s">
        <v>5030</v>
      </c>
      <c r="D540" s="1796">
        <v>0</v>
      </c>
      <c r="E540" s="1796">
        <v>0</v>
      </c>
      <c r="F540" s="1797">
        <v>0</v>
      </c>
      <c r="G540" s="1999" t="s">
        <v>5030</v>
      </c>
      <c r="H540" s="1794">
        <v>0</v>
      </c>
      <c r="I540" s="1794" t="s">
        <v>4485</v>
      </c>
      <c r="J540" s="2000">
        <v>0</v>
      </c>
      <c r="K540" s="1798"/>
      <c r="L540" s="1792">
        <v>13051000100</v>
      </c>
      <c r="M540" s="1793">
        <v>0</v>
      </c>
      <c r="N540" s="1793">
        <v>0</v>
      </c>
      <c r="O540" s="1793">
        <v>0</v>
      </c>
      <c r="P540" s="530" t="s">
        <v>1238</v>
      </c>
      <c r="Q540" s="291"/>
      <c r="R540" s="170"/>
      <c r="S540" s="387"/>
      <c r="T540" s="491" t="s">
        <v>507</v>
      </c>
      <c r="U540" s="491" t="s">
        <v>713</v>
      </c>
      <c r="AA540" s="27"/>
      <c r="AB540" s="27"/>
      <c r="AC540" s="889"/>
      <c r="AD540" s="502"/>
    </row>
    <row r="541" spans="3:30" ht="10.5" customHeight="1">
      <c r="C541" s="1799" t="s">
        <v>5031</v>
      </c>
      <c r="D541" s="1796">
        <v>1</v>
      </c>
      <c r="E541" s="1796">
        <v>1</v>
      </c>
      <c r="F541" s="1797">
        <v>2</v>
      </c>
      <c r="G541" s="1999" t="s">
        <v>5031</v>
      </c>
      <c r="H541" s="1794">
        <v>1</v>
      </c>
      <c r="I541" s="1794">
        <v>1</v>
      </c>
      <c r="J541" s="2000">
        <v>2</v>
      </c>
      <c r="K541" s="1798"/>
      <c r="L541" s="1792">
        <v>13051000300</v>
      </c>
      <c r="M541" s="1793">
        <v>1</v>
      </c>
      <c r="N541" s="1793">
        <v>1</v>
      </c>
      <c r="O541" s="1793">
        <v>2</v>
      </c>
      <c r="P541" s="530" t="s">
        <v>972</v>
      </c>
      <c r="Q541" s="291"/>
      <c r="R541" s="170"/>
      <c r="S541" s="387"/>
      <c r="T541" s="491" t="s">
        <v>509</v>
      </c>
      <c r="U541" s="491" t="s">
        <v>1302</v>
      </c>
      <c r="AA541" s="27"/>
      <c r="AB541" s="27"/>
      <c r="AC541" s="889"/>
      <c r="AD541" s="502"/>
    </row>
    <row r="542" spans="3:30" ht="10.5" customHeight="1">
      <c r="C542" s="1799" t="s">
        <v>5032</v>
      </c>
      <c r="D542" s="1796">
        <v>0</v>
      </c>
      <c r="E542" s="1796">
        <v>0</v>
      </c>
      <c r="F542" s="1797">
        <v>0</v>
      </c>
      <c r="G542" s="1999" t="s">
        <v>5032</v>
      </c>
      <c r="H542" s="1794">
        <v>0</v>
      </c>
      <c r="I542" s="1794">
        <v>0</v>
      </c>
      <c r="J542" s="2000">
        <v>0</v>
      </c>
      <c r="K542" s="1798"/>
      <c r="L542" s="1792">
        <v>13051000601</v>
      </c>
      <c r="M542" s="1793">
        <v>0</v>
      </c>
      <c r="N542" s="1793">
        <v>0</v>
      </c>
      <c r="O542" s="1793">
        <v>0</v>
      </c>
      <c r="P542" s="530" t="s">
        <v>974</v>
      </c>
      <c r="Q542" s="291"/>
      <c r="R542" s="170"/>
      <c r="S542" s="387"/>
      <c r="T542" s="491" t="s">
        <v>511</v>
      </c>
      <c r="U542" s="491" t="s">
        <v>1427</v>
      </c>
      <c r="AA542" s="27"/>
      <c r="AB542" s="27"/>
      <c r="AC542" s="889"/>
      <c r="AD542" s="502"/>
    </row>
    <row r="543" spans="3:30" ht="10.5" customHeight="1">
      <c r="C543" s="1799" t="s">
        <v>5033</v>
      </c>
      <c r="D543" s="1796">
        <v>0</v>
      </c>
      <c r="E543" s="1796">
        <v>0</v>
      </c>
      <c r="F543" s="1797">
        <v>0</v>
      </c>
      <c r="G543" s="1999" t="s">
        <v>5033</v>
      </c>
      <c r="H543" s="1794">
        <v>0</v>
      </c>
      <c r="I543" s="1794">
        <v>1</v>
      </c>
      <c r="J543" s="2000">
        <v>1</v>
      </c>
      <c r="K543" s="1798"/>
      <c r="L543" s="1792">
        <v>13051000900</v>
      </c>
      <c r="M543" s="1793">
        <v>0</v>
      </c>
      <c r="N543" s="1793">
        <v>1</v>
      </c>
      <c r="O543" s="1793">
        <v>1</v>
      </c>
      <c r="P543" s="530" t="s">
        <v>975</v>
      </c>
      <c r="Q543" s="291"/>
      <c r="R543" s="170"/>
      <c r="S543" s="387"/>
      <c r="T543" s="491" t="s">
        <v>513</v>
      </c>
      <c r="U543" s="491" t="s">
        <v>850</v>
      </c>
      <c r="AA543" s="27"/>
      <c r="AB543" s="27"/>
      <c r="AC543" s="889"/>
      <c r="AD543" s="502"/>
    </row>
    <row r="544" spans="3:30" ht="10.5" customHeight="1">
      <c r="C544" s="1799" t="s">
        <v>5034</v>
      </c>
      <c r="D544" s="1796">
        <v>0</v>
      </c>
      <c r="E544" s="1796">
        <v>0</v>
      </c>
      <c r="F544" s="1797">
        <v>0</v>
      </c>
      <c r="G544" s="1999" t="s">
        <v>5034</v>
      </c>
      <c r="H544" s="1794">
        <v>0</v>
      </c>
      <c r="I544" s="1794">
        <v>0</v>
      </c>
      <c r="J544" s="2000">
        <v>0</v>
      </c>
      <c r="K544" s="1798"/>
      <c r="L544" s="1792">
        <v>13051001100</v>
      </c>
      <c r="M544" s="1793">
        <v>0</v>
      </c>
      <c r="N544" s="1793">
        <v>0</v>
      </c>
      <c r="O544" s="1793">
        <v>0</v>
      </c>
      <c r="P544" s="530" t="s">
        <v>136</v>
      </c>
      <c r="Q544" s="291"/>
      <c r="R544" s="170"/>
      <c r="S544" s="387"/>
      <c r="T544" s="491" t="s">
        <v>515</v>
      </c>
      <c r="U544" s="491" t="s">
        <v>1739</v>
      </c>
      <c r="AA544" s="27"/>
      <c r="AB544" s="27"/>
      <c r="AC544" s="889"/>
      <c r="AD544" s="502"/>
    </row>
    <row r="545" spans="3:30" ht="10.5" customHeight="1">
      <c r="C545" s="1799" t="s">
        <v>5035</v>
      </c>
      <c r="D545" s="1796">
        <v>0</v>
      </c>
      <c r="E545" s="1796">
        <v>0</v>
      </c>
      <c r="F545" s="1797">
        <v>0</v>
      </c>
      <c r="G545" s="1999" t="s">
        <v>5035</v>
      </c>
      <c r="H545" s="1794">
        <v>0</v>
      </c>
      <c r="I545" s="1794">
        <v>0</v>
      </c>
      <c r="J545" s="2000">
        <v>0</v>
      </c>
      <c r="K545" s="1798"/>
      <c r="L545" s="1792">
        <v>13051001200</v>
      </c>
      <c r="M545" s="1793">
        <v>0</v>
      </c>
      <c r="N545" s="1793">
        <v>0</v>
      </c>
      <c r="O545" s="1793">
        <v>0</v>
      </c>
      <c r="P545" s="530" t="s">
        <v>137</v>
      </c>
      <c r="Q545" s="291"/>
      <c r="R545" s="170"/>
      <c r="S545" s="387"/>
      <c r="T545" s="491" t="s">
        <v>527</v>
      </c>
      <c r="U545" s="491" t="s">
        <v>325</v>
      </c>
      <c r="AA545" s="27"/>
      <c r="AB545" s="27"/>
      <c r="AC545" s="889"/>
      <c r="AD545" s="502"/>
    </row>
    <row r="546" spans="3:30" ht="10.5" customHeight="1">
      <c r="C546" s="1799" t="s">
        <v>5036</v>
      </c>
      <c r="D546" s="1796">
        <v>0</v>
      </c>
      <c r="E546" s="1796">
        <v>0</v>
      </c>
      <c r="F546" s="1797">
        <v>0</v>
      </c>
      <c r="G546" s="1999" t="s">
        <v>5036</v>
      </c>
      <c r="H546" s="1794">
        <v>0</v>
      </c>
      <c r="I546" s="1794" t="s">
        <v>4485</v>
      </c>
      <c r="J546" s="2000">
        <v>0</v>
      </c>
      <c r="K546" s="1798"/>
      <c r="L546" s="1792">
        <v>13051001500</v>
      </c>
      <c r="M546" s="1793">
        <v>0</v>
      </c>
      <c r="N546" s="1793">
        <v>0</v>
      </c>
      <c r="O546" s="1793">
        <v>0</v>
      </c>
      <c r="P546" s="530" t="s">
        <v>139</v>
      </c>
      <c r="Q546" s="291"/>
      <c r="R546" s="170"/>
      <c r="S546" s="387"/>
      <c r="T546" s="491" t="s">
        <v>529</v>
      </c>
      <c r="U546" s="491" t="s">
        <v>421</v>
      </c>
      <c r="AA546" s="27"/>
      <c r="AB546" s="27"/>
      <c r="AC546" s="889"/>
      <c r="AD546" s="502"/>
    </row>
    <row r="547" spans="3:30" ht="10.5" customHeight="1">
      <c r="C547" s="1799" t="s">
        <v>5037</v>
      </c>
      <c r="D547" s="1796">
        <v>0</v>
      </c>
      <c r="E547" s="1796">
        <v>0</v>
      </c>
      <c r="F547" s="1797">
        <v>0</v>
      </c>
      <c r="G547" s="1999" t="s">
        <v>5037</v>
      </c>
      <c r="H547" s="1794">
        <v>0</v>
      </c>
      <c r="I547" s="1794">
        <v>0</v>
      </c>
      <c r="J547" s="2000">
        <v>0</v>
      </c>
      <c r="K547" s="1798"/>
      <c r="L547" s="1792">
        <v>13051002000</v>
      </c>
      <c r="M547" s="1793">
        <v>0</v>
      </c>
      <c r="N547" s="1793">
        <v>0</v>
      </c>
      <c r="O547" s="1793">
        <v>0</v>
      </c>
      <c r="P547" s="530" t="s">
        <v>2527</v>
      </c>
      <c r="Q547" s="291"/>
      <c r="R547" s="170"/>
      <c r="S547" s="387"/>
      <c r="T547" s="531" t="s">
        <v>674</v>
      </c>
      <c r="U547" s="531" t="s">
        <v>1180</v>
      </c>
      <c r="AA547" s="27"/>
      <c r="AB547" s="27"/>
      <c r="AC547" s="889"/>
      <c r="AD547" s="502"/>
    </row>
    <row r="548" spans="3:30" ht="10.5" customHeight="1">
      <c r="C548" s="1799" t="s">
        <v>5038</v>
      </c>
      <c r="D548" s="1796">
        <v>0</v>
      </c>
      <c r="E548" s="1796">
        <v>0</v>
      </c>
      <c r="F548" s="1797">
        <v>0</v>
      </c>
      <c r="G548" s="1999" t="s">
        <v>5038</v>
      </c>
      <c r="H548" s="1794">
        <v>0</v>
      </c>
      <c r="I548" s="1794">
        <v>0</v>
      </c>
      <c r="J548" s="2000">
        <v>0</v>
      </c>
      <c r="K548" s="1798"/>
      <c r="L548" s="1792">
        <v>13051002100</v>
      </c>
      <c r="M548" s="1793">
        <v>0</v>
      </c>
      <c r="N548" s="1793">
        <v>0</v>
      </c>
      <c r="O548" s="1793">
        <v>0</v>
      </c>
      <c r="P548" s="530" t="s">
        <v>2046</v>
      </c>
      <c r="Q548" s="291"/>
      <c r="R548" s="170"/>
      <c r="S548" s="387"/>
      <c r="T548" s="491" t="s">
        <v>809</v>
      </c>
      <c r="U548" s="491" t="s">
        <v>637</v>
      </c>
      <c r="AA548" s="27"/>
      <c r="AB548" s="27"/>
      <c r="AC548" s="890"/>
      <c r="AD548" s="502"/>
    </row>
    <row r="549" spans="3:30" ht="10.5" customHeight="1">
      <c r="C549" s="1799" t="s">
        <v>5039</v>
      </c>
      <c r="D549" s="1796">
        <v>0</v>
      </c>
      <c r="E549" s="1796">
        <v>0</v>
      </c>
      <c r="F549" s="1797">
        <v>0</v>
      </c>
      <c r="G549" s="1999" t="s">
        <v>5039</v>
      </c>
      <c r="H549" s="1794">
        <v>0</v>
      </c>
      <c r="I549" s="1794">
        <v>0</v>
      </c>
      <c r="J549" s="2000">
        <v>0</v>
      </c>
      <c r="K549" s="1798"/>
      <c r="L549" s="1792">
        <v>13051002200</v>
      </c>
      <c r="M549" s="1793">
        <v>0</v>
      </c>
      <c r="N549" s="1793">
        <v>0</v>
      </c>
      <c r="O549" s="1793">
        <v>0</v>
      </c>
      <c r="P549" s="530" t="s">
        <v>2048</v>
      </c>
      <c r="Q549" s="291"/>
      <c r="R549" s="170"/>
      <c r="S549" s="387"/>
      <c r="T549" s="491" t="s">
        <v>1600</v>
      </c>
      <c r="U549" s="491" t="s">
        <v>646</v>
      </c>
      <c r="AA549" s="27"/>
      <c r="AB549" s="27"/>
      <c r="AC549" s="889"/>
      <c r="AD549" s="502"/>
    </row>
    <row r="550" spans="3:30" ht="10.5" customHeight="1">
      <c r="C550" s="1799" t="s">
        <v>5040</v>
      </c>
      <c r="D550" s="1796">
        <v>0</v>
      </c>
      <c r="E550" s="1796">
        <v>0</v>
      </c>
      <c r="F550" s="1797">
        <v>0</v>
      </c>
      <c r="G550" s="1999" t="s">
        <v>5040</v>
      </c>
      <c r="H550" s="1794">
        <v>0</v>
      </c>
      <c r="I550" s="1794">
        <v>0</v>
      </c>
      <c r="J550" s="2000">
        <v>0</v>
      </c>
      <c r="K550" s="1798"/>
      <c r="L550" s="1792">
        <v>13051002300</v>
      </c>
      <c r="M550" s="1793">
        <v>0</v>
      </c>
      <c r="N550" s="1793">
        <v>0</v>
      </c>
      <c r="O550" s="1793">
        <v>0</v>
      </c>
      <c r="P550" s="530" t="s">
        <v>572</v>
      </c>
      <c r="Q550" s="291"/>
      <c r="R550" s="170"/>
      <c r="S550" s="387"/>
      <c r="T550" s="491" t="s">
        <v>2030</v>
      </c>
      <c r="U550" s="491" t="s">
        <v>1074</v>
      </c>
      <c r="AA550" s="27"/>
      <c r="AB550" s="27"/>
      <c r="AC550" s="889"/>
      <c r="AD550" s="502"/>
    </row>
    <row r="551" spans="3:30" ht="10.5" customHeight="1">
      <c r="C551" s="1799" t="s">
        <v>5041</v>
      </c>
      <c r="D551" s="1796">
        <v>0</v>
      </c>
      <c r="E551" s="1796">
        <v>0</v>
      </c>
      <c r="F551" s="1797">
        <v>0</v>
      </c>
      <c r="G551" s="1999" t="s">
        <v>5041</v>
      </c>
      <c r="H551" s="1794">
        <v>0</v>
      </c>
      <c r="I551" s="1794" t="s">
        <v>4485</v>
      </c>
      <c r="J551" s="2000">
        <v>0</v>
      </c>
      <c r="K551" s="1798"/>
      <c r="L551" s="1792">
        <v>13051002600</v>
      </c>
      <c r="M551" s="1793">
        <v>0</v>
      </c>
      <c r="N551" s="1793">
        <v>0</v>
      </c>
      <c r="O551" s="1793">
        <v>0</v>
      </c>
      <c r="P551" s="530" t="s">
        <v>2283</v>
      </c>
      <c r="Q551" s="291"/>
      <c r="R551" s="170"/>
      <c r="S551" s="387"/>
      <c r="T551" s="491" t="s">
        <v>1602</v>
      </c>
      <c r="U551" s="491" t="s">
        <v>1961</v>
      </c>
      <c r="AA551" s="27"/>
      <c r="AB551" s="27"/>
      <c r="AC551" s="889"/>
      <c r="AD551" s="502"/>
    </row>
    <row r="552" spans="3:30" ht="10.5" customHeight="1">
      <c r="C552" s="1799" t="s">
        <v>5042</v>
      </c>
      <c r="D552" s="1796">
        <v>0</v>
      </c>
      <c r="E552" s="1796">
        <v>0</v>
      </c>
      <c r="F552" s="1797">
        <v>0</v>
      </c>
      <c r="G552" s="1999" t="s">
        <v>5042</v>
      </c>
      <c r="H552" s="1794">
        <v>0</v>
      </c>
      <c r="I552" s="1794">
        <v>0</v>
      </c>
      <c r="J552" s="2000">
        <v>0</v>
      </c>
      <c r="K552" s="1798"/>
      <c r="L552" s="1792">
        <v>13051002700</v>
      </c>
      <c r="M552" s="1793">
        <v>0</v>
      </c>
      <c r="N552" s="1793">
        <v>0</v>
      </c>
      <c r="O552" s="1793">
        <v>0</v>
      </c>
      <c r="P552" s="530" t="s">
        <v>685</v>
      </c>
      <c r="Q552" s="291"/>
      <c r="R552" s="170"/>
      <c r="S552" s="387"/>
      <c r="T552" s="491" t="s">
        <v>457</v>
      </c>
      <c r="U552" s="491" t="s">
        <v>1293</v>
      </c>
      <c r="AA552" s="27"/>
      <c r="AB552" s="27"/>
      <c r="AC552" s="889"/>
      <c r="AD552" s="502"/>
    </row>
    <row r="553" spans="3:30" ht="10.5" customHeight="1">
      <c r="C553" s="1799" t="s">
        <v>5043</v>
      </c>
      <c r="D553" s="1796">
        <v>0</v>
      </c>
      <c r="E553" s="1796">
        <v>0</v>
      </c>
      <c r="F553" s="1797">
        <v>0</v>
      </c>
      <c r="G553" s="1999" t="s">
        <v>5043</v>
      </c>
      <c r="H553" s="1794">
        <v>0</v>
      </c>
      <c r="I553" s="1794">
        <v>0</v>
      </c>
      <c r="J553" s="2000">
        <v>0</v>
      </c>
      <c r="K553" s="1798"/>
      <c r="L553" s="1792">
        <v>13051002800</v>
      </c>
      <c r="M553" s="1793">
        <v>0</v>
      </c>
      <c r="N553" s="1793">
        <v>0</v>
      </c>
      <c r="O553" s="1793">
        <v>0</v>
      </c>
      <c r="P553" s="530" t="s">
        <v>687</v>
      </c>
      <c r="Q553" s="291"/>
      <c r="R553" s="170"/>
      <c r="S553" s="387"/>
      <c r="T553" s="491" t="s">
        <v>180</v>
      </c>
      <c r="U553" s="491" t="s">
        <v>155</v>
      </c>
      <c r="AA553" s="27"/>
      <c r="AB553" s="27"/>
      <c r="AC553" s="889"/>
      <c r="AD553" s="502"/>
    </row>
    <row r="554" spans="3:30" ht="10.5" customHeight="1">
      <c r="C554" s="1799" t="s">
        <v>5044</v>
      </c>
      <c r="D554" s="1796">
        <v>1</v>
      </c>
      <c r="E554" s="1796">
        <v>1</v>
      </c>
      <c r="F554" s="1797">
        <v>2</v>
      </c>
      <c r="G554" s="1999" t="s">
        <v>5044</v>
      </c>
      <c r="H554" s="1794">
        <v>1</v>
      </c>
      <c r="I554" s="1794">
        <v>1</v>
      </c>
      <c r="J554" s="2000">
        <v>2</v>
      </c>
      <c r="K554" s="1798"/>
      <c r="L554" s="1792">
        <v>13051002900</v>
      </c>
      <c r="M554" s="1793">
        <v>1</v>
      </c>
      <c r="N554" s="1793">
        <v>1</v>
      </c>
      <c r="O554" s="1793">
        <v>2</v>
      </c>
      <c r="P554" s="530" t="s">
        <v>2226</v>
      </c>
      <c r="Q554" s="291"/>
      <c r="R554" s="170"/>
      <c r="S554" s="387"/>
      <c r="T554" s="491" t="s">
        <v>1239</v>
      </c>
      <c r="U554" s="491" t="s">
        <v>320</v>
      </c>
      <c r="AA554" s="27"/>
      <c r="AB554" s="27"/>
      <c r="AC554" s="889"/>
      <c r="AD554" s="502"/>
    </row>
    <row r="555" spans="3:30" ht="10.5" customHeight="1">
      <c r="C555" s="1799" t="s">
        <v>5045</v>
      </c>
      <c r="D555" s="1796">
        <v>1</v>
      </c>
      <c r="E555" s="1796">
        <v>1</v>
      </c>
      <c r="F555" s="1797">
        <v>2</v>
      </c>
      <c r="G555" s="1999" t="s">
        <v>5045</v>
      </c>
      <c r="H555" s="1794">
        <v>1</v>
      </c>
      <c r="I555" s="1794">
        <v>0</v>
      </c>
      <c r="J555" s="2000">
        <v>1</v>
      </c>
      <c r="K555" s="1798"/>
      <c r="L555" s="1792">
        <v>13051003000</v>
      </c>
      <c r="M555" s="1793">
        <v>1</v>
      </c>
      <c r="N555" s="1793">
        <v>1</v>
      </c>
      <c r="O555" s="1793">
        <v>2</v>
      </c>
      <c r="P555" s="530" t="s">
        <v>40</v>
      </c>
      <c r="Q555" s="291"/>
      <c r="R555" s="170"/>
      <c r="S555" s="387"/>
      <c r="T555" s="491" t="s">
        <v>973</v>
      </c>
      <c r="U555" s="491" t="s">
        <v>1424</v>
      </c>
      <c r="AA555" s="27"/>
      <c r="AB555" s="27"/>
      <c r="AC555" s="889"/>
      <c r="AD555" s="502"/>
    </row>
    <row r="556" spans="3:30" ht="10.5" customHeight="1">
      <c r="C556" s="1799" t="s">
        <v>5046</v>
      </c>
      <c r="D556" s="1796">
        <v>0</v>
      </c>
      <c r="E556" s="1796">
        <v>0</v>
      </c>
      <c r="F556" s="1797">
        <v>0</v>
      </c>
      <c r="G556" s="1999" t="s">
        <v>5046</v>
      </c>
      <c r="H556" s="1794">
        <v>0</v>
      </c>
      <c r="I556" s="1794">
        <v>0</v>
      </c>
      <c r="J556" s="2000">
        <v>0</v>
      </c>
      <c r="K556" s="1798"/>
      <c r="L556" s="1792">
        <v>13051003301</v>
      </c>
      <c r="M556" s="1793">
        <v>0</v>
      </c>
      <c r="N556" s="1793">
        <v>0</v>
      </c>
      <c r="O556" s="1793">
        <v>0</v>
      </c>
      <c r="P556" s="530" t="s">
        <v>41</v>
      </c>
      <c r="Q556" s="291"/>
      <c r="R556" s="170"/>
      <c r="S556" s="387"/>
      <c r="T556" s="491" t="s">
        <v>1037</v>
      </c>
      <c r="U556" s="491" t="s">
        <v>171</v>
      </c>
      <c r="AA556" s="27"/>
      <c r="AB556" s="27"/>
      <c r="AC556" s="889"/>
      <c r="AD556" s="502"/>
    </row>
    <row r="557" spans="3:30" ht="10.5" customHeight="1">
      <c r="C557" s="1799" t="s">
        <v>5047</v>
      </c>
      <c r="D557" s="1796">
        <v>0</v>
      </c>
      <c r="E557" s="1796">
        <v>0</v>
      </c>
      <c r="F557" s="1797">
        <v>0</v>
      </c>
      <c r="G557" s="1999" t="s">
        <v>5047</v>
      </c>
      <c r="H557" s="1794">
        <v>0</v>
      </c>
      <c r="I557" s="1794">
        <v>0</v>
      </c>
      <c r="J557" s="2000">
        <v>0</v>
      </c>
      <c r="K557" s="1798"/>
      <c r="L557" s="1792">
        <v>13051003302</v>
      </c>
      <c r="M557" s="1793">
        <v>0</v>
      </c>
      <c r="N557" s="1793">
        <v>0</v>
      </c>
      <c r="O557" s="1793">
        <v>0</v>
      </c>
      <c r="P557" s="530" t="s">
        <v>2190</v>
      </c>
      <c r="Q557" s="291"/>
      <c r="R557" s="170"/>
      <c r="S557" s="387"/>
      <c r="T557" s="491" t="s">
        <v>135</v>
      </c>
      <c r="U557" s="491" t="s">
        <v>2465</v>
      </c>
      <c r="AA557" s="27"/>
      <c r="AB557" s="27"/>
      <c r="AC557" s="889"/>
      <c r="AD557" s="502"/>
    </row>
    <row r="558" spans="3:30" ht="10.5" customHeight="1">
      <c r="C558" s="1799" t="s">
        <v>5048</v>
      </c>
      <c r="D558" s="1796">
        <v>1</v>
      </c>
      <c r="E558" s="1796">
        <v>0</v>
      </c>
      <c r="F558" s="1797">
        <v>1</v>
      </c>
      <c r="G558" s="1999" t="s">
        <v>5048</v>
      </c>
      <c r="H558" s="1794">
        <v>0</v>
      </c>
      <c r="I558" s="1794">
        <v>0</v>
      </c>
      <c r="J558" s="2000">
        <v>0</v>
      </c>
      <c r="K558" s="1798"/>
      <c r="L558" s="1792">
        <v>13051003400</v>
      </c>
      <c r="M558" s="1793">
        <v>1</v>
      </c>
      <c r="N558" s="1793">
        <v>0</v>
      </c>
      <c r="O558" s="1793">
        <v>1</v>
      </c>
      <c r="P558" s="530" t="s">
        <v>2217</v>
      </c>
      <c r="Q558" s="291"/>
      <c r="R558" s="170"/>
      <c r="S558" s="387"/>
      <c r="T558" s="491" t="s">
        <v>2517</v>
      </c>
      <c r="U558" s="491" t="s">
        <v>1305</v>
      </c>
      <c r="AA558" s="27"/>
      <c r="AB558" s="27"/>
      <c r="AC558" s="889"/>
      <c r="AD558" s="502"/>
    </row>
    <row r="559" spans="3:30" ht="10.5" customHeight="1">
      <c r="C559" s="1799" t="s">
        <v>5049</v>
      </c>
      <c r="D559" s="1796">
        <v>0</v>
      </c>
      <c r="E559" s="1796">
        <v>0</v>
      </c>
      <c r="F559" s="1797">
        <v>0</v>
      </c>
      <c r="G559" s="1999" t="s">
        <v>5049</v>
      </c>
      <c r="H559" s="1794">
        <v>0</v>
      </c>
      <c r="I559" s="1794">
        <v>0</v>
      </c>
      <c r="J559" s="2000">
        <v>0</v>
      </c>
      <c r="K559" s="1798"/>
      <c r="L559" s="1792">
        <v>13051003501</v>
      </c>
      <c r="M559" s="1793">
        <v>0</v>
      </c>
      <c r="N559" s="1793">
        <v>0</v>
      </c>
      <c r="O559" s="1793">
        <v>0</v>
      </c>
      <c r="P559" s="530" t="s">
        <v>386</v>
      </c>
      <c r="Q559" s="291"/>
      <c r="R559" s="170"/>
      <c r="S559" s="387"/>
      <c r="T559" s="491" t="s">
        <v>138</v>
      </c>
      <c r="U559" s="491" t="s">
        <v>637</v>
      </c>
      <c r="AA559" s="27"/>
      <c r="AB559" s="27"/>
      <c r="AC559" s="889"/>
      <c r="AD559" s="502"/>
    </row>
    <row r="560" spans="3:30" ht="10.5" customHeight="1">
      <c r="C560" s="1799" t="s">
        <v>5050</v>
      </c>
      <c r="D560" s="1796">
        <v>0</v>
      </c>
      <c r="E560" s="1796">
        <v>0</v>
      </c>
      <c r="F560" s="1797">
        <v>0</v>
      </c>
      <c r="G560" s="1999" t="s">
        <v>5050</v>
      </c>
      <c r="H560" s="1794">
        <v>0</v>
      </c>
      <c r="I560" s="1794">
        <v>0</v>
      </c>
      <c r="J560" s="2000">
        <v>0</v>
      </c>
      <c r="K560" s="1798"/>
      <c r="L560" s="1792">
        <v>13051003502</v>
      </c>
      <c r="M560" s="1793">
        <v>0</v>
      </c>
      <c r="N560" s="1793">
        <v>0</v>
      </c>
      <c r="O560" s="1793">
        <v>0</v>
      </c>
      <c r="P560" s="530" t="s">
        <v>388</v>
      </c>
      <c r="Q560" s="291"/>
      <c r="R560" s="170"/>
      <c r="S560" s="387"/>
      <c r="T560" s="531" t="s">
        <v>140</v>
      </c>
      <c r="U560" s="531" t="s">
        <v>2419</v>
      </c>
      <c r="AA560" s="27"/>
      <c r="AB560" s="27"/>
      <c r="AC560" s="889"/>
      <c r="AD560" s="502"/>
    </row>
    <row r="561" spans="3:30" ht="10.5" customHeight="1">
      <c r="C561" s="1799" t="s">
        <v>5051</v>
      </c>
      <c r="D561" s="1796">
        <v>0</v>
      </c>
      <c r="E561" s="1796">
        <v>0</v>
      </c>
      <c r="F561" s="1797">
        <v>0</v>
      </c>
      <c r="G561" s="1999" t="s">
        <v>5051</v>
      </c>
      <c r="H561" s="1794">
        <v>0</v>
      </c>
      <c r="I561" s="1794" t="s">
        <v>4485</v>
      </c>
      <c r="J561" s="2000">
        <v>0</v>
      </c>
      <c r="K561" s="1798"/>
      <c r="L561" s="1792">
        <v>13051003601</v>
      </c>
      <c r="M561" s="1793">
        <v>0</v>
      </c>
      <c r="N561" s="1793">
        <v>0</v>
      </c>
      <c r="O561" s="1793">
        <v>0</v>
      </c>
      <c r="P561" s="530" t="s">
        <v>390</v>
      </c>
      <c r="Q561" s="291"/>
      <c r="R561" s="170"/>
      <c r="S561" s="387"/>
      <c r="T561" s="531" t="s">
        <v>2528</v>
      </c>
      <c r="U561" s="531" t="s">
        <v>1297</v>
      </c>
      <c r="AA561" s="27"/>
      <c r="AB561" s="27"/>
      <c r="AC561" s="890"/>
      <c r="AD561" s="502"/>
    </row>
    <row r="562" spans="3:30" ht="10.5" customHeight="1">
      <c r="C562" s="1799" t="s">
        <v>5052</v>
      </c>
      <c r="D562" s="1796">
        <v>0</v>
      </c>
      <c r="E562" s="1796">
        <v>0</v>
      </c>
      <c r="F562" s="1797">
        <v>0</v>
      </c>
      <c r="G562" s="1999" t="s">
        <v>5052</v>
      </c>
      <c r="H562" s="1794">
        <v>0</v>
      </c>
      <c r="I562" s="1794">
        <v>0</v>
      </c>
      <c r="J562" s="2000">
        <v>0</v>
      </c>
      <c r="K562" s="1798"/>
      <c r="L562" s="1792">
        <v>13051003602</v>
      </c>
      <c r="M562" s="1793">
        <v>0</v>
      </c>
      <c r="N562" s="1793">
        <v>0</v>
      </c>
      <c r="O562" s="1793">
        <v>0</v>
      </c>
      <c r="P562" s="530" t="s">
        <v>392</v>
      </c>
      <c r="Q562" s="291"/>
      <c r="R562" s="170"/>
      <c r="S562" s="387"/>
      <c r="T562" s="531" t="s">
        <v>2047</v>
      </c>
      <c r="U562" s="531" t="s">
        <v>2425</v>
      </c>
      <c r="AA562" s="27"/>
      <c r="AB562" s="27"/>
      <c r="AC562" s="890"/>
      <c r="AD562" s="502"/>
    </row>
    <row r="563" spans="3:30" ht="10.5" customHeight="1">
      <c r="C563" s="1799" t="s">
        <v>5053</v>
      </c>
      <c r="D563" s="1796">
        <v>0</v>
      </c>
      <c r="E563" s="1796">
        <v>0</v>
      </c>
      <c r="F563" s="1797">
        <v>0</v>
      </c>
      <c r="G563" s="1999" t="s">
        <v>5053</v>
      </c>
      <c r="H563" s="1794">
        <v>0</v>
      </c>
      <c r="I563" s="1794">
        <v>0</v>
      </c>
      <c r="J563" s="2000">
        <v>0</v>
      </c>
      <c r="K563" s="1798"/>
      <c r="L563" s="1792">
        <v>13051003700</v>
      </c>
      <c r="M563" s="1793">
        <v>0</v>
      </c>
      <c r="N563" s="1793">
        <v>0</v>
      </c>
      <c r="O563" s="1793">
        <v>0</v>
      </c>
      <c r="P563" s="530" t="s">
        <v>1550</v>
      </c>
      <c r="Q563" s="291"/>
      <c r="R563" s="170"/>
      <c r="S563" s="387"/>
      <c r="T563" s="491" t="s">
        <v>736</v>
      </c>
      <c r="U563" s="491" t="s">
        <v>119</v>
      </c>
      <c r="AA563" s="27"/>
      <c r="AB563" s="27"/>
      <c r="AC563" s="890"/>
      <c r="AD563" s="502"/>
    </row>
    <row r="564" spans="3:30" ht="10.5" customHeight="1">
      <c r="C564" s="1799" t="s">
        <v>5054</v>
      </c>
      <c r="D564" s="1796">
        <v>0</v>
      </c>
      <c r="E564" s="1796">
        <v>0</v>
      </c>
      <c r="F564" s="1797">
        <v>0</v>
      </c>
      <c r="G564" s="1999" t="s">
        <v>5054</v>
      </c>
      <c r="H564" s="1794">
        <v>0</v>
      </c>
      <c r="I564" s="1794">
        <v>0</v>
      </c>
      <c r="J564" s="2000">
        <v>0</v>
      </c>
      <c r="K564" s="1798"/>
      <c r="L564" s="1792">
        <v>13051003800</v>
      </c>
      <c r="M564" s="1793">
        <v>0</v>
      </c>
      <c r="N564" s="1793">
        <v>0</v>
      </c>
      <c r="O564" s="1793">
        <v>0</v>
      </c>
      <c r="P564" s="530" t="s">
        <v>1552</v>
      </c>
      <c r="Q564" s="291"/>
      <c r="R564" s="170"/>
      <c r="S564" s="387"/>
      <c r="T564" s="491" t="s">
        <v>737</v>
      </c>
      <c r="U564" s="491" t="s">
        <v>180</v>
      </c>
      <c r="AA564" s="27"/>
      <c r="AB564" s="27"/>
      <c r="AC564" s="889"/>
      <c r="AD564" s="502"/>
    </row>
    <row r="565" spans="3:30" ht="10.5" customHeight="1">
      <c r="C565" s="1799" t="s">
        <v>5055</v>
      </c>
      <c r="D565" s="1796">
        <v>0</v>
      </c>
      <c r="E565" s="1796">
        <v>0</v>
      </c>
      <c r="F565" s="1797">
        <v>0</v>
      </c>
      <c r="G565" s="1999" t="s">
        <v>5055</v>
      </c>
      <c r="H565" s="1794">
        <v>0</v>
      </c>
      <c r="I565" s="1794" t="s">
        <v>4485</v>
      </c>
      <c r="J565" s="2000">
        <v>0</v>
      </c>
      <c r="K565" s="1798"/>
      <c r="L565" s="1792">
        <v>13051003900</v>
      </c>
      <c r="M565" s="1793">
        <v>0</v>
      </c>
      <c r="N565" s="1793">
        <v>0</v>
      </c>
      <c r="O565" s="1793">
        <v>0</v>
      </c>
      <c r="P565" s="530" t="s">
        <v>1554</v>
      </c>
      <c r="Q565" s="291"/>
      <c r="R565" s="170"/>
      <c r="S565" s="387"/>
      <c r="T565" s="491" t="s">
        <v>686</v>
      </c>
      <c r="U565" s="491" t="s">
        <v>715</v>
      </c>
      <c r="AA565" s="27"/>
      <c r="AB565" s="27"/>
      <c r="AC565" s="889"/>
      <c r="AD565" s="502"/>
    </row>
    <row r="566" spans="3:30" ht="10.5" customHeight="1">
      <c r="C566" s="1799" t="s">
        <v>5056</v>
      </c>
      <c r="D566" s="1796">
        <v>0</v>
      </c>
      <c r="E566" s="1796">
        <v>0</v>
      </c>
      <c r="F566" s="1797">
        <v>0</v>
      </c>
      <c r="G566" s="1999" t="s">
        <v>5056</v>
      </c>
      <c r="H566" s="1794">
        <v>1</v>
      </c>
      <c r="I566" s="1794">
        <v>1</v>
      </c>
      <c r="J566" s="2000">
        <v>2</v>
      </c>
      <c r="K566" s="1798"/>
      <c r="L566" s="1792">
        <v>13051004001</v>
      </c>
      <c r="M566" s="1793">
        <v>1</v>
      </c>
      <c r="N566" s="1793">
        <v>1</v>
      </c>
      <c r="O566" s="1793">
        <v>2</v>
      </c>
      <c r="P566" s="530" t="s">
        <v>2526</v>
      </c>
      <c r="Q566" s="291"/>
      <c r="R566" s="170"/>
      <c r="S566" s="387"/>
      <c r="T566" s="491" t="s">
        <v>688</v>
      </c>
      <c r="U566" s="491" t="s">
        <v>1083</v>
      </c>
      <c r="AA566" s="27"/>
      <c r="AB566" s="27"/>
      <c r="AC566" s="889"/>
      <c r="AD566" s="502"/>
    </row>
    <row r="567" spans="3:30" ht="10.5" customHeight="1">
      <c r="C567" s="1799" t="s">
        <v>5057</v>
      </c>
      <c r="D567" s="1796">
        <v>0</v>
      </c>
      <c r="E567" s="1796">
        <v>0</v>
      </c>
      <c r="F567" s="1797">
        <v>0</v>
      </c>
      <c r="G567" s="1999" t="s">
        <v>5057</v>
      </c>
      <c r="H567" s="1794">
        <v>0</v>
      </c>
      <c r="I567" s="1794">
        <v>0</v>
      </c>
      <c r="J567" s="2000">
        <v>0</v>
      </c>
      <c r="K567" s="1798"/>
      <c r="L567" s="1792">
        <v>13051004002</v>
      </c>
      <c r="M567" s="1793">
        <v>0</v>
      </c>
      <c r="N567" s="1793">
        <v>0</v>
      </c>
      <c r="O567" s="1793">
        <v>0</v>
      </c>
      <c r="P567" s="530" t="s">
        <v>2391</v>
      </c>
      <c r="Q567" s="291"/>
      <c r="R567" s="170"/>
      <c r="S567" s="387"/>
      <c r="T567" s="491" t="s">
        <v>2227</v>
      </c>
      <c r="U567" s="491" t="s">
        <v>1180</v>
      </c>
      <c r="AA567" s="27"/>
      <c r="AB567" s="27"/>
      <c r="AC567" s="889"/>
      <c r="AD567" s="502"/>
    </row>
    <row r="568" spans="3:30" ht="10.5" customHeight="1">
      <c r="C568" s="1799" t="s">
        <v>5058</v>
      </c>
      <c r="D568" s="1796">
        <v>1</v>
      </c>
      <c r="E568" s="1796">
        <v>0</v>
      </c>
      <c r="F568" s="1797">
        <v>1</v>
      </c>
      <c r="G568" s="1999" t="s">
        <v>5058</v>
      </c>
      <c r="H568" s="1794">
        <v>1</v>
      </c>
      <c r="I568" s="1794">
        <v>0</v>
      </c>
      <c r="J568" s="2000">
        <v>1</v>
      </c>
      <c r="K568" s="1798"/>
      <c r="L568" s="1792">
        <v>13051004100</v>
      </c>
      <c r="M568" s="1793">
        <v>1</v>
      </c>
      <c r="N568" s="1793">
        <v>0</v>
      </c>
      <c r="O568" s="1793">
        <v>1</v>
      </c>
      <c r="P568" s="530" t="s">
        <v>1781</v>
      </c>
      <c r="Q568" s="291"/>
      <c r="R568" s="170"/>
      <c r="S568" s="387"/>
      <c r="T568" s="491" t="s">
        <v>42</v>
      </c>
      <c r="U568" s="491" t="s">
        <v>1296</v>
      </c>
      <c r="AA568" s="27"/>
      <c r="AB568" s="27"/>
      <c r="AC568" s="889"/>
      <c r="AD568" s="502"/>
    </row>
    <row r="569" spans="3:30" ht="10.5" customHeight="1">
      <c r="C569" s="1799" t="s">
        <v>5059</v>
      </c>
      <c r="D569" s="1796">
        <v>0</v>
      </c>
      <c r="E569" s="1796">
        <v>0</v>
      </c>
      <c r="F569" s="1797">
        <v>0</v>
      </c>
      <c r="G569" s="1999" t="s">
        <v>5059</v>
      </c>
      <c r="H569" s="1794">
        <v>0</v>
      </c>
      <c r="I569" s="1794">
        <v>0</v>
      </c>
      <c r="J569" s="2000">
        <v>0</v>
      </c>
      <c r="K569" s="1798"/>
      <c r="L569" s="1792">
        <v>13051004207</v>
      </c>
      <c r="M569" s="1793">
        <v>0</v>
      </c>
      <c r="N569" s="1793">
        <v>0</v>
      </c>
      <c r="O569" s="1793">
        <v>0</v>
      </c>
      <c r="P569" s="530" t="s">
        <v>1783</v>
      </c>
      <c r="Q569" s="291"/>
      <c r="R569" s="170"/>
      <c r="S569" s="387"/>
      <c r="T569" s="491" t="s">
        <v>2191</v>
      </c>
      <c r="U569" s="491" t="s">
        <v>1290</v>
      </c>
      <c r="AA569" s="27"/>
      <c r="AB569" s="27"/>
      <c r="AC569" s="889"/>
      <c r="AD569" s="502"/>
    </row>
    <row r="570" spans="3:30" ht="10.5" customHeight="1">
      <c r="C570" s="1799" t="s">
        <v>5060</v>
      </c>
      <c r="D570" s="1796">
        <v>0</v>
      </c>
      <c r="E570" s="1796">
        <v>0</v>
      </c>
      <c r="F570" s="1797">
        <v>0</v>
      </c>
      <c r="G570" s="1999" t="s">
        <v>5060</v>
      </c>
      <c r="H570" s="1794">
        <v>0</v>
      </c>
      <c r="I570" s="1794">
        <v>0</v>
      </c>
      <c r="J570" s="2000">
        <v>0</v>
      </c>
      <c r="K570" s="1798"/>
      <c r="L570" s="1792">
        <v>13051004208</v>
      </c>
      <c r="M570" s="1793">
        <v>0</v>
      </c>
      <c r="N570" s="1793">
        <v>0</v>
      </c>
      <c r="O570" s="1793">
        <v>0</v>
      </c>
      <c r="P570" s="530" t="s">
        <v>1785</v>
      </c>
      <c r="Q570" s="291"/>
      <c r="R570" s="170"/>
      <c r="S570" s="387"/>
      <c r="T570" s="491" t="s">
        <v>810</v>
      </c>
      <c r="U570" s="491" t="s">
        <v>171</v>
      </c>
      <c r="AA570" s="27"/>
      <c r="AB570" s="27"/>
      <c r="AC570" s="889"/>
      <c r="AD570" s="502"/>
    </row>
    <row r="571" spans="3:30" ht="10.5" customHeight="1">
      <c r="C571" s="1799" t="s">
        <v>5061</v>
      </c>
      <c r="D571" s="1796">
        <v>0</v>
      </c>
      <c r="E571" s="1796">
        <v>0</v>
      </c>
      <c r="F571" s="1797">
        <v>0</v>
      </c>
      <c r="G571" s="1999" t="s">
        <v>5061</v>
      </c>
      <c r="H571" s="1794">
        <v>0</v>
      </c>
      <c r="I571" s="1794">
        <v>0</v>
      </c>
      <c r="J571" s="2000">
        <v>0</v>
      </c>
      <c r="K571" s="1798"/>
      <c r="L571" s="1792">
        <v>13051004209</v>
      </c>
      <c r="M571" s="1793">
        <v>0</v>
      </c>
      <c r="N571" s="1793">
        <v>0</v>
      </c>
      <c r="O571" s="1793">
        <v>0</v>
      </c>
      <c r="P571" s="530" t="s">
        <v>1786</v>
      </c>
      <c r="Q571" s="291"/>
      <c r="R571" s="170"/>
      <c r="S571" s="387"/>
      <c r="T571" s="491" t="s">
        <v>1008</v>
      </c>
      <c r="U571" s="491" t="s">
        <v>1071</v>
      </c>
      <c r="AA571" s="27"/>
      <c r="AB571" s="27"/>
      <c r="AC571" s="889"/>
      <c r="AD571" s="502"/>
    </row>
    <row r="572" spans="3:30" ht="10.5" customHeight="1">
      <c r="C572" s="1799" t="s">
        <v>5062</v>
      </c>
      <c r="D572" s="1796">
        <v>0</v>
      </c>
      <c r="E572" s="1796">
        <v>0</v>
      </c>
      <c r="F572" s="1797">
        <v>0</v>
      </c>
      <c r="G572" s="1999" t="s">
        <v>5062</v>
      </c>
      <c r="H572" s="1794">
        <v>0</v>
      </c>
      <c r="I572" s="1794">
        <v>0</v>
      </c>
      <c r="J572" s="2000">
        <v>0</v>
      </c>
      <c r="K572" s="1798"/>
      <c r="L572" s="1792">
        <v>13051004210</v>
      </c>
      <c r="M572" s="1793">
        <v>0</v>
      </c>
      <c r="N572" s="1793">
        <v>0</v>
      </c>
      <c r="O572" s="1793">
        <v>0</v>
      </c>
      <c r="P572" s="530" t="s">
        <v>1788</v>
      </c>
      <c r="Q572" s="291"/>
      <c r="R572" s="170"/>
      <c r="S572" s="387"/>
      <c r="T572" s="491" t="s">
        <v>387</v>
      </c>
      <c r="U572" s="491" t="s">
        <v>2522</v>
      </c>
      <c r="AA572" s="27"/>
      <c r="AB572" s="27"/>
      <c r="AC572" s="889"/>
      <c r="AD572" s="502"/>
    </row>
    <row r="573" spans="3:30" ht="10.5" customHeight="1">
      <c r="C573" s="1799" t="s">
        <v>5063</v>
      </c>
      <c r="D573" s="1796">
        <v>0</v>
      </c>
      <c r="E573" s="1796">
        <v>0</v>
      </c>
      <c r="F573" s="1797">
        <v>0</v>
      </c>
      <c r="G573" s="1999" t="s">
        <v>5063</v>
      </c>
      <c r="H573" s="1794">
        <v>0</v>
      </c>
      <c r="I573" s="1794">
        <v>0</v>
      </c>
      <c r="J573" s="2000">
        <v>0</v>
      </c>
      <c r="K573" s="1798"/>
      <c r="L573" s="1792">
        <v>13051004211</v>
      </c>
      <c r="M573" s="1793">
        <v>0</v>
      </c>
      <c r="N573" s="1793">
        <v>0</v>
      </c>
      <c r="O573" s="1793">
        <v>0</v>
      </c>
      <c r="P573" s="530" t="s">
        <v>1790</v>
      </c>
      <c r="Q573" s="291"/>
      <c r="R573" s="170"/>
      <c r="S573" s="387"/>
      <c r="T573" s="491" t="s">
        <v>389</v>
      </c>
      <c r="U573" s="491" t="s">
        <v>2118</v>
      </c>
      <c r="AA573" s="27"/>
      <c r="AB573" s="27"/>
      <c r="AC573" s="889"/>
      <c r="AD573" s="502"/>
    </row>
    <row r="574" spans="3:30" ht="10.5" customHeight="1">
      <c r="C574" s="1799" t="s">
        <v>5064</v>
      </c>
      <c r="D574" s="1796">
        <v>0</v>
      </c>
      <c r="E574" s="1796">
        <v>1</v>
      </c>
      <c r="F574" s="1797">
        <v>1</v>
      </c>
      <c r="G574" s="1999" t="s">
        <v>5064</v>
      </c>
      <c r="H574" s="1794">
        <v>0</v>
      </c>
      <c r="I574" s="1794">
        <v>1</v>
      </c>
      <c r="J574" s="2000">
        <v>1</v>
      </c>
      <c r="K574" s="1798"/>
      <c r="L574" s="1792">
        <v>13051004212</v>
      </c>
      <c r="M574" s="1793">
        <v>0</v>
      </c>
      <c r="N574" s="1793">
        <v>1</v>
      </c>
      <c r="O574" s="1793">
        <v>1</v>
      </c>
      <c r="P574" s="530" t="s">
        <v>1792</v>
      </c>
      <c r="Q574" s="291"/>
      <c r="R574" s="170"/>
      <c r="S574" s="387"/>
      <c r="T574" s="491" t="s">
        <v>391</v>
      </c>
      <c r="U574" s="491" t="s">
        <v>2465</v>
      </c>
      <c r="AA574" s="27"/>
      <c r="AB574" s="27"/>
      <c r="AC574" s="889"/>
      <c r="AD574" s="502"/>
    </row>
    <row r="575" spans="3:30" ht="10.5" customHeight="1">
      <c r="C575" s="1799" t="s">
        <v>5065</v>
      </c>
      <c r="D575" s="1796">
        <v>0</v>
      </c>
      <c r="E575" s="1796">
        <v>1</v>
      </c>
      <c r="F575" s="1797">
        <v>1</v>
      </c>
      <c r="G575" s="1999" t="s">
        <v>5065</v>
      </c>
      <c r="H575" s="1794">
        <v>0</v>
      </c>
      <c r="I575" s="1794" t="s">
        <v>4485</v>
      </c>
      <c r="J575" s="2000">
        <v>0</v>
      </c>
      <c r="K575" s="1798"/>
      <c r="L575" s="1792">
        <v>13051004300</v>
      </c>
      <c r="M575" s="1793">
        <v>0</v>
      </c>
      <c r="N575" s="1793">
        <v>1</v>
      </c>
      <c r="O575" s="1793">
        <v>1</v>
      </c>
      <c r="P575" s="530" t="s">
        <v>1794</v>
      </c>
      <c r="Q575" s="291"/>
      <c r="R575" s="170"/>
      <c r="S575" s="387"/>
      <c r="T575" s="491" t="s">
        <v>2522</v>
      </c>
      <c r="U575" s="491" t="s">
        <v>1737</v>
      </c>
      <c r="AA575" s="27"/>
      <c r="AB575" s="27"/>
      <c r="AC575" s="889"/>
      <c r="AD575" s="502"/>
    </row>
    <row r="576" spans="3:30" ht="10.5" customHeight="1">
      <c r="C576" s="1799" t="s">
        <v>5066</v>
      </c>
      <c r="D576" s="1796">
        <v>0</v>
      </c>
      <c r="E576" s="1796">
        <v>0</v>
      </c>
      <c r="F576" s="1797">
        <v>0</v>
      </c>
      <c r="G576" s="1999" t="s">
        <v>5066</v>
      </c>
      <c r="H576" s="1794">
        <v>0</v>
      </c>
      <c r="I576" s="1794">
        <v>0</v>
      </c>
      <c r="J576" s="2000">
        <v>0</v>
      </c>
      <c r="K576" s="1798"/>
      <c r="L576" s="1792">
        <v>13051004400</v>
      </c>
      <c r="M576" s="1793">
        <v>0</v>
      </c>
      <c r="N576" s="1793">
        <v>0</v>
      </c>
      <c r="O576" s="1793">
        <v>0</v>
      </c>
      <c r="P576" s="530" t="s">
        <v>1795</v>
      </c>
      <c r="Q576" s="291"/>
      <c r="R576" s="170"/>
      <c r="S576" s="387"/>
      <c r="T576" s="491" t="s">
        <v>1551</v>
      </c>
      <c r="U576" s="491" t="s">
        <v>2423</v>
      </c>
      <c r="AA576" s="27"/>
      <c r="AB576" s="27"/>
      <c r="AC576" s="889"/>
      <c r="AD576" s="502"/>
    </row>
    <row r="577" spans="3:30" ht="10.5" customHeight="1">
      <c r="C577" s="1799" t="s">
        <v>5067</v>
      </c>
      <c r="D577" s="1796">
        <v>0</v>
      </c>
      <c r="E577" s="1796">
        <v>0</v>
      </c>
      <c r="F577" s="1797">
        <v>0</v>
      </c>
      <c r="G577" s="1999" t="s">
        <v>5067</v>
      </c>
      <c r="H577" s="1794">
        <v>0</v>
      </c>
      <c r="I577" s="1794">
        <v>0</v>
      </c>
      <c r="J577" s="2000">
        <v>0</v>
      </c>
      <c r="K577" s="1798"/>
      <c r="L577" s="1792">
        <v>13051004500</v>
      </c>
      <c r="M577" s="1793">
        <v>0</v>
      </c>
      <c r="N577" s="1793">
        <v>0</v>
      </c>
      <c r="O577" s="1793">
        <v>0</v>
      </c>
      <c r="P577" s="530" t="s">
        <v>1763</v>
      </c>
      <c r="Q577" s="291"/>
      <c r="R577" s="170"/>
      <c r="S577" s="387"/>
      <c r="T577" s="491" t="s">
        <v>1553</v>
      </c>
      <c r="U577" s="491" t="s">
        <v>318</v>
      </c>
      <c r="AA577" s="27"/>
      <c r="AB577" s="27"/>
      <c r="AC577" s="889"/>
      <c r="AD577" s="502"/>
    </row>
    <row r="578" spans="3:30" ht="10.5" customHeight="1">
      <c r="C578" s="1799" t="s">
        <v>5068</v>
      </c>
      <c r="D578" s="1796">
        <v>0</v>
      </c>
      <c r="E578" s="1796">
        <v>0</v>
      </c>
      <c r="F578" s="1797">
        <v>0</v>
      </c>
      <c r="G578" s="1999" t="s">
        <v>5068</v>
      </c>
      <c r="H578" s="1794" t="s">
        <v>4485</v>
      </c>
      <c r="I578" s="1794">
        <v>0</v>
      </c>
      <c r="J578" s="2000">
        <v>0</v>
      </c>
      <c r="K578" s="1798"/>
      <c r="L578" s="1792">
        <v>13051010101</v>
      </c>
      <c r="M578" s="1793">
        <v>0</v>
      </c>
      <c r="N578" s="1793">
        <v>0</v>
      </c>
      <c r="O578" s="1793">
        <v>0</v>
      </c>
      <c r="P578" s="530" t="s">
        <v>1603</v>
      </c>
      <c r="Q578" s="291"/>
      <c r="R578" s="170"/>
      <c r="S578" s="387"/>
      <c r="T578" s="491" t="s">
        <v>1410</v>
      </c>
      <c r="U578" s="491" t="s">
        <v>118</v>
      </c>
      <c r="AA578" s="27"/>
      <c r="AB578" s="27"/>
      <c r="AC578" s="889"/>
      <c r="AD578" s="502"/>
    </row>
    <row r="579" spans="3:30" ht="10.5" customHeight="1">
      <c r="C579" s="1799" t="s">
        <v>5069</v>
      </c>
      <c r="D579" s="1796">
        <v>0</v>
      </c>
      <c r="E579" s="1796">
        <v>0</v>
      </c>
      <c r="F579" s="1797">
        <v>0</v>
      </c>
      <c r="G579" s="1999" t="s">
        <v>5069</v>
      </c>
      <c r="H579" s="1794">
        <v>0</v>
      </c>
      <c r="I579" s="1794">
        <v>0</v>
      </c>
      <c r="J579" s="2000">
        <v>0</v>
      </c>
      <c r="K579" s="1798"/>
      <c r="L579" s="1792">
        <v>13051010102</v>
      </c>
      <c r="M579" s="1793">
        <v>0</v>
      </c>
      <c r="N579" s="1793">
        <v>0</v>
      </c>
      <c r="O579" s="1793">
        <v>0</v>
      </c>
      <c r="P579" s="530" t="s">
        <v>1604</v>
      </c>
      <c r="Q579" s="291"/>
      <c r="R579" s="170"/>
      <c r="S579" s="387"/>
      <c r="T579" s="491" t="s">
        <v>2390</v>
      </c>
      <c r="U579" s="491" t="s">
        <v>2425</v>
      </c>
      <c r="AA579" s="27"/>
      <c r="AB579" s="27"/>
      <c r="AC579" s="889"/>
      <c r="AD579" s="502"/>
    </row>
    <row r="580" spans="3:30" ht="10.5" customHeight="1">
      <c r="C580" s="1799" t="s">
        <v>5070</v>
      </c>
      <c r="D580" s="1796">
        <v>0</v>
      </c>
      <c r="E580" s="1796">
        <v>0</v>
      </c>
      <c r="F580" s="1797">
        <v>0</v>
      </c>
      <c r="G580" s="1999" t="s">
        <v>5070</v>
      </c>
      <c r="H580" s="1794">
        <v>1</v>
      </c>
      <c r="I580" s="1794">
        <v>0</v>
      </c>
      <c r="J580" s="2000">
        <v>1</v>
      </c>
      <c r="K580" s="1798"/>
      <c r="L580" s="1792">
        <v>13051010200</v>
      </c>
      <c r="M580" s="1793">
        <v>1</v>
      </c>
      <c r="N580" s="1793">
        <v>0</v>
      </c>
      <c r="O580" s="1793">
        <v>1</v>
      </c>
      <c r="P580" s="530" t="s">
        <v>1606</v>
      </c>
      <c r="Q580" s="291"/>
      <c r="R580" s="170"/>
      <c r="S580" s="387"/>
      <c r="T580" s="531" t="s">
        <v>1773</v>
      </c>
      <c r="U580" s="531" t="s">
        <v>2523</v>
      </c>
      <c r="AA580" s="27"/>
      <c r="AB580" s="27"/>
      <c r="AC580" s="889"/>
      <c r="AD580" s="502"/>
    </row>
    <row r="581" spans="3:30" ht="10.5" customHeight="1">
      <c r="C581" s="1799" t="s">
        <v>5071</v>
      </c>
      <c r="D581" s="1796">
        <v>0</v>
      </c>
      <c r="E581" s="1796">
        <v>0</v>
      </c>
      <c r="F581" s="1797">
        <v>0</v>
      </c>
      <c r="G581" s="1999" t="s">
        <v>5071</v>
      </c>
      <c r="H581" s="1794">
        <v>0</v>
      </c>
      <c r="I581" s="1794" t="s">
        <v>4485</v>
      </c>
      <c r="J581" s="2000">
        <v>0</v>
      </c>
      <c r="K581" s="1798"/>
      <c r="L581" s="1792">
        <v>13051010501</v>
      </c>
      <c r="M581" s="1793">
        <v>0</v>
      </c>
      <c r="N581" s="1793">
        <v>0</v>
      </c>
      <c r="O581" s="1793">
        <v>0</v>
      </c>
      <c r="P581" s="530" t="s">
        <v>2215</v>
      </c>
      <c r="Q581" s="291"/>
      <c r="R581" s="170"/>
      <c r="S581" s="387"/>
      <c r="T581" s="491" t="s">
        <v>1782</v>
      </c>
      <c r="U581" s="491" t="s">
        <v>101</v>
      </c>
      <c r="AA581" s="27"/>
      <c r="AB581" s="27"/>
      <c r="AC581" s="890"/>
      <c r="AD581" s="502"/>
    </row>
    <row r="582" spans="3:30" ht="10.5" customHeight="1">
      <c r="C582" s="1799" t="s">
        <v>5072</v>
      </c>
      <c r="D582" s="1796">
        <v>0</v>
      </c>
      <c r="E582" s="1796">
        <v>0</v>
      </c>
      <c r="F582" s="1797">
        <v>0</v>
      </c>
      <c r="G582" s="1999" t="s">
        <v>5072</v>
      </c>
      <c r="H582" s="1794">
        <v>0</v>
      </c>
      <c r="I582" s="1794">
        <v>0</v>
      </c>
      <c r="J582" s="2000">
        <v>0</v>
      </c>
      <c r="K582" s="1798"/>
      <c r="L582" s="1792">
        <v>13051010502</v>
      </c>
      <c r="M582" s="1793">
        <v>0</v>
      </c>
      <c r="N582" s="1793">
        <v>0</v>
      </c>
      <c r="O582" s="1793">
        <v>0</v>
      </c>
      <c r="P582" s="530" t="s">
        <v>542</v>
      </c>
      <c r="Q582" s="291"/>
      <c r="R582" s="170"/>
      <c r="S582" s="387"/>
      <c r="T582" s="491" t="s">
        <v>1784</v>
      </c>
      <c r="U582" s="491" t="s">
        <v>2185</v>
      </c>
      <c r="AA582" s="27"/>
      <c r="AB582" s="27"/>
      <c r="AC582" s="889"/>
      <c r="AD582" s="502"/>
    </row>
    <row r="583" spans="3:30" ht="10.5" customHeight="1">
      <c r="C583" s="1799" t="s">
        <v>5073</v>
      </c>
      <c r="D583" s="1796">
        <v>0</v>
      </c>
      <c r="E583" s="1796">
        <v>0</v>
      </c>
      <c r="F583" s="1797">
        <v>0</v>
      </c>
      <c r="G583" s="1999" t="s">
        <v>5073</v>
      </c>
      <c r="H583" s="1794">
        <v>0</v>
      </c>
      <c r="I583" s="1794">
        <v>0</v>
      </c>
      <c r="J583" s="2000">
        <v>0</v>
      </c>
      <c r="K583" s="1798"/>
      <c r="L583" s="1792">
        <v>13051010601</v>
      </c>
      <c r="M583" s="1793">
        <v>0</v>
      </c>
      <c r="N583" s="1793">
        <v>0</v>
      </c>
      <c r="O583" s="1793">
        <v>0</v>
      </c>
      <c r="P583" s="530" t="s">
        <v>544</v>
      </c>
      <c r="Q583" s="291"/>
      <c r="R583" s="170"/>
      <c r="S583" s="387"/>
      <c r="T583" s="491" t="s">
        <v>1787</v>
      </c>
      <c r="U583" s="491" t="s">
        <v>2185</v>
      </c>
      <c r="AA583" s="27"/>
      <c r="AB583" s="27"/>
      <c r="AC583" s="889"/>
      <c r="AD583" s="502"/>
    </row>
    <row r="584" spans="3:30" ht="10.5" customHeight="1">
      <c r="C584" s="1799" t="s">
        <v>5074</v>
      </c>
      <c r="D584" s="1796">
        <v>1</v>
      </c>
      <c r="E584" s="1796">
        <v>0</v>
      </c>
      <c r="F584" s="1797">
        <v>1</v>
      </c>
      <c r="G584" s="1999" t="s">
        <v>5074</v>
      </c>
      <c r="H584" s="1794">
        <v>1</v>
      </c>
      <c r="I584" s="1794">
        <v>0</v>
      </c>
      <c r="J584" s="2000">
        <v>1</v>
      </c>
      <c r="K584" s="1798"/>
      <c r="L584" s="1792">
        <v>13051010603</v>
      </c>
      <c r="M584" s="1793">
        <v>1</v>
      </c>
      <c r="N584" s="1793">
        <v>0</v>
      </c>
      <c r="O584" s="1793">
        <v>1</v>
      </c>
      <c r="P584" s="530" t="s">
        <v>546</v>
      </c>
      <c r="Q584" s="291"/>
      <c r="R584" s="170"/>
      <c r="S584" s="387"/>
      <c r="T584" s="491" t="s">
        <v>1789</v>
      </c>
      <c r="U584" s="491" t="s">
        <v>306</v>
      </c>
      <c r="AA584" s="27"/>
      <c r="AB584" s="27"/>
      <c r="AC584" s="889"/>
      <c r="AD584" s="502"/>
    </row>
    <row r="585" spans="3:30" ht="10.5" customHeight="1">
      <c r="C585" s="1799" t="s">
        <v>5075</v>
      </c>
      <c r="D585" s="1796" t="s">
        <v>4485</v>
      </c>
      <c r="E585" s="1796" t="s">
        <v>4485</v>
      </c>
      <c r="F585" s="1797">
        <v>0</v>
      </c>
      <c r="G585" s="1999" t="s">
        <v>5075</v>
      </c>
      <c r="H585" s="1794" t="s">
        <v>4485</v>
      </c>
      <c r="I585" s="1794" t="s">
        <v>4485</v>
      </c>
      <c r="J585" s="2000">
        <v>0</v>
      </c>
      <c r="K585" s="1798"/>
      <c r="L585" s="1792">
        <v>13051010605</v>
      </c>
      <c r="M585" s="1793">
        <v>0</v>
      </c>
      <c r="N585" s="1793">
        <v>0</v>
      </c>
      <c r="O585" s="1793">
        <v>0</v>
      </c>
      <c r="P585" s="530" t="s">
        <v>2005</v>
      </c>
      <c r="Q585" s="291"/>
      <c r="R585" s="170"/>
      <c r="S585" s="387"/>
      <c r="T585" s="491" t="s">
        <v>1791</v>
      </c>
      <c r="U585" s="491" t="s">
        <v>1627</v>
      </c>
      <c r="AA585" s="27"/>
      <c r="AB585" s="27"/>
      <c r="AC585" s="889"/>
      <c r="AD585" s="502"/>
    </row>
    <row r="586" spans="3:30" ht="10.5" customHeight="1">
      <c r="C586" s="1799" t="s">
        <v>5076</v>
      </c>
      <c r="D586" s="1796">
        <v>1</v>
      </c>
      <c r="E586" s="1796">
        <v>1</v>
      </c>
      <c r="F586" s="1797">
        <v>2</v>
      </c>
      <c r="G586" s="1999" t="s">
        <v>5076</v>
      </c>
      <c r="H586" s="1794">
        <v>1</v>
      </c>
      <c r="I586" s="1794">
        <v>1</v>
      </c>
      <c r="J586" s="2000">
        <v>2</v>
      </c>
      <c r="K586" s="1798"/>
      <c r="L586" s="1792">
        <v>13051010700</v>
      </c>
      <c r="M586" s="1793">
        <v>1</v>
      </c>
      <c r="N586" s="1793">
        <v>1</v>
      </c>
      <c r="O586" s="1793">
        <v>2</v>
      </c>
      <c r="P586" s="530" t="s">
        <v>1418</v>
      </c>
      <c r="Q586" s="291"/>
      <c r="R586" s="170"/>
      <c r="S586" s="387"/>
      <c r="T586" s="491" t="s">
        <v>1793</v>
      </c>
      <c r="U586" s="491" t="s">
        <v>316</v>
      </c>
      <c r="AA586" s="27"/>
      <c r="AB586" s="27"/>
      <c r="AC586" s="889"/>
      <c r="AD586" s="502"/>
    </row>
    <row r="587" spans="3:30" ht="10.5" customHeight="1">
      <c r="C587" s="1799" t="s">
        <v>5077</v>
      </c>
      <c r="D587" s="1796">
        <v>1</v>
      </c>
      <c r="E587" s="1796">
        <v>0</v>
      </c>
      <c r="F587" s="1797">
        <v>1</v>
      </c>
      <c r="G587" s="1999" t="s">
        <v>5077</v>
      </c>
      <c r="H587" s="1794">
        <v>1</v>
      </c>
      <c r="I587" s="1794">
        <v>0</v>
      </c>
      <c r="J587" s="2000">
        <v>1</v>
      </c>
      <c r="K587" s="1798"/>
      <c r="L587" s="1792">
        <v>13051010801</v>
      </c>
      <c r="M587" s="1793">
        <v>1</v>
      </c>
      <c r="N587" s="1793">
        <v>0</v>
      </c>
      <c r="O587" s="1793">
        <v>1</v>
      </c>
      <c r="P587" s="530" t="s">
        <v>1420</v>
      </c>
      <c r="Q587" s="291"/>
      <c r="R587" s="170"/>
      <c r="S587" s="387"/>
      <c r="T587" s="491" t="s">
        <v>2523</v>
      </c>
      <c r="U587" s="491" t="s">
        <v>103</v>
      </c>
      <c r="AA587" s="27"/>
      <c r="AB587" s="27"/>
      <c r="AC587" s="889"/>
      <c r="AD587" s="502"/>
    </row>
    <row r="588" spans="3:30" ht="10.5" customHeight="1">
      <c r="C588" s="1799" t="s">
        <v>5078</v>
      </c>
      <c r="D588" s="1796">
        <v>1</v>
      </c>
      <c r="E588" s="1796">
        <v>1</v>
      </c>
      <c r="F588" s="1797">
        <v>2</v>
      </c>
      <c r="G588" s="1999" t="s">
        <v>5078</v>
      </c>
      <c r="H588" s="1794">
        <v>1</v>
      </c>
      <c r="I588" s="1794">
        <v>1</v>
      </c>
      <c r="J588" s="2000">
        <v>2</v>
      </c>
      <c r="K588" s="1798"/>
      <c r="L588" s="1792">
        <v>13051010802</v>
      </c>
      <c r="M588" s="1793">
        <v>1</v>
      </c>
      <c r="N588" s="1793">
        <v>1</v>
      </c>
      <c r="O588" s="1793">
        <v>2</v>
      </c>
      <c r="P588" s="530" t="s">
        <v>1421</v>
      </c>
      <c r="Q588" s="291"/>
      <c r="R588" s="170"/>
      <c r="S588" s="387"/>
      <c r="T588" s="491" t="s">
        <v>1899</v>
      </c>
      <c r="U588" s="491" t="s">
        <v>105</v>
      </c>
      <c r="AA588" s="27"/>
      <c r="AB588" s="27"/>
      <c r="AC588" s="889"/>
      <c r="AD588" s="502"/>
    </row>
    <row r="589" spans="3:30" ht="10.5" customHeight="1">
      <c r="C589" s="1799" t="s">
        <v>5079</v>
      </c>
      <c r="D589" s="1796">
        <v>1</v>
      </c>
      <c r="E589" s="1796">
        <v>1</v>
      </c>
      <c r="F589" s="1797">
        <v>2</v>
      </c>
      <c r="G589" s="1999" t="s">
        <v>5079</v>
      </c>
      <c r="H589" s="1794">
        <v>0</v>
      </c>
      <c r="I589" s="1794">
        <v>1</v>
      </c>
      <c r="J589" s="2000">
        <v>1</v>
      </c>
      <c r="K589" s="1798"/>
      <c r="L589" s="1792">
        <v>13051010803</v>
      </c>
      <c r="M589" s="1793">
        <v>1</v>
      </c>
      <c r="N589" s="1793">
        <v>1</v>
      </c>
      <c r="O589" s="1793">
        <v>2</v>
      </c>
      <c r="P589" s="530" t="s">
        <v>1548</v>
      </c>
      <c r="Q589" s="291"/>
      <c r="R589" s="170"/>
      <c r="S589" s="387"/>
      <c r="T589" s="491" t="s">
        <v>1764</v>
      </c>
      <c r="U589" s="491" t="s">
        <v>1072</v>
      </c>
      <c r="AA589" s="27"/>
      <c r="AB589" s="27"/>
      <c r="AC589" s="889"/>
      <c r="AD589" s="502"/>
    </row>
    <row r="590" spans="3:30" ht="10.5" customHeight="1">
      <c r="C590" s="1799" t="s">
        <v>5080</v>
      </c>
      <c r="D590" s="1796">
        <v>1</v>
      </c>
      <c r="E590" s="1796">
        <v>1</v>
      </c>
      <c r="F590" s="1797">
        <v>2</v>
      </c>
      <c r="G590" s="1999" t="s">
        <v>5080</v>
      </c>
      <c r="H590" s="1794">
        <v>0</v>
      </c>
      <c r="I590" s="1794" t="s">
        <v>4485</v>
      </c>
      <c r="J590" s="2000">
        <v>0</v>
      </c>
      <c r="K590" s="1798"/>
      <c r="L590" s="1792">
        <v>13051010806</v>
      </c>
      <c r="M590" s="1793">
        <v>1</v>
      </c>
      <c r="N590" s="1793">
        <v>1</v>
      </c>
      <c r="O590" s="1793">
        <v>2</v>
      </c>
      <c r="P590" s="530" t="s">
        <v>2069</v>
      </c>
      <c r="Q590" s="291"/>
      <c r="R590" s="170"/>
      <c r="S590" s="387"/>
      <c r="T590" s="491" t="s">
        <v>2524</v>
      </c>
      <c r="U590" s="491" t="s">
        <v>1293</v>
      </c>
      <c r="AA590" s="27"/>
      <c r="AB590" s="27"/>
      <c r="AC590" s="889"/>
      <c r="AD590" s="502"/>
    </row>
    <row r="591" spans="3:30" ht="10.5" customHeight="1">
      <c r="C591" s="1799" t="s">
        <v>5081</v>
      </c>
      <c r="D591" s="1796">
        <v>1</v>
      </c>
      <c r="E591" s="1796">
        <v>1</v>
      </c>
      <c r="F591" s="1797">
        <v>2</v>
      </c>
      <c r="G591" s="1999" t="s">
        <v>5081</v>
      </c>
      <c r="H591" s="1794">
        <v>1</v>
      </c>
      <c r="I591" s="1794">
        <v>1</v>
      </c>
      <c r="J591" s="2000">
        <v>2</v>
      </c>
      <c r="K591" s="1798"/>
      <c r="L591" s="1792">
        <v>13051010807</v>
      </c>
      <c r="M591" s="1793">
        <v>1</v>
      </c>
      <c r="N591" s="1793">
        <v>1</v>
      </c>
      <c r="O591" s="1793">
        <v>2</v>
      </c>
      <c r="P591" s="530" t="s">
        <v>2071</v>
      </c>
      <c r="Q591" s="291"/>
      <c r="R591" s="170"/>
      <c r="S591" s="387"/>
      <c r="T591" s="531" t="s">
        <v>1605</v>
      </c>
      <c r="U591" s="531" t="s">
        <v>2118</v>
      </c>
      <c r="AA591" s="27"/>
      <c r="AB591" s="27"/>
      <c r="AC591" s="889"/>
      <c r="AD591" s="502"/>
    </row>
    <row r="592" spans="3:30" ht="10.5" customHeight="1">
      <c r="C592" s="1799" t="s">
        <v>5082</v>
      </c>
      <c r="D592" s="1796">
        <v>1</v>
      </c>
      <c r="E592" s="1796">
        <v>0</v>
      </c>
      <c r="F592" s="1797">
        <v>1</v>
      </c>
      <c r="G592" s="1999" t="s">
        <v>5082</v>
      </c>
      <c r="H592" s="1794">
        <v>1</v>
      </c>
      <c r="I592" s="1794">
        <v>0</v>
      </c>
      <c r="J592" s="2000">
        <v>1</v>
      </c>
      <c r="K592" s="1798"/>
      <c r="L592" s="1792">
        <v>13051010808</v>
      </c>
      <c r="M592" s="1793">
        <v>1</v>
      </c>
      <c r="N592" s="1793">
        <v>0</v>
      </c>
      <c r="O592" s="1793">
        <v>1</v>
      </c>
      <c r="P592" s="530" t="s">
        <v>2073</v>
      </c>
      <c r="Q592" s="291"/>
      <c r="R592" s="170"/>
      <c r="S592" s="387"/>
      <c r="T592" s="491" t="s">
        <v>811</v>
      </c>
      <c r="U592" s="491" t="s">
        <v>2125</v>
      </c>
      <c r="AA592" s="27"/>
      <c r="AB592" s="27"/>
      <c r="AC592" s="890"/>
      <c r="AD592" s="502"/>
    </row>
    <row r="593" spans="3:30" ht="10.5" customHeight="1">
      <c r="C593" s="1799" t="s">
        <v>5083</v>
      </c>
      <c r="D593" s="1796">
        <v>1</v>
      </c>
      <c r="E593" s="1796">
        <v>1</v>
      </c>
      <c r="F593" s="1797">
        <v>2</v>
      </c>
      <c r="G593" s="1999" t="s">
        <v>5083</v>
      </c>
      <c r="H593" s="1794">
        <v>1</v>
      </c>
      <c r="I593" s="1794">
        <v>1</v>
      </c>
      <c r="J593" s="2000">
        <v>2</v>
      </c>
      <c r="K593" s="1798"/>
      <c r="L593" s="1792">
        <v>13051010809</v>
      </c>
      <c r="M593" s="1793">
        <v>1</v>
      </c>
      <c r="N593" s="1793">
        <v>1</v>
      </c>
      <c r="O593" s="1793">
        <v>2</v>
      </c>
      <c r="P593" s="530" t="s">
        <v>1412</v>
      </c>
      <c r="Q593" s="291"/>
      <c r="R593" s="170"/>
      <c r="S593" s="387"/>
      <c r="T593" s="491" t="s">
        <v>2214</v>
      </c>
      <c r="U593" s="491" t="s">
        <v>1629</v>
      </c>
      <c r="AA593" s="27"/>
      <c r="AB593" s="27"/>
      <c r="AC593" s="889"/>
      <c r="AD593" s="502"/>
    </row>
    <row r="594" spans="3:30" ht="10.5" customHeight="1">
      <c r="C594" s="1799" t="s">
        <v>5084</v>
      </c>
      <c r="D594" s="1796">
        <v>0</v>
      </c>
      <c r="E594" s="1796">
        <v>0</v>
      </c>
      <c r="F594" s="1797">
        <v>0</v>
      </c>
      <c r="G594" s="1999" t="s">
        <v>5084</v>
      </c>
      <c r="H594" s="1794">
        <v>0</v>
      </c>
      <c r="I594" s="1794">
        <v>0</v>
      </c>
      <c r="J594" s="2000">
        <v>0</v>
      </c>
      <c r="K594" s="1798"/>
      <c r="L594" s="1792">
        <v>13051010901</v>
      </c>
      <c r="M594" s="1793">
        <v>0</v>
      </c>
      <c r="N594" s="1793">
        <v>0</v>
      </c>
      <c r="O594" s="1793">
        <v>0</v>
      </c>
      <c r="P594" s="530" t="s">
        <v>1414</v>
      </c>
      <c r="Q594" s="291"/>
      <c r="R594" s="170"/>
      <c r="S594" s="387"/>
      <c r="T594" s="491" t="s">
        <v>2216</v>
      </c>
      <c r="U594" s="491" t="s">
        <v>2122</v>
      </c>
      <c r="AA594" s="27"/>
      <c r="AB594" s="27"/>
      <c r="AC594" s="889"/>
      <c r="AD594" s="502"/>
    </row>
    <row r="595" spans="3:30" ht="10.5" customHeight="1">
      <c r="C595" s="1799" t="s">
        <v>5085</v>
      </c>
      <c r="D595" s="1796">
        <v>1</v>
      </c>
      <c r="E595" s="1796">
        <v>1</v>
      </c>
      <c r="F595" s="1797">
        <v>2</v>
      </c>
      <c r="G595" s="1999" t="s">
        <v>5085</v>
      </c>
      <c r="H595" s="1794">
        <v>1</v>
      </c>
      <c r="I595" s="1794">
        <v>0</v>
      </c>
      <c r="J595" s="2000">
        <v>1</v>
      </c>
      <c r="K595" s="1798"/>
      <c r="L595" s="1792">
        <v>13051011003</v>
      </c>
      <c r="M595" s="1793">
        <v>1</v>
      </c>
      <c r="N595" s="1793">
        <v>1</v>
      </c>
      <c r="O595" s="1793">
        <v>2</v>
      </c>
      <c r="P595" s="530" t="s">
        <v>1522</v>
      </c>
      <c r="Q595" s="291"/>
      <c r="R595" s="170"/>
      <c r="S595" s="387"/>
      <c r="T595" s="491" t="s">
        <v>543</v>
      </c>
      <c r="U595" s="491" t="s">
        <v>2522</v>
      </c>
      <c r="AA595" s="27"/>
      <c r="AB595" s="27"/>
      <c r="AC595" s="889"/>
      <c r="AD595" s="502"/>
    </row>
    <row r="596" spans="3:30" ht="10.5" customHeight="1">
      <c r="C596" s="1799" t="s">
        <v>5086</v>
      </c>
      <c r="D596" s="1796">
        <v>1</v>
      </c>
      <c r="E596" s="1796">
        <v>1</v>
      </c>
      <c r="F596" s="1797">
        <v>2</v>
      </c>
      <c r="G596" s="1999" t="s">
        <v>5086</v>
      </c>
      <c r="H596" s="1794">
        <v>1</v>
      </c>
      <c r="I596" s="1794">
        <v>1</v>
      </c>
      <c r="J596" s="2000">
        <v>2</v>
      </c>
      <c r="K596" s="1798"/>
      <c r="L596" s="1792">
        <v>13051011004</v>
      </c>
      <c r="M596" s="1793">
        <v>1</v>
      </c>
      <c r="N596" s="1793">
        <v>1</v>
      </c>
      <c r="O596" s="1793">
        <v>2</v>
      </c>
      <c r="P596" s="530" t="s">
        <v>1524</v>
      </c>
      <c r="Q596" s="291"/>
      <c r="R596" s="170"/>
      <c r="S596" s="387"/>
      <c r="T596" s="491" t="s">
        <v>545</v>
      </c>
      <c r="U596" s="491" t="s">
        <v>1180</v>
      </c>
      <c r="AA596" s="27"/>
      <c r="AB596" s="27"/>
      <c r="AC596" s="889"/>
      <c r="AD596" s="502"/>
    </row>
    <row r="597" spans="3:30" ht="10.5" customHeight="1">
      <c r="C597" s="1799" t="s">
        <v>5087</v>
      </c>
      <c r="D597" s="1796">
        <v>1</v>
      </c>
      <c r="E597" s="1796">
        <v>1</v>
      </c>
      <c r="F597" s="1797">
        <v>2</v>
      </c>
      <c r="G597" s="1999" t="s">
        <v>5087</v>
      </c>
      <c r="H597" s="1794">
        <v>0</v>
      </c>
      <c r="I597" s="1794">
        <v>1</v>
      </c>
      <c r="J597" s="2000">
        <v>1</v>
      </c>
      <c r="K597" s="1798"/>
      <c r="L597" s="1792">
        <v>13051011005</v>
      </c>
      <c r="M597" s="1793">
        <v>1</v>
      </c>
      <c r="N597" s="1793">
        <v>1</v>
      </c>
      <c r="O597" s="1793">
        <v>2</v>
      </c>
      <c r="P597" s="530" t="s">
        <v>2003</v>
      </c>
      <c r="Q597" s="291"/>
      <c r="R597" s="170"/>
      <c r="S597" s="387"/>
      <c r="T597" s="491" t="s">
        <v>1041</v>
      </c>
      <c r="U597" s="491" t="s">
        <v>610</v>
      </c>
      <c r="AA597" s="27"/>
      <c r="AB597" s="27"/>
      <c r="AC597" s="889"/>
      <c r="AD597" s="502"/>
    </row>
    <row r="598" spans="3:30" ht="10.5" customHeight="1">
      <c r="C598" s="1799" t="s">
        <v>5088</v>
      </c>
      <c r="D598" s="1796">
        <v>1</v>
      </c>
      <c r="E598" s="1796">
        <v>1</v>
      </c>
      <c r="F598" s="1797">
        <v>2</v>
      </c>
      <c r="G598" s="1999" t="s">
        <v>5088</v>
      </c>
      <c r="H598" s="1794">
        <v>1</v>
      </c>
      <c r="I598" s="1794">
        <v>1</v>
      </c>
      <c r="J598" s="2000">
        <v>2</v>
      </c>
      <c r="K598" s="1798"/>
      <c r="L598" s="1792">
        <v>13051011006</v>
      </c>
      <c r="M598" s="1793">
        <v>1</v>
      </c>
      <c r="N598" s="1793">
        <v>1</v>
      </c>
      <c r="O598" s="1793">
        <v>2</v>
      </c>
      <c r="P598" s="530" t="s">
        <v>1825</v>
      </c>
      <c r="Q598" s="291"/>
      <c r="R598" s="170"/>
      <c r="S598" s="387"/>
      <c r="T598" s="491" t="s">
        <v>547</v>
      </c>
      <c r="U598" s="491" t="s">
        <v>1626</v>
      </c>
      <c r="AA598" s="27"/>
      <c r="AB598" s="27"/>
      <c r="AC598" s="889"/>
      <c r="AD598" s="502"/>
    </row>
    <row r="599" spans="3:30" ht="10.5" customHeight="1">
      <c r="C599" s="1799" t="s">
        <v>5089</v>
      </c>
      <c r="D599" s="1796">
        <v>1</v>
      </c>
      <c r="E599" s="1796">
        <v>1</v>
      </c>
      <c r="F599" s="1797">
        <v>2</v>
      </c>
      <c r="G599" s="1999" t="s">
        <v>5089</v>
      </c>
      <c r="H599" s="1794">
        <v>1</v>
      </c>
      <c r="I599" s="1794">
        <v>0</v>
      </c>
      <c r="J599" s="2000">
        <v>1</v>
      </c>
      <c r="K599" s="1798"/>
      <c r="L599" s="1792">
        <v>13051011103</v>
      </c>
      <c r="M599" s="1793">
        <v>1</v>
      </c>
      <c r="N599" s="1793">
        <v>1</v>
      </c>
      <c r="O599" s="1793">
        <v>2</v>
      </c>
      <c r="P599" s="530" t="s">
        <v>272</v>
      </c>
      <c r="Q599" s="291"/>
      <c r="R599" s="170"/>
      <c r="S599" s="387"/>
      <c r="T599" s="491" t="s">
        <v>1156</v>
      </c>
      <c r="U599" s="491" t="s">
        <v>1072</v>
      </c>
      <c r="AA599" s="27"/>
      <c r="AB599" s="27"/>
      <c r="AC599" s="889"/>
      <c r="AD599" s="502"/>
    </row>
    <row r="600" spans="3:30" ht="10.5" customHeight="1">
      <c r="C600" s="1799" t="s">
        <v>5090</v>
      </c>
      <c r="D600" s="1796">
        <v>1</v>
      </c>
      <c r="E600" s="1796">
        <v>1</v>
      </c>
      <c r="F600" s="1797">
        <v>2</v>
      </c>
      <c r="G600" s="1999" t="s">
        <v>5090</v>
      </c>
      <c r="H600" s="1794">
        <v>1</v>
      </c>
      <c r="I600" s="1794">
        <v>1</v>
      </c>
      <c r="J600" s="2000">
        <v>2</v>
      </c>
      <c r="K600" s="1798"/>
      <c r="L600" s="1792">
        <v>13051011104</v>
      </c>
      <c r="M600" s="1793">
        <v>1</v>
      </c>
      <c r="N600" s="1793">
        <v>1</v>
      </c>
      <c r="O600" s="1793">
        <v>2</v>
      </c>
      <c r="P600" s="530" t="s">
        <v>1642</v>
      </c>
      <c r="Q600" s="291"/>
      <c r="R600" s="170"/>
      <c r="S600" s="387"/>
      <c r="T600" s="491" t="s">
        <v>1419</v>
      </c>
      <c r="U600" s="491" t="s">
        <v>1627</v>
      </c>
      <c r="AA600" s="27"/>
      <c r="AB600" s="27"/>
      <c r="AC600" s="889"/>
      <c r="AD600" s="502"/>
    </row>
    <row r="601" spans="3:30" ht="10.5" customHeight="1">
      <c r="C601" s="1799" t="s">
        <v>5091</v>
      </c>
      <c r="D601" s="1796">
        <v>1</v>
      </c>
      <c r="E601" s="1796">
        <v>1</v>
      </c>
      <c r="F601" s="1797">
        <v>2</v>
      </c>
      <c r="G601" s="1999" t="s">
        <v>5091</v>
      </c>
      <c r="H601" s="1794">
        <v>1</v>
      </c>
      <c r="I601" s="1794">
        <v>1</v>
      </c>
      <c r="J601" s="2000">
        <v>2</v>
      </c>
      <c r="K601" s="1798"/>
      <c r="L601" s="1792">
        <v>13051011106</v>
      </c>
      <c r="M601" s="1793">
        <v>1</v>
      </c>
      <c r="N601" s="1793">
        <v>1</v>
      </c>
      <c r="O601" s="1793">
        <v>2</v>
      </c>
      <c r="P601" s="530" t="s">
        <v>256</v>
      </c>
      <c r="Q601" s="291"/>
      <c r="R601" s="170"/>
      <c r="S601" s="387"/>
      <c r="T601" s="491" t="s">
        <v>2767</v>
      </c>
      <c r="U601" s="491" t="s">
        <v>1292</v>
      </c>
      <c r="AA601" s="27"/>
      <c r="AB601" s="27"/>
      <c r="AC601" s="889"/>
      <c r="AD601" s="502"/>
    </row>
    <row r="602" spans="3:30" ht="10.5" customHeight="1">
      <c r="C602" s="1799" t="s">
        <v>5092</v>
      </c>
      <c r="D602" s="1796">
        <v>1</v>
      </c>
      <c r="E602" s="1796">
        <v>1</v>
      </c>
      <c r="F602" s="1797">
        <v>2</v>
      </c>
      <c r="G602" s="1999" t="s">
        <v>5092</v>
      </c>
      <c r="H602" s="1794">
        <v>1</v>
      </c>
      <c r="I602" s="1794">
        <v>0</v>
      </c>
      <c r="J602" s="2000">
        <v>1</v>
      </c>
      <c r="K602" s="1798"/>
      <c r="L602" s="1792">
        <v>13051011107</v>
      </c>
      <c r="M602" s="1793">
        <v>1</v>
      </c>
      <c r="N602" s="1793">
        <v>1</v>
      </c>
      <c r="O602" s="1793">
        <v>2</v>
      </c>
      <c r="P602" s="530" t="s">
        <v>270</v>
      </c>
      <c r="Q602" s="291"/>
      <c r="R602" s="170"/>
      <c r="S602" s="387"/>
      <c r="T602" s="491" t="s">
        <v>1422</v>
      </c>
      <c r="U602" s="491" t="s">
        <v>639</v>
      </c>
      <c r="AA602" s="27"/>
      <c r="AB602" s="27"/>
      <c r="AC602" s="889"/>
      <c r="AD602" s="502"/>
    </row>
    <row r="603" spans="3:30" ht="10.5" customHeight="1">
      <c r="C603" s="1799" t="s">
        <v>5093</v>
      </c>
      <c r="D603" s="1796">
        <v>1</v>
      </c>
      <c r="E603" s="1796">
        <v>1</v>
      </c>
      <c r="F603" s="1797">
        <v>2</v>
      </c>
      <c r="G603" s="1999" t="s">
        <v>5093</v>
      </c>
      <c r="H603" s="1794">
        <v>1</v>
      </c>
      <c r="I603" s="1794">
        <v>1</v>
      </c>
      <c r="J603" s="2000">
        <v>2</v>
      </c>
      <c r="K603" s="1798"/>
      <c r="L603" s="1792">
        <v>13051011108</v>
      </c>
      <c r="M603" s="1793">
        <v>1</v>
      </c>
      <c r="N603" s="1793">
        <v>1</v>
      </c>
      <c r="O603" s="1793">
        <v>2</v>
      </c>
      <c r="P603" s="530" t="s">
        <v>1160</v>
      </c>
      <c r="Q603" s="291"/>
      <c r="R603" s="170"/>
      <c r="S603" s="387"/>
      <c r="T603" s="491" t="s">
        <v>2768</v>
      </c>
      <c r="U603" s="491" t="s">
        <v>118</v>
      </c>
      <c r="AA603" s="27"/>
      <c r="AB603" s="27"/>
      <c r="AC603" s="889"/>
      <c r="AD603" s="502"/>
    </row>
    <row r="604" spans="3:30" ht="10.5" customHeight="1">
      <c r="C604" s="1799" t="s">
        <v>5094</v>
      </c>
      <c r="D604" s="1796">
        <v>1</v>
      </c>
      <c r="E604" s="1796">
        <v>1</v>
      </c>
      <c r="F604" s="1797">
        <v>2</v>
      </c>
      <c r="G604" s="1999" t="s">
        <v>5094</v>
      </c>
      <c r="H604" s="1794">
        <v>1</v>
      </c>
      <c r="I604" s="1794">
        <v>1</v>
      </c>
      <c r="J604" s="2000">
        <v>2</v>
      </c>
      <c r="K604" s="1798"/>
      <c r="L604" s="1792">
        <v>13051011109</v>
      </c>
      <c r="M604" s="1793">
        <v>1</v>
      </c>
      <c r="N604" s="1793">
        <v>1</v>
      </c>
      <c r="O604" s="1793">
        <v>2</v>
      </c>
      <c r="P604" s="530" t="s">
        <v>725</v>
      </c>
      <c r="Q604" s="291"/>
      <c r="R604" s="170"/>
      <c r="S604" s="387"/>
      <c r="T604" s="491" t="s">
        <v>1549</v>
      </c>
      <c r="U604" s="491" t="s">
        <v>1733</v>
      </c>
      <c r="AA604" s="27"/>
      <c r="AB604" s="27"/>
      <c r="AC604" s="889"/>
      <c r="AD604" s="502"/>
    </row>
    <row r="605" spans="3:30" ht="10.5" customHeight="1">
      <c r="C605" s="1799" t="s">
        <v>5095</v>
      </c>
      <c r="D605" s="1796">
        <v>0</v>
      </c>
      <c r="E605" s="1796">
        <v>1</v>
      </c>
      <c r="F605" s="1797">
        <v>1</v>
      </c>
      <c r="G605" s="1999" t="s">
        <v>5095</v>
      </c>
      <c r="H605" s="1794">
        <v>0</v>
      </c>
      <c r="I605" s="1794">
        <v>1</v>
      </c>
      <c r="J605" s="2000">
        <v>1</v>
      </c>
      <c r="K605" s="1798"/>
      <c r="L605" s="1792">
        <v>13051011200</v>
      </c>
      <c r="M605" s="1793">
        <v>0</v>
      </c>
      <c r="N605" s="1793">
        <v>1</v>
      </c>
      <c r="O605" s="1793">
        <v>1</v>
      </c>
      <c r="P605" s="530" t="s">
        <v>727</v>
      </c>
      <c r="Q605" s="291"/>
      <c r="R605" s="170"/>
      <c r="S605" s="387"/>
      <c r="T605" s="491" t="s">
        <v>2070</v>
      </c>
      <c r="U605" s="491" t="s">
        <v>1600</v>
      </c>
      <c r="AA605" s="27"/>
      <c r="AB605" s="27"/>
      <c r="AC605" s="889"/>
      <c r="AD605" s="502"/>
    </row>
    <row r="606" spans="3:30" ht="10.5" customHeight="1">
      <c r="C606" s="1799" t="s">
        <v>5096</v>
      </c>
      <c r="D606" s="1796">
        <v>0</v>
      </c>
      <c r="E606" s="1796">
        <v>0</v>
      </c>
      <c r="F606" s="1797">
        <v>0</v>
      </c>
      <c r="G606" s="1999" t="s">
        <v>5096</v>
      </c>
      <c r="H606" s="1794">
        <v>0</v>
      </c>
      <c r="I606" s="1794">
        <v>0</v>
      </c>
      <c r="J606" s="2000">
        <v>0</v>
      </c>
      <c r="K606" s="1798"/>
      <c r="L606" s="1792">
        <v>13051011300</v>
      </c>
      <c r="M606" s="1793">
        <v>0</v>
      </c>
      <c r="N606" s="1793">
        <v>0</v>
      </c>
      <c r="O606" s="1793">
        <v>0</v>
      </c>
      <c r="P606" s="530" t="s">
        <v>1005</v>
      </c>
      <c r="Q606" s="291"/>
      <c r="R606" s="170"/>
      <c r="S606" s="387"/>
      <c r="T606" s="491" t="s">
        <v>2072</v>
      </c>
      <c r="U606" s="491" t="s">
        <v>1298</v>
      </c>
      <c r="AA606" s="27"/>
      <c r="AB606" s="27"/>
      <c r="AC606" s="889"/>
      <c r="AD606" s="502"/>
    </row>
    <row r="607" spans="3:30" ht="10.5" customHeight="1">
      <c r="C607" s="1799" t="s">
        <v>5097</v>
      </c>
      <c r="D607" s="1796">
        <v>0</v>
      </c>
      <c r="E607" s="1796">
        <v>0</v>
      </c>
      <c r="F607" s="1797">
        <v>0</v>
      </c>
      <c r="G607" s="1999" t="s">
        <v>5097</v>
      </c>
      <c r="H607" s="1794">
        <v>0</v>
      </c>
      <c r="I607" s="1794" t="s">
        <v>4485</v>
      </c>
      <c r="J607" s="2000">
        <v>0</v>
      </c>
      <c r="K607" s="1798"/>
      <c r="L607" s="1792">
        <v>13051011400</v>
      </c>
      <c r="M607" s="1793">
        <v>0</v>
      </c>
      <c r="N607" s="1793">
        <v>0</v>
      </c>
      <c r="O607" s="1793">
        <v>0</v>
      </c>
      <c r="P607" s="530" t="s">
        <v>1007</v>
      </c>
      <c r="Q607" s="291"/>
      <c r="R607" s="170"/>
      <c r="S607" s="387"/>
      <c r="T607" s="531" t="s">
        <v>1411</v>
      </c>
      <c r="U607" s="531" t="s">
        <v>318</v>
      </c>
      <c r="AA607" s="27"/>
      <c r="AB607" s="27"/>
      <c r="AC607" s="889"/>
      <c r="AD607" s="502"/>
    </row>
    <row r="608" spans="3:30" ht="10.5" customHeight="1">
      <c r="C608" s="1799" t="s">
        <v>5098</v>
      </c>
      <c r="D608" s="1796">
        <v>1</v>
      </c>
      <c r="E608" s="1796">
        <v>1</v>
      </c>
      <c r="F608" s="1797">
        <v>2</v>
      </c>
      <c r="G608" s="1999" t="s">
        <v>5098</v>
      </c>
      <c r="H608" s="1794">
        <v>1</v>
      </c>
      <c r="I608" s="1794">
        <v>1</v>
      </c>
      <c r="J608" s="2000">
        <v>1</v>
      </c>
      <c r="K608" s="1798"/>
      <c r="L608" s="1792">
        <v>13051011500</v>
      </c>
      <c r="M608" s="1793">
        <v>1</v>
      </c>
      <c r="N608" s="1793">
        <v>1</v>
      </c>
      <c r="O608" s="1793">
        <v>2</v>
      </c>
      <c r="P608" s="530" t="s">
        <v>1768</v>
      </c>
      <c r="Q608" s="291"/>
      <c r="R608" s="170"/>
      <c r="S608" s="387"/>
      <c r="T608" s="491" t="s">
        <v>2769</v>
      </c>
      <c r="U608" s="491" t="s">
        <v>325</v>
      </c>
      <c r="AA608" s="27"/>
      <c r="AB608" s="27"/>
      <c r="AC608" s="890"/>
      <c r="AD608" s="502"/>
    </row>
    <row r="609" spans="3:30" ht="10.5" customHeight="1">
      <c r="C609" s="1799" t="s">
        <v>5099</v>
      </c>
      <c r="D609" s="1796">
        <v>0</v>
      </c>
      <c r="E609" s="1796">
        <v>0</v>
      </c>
      <c r="F609" s="1797">
        <v>0</v>
      </c>
      <c r="G609" s="1999" t="s">
        <v>5099</v>
      </c>
      <c r="H609" s="1794">
        <v>0</v>
      </c>
      <c r="I609" s="1794">
        <v>0</v>
      </c>
      <c r="J609" s="2000">
        <v>0</v>
      </c>
      <c r="K609" s="1798"/>
      <c r="L609" s="1792">
        <v>13051011600</v>
      </c>
      <c r="M609" s="1793">
        <v>0</v>
      </c>
      <c r="N609" s="1793">
        <v>0</v>
      </c>
      <c r="O609" s="1793">
        <v>0</v>
      </c>
      <c r="P609" s="530" t="s">
        <v>1770</v>
      </c>
      <c r="Q609" s="291"/>
      <c r="R609" s="170"/>
      <c r="S609" s="387"/>
      <c r="T609" s="491" t="s">
        <v>1413</v>
      </c>
      <c r="U609" s="491" t="s">
        <v>315</v>
      </c>
      <c r="AA609" s="27"/>
      <c r="AB609" s="27"/>
      <c r="AC609" s="889"/>
      <c r="AD609" s="502"/>
    </row>
    <row r="610" spans="3:30" ht="10.5" customHeight="1">
      <c r="C610" s="1799" t="s">
        <v>5100</v>
      </c>
      <c r="D610" s="1796" t="s">
        <v>4485</v>
      </c>
      <c r="E610" s="1796" t="s">
        <v>4485</v>
      </c>
      <c r="F610" s="1797">
        <v>0</v>
      </c>
      <c r="G610" s="1999" t="s">
        <v>5100</v>
      </c>
      <c r="H610" s="1794" t="s">
        <v>4485</v>
      </c>
      <c r="I610" s="1794" t="s">
        <v>4485</v>
      </c>
      <c r="J610" s="2000">
        <v>0</v>
      </c>
      <c r="K610" s="1798"/>
      <c r="L610" s="1792">
        <v>13051980000</v>
      </c>
      <c r="M610" s="1793">
        <v>0</v>
      </c>
      <c r="N610" s="1793">
        <v>0</v>
      </c>
      <c r="O610" s="1793">
        <v>0</v>
      </c>
      <c r="P610" s="530" t="s">
        <v>1771</v>
      </c>
      <c r="Q610" s="291"/>
      <c r="R610" s="170"/>
      <c r="S610" s="387"/>
      <c r="T610" s="531" t="s">
        <v>1042</v>
      </c>
      <c r="U610" s="531" t="s">
        <v>1629</v>
      </c>
      <c r="AA610" s="27"/>
      <c r="AB610" s="27"/>
      <c r="AC610" s="889"/>
      <c r="AD610" s="502"/>
    </row>
    <row r="611" spans="3:30" ht="10.5" customHeight="1">
      <c r="C611" s="1799" t="s">
        <v>5101</v>
      </c>
      <c r="D611" s="1796" t="s">
        <v>4485</v>
      </c>
      <c r="E611" s="1796" t="s">
        <v>4485</v>
      </c>
      <c r="F611" s="1797">
        <v>0</v>
      </c>
      <c r="G611" s="1999" t="s">
        <v>5101</v>
      </c>
      <c r="H611" s="1794" t="s">
        <v>4485</v>
      </c>
      <c r="I611" s="1794" t="s">
        <v>4485</v>
      </c>
      <c r="J611" s="2000">
        <v>0</v>
      </c>
      <c r="K611" s="1798"/>
      <c r="L611" s="1792">
        <v>13051990000</v>
      </c>
      <c r="M611" s="1793">
        <v>0</v>
      </c>
      <c r="N611" s="1793">
        <v>0</v>
      </c>
      <c r="O611" s="1793">
        <v>0</v>
      </c>
      <c r="P611" s="530" t="s">
        <v>1113</v>
      </c>
      <c r="Q611" s="291"/>
      <c r="R611" s="170"/>
      <c r="S611" s="387"/>
      <c r="T611" s="491" t="s">
        <v>1415</v>
      </c>
      <c r="U611" s="491" t="s">
        <v>610</v>
      </c>
      <c r="AA611" s="27"/>
      <c r="AB611" s="27"/>
      <c r="AC611" s="890"/>
      <c r="AD611" s="502"/>
    </row>
    <row r="612" spans="3:30" ht="10.5" customHeight="1">
      <c r="C612" s="1799" t="s">
        <v>5102</v>
      </c>
      <c r="D612" s="1796">
        <v>0</v>
      </c>
      <c r="E612" s="1796">
        <v>0</v>
      </c>
      <c r="F612" s="1797">
        <v>0</v>
      </c>
      <c r="G612" s="1999" t="s">
        <v>5102</v>
      </c>
      <c r="H612" s="1794">
        <v>0</v>
      </c>
      <c r="I612" s="1794">
        <v>0</v>
      </c>
      <c r="J612" s="2000">
        <v>0</v>
      </c>
      <c r="K612" s="1798"/>
      <c r="L612" s="1792">
        <v>13053020100</v>
      </c>
      <c r="M612" s="1793">
        <v>0</v>
      </c>
      <c r="N612" s="1793">
        <v>0</v>
      </c>
      <c r="O612" s="1793">
        <v>0</v>
      </c>
      <c r="P612" s="530" t="s">
        <v>393</v>
      </c>
      <c r="Q612" s="291"/>
      <c r="R612" s="170"/>
      <c r="S612" s="387"/>
      <c r="T612" s="491" t="s">
        <v>1523</v>
      </c>
      <c r="U612" s="491" t="s">
        <v>310</v>
      </c>
      <c r="AA612" s="27"/>
      <c r="AB612" s="27"/>
      <c r="AC612" s="889"/>
      <c r="AD612" s="502"/>
    </row>
    <row r="613" spans="3:30" ht="10.5" customHeight="1">
      <c r="C613" s="1799" t="s">
        <v>5103</v>
      </c>
      <c r="D613" s="1796">
        <v>0</v>
      </c>
      <c r="E613" s="1796">
        <v>1</v>
      </c>
      <c r="F613" s="1797">
        <v>1</v>
      </c>
      <c r="G613" s="1999" t="s">
        <v>5103</v>
      </c>
      <c r="H613" s="1794">
        <v>0</v>
      </c>
      <c r="I613" s="1794" t="s">
        <v>4485</v>
      </c>
      <c r="J613" s="2000">
        <v>0</v>
      </c>
      <c r="K613" s="1798"/>
      <c r="L613" s="1792">
        <v>13053020201</v>
      </c>
      <c r="M613" s="1793">
        <v>0</v>
      </c>
      <c r="N613" s="1793">
        <v>1</v>
      </c>
      <c r="O613" s="1793">
        <v>1</v>
      </c>
      <c r="P613" s="530" t="s">
        <v>1</v>
      </c>
      <c r="Q613" s="291"/>
      <c r="R613" s="170"/>
      <c r="S613" s="387"/>
      <c r="T613" s="491" t="s">
        <v>2004</v>
      </c>
      <c r="U613" s="491" t="s">
        <v>931</v>
      </c>
      <c r="AA613" s="27"/>
      <c r="AB613" s="27"/>
      <c r="AC613" s="889"/>
      <c r="AD613" s="502"/>
    </row>
    <row r="614" spans="3:30" ht="10.5" customHeight="1">
      <c r="C614" s="1799" t="s">
        <v>5104</v>
      </c>
      <c r="D614" s="1796">
        <v>0</v>
      </c>
      <c r="E614" s="1796">
        <v>1</v>
      </c>
      <c r="F614" s="1797">
        <v>1</v>
      </c>
      <c r="G614" s="1999" t="s">
        <v>5104</v>
      </c>
      <c r="H614" s="1794">
        <v>0</v>
      </c>
      <c r="I614" s="1794" t="s">
        <v>4485</v>
      </c>
      <c r="J614" s="2000">
        <v>0</v>
      </c>
      <c r="K614" s="1798"/>
      <c r="L614" s="1792">
        <v>13053020203</v>
      </c>
      <c r="M614" s="1793">
        <v>0</v>
      </c>
      <c r="N614" s="1793">
        <v>1</v>
      </c>
      <c r="O614" s="1793">
        <v>1</v>
      </c>
      <c r="P614" s="530" t="s">
        <v>3</v>
      </c>
      <c r="Q614" s="291"/>
      <c r="R614" s="170"/>
      <c r="S614" s="387"/>
      <c r="T614" s="531" t="s">
        <v>1826</v>
      </c>
      <c r="U614" s="531" t="s">
        <v>1904</v>
      </c>
      <c r="AA614" s="27"/>
      <c r="AB614" s="27"/>
      <c r="AC614" s="889"/>
      <c r="AD614" s="502"/>
    </row>
    <row r="615" spans="3:30" ht="10.5" customHeight="1">
      <c r="C615" s="1799" t="s">
        <v>5105</v>
      </c>
      <c r="D615" s="1796">
        <v>0</v>
      </c>
      <c r="E615" s="1796">
        <v>1</v>
      </c>
      <c r="F615" s="1797">
        <v>1</v>
      </c>
      <c r="G615" s="1999" t="s">
        <v>5105</v>
      </c>
      <c r="H615" s="1794">
        <v>0</v>
      </c>
      <c r="I615" s="1794" t="s">
        <v>4485</v>
      </c>
      <c r="J615" s="2000">
        <v>0</v>
      </c>
      <c r="K615" s="1798"/>
      <c r="L615" s="1792">
        <v>13053020205</v>
      </c>
      <c r="M615" s="1793">
        <v>0</v>
      </c>
      <c r="N615" s="1793">
        <v>1</v>
      </c>
      <c r="O615" s="1793">
        <v>1</v>
      </c>
      <c r="P615" s="530" t="s">
        <v>5</v>
      </c>
      <c r="Q615" s="291"/>
      <c r="R615" s="170"/>
      <c r="S615" s="387"/>
      <c r="T615" s="531" t="s">
        <v>273</v>
      </c>
      <c r="U615" s="531" t="s">
        <v>1904</v>
      </c>
      <c r="AA615" s="27"/>
      <c r="AB615" s="27"/>
      <c r="AC615" s="890"/>
      <c r="AD615" s="502"/>
    </row>
    <row r="616" spans="3:30" ht="10.5" customHeight="1">
      <c r="C616" s="1799" t="s">
        <v>5106</v>
      </c>
      <c r="D616" s="1796" t="s">
        <v>4485</v>
      </c>
      <c r="E616" s="1796" t="s">
        <v>4485</v>
      </c>
      <c r="F616" s="1797">
        <v>0</v>
      </c>
      <c r="G616" s="1999" t="s">
        <v>5106</v>
      </c>
      <c r="H616" s="1794" t="s">
        <v>4485</v>
      </c>
      <c r="I616" s="1794" t="s">
        <v>4485</v>
      </c>
      <c r="J616" s="2000">
        <v>0</v>
      </c>
      <c r="K616" s="1798"/>
      <c r="L616" s="1792">
        <v>13053020206</v>
      </c>
      <c r="M616" s="1793">
        <v>0</v>
      </c>
      <c r="N616" s="1793">
        <v>0</v>
      </c>
      <c r="O616" s="1793">
        <v>0</v>
      </c>
      <c r="P616" s="530" t="s">
        <v>7</v>
      </c>
      <c r="Q616" s="291"/>
      <c r="R616" s="170"/>
      <c r="S616" s="387"/>
      <c r="T616" s="491" t="s">
        <v>1643</v>
      </c>
      <c r="U616" s="491" t="s">
        <v>2127</v>
      </c>
      <c r="AA616" s="27"/>
      <c r="AB616" s="27"/>
      <c r="AC616" s="890"/>
      <c r="AD616" s="502"/>
    </row>
    <row r="617" spans="3:30" ht="10.5" customHeight="1">
      <c r="C617" s="1799" t="s">
        <v>5107</v>
      </c>
      <c r="D617" s="1796">
        <v>0</v>
      </c>
      <c r="E617" s="1796">
        <v>0</v>
      </c>
      <c r="F617" s="1797">
        <v>0</v>
      </c>
      <c r="G617" s="1999" t="s">
        <v>5107</v>
      </c>
      <c r="H617" s="1794">
        <v>0</v>
      </c>
      <c r="I617" s="1794">
        <v>0</v>
      </c>
      <c r="J617" s="2000">
        <v>0</v>
      </c>
      <c r="K617" s="1798"/>
      <c r="L617" s="1792">
        <v>13055010100</v>
      </c>
      <c r="M617" s="1793">
        <v>0</v>
      </c>
      <c r="N617" s="1793">
        <v>0</v>
      </c>
      <c r="O617" s="1793">
        <v>0</v>
      </c>
      <c r="P617" s="530" t="s">
        <v>2093</v>
      </c>
      <c r="Q617" s="291"/>
      <c r="R617" s="170"/>
      <c r="S617" s="387"/>
      <c r="T617" s="491" t="s">
        <v>257</v>
      </c>
      <c r="U617" s="491" t="s">
        <v>649</v>
      </c>
      <c r="AA617" s="27"/>
      <c r="AB617" s="27"/>
      <c r="AC617" s="889"/>
      <c r="AD617" s="502"/>
    </row>
    <row r="618" spans="3:30" ht="10.5" customHeight="1">
      <c r="C618" s="1799" t="s">
        <v>5108</v>
      </c>
      <c r="D618" s="1796">
        <v>0</v>
      </c>
      <c r="E618" s="1796">
        <v>0</v>
      </c>
      <c r="F618" s="1797">
        <v>0</v>
      </c>
      <c r="G618" s="1999" t="s">
        <v>5108</v>
      </c>
      <c r="H618" s="1794">
        <v>0</v>
      </c>
      <c r="I618" s="1794">
        <v>0</v>
      </c>
      <c r="J618" s="2000">
        <v>0</v>
      </c>
      <c r="K618" s="1798"/>
      <c r="L618" s="1792">
        <v>13055010200</v>
      </c>
      <c r="M618" s="1793">
        <v>0</v>
      </c>
      <c r="N618" s="1793">
        <v>0</v>
      </c>
      <c r="O618" s="1793">
        <v>0</v>
      </c>
      <c r="P618" s="530" t="s">
        <v>2095</v>
      </c>
      <c r="Q618" s="291"/>
      <c r="R618" s="170"/>
      <c r="S618" s="387"/>
      <c r="T618" s="491" t="s">
        <v>1159</v>
      </c>
      <c r="U618" s="491" t="s">
        <v>155</v>
      </c>
      <c r="AA618" s="27"/>
      <c r="AB618" s="27"/>
      <c r="AC618" s="889"/>
      <c r="AD618" s="502"/>
    </row>
    <row r="619" spans="3:30" ht="10.5" customHeight="1">
      <c r="C619" s="1799" t="s">
        <v>5109</v>
      </c>
      <c r="D619" s="1796">
        <v>0</v>
      </c>
      <c r="E619" s="1796">
        <v>0</v>
      </c>
      <c r="F619" s="1797">
        <v>0</v>
      </c>
      <c r="G619" s="1999" t="s">
        <v>5109</v>
      </c>
      <c r="H619" s="1794">
        <v>0</v>
      </c>
      <c r="I619" s="1794" t="s">
        <v>4485</v>
      </c>
      <c r="J619" s="2000">
        <v>0</v>
      </c>
      <c r="K619" s="1798"/>
      <c r="L619" s="1792">
        <v>13055010300</v>
      </c>
      <c r="M619" s="1793">
        <v>0</v>
      </c>
      <c r="N619" s="1793">
        <v>0</v>
      </c>
      <c r="O619" s="1793">
        <v>0</v>
      </c>
      <c r="P619" s="530" t="s">
        <v>2097</v>
      </c>
      <c r="Q619" s="291"/>
      <c r="R619" s="170"/>
      <c r="S619" s="387"/>
      <c r="T619" s="491" t="s">
        <v>1161</v>
      </c>
      <c r="U619" s="491" t="s">
        <v>155</v>
      </c>
      <c r="AA619" s="27"/>
      <c r="AB619" s="27"/>
      <c r="AC619" s="889"/>
      <c r="AD619" s="502"/>
    </row>
    <row r="620" spans="3:30" ht="10.5" customHeight="1">
      <c r="C620" s="1799" t="s">
        <v>5110</v>
      </c>
      <c r="D620" s="1796">
        <v>0</v>
      </c>
      <c r="E620" s="1796">
        <v>0</v>
      </c>
      <c r="F620" s="1797">
        <v>0</v>
      </c>
      <c r="G620" s="1999" t="s">
        <v>5110</v>
      </c>
      <c r="H620" s="1794">
        <v>0</v>
      </c>
      <c r="I620" s="1794">
        <v>0</v>
      </c>
      <c r="J620" s="2000">
        <v>0</v>
      </c>
      <c r="K620" s="1798"/>
      <c r="L620" s="1792">
        <v>13055010400</v>
      </c>
      <c r="M620" s="1793">
        <v>0</v>
      </c>
      <c r="N620" s="1793">
        <v>0</v>
      </c>
      <c r="O620" s="1793">
        <v>0</v>
      </c>
      <c r="P620" s="530" t="s">
        <v>2099</v>
      </c>
      <c r="Q620" s="291"/>
      <c r="R620" s="170"/>
      <c r="S620" s="387"/>
      <c r="T620" s="491" t="s">
        <v>726</v>
      </c>
      <c r="U620" s="491" t="s">
        <v>1300</v>
      </c>
      <c r="AA620" s="27"/>
      <c r="AB620" s="27"/>
      <c r="AC620" s="889"/>
      <c r="AD620" s="502"/>
    </row>
    <row r="621" spans="3:30" ht="10.5" customHeight="1">
      <c r="C621" s="1799" t="s">
        <v>5111</v>
      </c>
      <c r="D621" s="1796">
        <v>0</v>
      </c>
      <c r="E621" s="1796">
        <v>0</v>
      </c>
      <c r="F621" s="1797">
        <v>0</v>
      </c>
      <c r="G621" s="1999" t="s">
        <v>5111</v>
      </c>
      <c r="H621" s="1794">
        <v>0</v>
      </c>
      <c r="I621" s="1794">
        <v>0</v>
      </c>
      <c r="J621" s="2000">
        <v>0</v>
      </c>
      <c r="K621" s="1798"/>
      <c r="L621" s="1792">
        <v>13055010500</v>
      </c>
      <c r="M621" s="1793">
        <v>0</v>
      </c>
      <c r="N621" s="1793">
        <v>0</v>
      </c>
      <c r="O621" s="1793">
        <v>0</v>
      </c>
      <c r="P621" s="530" t="s">
        <v>2101</v>
      </c>
      <c r="Q621" s="291"/>
      <c r="R621" s="170"/>
      <c r="S621" s="387"/>
      <c r="T621" s="491" t="s">
        <v>240</v>
      </c>
      <c r="U621" s="491" t="s">
        <v>2522</v>
      </c>
      <c r="AA621" s="27"/>
      <c r="AB621" s="27"/>
      <c r="AC621" s="889"/>
      <c r="AD621" s="502"/>
    </row>
    <row r="622" spans="3:30" ht="10.5" customHeight="1">
      <c r="C622" s="1799" t="s">
        <v>5112</v>
      </c>
      <c r="D622" s="1796">
        <v>0</v>
      </c>
      <c r="E622" s="1796">
        <v>0</v>
      </c>
      <c r="F622" s="1797">
        <v>0</v>
      </c>
      <c r="G622" s="1999" t="s">
        <v>5112</v>
      </c>
      <c r="H622" s="1794">
        <v>0</v>
      </c>
      <c r="I622" s="1794">
        <v>0</v>
      </c>
      <c r="J622" s="2000">
        <v>0</v>
      </c>
      <c r="K622" s="1798"/>
      <c r="L622" s="1792">
        <v>13055010600</v>
      </c>
      <c r="M622" s="1793">
        <v>0</v>
      </c>
      <c r="N622" s="1793">
        <v>0</v>
      </c>
      <c r="O622" s="1793">
        <v>0</v>
      </c>
      <c r="P622" s="530" t="s">
        <v>86</v>
      </c>
      <c r="Q622" s="291"/>
      <c r="R622" s="170"/>
      <c r="S622" s="387"/>
      <c r="T622" s="491" t="s">
        <v>1006</v>
      </c>
      <c r="U622" s="491" t="s">
        <v>2339</v>
      </c>
      <c r="AA622" s="27"/>
      <c r="AB622" s="27"/>
      <c r="AC622" s="889"/>
      <c r="AD622" s="502"/>
    </row>
    <row r="623" spans="3:30" ht="10.5" customHeight="1">
      <c r="C623" s="1799" t="s">
        <v>5113</v>
      </c>
      <c r="D623" s="1796">
        <v>1</v>
      </c>
      <c r="E623" s="1796">
        <v>1</v>
      </c>
      <c r="F623" s="1797">
        <v>2</v>
      </c>
      <c r="G623" s="1999" t="s">
        <v>5113</v>
      </c>
      <c r="H623" s="1794">
        <v>1</v>
      </c>
      <c r="I623" s="1794">
        <v>1</v>
      </c>
      <c r="J623" s="2000">
        <v>2</v>
      </c>
      <c r="K623" s="1798"/>
      <c r="L623" s="1792">
        <v>13057090100</v>
      </c>
      <c r="M623" s="1793">
        <v>1</v>
      </c>
      <c r="N623" s="1793">
        <v>1</v>
      </c>
      <c r="O623" s="1793">
        <v>2</v>
      </c>
      <c r="P623" s="530" t="s">
        <v>1970</v>
      </c>
      <c r="Q623" s="291"/>
      <c r="R623" s="170"/>
      <c r="S623" s="387"/>
      <c r="T623" s="491" t="s">
        <v>1707</v>
      </c>
      <c r="U623" s="491" t="s">
        <v>2422</v>
      </c>
      <c r="AA623" s="27"/>
      <c r="AB623" s="27"/>
      <c r="AC623" s="889"/>
      <c r="AD623" s="502"/>
    </row>
    <row r="624" spans="3:30" ht="10.5" customHeight="1">
      <c r="C624" s="1799" t="s">
        <v>5114</v>
      </c>
      <c r="D624" s="1796">
        <v>1</v>
      </c>
      <c r="E624" s="1796">
        <v>1</v>
      </c>
      <c r="F624" s="1797">
        <v>2</v>
      </c>
      <c r="G624" s="1999" t="s">
        <v>5114</v>
      </c>
      <c r="H624" s="1794">
        <v>1</v>
      </c>
      <c r="I624" s="1794">
        <v>1</v>
      </c>
      <c r="J624" s="2000">
        <v>2</v>
      </c>
      <c r="K624" s="1798"/>
      <c r="L624" s="1792">
        <v>13057090200</v>
      </c>
      <c r="M624" s="1793">
        <v>1</v>
      </c>
      <c r="N624" s="1793">
        <v>1</v>
      </c>
      <c r="O624" s="1793">
        <v>2</v>
      </c>
      <c r="P624" s="530" t="s">
        <v>1482</v>
      </c>
      <c r="Q624" s="291"/>
      <c r="R624" s="170"/>
      <c r="S624" s="387"/>
      <c r="T624" s="491" t="s">
        <v>1769</v>
      </c>
      <c r="U624" s="491" t="s">
        <v>107</v>
      </c>
      <c r="AA624" s="27"/>
      <c r="AB624" s="27"/>
      <c r="AC624" s="889"/>
      <c r="AD624" s="502"/>
    </row>
    <row r="625" spans="3:30" ht="10.5" customHeight="1">
      <c r="C625" s="1799" t="s">
        <v>5115</v>
      </c>
      <c r="D625" s="1796">
        <v>1</v>
      </c>
      <c r="E625" s="1796">
        <v>1</v>
      </c>
      <c r="F625" s="1797">
        <v>2</v>
      </c>
      <c r="G625" s="1999" t="s">
        <v>5115</v>
      </c>
      <c r="H625" s="1794">
        <v>1</v>
      </c>
      <c r="I625" s="1794">
        <v>1</v>
      </c>
      <c r="J625" s="2000">
        <v>2</v>
      </c>
      <c r="K625" s="1798"/>
      <c r="L625" s="1792">
        <v>13057090300</v>
      </c>
      <c r="M625" s="1793">
        <v>1</v>
      </c>
      <c r="N625" s="1793">
        <v>1</v>
      </c>
      <c r="O625" s="1793">
        <v>2</v>
      </c>
      <c r="P625" s="530" t="s">
        <v>1484</v>
      </c>
      <c r="Q625" s="291"/>
      <c r="R625" s="170"/>
      <c r="S625" s="387"/>
      <c r="T625" s="491" t="s">
        <v>1077</v>
      </c>
      <c r="U625" s="491" t="s">
        <v>713</v>
      </c>
      <c r="AA625" s="27"/>
      <c r="AB625" s="27"/>
      <c r="AC625" s="889"/>
      <c r="AD625" s="502"/>
    </row>
    <row r="626" spans="3:30" ht="10.5" customHeight="1">
      <c r="C626" s="1799" t="s">
        <v>5116</v>
      </c>
      <c r="D626" s="1796">
        <v>0</v>
      </c>
      <c r="E626" s="1796">
        <v>0</v>
      </c>
      <c r="F626" s="1797">
        <v>0</v>
      </c>
      <c r="G626" s="1999" t="s">
        <v>5116</v>
      </c>
      <c r="H626" s="1794">
        <v>0</v>
      </c>
      <c r="I626" s="1794">
        <v>0</v>
      </c>
      <c r="J626" s="2000">
        <v>0</v>
      </c>
      <c r="K626" s="1798"/>
      <c r="L626" s="1792">
        <v>13057090400</v>
      </c>
      <c r="M626" s="1793">
        <v>0</v>
      </c>
      <c r="N626" s="1793">
        <v>0</v>
      </c>
      <c r="O626" s="1793">
        <v>0</v>
      </c>
      <c r="P626" s="530" t="s">
        <v>1486</v>
      </c>
      <c r="Q626" s="291"/>
      <c r="R626" s="170"/>
      <c r="S626" s="387"/>
      <c r="T626" s="491" t="s">
        <v>1043</v>
      </c>
      <c r="U626" s="491" t="s">
        <v>933</v>
      </c>
      <c r="AA626" s="27"/>
      <c r="AB626" s="27"/>
      <c r="AC626" s="889"/>
      <c r="AD626" s="502"/>
    </row>
    <row r="627" spans="3:30" ht="10.5" customHeight="1">
      <c r="C627" s="1799" t="s">
        <v>5117</v>
      </c>
      <c r="D627" s="1796">
        <v>1</v>
      </c>
      <c r="E627" s="1796">
        <v>1</v>
      </c>
      <c r="F627" s="1797">
        <v>2</v>
      </c>
      <c r="G627" s="1999" t="s">
        <v>5117</v>
      </c>
      <c r="H627" s="1794">
        <v>1</v>
      </c>
      <c r="I627" s="1794">
        <v>1</v>
      </c>
      <c r="J627" s="2000">
        <v>2</v>
      </c>
      <c r="K627" s="1798"/>
      <c r="L627" s="1792">
        <v>13057090501</v>
      </c>
      <c r="M627" s="1793">
        <v>1</v>
      </c>
      <c r="N627" s="1793">
        <v>1</v>
      </c>
      <c r="O627" s="1793">
        <v>2</v>
      </c>
      <c r="P627" s="530" t="s">
        <v>60</v>
      </c>
      <c r="Q627" s="291"/>
      <c r="R627" s="170"/>
      <c r="S627" s="387"/>
      <c r="T627" s="491" t="s">
        <v>1081</v>
      </c>
      <c r="U627" s="491" t="s">
        <v>1297</v>
      </c>
      <c r="AA627" s="27"/>
      <c r="AB627" s="27"/>
      <c r="AC627" s="889"/>
      <c r="AD627" s="502"/>
    </row>
    <row r="628" spans="3:30" ht="10.5" customHeight="1">
      <c r="C628" s="1799" t="s">
        <v>5118</v>
      </c>
      <c r="D628" s="1796">
        <v>1</v>
      </c>
      <c r="E628" s="1796">
        <v>1</v>
      </c>
      <c r="F628" s="1797">
        <v>2</v>
      </c>
      <c r="G628" s="1999" t="s">
        <v>5118</v>
      </c>
      <c r="H628" s="1794">
        <v>1</v>
      </c>
      <c r="I628" s="1794">
        <v>1</v>
      </c>
      <c r="J628" s="2000">
        <v>2</v>
      </c>
      <c r="K628" s="1798"/>
      <c r="L628" s="1792">
        <v>13057090502</v>
      </c>
      <c r="M628" s="1793">
        <v>1</v>
      </c>
      <c r="N628" s="1793">
        <v>1</v>
      </c>
      <c r="O628" s="1793">
        <v>2</v>
      </c>
      <c r="P628" s="530" t="s">
        <v>62</v>
      </c>
      <c r="Q628" s="291"/>
      <c r="R628" s="170"/>
      <c r="S628" s="387"/>
      <c r="T628" s="491" t="s">
        <v>394</v>
      </c>
      <c r="U628" s="491" t="s">
        <v>649</v>
      </c>
      <c r="AA628" s="27"/>
      <c r="AB628" s="27"/>
      <c r="AC628" s="889"/>
      <c r="AD628" s="502"/>
    </row>
    <row r="629" spans="3:30" ht="10.5" customHeight="1">
      <c r="C629" s="1799" t="s">
        <v>5119</v>
      </c>
      <c r="D629" s="1796">
        <v>0</v>
      </c>
      <c r="E629" s="1796">
        <v>0</v>
      </c>
      <c r="F629" s="1797">
        <v>0</v>
      </c>
      <c r="G629" s="1999" t="s">
        <v>5119</v>
      </c>
      <c r="H629" s="1794">
        <v>0</v>
      </c>
      <c r="I629" s="1794">
        <v>0</v>
      </c>
      <c r="J629" s="2000">
        <v>0</v>
      </c>
      <c r="K629" s="1798"/>
      <c r="L629" s="1792">
        <v>13057090601</v>
      </c>
      <c r="M629" s="1793">
        <v>0</v>
      </c>
      <c r="N629" s="1793">
        <v>0</v>
      </c>
      <c r="O629" s="1793">
        <v>0</v>
      </c>
      <c r="P629" s="530" t="s">
        <v>64</v>
      </c>
      <c r="Q629" s="291"/>
      <c r="R629" s="170"/>
      <c r="S629" s="387"/>
      <c r="T629" s="491" t="s">
        <v>1044</v>
      </c>
      <c r="U629" s="491" t="s">
        <v>119</v>
      </c>
      <c r="AA629" s="27"/>
      <c r="AB629" s="27"/>
      <c r="AC629" s="889"/>
      <c r="AD629" s="502"/>
    </row>
    <row r="630" spans="3:30" ht="10.5" customHeight="1">
      <c r="C630" s="1799" t="s">
        <v>5120</v>
      </c>
      <c r="D630" s="1796">
        <v>1</v>
      </c>
      <c r="E630" s="1796">
        <v>1</v>
      </c>
      <c r="F630" s="1797">
        <v>2</v>
      </c>
      <c r="G630" s="1999" t="s">
        <v>5120</v>
      </c>
      <c r="H630" s="1794">
        <v>1</v>
      </c>
      <c r="I630" s="1794">
        <v>0</v>
      </c>
      <c r="J630" s="2000">
        <v>1</v>
      </c>
      <c r="K630" s="1798"/>
      <c r="L630" s="1792">
        <v>13057090602</v>
      </c>
      <c r="M630" s="1793">
        <v>1</v>
      </c>
      <c r="N630" s="1793">
        <v>1</v>
      </c>
      <c r="O630" s="1793">
        <v>2</v>
      </c>
      <c r="P630" s="530" t="s">
        <v>66</v>
      </c>
      <c r="Q630" s="291"/>
      <c r="R630" s="170"/>
      <c r="S630" s="387"/>
      <c r="T630" s="491" t="s">
        <v>2</v>
      </c>
      <c r="U630" s="491" t="s">
        <v>1290</v>
      </c>
      <c r="AA630" s="27"/>
      <c r="AB630" s="27"/>
      <c r="AC630" s="889"/>
      <c r="AD630" s="502"/>
    </row>
    <row r="631" spans="3:30" ht="10.5" customHeight="1">
      <c r="C631" s="1799" t="s">
        <v>5121</v>
      </c>
      <c r="D631" s="1796">
        <v>1</v>
      </c>
      <c r="E631" s="1796">
        <v>1</v>
      </c>
      <c r="F631" s="1797">
        <v>2</v>
      </c>
      <c r="G631" s="1999" t="s">
        <v>5121</v>
      </c>
      <c r="H631" s="1794">
        <v>1</v>
      </c>
      <c r="I631" s="1794">
        <v>1</v>
      </c>
      <c r="J631" s="2000">
        <v>2</v>
      </c>
      <c r="K631" s="1798"/>
      <c r="L631" s="1792">
        <v>13057090701</v>
      </c>
      <c r="M631" s="1793">
        <v>1</v>
      </c>
      <c r="N631" s="1793">
        <v>1</v>
      </c>
      <c r="O631" s="1793">
        <v>2</v>
      </c>
      <c r="P631" s="530" t="s">
        <v>68</v>
      </c>
      <c r="Q631" s="291"/>
      <c r="R631" s="170"/>
      <c r="S631" s="387"/>
      <c r="T631" s="491" t="s">
        <v>4</v>
      </c>
      <c r="U631" s="491" t="s">
        <v>2335</v>
      </c>
      <c r="AA631" s="27"/>
      <c r="AB631" s="27"/>
      <c r="AC631" s="889"/>
      <c r="AD631" s="502"/>
    </row>
    <row r="632" spans="3:30" ht="10.5" customHeight="1">
      <c r="C632" s="1799" t="s">
        <v>5122</v>
      </c>
      <c r="D632" s="1796">
        <v>1</v>
      </c>
      <c r="E632" s="1796">
        <v>1</v>
      </c>
      <c r="F632" s="1797">
        <v>2</v>
      </c>
      <c r="G632" s="1999" t="s">
        <v>5122</v>
      </c>
      <c r="H632" s="1794">
        <v>1</v>
      </c>
      <c r="I632" s="1794">
        <v>0</v>
      </c>
      <c r="J632" s="2000">
        <v>1</v>
      </c>
      <c r="K632" s="1798"/>
      <c r="L632" s="1792">
        <v>13057090702</v>
      </c>
      <c r="M632" s="1793">
        <v>1</v>
      </c>
      <c r="N632" s="1793">
        <v>1</v>
      </c>
      <c r="O632" s="1793">
        <v>2</v>
      </c>
      <c r="P632" s="530" t="s">
        <v>756</v>
      </c>
      <c r="Q632" s="291"/>
      <c r="R632" s="170"/>
      <c r="S632" s="387"/>
      <c r="T632" s="491" t="s">
        <v>6</v>
      </c>
      <c r="U632" s="491" t="s">
        <v>1870</v>
      </c>
      <c r="AA632" s="27"/>
      <c r="AB632" s="27"/>
      <c r="AC632" s="889"/>
      <c r="AD632" s="502"/>
    </row>
    <row r="633" spans="3:30" ht="10.5" customHeight="1">
      <c r="C633" s="1799" t="s">
        <v>5123</v>
      </c>
      <c r="D633" s="1796">
        <v>1</v>
      </c>
      <c r="E633" s="1796">
        <v>1</v>
      </c>
      <c r="F633" s="1797">
        <v>2</v>
      </c>
      <c r="G633" s="1999" t="s">
        <v>5123</v>
      </c>
      <c r="H633" s="1794">
        <v>1</v>
      </c>
      <c r="I633" s="1794">
        <v>1</v>
      </c>
      <c r="J633" s="2000">
        <v>2</v>
      </c>
      <c r="K633" s="1798"/>
      <c r="L633" s="1792">
        <v>13057090802</v>
      </c>
      <c r="M633" s="1793">
        <v>1</v>
      </c>
      <c r="N633" s="1793">
        <v>1</v>
      </c>
      <c r="O633" s="1793">
        <v>2</v>
      </c>
      <c r="P633" s="530" t="s">
        <v>709</v>
      </c>
      <c r="Q633" s="291"/>
      <c r="R633" s="170"/>
      <c r="S633" s="387"/>
      <c r="T633" s="531" t="s">
        <v>1045</v>
      </c>
      <c r="U633" s="531" t="s">
        <v>610</v>
      </c>
      <c r="AA633" s="27"/>
      <c r="AB633" s="27"/>
      <c r="AC633" s="889"/>
      <c r="AD633" s="502"/>
    </row>
    <row r="634" spans="3:30" ht="10.5" customHeight="1">
      <c r="C634" s="1799" t="s">
        <v>5124</v>
      </c>
      <c r="D634" s="1796">
        <v>1</v>
      </c>
      <c r="E634" s="1796">
        <v>1</v>
      </c>
      <c r="F634" s="1797">
        <v>2</v>
      </c>
      <c r="G634" s="1999" t="s">
        <v>5124</v>
      </c>
      <c r="H634" s="1794">
        <v>1</v>
      </c>
      <c r="I634" s="1794">
        <v>1</v>
      </c>
      <c r="J634" s="2000">
        <v>2</v>
      </c>
      <c r="K634" s="1798"/>
      <c r="L634" s="1792">
        <v>13057090803</v>
      </c>
      <c r="M634" s="1793">
        <v>1</v>
      </c>
      <c r="N634" s="1793">
        <v>1</v>
      </c>
      <c r="O634" s="1793">
        <v>2</v>
      </c>
      <c r="P634" s="530" t="s">
        <v>711</v>
      </c>
      <c r="Q634" s="291"/>
      <c r="R634" s="170"/>
      <c r="S634" s="387"/>
      <c r="T634" s="491" t="s">
        <v>1046</v>
      </c>
      <c r="U634" s="491" t="s">
        <v>311</v>
      </c>
      <c r="AA634" s="27"/>
      <c r="AB634" s="27"/>
      <c r="AC634" s="890"/>
      <c r="AD634" s="502"/>
    </row>
    <row r="635" spans="3:30" ht="10.5" customHeight="1">
      <c r="C635" s="1799" t="s">
        <v>5125</v>
      </c>
      <c r="D635" s="1796">
        <v>1</v>
      </c>
      <c r="E635" s="1796">
        <v>1</v>
      </c>
      <c r="F635" s="1797">
        <v>2</v>
      </c>
      <c r="G635" s="1999" t="s">
        <v>5125</v>
      </c>
      <c r="H635" s="1794">
        <v>1</v>
      </c>
      <c r="I635" s="1794">
        <v>1</v>
      </c>
      <c r="J635" s="2000">
        <v>2</v>
      </c>
      <c r="K635" s="1798"/>
      <c r="L635" s="1792">
        <v>13057090804</v>
      </c>
      <c r="M635" s="1793">
        <v>1</v>
      </c>
      <c r="N635" s="1793">
        <v>1</v>
      </c>
      <c r="O635" s="1793">
        <v>2</v>
      </c>
      <c r="P635" s="530" t="s">
        <v>1157</v>
      </c>
      <c r="Q635" s="291"/>
      <c r="R635" s="170"/>
      <c r="S635" s="387"/>
      <c r="T635" s="491" t="s">
        <v>2092</v>
      </c>
      <c r="U635" s="491" t="s">
        <v>1300</v>
      </c>
      <c r="AA635" s="27"/>
      <c r="AB635" s="27"/>
      <c r="AC635" s="889"/>
      <c r="AD635" s="502"/>
    </row>
    <row r="636" spans="3:30" ht="10.5" customHeight="1">
      <c r="C636" s="1799" t="s">
        <v>5126</v>
      </c>
      <c r="D636" s="1796">
        <v>1</v>
      </c>
      <c r="E636" s="1796">
        <v>1</v>
      </c>
      <c r="F636" s="1797">
        <v>2</v>
      </c>
      <c r="G636" s="1999" t="s">
        <v>5126</v>
      </c>
      <c r="H636" s="1794">
        <v>1</v>
      </c>
      <c r="I636" s="1794">
        <v>1</v>
      </c>
      <c r="J636" s="2000">
        <v>2</v>
      </c>
      <c r="K636" s="1798"/>
      <c r="L636" s="1792">
        <v>13057090901</v>
      </c>
      <c r="M636" s="1793">
        <v>1</v>
      </c>
      <c r="N636" s="1793">
        <v>1</v>
      </c>
      <c r="O636" s="1793">
        <v>2</v>
      </c>
      <c r="P636" s="530" t="s">
        <v>1019</v>
      </c>
      <c r="Q636" s="291"/>
      <c r="R636" s="170"/>
      <c r="S636" s="387"/>
      <c r="T636" s="491" t="s">
        <v>2094</v>
      </c>
      <c r="U636" s="491" t="s">
        <v>2133</v>
      </c>
      <c r="AA636" s="27"/>
      <c r="AB636" s="27"/>
      <c r="AC636" s="889"/>
      <c r="AD636" s="502"/>
    </row>
    <row r="637" spans="3:30" ht="10.5" customHeight="1">
      <c r="C637" s="1799" t="s">
        <v>5127</v>
      </c>
      <c r="D637" s="1796">
        <v>1</v>
      </c>
      <c r="E637" s="1796">
        <v>1</v>
      </c>
      <c r="F637" s="1797">
        <v>2</v>
      </c>
      <c r="G637" s="1999" t="s">
        <v>5127</v>
      </c>
      <c r="H637" s="1794">
        <v>1</v>
      </c>
      <c r="I637" s="1794">
        <v>1</v>
      </c>
      <c r="J637" s="2000">
        <v>2</v>
      </c>
      <c r="K637" s="1798"/>
      <c r="L637" s="1792">
        <v>13057090902</v>
      </c>
      <c r="M637" s="1793">
        <v>1</v>
      </c>
      <c r="N637" s="1793">
        <v>1</v>
      </c>
      <c r="O637" s="1793">
        <v>2</v>
      </c>
      <c r="P637" s="530" t="s">
        <v>1020</v>
      </c>
      <c r="Q637" s="291"/>
      <c r="R637" s="170"/>
      <c r="S637" s="387"/>
      <c r="T637" s="491" t="s">
        <v>2096</v>
      </c>
      <c r="U637" s="491" t="s">
        <v>171</v>
      </c>
      <c r="AA637" s="27"/>
      <c r="AB637" s="27"/>
      <c r="AC637" s="889"/>
      <c r="AD637" s="502"/>
    </row>
    <row r="638" spans="3:30" ht="10.5" customHeight="1">
      <c r="C638" s="1799" t="s">
        <v>5128</v>
      </c>
      <c r="D638" s="1796">
        <v>1</v>
      </c>
      <c r="E638" s="1796">
        <v>1</v>
      </c>
      <c r="F638" s="1797">
        <v>2</v>
      </c>
      <c r="G638" s="1999" t="s">
        <v>5128</v>
      </c>
      <c r="H638" s="1794">
        <v>1</v>
      </c>
      <c r="I638" s="1794">
        <v>0</v>
      </c>
      <c r="J638" s="2000">
        <v>1</v>
      </c>
      <c r="K638" s="1798"/>
      <c r="L638" s="1792">
        <v>13057090904</v>
      </c>
      <c r="M638" s="1793">
        <v>1</v>
      </c>
      <c r="N638" s="1793">
        <v>1</v>
      </c>
      <c r="O638" s="1793">
        <v>2</v>
      </c>
      <c r="P638" s="530" t="s">
        <v>1022</v>
      </c>
      <c r="Q638" s="291"/>
      <c r="R638" s="170"/>
      <c r="S638" s="387"/>
      <c r="T638" s="491" t="s">
        <v>2098</v>
      </c>
      <c r="U638" s="491" t="s">
        <v>1424</v>
      </c>
      <c r="AA638" s="27"/>
      <c r="AB638" s="27"/>
      <c r="AC638" s="889"/>
      <c r="AD638" s="502"/>
    </row>
    <row r="639" spans="3:30" ht="10.5" customHeight="1">
      <c r="C639" s="1799" t="s">
        <v>5129</v>
      </c>
      <c r="D639" s="1796">
        <v>1</v>
      </c>
      <c r="E639" s="1796">
        <v>1</v>
      </c>
      <c r="F639" s="1797">
        <v>2</v>
      </c>
      <c r="G639" s="1999" t="s">
        <v>5129</v>
      </c>
      <c r="H639" s="1794">
        <v>1</v>
      </c>
      <c r="I639" s="1794">
        <v>1</v>
      </c>
      <c r="J639" s="2000">
        <v>2</v>
      </c>
      <c r="K639" s="1798"/>
      <c r="L639" s="1792">
        <v>13057090905</v>
      </c>
      <c r="M639" s="1793">
        <v>1</v>
      </c>
      <c r="N639" s="1793">
        <v>1</v>
      </c>
      <c r="O639" s="1793">
        <v>2</v>
      </c>
      <c r="P639" s="530" t="s">
        <v>2207</v>
      </c>
      <c r="Q639" s="291"/>
      <c r="R639" s="170"/>
      <c r="S639" s="387"/>
      <c r="T639" s="491" t="s">
        <v>2100</v>
      </c>
      <c r="U639" s="491" t="s">
        <v>649</v>
      </c>
      <c r="AA639" s="27"/>
      <c r="AB639" s="27"/>
      <c r="AC639" s="889"/>
      <c r="AD639" s="502"/>
    </row>
    <row r="640" spans="3:30" ht="10.5" customHeight="1">
      <c r="C640" s="1799" t="s">
        <v>5130</v>
      </c>
      <c r="D640" s="1796">
        <v>0</v>
      </c>
      <c r="E640" s="1796">
        <v>1</v>
      </c>
      <c r="F640" s="1797">
        <v>1</v>
      </c>
      <c r="G640" s="1999" t="s">
        <v>5130</v>
      </c>
      <c r="H640" s="1794">
        <v>1</v>
      </c>
      <c r="I640" s="1794">
        <v>1</v>
      </c>
      <c r="J640" s="2000">
        <v>2</v>
      </c>
      <c r="K640" s="1798"/>
      <c r="L640" s="1792">
        <v>13057091001</v>
      </c>
      <c r="M640" s="1793">
        <v>1</v>
      </c>
      <c r="N640" s="1793">
        <v>1</v>
      </c>
      <c r="O640" s="1793">
        <v>2</v>
      </c>
      <c r="P640" s="530" t="s">
        <v>2209</v>
      </c>
      <c r="Q640" s="291"/>
      <c r="R640" s="170"/>
      <c r="S640" s="387"/>
      <c r="T640" s="491" t="s">
        <v>87</v>
      </c>
      <c r="U640" s="491" t="s">
        <v>118</v>
      </c>
      <c r="AA640" s="27"/>
      <c r="AB640" s="27"/>
      <c r="AC640" s="889"/>
      <c r="AD640" s="502"/>
    </row>
    <row r="641" spans="3:30" ht="10.5" customHeight="1">
      <c r="C641" s="1799" t="s">
        <v>5131</v>
      </c>
      <c r="D641" s="1796">
        <v>0</v>
      </c>
      <c r="E641" s="1796">
        <v>0</v>
      </c>
      <c r="F641" s="1797">
        <v>0</v>
      </c>
      <c r="G641" s="1999" t="s">
        <v>5131</v>
      </c>
      <c r="H641" s="1794">
        <v>1</v>
      </c>
      <c r="I641" s="1794">
        <v>0</v>
      </c>
      <c r="J641" s="2000">
        <v>1</v>
      </c>
      <c r="K641" s="1798"/>
      <c r="L641" s="1792">
        <v>13057091003</v>
      </c>
      <c r="M641" s="1793">
        <v>1</v>
      </c>
      <c r="N641" s="1793">
        <v>0</v>
      </c>
      <c r="O641" s="1793">
        <v>1</v>
      </c>
      <c r="P641" s="530" t="s">
        <v>1725</v>
      </c>
      <c r="Q641" s="291"/>
      <c r="R641" s="170"/>
      <c r="S641" s="387"/>
      <c r="T641" s="491" t="s">
        <v>1481</v>
      </c>
      <c r="U641" s="491" t="s">
        <v>2135</v>
      </c>
      <c r="AA641" s="27"/>
      <c r="AB641" s="27"/>
      <c r="AC641" s="889"/>
      <c r="AD641" s="502"/>
    </row>
    <row r="642" spans="3:30" ht="10.5" customHeight="1">
      <c r="C642" s="1799" t="s">
        <v>5132</v>
      </c>
      <c r="D642" s="1796">
        <v>1</v>
      </c>
      <c r="E642" s="1796">
        <v>1</v>
      </c>
      <c r="F642" s="1797">
        <v>2</v>
      </c>
      <c r="G642" s="1999" t="s">
        <v>5132</v>
      </c>
      <c r="H642" s="1794">
        <v>1</v>
      </c>
      <c r="I642" s="1794">
        <v>1</v>
      </c>
      <c r="J642" s="2000">
        <v>2</v>
      </c>
      <c r="K642" s="1798"/>
      <c r="L642" s="1792">
        <v>13057091005</v>
      </c>
      <c r="M642" s="1793">
        <v>1</v>
      </c>
      <c r="N642" s="1793">
        <v>1</v>
      </c>
      <c r="O642" s="1793">
        <v>2</v>
      </c>
      <c r="P642" s="530" t="s">
        <v>2454</v>
      </c>
      <c r="Q642" s="291"/>
      <c r="R642" s="170"/>
      <c r="S642" s="387"/>
      <c r="T642" s="491" t="s">
        <v>1483</v>
      </c>
      <c r="U642" s="491" t="s">
        <v>195</v>
      </c>
      <c r="AA642" s="27"/>
      <c r="AB642" s="27"/>
      <c r="AC642" s="889"/>
      <c r="AD642" s="502"/>
    </row>
    <row r="643" spans="3:30" ht="10.5" customHeight="1">
      <c r="C643" s="1799" t="s">
        <v>5133</v>
      </c>
      <c r="D643" s="1796">
        <v>1</v>
      </c>
      <c r="E643" s="1796">
        <v>1</v>
      </c>
      <c r="F643" s="1797">
        <v>2</v>
      </c>
      <c r="G643" s="1999" t="s">
        <v>5133</v>
      </c>
      <c r="H643" s="1794">
        <v>1</v>
      </c>
      <c r="I643" s="1794">
        <v>1</v>
      </c>
      <c r="J643" s="2000">
        <v>2</v>
      </c>
      <c r="K643" s="1798"/>
      <c r="L643" s="1792">
        <v>13057091006</v>
      </c>
      <c r="M643" s="1793">
        <v>1</v>
      </c>
      <c r="N643" s="1793">
        <v>1</v>
      </c>
      <c r="O643" s="1793">
        <v>2</v>
      </c>
      <c r="P643" s="530" t="s">
        <v>2113</v>
      </c>
      <c r="Q643" s="291"/>
      <c r="R643" s="170"/>
      <c r="S643" s="387"/>
      <c r="T643" s="531" t="s">
        <v>1485</v>
      </c>
      <c r="U643" s="531" t="s">
        <v>1427</v>
      </c>
      <c r="AA643" s="27"/>
      <c r="AB643" s="27"/>
      <c r="AC643" s="889"/>
      <c r="AD643" s="502"/>
    </row>
    <row r="644" spans="3:30" ht="10.5" customHeight="1">
      <c r="C644" s="1799" t="s">
        <v>5134</v>
      </c>
      <c r="D644" s="1796">
        <v>1</v>
      </c>
      <c r="E644" s="1796">
        <v>1</v>
      </c>
      <c r="F644" s="1797">
        <v>2</v>
      </c>
      <c r="G644" s="1999" t="s">
        <v>5134</v>
      </c>
      <c r="H644" s="1794">
        <v>1</v>
      </c>
      <c r="I644" s="1794">
        <v>1</v>
      </c>
      <c r="J644" s="2000">
        <v>2</v>
      </c>
      <c r="K644" s="1798"/>
      <c r="L644" s="1792">
        <v>13057091007</v>
      </c>
      <c r="M644" s="1793">
        <v>1</v>
      </c>
      <c r="N644" s="1793">
        <v>1</v>
      </c>
      <c r="O644" s="1793">
        <v>2</v>
      </c>
      <c r="P644" s="530" t="s">
        <v>1579</v>
      </c>
      <c r="Q644" s="291"/>
      <c r="R644" s="170"/>
      <c r="S644" s="387"/>
      <c r="T644" s="491" t="s">
        <v>1487</v>
      </c>
      <c r="U644" s="491" t="s">
        <v>2125</v>
      </c>
      <c r="AA644" s="27"/>
      <c r="AB644" s="27"/>
      <c r="AC644" s="890"/>
      <c r="AD644" s="502"/>
    </row>
    <row r="645" spans="3:30" ht="10.5" customHeight="1">
      <c r="C645" s="1799" t="s">
        <v>5135</v>
      </c>
      <c r="D645" s="1796">
        <v>1</v>
      </c>
      <c r="E645" s="1796">
        <v>1</v>
      </c>
      <c r="F645" s="1797">
        <v>2</v>
      </c>
      <c r="G645" s="1999" t="s">
        <v>5135</v>
      </c>
      <c r="H645" s="1794">
        <v>1</v>
      </c>
      <c r="I645" s="1794" t="s">
        <v>4485</v>
      </c>
      <c r="J645" s="2000">
        <v>1</v>
      </c>
      <c r="K645" s="1798"/>
      <c r="L645" s="1792">
        <v>13057091008</v>
      </c>
      <c r="M645" s="1793">
        <v>1</v>
      </c>
      <c r="N645" s="1793">
        <v>1</v>
      </c>
      <c r="O645" s="1793">
        <v>2</v>
      </c>
      <c r="P645" s="530" t="s">
        <v>1580</v>
      </c>
      <c r="Q645" s="291"/>
      <c r="R645" s="170"/>
      <c r="S645" s="387"/>
      <c r="T645" s="491" t="s">
        <v>61</v>
      </c>
      <c r="U645" s="491" t="s">
        <v>1298</v>
      </c>
      <c r="AA645" s="27"/>
      <c r="AB645" s="27"/>
      <c r="AC645" s="889"/>
      <c r="AD645" s="502"/>
    </row>
    <row r="646" spans="3:30" ht="10.5" customHeight="1">
      <c r="C646" s="1799" t="s">
        <v>5136</v>
      </c>
      <c r="D646" s="1796">
        <v>1</v>
      </c>
      <c r="E646" s="1796">
        <v>1</v>
      </c>
      <c r="F646" s="1797">
        <v>2</v>
      </c>
      <c r="G646" s="1999" t="s">
        <v>5136</v>
      </c>
      <c r="H646" s="1794">
        <v>1</v>
      </c>
      <c r="I646" s="1794" t="s">
        <v>4485</v>
      </c>
      <c r="J646" s="2000">
        <v>1</v>
      </c>
      <c r="K646" s="1798"/>
      <c r="L646" s="1792">
        <v>13057091101</v>
      </c>
      <c r="M646" s="1793">
        <v>1</v>
      </c>
      <c r="N646" s="1793">
        <v>1</v>
      </c>
      <c r="O646" s="1793">
        <v>2</v>
      </c>
      <c r="P646" s="530" t="s">
        <v>1582</v>
      </c>
      <c r="Q646" s="291"/>
      <c r="R646" s="170"/>
      <c r="S646" s="387"/>
      <c r="T646" s="531" t="s">
        <v>63</v>
      </c>
      <c r="U646" s="531" t="s">
        <v>103</v>
      </c>
      <c r="AA646" s="27"/>
      <c r="AB646" s="27"/>
      <c r="AC646" s="889"/>
      <c r="AD646" s="502"/>
    </row>
    <row r="647" spans="3:30" ht="10.5" customHeight="1">
      <c r="C647" s="1799" t="s">
        <v>5137</v>
      </c>
      <c r="D647" s="1796">
        <v>1</v>
      </c>
      <c r="E647" s="1796">
        <v>0</v>
      </c>
      <c r="F647" s="1797">
        <v>1</v>
      </c>
      <c r="G647" s="1999" t="s">
        <v>5137</v>
      </c>
      <c r="H647" s="1794">
        <v>1</v>
      </c>
      <c r="I647" s="1794">
        <v>0</v>
      </c>
      <c r="J647" s="2000">
        <v>1</v>
      </c>
      <c r="K647" s="1798"/>
      <c r="L647" s="1792">
        <v>13057091102</v>
      </c>
      <c r="M647" s="1793">
        <v>1</v>
      </c>
      <c r="N647" s="1793">
        <v>0</v>
      </c>
      <c r="O647" s="1793">
        <v>1</v>
      </c>
      <c r="P647" s="530" t="s">
        <v>1583</v>
      </c>
      <c r="Q647" s="291"/>
      <c r="R647" s="170"/>
      <c r="S647" s="387"/>
      <c r="T647" s="491" t="s">
        <v>65</v>
      </c>
      <c r="U647" s="491" t="s">
        <v>856</v>
      </c>
      <c r="AA647" s="27"/>
      <c r="AB647" s="27"/>
      <c r="AC647" s="890"/>
      <c r="AD647" s="502"/>
    </row>
    <row r="648" spans="3:30" ht="10.5" customHeight="1">
      <c r="C648" s="1799" t="s">
        <v>5138</v>
      </c>
      <c r="D648" s="1796">
        <v>1</v>
      </c>
      <c r="E648" s="1796">
        <v>1</v>
      </c>
      <c r="F648" s="1797">
        <v>2</v>
      </c>
      <c r="G648" s="1999" t="s">
        <v>5138</v>
      </c>
      <c r="H648" s="1794">
        <v>1</v>
      </c>
      <c r="I648" s="1794">
        <v>1</v>
      </c>
      <c r="J648" s="2000">
        <v>2</v>
      </c>
      <c r="K648" s="1798"/>
      <c r="L648" s="1792">
        <v>13057091103</v>
      </c>
      <c r="M648" s="1793">
        <v>1</v>
      </c>
      <c r="N648" s="1793">
        <v>1</v>
      </c>
      <c r="O648" s="1793">
        <v>2</v>
      </c>
      <c r="P648" s="530" t="s">
        <v>1585</v>
      </c>
      <c r="Q648" s="291"/>
      <c r="R648" s="170"/>
      <c r="S648" s="387"/>
      <c r="T648" s="491" t="s">
        <v>67</v>
      </c>
      <c r="U648" s="491" t="s">
        <v>1488</v>
      </c>
      <c r="AA648" s="27"/>
      <c r="AB648" s="27"/>
      <c r="AC648" s="889"/>
      <c r="AD648" s="502"/>
    </row>
    <row r="649" spans="3:30" ht="10.5" customHeight="1">
      <c r="C649" s="1799" t="s">
        <v>5139</v>
      </c>
      <c r="D649" s="1796">
        <v>0</v>
      </c>
      <c r="E649" s="1796">
        <v>1</v>
      </c>
      <c r="F649" s="1797">
        <v>1</v>
      </c>
      <c r="G649" s="1999" t="s">
        <v>5139</v>
      </c>
      <c r="H649" s="1794">
        <v>0</v>
      </c>
      <c r="I649" s="1794" t="s">
        <v>4485</v>
      </c>
      <c r="J649" s="2000">
        <v>0</v>
      </c>
      <c r="K649" s="1798"/>
      <c r="L649" s="1792">
        <v>13059000100</v>
      </c>
      <c r="M649" s="1793">
        <v>0</v>
      </c>
      <c r="N649" s="1793">
        <v>1</v>
      </c>
      <c r="O649" s="1793">
        <v>1</v>
      </c>
      <c r="P649" s="530" t="s">
        <v>1586</v>
      </c>
      <c r="Q649" s="291"/>
      <c r="R649" s="170"/>
      <c r="S649" s="387"/>
      <c r="T649" s="491" t="s">
        <v>757</v>
      </c>
      <c r="U649" s="491" t="s">
        <v>2419</v>
      </c>
      <c r="AA649" s="27"/>
      <c r="AB649" s="27"/>
      <c r="AC649" s="889"/>
      <c r="AD649" s="502"/>
    </row>
    <row r="650" spans="3:30" ht="10.5" customHeight="1">
      <c r="C650" s="1799" t="s">
        <v>5140</v>
      </c>
      <c r="D650" s="1796">
        <v>0</v>
      </c>
      <c r="E650" s="1796">
        <v>0</v>
      </c>
      <c r="F650" s="1797">
        <v>0</v>
      </c>
      <c r="G650" s="1999" t="s">
        <v>5140</v>
      </c>
      <c r="H650" s="1794">
        <v>0</v>
      </c>
      <c r="I650" s="1794" t="s">
        <v>4485</v>
      </c>
      <c r="J650" s="2000">
        <v>0</v>
      </c>
      <c r="K650" s="1798"/>
      <c r="L650" s="1792">
        <v>13059000401</v>
      </c>
      <c r="M650" s="1793">
        <v>0</v>
      </c>
      <c r="N650" s="1793">
        <v>0</v>
      </c>
      <c r="O650" s="1793">
        <v>0</v>
      </c>
      <c r="P650" s="530" t="s">
        <v>1588</v>
      </c>
      <c r="Q650" s="291"/>
      <c r="R650" s="170"/>
      <c r="S650" s="387"/>
      <c r="T650" s="491" t="s">
        <v>710</v>
      </c>
      <c r="U650" s="491" t="s">
        <v>2425</v>
      </c>
      <c r="AA650" s="27"/>
      <c r="AB650" s="27"/>
      <c r="AC650" s="889"/>
      <c r="AD650" s="502"/>
    </row>
    <row r="651" spans="3:30" ht="10.5" customHeight="1">
      <c r="C651" s="1799" t="s">
        <v>5141</v>
      </c>
      <c r="D651" s="1796">
        <v>0</v>
      </c>
      <c r="E651" s="1796">
        <v>1</v>
      </c>
      <c r="F651" s="1797">
        <v>1</v>
      </c>
      <c r="G651" s="1999" t="s">
        <v>5141</v>
      </c>
      <c r="H651" s="1794">
        <v>0</v>
      </c>
      <c r="I651" s="1794" t="s">
        <v>4485</v>
      </c>
      <c r="J651" s="2000">
        <v>0</v>
      </c>
      <c r="K651" s="1798"/>
      <c r="L651" s="1792">
        <v>13059000402</v>
      </c>
      <c r="M651" s="1793">
        <v>0</v>
      </c>
      <c r="N651" s="1793">
        <v>1</v>
      </c>
      <c r="O651" s="1793">
        <v>1</v>
      </c>
      <c r="P651" s="530" t="s">
        <v>2355</v>
      </c>
      <c r="Q651" s="291"/>
      <c r="R651" s="170"/>
      <c r="S651" s="387"/>
      <c r="T651" s="491" t="s">
        <v>919</v>
      </c>
      <c r="U651" s="491" t="s">
        <v>2466</v>
      </c>
      <c r="AA651" s="27"/>
      <c r="AB651" s="27"/>
      <c r="AC651" s="889"/>
      <c r="AD651" s="502"/>
    </row>
    <row r="652" spans="3:30" ht="10.5" customHeight="1">
      <c r="C652" s="1799" t="s">
        <v>5142</v>
      </c>
      <c r="D652" s="1796">
        <v>0</v>
      </c>
      <c r="E652" s="1796">
        <v>0</v>
      </c>
      <c r="F652" s="1797">
        <v>0</v>
      </c>
      <c r="G652" s="1999" t="s">
        <v>5142</v>
      </c>
      <c r="H652" s="1794">
        <v>0</v>
      </c>
      <c r="I652" s="1794">
        <v>1</v>
      </c>
      <c r="J652" s="2000">
        <v>1</v>
      </c>
      <c r="K652" s="1798"/>
      <c r="L652" s="1792">
        <v>13059000600</v>
      </c>
      <c r="M652" s="1793">
        <v>0</v>
      </c>
      <c r="N652" s="1793">
        <v>1</v>
      </c>
      <c r="O652" s="1793">
        <v>1</v>
      </c>
      <c r="P652" s="530" t="s">
        <v>163</v>
      </c>
      <c r="Q652" s="291"/>
      <c r="R652" s="170"/>
      <c r="S652" s="387"/>
      <c r="T652" s="491" t="s">
        <v>1047</v>
      </c>
      <c r="U652" s="491" t="s">
        <v>315</v>
      </c>
      <c r="AA652" s="27"/>
      <c r="AB652" s="27"/>
      <c r="AC652" s="889"/>
      <c r="AD652" s="502"/>
    </row>
    <row r="653" spans="3:30" ht="10.5" customHeight="1">
      <c r="C653" s="1799" t="s">
        <v>5143</v>
      </c>
      <c r="D653" s="1796">
        <v>0</v>
      </c>
      <c r="E653" s="1796">
        <v>0</v>
      </c>
      <c r="F653" s="1797">
        <v>0</v>
      </c>
      <c r="G653" s="1999" t="s">
        <v>5143</v>
      </c>
      <c r="H653" s="1794">
        <v>0</v>
      </c>
      <c r="I653" s="1794">
        <v>0</v>
      </c>
      <c r="J653" s="2000">
        <v>0</v>
      </c>
      <c r="K653" s="1798"/>
      <c r="L653" s="1792">
        <v>13059000900</v>
      </c>
      <c r="M653" s="1793">
        <v>0</v>
      </c>
      <c r="N653" s="1793">
        <v>0</v>
      </c>
      <c r="O653" s="1793">
        <v>0</v>
      </c>
      <c r="P653" s="530" t="s">
        <v>966</v>
      </c>
      <c r="Q653" s="291"/>
      <c r="R653" s="170"/>
      <c r="S653" s="387"/>
      <c r="T653" s="491" t="s">
        <v>1158</v>
      </c>
      <c r="U653" s="491" t="s">
        <v>1904</v>
      </c>
      <c r="AA653" s="27"/>
      <c r="AB653" s="27"/>
      <c r="AC653" s="889"/>
      <c r="AD653" s="502"/>
    </row>
    <row r="654" spans="3:30" ht="10.5" customHeight="1">
      <c r="C654" s="1799" t="s">
        <v>5144</v>
      </c>
      <c r="D654" s="1796">
        <v>1</v>
      </c>
      <c r="E654" s="1796">
        <v>0</v>
      </c>
      <c r="F654" s="1797">
        <v>1</v>
      </c>
      <c r="G654" s="1999" t="s">
        <v>5144</v>
      </c>
      <c r="H654" s="1794">
        <v>1</v>
      </c>
      <c r="I654" s="1794">
        <v>1</v>
      </c>
      <c r="J654" s="2000">
        <v>2</v>
      </c>
      <c r="K654" s="1798"/>
      <c r="L654" s="1792">
        <v>13059001200</v>
      </c>
      <c r="M654" s="1793">
        <v>1</v>
      </c>
      <c r="N654" s="1793">
        <v>1</v>
      </c>
      <c r="O654" s="1793">
        <v>2</v>
      </c>
      <c r="P654" s="530" t="s">
        <v>967</v>
      </c>
      <c r="Q654" s="291"/>
      <c r="R654" s="170"/>
      <c r="S654" s="387"/>
      <c r="T654" s="531" t="s">
        <v>2770</v>
      </c>
      <c r="U654" s="531" t="s">
        <v>1735</v>
      </c>
      <c r="AA654" s="27"/>
      <c r="AB654" s="27"/>
      <c r="AC654" s="889"/>
      <c r="AD654" s="502"/>
    </row>
    <row r="655" spans="3:30" ht="10.5" customHeight="1">
      <c r="C655" s="1799" t="s">
        <v>5145</v>
      </c>
      <c r="D655" s="1796">
        <v>1</v>
      </c>
      <c r="E655" s="1796">
        <v>1</v>
      </c>
      <c r="F655" s="1797">
        <v>2</v>
      </c>
      <c r="G655" s="1999" t="s">
        <v>5145</v>
      </c>
      <c r="H655" s="1794">
        <v>1</v>
      </c>
      <c r="I655" s="1794">
        <v>1</v>
      </c>
      <c r="J655" s="2000">
        <v>2</v>
      </c>
      <c r="K655" s="1798"/>
      <c r="L655" s="1792">
        <v>13059001700</v>
      </c>
      <c r="M655" s="1793">
        <v>1</v>
      </c>
      <c r="N655" s="1793">
        <v>1</v>
      </c>
      <c r="O655" s="1793">
        <v>2</v>
      </c>
      <c r="P655" s="530" t="s">
        <v>969</v>
      </c>
      <c r="Q655" s="291"/>
      <c r="R655" s="170"/>
      <c r="S655" s="387"/>
      <c r="T655" s="491" t="s">
        <v>1021</v>
      </c>
      <c r="U655" s="491" t="s">
        <v>1075</v>
      </c>
      <c r="AA655" s="27"/>
      <c r="AB655" s="27"/>
      <c r="AC655" s="890"/>
      <c r="AD655" s="502"/>
    </row>
    <row r="656" spans="3:30" ht="10.5" customHeight="1">
      <c r="C656" s="1799" t="s">
        <v>5146</v>
      </c>
      <c r="D656" s="1796">
        <v>0</v>
      </c>
      <c r="E656" s="1796">
        <v>1</v>
      </c>
      <c r="F656" s="1797">
        <v>1</v>
      </c>
      <c r="G656" s="1999" t="s">
        <v>5146</v>
      </c>
      <c r="H656" s="1794">
        <v>0</v>
      </c>
      <c r="I656" s="1794">
        <v>0</v>
      </c>
      <c r="J656" s="2000">
        <v>0</v>
      </c>
      <c r="K656" s="1798"/>
      <c r="L656" s="1792">
        <v>13059001800</v>
      </c>
      <c r="M656" s="1793">
        <v>0</v>
      </c>
      <c r="N656" s="1793">
        <v>1</v>
      </c>
      <c r="O656" s="1793">
        <v>1</v>
      </c>
      <c r="P656" s="530" t="s">
        <v>2319</v>
      </c>
      <c r="Q656" s="291"/>
      <c r="R656" s="170"/>
      <c r="S656" s="387"/>
      <c r="T656" s="491" t="s">
        <v>2208</v>
      </c>
      <c r="U656" s="491" t="s">
        <v>2118</v>
      </c>
      <c r="AA656" s="27"/>
      <c r="AB656" s="27"/>
      <c r="AC656" s="889"/>
      <c r="AD656" s="502"/>
    </row>
    <row r="657" spans="3:30" ht="10.5" customHeight="1">
      <c r="C657" s="1799" t="s">
        <v>5147</v>
      </c>
      <c r="D657" s="1796">
        <v>0</v>
      </c>
      <c r="E657" s="1796">
        <v>0</v>
      </c>
      <c r="F657" s="1797">
        <v>0</v>
      </c>
      <c r="G657" s="1999" t="s">
        <v>5147</v>
      </c>
      <c r="H657" s="1794">
        <v>0</v>
      </c>
      <c r="I657" s="1794">
        <v>0</v>
      </c>
      <c r="J657" s="2000">
        <v>0</v>
      </c>
      <c r="K657" s="1798"/>
      <c r="L657" s="1792">
        <v>13059001900</v>
      </c>
      <c r="M657" s="1793">
        <v>0</v>
      </c>
      <c r="N657" s="1793">
        <v>0</v>
      </c>
      <c r="O657" s="1793">
        <v>0</v>
      </c>
      <c r="P657" s="530" t="s">
        <v>2459</v>
      </c>
      <c r="Q657" s="291"/>
      <c r="R657" s="170"/>
      <c r="S657" s="387"/>
      <c r="T657" s="491" t="s">
        <v>2210</v>
      </c>
      <c r="U657" s="491" t="s">
        <v>640</v>
      </c>
      <c r="AA657" s="27"/>
      <c r="AB657" s="27"/>
      <c r="AC657" s="889"/>
      <c r="AD657" s="502"/>
    </row>
    <row r="658" spans="3:30" ht="10.5" customHeight="1">
      <c r="C658" s="1799" t="s">
        <v>5148</v>
      </c>
      <c r="D658" s="1796">
        <v>1</v>
      </c>
      <c r="E658" s="1796">
        <v>1</v>
      </c>
      <c r="F658" s="1797">
        <v>2</v>
      </c>
      <c r="G658" s="1999" t="s">
        <v>5148</v>
      </c>
      <c r="H658" s="1794">
        <v>1</v>
      </c>
      <c r="I658" s="1794">
        <v>1</v>
      </c>
      <c r="J658" s="2000">
        <v>2</v>
      </c>
      <c r="K658" s="1798"/>
      <c r="L658" s="1792">
        <v>13059002000</v>
      </c>
      <c r="M658" s="1793">
        <v>1</v>
      </c>
      <c r="N658" s="1793">
        <v>1</v>
      </c>
      <c r="O658" s="1793">
        <v>2</v>
      </c>
      <c r="P658" s="530" t="s">
        <v>1954</v>
      </c>
      <c r="Q658" s="291"/>
      <c r="R658" s="170"/>
      <c r="S658" s="387"/>
      <c r="T658" s="491" t="s">
        <v>1726</v>
      </c>
      <c r="U658" s="491" t="s">
        <v>715</v>
      </c>
      <c r="AA658" s="27"/>
      <c r="AB658" s="27"/>
      <c r="AC658" s="889"/>
      <c r="AD658" s="502"/>
    </row>
    <row r="659" spans="3:30" ht="10.5" customHeight="1">
      <c r="C659" s="1799" t="s">
        <v>5149</v>
      </c>
      <c r="D659" s="1796">
        <v>0</v>
      </c>
      <c r="E659" s="1796">
        <v>1</v>
      </c>
      <c r="F659" s="1797">
        <v>1</v>
      </c>
      <c r="G659" s="1999" t="s">
        <v>5149</v>
      </c>
      <c r="H659" s="1794">
        <v>0</v>
      </c>
      <c r="I659" s="1794" t="s">
        <v>4485</v>
      </c>
      <c r="J659" s="2000">
        <v>0</v>
      </c>
      <c r="K659" s="1798"/>
      <c r="L659" s="1792">
        <v>13059002100</v>
      </c>
      <c r="M659" s="1793">
        <v>0</v>
      </c>
      <c r="N659" s="1793">
        <v>1</v>
      </c>
      <c r="O659" s="1793">
        <v>1</v>
      </c>
      <c r="P659" s="530" t="s">
        <v>922</v>
      </c>
      <c r="Q659" s="291"/>
      <c r="R659" s="170"/>
      <c r="S659" s="387"/>
      <c r="T659" s="531" t="s">
        <v>2455</v>
      </c>
      <c r="U659" s="531" t="s">
        <v>1960</v>
      </c>
      <c r="AA659" s="27"/>
      <c r="AB659" s="27"/>
      <c r="AC659" s="889"/>
      <c r="AD659" s="502"/>
    </row>
    <row r="660" spans="3:30" ht="10.5" customHeight="1">
      <c r="C660" s="1799" t="s">
        <v>5150</v>
      </c>
      <c r="D660" s="1796">
        <v>1</v>
      </c>
      <c r="E660" s="1796">
        <v>1</v>
      </c>
      <c r="F660" s="1797">
        <v>2</v>
      </c>
      <c r="G660" s="1999" t="s">
        <v>5150</v>
      </c>
      <c r="H660" s="1794">
        <v>1</v>
      </c>
      <c r="I660" s="1794" t="s">
        <v>4485</v>
      </c>
      <c r="J660" s="2000">
        <v>1</v>
      </c>
      <c r="K660" s="1798"/>
      <c r="L660" s="1792">
        <v>13059002200</v>
      </c>
      <c r="M660" s="1793">
        <v>1</v>
      </c>
      <c r="N660" s="1793">
        <v>1</v>
      </c>
      <c r="O660" s="1793">
        <v>2</v>
      </c>
      <c r="P660" s="530" t="s">
        <v>753</v>
      </c>
      <c r="Q660" s="291"/>
      <c r="R660" s="170"/>
      <c r="S660" s="387"/>
      <c r="T660" s="491" t="s">
        <v>2114</v>
      </c>
      <c r="U660" s="491" t="s">
        <v>1180</v>
      </c>
      <c r="AA660" s="27"/>
      <c r="AB660" s="27"/>
      <c r="AC660" s="890"/>
      <c r="AD660" s="502"/>
    </row>
    <row r="661" spans="3:30" ht="10.5" customHeight="1">
      <c r="C661" s="1799" t="s">
        <v>5151</v>
      </c>
      <c r="D661" s="1796">
        <v>0</v>
      </c>
      <c r="E661" s="1796">
        <v>0</v>
      </c>
      <c r="F661" s="1797">
        <v>0</v>
      </c>
      <c r="G661" s="1999" t="s">
        <v>5151</v>
      </c>
      <c r="H661" s="1794">
        <v>0</v>
      </c>
      <c r="I661" s="1794">
        <v>0</v>
      </c>
      <c r="J661" s="2000">
        <v>0</v>
      </c>
      <c r="K661" s="1798"/>
      <c r="L661" s="1792">
        <v>13059030100</v>
      </c>
      <c r="M661" s="1793">
        <v>0</v>
      </c>
      <c r="N661" s="1793">
        <v>0</v>
      </c>
      <c r="O661" s="1793">
        <v>0</v>
      </c>
      <c r="P661" s="530" t="s">
        <v>1438</v>
      </c>
      <c r="Q661" s="291"/>
      <c r="R661" s="170"/>
      <c r="S661" s="387"/>
      <c r="T661" s="491" t="s">
        <v>1581</v>
      </c>
      <c r="U661" s="491" t="s">
        <v>642</v>
      </c>
      <c r="AA661" s="27"/>
      <c r="AB661" s="27"/>
      <c r="AC661" s="889"/>
      <c r="AD661" s="502"/>
    </row>
    <row r="662" spans="3:30" ht="10.5" customHeight="1">
      <c r="C662" s="1799" t="s">
        <v>5152</v>
      </c>
      <c r="D662" s="1796">
        <v>0</v>
      </c>
      <c r="E662" s="1796">
        <v>0</v>
      </c>
      <c r="F662" s="1797">
        <v>0</v>
      </c>
      <c r="G662" s="1999" t="s">
        <v>5152</v>
      </c>
      <c r="H662" s="1794">
        <v>0</v>
      </c>
      <c r="I662" s="1794">
        <v>0</v>
      </c>
      <c r="J662" s="2000">
        <v>0</v>
      </c>
      <c r="K662" s="1798"/>
      <c r="L662" s="1792">
        <v>13059030200</v>
      </c>
      <c r="M662" s="1793">
        <v>0</v>
      </c>
      <c r="N662" s="1793">
        <v>0</v>
      </c>
      <c r="O662" s="1793">
        <v>0</v>
      </c>
      <c r="P662" s="530" t="s">
        <v>1440</v>
      </c>
      <c r="Q662" s="291"/>
      <c r="R662" s="170"/>
      <c r="S662" s="387"/>
      <c r="T662" s="491" t="s">
        <v>812</v>
      </c>
      <c r="U662" s="491" t="s">
        <v>1286</v>
      </c>
      <c r="AA662" s="27"/>
      <c r="AB662" s="27"/>
      <c r="AC662" s="889"/>
      <c r="AD662" s="502"/>
    </row>
    <row r="663" spans="3:30" ht="10.5" customHeight="1">
      <c r="C663" s="1799" t="s">
        <v>5153</v>
      </c>
      <c r="D663" s="1796">
        <v>0</v>
      </c>
      <c r="E663" s="1796">
        <v>0</v>
      </c>
      <c r="F663" s="1797">
        <v>0</v>
      </c>
      <c r="G663" s="1999" t="s">
        <v>5153</v>
      </c>
      <c r="H663" s="1794">
        <v>0</v>
      </c>
      <c r="I663" s="1794">
        <v>0</v>
      </c>
      <c r="J663" s="2000">
        <v>0</v>
      </c>
      <c r="K663" s="1798"/>
      <c r="L663" s="1792">
        <v>13059130300</v>
      </c>
      <c r="M663" s="1793">
        <v>0</v>
      </c>
      <c r="N663" s="1793">
        <v>0</v>
      </c>
      <c r="O663" s="1793">
        <v>0</v>
      </c>
      <c r="P663" s="530" t="s">
        <v>1442</v>
      </c>
      <c r="Q663" s="291"/>
      <c r="R663" s="170"/>
      <c r="S663" s="387"/>
      <c r="T663" s="491" t="s">
        <v>1584</v>
      </c>
      <c r="U663" s="491" t="s">
        <v>2517</v>
      </c>
      <c r="AA663" s="27"/>
      <c r="AB663" s="27"/>
      <c r="AC663" s="889"/>
      <c r="AD663" s="502"/>
    </row>
    <row r="664" spans="3:30" ht="10.5" customHeight="1">
      <c r="C664" s="1799" t="s">
        <v>5154</v>
      </c>
      <c r="D664" s="1796">
        <v>1</v>
      </c>
      <c r="E664" s="1796">
        <v>0</v>
      </c>
      <c r="F664" s="1797">
        <v>1</v>
      </c>
      <c r="G664" s="1999" t="s">
        <v>5154</v>
      </c>
      <c r="H664" s="1794">
        <v>1</v>
      </c>
      <c r="I664" s="1794">
        <v>1</v>
      </c>
      <c r="J664" s="2000">
        <v>2</v>
      </c>
      <c r="K664" s="1798"/>
      <c r="L664" s="1792">
        <v>13059130400</v>
      </c>
      <c r="M664" s="1793">
        <v>1</v>
      </c>
      <c r="N664" s="1793">
        <v>1</v>
      </c>
      <c r="O664" s="1793">
        <v>2</v>
      </c>
      <c r="P664" s="530" t="s">
        <v>1278</v>
      </c>
      <c r="Q664" s="291"/>
      <c r="R664" s="170"/>
      <c r="S664" s="387"/>
      <c r="T664" s="491" t="s">
        <v>1587</v>
      </c>
      <c r="U664" s="491" t="s">
        <v>1600</v>
      </c>
      <c r="AA664" s="27"/>
      <c r="AB664" s="27"/>
      <c r="AC664" s="889"/>
      <c r="AD664" s="502"/>
    </row>
    <row r="665" spans="3:30" ht="10.5" customHeight="1">
      <c r="C665" s="1799" t="s">
        <v>5155</v>
      </c>
      <c r="D665" s="1796">
        <v>0</v>
      </c>
      <c r="E665" s="1796">
        <v>0</v>
      </c>
      <c r="F665" s="1797">
        <v>0</v>
      </c>
      <c r="G665" s="1999" t="s">
        <v>5155</v>
      </c>
      <c r="H665" s="1794">
        <v>1</v>
      </c>
      <c r="I665" s="1794">
        <v>0</v>
      </c>
      <c r="J665" s="2000">
        <v>1</v>
      </c>
      <c r="K665" s="1798"/>
      <c r="L665" s="1792">
        <v>13059130500</v>
      </c>
      <c r="M665" s="1793">
        <v>1</v>
      </c>
      <c r="N665" s="1793">
        <v>0</v>
      </c>
      <c r="O665" s="1793">
        <v>1</v>
      </c>
      <c r="P665" s="530" t="s">
        <v>1280</v>
      </c>
      <c r="Q665" s="291"/>
      <c r="R665" s="170"/>
      <c r="S665" s="387"/>
      <c r="T665" s="531" t="s">
        <v>1049</v>
      </c>
      <c r="U665" s="531" t="s">
        <v>1488</v>
      </c>
      <c r="AA665" s="27"/>
      <c r="AB665" s="27"/>
      <c r="AC665" s="889"/>
      <c r="AD665" s="502"/>
    </row>
    <row r="666" spans="3:30" ht="10.5" customHeight="1">
      <c r="C666" s="1799" t="s">
        <v>5156</v>
      </c>
      <c r="D666" s="1796">
        <v>0</v>
      </c>
      <c r="E666" s="1796">
        <v>0</v>
      </c>
      <c r="F666" s="1797">
        <v>0</v>
      </c>
      <c r="G666" s="1999" t="s">
        <v>5156</v>
      </c>
      <c r="H666" s="1794">
        <v>0</v>
      </c>
      <c r="I666" s="1794">
        <v>0</v>
      </c>
      <c r="J666" s="2000">
        <v>0</v>
      </c>
      <c r="K666" s="1798"/>
      <c r="L666" s="1792">
        <v>13059130600</v>
      </c>
      <c r="M666" s="1793">
        <v>0</v>
      </c>
      <c r="N666" s="1793">
        <v>0</v>
      </c>
      <c r="O666" s="1793">
        <v>0</v>
      </c>
      <c r="P666" s="530" t="s">
        <v>1944</v>
      </c>
      <c r="Q666" s="291"/>
      <c r="R666" s="170"/>
      <c r="S666" s="387"/>
      <c r="T666" s="491" t="s">
        <v>2354</v>
      </c>
      <c r="U666" s="491" t="s">
        <v>103</v>
      </c>
      <c r="AA666" s="27"/>
      <c r="AB666" s="27"/>
      <c r="AC666" s="890"/>
      <c r="AD666" s="502"/>
    </row>
    <row r="667" spans="3:30" ht="10.5" customHeight="1">
      <c r="C667" s="1799" t="s">
        <v>5157</v>
      </c>
      <c r="D667" s="1796">
        <v>1</v>
      </c>
      <c r="E667" s="1796">
        <v>1</v>
      </c>
      <c r="F667" s="1797">
        <v>2</v>
      </c>
      <c r="G667" s="1999" t="s">
        <v>5157</v>
      </c>
      <c r="H667" s="1794">
        <v>1</v>
      </c>
      <c r="I667" s="1794">
        <v>1</v>
      </c>
      <c r="J667" s="2000">
        <v>2</v>
      </c>
      <c r="K667" s="1798"/>
      <c r="L667" s="1792">
        <v>13059130700</v>
      </c>
      <c r="M667" s="1793">
        <v>1</v>
      </c>
      <c r="N667" s="1793">
        <v>1</v>
      </c>
      <c r="O667" s="1793">
        <v>2</v>
      </c>
      <c r="P667" s="530" t="s">
        <v>716</v>
      </c>
      <c r="Q667" s="291"/>
      <c r="R667" s="170"/>
      <c r="S667" s="387"/>
      <c r="T667" s="491" t="s">
        <v>795</v>
      </c>
      <c r="U667" s="491" t="s">
        <v>1180</v>
      </c>
      <c r="AA667" s="27"/>
      <c r="AB667" s="27"/>
      <c r="AC667" s="889"/>
      <c r="AD667" s="502"/>
    </row>
    <row r="668" spans="3:30" ht="10.5" customHeight="1">
      <c r="C668" s="1799" t="s">
        <v>5158</v>
      </c>
      <c r="D668" s="1796">
        <v>0</v>
      </c>
      <c r="E668" s="1796">
        <v>0</v>
      </c>
      <c r="F668" s="1797">
        <v>0</v>
      </c>
      <c r="G668" s="1999" t="s">
        <v>5158</v>
      </c>
      <c r="H668" s="1794">
        <v>0</v>
      </c>
      <c r="I668" s="1794">
        <v>0</v>
      </c>
      <c r="J668" s="2000">
        <v>0</v>
      </c>
      <c r="K668" s="1798"/>
      <c r="L668" s="1792">
        <v>13059140300</v>
      </c>
      <c r="M668" s="1793">
        <v>0</v>
      </c>
      <c r="N668" s="1793">
        <v>0</v>
      </c>
      <c r="O668" s="1793">
        <v>0</v>
      </c>
      <c r="P668" s="530" t="s">
        <v>1240</v>
      </c>
      <c r="Q668" s="291"/>
      <c r="R668" s="170"/>
      <c r="S668" s="387"/>
      <c r="T668" s="491" t="s">
        <v>1277</v>
      </c>
      <c r="U668" s="491" t="s">
        <v>1862</v>
      </c>
      <c r="AA668" s="27"/>
      <c r="AB668" s="27"/>
      <c r="AC668" s="889"/>
      <c r="AD668" s="502"/>
    </row>
    <row r="669" spans="3:30" ht="10.5" customHeight="1">
      <c r="C669" s="1799" t="s">
        <v>5159</v>
      </c>
      <c r="D669" s="1796">
        <v>0</v>
      </c>
      <c r="E669" s="1796">
        <v>0</v>
      </c>
      <c r="F669" s="1797">
        <v>0</v>
      </c>
      <c r="G669" s="1999" t="s">
        <v>5159</v>
      </c>
      <c r="H669" s="1794">
        <v>0</v>
      </c>
      <c r="I669" s="1794">
        <v>0</v>
      </c>
      <c r="J669" s="2000">
        <v>0</v>
      </c>
      <c r="K669" s="1798"/>
      <c r="L669" s="1792">
        <v>13059140400</v>
      </c>
      <c r="M669" s="1793">
        <v>0</v>
      </c>
      <c r="N669" s="1793">
        <v>0</v>
      </c>
      <c r="O669" s="1793">
        <v>0</v>
      </c>
      <c r="P669" s="530" t="s">
        <v>1835</v>
      </c>
      <c r="Q669" s="291"/>
      <c r="R669" s="170"/>
      <c r="S669" s="387"/>
      <c r="T669" s="491" t="s">
        <v>164</v>
      </c>
      <c r="U669" s="491" t="s">
        <v>1302</v>
      </c>
      <c r="AA669" s="27"/>
      <c r="AB669" s="27"/>
      <c r="AC669" s="889"/>
      <c r="AD669" s="502"/>
    </row>
    <row r="670" spans="3:30" ht="10.5" customHeight="1">
      <c r="C670" s="1799" t="s">
        <v>5160</v>
      </c>
      <c r="D670" s="1796">
        <v>0</v>
      </c>
      <c r="E670" s="1796">
        <v>0</v>
      </c>
      <c r="F670" s="1797">
        <v>0</v>
      </c>
      <c r="G670" s="1999" t="s">
        <v>5160</v>
      </c>
      <c r="H670" s="1794">
        <v>0</v>
      </c>
      <c r="I670" s="1794">
        <v>0</v>
      </c>
      <c r="J670" s="2000">
        <v>0</v>
      </c>
      <c r="K670" s="1798"/>
      <c r="L670" s="1792">
        <v>13059140500</v>
      </c>
      <c r="M670" s="1793">
        <v>0</v>
      </c>
      <c r="N670" s="1793">
        <v>0</v>
      </c>
      <c r="O670" s="1793">
        <v>0</v>
      </c>
      <c r="P670" s="530" t="s">
        <v>1836</v>
      </c>
      <c r="Q670" s="291"/>
      <c r="R670" s="170"/>
      <c r="S670" s="387"/>
      <c r="T670" s="491" t="s">
        <v>968</v>
      </c>
      <c r="U670" s="491" t="s">
        <v>1626</v>
      </c>
      <c r="AA670" s="27"/>
      <c r="AB670" s="27"/>
      <c r="AC670" s="889"/>
      <c r="AD670" s="502"/>
    </row>
    <row r="671" spans="3:30" ht="10.5" customHeight="1">
      <c r="C671" s="1799" t="s">
        <v>5161</v>
      </c>
      <c r="D671" s="1796">
        <v>0</v>
      </c>
      <c r="E671" s="1796">
        <v>0</v>
      </c>
      <c r="F671" s="1797">
        <v>0</v>
      </c>
      <c r="G671" s="1999" t="s">
        <v>5161</v>
      </c>
      <c r="H671" s="1794">
        <v>0</v>
      </c>
      <c r="I671" s="1794">
        <v>0</v>
      </c>
      <c r="J671" s="2000">
        <v>0</v>
      </c>
      <c r="K671" s="1798"/>
      <c r="L671" s="1792">
        <v>13059140600</v>
      </c>
      <c r="M671" s="1793">
        <v>0</v>
      </c>
      <c r="N671" s="1793">
        <v>0</v>
      </c>
      <c r="O671" s="1793">
        <v>0</v>
      </c>
      <c r="P671" s="530" t="s">
        <v>1838</v>
      </c>
      <c r="Q671" s="291"/>
      <c r="R671" s="170"/>
      <c r="S671" s="387"/>
      <c r="T671" s="491" t="s">
        <v>2771</v>
      </c>
      <c r="U671" s="491" t="s">
        <v>321</v>
      </c>
      <c r="AA671" s="27"/>
      <c r="AB671" s="27"/>
      <c r="AC671" s="889"/>
      <c r="AD671" s="502"/>
    </row>
    <row r="672" spans="3:30" ht="10.5" customHeight="1">
      <c r="C672" s="1799" t="s">
        <v>5162</v>
      </c>
      <c r="D672" s="1796">
        <v>1</v>
      </c>
      <c r="E672" s="1796">
        <v>0</v>
      </c>
      <c r="F672" s="1797">
        <v>1</v>
      </c>
      <c r="G672" s="1999" t="s">
        <v>5162</v>
      </c>
      <c r="H672" s="1794">
        <v>1</v>
      </c>
      <c r="I672" s="1794">
        <v>1</v>
      </c>
      <c r="J672" s="2000">
        <v>2</v>
      </c>
      <c r="K672" s="1798"/>
      <c r="L672" s="1792">
        <v>13059150300</v>
      </c>
      <c r="M672" s="1793">
        <v>1</v>
      </c>
      <c r="N672" s="1793">
        <v>1</v>
      </c>
      <c r="O672" s="1793">
        <v>2</v>
      </c>
      <c r="P672" s="530" t="s">
        <v>1840</v>
      </c>
      <c r="Q672" s="291"/>
      <c r="R672" s="170"/>
      <c r="S672" s="387"/>
      <c r="T672" s="491" t="s">
        <v>2772</v>
      </c>
      <c r="U672" s="491" t="s">
        <v>111</v>
      </c>
      <c r="AA672" s="27"/>
      <c r="AB672" s="27"/>
      <c r="AC672" s="889"/>
      <c r="AD672" s="502"/>
    </row>
    <row r="673" spans="3:30" ht="10.5" customHeight="1">
      <c r="C673" s="1799" t="s">
        <v>5163</v>
      </c>
      <c r="D673" s="1796">
        <v>0</v>
      </c>
      <c r="E673" s="1796">
        <v>1</v>
      </c>
      <c r="F673" s="1797">
        <v>1</v>
      </c>
      <c r="G673" s="1999" t="s">
        <v>5163</v>
      </c>
      <c r="H673" s="1794">
        <v>0</v>
      </c>
      <c r="I673" s="1794" t="s">
        <v>4485</v>
      </c>
      <c r="J673" s="2000">
        <v>0</v>
      </c>
      <c r="K673" s="1798"/>
      <c r="L673" s="1792">
        <v>13059150400</v>
      </c>
      <c r="M673" s="1793">
        <v>0</v>
      </c>
      <c r="N673" s="1793">
        <v>1</v>
      </c>
      <c r="O673" s="1793">
        <v>1</v>
      </c>
      <c r="P673" s="530" t="s">
        <v>1842</v>
      </c>
      <c r="Q673" s="291"/>
      <c r="R673" s="170"/>
      <c r="S673" s="387"/>
      <c r="T673" s="491" t="s">
        <v>1299</v>
      </c>
      <c r="U673" s="491" t="s">
        <v>155</v>
      </c>
      <c r="AA673" s="27"/>
      <c r="AB673" s="27"/>
      <c r="AC673" s="889"/>
      <c r="AD673" s="502"/>
    </row>
    <row r="674" spans="3:30" ht="10.5" customHeight="1">
      <c r="C674" s="1799" t="s">
        <v>5164</v>
      </c>
      <c r="D674" s="1796">
        <v>0</v>
      </c>
      <c r="E674" s="1796">
        <v>1</v>
      </c>
      <c r="F674" s="1797">
        <v>1</v>
      </c>
      <c r="G674" s="1999" t="s">
        <v>5164</v>
      </c>
      <c r="H674" s="1794">
        <v>0</v>
      </c>
      <c r="I674" s="1794">
        <v>1</v>
      </c>
      <c r="J674" s="2000">
        <v>1</v>
      </c>
      <c r="K674" s="1798"/>
      <c r="L674" s="1792">
        <v>13059150500</v>
      </c>
      <c r="M674" s="1793">
        <v>0</v>
      </c>
      <c r="N674" s="1793">
        <v>1</v>
      </c>
      <c r="O674" s="1793">
        <v>1</v>
      </c>
      <c r="P674" s="530" t="s">
        <v>490</v>
      </c>
      <c r="Q674" s="291"/>
      <c r="R674" s="170"/>
      <c r="S674" s="387"/>
      <c r="T674" s="491" t="s">
        <v>2460</v>
      </c>
      <c r="U674" s="491" t="s">
        <v>850</v>
      </c>
      <c r="AA674" s="27"/>
      <c r="AB674" s="27"/>
      <c r="AC674" s="889"/>
      <c r="AD674" s="502"/>
    </row>
    <row r="675" spans="3:30" ht="10.5" customHeight="1">
      <c r="C675" s="1799" t="s">
        <v>5165</v>
      </c>
      <c r="D675" s="1796">
        <v>0</v>
      </c>
      <c r="E675" s="1796">
        <v>0</v>
      </c>
      <c r="F675" s="1797">
        <v>0</v>
      </c>
      <c r="G675" s="1999" t="s">
        <v>5165</v>
      </c>
      <c r="H675" s="1794">
        <v>0</v>
      </c>
      <c r="I675" s="1794">
        <v>1</v>
      </c>
      <c r="J675" s="2000">
        <v>1</v>
      </c>
      <c r="K675" s="1798"/>
      <c r="L675" s="1792">
        <v>13059150600</v>
      </c>
      <c r="M675" s="1793">
        <v>0</v>
      </c>
      <c r="N675" s="1793">
        <v>1</v>
      </c>
      <c r="O675" s="1793">
        <v>1</v>
      </c>
      <c r="P675" s="530" t="s">
        <v>2469</v>
      </c>
      <c r="Q675" s="291"/>
      <c r="R675" s="170"/>
      <c r="S675" s="387"/>
      <c r="T675" s="491" t="s">
        <v>1050</v>
      </c>
      <c r="U675" s="491" t="s">
        <v>610</v>
      </c>
      <c r="AA675" s="27"/>
      <c r="AB675" s="27"/>
      <c r="AC675" s="889"/>
      <c r="AD675" s="502"/>
    </row>
    <row r="676" spans="3:30" ht="10.5" customHeight="1">
      <c r="C676" s="1799" t="s">
        <v>5166</v>
      </c>
      <c r="D676" s="1796">
        <v>1</v>
      </c>
      <c r="E676" s="1796">
        <v>0</v>
      </c>
      <c r="F676" s="1797">
        <v>1</v>
      </c>
      <c r="G676" s="1999" t="s">
        <v>5166</v>
      </c>
      <c r="H676" s="1794">
        <v>0</v>
      </c>
      <c r="I676" s="1794">
        <v>1</v>
      </c>
      <c r="J676" s="2000">
        <v>1</v>
      </c>
      <c r="K676" s="1798"/>
      <c r="L676" s="1792">
        <v>13059150700</v>
      </c>
      <c r="M676" s="1793">
        <v>1</v>
      </c>
      <c r="N676" s="1793">
        <v>1</v>
      </c>
      <c r="O676" s="1793">
        <v>1</v>
      </c>
      <c r="P676" s="530" t="s">
        <v>2471</v>
      </c>
      <c r="Q676" s="291"/>
      <c r="R676" s="170"/>
      <c r="S676" s="387"/>
      <c r="T676" s="531" t="s">
        <v>2118</v>
      </c>
      <c r="U676" s="531" t="s">
        <v>105</v>
      </c>
      <c r="AA676" s="27"/>
      <c r="AB676" s="27"/>
      <c r="AC676" s="889"/>
      <c r="AD676" s="502"/>
    </row>
    <row r="677" spans="3:30" ht="10.5" customHeight="1">
      <c r="C677" s="1799" t="s">
        <v>5167</v>
      </c>
      <c r="D677" s="1796">
        <v>1</v>
      </c>
      <c r="E677" s="1796">
        <v>1</v>
      </c>
      <c r="F677" s="1797">
        <v>2</v>
      </c>
      <c r="G677" s="1999" t="s">
        <v>5167</v>
      </c>
      <c r="H677" s="1794">
        <v>1</v>
      </c>
      <c r="I677" s="1794">
        <v>1</v>
      </c>
      <c r="J677" s="2000">
        <v>2</v>
      </c>
      <c r="K677" s="1798"/>
      <c r="L677" s="1792">
        <v>13059150800</v>
      </c>
      <c r="M677" s="1793">
        <v>1</v>
      </c>
      <c r="N677" s="1793">
        <v>1</v>
      </c>
      <c r="O677" s="1793">
        <v>2</v>
      </c>
      <c r="P677" s="530" t="s">
        <v>1132</v>
      </c>
      <c r="Q677" s="291"/>
      <c r="R677" s="170"/>
      <c r="S677" s="387"/>
      <c r="T677" s="491" t="s">
        <v>1439</v>
      </c>
      <c r="U677" s="491" t="s">
        <v>2465</v>
      </c>
      <c r="AA677" s="27"/>
      <c r="AB677" s="27"/>
      <c r="AC677" s="890"/>
      <c r="AD677" s="502"/>
    </row>
    <row r="678" spans="3:30" ht="10.5" customHeight="1">
      <c r="C678" s="1799" t="s">
        <v>5168</v>
      </c>
      <c r="D678" s="1796">
        <v>1</v>
      </c>
      <c r="E678" s="1796">
        <v>1</v>
      </c>
      <c r="F678" s="1797">
        <v>2</v>
      </c>
      <c r="G678" s="1999" t="s">
        <v>5168</v>
      </c>
      <c r="H678" s="1794">
        <v>1</v>
      </c>
      <c r="I678" s="1794">
        <v>1</v>
      </c>
      <c r="J678" s="2000">
        <v>2</v>
      </c>
      <c r="K678" s="1798"/>
      <c r="L678" s="1792">
        <v>13059150900</v>
      </c>
      <c r="M678" s="1793">
        <v>1</v>
      </c>
      <c r="N678" s="1793">
        <v>1</v>
      </c>
      <c r="O678" s="1793">
        <v>2</v>
      </c>
      <c r="P678" s="530" t="s">
        <v>2450</v>
      </c>
      <c r="Q678" s="291"/>
      <c r="R678" s="170"/>
      <c r="S678" s="387"/>
      <c r="T678" s="491" t="s">
        <v>2773</v>
      </c>
      <c r="U678" s="491" t="s">
        <v>1904</v>
      </c>
      <c r="AA678" s="27"/>
      <c r="AB678" s="27"/>
      <c r="AC678" s="889"/>
      <c r="AD678" s="502"/>
    </row>
    <row r="679" spans="3:30" ht="10.5" customHeight="1">
      <c r="C679" s="1799" t="s">
        <v>5169</v>
      </c>
      <c r="D679" s="1796">
        <v>0</v>
      </c>
      <c r="E679" s="1796">
        <v>0</v>
      </c>
      <c r="F679" s="1797">
        <v>0</v>
      </c>
      <c r="G679" s="1999" t="s">
        <v>5169</v>
      </c>
      <c r="H679" s="1794">
        <v>0</v>
      </c>
      <c r="I679" s="1794">
        <v>0</v>
      </c>
      <c r="J679" s="2000">
        <v>0</v>
      </c>
      <c r="K679" s="1798"/>
      <c r="L679" s="1792">
        <v>13061960300</v>
      </c>
      <c r="M679" s="1793">
        <v>0</v>
      </c>
      <c r="N679" s="1793">
        <v>0</v>
      </c>
      <c r="O679" s="1793">
        <v>0</v>
      </c>
      <c r="P679" s="530" t="s">
        <v>2452</v>
      </c>
      <c r="Q679" s="291"/>
      <c r="R679" s="170"/>
      <c r="S679" s="387"/>
      <c r="T679" s="491" t="s">
        <v>1441</v>
      </c>
      <c r="U679" s="491" t="s">
        <v>320</v>
      </c>
      <c r="AA679" s="27"/>
      <c r="AB679" s="27"/>
      <c r="AC679" s="889"/>
      <c r="AD679" s="502"/>
    </row>
    <row r="680" spans="3:30" ht="10.5" customHeight="1">
      <c r="C680" s="1799" t="s">
        <v>5170</v>
      </c>
      <c r="D680" s="1796">
        <v>0</v>
      </c>
      <c r="E680" s="1796">
        <v>0</v>
      </c>
      <c r="F680" s="1797">
        <v>0</v>
      </c>
      <c r="G680" s="1999" t="s">
        <v>5170</v>
      </c>
      <c r="H680" s="1794">
        <v>0</v>
      </c>
      <c r="I680" s="1794" t="s">
        <v>4485</v>
      </c>
      <c r="J680" s="2000">
        <v>0</v>
      </c>
      <c r="K680" s="1798"/>
      <c r="L680" s="1792">
        <v>13063040202</v>
      </c>
      <c r="M680" s="1793">
        <v>0</v>
      </c>
      <c r="N680" s="1793">
        <v>0</v>
      </c>
      <c r="O680" s="1793">
        <v>0</v>
      </c>
      <c r="P680" s="530" t="s">
        <v>1499</v>
      </c>
      <c r="Q680" s="291"/>
      <c r="R680" s="170"/>
      <c r="S680" s="387"/>
      <c r="T680" s="491" t="s">
        <v>1051</v>
      </c>
      <c r="U680" s="491" t="s">
        <v>640</v>
      </c>
      <c r="AA680" s="27"/>
      <c r="AB680" s="27"/>
      <c r="AC680" s="889"/>
      <c r="AD680" s="502"/>
    </row>
    <row r="681" spans="3:30" ht="10.5" customHeight="1">
      <c r="C681" s="1799" t="s">
        <v>5171</v>
      </c>
      <c r="D681" s="1796">
        <v>0</v>
      </c>
      <c r="E681" s="1796">
        <v>0</v>
      </c>
      <c r="F681" s="1797">
        <v>0</v>
      </c>
      <c r="G681" s="1999" t="s">
        <v>5171</v>
      </c>
      <c r="H681" s="1794">
        <v>0</v>
      </c>
      <c r="I681" s="1794">
        <v>0</v>
      </c>
      <c r="J681" s="2000">
        <v>0</v>
      </c>
      <c r="K681" s="1798"/>
      <c r="L681" s="1792">
        <v>13063040203</v>
      </c>
      <c r="M681" s="1793">
        <v>0</v>
      </c>
      <c r="N681" s="1793">
        <v>0</v>
      </c>
      <c r="O681" s="1793">
        <v>0</v>
      </c>
      <c r="P681" s="530" t="s">
        <v>1500</v>
      </c>
      <c r="Q681" s="291"/>
      <c r="R681" s="170"/>
      <c r="S681" s="387"/>
      <c r="T681" s="491" t="s">
        <v>1279</v>
      </c>
      <c r="U681" s="491" t="s">
        <v>2131</v>
      </c>
      <c r="AA681" s="27"/>
      <c r="AB681" s="27"/>
      <c r="AC681" s="889"/>
      <c r="AD681" s="502"/>
    </row>
    <row r="682" spans="3:30" ht="10.5" customHeight="1">
      <c r="C682" s="1799" t="s">
        <v>5172</v>
      </c>
      <c r="D682" s="1796">
        <v>0</v>
      </c>
      <c r="E682" s="1796">
        <v>0</v>
      </c>
      <c r="F682" s="1797">
        <v>0</v>
      </c>
      <c r="G682" s="1999" t="s">
        <v>5172</v>
      </c>
      <c r="H682" s="1794">
        <v>0</v>
      </c>
      <c r="I682" s="1794">
        <v>0</v>
      </c>
      <c r="J682" s="2000">
        <v>0</v>
      </c>
      <c r="K682" s="1798"/>
      <c r="L682" s="1792">
        <v>13063040204</v>
      </c>
      <c r="M682" s="1793">
        <v>0</v>
      </c>
      <c r="N682" s="1793">
        <v>0</v>
      </c>
      <c r="O682" s="1793">
        <v>0</v>
      </c>
      <c r="P682" s="530" t="s">
        <v>2052</v>
      </c>
      <c r="Q682" s="291"/>
      <c r="R682" s="170"/>
      <c r="S682" s="387"/>
      <c r="T682" s="491" t="s">
        <v>1281</v>
      </c>
      <c r="U682" s="491" t="s">
        <v>2465</v>
      </c>
      <c r="AA682" s="27"/>
      <c r="AB682" s="27"/>
      <c r="AC682" s="889"/>
      <c r="AD682" s="502"/>
    </row>
    <row r="683" spans="3:30" ht="10.5" customHeight="1">
      <c r="C683" s="1799" t="s">
        <v>5173</v>
      </c>
      <c r="D683" s="1796">
        <v>0</v>
      </c>
      <c r="E683" s="1796">
        <v>0</v>
      </c>
      <c r="F683" s="1797">
        <v>0</v>
      </c>
      <c r="G683" s="1999" t="s">
        <v>5173</v>
      </c>
      <c r="H683" s="1794">
        <v>0</v>
      </c>
      <c r="I683" s="1794">
        <v>0</v>
      </c>
      <c r="J683" s="2000">
        <v>0</v>
      </c>
      <c r="K683" s="1798"/>
      <c r="L683" s="1792">
        <v>13063040302</v>
      </c>
      <c r="M683" s="1793">
        <v>0</v>
      </c>
      <c r="N683" s="1793">
        <v>0</v>
      </c>
      <c r="O683" s="1793">
        <v>0</v>
      </c>
      <c r="P683" s="530" t="s">
        <v>2053</v>
      </c>
      <c r="Q683" s="291"/>
      <c r="R683" s="170"/>
      <c r="S683" s="387"/>
      <c r="T683" s="491" t="s">
        <v>1945</v>
      </c>
      <c r="U683" s="491" t="s">
        <v>1085</v>
      </c>
      <c r="AA683" s="27"/>
      <c r="AB683" s="27"/>
      <c r="AC683" s="889"/>
      <c r="AD683" s="502"/>
    </row>
    <row r="684" spans="3:30" ht="10.5" customHeight="1">
      <c r="C684" s="1799" t="s">
        <v>5174</v>
      </c>
      <c r="D684" s="1796">
        <v>0</v>
      </c>
      <c r="E684" s="1796">
        <v>0</v>
      </c>
      <c r="F684" s="1797">
        <v>0</v>
      </c>
      <c r="G684" s="1999" t="s">
        <v>5174</v>
      </c>
      <c r="H684" s="1794">
        <v>0</v>
      </c>
      <c r="I684" s="1794">
        <v>0</v>
      </c>
      <c r="J684" s="2000">
        <v>0</v>
      </c>
      <c r="K684" s="1798"/>
      <c r="L684" s="1792">
        <v>13063040303</v>
      </c>
      <c r="M684" s="1793">
        <v>0</v>
      </c>
      <c r="N684" s="1793">
        <v>0</v>
      </c>
      <c r="O684" s="1793">
        <v>0</v>
      </c>
      <c r="P684" s="530" t="s">
        <v>1589</v>
      </c>
      <c r="Q684" s="291"/>
      <c r="R684" s="170"/>
      <c r="S684" s="387"/>
      <c r="T684" s="491" t="s">
        <v>717</v>
      </c>
      <c r="U684" s="491" t="s">
        <v>310</v>
      </c>
      <c r="AA684" s="27"/>
      <c r="AB684" s="27"/>
      <c r="AC684" s="889"/>
      <c r="AD684" s="502"/>
    </row>
    <row r="685" spans="3:30" ht="10.5" customHeight="1">
      <c r="C685" s="1799" t="s">
        <v>5175</v>
      </c>
      <c r="D685" s="1796">
        <v>0</v>
      </c>
      <c r="E685" s="1796">
        <v>0</v>
      </c>
      <c r="F685" s="1797">
        <v>0</v>
      </c>
      <c r="G685" s="1999" t="s">
        <v>5175</v>
      </c>
      <c r="H685" s="1794">
        <v>0</v>
      </c>
      <c r="I685" s="1794" t="s">
        <v>4485</v>
      </c>
      <c r="J685" s="2000">
        <v>0</v>
      </c>
      <c r="K685" s="1798"/>
      <c r="L685" s="1792">
        <v>13063040306</v>
      </c>
      <c r="M685" s="1793">
        <v>0</v>
      </c>
      <c r="N685" s="1793">
        <v>0</v>
      </c>
      <c r="O685" s="1793">
        <v>0</v>
      </c>
      <c r="P685" s="530" t="s">
        <v>1591</v>
      </c>
      <c r="Q685" s="291"/>
      <c r="R685" s="170"/>
      <c r="S685" s="387"/>
      <c r="T685" s="491" t="s">
        <v>1241</v>
      </c>
      <c r="U685" s="491" t="s">
        <v>653</v>
      </c>
      <c r="AA685" s="27"/>
      <c r="AB685" s="27"/>
      <c r="AC685" s="889"/>
      <c r="AD685" s="502"/>
    </row>
    <row r="686" spans="3:30" ht="10.5" customHeight="1">
      <c r="C686" s="1799" t="s">
        <v>5176</v>
      </c>
      <c r="D686" s="1796">
        <v>0</v>
      </c>
      <c r="E686" s="1796">
        <v>0</v>
      </c>
      <c r="F686" s="1797">
        <v>0</v>
      </c>
      <c r="G686" s="1999" t="s">
        <v>5176</v>
      </c>
      <c r="H686" s="1794">
        <v>0</v>
      </c>
      <c r="I686" s="1794">
        <v>0</v>
      </c>
      <c r="J686" s="2000">
        <v>0</v>
      </c>
      <c r="K686" s="1798"/>
      <c r="L686" s="1792">
        <v>13063040307</v>
      </c>
      <c r="M686" s="1793">
        <v>0</v>
      </c>
      <c r="N686" s="1793">
        <v>0</v>
      </c>
      <c r="O686" s="1793">
        <v>0</v>
      </c>
      <c r="P686" s="530" t="s">
        <v>914</v>
      </c>
      <c r="Q686" s="291"/>
      <c r="R686" s="170"/>
      <c r="S686" s="387"/>
      <c r="T686" s="491" t="s">
        <v>1052</v>
      </c>
      <c r="U686" s="491" t="s">
        <v>155</v>
      </c>
      <c r="AA686" s="27"/>
      <c r="AB686" s="27"/>
      <c r="AC686" s="889"/>
      <c r="AD686" s="502"/>
    </row>
    <row r="687" spans="3:30" ht="10.5" customHeight="1">
      <c r="C687" s="1799" t="s">
        <v>5177</v>
      </c>
      <c r="D687" s="1796">
        <v>0</v>
      </c>
      <c r="E687" s="1796">
        <v>0</v>
      </c>
      <c r="F687" s="1797">
        <v>0</v>
      </c>
      <c r="G687" s="1999" t="s">
        <v>5177</v>
      </c>
      <c r="H687" s="1794">
        <v>0</v>
      </c>
      <c r="I687" s="1794">
        <v>0</v>
      </c>
      <c r="J687" s="2000">
        <v>0</v>
      </c>
      <c r="K687" s="1798"/>
      <c r="L687" s="1792">
        <v>13063040308</v>
      </c>
      <c r="M687" s="1793">
        <v>0</v>
      </c>
      <c r="N687" s="1793">
        <v>0</v>
      </c>
      <c r="O687" s="1793">
        <v>0</v>
      </c>
      <c r="P687" s="530" t="s">
        <v>916</v>
      </c>
      <c r="Q687" s="291"/>
      <c r="R687" s="170"/>
      <c r="S687" s="387"/>
      <c r="T687" s="491" t="s">
        <v>1837</v>
      </c>
      <c r="U687" s="491" t="s">
        <v>1083</v>
      </c>
      <c r="AA687" s="27"/>
      <c r="AB687" s="27"/>
      <c r="AC687" s="889"/>
      <c r="AD687" s="502"/>
    </row>
    <row r="688" spans="3:30" ht="10.5" customHeight="1">
      <c r="C688" s="1799" t="s">
        <v>5178</v>
      </c>
      <c r="D688" s="1796">
        <v>0</v>
      </c>
      <c r="E688" s="1796">
        <v>0</v>
      </c>
      <c r="F688" s="1797">
        <v>0</v>
      </c>
      <c r="G688" s="1999" t="s">
        <v>5178</v>
      </c>
      <c r="H688" s="1794">
        <v>0</v>
      </c>
      <c r="I688" s="1794">
        <v>0</v>
      </c>
      <c r="J688" s="2000">
        <v>0</v>
      </c>
      <c r="K688" s="1798"/>
      <c r="L688" s="1792">
        <v>13063040407</v>
      </c>
      <c r="M688" s="1793">
        <v>0</v>
      </c>
      <c r="N688" s="1793">
        <v>0</v>
      </c>
      <c r="O688" s="1793">
        <v>0</v>
      </c>
      <c r="P688" s="530" t="s">
        <v>918</v>
      </c>
      <c r="Q688" s="291"/>
      <c r="R688" s="170"/>
      <c r="S688" s="387"/>
      <c r="T688" s="531" t="s">
        <v>1839</v>
      </c>
      <c r="U688" s="531" t="s">
        <v>1426</v>
      </c>
      <c r="AA688" s="27"/>
      <c r="AB688" s="27"/>
      <c r="AC688" s="889"/>
      <c r="AD688" s="502"/>
    </row>
    <row r="689" spans="3:30" ht="10.5" customHeight="1">
      <c r="C689" s="1799" t="s">
        <v>5179</v>
      </c>
      <c r="D689" s="1796">
        <v>0</v>
      </c>
      <c r="E689" s="1796">
        <v>0</v>
      </c>
      <c r="F689" s="1797">
        <v>0</v>
      </c>
      <c r="G689" s="1999" t="s">
        <v>5179</v>
      </c>
      <c r="H689" s="1794">
        <v>0</v>
      </c>
      <c r="I689" s="1794">
        <v>0</v>
      </c>
      <c r="J689" s="2000">
        <v>0</v>
      </c>
      <c r="K689" s="1798"/>
      <c r="L689" s="1792">
        <v>13063040408</v>
      </c>
      <c r="M689" s="1793">
        <v>0</v>
      </c>
      <c r="N689" s="1793">
        <v>0</v>
      </c>
      <c r="O689" s="1793">
        <v>0</v>
      </c>
      <c r="P689" s="530" t="s">
        <v>2436</v>
      </c>
      <c r="Q689" s="291"/>
      <c r="R689" s="170"/>
      <c r="S689" s="387"/>
      <c r="T689" s="531" t="s">
        <v>1841</v>
      </c>
      <c r="U689" s="531" t="s">
        <v>2422</v>
      </c>
      <c r="AA689" s="27"/>
      <c r="AB689" s="27"/>
      <c r="AC689" s="890"/>
      <c r="AD689" s="502"/>
    </row>
    <row r="690" spans="3:30" ht="10.5" customHeight="1">
      <c r="C690" s="1799" t="s">
        <v>5180</v>
      </c>
      <c r="D690" s="1796">
        <v>0</v>
      </c>
      <c r="E690" s="1796">
        <v>0</v>
      </c>
      <c r="F690" s="1797">
        <v>0</v>
      </c>
      <c r="G690" s="1999" t="s">
        <v>5180</v>
      </c>
      <c r="H690" s="1794">
        <v>1</v>
      </c>
      <c r="I690" s="1794" t="s">
        <v>4485</v>
      </c>
      <c r="J690" s="2000">
        <v>1</v>
      </c>
      <c r="K690" s="1798"/>
      <c r="L690" s="1792">
        <v>13063040409</v>
      </c>
      <c r="M690" s="1793">
        <v>1</v>
      </c>
      <c r="N690" s="1793">
        <v>0</v>
      </c>
      <c r="O690" s="1793">
        <v>1</v>
      </c>
      <c r="P690" s="530" t="s">
        <v>2438</v>
      </c>
      <c r="Q690" s="291"/>
      <c r="R690" s="170"/>
      <c r="S690" s="387"/>
      <c r="T690" s="491" t="s">
        <v>1843</v>
      </c>
      <c r="U690" s="491" t="s">
        <v>118</v>
      </c>
      <c r="AA690" s="27"/>
      <c r="AB690" s="27"/>
      <c r="AC690" s="890"/>
      <c r="AD690" s="502"/>
    </row>
    <row r="691" spans="3:30" ht="10.5" customHeight="1">
      <c r="C691" s="1799" t="s">
        <v>5181</v>
      </c>
      <c r="D691" s="1796">
        <v>0</v>
      </c>
      <c r="E691" s="1796">
        <v>0</v>
      </c>
      <c r="F691" s="1797">
        <v>0</v>
      </c>
      <c r="G691" s="1999" t="s">
        <v>5181</v>
      </c>
      <c r="H691" s="1794">
        <v>0</v>
      </c>
      <c r="I691" s="1794">
        <v>0</v>
      </c>
      <c r="J691" s="2000">
        <v>0</v>
      </c>
      <c r="K691" s="1798"/>
      <c r="L691" s="1792">
        <v>13063040410</v>
      </c>
      <c r="M691" s="1793">
        <v>0</v>
      </c>
      <c r="N691" s="1793">
        <v>0</v>
      </c>
      <c r="O691" s="1793">
        <v>0</v>
      </c>
      <c r="P691" s="530" t="s">
        <v>2439</v>
      </c>
      <c r="Q691" s="291"/>
      <c r="R691" s="170"/>
      <c r="S691" s="387"/>
      <c r="T691" s="491" t="s">
        <v>491</v>
      </c>
      <c r="U691" s="491" t="s">
        <v>1961</v>
      </c>
      <c r="AA691" s="27"/>
      <c r="AB691" s="27"/>
      <c r="AC691" s="889"/>
      <c r="AD691" s="502"/>
    </row>
    <row r="692" spans="3:30" ht="10.5" customHeight="1">
      <c r="C692" s="1799" t="s">
        <v>5182</v>
      </c>
      <c r="D692" s="1796">
        <v>1</v>
      </c>
      <c r="E692" s="1796">
        <v>0</v>
      </c>
      <c r="F692" s="1797">
        <v>1</v>
      </c>
      <c r="G692" s="1999" t="s">
        <v>5182</v>
      </c>
      <c r="H692" s="1794">
        <v>1</v>
      </c>
      <c r="I692" s="1794">
        <v>1</v>
      </c>
      <c r="J692" s="2000">
        <v>2</v>
      </c>
      <c r="K692" s="1798"/>
      <c r="L692" s="1792">
        <v>13063040411</v>
      </c>
      <c r="M692" s="1793">
        <v>1</v>
      </c>
      <c r="N692" s="1793">
        <v>1</v>
      </c>
      <c r="O692" s="1793">
        <v>2</v>
      </c>
      <c r="P692" s="530" t="s">
        <v>1854</v>
      </c>
      <c r="Q692" s="291"/>
      <c r="R692" s="170"/>
      <c r="S692" s="387"/>
      <c r="T692" s="491" t="s">
        <v>2470</v>
      </c>
      <c r="U692" s="491" t="s">
        <v>1866</v>
      </c>
      <c r="AA692" s="27"/>
      <c r="AB692" s="27"/>
      <c r="AC692" s="889"/>
      <c r="AD692" s="502"/>
    </row>
    <row r="693" spans="3:30" ht="10.5" customHeight="1">
      <c r="C693" s="1799" t="s">
        <v>5183</v>
      </c>
      <c r="D693" s="1796">
        <v>0</v>
      </c>
      <c r="E693" s="1796">
        <v>0</v>
      </c>
      <c r="F693" s="1797">
        <v>0</v>
      </c>
      <c r="G693" s="1999" t="s">
        <v>5183</v>
      </c>
      <c r="H693" s="1794">
        <v>0</v>
      </c>
      <c r="I693" s="1794">
        <v>0</v>
      </c>
      <c r="J693" s="2000">
        <v>0</v>
      </c>
      <c r="K693" s="1798"/>
      <c r="L693" s="1792">
        <v>13063040412</v>
      </c>
      <c r="M693" s="1793">
        <v>0</v>
      </c>
      <c r="N693" s="1793">
        <v>0</v>
      </c>
      <c r="O693" s="1793">
        <v>0</v>
      </c>
      <c r="P693" s="530" t="s">
        <v>1855</v>
      </c>
      <c r="Q693" s="291"/>
      <c r="R693" s="170"/>
      <c r="S693" s="387"/>
      <c r="T693" s="491" t="s">
        <v>4241</v>
      </c>
      <c r="U693" s="491" t="s">
        <v>1180</v>
      </c>
      <c r="AA693" s="27"/>
      <c r="AB693" s="27"/>
      <c r="AC693" s="889"/>
      <c r="AD693" s="502"/>
    </row>
    <row r="694" spans="3:30" ht="10.5" customHeight="1">
      <c r="C694" s="1799" t="s">
        <v>5184</v>
      </c>
      <c r="D694" s="1796">
        <v>0</v>
      </c>
      <c r="E694" s="1796">
        <v>0</v>
      </c>
      <c r="F694" s="1797">
        <v>0</v>
      </c>
      <c r="G694" s="1999" t="s">
        <v>5184</v>
      </c>
      <c r="H694" s="1794">
        <v>0</v>
      </c>
      <c r="I694" s="1794">
        <v>0</v>
      </c>
      <c r="J694" s="2000">
        <v>0</v>
      </c>
      <c r="K694" s="1798"/>
      <c r="L694" s="1792">
        <v>13063040413</v>
      </c>
      <c r="M694" s="1793">
        <v>0</v>
      </c>
      <c r="N694" s="1793">
        <v>0</v>
      </c>
      <c r="O694" s="1793">
        <v>0</v>
      </c>
      <c r="P694" s="530" t="s">
        <v>1857</v>
      </c>
      <c r="Q694" s="291"/>
      <c r="R694" s="170"/>
      <c r="S694" s="387"/>
      <c r="T694" s="491" t="s">
        <v>2472</v>
      </c>
      <c r="U694" s="491" t="s">
        <v>2463</v>
      </c>
      <c r="AA694" s="27"/>
      <c r="AB694" s="27"/>
      <c r="AC694" s="889"/>
      <c r="AD694" s="502"/>
    </row>
    <row r="695" spans="3:30" ht="10.5" customHeight="1">
      <c r="C695" s="1799" t="s">
        <v>5185</v>
      </c>
      <c r="D695" s="1796">
        <v>0</v>
      </c>
      <c r="E695" s="1796">
        <v>0</v>
      </c>
      <c r="F695" s="1797">
        <v>0</v>
      </c>
      <c r="G695" s="1999" t="s">
        <v>5185</v>
      </c>
      <c r="H695" s="1794">
        <v>0</v>
      </c>
      <c r="I695" s="1794">
        <v>0</v>
      </c>
      <c r="J695" s="2000">
        <v>0</v>
      </c>
      <c r="K695" s="1798"/>
      <c r="L695" s="1792">
        <v>13063040414</v>
      </c>
      <c r="M695" s="1793">
        <v>0</v>
      </c>
      <c r="N695" s="1793">
        <v>0</v>
      </c>
      <c r="O695" s="1793">
        <v>0</v>
      </c>
      <c r="P695" s="530" t="s">
        <v>625</v>
      </c>
      <c r="Q695" s="291"/>
      <c r="R695" s="170"/>
      <c r="S695" s="387"/>
      <c r="T695" s="491" t="s">
        <v>1133</v>
      </c>
      <c r="U695" s="491" t="s">
        <v>307</v>
      </c>
      <c r="AA695" s="27"/>
      <c r="AB695" s="27"/>
      <c r="AC695" s="889"/>
      <c r="AD695" s="502"/>
    </row>
    <row r="696" spans="3:30" ht="10.5" customHeight="1">
      <c r="C696" s="1799" t="s">
        <v>5186</v>
      </c>
      <c r="D696" s="1796">
        <v>0</v>
      </c>
      <c r="E696" s="1796">
        <v>0</v>
      </c>
      <c r="F696" s="1797">
        <v>0</v>
      </c>
      <c r="G696" s="1999" t="s">
        <v>5186</v>
      </c>
      <c r="H696" s="1794">
        <v>0</v>
      </c>
      <c r="I696" s="1794">
        <v>0</v>
      </c>
      <c r="J696" s="2000">
        <v>0</v>
      </c>
      <c r="K696" s="1798"/>
      <c r="L696" s="1792">
        <v>13063040415</v>
      </c>
      <c r="M696" s="1793">
        <v>0</v>
      </c>
      <c r="N696" s="1793">
        <v>0</v>
      </c>
      <c r="O696" s="1793">
        <v>0</v>
      </c>
      <c r="P696" s="530" t="s">
        <v>627</v>
      </c>
      <c r="Q696" s="291"/>
      <c r="R696" s="170"/>
      <c r="S696" s="387"/>
      <c r="T696" s="491" t="s">
        <v>2451</v>
      </c>
      <c r="U696" s="491" t="s">
        <v>856</v>
      </c>
      <c r="AA696" s="27"/>
      <c r="AB696" s="27"/>
      <c r="AC696" s="889"/>
      <c r="AD696" s="502"/>
    </row>
    <row r="697" spans="3:30" ht="10.5" customHeight="1">
      <c r="C697" s="1799" t="s">
        <v>5187</v>
      </c>
      <c r="D697" s="1796">
        <v>0</v>
      </c>
      <c r="E697" s="1796">
        <v>0</v>
      </c>
      <c r="F697" s="1797">
        <v>0</v>
      </c>
      <c r="G697" s="1999" t="s">
        <v>5187</v>
      </c>
      <c r="H697" s="1794">
        <v>0</v>
      </c>
      <c r="I697" s="1794">
        <v>0</v>
      </c>
      <c r="J697" s="2000">
        <v>0</v>
      </c>
      <c r="K697" s="1798"/>
      <c r="L697" s="1792">
        <v>13063040416</v>
      </c>
      <c r="M697" s="1793">
        <v>0</v>
      </c>
      <c r="N697" s="1793">
        <v>0</v>
      </c>
      <c r="O697" s="1793">
        <v>0</v>
      </c>
      <c r="P697" s="530" t="s">
        <v>628</v>
      </c>
      <c r="Q697" s="291"/>
      <c r="R697" s="170"/>
      <c r="S697" s="387"/>
      <c r="T697" s="491" t="s">
        <v>796</v>
      </c>
      <c r="U697" s="491" t="s">
        <v>1307</v>
      </c>
      <c r="AA697" s="27"/>
      <c r="AB697" s="27"/>
      <c r="AC697" s="889"/>
      <c r="AD697" s="502"/>
    </row>
    <row r="698" spans="3:30" ht="10.5" customHeight="1">
      <c r="C698" s="1799" t="s">
        <v>5188</v>
      </c>
      <c r="D698" s="1796">
        <v>0</v>
      </c>
      <c r="E698" s="1796">
        <v>0</v>
      </c>
      <c r="F698" s="1797">
        <v>0</v>
      </c>
      <c r="G698" s="1999" t="s">
        <v>5188</v>
      </c>
      <c r="H698" s="1794">
        <v>0</v>
      </c>
      <c r="I698" s="1794">
        <v>0</v>
      </c>
      <c r="J698" s="2000">
        <v>0</v>
      </c>
      <c r="K698" s="1798"/>
      <c r="L698" s="1792">
        <v>13063040417</v>
      </c>
      <c r="M698" s="1793">
        <v>0</v>
      </c>
      <c r="N698" s="1793">
        <v>0</v>
      </c>
      <c r="O698" s="1793">
        <v>0</v>
      </c>
      <c r="P698" s="530" t="s">
        <v>2249</v>
      </c>
      <c r="Q698" s="291"/>
      <c r="R698" s="170"/>
      <c r="S698" s="387"/>
      <c r="T698" s="491" t="s">
        <v>1048</v>
      </c>
      <c r="U698" s="491" t="s">
        <v>648</v>
      </c>
      <c r="AA698" s="27"/>
      <c r="AB698" s="27"/>
      <c r="AC698" s="889"/>
      <c r="AD698" s="502"/>
    </row>
    <row r="699" spans="3:30" ht="10.5" customHeight="1">
      <c r="C699" s="1799" t="s">
        <v>5189</v>
      </c>
      <c r="D699" s="1796">
        <v>0</v>
      </c>
      <c r="E699" s="1796">
        <v>0</v>
      </c>
      <c r="F699" s="1797">
        <v>0</v>
      </c>
      <c r="G699" s="1999" t="s">
        <v>5189</v>
      </c>
      <c r="H699" s="1794">
        <v>1</v>
      </c>
      <c r="I699" s="1794">
        <v>0</v>
      </c>
      <c r="J699" s="2000">
        <v>1</v>
      </c>
      <c r="K699" s="1798"/>
      <c r="L699" s="1792">
        <v>13063040509</v>
      </c>
      <c r="M699" s="1793">
        <v>1</v>
      </c>
      <c r="N699" s="1793">
        <v>0</v>
      </c>
      <c r="O699" s="1793">
        <v>1</v>
      </c>
      <c r="P699" s="530" t="s">
        <v>69</v>
      </c>
      <c r="Q699" s="291"/>
      <c r="R699" s="170"/>
      <c r="S699" s="387"/>
      <c r="T699" s="491" t="s">
        <v>1501</v>
      </c>
      <c r="U699" s="491" t="s">
        <v>323</v>
      </c>
      <c r="AA699" s="27"/>
      <c r="AB699" s="27"/>
      <c r="AC699" s="889"/>
      <c r="AD699" s="502"/>
    </row>
    <row r="700" spans="3:30" ht="10.5" customHeight="1">
      <c r="C700" s="1799" t="s">
        <v>5190</v>
      </c>
      <c r="D700" s="1796">
        <v>0</v>
      </c>
      <c r="E700" s="1796">
        <v>0</v>
      </c>
      <c r="F700" s="1797">
        <v>0</v>
      </c>
      <c r="G700" s="1999" t="s">
        <v>5190</v>
      </c>
      <c r="H700" s="1794">
        <v>0</v>
      </c>
      <c r="I700" s="1794">
        <v>0</v>
      </c>
      <c r="J700" s="2000">
        <v>0</v>
      </c>
      <c r="K700" s="1798"/>
      <c r="L700" s="1792">
        <v>13063040510</v>
      </c>
      <c r="M700" s="1793">
        <v>0</v>
      </c>
      <c r="N700" s="1793">
        <v>0</v>
      </c>
      <c r="O700" s="1793">
        <v>0</v>
      </c>
      <c r="P700" s="530" t="s">
        <v>1387</v>
      </c>
      <c r="Q700" s="291"/>
      <c r="R700" s="170"/>
      <c r="S700" s="387"/>
      <c r="T700" s="491" t="s">
        <v>2774</v>
      </c>
      <c r="U700" s="491" t="s">
        <v>855</v>
      </c>
      <c r="AA700" s="27"/>
      <c r="AB700" s="27"/>
      <c r="AC700" s="889"/>
      <c r="AD700" s="502"/>
    </row>
    <row r="701" spans="3:30" ht="10.5" customHeight="1">
      <c r="C701" s="1799" t="s">
        <v>5191</v>
      </c>
      <c r="D701" s="1796">
        <v>0</v>
      </c>
      <c r="E701" s="1796">
        <v>0</v>
      </c>
      <c r="F701" s="1797">
        <v>0</v>
      </c>
      <c r="G701" s="1999" t="s">
        <v>5191</v>
      </c>
      <c r="H701" s="1794">
        <v>0</v>
      </c>
      <c r="I701" s="1794">
        <v>0</v>
      </c>
      <c r="J701" s="2000">
        <v>0</v>
      </c>
      <c r="K701" s="1798"/>
      <c r="L701" s="1792">
        <v>13063040512</v>
      </c>
      <c r="M701" s="1793">
        <v>0</v>
      </c>
      <c r="N701" s="1793">
        <v>0</v>
      </c>
      <c r="O701" s="1793">
        <v>0</v>
      </c>
      <c r="P701" s="530" t="s">
        <v>2199</v>
      </c>
      <c r="Q701" s="291"/>
      <c r="R701" s="170"/>
      <c r="S701" s="387"/>
      <c r="T701" s="491" t="s">
        <v>2054</v>
      </c>
      <c r="U701" s="491" t="s">
        <v>1300</v>
      </c>
      <c r="AA701" s="27"/>
      <c r="AB701" s="27"/>
      <c r="AC701" s="889"/>
      <c r="AD701" s="502"/>
    </row>
    <row r="702" spans="3:30" ht="10.5" customHeight="1">
      <c r="C702" s="1799" t="s">
        <v>5192</v>
      </c>
      <c r="D702" s="1796">
        <v>0</v>
      </c>
      <c r="E702" s="1796">
        <v>1</v>
      </c>
      <c r="F702" s="1797">
        <v>1</v>
      </c>
      <c r="G702" s="1999" t="s">
        <v>5192</v>
      </c>
      <c r="H702" s="1794">
        <v>0</v>
      </c>
      <c r="I702" s="1794">
        <v>1</v>
      </c>
      <c r="J702" s="2000">
        <v>0</v>
      </c>
      <c r="K702" s="1798"/>
      <c r="L702" s="1792">
        <v>13063040513</v>
      </c>
      <c r="M702" s="1793">
        <v>0</v>
      </c>
      <c r="N702" s="1793">
        <v>1</v>
      </c>
      <c r="O702" s="1793">
        <v>1</v>
      </c>
      <c r="P702" s="530" t="s">
        <v>2201</v>
      </c>
      <c r="Q702" s="291"/>
      <c r="R702" s="170"/>
      <c r="S702" s="387"/>
      <c r="T702" s="491" t="s">
        <v>1590</v>
      </c>
      <c r="U702" s="491" t="s">
        <v>1286</v>
      </c>
      <c r="AA702" s="27"/>
      <c r="AB702" s="27"/>
      <c r="AC702" s="889"/>
      <c r="AD702" s="502"/>
    </row>
    <row r="703" spans="3:30" ht="10.5" customHeight="1">
      <c r="C703" s="1799" t="s">
        <v>5193</v>
      </c>
      <c r="D703" s="1796">
        <v>0</v>
      </c>
      <c r="E703" s="1796">
        <v>0</v>
      </c>
      <c r="F703" s="1797">
        <v>0</v>
      </c>
      <c r="G703" s="1999" t="s">
        <v>5193</v>
      </c>
      <c r="H703" s="1794">
        <v>0</v>
      </c>
      <c r="I703" s="1794">
        <v>0</v>
      </c>
      <c r="J703" s="2000">
        <v>0</v>
      </c>
      <c r="K703" s="1798"/>
      <c r="L703" s="1792">
        <v>13063040514</v>
      </c>
      <c r="M703" s="1793">
        <v>0</v>
      </c>
      <c r="N703" s="1793">
        <v>0</v>
      </c>
      <c r="O703" s="1793">
        <v>0</v>
      </c>
      <c r="P703" s="530" t="s">
        <v>1758</v>
      </c>
      <c r="Q703" s="291"/>
      <c r="R703" s="170"/>
      <c r="S703" s="387"/>
      <c r="T703" s="491" t="s">
        <v>915</v>
      </c>
      <c r="U703" s="491" t="s">
        <v>2185</v>
      </c>
      <c r="AA703" s="27"/>
      <c r="AB703" s="27"/>
      <c r="AC703" s="889"/>
      <c r="AD703" s="502"/>
    </row>
    <row r="704" spans="3:30" ht="10.5" customHeight="1">
      <c r="C704" s="1799" t="s">
        <v>5194</v>
      </c>
      <c r="D704" s="1796">
        <v>0</v>
      </c>
      <c r="E704" s="1796">
        <v>0</v>
      </c>
      <c r="F704" s="1797">
        <v>0</v>
      </c>
      <c r="G704" s="1999" t="s">
        <v>5194</v>
      </c>
      <c r="H704" s="1794">
        <v>0</v>
      </c>
      <c r="I704" s="1794">
        <v>0</v>
      </c>
      <c r="J704" s="2000">
        <v>0</v>
      </c>
      <c r="K704" s="1798"/>
      <c r="L704" s="1792">
        <v>13063040515</v>
      </c>
      <c r="M704" s="1793">
        <v>0</v>
      </c>
      <c r="N704" s="1793">
        <v>0</v>
      </c>
      <c r="O704" s="1793">
        <v>0</v>
      </c>
      <c r="P704" s="530" t="s">
        <v>1095</v>
      </c>
      <c r="Q704" s="291"/>
      <c r="R704" s="170"/>
      <c r="S704" s="387"/>
      <c r="T704" s="491" t="s">
        <v>917</v>
      </c>
      <c r="U704" s="491" t="s">
        <v>314</v>
      </c>
      <c r="AA704" s="27"/>
      <c r="AB704" s="27"/>
      <c r="AC704" s="889"/>
      <c r="AD704" s="502"/>
    </row>
    <row r="705" spans="3:30" ht="10.5" customHeight="1">
      <c r="C705" s="1799" t="s">
        <v>5195</v>
      </c>
      <c r="D705" s="1796">
        <v>0</v>
      </c>
      <c r="E705" s="1796">
        <v>0</v>
      </c>
      <c r="F705" s="1797">
        <v>0</v>
      </c>
      <c r="G705" s="1999" t="s">
        <v>5195</v>
      </c>
      <c r="H705" s="1794">
        <v>0</v>
      </c>
      <c r="I705" s="1794">
        <v>0</v>
      </c>
      <c r="J705" s="2000">
        <v>0</v>
      </c>
      <c r="K705" s="1798"/>
      <c r="L705" s="1792">
        <v>13063040516</v>
      </c>
      <c r="M705" s="1793">
        <v>0</v>
      </c>
      <c r="N705" s="1793">
        <v>0</v>
      </c>
      <c r="O705" s="1793">
        <v>0</v>
      </c>
      <c r="P705" s="530" t="s">
        <v>1999</v>
      </c>
      <c r="Q705" s="291"/>
      <c r="R705" s="170"/>
      <c r="S705" s="387"/>
      <c r="T705" s="491" t="s">
        <v>2437</v>
      </c>
      <c r="U705" s="491" t="s">
        <v>610</v>
      </c>
      <c r="AA705" s="27"/>
      <c r="AB705" s="27"/>
      <c r="AC705" s="889"/>
      <c r="AD705" s="502"/>
    </row>
    <row r="706" spans="3:30" ht="10.5" customHeight="1">
      <c r="C706" s="1799" t="s">
        <v>5196</v>
      </c>
      <c r="D706" s="1796">
        <v>0</v>
      </c>
      <c r="E706" s="1796">
        <v>0</v>
      </c>
      <c r="F706" s="1797">
        <v>0</v>
      </c>
      <c r="G706" s="1999" t="s">
        <v>5196</v>
      </c>
      <c r="H706" s="1794">
        <v>0</v>
      </c>
      <c r="I706" s="1794">
        <v>0</v>
      </c>
      <c r="J706" s="2000">
        <v>0</v>
      </c>
      <c r="K706" s="1798"/>
      <c r="L706" s="1792">
        <v>13063040518</v>
      </c>
      <c r="M706" s="1793">
        <v>0</v>
      </c>
      <c r="N706" s="1793">
        <v>0</v>
      </c>
      <c r="O706" s="1793">
        <v>0</v>
      </c>
      <c r="P706" s="530" t="s">
        <v>1921</v>
      </c>
      <c r="Q706" s="291"/>
      <c r="R706" s="170"/>
      <c r="S706" s="387"/>
      <c r="T706" s="491" t="s">
        <v>4242</v>
      </c>
      <c r="U706" s="491" t="s">
        <v>610</v>
      </c>
      <c r="AA706" s="27"/>
      <c r="AB706" s="27"/>
      <c r="AC706" s="889"/>
      <c r="AD706" s="502"/>
    </row>
    <row r="707" spans="3:30" ht="10.5" customHeight="1">
      <c r="C707" s="1799" t="s">
        <v>5197</v>
      </c>
      <c r="D707" s="1796">
        <v>0</v>
      </c>
      <c r="E707" s="1796">
        <v>0</v>
      </c>
      <c r="F707" s="1797">
        <v>0</v>
      </c>
      <c r="G707" s="1999" t="s">
        <v>5197</v>
      </c>
      <c r="H707" s="1794">
        <v>0</v>
      </c>
      <c r="I707" s="1794" t="s">
        <v>4485</v>
      </c>
      <c r="J707" s="2000">
        <v>0</v>
      </c>
      <c r="K707" s="1798"/>
      <c r="L707" s="1792">
        <v>13063040519</v>
      </c>
      <c r="M707" s="1793">
        <v>0</v>
      </c>
      <c r="N707" s="1793">
        <v>0</v>
      </c>
      <c r="O707" s="1793">
        <v>0</v>
      </c>
      <c r="P707" s="530" t="s">
        <v>1923</v>
      </c>
      <c r="Q707" s="291"/>
      <c r="R707" s="170"/>
      <c r="S707" s="387"/>
      <c r="T707" s="491" t="s">
        <v>1853</v>
      </c>
      <c r="U707" s="491" t="s">
        <v>118</v>
      </c>
      <c r="AA707" s="27"/>
      <c r="AB707" s="27"/>
      <c r="AC707" s="889"/>
      <c r="AD707" s="502"/>
    </row>
    <row r="708" spans="3:30" ht="10.5" customHeight="1">
      <c r="C708" s="1799" t="s">
        <v>5198</v>
      </c>
      <c r="D708" s="1796">
        <v>0</v>
      </c>
      <c r="E708" s="1796">
        <v>0</v>
      </c>
      <c r="F708" s="1797">
        <v>0</v>
      </c>
      <c r="G708" s="1999" t="s">
        <v>5198</v>
      </c>
      <c r="H708" s="1794">
        <v>0</v>
      </c>
      <c r="I708" s="1794">
        <v>0</v>
      </c>
      <c r="J708" s="2000">
        <v>0</v>
      </c>
      <c r="K708" s="1798"/>
      <c r="L708" s="1792">
        <v>13063040520</v>
      </c>
      <c r="M708" s="1793">
        <v>0</v>
      </c>
      <c r="N708" s="1793">
        <v>0</v>
      </c>
      <c r="O708" s="1793">
        <v>0</v>
      </c>
      <c r="P708" s="530" t="s">
        <v>1925</v>
      </c>
      <c r="Q708" s="291"/>
      <c r="R708" s="170"/>
      <c r="S708" s="387"/>
      <c r="T708" s="491" t="s">
        <v>1856</v>
      </c>
      <c r="U708" s="491" t="s">
        <v>2185</v>
      </c>
      <c r="AA708" s="27"/>
      <c r="AB708" s="27"/>
      <c r="AC708" s="889"/>
      <c r="AD708" s="502"/>
    </row>
    <row r="709" spans="3:30" ht="10.5" customHeight="1">
      <c r="C709" s="1799" t="s">
        <v>5199</v>
      </c>
      <c r="D709" s="1796">
        <v>0</v>
      </c>
      <c r="E709" s="1796">
        <v>0</v>
      </c>
      <c r="F709" s="1797">
        <v>0</v>
      </c>
      <c r="G709" s="1999" t="s">
        <v>5199</v>
      </c>
      <c r="H709" s="1794">
        <v>0</v>
      </c>
      <c r="I709" s="1794">
        <v>0</v>
      </c>
      <c r="J709" s="2000">
        <v>0</v>
      </c>
      <c r="K709" s="1798"/>
      <c r="L709" s="1792">
        <v>13063040521</v>
      </c>
      <c r="M709" s="1793">
        <v>0</v>
      </c>
      <c r="N709" s="1793">
        <v>0</v>
      </c>
      <c r="O709" s="1793">
        <v>0</v>
      </c>
      <c r="P709" s="530" t="s">
        <v>483</v>
      </c>
      <c r="Q709" s="291"/>
      <c r="R709" s="170"/>
      <c r="S709" s="387"/>
      <c r="T709" s="491" t="s">
        <v>1858</v>
      </c>
      <c r="U709" s="491" t="s">
        <v>158</v>
      </c>
      <c r="AA709" s="27"/>
      <c r="AB709" s="27"/>
      <c r="AC709" s="889"/>
      <c r="AD709" s="502"/>
    </row>
    <row r="710" spans="3:30" ht="10.5" customHeight="1">
      <c r="C710" s="1799" t="s">
        <v>5200</v>
      </c>
      <c r="D710" s="1796">
        <v>0</v>
      </c>
      <c r="E710" s="1796">
        <v>0</v>
      </c>
      <c r="F710" s="1797">
        <v>0</v>
      </c>
      <c r="G710" s="1999" t="s">
        <v>5200</v>
      </c>
      <c r="H710" s="1794">
        <v>0</v>
      </c>
      <c r="I710" s="1794">
        <v>0</v>
      </c>
      <c r="J710" s="2000">
        <v>0</v>
      </c>
      <c r="K710" s="1798"/>
      <c r="L710" s="1792">
        <v>13063040522</v>
      </c>
      <c r="M710" s="1793">
        <v>0</v>
      </c>
      <c r="N710" s="1793">
        <v>0</v>
      </c>
      <c r="O710" s="1793">
        <v>0</v>
      </c>
      <c r="P710" s="530" t="s">
        <v>444</v>
      </c>
      <c r="Q710" s="291"/>
      <c r="R710" s="170"/>
      <c r="S710" s="387"/>
      <c r="T710" s="491" t="s">
        <v>626</v>
      </c>
      <c r="U710" s="491" t="s">
        <v>2339</v>
      </c>
      <c r="AA710" s="27"/>
      <c r="AB710" s="27"/>
      <c r="AC710" s="889"/>
      <c r="AD710" s="502"/>
    </row>
    <row r="711" spans="3:30" ht="10.5" customHeight="1">
      <c r="C711" s="1799" t="s">
        <v>5201</v>
      </c>
      <c r="D711" s="1796">
        <v>0</v>
      </c>
      <c r="E711" s="1796">
        <v>0</v>
      </c>
      <c r="F711" s="1797">
        <v>0</v>
      </c>
      <c r="G711" s="1999" t="s">
        <v>5201</v>
      </c>
      <c r="H711" s="1794">
        <v>1</v>
      </c>
      <c r="I711" s="1794">
        <v>0</v>
      </c>
      <c r="J711" s="2000">
        <v>1</v>
      </c>
      <c r="K711" s="1798"/>
      <c r="L711" s="1792">
        <v>13063040523</v>
      </c>
      <c r="M711" s="1793">
        <v>1</v>
      </c>
      <c r="N711" s="1793">
        <v>0</v>
      </c>
      <c r="O711" s="1793">
        <v>1</v>
      </c>
      <c r="P711" s="530" t="s">
        <v>2049</v>
      </c>
      <c r="Q711" s="291"/>
      <c r="R711" s="170"/>
      <c r="S711" s="387"/>
      <c r="T711" s="491" t="s">
        <v>797</v>
      </c>
      <c r="U711" s="491" t="s">
        <v>2122</v>
      </c>
      <c r="AA711" s="27"/>
      <c r="AB711" s="27"/>
      <c r="AC711" s="889"/>
      <c r="AD711" s="502"/>
    </row>
    <row r="712" spans="3:30" ht="10.5" customHeight="1">
      <c r="C712" s="1799" t="s">
        <v>5202</v>
      </c>
      <c r="D712" s="1796">
        <v>0</v>
      </c>
      <c r="E712" s="1796">
        <v>0</v>
      </c>
      <c r="F712" s="1797">
        <v>0</v>
      </c>
      <c r="G712" s="1999" t="s">
        <v>5202</v>
      </c>
      <c r="H712" s="1794">
        <v>0</v>
      </c>
      <c r="I712" s="1794">
        <v>0</v>
      </c>
      <c r="J712" s="2000">
        <v>0</v>
      </c>
      <c r="K712" s="1798"/>
      <c r="L712" s="1792">
        <v>13063040524</v>
      </c>
      <c r="M712" s="1793">
        <v>0</v>
      </c>
      <c r="N712" s="1793">
        <v>0</v>
      </c>
      <c r="O712" s="1793">
        <v>0</v>
      </c>
      <c r="P712" s="530" t="s">
        <v>2074</v>
      </c>
      <c r="Q712" s="926"/>
      <c r="R712" s="926"/>
      <c r="S712" s="927"/>
      <c r="T712" s="491" t="s">
        <v>1053</v>
      </c>
      <c r="U712" s="491" t="s">
        <v>1864</v>
      </c>
      <c r="AA712" s="27"/>
      <c r="AB712" s="27"/>
      <c r="AC712" s="889"/>
      <c r="AD712" s="502"/>
    </row>
    <row r="713" spans="3:30" ht="10.5" customHeight="1">
      <c r="C713" s="1799" t="s">
        <v>5203</v>
      </c>
      <c r="D713" s="1796">
        <v>0</v>
      </c>
      <c r="E713" s="1796">
        <v>0</v>
      </c>
      <c r="F713" s="1797">
        <v>0</v>
      </c>
      <c r="G713" s="1999" t="s">
        <v>5203</v>
      </c>
      <c r="H713" s="1794">
        <v>0</v>
      </c>
      <c r="I713" s="1794" t="s">
        <v>4485</v>
      </c>
      <c r="J713" s="2000">
        <v>0</v>
      </c>
      <c r="K713" s="1798"/>
      <c r="L713" s="1792">
        <v>13063040525</v>
      </c>
      <c r="M713" s="1793">
        <v>0</v>
      </c>
      <c r="N713" s="1793">
        <v>0</v>
      </c>
      <c r="O713" s="1793">
        <v>0</v>
      </c>
      <c r="P713" s="925"/>
      <c r="Q713" s="535"/>
      <c r="R713" s="168"/>
      <c r="S713" s="311"/>
      <c r="T713" s="491" t="s">
        <v>1054</v>
      </c>
      <c r="U713" s="491" t="s">
        <v>1958</v>
      </c>
      <c r="AA713" s="27"/>
      <c r="AB713" s="27"/>
      <c r="AC713" s="889"/>
      <c r="AD713" s="502"/>
    </row>
    <row r="714" spans="3:30" ht="10.5" customHeight="1">
      <c r="C714" s="1799" t="s">
        <v>5204</v>
      </c>
      <c r="D714" s="1796">
        <v>0</v>
      </c>
      <c r="E714" s="1796">
        <v>0</v>
      </c>
      <c r="F714" s="1797">
        <v>0</v>
      </c>
      <c r="G714" s="1999" t="s">
        <v>5204</v>
      </c>
      <c r="H714" s="1794">
        <v>0</v>
      </c>
      <c r="I714" s="1794">
        <v>0</v>
      </c>
      <c r="J714" s="2000">
        <v>0</v>
      </c>
      <c r="K714" s="1798"/>
      <c r="L714" s="1792">
        <v>13063040526</v>
      </c>
      <c r="M714" s="1793">
        <v>0</v>
      </c>
      <c r="N714" s="1793">
        <v>0</v>
      </c>
      <c r="O714" s="1793">
        <v>0</v>
      </c>
      <c r="P714" s="534"/>
      <c r="Q714" s="311"/>
      <c r="R714" s="311"/>
      <c r="S714" s="311"/>
      <c r="T714" s="491" t="s">
        <v>1435</v>
      </c>
      <c r="U714" s="491" t="s">
        <v>1184</v>
      </c>
      <c r="AA714" s="27"/>
      <c r="AB714" s="27"/>
      <c r="AC714" s="889"/>
      <c r="AD714" s="502"/>
    </row>
    <row r="715" spans="3:30" ht="10.5" customHeight="1">
      <c r="C715" s="1799" t="s">
        <v>5205</v>
      </c>
      <c r="D715" s="1796">
        <v>0</v>
      </c>
      <c r="E715" s="1796">
        <v>0</v>
      </c>
      <c r="F715" s="1797">
        <v>0</v>
      </c>
      <c r="G715" s="1999" t="s">
        <v>5205</v>
      </c>
      <c r="H715" s="1794">
        <v>0</v>
      </c>
      <c r="I715" s="1794">
        <v>1</v>
      </c>
      <c r="J715" s="2000">
        <v>1</v>
      </c>
      <c r="K715" s="1798"/>
      <c r="L715" s="1792">
        <v>13063040606</v>
      </c>
      <c r="M715" s="1793">
        <v>0</v>
      </c>
      <c r="N715" s="1793">
        <v>1</v>
      </c>
      <c r="O715" s="1793">
        <v>1</v>
      </c>
      <c r="P715" s="311"/>
      <c r="Q715" s="311"/>
      <c r="R715" s="311"/>
      <c r="S715" s="311"/>
      <c r="T715" s="491" t="s">
        <v>2250</v>
      </c>
      <c r="U715" s="491" t="s">
        <v>118</v>
      </c>
      <c r="AA715" s="27"/>
      <c r="AB715" s="27"/>
      <c r="AC715" s="889"/>
      <c r="AD715" s="502"/>
    </row>
    <row r="716" spans="3:30" ht="10.5" customHeight="1">
      <c r="C716" s="1799" t="s">
        <v>5206</v>
      </c>
      <c r="D716" s="1796">
        <v>1</v>
      </c>
      <c r="E716" s="1796">
        <v>1</v>
      </c>
      <c r="F716" s="1797">
        <v>2</v>
      </c>
      <c r="G716" s="1999" t="s">
        <v>5206</v>
      </c>
      <c r="H716" s="1794">
        <v>1</v>
      </c>
      <c r="I716" s="1794">
        <v>0</v>
      </c>
      <c r="J716" s="2000">
        <v>1</v>
      </c>
      <c r="K716" s="1798"/>
      <c r="L716" s="1792">
        <v>13063040608</v>
      </c>
      <c r="M716" s="1793">
        <v>1</v>
      </c>
      <c r="N716" s="1793">
        <v>1</v>
      </c>
      <c r="O716" s="1793">
        <v>2</v>
      </c>
      <c r="P716" s="311"/>
      <c r="Q716" s="311"/>
      <c r="R716" s="311"/>
      <c r="S716" s="311"/>
      <c r="T716" s="491" t="s">
        <v>1386</v>
      </c>
      <c r="U716" s="491" t="s">
        <v>2185</v>
      </c>
      <c r="AA716" s="27"/>
      <c r="AB716" s="27"/>
      <c r="AC716" s="889"/>
      <c r="AD716" s="502"/>
    </row>
    <row r="717" spans="3:30" ht="10.5" customHeight="1">
      <c r="C717" s="1799" t="s">
        <v>5207</v>
      </c>
      <c r="D717" s="1796">
        <v>1</v>
      </c>
      <c r="E717" s="1796">
        <v>1</v>
      </c>
      <c r="F717" s="1797">
        <v>2</v>
      </c>
      <c r="G717" s="1999" t="s">
        <v>5207</v>
      </c>
      <c r="H717" s="1794">
        <v>0</v>
      </c>
      <c r="I717" s="1794">
        <v>0</v>
      </c>
      <c r="J717" s="2000">
        <v>0</v>
      </c>
      <c r="K717" s="1798"/>
      <c r="L717" s="1792">
        <v>13063040609</v>
      </c>
      <c r="M717" s="1793">
        <v>1</v>
      </c>
      <c r="N717" s="1793">
        <v>1</v>
      </c>
      <c r="O717" s="1793">
        <v>2</v>
      </c>
      <c r="P717" s="311"/>
      <c r="Q717" s="311"/>
      <c r="R717" s="311"/>
      <c r="S717" s="311"/>
      <c r="T717" s="531" t="s">
        <v>2198</v>
      </c>
      <c r="U717" s="531" t="s">
        <v>1870</v>
      </c>
      <c r="AA717" s="27"/>
      <c r="AB717" s="27"/>
      <c r="AC717" s="889"/>
      <c r="AD717" s="502"/>
    </row>
    <row r="718" spans="3:30" ht="10.5" customHeight="1">
      <c r="C718" s="1799" t="s">
        <v>5208</v>
      </c>
      <c r="D718" s="1796">
        <v>0</v>
      </c>
      <c r="E718" s="1796">
        <v>0</v>
      </c>
      <c r="F718" s="1797">
        <v>0</v>
      </c>
      <c r="G718" s="1999" t="s">
        <v>5208</v>
      </c>
      <c r="H718" s="1794">
        <v>0</v>
      </c>
      <c r="I718" s="1794">
        <v>0</v>
      </c>
      <c r="J718" s="2000">
        <v>0</v>
      </c>
      <c r="K718" s="1798"/>
      <c r="L718" s="1792">
        <v>13063040611</v>
      </c>
      <c r="M718" s="1793">
        <v>0</v>
      </c>
      <c r="N718" s="1793">
        <v>0</v>
      </c>
      <c r="O718" s="1793">
        <v>0</v>
      </c>
      <c r="P718" s="311"/>
      <c r="Q718" s="311"/>
      <c r="R718" s="311"/>
      <c r="S718" s="311"/>
      <c r="T718" s="491" t="s">
        <v>2200</v>
      </c>
      <c r="U718" s="491" t="s">
        <v>2118</v>
      </c>
      <c r="AA718" s="27"/>
      <c r="AB718" s="27"/>
      <c r="AC718" s="890"/>
      <c r="AD718" s="502"/>
    </row>
    <row r="719" spans="3:30" ht="10.5" customHeight="1">
      <c r="C719" s="1799" t="s">
        <v>5209</v>
      </c>
      <c r="D719" s="1796">
        <v>0</v>
      </c>
      <c r="E719" s="1796">
        <v>0</v>
      </c>
      <c r="F719" s="1797">
        <v>0</v>
      </c>
      <c r="G719" s="1999" t="s">
        <v>5209</v>
      </c>
      <c r="H719" s="1794">
        <v>0</v>
      </c>
      <c r="I719" s="1794">
        <v>0</v>
      </c>
      <c r="J719" s="2000">
        <v>0</v>
      </c>
      <c r="K719" s="1798"/>
      <c r="L719" s="1792">
        <v>13063040612</v>
      </c>
      <c r="M719" s="1793">
        <v>0</v>
      </c>
      <c r="N719" s="1793">
        <v>0</v>
      </c>
      <c r="O719" s="1793">
        <v>0</v>
      </c>
      <c r="P719" s="311"/>
      <c r="Q719" s="311"/>
      <c r="R719" s="311"/>
      <c r="S719" s="311"/>
      <c r="T719" s="491" t="s">
        <v>2202</v>
      </c>
      <c r="U719" s="491" t="s">
        <v>2339</v>
      </c>
      <c r="AA719" s="27"/>
      <c r="AB719" s="27"/>
      <c r="AC719" s="889"/>
      <c r="AD719" s="502"/>
    </row>
    <row r="720" spans="3:30" ht="10.5" customHeight="1">
      <c r="C720" s="1799" t="s">
        <v>5210</v>
      </c>
      <c r="D720" s="1796">
        <v>0</v>
      </c>
      <c r="E720" s="1796">
        <v>0</v>
      </c>
      <c r="F720" s="1797">
        <v>0</v>
      </c>
      <c r="G720" s="1999" t="s">
        <v>5210</v>
      </c>
      <c r="H720" s="1794">
        <v>0</v>
      </c>
      <c r="I720" s="1794">
        <v>1</v>
      </c>
      <c r="J720" s="2000">
        <v>0</v>
      </c>
      <c r="K720" s="1798"/>
      <c r="L720" s="1792">
        <v>13063040613</v>
      </c>
      <c r="M720" s="1793">
        <v>0</v>
      </c>
      <c r="N720" s="1793">
        <v>1</v>
      </c>
      <c r="O720" s="1793">
        <v>0</v>
      </c>
      <c r="P720" s="311"/>
      <c r="Q720" s="311"/>
      <c r="R720" s="311"/>
      <c r="S720" s="311"/>
      <c r="T720" s="491" t="s">
        <v>2775</v>
      </c>
      <c r="U720" s="491" t="s">
        <v>155</v>
      </c>
      <c r="AA720" s="27"/>
      <c r="AB720" s="27"/>
      <c r="AC720" s="889"/>
      <c r="AD720" s="502"/>
    </row>
    <row r="721" spans="3:30" ht="10.5" customHeight="1">
      <c r="C721" s="1799" t="s">
        <v>5211</v>
      </c>
      <c r="D721" s="1796">
        <v>1</v>
      </c>
      <c r="E721" s="1796">
        <v>0</v>
      </c>
      <c r="F721" s="1797">
        <v>1</v>
      </c>
      <c r="G721" s="1999" t="s">
        <v>5211</v>
      </c>
      <c r="H721" s="1794">
        <v>1</v>
      </c>
      <c r="I721" s="1794">
        <v>0</v>
      </c>
      <c r="J721" s="2000">
        <v>1</v>
      </c>
      <c r="K721" s="1798"/>
      <c r="L721" s="1792">
        <v>13063040614</v>
      </c>
      <c r="M721" s="1793">
        <v>1</v>
      </c>
      <c r="N721" s="1793">
        <v>0</v>
      </c>
      <c r="O721" s="1793">
        <v>1</v>
      </c>
      <c r="P721" s="311"/>
      <c r="Q721" s="311"/>
      <c r="R721" s="311"/>
      <c r="S721" s="311"/>
      <c r="T721" s="491" t="s">
        <v>1094</v>
      </c>
      <c r="U721" s="491" t="s">
        <v>2129</v>
      </c>
      <c r="AA721" s="27"/>
      <c r="AB721" s="27"/>
      <c r="AC721" s="889"/>
      <c r="AD721" s="502"/>
    </row>
    <row r="722" spans="3:30" ht="10.5" customHeight="1">
      <c r="C722" s="1799" t="s">
        <v>5212</v>
      </c>
      <c r="D722" s="1796">
        <v>1</v>
      </c>
      <c r="E722" s="1796">
        <v>0</v>
      </c>
      <c r="F722" s="1797">
        <v>1</v>
      </c>
      <c r="G722" s="1999" t="s">
        <v>5212</v>
      </c>
      <c r="H722" s="1794">
        <v>1</v>
      </c>
      <c r="I722" s="1794" t="s">
        <v>4485</v>
      </c>
      <c r="J722" s="2000">
        <v>1</v>
      </c>
      <c r="K722" s="1798"/>
      <c r="L722" s="1792">
        <v>13063040615</v>
      </c>
      <c r="M722" s="1793">
        <v>1</v>
      </c>
      <c r="N722" s="1793">
        <v>0</v>
      </c>
      <c r="O722" s="1793">
        <v>1</v>
      </c>
      <c r="P722" s="311"/>
      <c r="Q722" s="311"/>
      <c r="R722" s="311"/>
      <c r="S722" s="311"/>
      <c r="T722" s="491" t="s">
        <v>1096</v>
      </c>
      <c r="U722" s="491" t="s">
        <v>1071</v>
      </c>
      <c r="AA722" s="27"/>
      <c r="AB722" s="27"/>
      <c r="AC722" s="889"/>
      <c r="AD722" s="502"/>
    </row>
    <row r="723" spans="3:30" ht="10.5" customHeight="1">
      <c r="C723" s="1799" t="s">
        <v>5213</v>
      </c>
      <c r="D723" s="1796">
        <v>0</v>
      </c>
      <c r="E723" s="1796">
        <v>0</v>
      </c>
      <c r="F723" s="1797">
        <v>0</v>
      </c>
      <c r="G723" s="1999" t="s">
        <v>5213</v>
      </c>
      <c r="H723" s="1794">
        <v>1</v>
      </c>
      <c r="I723" s="1794">
        <v>0</v>
      </c>
      <c r="J723" s="2000">
        <v>1</v>
      </c>
      <c r="K723" s="1798"/>
      <c r="L723" s="1792">
        <v>13063040616</v>
      </c>
      <c r="M723" s="1793">
        <v>1</v>
      </c>
      <c r="N723" s="1793">
        <v>0</v>
      </c>
      <c r="O723" s="1793">
        <v>1</v>
      </c>
      <c r="P723" s="311"/>
      <c r="Q723" s="311"/>
      <c r="R723" s="311"/>
      <c r="S723" s="311"/>
      <c r="T723" s="491" t="s">
        <v>2000</v>
      </c>
      <c r="U723" s="491" t="s">
        <v>309</v>
      </c>
      <c r="AA723" s="27"/>
      <c r="AB723" s="27"/>
      <c r="AC723" s="889"/>
      <c r="AD723" s="502"/>
    </row>
    <row r="724" spans="3:30" ht="10.5" customHeight="1">
      <c r="C724" s="1799" t="s">
        <v>5214</v>
      </c>
      <c r="D724" s="1796">
        <v>0</v>
      </c>
      <c r="E724" s="1796">
        <v>0</v>
      </c>
      <c r="F724" s="1797">
        <v>0</v>
      </c>
      <c r="G724" s="1999" t="s">
        <v>5214</v>
      </c>
      <c r="H724" s="1794">
        <v>0</v>
      </c>
      <c r="I724" s="1794">
        <v>0</v>
      </c>
      <c r="J724" s="2000">
        <v>0</v>
      </c>
      <c r="K724" s="1798"/>
      <c r="L724" s="1792">
        <v>13063040617</v>
      </c>
      <c r="M724" s="1793">
        <v>0</v>
      </c>
      <c r="N724" s="1793">
        <v>0</v>
      </c>
      <c r="O724" s="1793">
        <v>0</v>
      </c>
      <c r="P724" s="311"/>
      <c r="Q724" s="311"/>
      <c r="R724" s="311"/>
      <c r="S724" s="311"/>
      <c r="T724" s="491" t="s">
        <v>1922</v>
      </c>
      <c r="U724" s="491" t="s">
        <v>119</v>
      </c>
      <c r="AA724" s="27"/>
      <c r="AB724" s="27"/>
      <c r="AC724" s="889"/>
      <c r="AD724" s="502"/>
    </row>
    <row r="725" spans="3:30" ht="10.5" customHeight="1">
      <c r="C725" s="1799" t="s">
        <v>5215</v>
      </c>
      <c r="D725" s="1796">
        <v>0</v>
      </c>
      <c r="E725" s="1796">
        <v>0</v>
      </c>
      <c r="F725" s="1797">
        <v>0</v>
      </c>
      <c r="G725" s="1999" t="s">
        <v>5215</v>
      </c>
      <c r="H725" s="1794">
        <v>1</v>
      </c>
      <c r="I725" s="1794">
        <v>0</v>
      </c>
      <c r="J725" s="2000">
        <v>1</v>
      </c>
      <c r="K725" s="1798"/>
      <c r="L725" s="1792">
        <v>13063040619</v>
      </c>
      <c r="M725" s="1793">
        <v>1</v>
      </c>
      <c r="N725" s="1793">
        <v>0</v>
      </c>
      <c r="O725" s="1793">
        <v>1</v>
      </c>
      <c r="P725" s="311"/>
      <c r="Q725" s="311"/>
      <c r="R725" s="311"/>
      <c r="S725" s="311"/>
      <c r="T725" s="491" t="s">
        <v>1924</v>
      </c>
      <c r="U725" s="491" t="s">
        <v>318</v>
      </c>
      <c r="AA725" s="27"/>
      <c r="AB725" s="27"/>
      <c r="AC725" s="889"/>
      <c r="AD725" s="502"/>
    </row>
    <row r="726" spans="3:30" ht="10.5" customHeight="1">
      <c r="C726" s="1799" t="s">
        <v>5216</v>
      </c>
      <c r="D726" s="1796">
        <v>0</v>
      </c>
      <c r="E726" s="1796">
        <v>1</v>
      </c>
      <c r="F726" s="1797">
        <v>1</v>
      </c>
      <c r="G726" s="1999" t="s">
        <v>5216</v>
      </c>
      <c r="H726" s="1794">
        <v>1</v>
      </c>
      <c r="I726" s="1794">
        <v>1</v>
      </c>
      <c r="J726" s="2000">
        <v>2</v>
      </c>
      <c r="K726" s="1798"/>
      <c r="L726" s="1792">
        <v>13063040620</v>
      </c>
      <c r="M726" s="1793">
        <v>1</v>
      </c>
      <c r="N726" s="1793">
        <v>1</v>
      </c>
      <c r="O726" s="1793">
        <v>2</v>
      </c>
      <c r="P726" s="311"/>
      <c r="Q726" s="311"/>
      <c r="R726" s="311"/>
      <c r="S726" s="311"/>
      <c r="T726" s="491" t="s">
        <v>1926</v>
      </c>
      <c r="U726" s="491" t="s">
        <v>180</v>
      </c>
      <c r="AA726" s="27"/>
      <c r="AB726" s="27"/>
      <c r="AC726" s="889"/>
      <c r="AD726" s="502"/>
    </row>
    <row r="727" spans="3:30" ht="10.5" customHeight="1">
      <c r="C727" s="1799" t="s">
        <v>5217</v>
      </c>
      <c r="D727" s="1796">
        <v>0</v>
      </c>
      <c r="E727" s="1796">
        <v>0</v>
      </c>
      <c r="F727" s="1797">
        <v>0</v>
      </c>
      <c r="G727" s="1999" t="s">
        <v>5217</v>
      </c>
      <c r="H727" s="1794">
        <v>0</v>
      </c>
      <c r="I727" s="1794">
        <v>0</v>
      </c>
      <c r="J727" s="2000">
        <v>0</v>
      </c>
      <c r="K727" s="1798"/>
      <c r="L727" s="1792">
        <v>13063040621</v>
      </c>
      <c r="M727" s="1793">
        <v>0</v>
      </c>
      <c r="N727" s="1793">
        <v>0</v>
      </c>
      <c r="O727" s="1793">
        <v>0</v>
      </c>
      <c r="P727" s="311"/>
      <c r="Q727" s="311"/>
      <c r="R727" s="311"/>
      <c r="S727" s="311"/>
      <c r="T727" s="531" t="s">
        <v>2776</v>
      </c>
      <c r="U727" s="531" t="s">
        <v>1864</v>
      </c>
      <c r="AA727" s="27"/>
      <c r="AB727" s="27"/>
      <c r="AC727" s="889"/>
      <c r="AD727" s="502"/>
    </row>
    <row r="728" spans="3:30" ht="10.5" customHeight="1">
      <c r="C728" s="1799" t="s">
        <v>5218</v>
      </c>
      <c r="D728" s="1796">
        <v>0</v>
      </c>
      <c r="E728" s="1796">
        <v>0</v>
      </c>
      <c r="F728" s="1797">
        <v>0</v>
      </c>
      <c r="G728" s="1999" t="s">
        <v>5218</v>
      </c>
      <c r="H728" s="1794">
        <v>0</v>
      </c>
      <c r="I728" s="1794" t="s">
        <v>4485</v>
      </c>
      <c r="J728" s="2000">
        <v>0</v>
      </c>
      <c r="K728" s="1798"/>
      <c r="L728" s="1792">
        <v>13063040622</v>
      </c>
      <c r="M728" s="1793">
        <v>0</v>
      </c>
      <c r="N728" s="1793">
        <v>0</v>
      </c>
      <c r="O728" s="1793">
        <v>0</v>
      </c>
      <c r="P728" s="311"/>
      <c r="Q728" s="311"/>
      <c r="R728" s="311"/>
      <c r="S728" s="311"/>
      <c r="T728" s="491" t="s">
        <v>445</v>
      </c>
      <c r="U728" s="491" t="s">
        <v>1287</v>
      </c>
      <c r="AA728" s="27"/>
      <c r="AB728" s="27"/>
      <c r="AC728" s="890"/>
      <c r="AD728" s="502"/>
    </row>
    <row r="729" spans="3:30" ht="10.5" customHeight="1">
      <c r="C729" s="1799" t="s">
        <v>5219</v>
      </c>
      <c r="D729" s="1796" t="s">
        <v>4485</v>
      </c>
      <c r="E729" s="1796" t="s">
        <v>4485</v>
      </c>
      <c r="F729" s="1797">
        <v>0</v>
      </c>
      <c r="G729" s="1999" t="s">
        <v>5219</v>
      </c>
      <c r="H729" s="1794" t="s">
        <v>4485</v>
      </c>
      <c r="I729" s="1794" t="s">
        <v>4485</v>
      </c>
      <c r="J729" s="2000">
        <v>0</v>
      </c>
      <c r="K729" s="1798"/>
      <c r="L729" s="1792">
        <v>13063980000</v>
      </c>
      <c r="M729" s="1793">
        <v>0</v>
      </c>
      <c r="N729" s="1793">
        <v>0</v>
      </c>
      <c r="O729" s="1793">
        <v>0</v>
      </c>
      <c r="P729" s="311"/>
      <c r="Q729" s="311"/>
      <c r="R729" s="311"/>
      <c r="S729" s="311"/>
      <c r="T729" s="491" t="s">
        <v>2050</v>
      </c>
      <c r="U729" s="491" t="s">
        <v>715</v>
      </c>
      <c r="AA729" s="27"/>
      <c r="AB729" s="27"/>
      <c r="AC729" s="889"/>
      <c r="AD729" s="502"/>
    </row>
    <row r="730" spans="3:30" ht="10.5" customHeight="1">
      <c r="C730" s="1799" t="s">
        <v>5220</v>
      </c>
      <c r="D730" s="1796">
        <v>0</v>
      </c>
      <c r="E730" s="1796">
        <v>0</v>
      </c>
      <c r="F730" s="1797">
        <v>0</v>
      </c>
      <c r="G730" s="1999" t="s">
        <v>5220</v>
      </c>
      <c r="H730" s="1794">
        <v>0</v>
      </c>
      <c r="I730" s="1794">
        <v>0</v>
      </c>
      <c r="J730" s="2000">
        <v>0</v>
      </c>
      <c r="K730" s="1798"/>
      <c r="L730" s="1792">
        <v>13065970100</v>
      </c>
      <c r="M730" s="1793">
        <v>0</v>
      </c>
      <c r="N730" s="1793">
        <v>0</v>
      </c>
      <c r="O730" s="1793">
        <v>0</v>
      </c>
      <c r="P730" s="311"/>
      <c r="Q730" s="311"/>
      <c r="R730" s="311"/>
      <c r="S730" s="311"/>
      <c r="T730" s="491" t="s">
        <v>2075</v>
      </c>
      <c r="U730" s="491" t="s">
        <v>103</v>
      </c>
      <c r="AA730" s="27"/>
      <c r="AB730" s="27"/>
      <c r="AC730" s="889"/>
      <c r="AD730" s="502"/>
    </row>
    <row r="731" spans="3:30" ht="10.5" customHeight="1">
      <c r="C731" s="1799" t="s">
        <v>5221</v>
      </c>
      <c r="D731" s="1796">
        <v>0</v>
      </c>
      <c r="E731" s="1796">
        <v>0</v>
      </c>
      <c r="F731" s="1797">
        <v>0</v>
      </c>
      <c r="G731" s="1999" t="s">
        <v>5221</v>
      </c>
      <c r="H731" s="1794">
        <v>0</v>
      </c>
      <c r="I731" s="1794">
        <v>0</v>
      </c>
      <c r="J731" s="2000">
        <v>0</v>
      </c>
      <c r="K731" s="1798"/>
      <c r="L731" s="1792">
        <v>13065970200</v>
      </c>
      <c r="M731" s="1793">
        <v>0</v>
      </c>
      <c r="N731" s="1793">
        <v>0</v>
      </c>
      <c r="O731" s="1793">
        <v>0</v>
      </c>
      <c r="P731" s="311"/>
      <c r="Q731" s="311"/>
      <c r="R731" s="311"/>
      <c r="S731" s="311"/>
      <c r="T731" s="491" t="s">
        <v>813</v>
      </c>
      <c r="U731" s="491" t="s">
        <v>1958</v>
      </c>
      <c r="AA731" s="27"/>
      <c r="AB731" s="27"/>
      <c r="AC731" s="889"/>
      <c r="AD731" s="502"/>
    </row>
    <row r="732" spans="3:30" ht="10.5" customHeight="1">
      <c r="C732" s="1799" t="s">
        <v>5222</v>
      </c>
      <c r="D732" s="1796">
        <v>1</v>
      </c>
      <c r="E732" s="1796">
        <v>1</v>
      </c>
      <c r="F732" s="1797">
        <v>2</v>
      </c>
      <c r="G732" s="1999" t="s">
        <v>5222</v>
      </c>
      <c r="H732" s="1794">
        <v>1</v>
      </c>
      <c r="I732" s="1794">
        <v>1</v>
      </c>
      <c r="J732" s="2000">
        <v>2</v>
      </c>
      <c r="K732" s="1798"/>
      <c r="L732" s="1792">
        <v>13067030101</v>
      </c>
      <c r="M732" s="1793">
        <v>1</v>
      </c>
      <c r="N732" s="1793">
        <v>1</v>
      </c>
      <c r="O732" s="1793">
        <v>2</v>
      </c>
      <c r="P732" s="311"/>
      <c r="Q732" s="311"/>
      <c r="R732" s="311"/>
      <c r="S732" s="311"/>
      <c r="T732" s="491" t="s">
        <v>2076</v>
      </c>
      <c r="U732" s="491" t="s">
        <v>1958</v>
      </c>
      <c r="AA732" s="27"/>
      <c r="AB732" s="27"/>
      <c r="AC732" s="889"/>
      <c r="AD732" s="502"/>
    </row>
    <row r="733" spans="3:30" ht="10.5" customHeight="1">
      <c r="C733" s="1799" t="s">
        <v>5223</v>
      </c>
      <c r="D733" s="1796">
        <v>1</v>
      </c>
      <c r="E733" s="1796">
        <v>1</v>
      </c>
      <c r="F733" s="1797">
        <v>2</v>
      </c>
      <c r="G733" s="1999" t="s">
        <v>5223</v>
      </c>
      <c r="H733" s="1794">
        <v>1</v>
      </c>
      <c r="I733" s="1794">
        <v>1</v>
      </c>
      <c r="J733" s="2000">
        <v>2</v>
      </c>
      <c r="K733" s="1798"/>
      <c r="L733" s="1792">
        <v>13067030103</v>
      </c>
      <c r="M733" s="1793">
        <v>1</v>
      </c>
      <c r="N733" s="1793">
        <v>1</v>
      </c>
      <c r="O733" s="1793">
        <v>2</v>
      </c>
      <c r="P733" s="311"/>
      <c r="Q733" s="311"/>
      <c r="R733" s="311"/>
      <c r="S733" s="311"/>
      <c r="T733" s="491" t="s">
        <v>2077</v>
      </c>
      <c r="U733" s="491" t="s">
        <v>1627</v>
      </c>
      <c r="AA733" s="27"/>
      <c r="AB733" s="27"/>
      <c r="AC733" s="889"/>
      <c r="AD733" s="502"/>
    </row>
    <row r="734" spans="3:30" ht="10.5" customHeight="1">
      <c r="C734" s="1799" t="s">
        <v>5224</v>
      </c>
      <c r="D734" s="1796">
        <v>0</v>
      </c>
      <c r="E734" s="1796">
        <v>0</v>
      </c>
      <c r="F734" s="1797">
        <v>0</v>
      </c>
      <c r="G734" s="1999" t="s">
        <v>5224</v>
      </c>
      <c r="H734" s="1794">
        <v>0</v>
      </c>
      <c r="I734" s="1794">
        <v>0</v>
      </c>
      <c r="J734" s="2000">
        <v>0</v>
      </c>
      <c r="K734" s="1798"/>
      <c r="L734" s="1792">
        <v>13067030104</v>
      </c>
      <c r="M734" s="1793">
        <v>0</v>
      </c>
      <c r="N734" s="1793">
        <v>0</v>
      </c>
      <c r="O734" s="1793">
        <v>0</v>
      </c>
      <c r="P734" s="311"/>
      <c r="Q734" s="311"/>
      <c r="R734" s="311"/>
      <c r="S734" s="311"/>
      <c r="T734" s="491" t="s">
        <v>2273</v>
      </c>
      <c r="U734" s="491" t="s">
        <v>1829</v>
      </c>
      <c r="AA734" s="27"/>
      <c r="AB734" s="27"/>
      <c r="AC734" s="889"/>
      <c r="AD734" s="502"/>
    </row>
    <row r="735" spans="3:30" ht="10.5" customHeight="1">
      <c r="C735" s="1799" t="s">
        <v>5225</v>
      </c>
      <c r="D735" s="1796">
        <v>0</v>
      </c>
      <c r="E735" s="1796">
        <v>0</v>
      </c>
      <c r="F735" s="1797">
        <v>0</v>
      </c>
      <c r="G735" s="1999" t="s">
        <v>5225</v>
      </c>
      <c r="H735" s="1794">
        <v>1</v>
      </c>
      <c r="I735" s="1794">
        <v>0</v>
      </c>
      <c r="J735" s="2000">
        <v>1</v>
      </c>
      <c r="K735" s="1798"/>
      <c r="L735" s="1792">
        <v>13067030106</v>
      </c>
      <c r="M735" s="1793">
        <v>1</v>
      </c>
      <c r="N735" s="1793">
        <v>0</v>
      </c>
      <c r="O735" s="1793">
        <v>1</v>
      </c>
      <c r="P735" s="311"/>
      <c r="Q735" s="311"/>
      <c r="R735" s="311"/>
      <c r="S735" s="311"/>
      <c r="T735" s="491" t="s">
        <v>2274</v>
      </c>
      <c r="U735" s="491" t="s">
        <v>155</v>
      </c>
      <c r="AA735" s="27"/>
      <c r="AB735" s="27"/>
      <c r="AC735" s="889"/>
      <c r="AD735" s="502"/>
    </row>
    <row r="736" spans="3:30" ht="10.5" customHeight="1">
      <c r="C736" s="1799" t="s">
        <v>5226</v>
      </c>
      <c r="D736" s="1796">
        <v>1</v>
      </c>
      <c r="E736" s="1796">
        <v>1</v>
      </c>
      <c r="F736" s="1797">
        <v>2</v>
      </c>
      <c r="G736" s="1999" t="s">
        <v>5226</v>
      </c>
      <c r="H736" s="1794">
        <v>1</v>
      </c>
      <c r="I736" s="1794">
        <v>1</v>
      </c>
      <c r="J736" s="2000">
        <v>2</v>
      </c>
      <c r="K736" s="1798"/>
      <c r="L736" s="1792">
        <v>13067030107</v>
      </c>
      <c r="M736" s="1793">
        <v>1</v>
      </c>
      <c r="N736" s="1793">
        <v>1</v>
      </c>
      <c r="O736" s="1793">
        <v>2</v>
      </c>
      <c r="P736" s="311"/>
      <c r="Q736" s="311"/>
      <c r="R736" s="311"/>
      <c r="S736" s="311"/>
      <c r="T736" s="531" t="s">
        <v>2275</v>
      </c>
      <c r="U736" s="531" t="s">
        <v>1629</v>
      </c>
      <c r="AA736" s="27"/>
      <c r="AB736" s="27"/>
      <c r="AC736" s="889"/>
      <c r="AD736" s="502"/>
    </row>
    <row r="737" spans="3:30" ht="10.5" customHeight="1">
      <c r="C737" s="1799" t="s">
        <v>5227</v>
      </c>
      <c r="D737" s="1796">
        <v>1</v>
      </c>
      <c r="E737" s="1796">
        <v>1</v>
      </c>
      <c r="F737" s="1797">
        <v>2</v>
      </c>
      <c r="G737" s="1999" t="s">
        <v>5227</v>
      </c>
      <c r="H737" s="1794">
        <v>1</v>
      </c>
      <c r="I737" s="1794">
        <v>1</v>
      </c>
      <c r="J737" s="2000">
        <v>2</v>
      </c>
      <c r="K737" s="1798"/>
      <c r="L737" s="1792">
        <v>13067030209</v>
      </c>
      <c r="M737" s="1793">
        <v>1</v>
      </c>
      <c r="N737" s="1793">
        <v>1</v>
      </c>
      <c r="O737" s="1793">
        <v>2</v>
      </c>
      <c r="P737" s="311"/>
      <c r="Q737" s="311"/>
      <c r="R737" s="311"/>
      <c r="S737" s="311"/>
      <c r="T737" s="491" t="s">
        <v>2276</v>
      </c>
      <c r="U737" s="491" t="s">
        <v>1083</v>
      </c>
      <c r="AA737" s="27"/>
      <c r="AB737" s="27"/>
      <c r="AC737" s="890"/>
      <c r="AD737" s="502"/>
    </row>
    <row r="738" spans="3:30" ht="10.5" customHeight="1">
      <c r="C738" s="1799" t="s">
        <v>5228</v>
      </c>
      <c r="D738" s="1796">
        <v>1</v>
      </c>
      <c r="E738" s="1796">
        <v>1</v>
      </c>
      <c r="F738" s="1797">
        <v>2</v>
      </c>
      <c r="G738" s="1999" t="s">
        <v>5228</v>
      </c>
      <c r="H738" s="1794">
        <v>1</v>
      </c>
      <c r="I738" s="1794">
        <v>1</v>
      </c>
      <c r="J738" s="2000">
        <v>2</v>
      </c>
      <c r="K738" s="1798"/>
      <c r="L738" s="1792">
        <v>13067030214</v>
      </c>
      <c r="M738" s="1793">
        <v>1</v>
      </c>
      <c r="N738" s="1793">
        <v>1</v>
      </c>
      <c r="O738" s="1793">
        <v>2</v>
      </c>
      <c r="P738" s="311"/>
      <c r="Q738" s="311"/>
      <c r="R738" s="311"/>
      <c r="S738" s="311"/>
      <c r="T738" s="491" t="s">
        <v>2277</v>
      </c>
      <c r="U738" s="491" t="s">
        <v>2335</v>
      </c>
      <c r="AA738" s="27"/>
      <c r="AB738" s="27"/>
      <c r="AC738" s="889"/>
      <c r="AD738" s="502"/>
    </row>
    <row r="739" spans="3:30" ht="10.5" customHeight="1">
      <c r="C739" s="1799" t="s">
        <v>5229</v>
      </c>
      <c r="D739" s="1796">
        <v>1</v>
      </c>
      <c r="E739" s="1796">
        <v>1</v>
      </c>
      <c r="F739" s="1797">
        <v>2</v>
      </c>
      <c r="G739" s="1999" t="s">
        <v>5229</v>
      </c>
      <c r="H739" s="1794">
        <v>1</v>
      </c>
      <c r="I739" s="1794">
        <v>1</v>
      </c>
      <c r="J739" s="2000">
        <v>2</v>
      </c>
      <c r="K739" s="1798"/>
      <c r="L739" s="1792">
        <v>13067030215</v>
      </c>
      <c r="M739" s="1793">
        <v>1</v>
      </c>
      <c r="N739" s="1793">
        <v>1</v>
      </c>
      <c r="O739" s="1793">
        <v>2</v>
      </c>
      <c r="P739" s="311"/>
      <c r="Q739" s="311"/>
      <c r="R739" s="311"/>
      <c r="S739" s="311"/>
      <c r="T739" s="491" t="s">
        <v>2203</v>
      </c>
      <c r="U739" s="491" t="s">
        <v>2123</v>
      </c>
      <c r="AA739" s="27"/>
      <c r="AB739" s="27"/>
      <c r="AC739" s="889"/>
      <c r="AD739" s="502"/>
    </row>
    <row r="740" spans="3:30" ht="10.5" customHeight="1">
      <c r="C740" s="1799" t="s">
        <v>5230</v>
      </c>
      <c r="D740" s="1796">
        <v>1</v>
      </c>
      <c r="E740" s="1796">
        <v>1</v>
      </c>
      <c r="F740" s="1797">
        <v>2</v>
      </c>
      <c r="G740" s="1999" t="s">
        <v>5230</v>
      </c>
      <c r="H740" s="1794">
        <v>1</v>
      </c>
      <c r="I740" s="1794">
        <v>1</v>
      </c>
      <c r="J740" s="2000">
        <v>2</v>
      </c>
      <c r="K740" s="1798"/>
      <c r="L740" s="1792">
        <v>13067030218</v>
      </c>
      <c r="M740" s="1793">
        <v>1</v>
      </c>
      <c r="N740" s="1793">
        <v>1</v>
      </c>
      <c r="O740" s="1793">
        <v>2</v>
      </c>
      <c r="P740" s="311"/>
      <c r="Q740" s="311"/>
      <c r="R740" s="311"/>
      <c r="S740" s="311"/>
      <c r="T740" s="491" t="s">
        <v>1593</v>
      </c>
      <c r="U740" s="491" t="s">
        <v>2337</v>
      </c>
      <c r="AA740" s="27"/>
      <c r="AB740" s="27"/>
      <c r="AC740" s="889"/>
      <c r="AD740" s="502"/>
    </row>
    <row r="741" spans="3:30" ht="10.5" customHeight="1">
      <c r="C741" s="1799" t="s">
        <v>5231</v>
      </c>
      <c r="D741" s="1796">
        <v>1</v>
      </c>
      <c r="E741" s="1796">
        <v>1</v>
      </c>
      <c r="F741" s="1797">
        <v>2</v>
      </c>
      <c r="G741" s="1999" t="s">
        <v>5231</v>
      </c>
      <c r="H741" s="1794">
        <v>1</v>
      </c>
      <c r="I741" s="1794">
        <v>1</v>
      </c>
      <c r="J741" s="2000">
        <v>2</v>
      </c>
      <c r="K741" s="1798"/>
      <c r="L741" s="1792">
        <v>13067030219</v>
      </c>
      <c r="M741" s="1793">
        <v>1</v>
      </c>
      <c r="N741" s="1793">
        <v>1</v>
      </c>
      <c r="O741" s="1793">
        <v>2</v>
      </c>
      <c r="P741" s="311"/>
      <c r="Q741" s="311"/>
      <c r="R741" s="311"/>
      <c r="S741" s="311"/>
      <c r="T741" s="491" t="s">
        <v>1594</v>
      </c>
      <c r="U741" s="491" t="s">
        <v>190</v>
      </c>
      <c r="AA741" s="27"/>
      <c r="AB741" s="27"/>
      <c r="AC741" s="889"/>
      <c r="AD741" s="502"/>
    </row>
    <row r="742" spans="3:30" ht="10.5" customHeight="1">
      <c r="C742" s="1799" t="s">
        <v>5232</v>
      </c>
      <c r="D742" s="1796">
        <v>1</v>
      </c>
      <c r="E742" s="1796">
        <v>1</v>
      </c>
      <c r="F742" s="1797">
        <v>2</v>
      </c>
      <c r="G742" s="1999" t="s">
        <v>5232</v>
      </c>
      <c r="H742" s="1794">
        <v>1</v>
      </c>
      <c r="I742" s="1794">
        <v>1</v>
      </c>
      <c r="J742" s="2000">
        <v>2</v>
      </c>
      <c r="K742" s="1798"/>
      <c r="L742" s="1792">
        <v>13067030220</v>
      </c>
      <c r="M742" s="1793">
        <v>1</v>
      </c>
      <c r="N742" s="1793">
        <v>1</v>
      </c>
      <c r="O742" s="1793">
        <v>2</v>
      </c>
      <c r="P742" s="311"/>
      <c r="Q742" s="311"/>
      <c r="R742" s="311"/>
      <c r="S742" s="311"/>
      <c r="T742" s="491" t="s">
        <v>1644</v>
      </c>
      <c r="U742" s="491" t="s">
        <v>158</v>
      </c>
      <c r="AA742" s="27"/>
      <c r="AB742" s="27"/>
      <c r="AC742" s="889"/>
      <c r="AD742" s="502"/>
    </row>
    <row r="743" spans="3:30" ht="10.5" customHeight="1">
      <c r="C743" s="1799" t="s">
        <v>5233</v>
      </c>
      <c r="D743" s="1796">
        <v>1</v>
      </c>
      <c r="E743" s="1796">
        <v>1</v>
      </c>
      <c r="F743" s="1797">
        <v>2</v>
      </c>
      <c r="G743" s="1999" t="s">
        <v>5233</v>
      </c>
      <c r="H743" s="1794">
        <v>1</v>
      </c>
      <c r="I743" s="1794">
        <v>1</v>
      </c>
      <c r="J743" s="2000">
        <v>2</v>
      </c>
      <c r="K743" s="1798"/>
      <c r="L743" s="1792">
        <v>13067030222</v>
      </c>
      <c r="M743" s="1793">
        <v>1</v>
      </c>
      <c r="N743" s="1793">
        <v>1</v>
      </c>
      <c r="O743" s="1793">
        <v>2</v>
      </c>
      <c r="P743" s="311"/>
      <c r="Q743" s="311"/>
      <c r="R743" s="311"/>
      <c r="S743" s="311"/>
      <c r="T743" s="491" t="s">
        <v>1055</v>
      </c>
      <c r="U743" s="491" t="s">
        <v>610</v>
      </c>
      <c r="AA743" s="27"/>
      <c r="AB743" s="27"/>
      <c r="AC743" s="889"/>
      <c r="AD743" s="502"/>
    </row>
    <row r="744" spans="3:30" ht="10.5" customHeight="1">
      <c r="C744" s="1799" t="s">
        <v>5234</v>
      </c>
      <c r="D744" s="1796">
        <v>1</v>
      </c>
      <c r="E744" s="1796">
        <v>1</v>
      </c>
      <c r="F744" s="1797">
        <v>2</v>
      </c>
      <c r="G744" s="1999" t="s">
        <v>5234</v>
      </c>
      <c r="H744" s="1794">
        <v>1</v>
      </c>
      <c r="I744" s="1794">
        <v>1</v>
      </c>
      <c r="J744" s="2000">
        <v>2</v>
      </c>
      <c r="K744" s="1798"/>
      <c r="L744" s="1792">
        <v>13067030223</v>
      </c>
      <c r="M744" s="1793">
        <v>1</v>
      </c>
      <c r="N744" s="1793">
        <v>1</v>
      </c>
      <c r="O744" s="1793">
        <v>2</v>
      </c>
      <c r="P744" s="311"/>
      <c r="Q744" s="311"/>
      <c r="R744" s="311"/>
      <c r="S744" s="311"/>
      <c r="T744" s="491" t="s">
        <v>798</v>
      </c>
      <c r="U744" s="491" t="s">
        <v>1903</v>
      </c>
      <c r="AA744" s="27"/>
      <c r="AB744" s="27"/>
      <c r="AC744" s="889"/>
      <c r="AD744" s="502"/>
    </row>
    <row r="745" spans="3:30" ht="10.5" customHeight="1">
      <c r="C745" s="1799" t="s">
        <v>5235</v>
      </c>
      <c r="D745" s="1796">
        <v>1</v>
      </c>
      <c r="E745" s="1796">
        <v>1</v>
      </c>
      <c r="F745" s="1797">
        <v>2</v>
      </c>
      <c r="G745" s="1999" t="s">
        <v>5235</v>
      </c>
      <c r="H745" s="1794">
        <v>1</v>
      </c>
      <c r="I745" s="1794">
        <v>1</v>
      </c>
      <c r="J745" s="2000">
        <v>2</v>
      </c>
      <c r="K745" s="1798"/>
      <c r="L745" s="1792">
        <v>13067030224</v>
      </c>
      <c r="M745" s="1793">
        <v>1</v>
      </c>
      <c r="N745" s="1793">
        <v>1</v>
      </c>
      <c r="O745" s="1793">
        <v>2</v>
      </c>
      <c r="P745" s="311"/>
      <c r="Q745" s="311"/>
      <c r="R745" s="311"/>
      <c r="S745" s="311"/>
      <c r="T745" s="491" t="s">
        <v>1645</v>
      </c>
      <c r="U745" s="491" t="s">
        <v>2465</v>
      </c>
      <c r="AA745" s="27"/>
      <c r="AB745" s="27"/>
      <c r="AC745" s="889"/>
      <c r="AD745" s="502"/>
    </row>
    <row r="746" spans="3:30" ht="10.5" customHeight="1">
      <c r="C746" s="1799" t="s">
        <v>5236</v>
      </c>
      <c r="D746" s="1796">
        <v>1</v>
      </c>
      <c r="E746" s="1796">
        <v>1</v>
      </c>
      <c r="F746" s="1797">
        <v>2</v>
      </c>
      <c r="G746" s="1999" t="s">
        <v>5236</v>
      </c>
      <c r="H746" s="1794">
        <v>1</v>
      </c>
      <c r="I746" s="1794">
        <v>1</v>
      </c>
      <c r="J746" s="2000">
        <v>2</v>
      </c>
      <c r="K746" s="1798"/>
      <c r="L746" s="1792">
        <v>13067030226</v>
      </c>
      <c r="M746" s="1793">
        <v>1</v>
      </c>
      <c r="N746" s="1793">
        <v>1</v>
      </c>
      <c r="O746" s="1793">
        <v>2</v>
      </c>
      <c r="P746" s="311"/>
      <c r="Q746" s="311"/>
      <c r="R746" s="311"/>
      <c r="S746" s="311"/>
      <c r="T746" s="491" t="s">
        <v>1646</v>
      </c>
      <c r="U746" s="491" t="s">
        <v>2185</v>
      </c>
      <c r="AA746" s="27"/>
      <c r="AB746" s="27"/>
      <c r="AC746" s="889"/>
      <c r="AD746" s="502"/>
    </row>
    <row r="747" spans="3:30" ht="10.5" customHeight="1">
      <c r="C747" s="1799" t="s">
        <v>5237</v>
      </c>
      <c r="D747" s="1796">
        <v>1</v>
      </c>
      <c r="E747" s="1796">
        <v>1</v>
      </c>
      <c r="F747" s="1797">
        <v>2</v>
      </c>
      <c r="G747" s="1999" t="s">
        <v>5237</v>
      </c>
      <c r="H747" s="1794">
        <v>1</v>
      </c>
      <c r="I747" s="1794">
        <v>0</v>
      </c>
      <c r="J747" s="2000">
        <v>1</v>
      </c>
      <c r="K747" s="1798"/>
      <c r="L747" s="1792">
        <v>13067030227</v>
      </c>
      <c r="M747" s="1793">
        <v>1</v>
      </c>
      <c r="N747" s="1793">
        <v>1</v>
      </c>
      <c r="O747" s="1793">
        <v>2</v>
      </c>
      <c r="P747" s="311"/>
      <c r="Q747" s="311"/>
      <c r="R747" s="311"/>
      <c r="S747" s="311"/>
      <c r="T747" s="491" t="s">
        <v>1647</v>
      </c>
      <c r="U747" s="491" t="s">
        <v>1629</v>
      </c>
      <c r="AA747" s="27"/>
      <c r="AB747" s="27"/>
      <c r="AC747" s="889"/>
      <c r="AD747" s="502"/>
    </row>
    <row r="748" spans="3:30" ht="10.5" customHeight="1">
      <c r="C748" s="1799" t="s">
        <v>5238</v>
      </c>
      <c r="D748" s="1796">
        <v>1</v>
      </c>
      <c r="E748" s="1796">
        <v>1</v>
      </c>
      <c r="F748" s="1797">
        <v>2</v>
      </c>
      <c r="G748" s="1999" t="s">
        <v>5238</v>
      </c>
      <c r="H748" s="1794">
        <v>1</v>
      </c>
      <c r="I748" s="1794">
        <v>1</v>
      </c>
      <c r="J748" s="2000">
        <v>2</v>
      </c>
      <c r="K748" s="1798"/>
      <c r="L748" s="1792">
        <v>13067030228</v>
      </c>
      <c r="M748" s="1793">
        <v>1</v>
      </c>
      <c r="N748" s="1793">
        <v>1</v>
      </c>
      <c r="O748" s="1793">
        <v>2</v>
      </c>
      <c r="P748" s="311"/>
      <c r="Q748" s="311"/>
      <c r="R748" s="311"/>
      <c r="S748" s="311"/>
      <c r="T748" s="491" t="s">
        <v>1648</v>
      </c>
      <c r="U748" s="491" t="s">
        <v>155</v>
      </c>
      <c r="AA748" s="27"/>
      <c r="AB748" s="27"/>
      <c r="AC748" s="889"/>
      <c r="AD748" s="502"/>
    </row>
    <row r="749" spans="3:30" ht="10.5" customHeight="1">
      <c r="C749" s="1799" t="s">
        <v>5239</v>
      </c>
      <c r="D749" s="1796">
        <v>0</v>
      </c>
      <c r="E749" s="1796">
        <v>1</v>
      </c>
      <c r="F749" s="1797">
        <v>1</v>
      </c>
      <c r="G749" s="1999" t="s">
        <v>5239</v>
      </c>
      <c r="H749" s="1794">
        <v>0</v>
      </c>
      <c r="I749" s="1794" t="s">
        <v>4485</v>
      </c>
      <c r="J749" s="2000">
        <v>0</v>
      </c>
      <c r="K749" s="1798"/>
      <c r="L749" s="1792">
        <v>13067030229</v>
      </c>
      <c r="M749" s="1793">
        <v>0</v>
      </c>
      <c r="N749" s="1793">
        <v>1</v>
      </c>
      <c r="O749" s="1793">
        <v>1</v>
      </c>
      <c r="P749" s="311"/>
      <c r="Q749" s="311"/>
      <c r="R749" s="311"/>
      <c r="S749" s="311"/>
      <c r="T749" s="491" t="s">
        <v>1649</v>
      </c>
      <c r="U749" s="491" t="s">
        <v>639</v>
      </c>
      <c r="AA749" s="27"/>
      <c r="AB749" s="27"/>
      <c r="AC749" s="889"/>
      <c r="AD749" s="502"/>
    </row>
    <row r="750" spans="3:30" ht="10.5" customHeight="1">
      <c r="C750" s="1799" t="s">
        <v>5240</v>
      </c>
      <c r="D750" s="1796">
        <v>1</v>
      </c>
      <c r="E750" s="1796">
        <v>1</v>
      </c>
      <c r="F750" s="1797">
        <v>2</v>
      </c>
      <c r="G750" s="1999" t="s">
        <v>5240</v>
      </c>
      <c r="H750" s="1794">
        <v>1</v>
      </c>
      <c r="I750" s="1794">
        <v>1</v>
      </c>
      <c r="J750" s="2000">
        <v>2</v>
      </c>
      <c r="K750" s="1798"/>
      <c r="L750" s="1792">
        <v>13067030230</v>
      </c>
      <c r="M750" s="1793">
        <v>1</v>
      </c>
      <c r="N750" s="1793">
        <v>1</v>
      </c>
      <c r="O750" s="1793">
        <v>2</v>
      </c>
      <c r="P750" s="311"/>
      <c r="Q750" s="311"/>
      <c r="R750" s="311"/>
      <c r="S750" s="311"/>
      <c r="T750" s="491" t="s">
        <v>1650</v>
      </c>
      <c r="U750" s="491" t="s">
        <v>931</v>
      </c>
      <c r="AA750" s="27"/>
      <c r="AB750" s="27"/>
      <c r="AC750" s="889"/>
      <c r="AD750" s="502"/>
    </row>
    <row r="751" spans="3:30" ht="10.5" customHeight="1">
      <c r="C751" s="1799" t="s">
        <v>5241</v>
      </c>
      <c r="D751" s="1796">
        <v>1</v>
      </c>
      <c r="E751" s="1796">
        <v>1</v>
      </c>
      <c r="F751" s="1797">
        <v>2</v>
      </c>
      <c r="G751" s="1999" t="s">
        <v>5241</v>
      </c>
      <c r="H751" s="1794">
        <v>1</v>
      </c>
      <c r="I751" s="1794">
        <v>1</v>
      </c>
      <c r="J751" s="2000">
        <v>2</v>
      </c>
      <c r="K751" s="1798"/>
      <c r="L751" s="1792">
        <v>13067030231</v>
      </c>
      <c r="M751" s="1793">
        <v>1</v>
      </c>
      <c r="N751" s="1793">
        <v>1</v>
      </c>
      <c r="O751" s="1793">
        <v>2</v>
      </c>
      <c r="P751" s="311"/>
      <c r="Q751" s="311"/>
      <c r="R751" s="311"/>
      <c r="S751" s="311"/>
      <c r="T751" s="491" t="s">
        <v>1651</v>
      </c>
      <c r="U751" s="491" t="s">
        <v>1180</v>
      </c>
      <c r="AA751" s="27"/>
      <c r="AB751" s="27"/>
      <c r="AC751" s="889"/>
      <c r="AD751" s="502"/>
    </row>
    <row r="752" spans="3:30" ht="10.5" customHeight="1">
      <c r="C752" s="1799" t="s">
        <v>5242</v>
      </c>
      <c r="D752" s="1796">
        <v>1</v>
      </c>
      <c r="E752" s="1796">
        <v>1</v>
      </c>
      <c r="F752" s="1797">
        <v>2</v>
      </c>
      <c r="G752" s="1999" t="s">
        <v>5242</v>
      </c>
      <c r="H752" s="1794">
        <v>1</v>
      </c>
      <c r="I752" s="1794">
        <v>1</v>
      </c>
      <c r="J752" s="2000">
        <v>2</v>
      </c>
      <c r="K752" s="1798"/>
      <c r="L752" s="1792">
        <v>13067030232</v>
      </c>
      <c r="M752" s="1793">
        <v>1</v>
      </c>
      <c r="N752" s="1793">
        <v>1</v>
      </c>
      <c r="O752" s="1793">
        <v>2</v>
      </c>
      <c r="P752" s="311"/>
      <c r="Q752" s="311"/>
      <c r="R752" s="311"/>
      <c r="S752" s="311"/>
      <c r="T752" s="491" t="s">
        <v>1652</v>
      </c>
      <c r="U752" s="491" t="s">
        <v>653</v>
      </c>
      <c r="AA752" s="27"/>
      <c r="AB752" s="27"/>
      <c r="AC752" s="889"/>
      <c r="AD752" s="502"/>
    </row>
    <row r="753" spans="3:30" ht="10.5" customHeight="1">
      <c r="C753" s="1799" t="s">
        <v>5243</v>
      </c>
      <c r="D753" s="1796">
        <v>1</v>
      </c>
      <c r="E753" s="1796">
        <v>1</v>
      </c>
      <c r="F753" s="1797">
        <v>2</v>
      </c>
      <c r="G753" s="1999" t="s">
        <v>5243</v>
      </c>
      <c r="H753" s="1794">
        <v>1</v>
      </c>
      <c r="I753" s="1794">
        <v>1</v>
      </c>
      <c r="J753" s="2000">
        <v>2</v>
      </c>
      <c r="K753" s="1798"/>
      <c r="L753" s="1792">
        <v>13067030233</v>
      </c>
      <c r="M753" s="1793">
        <v>1</v>
      </c>
      <c r="N753" s="1793">
        <v>1</v>
      </c>
      <c r="O753" s="1793">
        <v>2</v>
      </c>
      <c r="P753" s="311"/>
      <c r="Q753" s="311"/>
      <c r="R753" s="311"/>
      <c r="S753" s="311"/>
      <c r="T753" s="491" t="s">
        <v>1056</v>
      </c>
      <c r="U753" s="491" t="s">
        <v>1629</v>
      </c>
      <c r="AA753" s="27"/>
      <c r="AB753" s="27"/>
      <c r="AC753" s="889"/>
      <c r="AD753" s="502"/>
    </row>
    <row r="754" spans="3:30" ht="10.5" customHeight="1">
      <c r="C754" s="1799" t="s">
        <v>5244</v>
      </c>
      <c r="D754" s="1796">
        <v>1</v>
      </c>
      <c r="E754" s="1796">
        <v>1</v>
      </c>
      <c r="F754" s="1797">
        <v>2</v>
      </c>
      <c r="G754" s="1999" t="s">
        <v>5244</v>
      </c>
      <c r="H754" s="1794">
        <v>1</v>
      </c>
      <c r="I754" s="1794" t="s">
        <v>4485</v>
      </c>
      <c r="J754" s="2000">
        <v>1</v>
      </c>
      <c r="K754" s="1798"/>
      <c r="L754" s="1792">
        <v>13067030234</v>
      </c>
      <c r="M754" s="1793">
        <v>1</v>
      </c>
      <c r="N754" s="1793">
        <v>1</v>
      </c>
      <c r="O754" s="1793">
        <v>2</v>
      </c>
      <c r="P754" s="311"/>
      <c r="Q754" s="311"/>
      <c r="R754" s="311"/>
      <c r="S754" s="311"/>
      <c r="T754" s="491" t="s">
        <v>1653</v>
      </c>
      <c r="U754" s="491" t="s">
        <v>180</v>
      </c>
      <c r="AA754" s="27"/>
      <c r="AB754" s="27"/>
      <c r="AC754" s="889"/>
      <c r="AD754" s="502"/>
    </row>
    <row r="755" spans="3:30" ht="10.5" customHeight="1">
      <c r="C755" s="1799" t="s">
        <v>5245</v>
      </c>
      <c r="D755" s="1796">
        <v>1</v>
      </c>
      <c r="E755" s="1796">
        <v>1</v>
      </c>
      <c r="F755" s="1797">
        <v>2</v>
      </c>
      <c r="G755" s="1999" t="s">
        <v>5245</v>
      </c>
      <c r="H755" s="1794">
        <v>1</v>
      </c>
      <c r="I755" s="1794">
        <v>1</v>
      </c>
      <c r="J755" s="2000">
        <v>2</v>
      </c>
      <c r="K755" s="1798"/>
      <c r="L755" s="1792">
        <v>13067030235</v>
      </c>
      <c r="M755" s="1793">
        <v>1</v>
      </c>
      <c r="N755" s="1793">
        <v>1</v>
      </c>
      <c r="O755" s="1793">
        <v>2</v>
      </c>
      <c r="P755" s="311"/>
      <c r="Q755" s="311"/>
      <c r="R755" s="311"/>
      <c r="S755" s="311"/>
      <c r="T755" s="491" t="s">
        <v>1654</v>
      </c>
      <c r="U755" s="491" t="s">
        <v>171</v>
      </c>
      <c r="AA755" s="27"/>
      <c r="AB755" s="27"/>
      <c r="AC755" s="889"/>
      <c r="AD755" s="502"/>
    </row>
    <row r="756" spans="3:30" ht="10.5" customHeight="1">
      <c r="C756" s="1799" t="s">
        <v>5246</v>
      </c>
      <c r="D756" s="1796">
        <v>1</v>
      </c>
      <c r="E756" s="1796">
        <v>1</v>
      </c>
      <c r="F756" s="1797">
        <v>2</v>
      </c>
      <c r="G756" s="1999" t="s">
        <v>5246</v>
      </c>
      <c r="H756" s="1794">
        <v>1</v>
      </c>
      <c r="I756" s="1794" t="s">
        <v>4485</v>
      </c>
      <c r="J756" s="2000">
        <v>1</v>
      </c>
      <c r="K756" s="1798"/>
      <c r="L756" s="1792">
        <v>13067030236</v>
      </c>
      <c r="M756" s="1793">
        <v>1</v>
      </c>
      <c r="N756" s="1793">
        <v>1</v>
      </c>
      <c r="O756" s="1793">
        <v>2</v>
      </c>
      <c r="P756" s="311"/>
      <c r="Q756" s="311"/>
      <c r="R756" s="311"/>
      <c r="S756" s="311"/>
      <c r="T756" s="531" t="s">
        <v>1655</v>
      </c>
      <c r="U756" s="531" t="s">
        <v>1903</v>
      </c>
      <c r="AA756" s="27"/>
      <c r="AB756" s="27"/>
      <c r="AC756" s="889"/>
      <c r="AD756" s="502"/>
    </row>
    <row r="757" spans="3:30" ht="10.5" customHeight="1">
      <c r="C757" s="1799" t="s">
        <v>5247</v>
      </c>
      <c r="D757" s="1796">
        <v>1</v>
      </c>
      <c r="E757" s="1796">
        <v>1</v>
      </c>
      <c r="F757" s="1797">
        <v>2</v>
      </c>
      <c r="G757" s="1999" t="s">
        <v>5247</v>
      </c>
      <c r="H757" s="1794">
        <v>1</v>
      </c>
      <c r="I757" s="1794">
        <v>1</v>
      </c>
      <c r="J757" s="2000">
        <v>2</v>
      </c>
      <c r="K757" s="1798"/>
      <c r="L757" s="1792">
        <v>13067030238</v>
      </c>
      <c r="M757" s="1793">
        <v>1</v>
      </c>
      <c r="N757" s="1793">
        <v>1</v>
      </c>
      <c r="O757" s="1793">
        <v>2</v>
      </c>
      <c r="P757" s="311"/>
      <c r="Q757" s="311"/>
      <c r="R757" s="311"/>
      <c r="S757" s="311"/>
      <c r="T757" s="491" t="s">
        <v>1656</v>
      </c>
      <c r="U757" s="491" t="s">
        <v>155</v>
      </c>
      <c r="AA757" s="27"/>
      <c r="AB757" s="27"/>
      <c r="AC757" s="890"/>
      <c r="AD757" s="502"/>
    </row>
    <row r="758" spans="3:30" ht="10.5" customHeight="1">
      <c r="C758" s="1799" t="s">
        <v>5248</v>
      </c>
      <c r="D758" s="1796">
        <v>1</v>
      </c>
      <c r="E758" s="1796">
        <v>1</v>
      </c>
      <c r="F758" s="1797">
        <v>2</v>
      </c>
      <c r="G758" s="1999" t="s">
        <v>5248</v>
      </c>
      <c r="H758" s="1794">
        <v>1</v>
      </c>
      <c r="I758" s="1794">
        <v>1</v>
      </c>
      <c r="J758" s="2000">
        <v>2</v>
      </c>
      <c r="K758" s="1798"/>
      <c r="L758" s="1792">
        <v>13067030239</v>
      </c>
      <c r="M758" s="1793">
        <v>1</v>
      </c>
      <c r="N758" s="1793">
        <v>1</v>
      </c>
      <c r="O758" s="1793">
        <v>2</v>
      </c>
      <c r="P758" s="311"/>
      <c r="Q758" s="311"/>
      <c r="R758" s="311"/>
      <c r="S758" s="311"/>
      <c r="T758" s="491" t="s">
        <v>1657</v>
      </c>
      <c r="U758" s="491" t="s">
        <v>1862</v>
      </c>
      <c r="AA758" s="27"/>
      <c r="AB758" s="27"/>
      <c r="AC758" s="889"/>
      <c r="AD758" s="502"/>
    </row>
    <row r="759" spans="3:30" ht="10.5" customHeight="1">
      <c r="C759" s="1799" t="s">
        <v>5249</v>
      </c>
      <c r="D759" s="1796">
        <v>1</v>
      </c>
      <c r="E759" s="1796">
        <v>1</v>
      </c>
      <c r="F759" s="1797">
        <v>2</v>
      </c>
      <c r="G759" s="1999" t="s">
        <v>5249</v>
      </c>
      <c r="H759" s="1794">
        <v>1</v>
      </c>
      <c r="I759" s="1794">
        <v>0</v>
      </c>
      <c r="J759" s="2000">
        <v>1</v>
      </c>
      <c r="K759" s="1798"/>
      <c r="L759" s="1792">
        <v>13067030310</v>
      </c>
      <c r="M759" s="1793">
        <v>1</v>
      </c>
      <c r="N759" s="1793">
        <v>1</v>
      </c>
      <c r="O759" s="1793">
        <v>2</v>
      </c>
      <c r="P759" s="311"/>
      <c r="Q759" s="311"/>
      <c r="R759" s="311"/>
      <c r="S759" s="311"/>
      <c r="T759" s="491" t="s">
        <v>1658</v>
      </c>
      <c r="U759" s="491" t="s">
        <v>1302</v>
      </c>
      <c r="AA759" s="27"/>
      <c r="AB759" s="27"/>
      <c r="AC759" s="889"/>
      <c r="AD759" s="502"/>
    </row>
    <row r="760" spans="3:30" ht="10.5" customHeight="1">
      <c r="C760" s="1799" t="s">
        <v>5250</v>
      </c>
      <c r="D760" s="1796">
        <v>1</v>
      </c>
      <c r="E760" s="1796">
        <v>1</v>
      </c>
      <c r="F760" s="1797">
        <v>2</v>
      </c>
      <c r="G760" s="1999" t="s">
        <v>5250</v>
      </c>
      <c r="H760" s="1794">
        <v>1</v>
      </c>
      <c r="I760" s="1794">
        <v>1</v>
      </c>
      <c r="J760" s="2000">
        <v>2</v>
      </c>
      <c r="K760" s="1798"/>
      <c r="L760" s="1792">
        <v>13067030311</v>
      </c>
      <c r="M760" s="1793">
        <v>1</v>
      </c>
      <c r="N760" s="1793">
        <v>1</v>
      </c>
      <c r="O760" s="1793">
        <v>2</v>
      </c>
      <c r="P760" s="311"/>
      <c r="Q760" s="311"/>
      <c r="R760" s="311"/>
      <c r="S760" s="311"/>
      <c r="T760" s="531" t="s">
        <v>1659</v>
      </c>
      <c r="U760" s="531" t="s">
        <v>931</v>
      </c>
      <c r="AA760" s="27"/>
      <c r="AB760" s="27"/>
      <c r="AC760" s="889"/>
      <c r="AD760" s="502"/>
    </row>
    <row r="761" spans="3:30" ht="10.5" customHeight="1">
      <c r="C761" s="1799" t="s">
        <v>5251</v>
      </c>
      <c r="D761" s="1796">
        <v>1</v>
      </c>
      <c r="E761" s="1796">
        <v>1</v>
      </c>
      <c r="F761" s="1797">
        <v>2</v>
      </c>
      <c r="G761" s="1999" t="s">
        <v>5251</v>
      </c>
      <c r="H761" s="1794">
        <v>1</v>
      </c>
      <c r="I761" s="1794">
        <v>1</v>
      </c>
      <c r="J761" s="2000">
        <v>2</v>
      </c>
      <c r="K761" s="1798"/>
      <c r="L761" s="1792">
        <v>13067030312</v>
      </c>
      <c r="M761" s="1793">
        <v>1</v>
      </c>
      <c r="N761" s="1793">
        <v>1</v>
      </c>
      <c r="O761" s="1793">
        <v>2</v>
      </c>
      <c r="P761" s="311"/>
      <c r="Q761" s="311"/>
      <c r="R761" s="311"/>
      <c r="S761" s="311"/>
      <c r="T761" s="491" t="s">
        <v>1660</v>
      </c>
      <c r="U761" s="491" t="s">
        <v>715</v>
      </c>
      <c r="AA761" s="27"/>
      <c r="AB761" s="27"/>
      <c r="AC761" s="890"/>
      <c r="AD761" s="502"/>
    </row>
    <row r="762" spans="3:30" ht="10.5" customHeight="1">
      <c r="C762" s="1799" t="s">
        <v>5252</v>
      </c>
      <c r="D762" s="1796">
        <v>1</v>
      </c>
      <c r="E762" s="1796">
        <v>1</v>
      </c>
      <c r="F762" s="1797">
        <v>2</v>
      </c>
      <c r="G762" s="1999" t="s">
        <v>5252</v>
      </c>
      <c r="H762" s="1794">
        <v>1</v>
      </c>
      <c r="I762" s="1794">
        <v>1</v>
      </c>
      <c r="J762" s="2000">
        <v>2</v>
      </c>
      <c r="K762" s="1798"/>
      <c r="L762" s="1792">
        <v>13067030313</v>
      </c>
      <c r="M762" s="1793">
        <v>1</v>
      </c>
      <c r="N762" s="1793">
        <v>1</v>
      </c>
      <c r="O762" s="1793">
        <v>2</v>
      </c>
      <c r="P762" s="311"/>
      <c r="Q762" s="311"/>
      <c r="R762" s="311"/>
      <c r="S762" s="311"/>
      <c r="T762" s="491" t="s">
        <v>1057</v>
      </c>
      <c r="U762" s="491" t="s">
        <v>2422</v>
      </c>
      <c r="AA762" s="27"/>
      <c r="AB762" s="27"/>
      <c r="AC762" s="889"/>
      <c r="AD762" s="502"/>
    </row>
    <row r="763" spans="3:30" ht="10.5" customHeight="1">
      <c r="C763" s="1799" t="s">
        <v>5253</v>
      </c>
      <c r="D763" s="1796">
        <v>1</v>
      </c>
      <c r="E763" s="1796">
        <v>1</v>
      </c>
      <c r="F763" s="1797">
        <v>2</v>
      </c>
      <c r="G763" s="1999" t="s">
        <v>5253</v>
      </c>
      <c r="H763" s="1794">
        <v>1</v>
      </c>
      <c r="I763" s="1794">
        <v>1</v>
      </c>
      <c r="J763" s="2000">
        <v>2</v>
      </c>
      <c r="K763" s="1798"/>
      <c r="L763" s="1792">
        <v>13067030314</v>
      </c>
      <c r="M763" s="1793">
        <v>1</v>
      </c>
      <c r="N763" s="1793">
        <v>1</v>
      </c>
      <c r="O763" s="1793">
        <v>2</v>
      </c>
      <c r="P763" s="311"/>
      <c r="Q763" s="311"/>
      <c r="R763" s="311"/>
      <c r="S763" s="311"/>
      <c r="T763" s="491" t="s">
        <v>1661</v>
      </c>
      <c r="U763" s="491" t="s">
        <v>309</v>
      </c>
      <c r="AA763" s="27"/>
      <c r="AB763" s="27"/>
      <c r="AC763" s="889"/>
      <c r="AD763" s="502"/>
    </row>
    <row r="764" spans="3:30" ht="10.5" customHeight="1">
      <c r="C764" s="1799" t="s">
        <v>5254</v>
      </c>
      <c r="D764" s="1796">
        <v>1</v>
      </c>
      <c r="E764" s="1796">
        <v>1</v>
      </c>
      <c r="F764" s="1797">
        <v>2</v>
      </c>
      <c r="G764" s="1999" t="s">
        <v>5254</v>
      </c>
      <c r="H764" s="1794">
        <v>1</v>
      </c>
      <c r="I764" s="1794">
        <v>1</v>
      </c>
      <c r="J764" s="2000">
        <v>2</v>
      </c>
      <c r="K764" s="1798"/>
      <c r="L764" s="1792">
        <v>13067030318</v>
      </c>
      <c r="M764" s="1793">
        <v>1</v>
      </c>
      <c r="N764" s="1793">
        <v>1</v>
      </c>
      <c r="O764" s="1793">
        <v>2</v>
      </c>
      <c r="P764" s="311"/>
      <c r="Q764" s="311"/>
      <c r="R764" s="311"/>
      <c r="S764" s="311"/>
      <c r="T764" s="491" t="s">
        <v>1662</v>
      </c>
      <c r="U764" s="491" t="s">
        <v>323</v>
      </c>
      <c r="AA764" s="27"/>
      <c r="AB764" s="27"/>
      <c r="AC764" s="889"/>
      <c r="AD764" s="502"/>
    </row>
    <row r="765" spans="3:30" ht="10.5" customHeight="1">
      <c r="C765" s="1799" t="s">
        <v>5255</v>
      </c>
      <c r="D765" s="1796">
        <v>1</v>
      </c>
      <c r="E765" s="1796">
        <v>1</v>
      </c>
      <c r="F765" s="1797">
        <v>2</v>
      </c>
      <c r="G765" s="1999" t="s">
        <v>5255</v>
      </c>
      <c r="H765" s="1794">
        <v>1</v>
      </c>
      <c r="I765" s="1794">
        <v>1</v>
      </c>
      <c r="J765" s="2000">
        <v>2</v>
      </c>
      <c r="K765" s="1798"/>
      <c r="L765" s="1792">
        <v>13067030319</v>
      </c>
      <c r="M765" s="1793">
        <v>1</v>
      </c>
      <c r="N765" s="1793">
        <v>1</v>
      </c>
      <c r="O765" s="1793">
        <v>2</v>
      </c>
      <c r="P765" s="311"/>
      <c r="Q765" s="311"/>
      <c r="R765" s="311"/>
      <c r="S765" s="311"/>
      <c r="T765" s="491" t="s">
        <v>1663</v>
      </c>
      <c r="U765" s="491" t="s">
        <v>160</v>
      </c>
      <c r="AA765" s="27"/>
      <c r="AB765" s="27"/>
      <c r="AC765" s="889"/>
      <c r="AD765" s="502"/>
    </row>
    <row r="766" spans="3:30" ht="10.5" customHeight="1">
      <c r="C766" s="1799" t="s">
        <v>5256</v>
      </c>
      <c r="D766" s="1796">
        <v>1</v>
      </c>
      <c r="E766" s="1796">
        <v>1</v>
      </c>
      <c r="F766" s="1797">
        <v>2</v>
      </c>
      <c r="G766" s="1999" t="s">
        <v>5256</v>
      </c>
      <c r="H766" s="1794">
        <v>1</v>
      </c>
      <c r="I766" s="1794">
        <v>1</v>
      </c>
      <c r="J766" s="2000">
        <v>2</v>
      </c>
      <c r="K766" s="1798"/>
      <c r="L766" s="1792">
        <v>13067030320</v>
      </c>
      <c r="M766" s="1793">
        <v>1</v>
      </c>
      <c r="N766" s="1793">
        <v>1</v>
      </c>
      <c r="O766" s="1793">
        <v>2</v>
      </c>
      <c r="P766" s="311"/>
      <c r="Q766" s="311"/>
      <c r="R766" s="311"/>
      <c r="S766" s="311"/>
      <c r="T766" s="491" t="s">
        <v>1664</v>
      </c>
      <c r="U766" s="491" t="s">
        <v>1961</v>
      </c>
      <c r="AA766" s="27"/>
      <c r="AB766" s="27"/>
      <c r="AC766" s="889"/>
      <c r="AD766" s="502"/>
    </row>
    <row r="767" spans="3:30" ht="10.5" customHeight="1">
      <c r="C767" s="1799" t="s">
        <v>5257</v>
      </c>
      <c r="D767" s="1796">
        <v>1</v>
      </c>
      <c r="E767" s="1796">
        <v>1</v>
      </c>
      <c r="F767" s="1797">
        <v>2</v>
      </c>
      <c r="G767" s="1999" t="s">
        <v>5257</v>
      </c>
      <c r="H767" s="1794">
        <v>1</v>
      </c>
      <c r="I767" s="1794">
        <v>1</v>
      </c>
      <c r="J767" s="2000">
        <v>2</v>
      </c>
      <c r="K767" s="1798"/>
      <c r="L767" s="1792">
        <v>13067030322</v>
      </c>
      <c r="M767" s="1793">
        <v>1</v>
      </c>
      <c r="N767" s="1793">
        <v>1</v>
      </c>
      <c r="O767" s="1793">
        <v>2</v>
      </c>
      <c r="P767" s="311"/>
      <c r="Q767" s="311"/>
      <c r="R767" s="311"/>
      <c r="S767" s="311"/>
      <c r="T767" s="491" t="s">
        <v>1665</v>
      </c>
      <c r="U767" s="491" t="s">
        <v>1427</v>
      </c>
      <c r="AA767" s="27"/>
      <c r="AB767" s="27"/>
      <c r="AC767" s="889"/>
      <c r="AD767" s="502"/>
    </row>
    <row r="768" spans="3:30" ht="10.5" customHeight="1">
      <c r="C768" s="1799" t="s">
        <v>5258</v>
      </c>
      <c r="D768" s="1796">
        <v>1</v>
      </c>
      <c r="E768" s="1796">
        <v>1</v>
      </c>
      <c r="F768" s="1797">
        <v>2</v>
      </c>
      <c r="G768" s="1999" t="s">
        <v>5258</v>
      </c>
      <c r="H768" s="1794">
        <v>1</v>
      </c>
      <c r="I768" s="1794">
        <v>1</v>
      </c>
      <c r="J768" s="2000">
        <v>2</v>
      </c>
      <c r="K768" s="1798"/>
      <c r="L768" s="1792">
        <v>13067030324</v>
      </c>
      <c r="M768" s="1793">
        <v>1</v>
      </c>
      <c r="N768" s="1793">
        <v>1</v>
      </c>
      <c r="O768" s="1793">
        <v>2</v>
      </c>
      <c r="P768" s="311"/>
      <c r="Q768" s="311"/>
      <c r="R768" s="311"/>
      <c r="S768" s="311"/>
      <c r="T768" s="491" t="s">
        <v>1666</v>
      </c>
      <c r="U768" s="491" t="s">
        <v>1831</v>
      </c>
      <c r="AA768" s="27"/>
      <c r="AB768" s="27"/>
      <c r="AC768" s="889"/>
      <c r="AD768" s="502"/>
    </row>
    <row r="769" spans="3:30" ht="10.5" customHeight="1">
      <c r="C769" s="1799" t="s">
        <v>5259</v>
      </c>
      <c r="D769" s="1796">
        <v>1</v>
      </c>
      <c r="E769" s="1796">
        <v>1</v>
      </c>
      <c r="F769" s="1797">
        <v>2</v>
      </c>
      <c r="G769" s="1999" t="s">
        <v>5259</v>
      </c>
      <c r="H769" s="1794">
        <v>1</v>
      </c>
      <c r="I769" s="1794">
        <v>1</v>
      </c>
      <c r="J769" s="2000">
        <v>2</v>
      </c>
      <c r="K769" s="1798"/>
      <c r="L769" s="1792">
        <v>13067030326</v>
      </c>
      <c r="M769" s="1793">
        <v>1</v>
      </c>
      <c r="N769" s="1793">
        <v>1</v>
      </c>
      <c r="O769" s="1793">
        <v>2</v>
      </c>
      <c r="P769" s="311"/>
      <c r="Q769" s="311"/>
      <c r="R769" s="311"/>
      <c r="S769" s="311"/>
      <c r="T769" s="491" t="s">
        <v>1667</v>
      </c>
      <c r="U769" s="491" t="s">
        <v>315</v>
      </c>
      <c r="AA769" s="27"/>
      <c r="AB769" s="27"/>
      <c r="AC769" s="889"/>
      <c r="AD769" s="502"/>
    </row>
    <row r="770" spans="3:30" ht="10.5" customHeight="1">
      <c r="C770" s="1799" t="s">
        <v>5260</v>
      </c>
      <c r="D770" s="1796">
        <v>1</v>
      </c>
      <c r="E770" s="1796">
        <v>1</v>
      </c>
      <c r="F770" s="1797">
        <v>2</v>
      </c>
      <c r="G770" s="1999" t="s">
        <v>5260</v>
      </c>
      <c r="H770" s="1794">
        <v>1</v>
      </c>
      <c r="I770" s="1794">
        <v>1</v>
      </c>
      <c r="J770" s="2000">
        <v>2</v>
      </c>
      <c r="K770" s="1798"/>
      <c r="L770" s="1792">
        <v>13067030327</v>
      </c>
      <c r="M770" s="1793">
        <v>1</v>
      </c>
      <c r="N770" s="1793">
        <v>1</v>
      </c>
      <c r="O770" s="1793">
        <v>2</v>
      </c>
      <c r="P770" s="311"/>
      <c r="Q770" s="311"/>
      <c r="R770" s="311"/>
      <c r="S770" s="311"/>
      <c r="T770" s="491" t="s">
        <v>1668</v>
      </c>
      <c r="U770" s="491" t="s">
        <v>101</v>
      </c>
      <c r="AA770" s="27"/>
      <c r="AB770" s="27"/>
      <c r="AC770" s="889"/>
      <c r="AD770" s="502"/>
    </row>
    <row r="771" spans="3:30" ht="10.5" customHeight="1">
      <c r="C771" s="1799" t="s">
        <v>5261</v>
      </c>
      <c r="D771" s="1796">
        <v>1</v>
      </c>
      <c r="E771" s="1796">
        <v>1</v>
      </c>
      <c r="F771" s="1797">
        <v>2</v>
      </c>
      <c r="G771" s="1999" t="s">
        <v>5261</v>
      </c>
      <c r="H771" s="1794">
        <v>1</v>
      </c>
      <c r="I771" s="1794">
        <v>1</v>
      </c>
      <c r="J771" s="2000">
        <v>2</v>
      </c>
      <c r="K771" s="1798"/>
      <c r="L771" s="1792">
        <v>13067030328</v>
      </c>
      <c r="M771" s="1793">
        <v>1</v>
      </c>
      <c r="N771" s="1793">
        <v>1</v>
      </c>
      <c r="O771" s="1793">
        <v>2</v>
      </c>
      <c r="P771" s="311"/>
      <c r="Q771" s="311"/>
      <c r="R771" s="311"/>
      <c r="S771" s="311"/>
      <c r="T771" s="491" t="s">
        <v>288</v>
      </c>
      <c r="U771" s="491" t="s">
        <v>2339</v>
      </c>
      <c r="AA771" s="27"/>
      <c r="AB771" s="27"/>
      <c r="AC771" s="889"/>
      <c r="AD771" s="502"/>
    </row>
    <row r="772" spans="3:30" ht="10.5" customHeight="1">
      <c r="C772" s="1799" t="s">
        <v>5262</v>
      </c>
      <c r="D772" s="1796">
        <v>1</v>
      </c>
      <c r="E772" s="1796">
        <v>1</v>
      </c>
      <c r="F772" s="1797">
        <v>2</v>
      </c>
      <c r="G772" s="1999" t="s">
        <v>5262</v>
      </c>
      <c r="H772" s="1794">
        <v>1</v>
      </c>
      <c r="I772" s="1794">
        <v>1</v>
      </c>
      <c r="J772" s="2000">
        <v>2</v>
      </c>
      <c r="K772" s="1798"/>
      <c r="L772" s="1792">
        <v>13067030329</v>
      </c>
      <c r="M772" s="1793">
        <v>1</v>
      </c>
      <c r="N772" s="1793">
        <v>1</v>
      </c>
      <c r="O772" s="1793">
        <v>2</v>
      </c>
      <c r="P772" s="311"/>
      <c r="Q772" s="311"/>
      <c r="R772" s="311"/>
      <c r="S772" s="311"/>
      <c r="T772" s="491" t="s">
        <v>103</v>
      </c>
      <c r="U772" s="491" t="s">
        <v>2335</v>
      </c>
      <c r="AA772" s="27"/>
      <c r="AB772" s="27"/>
      <c r="AC772" s="889"/>
      <c r="AD772" s="502"/>
    </row>
    <row r="773" spans="3:30" ht="10.5" customHeight="1">
      <c r="C773" s="1799" t="s">
        <v>5263</v>
      </c>
      <c r="D773" s="1796">
        <v>1</v>
      </c>
      <c r="E773" s="1796">
        <v>1</v>
      </c>
      <c r="F773" s="1797">
        <v>2</v>
      </c>
      <c r="G773" s="1999" t="s">
        <v>5263</v>
      </c>
      <c r="H773" s="1794">
        <v>1</v>
      </c>
      <c r="I773" s="1794">
        <v>1</v>
      </c>
      <c r="J773" s="2000">
        <v>2</v>
      </c>
      <c r="K773" s="1798"/>
      <c r="L773" s="1792">
        <v>13067030330</v>
      </c>
      <c r="M773" s="1793">
        <v>1</v>
      </c>
      <c r="N773" s="1793">
        <v>1</v>
      </c>
      <c r="O773" s="1793">
        <v>2</v>
      </c>
      <c r="P773" s="311"/>
      <c r="Q773" s="311"/>
      <c r="R773" s="311"/>
      <c r="S773" s="311"/>
      <c r="T773" s="491" t="s">
        <v>289</v>
      </c>
      <c r="U773" s="491" t="s">
        <v>2523</v>
      </c>
      <c r="AA773" s="27"/>
      <c r="AB773" s="27"/>
      <c r="AC773" s="889"/>
      <c r="AD773" s="502"/>
    </row>
    <row r="774" spans="3:30" ht="10.5" customHeight="1">
      <c r="C774" s="1799" t="s">
        <v>5264</v>
      </c>
      <c r="D774" s="1796">
        <v>1</v>
      </c>
      <c r="E774" s="1796">
        <v>1</v>
      </c>
      <c r="F774" s="1797">
        <v>2</v>
      </c>
      <c r="G774" s="1999" t="s">
        <v>5264</v>
      </c>
      <c r="H774" s="1794">
        <v>1</v>
      </c>
      <c r="I774" s="1794">
        <v>1</v>
      </c>
      <c r="J774" s="2000">
        <v>2</v>
      </c>
      <c r="K774" s="1798"/>
      <c r="L774" s="1792">
        <v>13067030331</v>
      </c>
      <c r="M774" s="1793">
        <v>1</v>
      </c>
      <c r="N774" s="1793">
        <v>1</v>
      </c>
      <c r="O774" s="1793">
        <v>2</v>
      </c>
      <c r="P774" s="311"/>
      <c r="Q774" s="311"/>
      <c r="R774" s="311"/>
      <c r="S774" s="311"/>
      <c r="T774" s="387" t="s">
        <v>290</v>
      </c>
      <c r="U774" s="387" t="s">
        <v>310</v>
      </c>
      <c r="AA774" s="27"/>
      <c r="AB774" s="27"/>
      <c r="AC774" s="889"/>
      <c r="AD774" s="502"/>
    </row>
    <row r="775" spans="3:30" ht="10.5" customHeight="1">
      <c r="C775" s="1799" t="s">
        <v>5265</v>
      </c>
      <c r="D775" s="1796">
        <v>1</v>
      </c>
      <c r="E775" s="1796">
        <v>1</v>
      </c>
      <c r="F775" s="1797">
        <v>2</v>
      </c>
      <c r="G775" s="1999" t="s">
        <v>5265</v>
      </c>
      <c r="H775" s="1794">
        <v>1</v>
      </c>
      <c r="I775" s="1794">
        <v>1</v>
      </c>
      <c r="J775" s="2000">
        <v>2</v>
      </c>
      <c r="K775" s="1798"/>
      <c r="L775" s="1792">
        <v>13067030332</v>
      </c>
      <c r="M775" s="1793">
        <v>1</v>
      </c>
      <c r="N775" s="1793">
        <v>1</v>
      </c>
      <c r="O775" s="1793">
        <v>2</v>
      </c>
      <c r="P775" s="311"/>
      <c r="Q775" s="311"/>
      <c r="R775" s="311"/>
      <c r="S775" s="311"/>
      <c r="T775" s="491" t="s">
        <v>291</v>
      </c>
      <c r="U775" s="491" t="s">
        <v>1962</v>
      </c>
      <c r="AA775" s="27"/>
      <c r="AB775" s="27"/>
      <c r="AC775" s="89"/>
      <c r="AD775" s="502"/>
    </row>
    <row r="776" spans="3:30" ht="10.5" customHeight="1">
      <c r="C776" s="1799" t="s">
        <v>5266</v>
      </c>
      <c r="D776" s="1796">
        <v>1</v>
      </c>
      <c r="E776" s="1796">
        <v>1</v>
      </c>
      <c r="F776" s="1797">
        <v>2</v>
      </c>
      <c r="G776" s="1999" t="s">
        <v>5266</v>
      </c>
      <c r="H776" s="1794">
        <v>1</v>
      </c>
      <c r="I776" s="1794">
        <v>1</v>
      </c>
      <c r="J776" s="2000">
        <v>2</v>
      </c>
      <c r="K776" s="1798"/>
      <c r="L776" s="1792">
        <v>13067030333</v>
      </c>
      <c r="M776" s="1793">
        <v>1</v>
      </c>
      <c r="N776" s="1793">
        <v>1</v>
      </c>
      <c r="O776" s="1793">
        <v>2</v>
      </c>
      <c r="P776" s="311"/>
      <c r="Q776" s="311"/>
      <c r="R776" s="311"/>
      <c r="S776" s="311"/>
      <c r="T776" s="491" t="s">
        <v>292</v>
      </c>
      <c r="U776" s="387" t="s">
        <v>1302</v>
      </c>
      <c r="AA776" s="27"/>
      <c r="AB776" s="27"/>
      <c r="AC776" s="889"/>
      <c r="AD776" s="502"/>
    </row>
    <row r="777" spans="3:30" ht="13.8">
      <c r="C777" s="1799" t="s">
        <v>5267</v>
      </c>
      <c r="D777" s="1796">
        <v>1</v>
      </c>
      <c r="E777" s="1796">
        <v>1</v>
      </c>
      <c r="F777" s="1797">
        <v>2</v>
      </c>
      <c r="G777" s="1999" t="s">
        <v>5267</v>
      </c>
      <c r="H777" s="1794">
        <v>1</v>
      </c>
      <c r="I777" s="1794">
        <v>1</v>
      </c>
      <c r="J777" s="2000">
        <v>2</v>
      </c>
      <c r="K777" s="1798"/>
      <c r="L777" s="1792">
        <v>13067030334</v>
      </c>
      <c r="M777" s="1793">
        <v>1</v>
      </c>
      <c r="N777" s="1793">
        <v>1</v>
      </c>
      <c r="O777" s="1793">
        <v>2</v>
      </c>
      <c r="P777" s="311"/>
      <c r="Q777" s="311"/>
      <c r="R777" s="311"/>
      <c r="S777" s="311"/>
      <c r="T777" s="387" t="s">
        <v>293</v>
      </c>
      <c r="U777" s="387" t="s">
        <v>1868</v>
      </c>
      <c r="AA777" s="27"/>
      <c r="AB777" s="27"/>
      <c r="AC777" s="889"/>
      <c r="AD777" s="502"/>
    </row>
    <row r="778" spans="3:30" ht="13.8">
      <c r="C778" s="1799" t="s">
        <v>5268</v>
      </c>
      <c r="D778" s="1796">
        <v>1</v>
      </c>
      <c r="E778" s="1796">
        <v>1</v>
      </c>
      <c r="F778" s="1797">
        <v>2</v>
      </c>
      <c r="G778" s="1999" t="s">
        <v>5268</v>
      </c>
      <c r="H778" s="1794">
        <v>1</v>
      </c>
      <c r="I778" s="1794">
        <v>1</v>
      </c>
      <c r="J778" s="2000">
        <v>2</v>
      </c>
      <c r="K778" s="1798"/>
      <c r="L778" s="1792">
        <v>13067030335</v>
      </c>
      <c r="M778" s="1793">
        <v>1</v>
      </c>
      <c r="N778" s="1793">
        <v>1</v>
      </c>
      <c r="O778" s="1793">
        <v>2</v>
      </c>
      <c r="P778" s="311"/>
      <c r="Q778" s="311"/>
      <c r="R778" s="311"/>
      <c r="S778" s="311"/>
      <c r="T778" s="387" t="s">
        <v>294</v>
      </c>
      <c r="U778" s="387" t="s">
        <v>107</v>
      </c>
      <c r="AA778" s="27"/>
      <c r="AB778" s="27"/>
      <c r="AC778" s="89"/>
      <c r="AD778" s="502"/>
    </row>
    <row r="779" spans="3:30" ht="13.8">
      <c r="C779" s="1799" t="s">
        <v>5269</v>
      </c>
      <c r="D779" s="1796">
        <v>1</v>
      </c>
      <c r="E779" s="1796">
        <v>1</v>
      </c>
      <c r="F779" s="1797">
        <v>2</v>
      </c>
      <c r="G779" s="1999" t="s">
        <v>5269</v>
      </c>
      <c r="H779" s="1794">
        <v>1</v>
      </c>
      <c r="I779" s="1794" t="s">
        <v>4485</v>
      </c>
      <c r="J779" s="2000">
        <v>1</v>
      </c>
      <c r="K779" s="1798"/>
      <c r="L779" s="1792">
        <v>13067030336</v>
      </c>
      <c r="M779" s="1793">
        <v>1</v>
      </c>
      <c r="N779" s="1793">
        <v>1</v>
      </c>
      <c r="O779" s="1793">
        <v>2</v>
      </c>
      <c r="P779" s="311"/>
      <c r="Q779" s="311"/>
      <c r="R779" s="311"/>
      <c r="S779" s="311"/>
      <c r="T779" s="387" t="s">
        <v>295</v>
      </c>
      <c r="U779" s="387" t="s">
        <v>651</v>
      </c>
      <c r="AA779" s="27"/>
      <c r="AB779" s="27"/>
      <c r="AC779" s="89"/>
      <c r="AD779" s="502"/>
    </row>
    <row r="780" spans="3:30" ht="13.8">
      <c r="C780" s="1799" t="s">
        <v>5270</v>
      </c>
      <c r="D780" s="1796">
        <v>1</v>
      </c>
      <c r="E780" s="1796">
        <v>1</v>
      </c>
      <c r="F780" s="1797">
        <v>2</v>
      </c>
      <c r="G780" s="1999" t="s">
        <v>5270</v>
      </c>
      <c r="H780" s="1794">
        <v>1</v>
      </c>
      <c r="I780" s="1794">
        <v>1</v>
      </c>
      <c r="J780" s="2000">
        <v>2</v>
      </c>
      <c r="K780" s="1798"/>
      <c r="L780" s="1792">
        <v>13067030337</v>
      </c>
      <c r="M780" s="1793">
        <v>1</v>
      </c>
      <c r="N780" s="1793">
        <v>1</v>
      </c>
      <c r="O780" s="1793">
        <v>2</v>
      </c>
      <c r="P780" s="311"/>
      <c r="Q780" s="311"/>
      <c r="R780" s="311"/>
      <c r="S780" s="311"/>
      <c r="T780" s="387" t="s">
        <v>111</v>
      </c>
      <c r="U780" s="387" t="s">
        <v>1287</v>
      </c>
      <c r="AA780" s="27"/>
      <c r="AB780" s="27"/>
      <c r="AC780" s="89"/>
      <c r="AD780" s="502"/>
    </row>
    <row r="781" spans="3:30" ht="13.8">
      <c r="C781" s="1799" t="s">
        <v>5271</v>
      </c>
      <c r="D781" s="1796">
        <v>1</v>
      </c>
      <c r="E781" s="1796">
        <v>1</v>
      </c>
      <c r="F781" s="1797">
        <v>2</v>
      </c>
      <c r="G781" s="1999" t="s">
        <v>5271</v>
      </c>
      <c r="H781" s="1794">
        <v>1</v>
      </c>
      <c r="I781" s="1794" t="s">
        <v>4485</v>
      </c>
      <c r="J781" s="2000">
        <v>1</v>
      </c>
      <c r="K781" s="1798"/>
      <c r="L781" s="1792">
        <v>13067030339</v>
      </c>
      <c r="M781" s="1793">
        <v>1</v>
      </c>
      <c r="N781" s="1793">
        <v>1</v>
      </c>
      <c r="O781" s="1793">
        <v>2</v>
      </c>
      <c r="P781" s="311"/>
      <c r="Q781" s="311"/>
      <c r="R781" s="311"/>
      <c r="S781" s="311"/>
      <c r="T781" s="387" t="s">
        <v>1506</v>
      </c>
      <c r="U781" s="387" t="s">
        <v>653</v>
      </c>
      <c r="AA781" s="27"/>
      <c r="AB781" s="27"/>
      <c r="AC781" s="89"/>
      <c r="AD781" s="502"/>
    </row>
    <row r="782" spans="3:30" ht="13.8">
      <c r="C782" s="1799" t="s">
        <v>5272</v>
      </c>
      <c r="D782" s="1796">
        <v>1</v>
      </c>
      <c r="E782" s="1796">
        <v>1</v>
      </c>
      <c r="F782" s="1797">
        <v>2</v>
      </c>
      <c r="G782" s="1999" t="s">
        <v>5272</v>
      </c>
      <c r="H782" s="1794">
        <v>1</v>
      </c>
      <c r="I782" s="1794">
        <v>1</v>
      </c>
      <c r="J782" s="2000">
        <v>2</v>
      </c>
      <c r="K782" s="1798"/>
      <c r="L782" s="1792">
        <v>13067030340</v>
      </c>
      <c r="M782" s="1793">
        <v>1</v>
      </c>
      <c r="N782" s="1793">
        <v>1</v>
      </c>
      <c r="O782" s="1793">
        <v>2</v>
      </c>
      <c r="P782" s="311"/>
      <c r="Q782" s="311"/>
      <c r="R782" s="311"/>
      <c r="S782" s="311"/>
      <c r="T782" s="387" t="s">
        <v>1058</v>
      </c>
      <c r="U782" s="387" t="s">
        <v>155</v>
      </c>
      <c r="AA782" s="27"/>
      <c r="AB782" s="27"/>
      <c r="AC782" s="89"/>
      <c r="AD782" s="502"/>
    </row>
    <row r="783" spans="3:30" ht="13.8">
      <c r="C783" s="1799" t="s">
        <v>5273</v>
      </c>
      <c r="D783" s="1796">
        <v>1</v>
      </c>
      <c r="E783" s="1796">
        <v>1</v>
      </c>
      <c r="F783" s="1797">
        <v>2</v>
      </c>
      <c r="G783" s="1999" t="s">
        <v>5273</v>
      </c>
      <c r="H783" s="1794">
        <v>1</v>
      </c>
      <c r="I783" s="1794">
        <v>1</v>
      </c>
      <c r="J783" s="2000">
        <v>2</v>
      </c>
      <c r="K783" s="1798"/>
      <c r="L783" s="1792">
        <v>13067030341</v>
      </c>
      <c r="M783" s="1793">
        <v>1</v>
      </c>
      <c r="N783" s="1793">
        <v>1</v>
      </c>
      <c r="O783" s="1793">
        <v>2</v>
      </c>
      <c r="P783" s="311"/>
      <c r="Q783" s="311"/>
      <c r="R783" s="311"/>
      <c r="S783" s="311"/>
      <c r="T783" s="387" t="s">
        <v>1507</v>
      </c>
      <c r="U783" s="387" t="s">
        <v>715</v>
      </c>
      <c r="AA783" s="27"/>
      <c r="AB783" s="27"/>
      <c r="AC783" s="89"/>
      <c r="AD783" s="502"/>
    </row>
    <row r="784" spans="3:30" ht="13.8">
      <c r="C784" s="1799" t="s">
        <v>5274</v>
      </c>
      <c r="D784" s="1796">
        <v>1</v>
      </c>
      <c r="E784" s="1796">
        <v>1</v>
      </c>
      <c r="F784" s="1797">
        <v>2</v>
      </c>
      <c r="G784" s="1999" t="s">
        <v>5274</v>
      </c>
      <c r="H784" s="1794">
        <v>1</v>
      </c>
      <c r="I784" s="1794">
        <v>1</v>
      </c>
      <c r="J784" s="2000">
        <v>2</v>
      </c>
      <c r="K784" s="1798"/>
      <c r="L784" s="1792">
        <v>13067030342</v>
      </c>
      <c r="M784" s="1793">
        <v>1</v>
      </c>
      <c r="N784" s="1793">
        <v>1</v>
      </c>
      <c r="O784" s="1793">
        <v>2</v>
      </c>
      <c r="P784" s="311"/>
      <c r="Q784" s="311"/>
      <c r="R784" s="311"/>
      <c r="S784" s="311"/>
      <c r="T784" s="387" t="s">
        <v>1508</v>
      </c>
      <c r="U784" s="387" t="s">
        <v>1733</v>
      </c>
      <c r="AA784" s="27"/>
      <c r="AB784" s="27"/>
      <c r="AC784" s="89"/>
      <c r="AD784" s="502"/>
    </row>
    <row r="785" spans="3:30" ht="13.8">
      <c r="C785" s="1799" t="s">
        <v>5275</v>
      </c>
      <c r="D785" s="1796">
        <v>1</v>
      </c>
      <c r="E785" s="1796">
        <v>1</v>
      </c>
      <c r="F785" s="1797">
        <v>2</v>
      </c>
      <c r="G785" s="1999" t="s">
        <v>5275</v>
      </c>
      <c r="H785" s="1794">
        <v>1</v>
      </c>
      <c r="I785" s="1794">
        <v>1</v>
      </c>
      <c r="J785" s="2000">
        <v>2</v>
      </c>
      <c r="K785" s="1798"/>
      <c r="L785" s="1792">
        <v>13067030343</v>
      </c>
      <c r="M785" s="1793">
        <v>1</v>
      </c>
      <c r="N785" s="1793">
        <v>1</v>
      </c>
      <c r="O785" s="1793">
        <v>2</v>
      </c>
      <c r="P785" s="311"/>
      <c r="Q785" s="311"/>
      <c r="R785" s="311"/>
      <c r="S785" s="311"/>
      <c r="T785" s="387" t="s">
        <v>1509</v>
      </c>
      <c r="U785" s="387" t="s">
        <v>1074</v>
      </c>
      <c r="AA785" s="27"/>
      <c r="AB785" s="27"/>
      <c r="AC785" s="89"/>
      <c r="AD785" s="502"/>
    </row>
    <row r="786" spans="3:30" ht="13.8">
      <c r="C786" s="1799" t="s">
        <v>5276</v>
      </c>
      <c r="D786" s="1796">
        <v>1</v>
      </c>
      <c r="E786" s="1796">
        <v>1</v>
      </c>
      <c r="F786" s="1797">
        <v>2</v>
      </c>
      <c r="G786" s="1999" t="s">
        <v>5276</v>
      </c>
      <c r="H786" s="1794">
        <v>1</v>
      </c>
      <c r="I786" s="1794">
        <v>0</v>
      </c>
      <c r="J786" s="2000">
        <v>1</v>
      </c>
      <c r="K786" s="1798"/>
      <c r="L786" s="1792">
        <v>13067030344</v>
      </c>
      <c r="M786" s="1793">
        <v>1</v>
      </c>
      <c r="N786" s="1793">
        <v>1</v>
      </c>
      <c r="O786" s="1793">
        <v>2</v>
      </c>
      <c r="P786" s="311"/>
      <c r="Q786" s="311"/>
      <c r="R786" s="311"/>
      <c r="S786" s="311"/>
      <c r="T786" s="387" t="s">
        <v>1059</v>
      </c>
      <c r="U786" s="387" t="s">
        <v>155</v>
      </c>
      <c r="AA786" s="27"/>
      <c r="AB786" s="27"/>
      <c r="AC786" s="89"/>
      <c r="AD786" s="502"/>
    </row>
    <row r="787" spans="3:30" ht="13.8">
      <c r="C787" s="1799" t="s">
        <v>5277</v>
      </c>
      <c r="D787" s="1796">
        <v>1</v>
      </c>
      <c r="E787" s="1796">
        <v>1</v>
      </c>
      <c r="F787" s="1797">
        <v>2</v>
      </c>
      <c r="G787" s="1999" t="s">
        <v>5277</v>
      </c>
      <c r="H787" s="1794">
        <v>1</v>
      </c>
      <c r="I787" s="1794">
        <v>0</v>
      </c>
      <c r="J787" s="2000">
        <v>1</v>
      </c>
      <c r="K787" s="1798"/>
      <c r="L787" s="1792">
        <v>13067030345</v>
      </c>
      <c r="M787" s="1793">
        <v>1</v>
      </c>
      <c r="N787" s="1793">
        <v>1</v>
      </c>
      <c r="O787" s="1793">
        <v>2</v>
      </c>
      <c r="P787" s="311"/>
      <c r="Q787" s="311"/>
      <c r="R787" s="311"/>
      <c r="S787" s="311"/>
      <c r="T787" s="387" t="s">
        <v>1510</v>
      </c>
      <c r="U787" s="387" t="s">
        <v>1286</v>
      </c>
      <c r="AA787" s="27"/>
      <c r="AB787" s="27"/>
      <c r="AC787" s="89"/>
      <c r="AD787" s="502"/>
    </row>
    <row r="788" spans="3:30" ht="13.8">
      <c r="C788" s="1799" t="s">
        <v>5278</v>
      </c>
      <c r="D788" s="1796">
        <v>1</v>
      </c>
      <c r="E788" s="1796">
        <v>0</v>
      </c>
      <c r="F788" s="1797">
        <v>1</v>
      </c>
      <c r="G788" s="1999" t="s">
        <v>5278</v>
      </c>
      <c r="H788" s="1794">
        <v>1</v>
      </c>
      <c r="I788" s="1794">
        <v>0</v>
      </c>
      <c r="J788" s="2000">
        <v>1</v>
      </c>
      <c r="K788" s="1798"/>
      <c r="L788" s="1792">
        <v>13067030405</v>
      </c>
      <c r="M788" s="1793">
        <v>1</v>
      </c>
      <c r="N788" s="1793">
        <v>0</v>
      </c>
      <c r="O788" s="1793">
        <v>1</v>
      </c>
      <c r="P788" s="311"/>
      <c r="Q788" s="311"/>
      <c r="R788" s="311"/>
      <c r="S788" s="311"/>
      <c r="T788" s="387" t="s">
        <v>1511</v>
      </c>
      <c r="U788" s="387" t="s">
        <v>161</v>
      </c>
      <c r="AA788" s="27"/>
      <c r="AB788" s="27"/>
      <c r="AC788" s="89"/>
      <c r="AD788" s="502"/>
    </row>
    <row r="789" spans="3:30" ht="13.8">
      <c r="C789" s="1799" t="s">
        <v>5279</v>
      </c>
      <c r="D789" s="1796">
        <v>1</v>
      </c>
      <c r="E789" s="1796">
        <v>1</v>
      </c>
      <c r="F789" s="1797">
        <v>2</v>
      </c>
      <c r="G789" s="1999" t="s">
        <v>5279</v>
      </c>
      <c r="H789" s="1794">
        <v>1</v>
      </c>
      <c r="I789" s="1794">
        <v>1</v>
      </c>
      <c r="J789" s="2000">
        <v>2</v>
      </c>
      <c r="K789" s="1798"/>
      <c r="L789" s="1792">
        <v>13067030407</v>
      </c>
      <c r="M789" s="1793">
        <v>1</v>
      </c>
      <c r="N789" s="1793">
        <v>1</v>
      </c>
      <c r="O789" s="1793">
        <v>2</v>
      </c>
      <c r="P789" s="311"/>
      <c r="Q789" s="311"/>
      <c r="R789" s="311"/>
      <c r="S789" s="311"/>
      <c r="T789" s="387" t="s">
        <v>1512</v>
      </c>
      <c r="U789" s="387" t="s">
        <v>1307</v>
      </c>
      <c r="AA789" s="27"/>
      <c r="AB789" s="27"/>
      <c r="AC789" s="89"/>
      <c r="AD789" s="502"/>
    </row>
    <row r="790" spans="3:30" ht="13.8">
      <c r="C790" s="1799" t="s">
        <v>5280</v>
      </c>
      <c r="D790" s="1796">
        <v>1</v>
      </c>
      <c r="E790" s="1796">
        <v>1</v>
      </c>
      <c r="F790" s="1797">
        <v>2</v>
      </c>
      <c r="G790" s="1999" t="s">
        <v>5280</v>
      </c>
      <c r="H790" s="1794">
        <v>1</v>
      </c>
      <c r="I790" s="1794">
        <v>1</v>
      </c>
      <c r="J790" s="2000">
        <v>2</v>
      </c>
      <c r="K790" s="1798"/>
      <c r="L790" s="1792">
        <v>13067030408</v>
      </c>
      <c r="M790" s="1793">
        <v>1</v>
      </c>
      <c r="N790" s="1793">
        <v>1</v>
      </c>
      <c r="O790" s="1793">
        <v>2</v>
      </c>
      <c r="P790" s="311"/>
      <c r="Q790" s="311"/>
      <c r="R790" s="311"/>
      <c r="S790" s="311"/>
      <c r="T790" s="387" t="s">
        <v>1513</v>
      </c>
      <c r="U790" s="387" t="s">
        <v>1831</v>
      </c>
      <c r="AA790" s="27"/>
      <c r="AB790" s="27"/>
      <c r="AC790" s="89"/>
      <c r="AD790" s="502"/>
    </row>
    <row r="791" spans="3:30" ht="13.8">
      <c r="C791" s="1799" t="s">
        <v>5281</v>
      </c>
      <c r="D791" s="1796">
        <v>1</v>
      </c>
      <c r="E791" s="1796">
        <v>1</v>
      </c>
      <c r="F791" s="1797">
        <v>2</v>
      </c>
      <c r="G791" s="1999" t="s">
        <v>5281</v>
      </c>
      <c r="H791" s="1794">
        <v>1</v>
      </c>
      <c r="I791" s="1794">
        <v>1</v>
      </c>
      <c r="J791" s="2000">
        <v>2</v>
      </c>
      <c r="K791" s="1798"/>
      <c r="L791" s="1792">
        <v>13067030409</v>
      </c>
      <c r="M791" s="1793">
        <v>1</v>
      </c>
      <c r="N791" s="1793">
        <v>1</v>
      </c>
      <c r="O791" s="1793">
        <v>2</v>
      </c>
      <c r="P791" s="311"/>
      <c r="Q791" s="311"/>
      <c r="R791" s="311"/>
      <c r="S791" s="311"/>
      <c r="T791" s="387" t="s">
        <v>1514</v>
      </c>
      <c r="U791" s="387" t="s">
        <v>2129</v>
      </c>
      <c r="AA791" s="27"/>
      <c r="AB791" s="27"/>
      <c r="AC791" s="89"/>
      <c r="AD791" s="502"/>
    </row>
    <row r="792" spans="3:30" ht="13.8">
      <c r="C792" s="1799" t="s">
        <v>5282</v>
      </c>
      <c r="D792" s="1796">
        <v>1</v>
      </c>
      <c r="E792" s="1796">
        <v>1</v>
      </c>
      <c r="F792" s="1797">
        <v>2</v>
      </c>
      <c r="G792" s="1999" t="s">
        <v>5282</v>
      </c>
      <c r="H792" s="1794">
        <v>1</v>
      </c>
      <c r="I792" s="1794">
        <v>1</v>
      </c>
      <c r="J792" s="2000">
        <v>2</v>
      </c>
      <c r="K792" s="1798"/>
      <c r="L792" s="1792">
        <v>13067030410</v>
      </c>
      <c r="M792" s="1793">
        <v>1</v>
      </c>
      <c r="N792" s="1793">
        <v>1</v>
      </c>
      <c r="O792" s="1793">
        <v>2</v>
      </c>
      <c r="P792" s="311"/>
      <c r="Q792" s="311"/>
      <c r="R792" s="311"/>
      <c r="S792" s="311"/>
      <c r="T792" s="387" t="s">
        <v>1515</v>
      </c>
      <c r="U792" s="387" t="s">
        <v>160</v>
      </c>
      <c r="AA792" s="27"/>
      <c r="AB792" s="27"/>
      <c r="AC792" s="89"/>
      <c r="AD792" s="502"/>
    </row>
    <row r="793" spans="3:30" ht="13.8">
      <c r="C793" s="1799" t="s">
        <v>5283</v>
      </c>
      <c r="D793" s="1796">
        <v>0</v>
      </c>
      <c r="E793" s="1796">
        <v>0</v>
      </c>
      <c r="F793" s="1797">
        <v>0</v>
      </c>
      <c r="G793" s="1999" t="s">
        <v>5283</v>
      </c>
      <c r="H793" s="1794">
        <v>0</v>
      </c>
      <c r="I793" s="1794" t="s">
        <v>4485</v>
      </c>
      <c r="J793" s="2000">
        <v>0</v>
      </c>
      <c r="K793" s="1798"/>
      <c r="L793" s="1792">
        <v>13067030411</v>
      </c>
      <c r="M793" s="1793">
        <v>0</v>
      </c>
      <c r="N793" s="1793">
        <v>0</v>
      </c>
      <c r="O793" s="1793">
        <v>0</v>
      </c>
      <c r="P793" s="311"/>
      <c r="Q793" s="311"/>
      <c r="R793" s="311"/>
      <c r="S793" s="311"/>
      <c r="T793" s="387" t="s">
        <v>2320</v>
      </c>
      <c r="U793" s="387" t="s">
        <v>653</v>
      </c>
      <c r="AA793" s="27"/>
      <c r="AB793" s="27"/>
      <c r="AC793" s="89"/>
      <c r="AD793" s="502"/>
    </row>
    <row r="794" spans="3:30" ht="13.8">
      <c r="C794" s="1799" t="s">
        <v>5284</v>
      </c>
      <c r="D794" s="1796">
        <v>0</v>
      </c>
      <c r="E794" s="1796">
        <v>0</v>
      </c>
      <c r="F794" s="1797">
        <v>0</v>
      </c>
      <c r="G794" s="1999" t="s">
        <v>5284</v>
      </c>
      <c r="H794" s="1794">
        <v>0</v>
      </c>
      <c r="I794" s="1794">
        <v>0</v>
      </c>
      <c r="J794" s="2000">
        <v>0</v>
      </c>
      <c r="K794" s="1798"/>
      <c r="L794" s="1792">
        <v>13067030412</v>
      </c>
      <c r="M794" s="1793">
        <v>0</v>
      </c>
      <c r="N794" s="1793">
        <v>0</v>
      </c>
      <c r="O794" s="1793">
        <v>0</v>
      </c>
      <c r="P794" s="311"/>
      <c r="Q794" s="311"/>
      <c r="R794" s="311"/>
      <c r="S794" s="311"/>
      <c r="T794" s="387" t="s">
        <v>2321</v>
      </c>
      <c r="U794" s="387" t="s">
        <v>639</v>
      </c>
      <c r="AA794" s="27"/>
      <c r="AB794" s="27"/>
      <c r="AC794" s="89"/>
      <c r="AD794" s="502"/>
    </row>
    <row r="795" spans="3:30" ht="13.8">
      <c r="C795" s="1799" t="s">
        <v>5285</v>
      </c>
      <c r="D795" s="1796">
        <v>0</v>
      </c>
      <c r="E795" s="1796">
        <v>0</v>
      </c>
      <c r="F795" s="1797">
        <v>0</v>
      </c>
      <c r="G795" s="1999" t="s">
        <v>5285</v>
      </c>
      <c r="H795" s="1794">
        <v>1</v>
      </c>
      <c r="I795" s="1794" t="s">
        <v>4485</v>
      </c>
      <c r="J795" s="2000">
        <v>1</v>
      </c>
      <c r="K795" s="1798"/>
      <c r="L795" s="1792">
        <v>13067030413</v>
      </c>
      <c r="M795" s="1793">
        <v>1</v>
      </c>
      <c r="N795" s="1793">
        <v>0</v>
      </c>
      <c r="O795" s="1793">
        <v>1</v>
      </c>
      <c r="P795" s="311"/>
      <c r="Q795" s="311"/>
      <c r="R795" s="311"/>
      <c r="S795" s="311"/>
      <c r="T795" s="387" t="s">
        <v>2322</v>
      </c>
      <c r="U795" s="387" t="s">
        <v>323</v>
      </c>
      <c r="AA795" s="27"/>
      <c r="AB795" s="27"/>
      <c r="AC795" s="89"/>
      <c r="AD795" s="502"/>
    </row>
    <row r="796" spans="3:30" ht="13.8">
      <c r="C796" s="1799" t="s">
        <v>5286</v>
      </c>
      <c r="D796" s="1796">
        <v>0</v>
      </c>
      <c r="E796" s="1796">
        <v>0</v>
      </c>
      <c r="F796" s="1797">
        <v>0</v>
      </c>
      <c r="G796" s="1999" t="s">
        <v>5286</v>
      </c>
      <c r="H796" s="1794">
        <v>0</v>
      </c>
      <c r="I796" s="1794" t="s">
        <v>4485</v>
      </c>
      <c r="J796" s="2000">
        <v>0</v>
      </c>
      <c r="K796" s="1798"/>
      <c r="L796" s="1792">
        <v>13067030414</v>
      </c>
      <c r="M796" s="1793">
        <v>0</v>
      </c>
      <c r="N796" s="1793">
        <v>0</v>
      </c>
      <c r="O796" s="1793">
        <v>0</v>
      </c>
      <c r="P796" s="311"/>
      <c r="Q796" s="311"/>
      <c r="R796" s="311"/>
      <c r="S796" s="311"/>
      <c r="T796" s="387" t="s">
        <v>814</v>
      </c>
      <c r="U796" s="387" t="s">
        <v>327</v>
      </c>
      <c r="AA796" s="27"/>
      <c r="AB796" s="27"/>
      <c r="AC796" s="89"/>
      <c r="AD796" s="502"/>
    </row>
    <row r="797" spans="3:30" ht="13.8">
      <c r="C797" s="1799" t="s">
        <v>5287</v>
      </c>
      <c r="D797" s="1796">
        <v>1</v>
      </c>
      <c r="E797" s="1796">
        <v>1</v>
      </c>
      <c r="F797" s="1797">
        <v>2</v>
      </c>
      <c r="G797" s="1999" t="s">
        <v>5287</v>
      </c>
      <c r="H797" s="1794">
        <v>1</v>
      </c>
      <c r="I797" s="1794">
        <v>1</v>
      </c>
      <c r="J797" s="2000">
        <v>2</v>
      </c>
      <c r="K797" s="1798"/>
      <c r="L797" s="1792">
        <v>13067030502</v>
      </c>
      <c r="M797" s="1793">
        <v>1</v>
      </c>
      <c r="N797" s="1793">
        <v>1</v>
      </c>
      <c r="O797" s="1793">
        <v>2</v>
      </c>
      <c r="P797" s="311"/>
      <c r="Q797" s="311"/>
      <c r="R797" s="311"/>
      <c r="S797" s="311"/>
      <c r="T797" s="387" t="s">
        <v>815</v>
      </c>
      <c r="U797" s="387" t="s">
        <v>1958</v>
      </c>
      <c r="AA797" s="27"/>
      <c r="AB797" s="27"/>
      <c r="AC797" s="89"/>
      <c r="AD797" s="502"/>
    </row>
    <row r="798" spans="3:30" ht="13.8">
      <c r="C798" s="1799" t="s">
        <v>5288</v>
      </c>
      <c r="D798" s="1796">
        <v>1</v>
      </c>
      <c r="E798" s="1796">
        <v>0</v>
      </c>
      <c r="F798" s="1797">
        <v>1</v>
      </c>
      <c r="G798" s="1999" t="s">
        <v>5288</v>
      </c>
      <c r="H798" s="1794">
        <v>1</v>
      </c>
      <c r="I798" s="1794">
        <v>0</v>
      </c>
      <c r="J798" s="2000">
        <v>1</v>
      </c>
      <c r="K798" s="1798"/>
      <c r="L798" s="1792">
        <v>13067030504</v>
      </c>
      <c r="M798" s="1793">
        <v>1</v>
      </c>
      <c r="N798" s="1793">
        <v>0</v>
      </c>
      <c r="O798" s="1793">
        <v>1</v>
      </c>
      <c r="P798" s="311"/>
      <c r="Q798" s="311"/>
      <c r="R798" s="311"/>
      <c r="S798" s="311"/>
      <c r="T798" s="387" t="s">
        <v>2777</v>
      </c>
      <c r="U798" s="387" t="s">
        <v>111</v>
      </c>
      <c r="AA798" s="27"/>
      <c r="AB798" s="27"/>
      <c r="AC798" s="89"/>
      <c r="AD798" s="502"/>
    </row>
    <row r="799" spans="3:30" ht="13.8">
      <c r="C799" s="1799" t="s">
        <v>5289</v>
      </c>
      <c r="D799" s="1796">
        <v>1</v>
      </c>
      <c r="E799" s="1796">
        <v>0</v>
      </c>
      <c r="F799" s="1797">
        <v>1</v>
      </c>
      <c r="G799" s="1999" t="s">
        <v>5289</v>
      </c>
      <c r="H799" s="1794">
        <v>1</v>
      </c>
      <c r="I799" s="1794">
        <v>0</v>
      </c>
      <c r="J799" s="2000">
        <v>1</v>
      </c>
      <c r="K799" s="1798"/>
      <c r="L799" s="1792">
        <v>13067030505</v>
      </c>
      <c r="M799" s="1793">
        <v>1</v>
      </c>
      <c r="N799" s="1793">
        <v>0</v>
      </c>
      <c r="O799" s="1793">
        <v>1</v>
      </c>
      <c r="P799" s="311"/>
      <c r="Q799" s="311"/>
      <c r="R799" s="311"/>
      <c r="S799" s="311"/>
      <c r="T799" s="387" t="s">
        <v>816</v>
      </c>
      <c r="U799" s="387" t="s">
        <v>1864</v>
      </c>
      <c r="AA799" s="27"/>
      <c r="AB799" s="27"/>
      <c r="AC799" s="89"/>
      <c r="AD799" s="502"/>
    </row>
    <row r="800" spans="3:30" ht="13.8">
      <c r="C800" s="1799" t="s">
        <v>5290</v>
      </c>
      <c r="D800" s="1796">
        <v>1</v>
      </c>
      <c r="E800" s="1796">
        <v>1</v>
      </c>
      <c r="F800" s="1797">
        <v>2</v>
      </c>
      <c r="G800" s="1999" t="s">
        <v>5290</v>
      </c>
      <c r="H800" s="1794">
        <v>1</v>
      </c>
      <c r="I800" s="1794">
        <v>0</v>
      </c>
      <c r="J800" s="2000">
        <v>1</v>
      </c>
      <c r="K800" s="1798"/>
      <c r="L800" s="1792">
        <v>13067030506</v>
      </c>
      <c r="M800" s="1793">
        <v>1</v>
      </c>
      <c r="N800" s="1793">
        <v>1</v>
      </c>
      <c r="O800" s="1793">
        <v>2</v>
      </c>
      <c r="P800" s="311"/>
      <c r="Q800" s="311"/>
      <c r="R800" s="311"/>
      <c r="S800" s="311"/>
      <c r="T800" s="387" t="s">
        <v>817</v>
      </c>
      <c r="U800" s="387" t="s">
        <v>1074</v>
      </c>
      <c r="AA800" s="27"/>
      <c r="AB800" s="27"/>
      <c r="AC800" s="89"/>
      <c r="AD800" s="502"/>
    </row>
    <row r="801" spans="3:30" ht="13.8">
      <c r="C801" s="1799" t="s">
        <v>5291</v>
      </c>
      <c r="D801" s="1796">
        <v>1</v>
      </c>
      <c r="E801" s="1796">
        <v>1</v>
      </c>
      <c r="F801" s="1797">
        <v>2</v>
      </c>
      <c r="G801" s="1999" t="s">
        <v>5291</v>
      </c>
      <c r="H801" s="1794">
        <v>1</v>
      </c>
      <c r="I801" s="1794">
        <v>1</v>
      </c>
      <c r="J801" s="2000">
        <v>2</v>
      </c>
      <c r="K801" s="1798"/>
      <c r="L801" s="1792">
        <v>13067030507</v>
      </c>
      <c r="M801" s="1793">
        <v>1</v>
      </c>
      <c r="N801" s="1793">
        <v>1</v>
      </c>
      <c r="O801" s="1793">
        <v>2</v>
      </c>
      <c r="P801" s="311"/>
      <c r="Q801" s="311"/>
      <c r="R801" s="311"/>
      <c r="S801" s="311"/>
      <c r="T801" s="387"/>
      <c r="U801" s="387"/>
      <c r="AA801" s="27"/>
      <c r="AB801" s="27"/>
      <c r="AC801" s="89"/>
      <c r="AD801" s="502"/>
    </row>
    <row r="802" spans="3:30" ht="13.8">
      <c r="C802" s="1799" t="s">
        <v>5292</v>
      </c>
      <c r="D802" s="1796">
        <v>1</v>
      </c>
      <c r="E802" s="1796">
        <v>1</v>
      </c>
      <c r="F802" s="1797">
        <v>2</v>
      </c>
      <c r="G802" s="1999" t="s">
        <v>5292</v>
      </c>
      <c r="H802" s="1794">
        <v>1</v>
      </c>
      <c r="I802" s="1794" t="s">
        <v>4485</v>
      </c>
      <c r="J802" s="2000">
        <v>1</v>
      </c>
      <c r="K802" s="1798"/>
      <c r="L802" s="1792">
        <v>13067030601</v>
      </c>
      <c r="M802" s="1793">
        <v>1</v>
      </c>
      <c r="N802" s="1793">
        <v>1</v>
      </c>
      <c r="O802" s="1793">
        <v>2</v>
      </c>
      <c r="P802" s="311"/>
      <c r="Q802" s="311"/>
      <c r="R802" s="311"/>
      <c r="S802" s="311"/>
      <c r="T802" s="387"/>
      <c r="U802" s="387"/>
      <c r="AA802" s="27"/>
      <c r="AB802" s="27"/>
      <c r="AC802" s="89"/>
      <c r="AD802" s="502"/>
    </row>
    <row r="803" spans="3:30" ht="13.8">
      <c r="C803" s="1799" t="s">
        <v>5293</v>
      </c>
      <c r="D803" s="1796">
        <v>1</v>
      </c>
      <c r="E803" s="1796">
        <v>1</v>
      </c>
      <c r="F803" s="1797">
        <v>2</v>
      </c>
      <c r="G803" s="1999" t="s">
        <v>5293</v>
      </c>
      <c r="H803" s="1794">
        <v>1</v>
      </c>
      <c r="I803" s="1794">
        <v>1</v>
      </c>
      <c r="J803" s="2000">
        <v>2</v>
      </c>
      <c r="K803" s="1798"/>
      <c r="L803" s="1792">
        <v>13067030602</v>
      </c>
      <c r="M803" s="1793">
        <v>1</v>
      </c>
      <c r="N803" s="1793">
        <v>1</v>
      </c>
      <c r="O803" s="1793">
        <v>2</v>
      </c>
      <c r="P803" s="311"/>
      <c r="Q803" s="311"/>
      <c r="R803" s="311"/>
      <c r="S803" s="311"/>
      <c r="T803" s="387"/>
      <c r="U803" s="387"/>
      <c r="AA803" s="27"/>
      <c r="AB803" s="27"/>
      <c r="AC803" s="89"/>
      <c r="AD803" s="502"/>
    </row>
    <row r="804" spans="3:30" ht="13.8">
      <c r="C804" s="1799" t="s">
        <v>5294</v>
      </c>
      <c r="D804" s="1796">
        <v>1</v>
      </c>
      <c r="E804" s="1796">
        <v>0</v>
      </c>
      <c r="F804" s="1797">
        <v>1</v>
      </c>
      <c r="G804" s="1999" t="s">
        <v>5294</v>
      </c>
      <c r="H804" s="1794">
        <v>1</v>
      </c>
      <c r="I804" s="1794">
        <v>0</v>
      </c>
      <c r="J804" s="2000">
        <v>0</v>
      </c>
      <c r="K804" s="1798"/>
      <c r="L804" s="1792">
        <v>13067030700</v>
      </c>
      <c r="M804" s="1793">
        <v>1</v>
      </c>
      <c r="N804" s="1793">
        <v>0</v>
      </c>
      <c r="O804" s="1793">
        <v>1</v>
      </c>
      <c r="P804" s="311"/>
      <c r="T804" s="427"/>
      <c r="U804" s="427"/>
      <c r="AA804" s="27"/>
      <c r="AB804" s="27"/>
      <c r="AC804" s="89"/>
      <c r="AD804" s="502"/>
    </row>
    <row r="805" spans="3:30">
      <c r="C805" s="1799" t="s">
        <v>5295</v>
      </c>
      <c r="D805" s="1796">
        <v>0</v>
      </c>
      <c r="E805" s="1796">
        <v>0</v>
      </c>
      <c r="F805" s="1797">
        <v>0</v>
      </c>
      <c r="G805" s="1999" t="s">
        <v>5295</v>
      </c>
      <c r="H805" s="1794">
        <v>0</v>
      </c>
      <c r="I805" s="1794" t="s">
        <v>4485</v>
      </c>
      <c r="J805" s="2000">
        <v>0</v>
      </c>
      <c r="K805" s="1798"/>
      <c r="L805" s="1792">
        <v>13067030800</v>
      </c>
      <c r="M805" s="1793">
        <v>0</v>
      </c>
      <c r="N805" s="1793">
        <v>0</v>
      </c>
      <c r="O805" s="1793">
        <v>0</v>
      </c>
      <c r="T805" s="427"/>
      <c r="U805" s="427"/>
      <c r="AA805" s="27"/>
      <c r="AB805" s="27"/>
      <c r="AC805" s="502"/>
      <c r="AD805" s="502"/>
    </row>
    <row r="806" spans="3:30">
      <c r="C806" s="1799" t="s">
        <v>5296</v>
      </c>
      <c r="D806" s="1796">
        <v>1</v>
      </c>
      <c r="E806" s="1796">
        <v>1</v>
      </c>
      <c r="F806" s="1797">
        <v>2</v>
      </c>
      <c r="G806" s="1999" t="s">
        <v>5296</v>
      </c>
      <c r="H806" s="1794">
        <v>1</v>
      </c>
      <c r="I806" s="1794">
        <v>1</v>
      </c>
      <c r="J806" s="2000">
        <v>2</v>
      </c>
      <c r="K806" s="1798"/>
      <c r="L806" s="1792">
        <v>13067030901</v>
      </c>
      <c r="M806" s="1793">
        <v>1</v>
      </c>
      <c r="N806" s="1793">
        <v>1</v>
      </c>
      <c r="O806" s="1793">
        <v>2</v>
      </c>
      <c r="T806" s="427"/>
      <c r="U806" s="427"/>
      <c r="AA806" s="27"/>
      <c r="AB806" s="27"/>
      <c r="AC806" s="502"/>
      <c r="AD806" s="502"/>
    </row>
    <row r="807" spans="3:30">
      <c r="C807" s="1799" t="s">
        <v>5297</v>
      </c>
      <c r="D807" s="1796">
        <v>1</v>
      </c>
      <c r="E807" s="1796">
        <v>0</v>
      </c>
      <c r="F807" s="1797">
        <v>1</v>
      </c>
      <c r="G807" s="1999" t="s">
        <v>5297</v>
      </c>
      <c r="H807" s="1794">
        <v>1</v>
      </c>
      <c r="I807" s="1794">
        <v>0</v>
      </c>
      <c r="J807" s="2000">
        <v>1</v>
      </c>
      <c r="K807" s="1798"/>
      <c r="L807" s="1792">
        <v>13067030902</v>
      </c>
      <c r="M807" s="1793">
        <v>1</v>
      </c>
      <c r="N807" s="1793">
        <v>0</v>
      </c>
      <c r="O807" s="1793">
        <v>1</v>
      </c>
      <c r="T807" s="427"/>
      <c r="U807" s="427"/>
      <c r="AA807" s="27"/>
      <c r="AB807" s="27"/>
      <c r="AC807" s="502"/>
      <c r="AD807" s="502"/>
    </row>
    <row r="808" spans="3:30">
      <c r="C808" s="1799" t="s">
        <v>5298</v>
      </c>
      <c r="D808" s="1796">
        <v>0</v>
      </c>
      <c r="E808" s="1796">
        <v>0</v>
      </c>
      <c r="F808" s="1797">
        <v>0</v>
      </c>
      <c r="G808" s="1999" t="s">
        <v>5298</v>
      </c>
      <c r="H808" s="1794">
        <v>0</v>
      </c>
      <c r="I808" s="1794">
        <v>0</v>
      </c>
      <c r="J808" s="2000">
        <v>0</v>
      </c>
      <c r="K808" s="1798"/>
      <c r="L808" s="1792">
        <v>13067030904</v>
      </c>
      <c r="M808" s="1793">
        <v>0</v>
      </c>
      <c r="N808" s="1793">
        <v>0</v>
      </c>
      <c r="O808" s="1793">
        <v>0</v>
      </c>
      <c r="AA808" s="27"/>
      <c r="AB808" s="27"/>
      <c r="AC808" s="502"/>
      <c r="AD808" s="502"/>
    </row>
    <row r="809" spans="3:30">
      <c r="C809" s="1799" t="s">
        <v>5299</v>
      </c>
      <c r="D809" s="1796">
        <v>0</v>
      </c>
      <c r="E809" s="1796">
        <v>0</v>
      </c>
      <c r="F809" s="1797">
        <v>0</v>
      </c>
      <c r="G809" s="1999" t="s">
        <v>5299</v>
      </c>
      <c r="H809" s="1794">
        <v>0</v>
      </c>
      <c r="I809" s="1794">
        <v>0</v>
      </c>
      <c r="J809" s="2000">
        <v>0</v>
      </c>
      <c r="K809" s="1798"/>
      <c r="L809" s="1792">
        <v>13067030905</v>
      </c>
      <c r="M809" s="1793">
        <v>0</v>
      </c>
      <c r="N809" s="1793">
        <v>0</v>
      </c>
      <c r="O809" s="1793">
        <v>0</v>
      </c>
      <c r="AA809" s="27"/>
      <c r="AB809" s="27"/>
      <c r="AC809" s="502"/>
      <c r="AD809" s="502"/>
    </row>
    <row r="810" spans="3:30">
      <c r="C810" s="1799" t="s">
        <v>5300</v>
      </c>
      <c r="D810" s="1796">
        <v>0</v>
      </c>
      <c r="E810" s="1796">
        <v>0</v>
      </c>
      <c r="F810" s="1797">
        <v>0</v>
      </c>
      <c r="G810" s="1999" t="s">
        <v>5300</v>
      </c>
      <c r="H810" s="1794">
        <v>0</v>
      </c>
      <c r="I810" s="1794">
        <v>0</v>
      </c>
      <c r="J810" s="2000">
        <v>0</v>
      </c>
      <c r="K810" s="1798"/>
      <c r="L810" s="1792">
        <v>13067031001</v>
      </c>
      <c r="M810" s="1793">
        <v>0</v>
      </c>
      <c r="N810" s="1793">
        <v>0</v>
      </c>
      <c r="O810" s="1793">
        <v>0</v>
      </c>
      <c r="AA810" s="27"/>
      <c r="AB810" s="27"/>
      <c r="AC810" s="502"/>
      <c r="AD810" s="502"/>
    </row>
    <row r="811" spans="3:30">
      <c r="C811" s="1799" t="s">
        <v>5301</v>
      </c>
      <c r="D811" s="1796">
        <v>0</v>
      </c>
      <c r="E811" s="1796">
        <v>0</v>
      </c>
      <c r="F811" s="1797">
        <v>0</v>
      </c>
      <c r="G811" s="1999" t="s">
        <v>5301</v>
      </c>
      <c r="H811" s="1794">
        <v>0</v>
      </c>
      <c r="I811" s="1794">
        <v>0</v>
      </c>
      <c r="J811" s="2000">
        <v>0</v>
      </c>
      <c r="K811" s="1798"/>
      <c r="L811" s="1792">
        <v>13067031002</v>
      </c>
      <c r="M811" s="1793">
        <v>0</v>
      </c>
      <c r="N811" s="1793">
        <v>0</v>
      </c>
      <c r="O811" s="1793">
        <v>0</v>
      </c>
      <c r="AA811" s="27"/>
      <c r="AB811" s="27"/>
      <c r="AC811" s="502"/>
      <c r="AD811" s="502"/>
    </row>
    <row r="812" spans="3:30">
      <c r="C812" s="1799" t="s">
        <v>5302</v>
      </c>
      <c r="D812" s="1796">
        <v>0</v>
      </c>
      <c r="E812" s="1796">
        <v>0</v>
      </c>
      <c r="F812" s="1797">
        <v>0</v>
      </c>
      <c r="G812" s="1999" t="s">
        <v>5302</v>
      </c>
      <c r="H812" s="1794">
        <v>0</v>
      </c>
      <c r="I812" s="1794">
        <v>0</v>
      </c>
      <c r="J812" s="2000">
        <v>0</v>
      </c>
      <c r="K812" s="1798"/>
      <c r="L812" s="1792">
        <v>13067031004</v>
      </c>
      <c r="M812" s="1793">
        <v>0</v>
      </c>
      <c r="N812" s="1793">
        <v>0</v>
      </c>
      <c r="O812" s="1793">
        <v>0</v>
      </c>
      <c r="AA812" s="27"/>
      <c r="AB812" s="27"/>
      <c r="AC812" s="502"/>
      <c r="AD812" s="502"/>
    </row>
    <row r="813" spans="3:30">
      <c r="C813" s="1799" t="s">
        <v>5303</v>
      </c>
      <c r="D813" s="1796">
        <v>0</v>
      </c>
      <c r="E813" s="1796">
        <v>0</v>
      </c>
      <c r="F813" s="1797">
        <v>0</v>
      </c>
      <c r="G813" s="1999" t="s">
        <v>5303</v>
      </c>
      <c r="H813" s="1794">
        <v>0</v>
      </c>
      <c r="I813" s="1794">
        <v>0</v>
      </c>
      <c r="J813" s="2000">
        <v>0</v>
      </c>
      <c r="K813" s="1798"/>
      <c r="L813" s="1792">
        <v>13067031005</v>
      </c>
      <c r="M813" s="1793">
        <v>0</v>
      </c>
      <c r="N813" s="1793">
        <v>0</v>
      </c>
      <c r="O813" s="1793">
        <v>0</v>
      </c>
      <c r="AA813" s="27"/>
      <c r="AB813" s="27"/>
      <c r="AC813" s="502"/>
      <c r="AD813" s="502"/>
    </row>
    <row r="814" spans="3:30">
      <c r="C814" s="1799" t="s">
        <v>5304</v>
      </c>
      <c r="D814" s="1796">
        <v>0</v>
      </c>
      <c r="E814" s="1796">
        <v>0</v>
      </c>
      <c r="F814" s="1797">
        <v>0</v>
      </c>
      <c r="G814" s="1999" t="s">
        <v>5304</v>
      </c>
      <c r="H814" s="1794">
        <v>0</v>
      </c>
      <c r="I814" s="1794">
        <v>0</v>
      </c>
      <c r="J814" s="2000">
        <v>0</v>
      </c>
      <c r="K814" s="1798"/>
      <c r="L814" s="1792">
        <v>13067031101</v>
      </c>
      <c r="M814" s="1793">
        <v>0</v>
      </c>
      <c r="N814" s="1793">
        <v>0</v>
      </c>
      <c r="O814" s="1793">
        <v>0</v>
      </c>
      <c r="AA814" s="27"/>
      <c r="AB814" s="27"/>
      <c r="AC814" s="502"/>
      <c r="AD814" s="502"/>
    </row>
    <row r="815" spans="3:30">
      <c r="C815" s="1799" t="s">
        <v>5305</v>
      </c>
      <c r="D815" s="1796">
        <v>1</v>
      </c>
      <c r="E815" s="1796">
        <v>0</v>
      </c>
      <c r="F815" s="1797">
        <v>1</v>
      </c>
      <c r="G815" s="1999" t="s">
        <v>5305</v>
      </c>
      <c r="H815" s="1794">
        <v>1</v>
      </c>
      <c r="I815" s="1794">
        <v>1</v>
      </c>
      <c r="J815" s="2000">
        <v>2</v>
      </c>
      <c r="K815" s="1798"/>
      <c r="L815" s="1792">
        <v>13067031106</v>
      </c>
      <c r="M815" s="1793">
        <v>1</v>
      </c>
      <c r="N815" s="1793">
        <v>1</v>
      </c>
      <c r="O815" s="1793">
        <v>2</v>
      </c>
      <c r="AA815" s="27"/>
      <c r="AB815" s="27"/>
      <c r="AC815" s="502"/>
      <c r="AD815" s="502"/>
    </row>
    <row r="816" spans="3:30">
      <c r="C816" s="1799" t="s">
        <v>5306</v>
      </c>
      <c r="D816" s="1796">
        <v>1</v>
      </c>
      <c r="E816" s="1796">
        <v>0</v>
      </c>
      <c r="F816" s="1797">
        <v>1</v>
      </c>
      <c r="G816" s="1999" t="s">
        <v>5306</v>
      </c>
      <c r="H816" s="1794">
        <v>1</v>
      </c>
      <c r="I816" s="1794">
        <v>1</v>
      </c>
      <c r="J816" s="2000">
        <v>2</v>
      </c>
      <c r="K816" s="1798"/>
      <c r="L816" s="1792">
        <v>13067031108</v>
      </c>
      <c r="M816" s="1793">
        <v>1</v>
      </c>
      <c r="N816" s="1793">
        <v>1</v>
      </c>
      <c r="O816" s="1793">
        <v>2</v>
      </c>
      <c r="AA816" s="27"/>
      <c r="AB816" s="27"/>
      <c r="AC816" s="502"/>
      <c r="AD816" s="502"/>
    </row>
    <row r="817" spans="3:30">
      <c r="C817" s="1799" t="s">
        <v>5307</v>
      </c>
      <c r="D817" s="1796">
        <v>1</v>
      </c>
      <c r="E817" s="1796">
        <v>0</v>
      </c>
      <c r="F817" s="1797">
        <v>1</v>
      </c>
      <c r="G817" s="1999" t="s">
        <v>5307</v>
      </c>
      <c r="H817" s="1794">
        <v>1</v>
      </c>
      <c r="I817" s="1794">
        <v>0</v>
      </c>
      <c r="J817" s="2000">
        <v>1</v>
      </c>
      <c r="K817" s="1798"/>
      <c r="L817" s="1792">
        <v>13067031110</v>
      </c>
      <c r="M817" s="1793">
        <v>1</v>
      </c>
      <c r="N817" s="1793">
        <v>0</v>
      </c>
      <c r="O817" s="1793">
        <v>1</v>
      </c>
      <c r="AA817" s="27"/>
      <c r="AB817" s="27"/>
      <c r="AC817" s="502"/>
      <c r="AD817" s="502"/>
    </row>
    <row r="818" spans="3:30">
      <c r="C818" s="1799" t="s">
        <v>5308</v>
      </c>
      <c r="D818" s="1796">
        <v>1</v>
      </c>
      <c r="E818" s="1796">
        <v>1</v>
      </c>
      <c r="F818" s="1797">
        <v>2</v>
      </c>
      <c r="G818" s="1999" t="s">
        <v>5308</v>
      </c>
      <c r="H818" s="1794">
        <v>1</v>
      </c>
      <c r="I818" s="1794">
        <v>1</v>
      </c>
      <c r="J818" s="2000">
        <v>2</v>
      </c>
      <c r="K818" s="1798"/>
      <c r="L818" s="1792">
        <v>13067031111</v>
      </c>
      <c r="M818" s="1793">
        <v>1</v>
      </c>
      <c r="N818" s="1793">
        <v>1</v>
      </c>
      <c r="O818" s="1793">
        <v>2</v>
      </c>
      <c r="AA818" s="27"/>
      <c r="AB818" s="27"/>
      <c r="AC818" s="502"/>
      <c r="AD818" s="502"/>
    </row>
    <row r="819" spans="3:30">
      <c r="C819" s="1799" t="s">
        <v>5309</v>
      </c>
      <c r="D819" s="1796">
        <v>1</v>
      </c>
      <c r="E819" s="1796">
        <v>1</v>
      </c>
      <c r="F819" s="1797">
        <v>2</v>
      </c>
      <c r="G819" s="1999" t="s">
        <v>5309</v>
      </c>
      <c r="H819" s="1794">
        <v>1</v>
      </c>
      <c r="I819" s="1794">
        <v>1</v>
      </c>
      <c r="J819" s="2000">
        <v>2</v>
      </c>
      <c r="K819" s="1798"/>
      <c r="L819" s="1792">
        <v>13067031112</v>
      </c>
      <c r="M819" s="1793">
        <v>1</v>
      </c>
      <c r="N819" s="1793">
        <v>1</v>
      </c>
      <c r="O819" s="1793">
        <v>2</v>
      </c>
      <c r="AA819" s="27"/>
      <c r="AB819" s="27"/>
      <c r="AC819" s="502"/>
      <c r="AD819" s="502"/>
    </row>
    <row r="820" spans="3:30">
      <c r="C820" s="1799" t="s">
        <v>5310</v>
      </c>
      <c r="D820" s="1796">
        <v>0</v>
      </c>
      <c r="E820" s="1796">
        <v>0</v>
      </c>
      <c r="F820" s="1797">
        <v>0</v>
      </c>
      <c r="G820" s="1999" t="s">
        <v>5310</v>
      </c>
      <c r="H820" s="1794">
        <v>1</v>
      </c>
      <c r="I820" s="1794" t="s">
        <v>4485</v>
      </c>
      <c r="J820" s="2000">
        <v>1</v>
      </c>
      <c r="K820" s="1798"/>
      <c r="L820" s="1792">
        <v>13067031113</v>
      </c>
      <c r="M820" s="1793">
        <v>1</v>
      </c>
      <c r="N820" s="1793">
        <v>0</v>
      </c>
      <c r="O820" s="1793">
        <v>1</v>
      </c>
      <c r="AA820" s="27"/>
      <c r="AB820" s="27"/>
      <c r="AC820" s="502"/>
      <c r="AD820" s="502"/>
    </row>
    <row r="821" spans="3:30">
      <c r="C821" s="1799" t="s">
        <v>5311</v>
      </c>
      <c r="D821" s="1796">
        <v>0</v>
      </c>
      <c r="E821" s="1796">
        <v>0</v>
      </c>
      <c r="F821" s="1797">
        <v>0</v>
      </c>
      <c r="G821" s="1999" t="s">
        <v>5311</v>
      </c>
      <c r="H821" s="1794">
        <v>1</v>
      </c>
      <c r="I821" s="1794">
        <v>0</v>
      </c>
      <c r="J821" s="2000">
        <v>1</v>
      </c>
      <c r="K821" s="1798"/>
      <c r="L821" s="1792">
        <v>13067031114</v>
      </c>
      <c r="M821" s="1793">
        <v>1</v>
      </c>
      <c r="N821" s="1793">
        <v>0</v>
      </c>
      <c r="O821" s="1793">
        <v>1</v>
      </c>
      <c r="AA821" s="27"/>
      <c r="AB821" s="27"/>
      <c r="AC821" s="502"/>
      <c r="AD821" s="502"/>
    </row>
    <row r="822" spans="3:30">
      <c r="C822" s="1799" t="s">
        <v>5312</v>
      </c>
      <c r="D822" s="1796">
        <v>1</v>
      </c>
      <c r="E822" s="1796">
        <v>0</v>
      </c>
      <c r="F822" s="1797">
        <v>1</v>
      </c>
      <c r="G822" s="1999" t="s">
        <v>5312</v>
      </c>
      <c r="H822" s="1794">
        <v>1</v>
      </c>
      <c r="I822" s="1794">
        <v>0</v>
      </c>
      <c r="J822" s="2000">
        <v>1</v>
      </c>
      <c r="K822" s="1798"/>
      <c r="L822" s="1792">
        <v>13067031115</v>
      </c>
      <c r="M822" s="1793">
        <v>1</v>
      </c>
      <c r="N822" s="1793">
        <v>0</v>
      </c>
      <c r="O822" s="1793">
        <v>1</v>
      </c>
      <c r="AA822" s="27"/>
      <c r="AB822" s="27"/>
      <c r="AC822" s="502"/>
      <c r="AD822" s="502"/>
    </row>
    <row r="823" spans="3:30">
      <c r="C823" s="1799" t="s">
        <v>5313</v>
      </c>
      <c r="D823" s="1796">
        <v>0</v>
      </c>
      <c r="E823" s="1796">
        <v>0</v>
      </c>
      <c r="F823" s="1797">
        <v>0</v>
      </c>
      <c r="G823" s="1999" t="s">
        <v>5313</v>
      </c>
      <c r="H823" s="1794">
        <v>0</v>
      </c>
      <c r="I823" s="1794" t="s">
        <v>4485</v>
      </c>
      <c r="J823" s="2000">
        <v>0</v>
      </c>
      <c r="K823" s="1798"/>
      <c r="L823" s="1792">
        <v>13067031116</v>
      </c>
      <c r="M823" s="1793">
        <v>0</v>
      </c>
      <c r="N823" s="1793">
        <v>0</v>
      </c>
      <c r="O823" s="1793">
        <v>0</v>
      </c>
      <c r="AA823" s="27"/>
      <c r="AB823" s="27"/>
      <c r="AC823" s="502"/>
      <c r="AD823" s="502"/>
    </row>
    <row r="824" spans="3:30">
      <c r="C824" s="1799" t="s">
        <v>5314</v>
      </c>
      <c r="D824" s="1796">
        <v>1</v>
      </c>
      <c r="E824" s="1796">
        <v>1</v>
      </c>
      <c r="F824" s="1797">
        <v>2</v>
      </c>
      <c r="G824" s="1999" t="s">
        <v>5314</v>
      </c>
      <c r="H824" s="1794">
        <v>1</v>
      </c>
      <c r="I824" s="1794">
        <v>1</v>
      </c>
      <c r="J824" s="2000">
        <v>2</v>
      </c>
      <c r="K824" s="1798"/>
      <c r="L824" s="1792">
        <v>13067031117</v>
      </c>
      <c r="M824" s="1793">
        <v>1</v>
      </c>
      <c r="N824" s="1793">
        <v>1</v>
      </c>
      <c r="O824" s="1793">
        <v>2</v>
      </c>
      <c r="AA824" s="27"/>
      <c r="AB824" s="27"/>
      <c r="AC824" s="502"/>
      <c r="AD824" s="502"/>
    </row>
    <row r="825" spans="3:30">
      <c r="C825" s="1799" t="s">
        <v>5315</v>
      </c>
      <c r="D825" s="1796">
        <v>1</v>
      </c>
      <c r="E825" s="1796">
        <v>1</v>
      </c>
      <c r="F825" s="1797">
        <v>2</v>
      </c>
      <c r="G825" s="1999" t="s">
        <v>5315</v>
      </c>
      <c r="H825" s="1794">
        <v>1</v>
      </c>
      <c r="I825" s="1794">
        <v>1</v>
      </c>
      <c r="J825" s="2000">
        <v>2</v>
      </c>
      <c r="K825" s="1798"/>
      <c r="L825" s="1792">
        <v>13067031118</v>
      </c>
      <c r="M825" s="1793">
        <v>1</v>
      </c>
      <c r="N825" s="1793">
        <v>1</v>
      </c>
      <c r="O825" s="1793">
        <v>2</v>
      </c>
      <c r="AA825" s="27"/>
      <c r="AB825" s="27"/>
      <c r="AC825" s="502"/>
      <c r="AD825" s="502"/>
    </row>
    <row r="826" spans="3:30">
      <c r="C826" s="1799" t="s">
        <v>5316</v>
      </c>
      <c r="D826" s="1796">
        <v>1</v>
      </c>
      <c r="E826" s="1796">
        <v>1</v>
      </c>
      <c r="F826" s="1797">
        <v>2</v>
      </c>
      <c r="G826" s="1999" t="s">
        <v>5316</v>
      </c>
      <c r="H826" s="1794">
        <v>1</v>
      </c>
      <c r="I826" s="1794">
        <v>1</v>
      </c>
      <c r="J826" s="2000">
        <v>2</v>
      </c>
      <c r="K826" s="1798"/>
      <c r="L826" s="1792">
        <v>13067031205</v>
      </c>
      <c r="M826" s="1793">
        <v>1</v>
      </c>
      <c r="N826" s="1793">
        <v>1</v>
      </c>
      <c r="O826" s="1793">
        <v>2</v>
      </c>
      <c r="AA826" s="27"/>
      <c r="AB826" s="27"/>
      <c r="AC826" s="502"/>
      <c r="AD826" s="502"/>
    </row>
    <row r="827" spans="3:30">
      <c r="C827" s="1799" t="s">
        <v>5317</v>
      </c>
      <c r="D827" s="1796">
        <v>1</v>
      </c>
      <c r="E827" s="1796">
        <v>1</v>
      </c>
      <c r="F827" s="1797">
        <v>2</v>
      </c>
      <c r="G827" s="1999" t="s">
        <v>5317</v>
      </c>
      <c r="H827" s="1794">
        <v>1</v>
      </c>
      <c r="I827" s="1794">
        <v>1</v>
      </c>
      <c r="J827" s="2000">
        <v>2</v>
      </c>
      <c r="K827" s="1798"/>
      <c r="L827" s="1792">
        <v>13067031206</v>
      </c>
      <c r="M827" s="1793">
        <v>1</v>
      </c>
      <c r="N827" s="1793">
        <v>1</v>
      </c>
      <c r="O827" s="1793">
        <v>2</v>
      </c>
      <c r="AA827" s="27"/>
      <c r="AB827" s="27"/>
      <c r="AC827" s="502"/>
      <c r="AD827" s="502"/>
    </row>
    <row r="828" spans="3:30">
      <c r="C828" s="1799" t="s">
        <v>5318</v>
      </c>
      <c r="D828" s="1796">
        <v>1</v>
      </c>
      <c r="E828" s="1796">
        <v>1</v>
      </c>
      <c r="F828" s="1797">
        <v>2</v>
      </c>
      <c r="G828" s="1999" t="s">
        <v>5318</v>
      </c>
      <c r="H828" s="1794">
        <v>1</v>
      </c>
      <c r="I828" s="1794" t="s">
        <v>4485</v>
      </c>
      <c r="J828" s="2000">
        <v>1</v>
      </c>
      <c r="K828" s="1798"/>
      <c r="L828" s="1792">
        <v>13067031207</v>
      </c>
      <c r="M828" s="1793">
        <v>1</v>
      </c>
      <c r="N828" s="1793">
        <v>1</v>
      </c>
      <c r="O828" s="1793">
        <v>2</v>
      </c>
      <c r="AA828" s="27"/>
      <c r="AB828" s="27"/>
      <c r="AC828" s="502"/>
      <c r="AD828" s="502"/>
    </row>
    <row r="829" spans="3:30">
      <c r="C829" s="1799" t="s">
        <v>5319</v>
      </c>
      <c r="D829" s="1796">
        <v>1</v>
      </c>
      <c r="E829" s="1796">
        <v>1</v>
      </c>
      <c r="F829" s="1797">
        <v>2</v>
      </c>
      <c r="G829" s="1999" t="s">
        <v>5319</v>
      </c>
      <c r="H829" s="1794">
        <v>1</v>
      </c>
      <c r="I829" s="1794">
        <v>1</v>
      </c>
      <c r="J829" s="2000">
        <v>2</v>
      </c>
      <c r="K829" s="1798"/>
      <c r="L829" s="1792">
        <v>13067031208</v>
      </c>
      <c r="M829" s="1793">
        <v>1</v>
      </c>
      <c r="N829" s="1793">
        <v>1</v>
      </c>
      <c r="O829" s="1793">
        <v>2</v>
      </c>
      <c r="AA829" s="27"/>
      <c r="AB829" s="27"/>
      <c r="AC829" s="502"/>
      <c r="AD829" s="502"/>
    </row>
    <row r="830" spans="3:30">
      <c r="C830" s="1799" t="s">
        <v>5320</v>
      </c>
      <c r="D830" s="1796">
        <v>1</v>
      </c>
      <c r="E830" s="1796">
        <v>1</v>
      </c>
      <c r="F830" s="1797">
        <v>2</v>
      </c>
      <c r="G830" s="1999" t="s">
        <v>5320</v>
      </c>
      <c r="H830" s="1794">
        <v>1</v>
      </c>
      <c r="I830" s="1794">
        <v>1</v>
      </c>
      <c r="J830" s="2000">
        <v>2</v>
      </c>
      <c r="K830" s="1798"/>
      <c r="L830" s="1792">
        <v>13067031209</v>
      </c>
      <c r="M830" s="1793">
        <v>1</v>
      </c>
      <c r="N830" s="1793">
        <v>1</v>
      </c>
      <c r="O830" s="1793">
        <v>2</v>
      </c>
      <c r="AA830" s="27"/>
      <c r="AB830" s="27"/>
      <c r="AC830" s="502"/>
      <c r="AD830" s="502"/>
    </row>
    <row r="831" spans="3:30">
      <c r="C831" s="1799" t="s">
        <v>5321</v>
      </c>
      <c r="D831" s="1796">
        <v>1</v>
      </c>
      <c r="E831" s="1796">
        <v>1</v>
      </c>
      <c r="F831" s="1797">
        <v>2</v>
      </c>
      <c r="G831" s="1999" t="s">
        <v>5321</v>
      </c>
      <c r="H831" s="1794">
        <v>1</v>
      </c>
      <c r="I831" s="1794">
        <v>1</v>
      </c>
      <c r="J831" s="2000">
        <v>2</v>
      </c>
      <c r="K831" s="1798"/>
      <c r="L831" s="1792">
        <v>13067031211</v>
      </c>
      <c r="M831" s="1793">
        <v>1</v>
      </c>
      <c r="N831" s="1793">
        <v>1</v>
      </c>
      <c r="O831" s="1793">
        <v>2</v>
      </c>
      <c r="AA831" s="27"/>
      <c r="AB831" s="27"/>
      <c r="AC831" s="502"/>
      <c r="AD831" s="502"/>
    </row>
    <row r="832" spans="3:30">
      <c r="C832" s="1799" t="s">
        <v>5322</v>
      </c>
      <c r="D832" s="1796">
        <v>1</v>
      </c>
      <c r="E832" s="1796">
        <v>1</v>
      </c>
      <c r="F832" s="1797">
        <v>2</v>
      </c>
      <c r="G832" s="1999" t="s">
        <v>5322</v>
      </c>
      <c r="H832" s="1794">
        <v>1</v>
      </c>
      <c r="I832" s="1794">
        <v>1</v>
      </c>
      <c r="J832" s="2000">
        <v>2</v>
      </c>
      <c r="K832" s="1798"/>
      <c r="L832" s="1792">
        <v>13067031212</v>
      </c>
      <c r="M832" s="1793">
        <v>1</v>
      </c>
      <c r="N832" s="1793">
        <v>1</v>
      </c>
      <c r="O832" s="1793">
        <v>2</v>
      </c>
      <c r="AA832" s="27"/>
      <c r="AB832" s="27"/>
      <c r="AC832" s="502"/>
      <c r="AD832" s="502"/>
    </row>
    <row r="833" spans="3:30">
      <c r="C833" s="1799" t="s">
        <v>5323</v>
      </c>
      <c r="D833" s="1796">
        <v>1</v>
      </c>
      <c r="E833" s="1796">
        <v>0</v>
      </c>
      <c r="F833" s="1797">
        <v>1</v>
      </c>
      <c r="G833" s="1999" t="s">
        <v>5323</v>
      </c>
      <c r="H833" s="1794">
        <v>1</v>
      </c>
      <c r="I833" s="1794">
        <v>0</v>
      </c>
      <c r="J833" s="2000">
        <v>1</v>
      </c>
      <c r="K833" s="1798"/>
      <c r="L833" s="1792">
        <v>13067031306</v>
      </c>
      <c r="M833" s="1793">
        <v>1</v>
      </c>
      <c r="N833" s="1793">
        <v>0</v>
      </c>
      <c r="O833" s="1793">
        <v>1</v>
      </c>
      <c r="AA833" s="27"/>
      <c r="AB833" s="27"/>
      <c r="AC833" s="502"/>
      <c r="AD833" s="502"/>
    </row>
    <row r="834" spans="3:30">
      <c r="C834" s="1799" t="s">
        <v>5324</v>
      </c>
      <c r="D834" s="1796">
        <v>1</v>
      </c>
      <c r="E834" s="1796">
        <v>1</v>
      </c>
      <c r="F834" s="1797">
        <v>2</v>
      </c>
      <c r="G834" s="1999" t="s">
        <v>5324</v>
      </c>
      <c r="H834" s="1794">
        <v>1</v>
      </c>
      <c r="I834" s="1794">
        <v>1</v>
      </c>
      <c r="J834" s="2000">
        <v>2</v>
      </c>
      <c r="K834" s="1798"/>
      <c r="L834" s="1792">
        <v>13067031307</v>
      </c>
      <c r="M834" s="1793">
        <v>1</v>
      </c>
      <c r="N834" s="1793">
        <v>1</v>
      </c>
      <c r="O834" s="1793">
        <v>2</v>
      </c>
      <c r="AA834" s="27"/>
      <c r="AB834" s="27"/>
      <c r="AC834" s="502"/>
      <c r="AD834" s="502"/>
    </row>
    <row r="835" spans="3:30">
      <c r="C835" s="1799" t="s">
        <v>5325</v>
      </c>
      <c r="D835" s="1796">
        <v>0</v>
      </c>
      <c r="E835" s="1796">
        <v>0</v>
      </c>
      <c r="F835" s="1797">
        <v>0</v>
      </c>
      <c r="G835" s="1999" t="s">
        <v>5325</v>
      </c>
      <c r="H835" s="1794">
        <v>0</v>
      </c>
      <c r="I835" s="1794">
        <v>0</v>
      </c>
      <c r="J835" s="2000">
        <v>0</v>
      </c>
      <c r="K835" s="1798"/>
      <c r="L835" s="1792">
        <v>13067031308</v>
      </c>
      <c r="M835" s="1793">
        <v>0</v>
      </c>
      <c r="N835" s="1793">
        <v>0</v>
      </c>
      <c r="O835" s="1793">
        <v>0</v>
      </c>
      <c r="AA835" s="27"/>
      <c r="AB835" s="27"/>
      <c r="AC835" s="502"/>
      <c r="AD835" s="502"/>
    </row>
    <row r="836" spans="3:30">
      <c r="C836" s="1799" t="s">
        <v>5326</v>
      </c>
      <c r="D836" s="1796">
        <v>0</v>
      </c>
      <c r="E836" s="1796">
        <v>0</v>
      </c>
      <c r="F836" s="1797">
        <v>0</v>
      </c>
      <c r="G836" s="1999" t="s">
        <v>5326</v>
      </c>
      <c r="H836" s="1794">
        <v>1</v>
      </c>
      <c r="I836" s="1794">
        <v>0</v>
      </c>
      <c r="J836" s="2000">
        <v>1</v>
      </c>
      <c r="K836" s="1798"/>
      <c r="L836" s="1792">
        <v>13067031309</v>
      </c>
      <c r="M836" s="1793">
        <v>1</v>
      </c>
      <c r="N836" s="1793">
        <v>0</v>
      </c>
      <c r="O836" s="1793">
        <v>1</v>
      </c>
      <c r="AA836" s="27"/>
      <c r="AB836" s="27"/>
      <c r="AC836" s="502"/>
      <c r="AD836" s="502"/>
    </row>
    <row r="837" spans="3:30">
      <c r="C837" s="1799" t="s">
        <v>5327</v>
      </c>
      <c r="D837" s="1796">
        <v>0</v>
      </c>
      <c r="E837" s="1796">
        <v>0</v>
      </c>
      <c r="F837" s="1797">
        <v>0</v>
      </c>
      <c r="G837" s="1999" t="s">
        <v>5327</v>
      </c>
      <c r="H837" s="1794">
        <v>0</v>
      </c>
      <c r="I837" s="1794">
        <v>0</v>
      </c>
      <c r="J837" s="2000">
        <v>0</v>
      </c>
      <c r="K837" s="1798"/>
      <c r="L837" s="1792">
        <v>13067031310</v>
      </c>
      <c r="M837" s="1793">
        <v>0</v>
      </c>
      <c r="N837" s="1793">
        <v>0</v>
      </c>
      <c r="O837" s="1793">
        <v>0</v>
      </c>
      <c r="AA837" s="27"/>
      <c r="AC837" s="502"/>
    </row>
    <row r="838" spans="3:30">
      <c r="C838" s="1799" t="s">
        <v>5328</v>
      </c>
      <c r="D838" s="1796">
        <v>0</v>
      </c>
      <c r="E838" s="1796">
        <v>0</v>
      </c>
      <c r="F838" s="1797">
        <v>0</v>
      </c>
      <c r="G838" s="1999" t="s">
        <v>5328</v>
      </c>
      <c r="H838" s="1794">
        <v>0</v>
      </c>
      <c r="I838" s="1794">
        <v>0</v>
      </c>
      <c r="J838" s="2000">
        <v>0</v>
      </c>
      <c r="K838" s="1798"/>
      <c r="L838" s="1792">
        <v>13067031311</v>
      </c>
      <c r="M838" s="1793">
        <v>0</v>
      </c>
      <c r="N838" s="1793">
        <v>0</v>
      </c>
      <c r="O838" s="1793">
        <v>0</v>
      </c>
      <c r="AA838" s="27"/>
      <c r="AC838" s="502"/>
    </row>
    <row r="839" spans="3:30">
      <c r="C839" s="1799" t="s">
        <v>5329</v>
      </c>
      <c r="D839" s="1796">
        <v>1</v>
      </c>
      <c r="E839" s="1796">
        <v>1</v>
      </c>
      <c r="F839" s="1797">
        <v>2</v>
      </c>
      <c r="G839" s="1999" t="s">
        <v>5329</v>
      </c>
      <c r="H839" s="1794">
        <v>1</v>
      </c>
      <c r="I839" s="1794">
        <v>1</v>
      </c>
      <c r="J839" s="2000">
        <v>2</v>
      </c>
      <c r="K839" s="1798"/>
      <c r="L839" s="1792">
        <v>13067031312</v>
      </c>
      <c r="M839" s="1793">
        <v>1</v>
      </c>
      <c r="N839" s="1793">
        <v>1</v>
      </c>
      <c r="O839" s="1793">
        <v>2</v>
      </c>
      <c r="AA839" s="27"/>
      <c r="AC839" s="502"/>
    </row>
    <row r="840" spans="3:30">
      <c r="C840" s="1799" t="s">
        <v>5330</v>
      </c>
      <c r="D840" s="1796">
        <v>1</v>
      </c>
      <c r="E840" s="1796">
        <v>1</v>
      </c>
      <c r="F840" s="1797">
        <v>2</v>
      </c>
      <c r="G840" s="1999" t="s">
        <v>5330</v>
      </c>
      <c r="H840" s="1794">
        <v>1</v>
      </c>
      <c r="I840" s="1794">
        <v>1</v>
      </c>
      <c r="J840" s="2000">
        <v>2</v>
      </c>
      <c r="K840" s="1798"/>
      <c r="L840" s="1792">
        <v>13067031313</v>
      </c>
      <c r="M840" s="1793">
        <v>1</v>
      </c>
      <c r="N840" s="1793">
        <v>1</v>
      </c>
      <c r="O840" s="1793">
        <v>2</v>
      </c>
      <c r="AA840" s="27"/>
      <c r="AC840" s="502"/>
    </row>
    <row r="841" spans="3:30">
      <c r="C841" s="1799" t="s">
        <v>5331</v>
      </c>
      <c r="D841" s="1796">
        <v>1</v>
      </c>
      <c r="E841" s="1796">
        <v>1</v>
      </c>
      <c r="F841" s="1797">
        <v>2</v>
      </c>
      <c r="G841" s="1999" t="s">
        <v>5331</v>
      </c>
      <c r="H841" s="1794">
        <v>1</v>
      </c>
      <c r="I841" s="1794">
        <v>1</v>
      </c>
      <c r="J841" s="2000">
        <v>2</v>
      </c>
      <c r="K841" s="1798"/>
      <c r="L841" s="1792">
        <v>13067031404</v>
      </c>
      <c r="M841" s="1793">
        <v>1</v>
      </c>
      <c r="N841" s="1793">
        <v>1</v>
      </c>
      <c r="O841" s="1793">
        <v>2</v>
      </c>
      <c r="AA841" s="27"/>
      <c r="AC841" s="502"/>
    </row>
    <row r="842" spans="3:30">
      <c r="C842" s="1799" t="s">
        <v>5332</v>
      </c>
      <c r="D842" s="1796">
        <v>0</v>
      </c>
      <c r="E842" s="1796">
        <v>1</v>
      </c>
      <c r="F842" s="1797">
        <v>1</v>
      </c>
      <c r="G842" s="1999" t="s">
        <v>5332</v>
      </c>
      <c r="H842" s="1794">
        <v>1</v>
      </c>
      <c r="I842" s="1794">
        <v>0</v>
      </c>
      <c r="J842" s="2000">
        <v>1</v>
      </c>
      <c r="K842" s="1798"/>
      <c r="L842" s="1792">
        <v>13067031405</v>
      </c>
      <c r="M842" s="1793">
        <v>1</v>
      </c>
      <c r="N842" s="1793">
        <v>1</v>
      </c>
      <c r="O842" s="1793">
        <v>1</v>
      </c>
      <c r="AA842" s="27"/>
      <c r="AC842" s="502"/>
    </row>
    <row r="843" spans="3:30">
      <c r="C843" s="1799" t="s">
        <v>5333</v>
      </c>
      <c r="D843" s="1796">
        <v>0</v>
      </c>
      <c r="E843" s="1796">
        <v>0</v>
      </c>
      <c r="F843" s="1797">
        <v>0</v>
      </c>
      <c r="G843" s="1999" t="s">
        <v>5333</v>
      </c>
      <c r="H843" s="1794">
        <v>0</v>
      </c>
      <c r="I843" s="1794">
        <v>0</v>
      </c>
      <c r="J843" s="2000">
        <v>0</v>
      </c>
      <c r="K843" s="1798"/>
      <c r="L843" s="1792">
        <v>13067031406</v>
      </c>
      <c r="M843" s="1793">
        <v>0</v>
      </c>
      <c r="N843" s="1793">
        <v>0</v>
      </c>
      <c r="O843" s="1793">
        <v>0</v>
      </c>
      <c r="AA843" s="27"/>
      <c r="AC843" s="502"/>
    </row>
    <row r="844" spans="3:30">
      <c r="C844" s="1799" t="s">
        <v>5334</v>
      </c>
      <c r="D844" s="1796">
        <v>0</v>
      </c>
      <c r="E844" s="1796">
        <v>0</v>
      </c>
      <c r="F844" s="1797">
        <v>0</v>
      </c>
      <c r="G844" s="1999" t="s">
        <v>5334</v>
      </c>
      <c r="H844" s="1794">
        <v>1</v>
      </c>
      <c r="I844" s="1794">
        <v>0</v>
      </c>
      <c r="J844" s="2000">
        <v>0</v>
      </c>
      <c r="K844" s="1798"/>
      <c r="L844" s="1792">
        <v>13067031408</v>
      </c>
      <c r="M844" s="1793">
        <v>1</v>
      </c>
      <c r="N844" s="1793">
        <v>0</v>
      </c>
      <c r="O844" s="1793">
        <v>0</v>
      </c>
      <c r="AA844" s="27"/>
      <c r="AC844" s="502"/>
    </row>
    <row r="845" spans="3:30">
      <c r="C845" s="1799" t="s">
        <v>5335</v>
      </c>
      <c r="D845" s="1796">
        <v>0</v>
      </c>
      <c r="E845" s="1796">
        <v>0</v>
      </c>
      <c r="F845" s="1797">
        <v>0</v>
      </c>
      <c r="G845" s="1999" t="s">
        <v>5335</v>
      </c>
      <c r="H845" s="1794">
        <v>0</v>
      </c>
      <c r="I845" s="1794">
        <v>0</v>
      </c>
      <c r="J845" s="2000">
        <v>0</v>
      </c>
      <c r="K845" s="1798"/>
      <c r="L845" s="1792">
        <v>13067031409</v>
      </c>
      <c r="M845" s="1793">
        <v>0</v>
      </c>
      <c r="N845" s="1793">
        <v>0</v>
      </c>
      <c r="O845" s="1793">
        <v>0</v>
      </c>
      <c r="AA845" s="27"/>
      <c r="AC845" s="502"/>
    </row>
    <row r="846" spans="3:30">
      <c r="C846" s="1799" t="s">
        <v>5336</v>
      </c>
      <c r="D846" s="1796">
        <v>1</v>
      </c>
      <c r="E846" s="1796">
        <v>0</v>
      </c>
      <c r="F846" s="1797">
        <v>1</v>
      </c>
      <c r="G846" s="1999" t="s">
        <v>5336</v>
      </c>
      <c r="H846" s="1794">
        <v>1</v>
      </c>
      <c r="I846" s="1794">
        <v>1</v>
      </c>
      <c r="J846" s="2000">
        <v>2</v>
      </c>
      <c r="K846" s="1798"/>
      <c r="L846" s="1792">
        <v>13067031503</v>
      </c>
      <c r="M846" s="1793">
        <v>1</v>
      </c>
      <c r="N846" s="1793">
        <v>1</v>
      </c>
      <c r="O846" s="1793">
        <v>2</v>
      </c>
      <c r="AA846" s="27"/>
      <c r="AC846" s="502"/>
    </row>
    <row r="847" spans="3:30">
      <c r="C847" s="1799" t="s">
        <v>5337</v>
      </c>
      <c r="D847" s="1796">
        <v>1</v>
      </c>
      <c r="E847" s="1796">
        <v>1</v>
      </c>
      <c r="F847" s="1797">
        <v>2</v>
      </c>
      <c r="G847" s="1999" t="s">
        <v>5337</v>
      </c>
      <c r="H847" s="1794">
        <v>1</v>
      </c>
      <c r="I847" s="1794">
        <v>1</v>
      </c>
      <c r="J847" s="2000">
        <v>2</v>
      </c>
      <c r="K847" s="1798"/>
      <c r="L847" s="1792">
        <v>13067031505</v>
      </c>
      <c r="M847" s="1793">
        <v>1</v>
      </c>
      <c r="N847" s="1793">
        <v>1</v>
      </c>
      <c r="O847" s="1793">
        <v>2</v>
      </c>
      <c r="AA847" s="27"/>
      <c r="AC847" s="502"/>
    </row>
    <row r="848" spans="3:30">
      <c r="C848" s="1799" t="s">
        <v>5338</v>
      </c>
      <c r="D848" s="1796">
        <v>0</v>
      </c>
      <c r="E848" s="1796">
        <v>1</v>
      </c>
      <c r="F848" s="1797">
        <v>1</v>
      </c>
      <c r="G848" s="1999" t="s">
        <v>5338</v>
      </c>
      <c r="H848" s="1794">
        <v>0</v>
      </c>
      <c r="I848" s="1794">
        <v>0</v>
      </c>
      <c r="J848" s="2000">
        <v>0</v>
      </c>
      <c r="K848" s="1798"/>
      <c r="L848" s="1792">
        <v>13067031506</v>
      </c>
      <c r="M848" s="1793">
        <v>0</v>
      </c>
      <c r="N848" s="1793">
        <v>1</v>
      </c>
      <c r="O848" s="1793">
        <v>1</v>
      </c>
      <c r="AA848" s="27"/>
      <c r="AC848" s="502"/>
    </row>
    <row r="849" spans="3:29">
      <c r="C849" s="1799" t="s">
        <v>5339</v>
      </c>
      <c r="D849" s="1796">
        <v>0</v>
      </c>
      <c r="E849" s="1796">
        <v>0</v>
      </c>
      <c r="F849" s="1797">
        <v>0</v>
      </c>
      <c r="G849" s="1999" t="s">
        <v>5339</v>
      </c>
      <c r="H849" s="1794">
        <v>0</v>
      </c>
      <c r="I849" s="1794">
        <v>1</v>
      </c>
      <c r="J849" s="2000">
        <v>1</v>
      </c>
      <c r="K849" s="1798"/>
      <c r="L849" s="1792">
        <v>13067031507</v>
      </c>
      <c r="M849" s="1793">
        <v>0</v>
      </c>
      <c r="N849" s="1793">
        <v>1</v>
      </c>
      <c r="O849" s="1793">
        <v>1</v>
      </c>
      <c r="AA849" s="27"/>
      <c r="AC849" s="502"/>
    </row>
    <row r="850" spans="3:29">
      <c r="C850" s="1799" t="s">
        <v>5340</v>
      </c>
      <c r="D850" s="1796">
        <v>1</v>
      </c>
      <c r="E850" s="1796">
        <v>1</v>
      </c>
      <c r="F850" s="1797">
        <v>2</v>
      </c>
      <c r="G850" s="1999" t="s">
        <v>5340</v>
      </c>
      <c r="H850" s="1794">
        <v>1</v>
      </c>
      <c r="I850" s="1794">
        <v>1</v>
      </c>
      <c r="J850" s="2000">
        <v>2</v>
      </c>
      <c r="K850" s="1798"/>
      <c r="L850" s="1792">
        <v>13067031508</v>
      </c>
      <c r="M850" s="1793">
        <v>1</v>
      </c>
      <c r="N850" s="1793">
        <v>1</v>
      </c>
      <c r="O850" s="1793">
        <v>2</v>
      </c>
      <c r="AA850" s="27"/>
      <c r="AC850" s="502"/>
    </row>
    <row r="851" spans="3:29">
      <c r="C851" s="1799" t="s">
        <v>5341</v>
      </c>
      <c r="D851" s="1796">
        <v>1</v>
      </c>
      <c r="E851" s="1796">
        <v>1</v>
      </c>
      <c r="F851" s="1797">
        <v>2</v>
      </c>
      <c r="G851" s="1999" t="s">
        <v>5341</v>
      </c>
      <c r="H851" s="1794">
        <v>1</v>
      </c>
      <c r="I851" s="1794">
        <v>1</v>
      </c>
      <c r="J851" s="2000">
        <v>2</v>
      </c>
      <c r="K851" s="1798"/>
      <c r="L851" s="1792">
        <v>13067031509</v>
      </c>
      <c r="M851" s="1793">
        <v>1</v>
      </c>
      <c r="N851" s="1793">
        <v>1</v>
      </c>
      <c r="O851" s="1793">
        <v>2</v>
      </c>
      <c r="AA851" s="27"/>
      <c r="AC851" s="502"/>
    </row>
    <row r="852" spans="3:29">
      <c r="C852" s="1799" t="s">
        <v>5342</v>
      </c>
      <c r="D852" s="1796">
        <v>0</v>
      </c>
      <c r="E852" s="1796">
        <v>0</v>
      </c>
      <c r="F852" s="1797">
        <v>0</v>
      </c>
      <c r="G852" s="1999" t="s">
        <v>5342</v>
      </c>
      <c r="H852" s="1794">
        <v>0</v>
      </c>
      <c r="I852" s="1794">
        <v>0</v>
      </c>
      <c r="J852" s="2000">
        <v>0</v>
      </c>
      <c r="K852" s="1798"/>
      <c r="L852" s="1792">
        <v>13069010100</v>
      </c>
      <c r="M852" s="1793">
        <v>0</v>
      </c>
      <c r="N852" s="1793">
        <v>0</v>
      </c>
      <c r="O852" s="1793">
        <v>0</v>
      </c>
      <c r="AA852" s="27"/>
      <c r="AC852" s="502"/>
    </row>
    <row r="853" spans="3:29">
      <c r="C853" s="1799" t="s">
        <v>5343</v>
      </c>
      <c r="D853" s="1796">
        <v>0</v>
      </c>
      <c r="E853" s="1796">
        <v>0</v>
      </c>
      <c r="F853" s="1797">
        <v>0</v>
      </c>
      <c r="G853" s="1999" t="s">
        <v>5343</v>
      </c>
      <c r="H853" s="1794">
        <v>0</v>
      </c>
      <c r="I853" s="1794" t="s">
        <v>4485</v>
      </c>
      <c r="J853" s="2000">
        <v>0</v>
      </c>
      <c r="K853" s="1798"/>
      <c r="L853" s="1792">
        <v>13069010200</v>
      </c>
      <c r="M853" s="1793">
        <v>0</v>
      </c>
      <c r="N853" s="1793">
        <v>0</v>
      </c>
      <c r="O853" s="1793">
        <v>0</v>
      </c>
      <c r="AA853" s="27"/>
      <c r="AC853" s="502"/>
    </row>
    <row r="854" spans="3:29">
      <c r="C854" s="1799" t="s">
        <v>5344</v>
      </c>
      <c r="D854" s="1796">
        <v>0</v>
      </c>
      <c r="E854" s="1796">
        <v>0</v>
      </c>
      <c r="F854" s="1797">
        <v>0</v>
      </c>
      <c r="G854" s="1999" t="s">
        <v>5344</v>
      </c>
      <c r="H854" s="1794">
        <v>0</v>
      </c>
      <c r="I854" s="1794">
        <v>0</v>
      </c>
      <c r="J854" s="2000">
        <v>0</v>
      </c>
      <c r="K854" s="1798"/>
      <c r="L854" s="1792">
        <v>13069010300</v>
      </c>
      <c r="M854" s="1793">
        <v>0</v>
      </c>
      <c r="N854" s="1793">
        <v>0</v>
      </c>
      <c r="O854" s="1793">
        <v>0</v>
      </c>
      <c r="AA854" s="27"/>
      <c r="AC854" s="502"/>
    </row>
    <row r="855" spans="3:29">
      <c r="C855" s="1799" t="s">
        <v>5345</v>
      </c>
      <c r="D855" s="1796">
        <v>0</v>
      </c>
      <c r="E855" s="1796">
        <v>0</v>
      </c>
      <c r="F855" s="1797">
        <v>0</v>
      </c>
      <c r="G855" s="1999" t="s">
        <v>5345</v>
      </c>
      <c r="H855" s="1794">
        <v>0</v>
      </c>
      <c r="I855" s="1794">
        <v>0</v>
      </c>
      <c r="J855" s="2000">
        <v>0</v>
      </c>
      <c r="K855" s="1798"/>
      <c r="L855" s="1792">
        <v>13069010400</v>
      </c>
      <c r="M855" s="1793">
        <v>0</v>
      </c>
      <c r="N855" s="1793">
        <v>0</v>
      </c>
      <c r="O855" s="1793">
        <v>0</v>
      </c>
      <c r="AA855" s="27"/>
      <c r="AC855" s="502"/>
    </row>
    <row r="856" spans="3:29">
      <c r="C856" s="1799" t="s">
        <v>5346</v>
      </c>
      <c r="D856" s="1796">
        <v>0</v>
      </c>
      <c r="E856" s="1796">
        <v>0</v>
      </c>
      <c r="F856" s="1797">
        <v>0</v>
      </c>
      <c r="G856" s="1999" t="s">
        <v>5346</v>
      </c>
      <c r="H856" s="1794">
        <v>0</v>
      </c>
      <c r="I856" s="1794">
        <v>0</v>
      </c>
      <c r="J856" s="2000">
        <v>0</v>
      </c>
      <c r="K856" s="1798"/>
      <c r="L856" s="1792">
        <v>13069010500</v>
      </c>
      <c r="M856" s="1793">
        <v>0</v>
      </c>
      <c r="N856" s="1793">
        <v>0</v>
      </c>
      <c r="O856" s="1793">
        <v>0</v>
      </c>
      <c r="AA856" s="27"/>
      <c r="AC856" s="502"/>
    </row>
    <row r="857" spans="3:29">
      <c r="C857" s="1799" t="s">
        <v>5347</v>
      </c>
      <c r="D857" s="1796">
        <v>1</v>
      </c>
      <c r="E857" s="1796">
        <v>1</v>
      </c>
      <c r="F857" s="1797">
        <v>2</v>
      </c>
      <c r="G857" s="1999" t="s">
        <v>5347</v>
      </c>
      <c r="H857" s="1794">
        <v>0</v>
      </c>
      <c r="I857" s="1794">
        <v>0</v>
      </c>
      <c r="J857" s="2000">
        <v>0</v>
      </c>
      <c r="K857" s="1798"/>
      <c r="L857" s="1792">
        <v>13069010600</v>
      </c>
      <c r="M857" s="1793">
        <v>1</v>
      </c>
      <c r="N857" s="1793">
        <v>1</v>
      </c>
      <c r="O857" s="1793">
        <v>2</v>
      </c>
      <c r="AA857" s="27"/>
      <c r="AC857" s="502"/>
    </row>
    <row r="858" spans="3:29">
      <c r="C858" s="1799" t="s">
        <v>5348</v>
      </c>
      <c r="D858" s="1796">
        <v>0</v>
      </c>
      <c r="E858" s="1796">
        <v>0</v>
      </c>
      <c r="F858" s="1797">
        <v>0</v>
      </c>
      <c r="G858" s="1999" t="s">
        <v>5348</v>
      </c>
      <c r="H858" s="1794">
        <v>0</v>
      </c>
      <c r="I858" s="1794">
        <v>0</v>
      </c>
      <c r="J858" s="2000">
        <v>0</v>
      </c>
      <c r="K858" s="1798"/>
      <c r="L858" s="1792">
        <v>13069010700</v>
      </c>
      <c r="M858" s="1793">
        <v>0</v>
      </c>
      <c r="N858" s="1793">
        <v>0</v>
      </c>
      <c r="O858" s="1793">
        <v>0</v>
      </c>
      <c r="AA858" s="27"/>
      <c r="AC858" s="502"/>
    </row>
    <row r="859" spans="3:29">
      <c r="C859" s="1799" t="s">
        <v>5349</v>
      </c>
      <c r="D859" s="1796">
        <v>0</v>
      </c>
      <c r="E859" s="1796">
        <v>0</v>
      </c>
      <c r="F859" s="1797">
        <v>0</v>
      </c>
      <c r="G859" s="1999" t="s">
        <v>5349</v>
      </c>
      <c r="H859" s="1794">
        <v>0</v>
      </c>
      <c r="I859" s="1794">
        <v>0</v>
      </c>
      <c r="J859" s="2000">
        <v>0</v>
      </c>
      <c r="K859" s="1798"/>
      <c r="L859" s="1792">
        <v>13069010801</v>
      </c>
      <c r="M859" s="1793">
        <v>0</v>
      </c>
      <c r="N859" s="1793">
        <v>0</v>
      </c>
      <c r="O859" s="1793">
        <v>0</v>
      </c>
      <c r="AA859" s="27"/>
      <c r="AC859" s="502"/>
    </row>
    <row r="860" spans="3:29">
      <c r="C860" s="1799" t="s">
        <v>5350</v>
      </c>
      <c r="D860" s="1796">
        <v>0</v>
      </c>
      <c r="E860" s="1796">
        <v>0</v>
      </c>
      <c r="F860" s="1797">
        <v>0</v>
      </c>
      <c r="G860" s="1999" t="s">
        <v>5350</v>
      </c>
      <c r="H860" s="1794">
        <v>0</v>
      </c>
      <c r="I860" s="1794">
        <v>0</v>
      </c>
      <c r="J860" s="2000">
        <v>0</v>
      </c>
      <c r="K860" s="1798"/>
      <c r="L860" s="1792">
        <v>13069010802</v>
      </c>
      <c r="M860" s="1793">
        <v>0</v>
      </c>
      <c r="N860" s="1793">
        <v>0</v>
      </c>
      <c r="O860" s="1793">
        <v>0</v>
      </c>
      <c r="AA860" s="27"/>
      <c r="AC860" s="502"/>
    </row>
    <row r="861" spans="3:29">
      <c r="C861" s="1799" t="s">
        <v>5351</v>
      </c>
      <c r="D861" s="1796">
        <v>0</v>
      </c>
      <c r="E861" s="1796">
        <v>0</v>
      </c>
      <c r="F861" s="1797">
        <v>0</v>
      </c>
      <c r="G861" s="1999" t="s">
        <v>5351</v>
      </c>
      <c r="H861" s="1794">
        <v>0</v>
      </c>
      <c r="I861" s="1794">
        <v>0</v>
      </c>
      <c r="J861" s="2000">
        <v>0</v>
      </c>
      <c r="K861" s="1798"/>
      <c r="L861" s="1792">
        <v>13071970100</v>
      </c>
      <c r="M861" s="1793">
        <v>0</v>
      </c>
      <c r="N861" s="1793">
        <v>0</v>
      </c>
      <c r="O861" s="1793">
        <v>0</v>
      </c>
      <c r="AA861" s="27"/>
      <c r="AC861" s="502"/>
    </row>
    <row r="862" spans="3:29">
      <c r="C862" s="1799" t="s">
        <v>5352</v>
      </c>
      <c r="D862" s="1796">
        <v>0</v>
      </c>
      <c r="E862" s="1796">
        <v>0</v>
      </c>
      <c r="F862" s="1797">
        <v>0</v>
      </c>
      <c r="G862" s="1999" t="s">
        <v>5352</v>
      </c>
      <c r="H862" s="1794">
        <v>0</v>
      </c>
      <c r="I862" s="1794">
        <v>0</v>
      </c>
      <c r="J862" s="2000">
        <v>0</v>
      </c>
      <c r="K862" s="1798"/>
      <c r="L862" s="1792">
        <v>13071970200</v>
      </c>
      <c r="M862" s="1793">
        <v>0</v>
      </c>
      <c r="N862" s="1793">
        <v>0</v>
      </c>
      <c r="O862" s="1793">
        <v>0</v>
      </c>
      <c r="AA862" s="27"/>
      <c r="AC862" s="502"/>
    </row>
    <row r="863" spans="3:29">
      <c r="C863" s="1799" t="s">
        <v>5353</v>
      </c>
      <c r="D863" s="1796">
        <v>0</v>
      </c>
      <c r="E863" s="1796">
        <v>0</v>
      </c>
      <c r="F863" s="1797">
        <v>0</v>
      </c>
      <c r="G863" s="1999" t="s">
        <v>5353</v>
      </c>
      <c r="H863" s="1794">
        <v>0</v>
      </c>
      <c r="I863" s="1794">
        <v>0</v>
      </c>
      <c r="J863" s="2000">
        <v>0</v>
      </c>
      <c r="K863" s="1798"/>
      <c r="L863" s="1792">
        <v>13071970300</v>
      </c>
      <c r="M863" s="1793">
        <v>0</v>
      </c>
      <c r="N863" s="1793">
        <v>0</v>
      </c>
      <c r="O863" s="1793">
        <v>0</v>
      </c>
      <c r="AA863" s="27"/>
      <c r="AC863" s="502"/>
    </row>
    <row r="864" spans="3:29">
      <c r="C864" s="1799" t="s">
        <v>5354</v>
      </c>
      <c r="D864" s="1796">
        <v>0</v>
      </c>
      <c r="E864" s="1796">
        <v>0</v>
      </c>
      <c r="F864" s="1797">
        <v>0</v>
      </c>
      <c r="G864" s="1999" t="s">
        <v>5354</v>
      </c>
      <c r="H864" s="1794">
        <v>0</v>
      </c>
      <c r="I864" s="1794">
        <v>0</v>
      </c>
      <c r="J864" s="2000">
        <v>0</v>
      </c>
      <c r="K864" s="1798"/>
      <c r="L864" s="1792">
        <v>13071970400</v>
      </c>
      <c r="M864" s="1793">
        <v>0</v>
      </c>
      <c r="N864" s="1793">
        <v>0</v>
      </c>
      <c r="O864" s="1793">
        <v>0</v>
      </c>
      <c r="AA864" s="27"/>
      <c r="AC864" s="502"/>
    </row>
    <row r="865" spans="3:29">
      <c r="C865" s="1799" t="s">
        <v>5355</v>
      </c>
      <c r="D865" s="1796">
        <v>0</v>
      </c>
      <c r="E865" s="1796">
        <v>0</v>
      </c>
      <c r="F865" s="1797">
        <v>0</v>
      </c>
      <c r="G865" s="1999" t="s">
        <v>5355</v>
      </c>
      <c r="H865" s="1794">
        <v>0</v>
      </c>
      <c r="I865" s="1794">
        <v>0</v>
      </c>
      <c r="J865" s="2000">
        <v>0</v>
      </c>
      <c r="K865" s="1798"/>
      <c r="L865" s="1792">
        <v>13071970500</v>
      </c>
      <c r="M865" s="1793">
        <v>0</v>
      </c>
      <c r="N865" s="1793">
        <v>0</v>
      </c>
      <c r="O865" s="1793">
        <v>0</v>
      </c>
      <c r="AA865" s="27"/>
      <c r="AC865" s="502"/>
    </row>
    <row r="866" spans="3:29">
      <c r="C866" s="1799" t="s">
        <v>5356</v>
      </c>
      <c r="D866" s="1796">
        <v>0</v>
      </c>
      <c r="E866" s="1796">
        <v>0</v>
      </c>
      <c r="F866" s="1797">
        <v>0</v>
      </c>
      <c r="G866" s="1999" t="s">
        <v>5356</v>
      </c>
      <c r="H866" s="1794">
        <v>0</v>
      </c>
      <c r="I866" s="1794">
        <v>0</v>
      </c>
      <c r="J866" s="2000">
        <v>0</v>
      </c>
      <c r="K866" s="1798"/>
      <c r="L866" s="1792">
        <v>13071970600</v>
      </c>
      <c r="M866" s="1793">
        <v>0</v>
      </c>
      <c r="N866" s="1793">
        <v>0</v>
      </c>
      <c r="O866" s="1793">
        <v>0</v>
      </c>
      <c r="AA866" s="27"/>
      <c r="AC866" s="502"/>
    </row>
    <row r="867" spans="3:29">
      <c r="C867" s="1799" t="s">
        <v>5357</v>
      </c>
      <c r="D867" s="1796">
        <v>0</v>
      </c>
      <c r="E867" s="1796">
        <v>0</v>
      </c>
      <c r="F867" s="1797">
        <v>0</v>
      </c>
      <c r="G867" s="1999" t="s">
        <v>5357</v>
      </c>
      <c r="H867" s="1794">
        <v>0</v>
      </c>
      <c r="I867" s="1794">
        <v>0</v>
      </c>
      <c r="J867" s="2000">
        <v>0</v>
      </c>
      <c r="K867" s="1798"/>
      <c r="L867" s="1792">
        <v>13071970701</v>
      </c>
      <c r="M867" s="1793">
        <v>0</v>
      </c>
      <c r="N867" s="1793">
        <v>0</v>
      </c>
      <c r="O867" s="1793">
        <v>0</v>
      </c>
      <c r="AA867" s="27"/>
      <c r="AC867" s="502"/>
    </row>
    <row r="868" spans="3:29">
      <c r="C868" s="1799" t="s">
        <v>5358</v>
      </c>
      <c r="D868" s="1796">
        <v>0</v>
      </c>
      <c r="E868" s="1796">
        <v>0</v>
      </c>
      <c r="F868" s="1797">
        <v>0</v>
      </c>
      <c r="G868" s="1999" t="s">
        <v>5358</v>
      </c>
      <c r="H868" s="1794">
        <v>0</v>
      </c>
      <c r="I868" s="1794">
        <v>0</v>
      </c>
      <c r="J868" s="2000">
        <v>0</v>
      </c>
      <c r="K868" s="1798"/>
      <c r="L868" s="1792">
        <v>13071970702</v>
      </c>
      <c r="M868" s="1793">
        <v>0</v>
      </c>
      <c r="N868" s="1793">
        <v>0</v>
      </c>
      <c r="O868" s="1793">
        <v>0</v>
      </c>
      <c r="AA868" s="27"/>
      <c r="AC868" s="502"/>
    </row>
    <row r="869" spans="3:29">
      <c r="C869" s="1799" t="s">
        <v>5359</v>
      </c>
      <c r="D869" s="1796">
        <v>0</v>
      </c>
      <c r="E869" s="1796">
        <v>0</v>
      </c>
      <c r="F869" s="1797">
        <v>0</v>
      </c>
      <c r="G869" s="1999" t="s">
        <v>5359</v>
      </c>
      <c r="H869" s="1794">
        <v>0</v>
      </c>
      <c r="I869" s="1794">
        <v>0</v>
      </c>
      <c r="J869" s="2000">
        <v>0</v>
      </c>
      <c r="K869" s="1798"/>
      <c r="L869" s="1792">
        <v>13071970800</v>
      </c>
      <c r="M869" s="1793">
        <v>0</v>
      </c>
      <c r="N869" s="1793">
        <v>0</v>
      </c>
      <c r="O869" s="1793">
        <v>0</v>
      </c>
      <c r="AA869" s="27"/>
      <c r="AC869" s="502"/>
    </row>
    <row r="870" spans="3:29">
      <c r="C870" s="1799" t="s">
        <v>5360</v>
      </c>
      <c r="D870" s="1796">
        <v>0</v>
      </c>
      <c r="E870" s="1796">
        <v>0</v>
      </c>
      <c r="F870" s="1797">
        <v>0</v>
      </c>
      <c r="G870" s="1999" t="s">
        <v>5360</v>
      </c>
      <c r="H870" s="1794">
        <v>0</v>
      </c>
      <c r="I870" s="1794">
        <v>0</v>
      </c>
      <c r="J870" s="2000">
        <v>0</v>
      </c>
      <c r="K870" s="1798"/>
      <c r="L870" s="1792">
        <v>13071970900</v>
      </c>
      <c r="M870" s="1793">
        <v>0</v>
      </c>
      <c r="N870" s="1793">
        <v>0</v>
      </c>
      <c r="O870" s="1793">
        <v>0</v>
      </c>
      <c r="AA870" s="27"/>
      <c r="AC870" s="502"/>
    </row>
    <row r="871" spans="3:29">
      <c r="C871" s="1799" t="s">
        <v>5361</v>
      </c>
      <c r="D871" s="1796">
        <v>1</v>
      </c>
      <c r="E871" s="1796">
        <v>1</v>
      </c>
      <c r="F871" s="1797">
        <v>2</v>
      </c>
      <c r="G871" s="1999" t="s">
        <v>5361</v>
      </c>
      <c r="H871" s="1794">
        <v>1</v>
      </c>
      <c r="I871" s="1794" t="s">
        <v>4485</v>
      </c>
      <c r="J871" s="2000">
        <v>1</v>
      </c>
      <c r="K871" s="1798"/>
      <c r="L871" s="1792">
        <v>13073030102</v>
      </c>
      <c r="M871" s="1793">
        <v>1</v>
      </c>
      <c r="N871" s="1793">
        <v>1</v>
      </c>
      <c r="O871" s="1793">
        <v>2</v>
      </c>
      <c r="AA871" s="27"/>
      <c r="AC871" s="502"/>
    </row>
    <row r="872" spans="3:29">
      <c r="C872" s="1799" t="s">
        <v>5362</v>
      </c>
      <c r="D872" s="1796">
        <v>1</v>
      </c>
      <c r="E872" s="1796">
        <v>1</v>
      </c>
      <c r="F872" s="1797">
        <v>2</v>
      </c>
      <c r="G872" s="1999" t="s">
        <v>5362</v>
      </c>
      <c r="H872" s="1794">
        <v>1</v>
      </c>
      <c r="I872" s="1794">
        <v>1</v>
      </c>
      <c r="J872" s="2000">
        <v>2</v>
      </c>
      <c r="K872" s="1798"/>
      <c r="L872" s="1792">
        <v>13073030103</v>
      </c>
      <c r="M872" s="1793">
        <v>1</v>
      </c>
      <c r="N872" s="1793">
        <v>1</v>
      </c>
      <c r="O872" s="1793">
        <v>2</v>
      </c>
      <c r="AA872" s="27"/>
      <c r="AC872" s="502"/>
    </row>
    <row r="873" spans="3:29">
      <c r="C873" s="1799" t="s">
        <v>5363</v>
      </c>
      <c r="D873" s="1796">
        <v>1</v>
      </c>
      <c r="E873" s="1796">
        <v>1</v>
      </c>
      <c r="F873" s="1797">
        <v>2</v>
      </c>
      <c r="G873" s="1999" t="s">
        <v>5363</v>
      </c>
      <c r="H873" s="1794">
        <v>1</v>
      </c>
      <c r="I873" s="1794">
        <v>1</v>
      </c>
      <c r="J873" s="2000">
        <v>2</v>
      </c>
      <c r="K873" s="1798"/>
      <c r="L873" s="1792">
        <v>13073030105</v>
      </c>
      <c r="M873" s="1793">
        <v>1</v>
      </c>
      <c r="N873" s="1793">
        <v>1</v>
      </c>
      <c r="O873" s="1793">
        <v>2</v>
      </c>
      <c r="AA873" s="27"/>
      <c r="AC873" s="502"/>
    </row>
    <row r="874" spans="3:29">
      <c r="C874" s="1799" t="s">
        <v>5364</v>
      </c>
      <c r="D874" s="1796">
        <v>1</v>
      </c>
      <c r="E874" s="1796">
        <v>1</v>
      </c>
      <c r="F874" s="1797">
        <v>2</v>
      </c>
      <c r="G874" s="1999" t="s">
        <v>5364</v>
      </c>
      <c r="H874" s="1794">
        <v>1</v>
      </c>
      <c r="I874" s="1794">
        <v>1</v>
      </c>
      <c r="J874" s="2000">
        <v>2</v>
      </c>
      <c r="K874" s="1798"/>
      <c r="L874" s="1792">
        <v>13073030106</v>
      </c>
      <c r="M874" s="1793">
        <v>1</v>
      </c>
      <c r="N874" s="1793">
        <v>1</v>
      </c>
      <c r="O874" s="1793">
        <v>2</v>
      </c>
      <c r="AA874" s="27"/>
      <c r="AC874" s="502"/>
    </row>
    <row r="875" spans="3:29">
      <c r="C875" s="1799" t="s">
        <v>5365</v>
      </c>
      <c r="D875" s="1796">
        <v>1</v>
      </c>
      <c r="E875" s="1796">
        <v>1</v>
      </c>
      <c r="F875" s="1797">
        <v>2</v>
      </c>
      <c r="G875" s="1999" t="s">
        <v>5365</v>
      </c>
      <c r="H875" s="1794">
        <v>0</v>
      </c>
      <c r="I875" s="1794">
        <v>1</v>
      </c>
      <c r="J875" s="2000">
        <v>1</v>
      </c>
      <c r="K875" s="1798"/>
      <c r="L875" s="1792">
        <v>13073030201</v>
      </c>
      <c r="M875" s="1793">
        <v>1</v>
      </c>
      <c r="N875" s="1793">
        <v>1</v>
      </c>
      <c r="O875" s="1793">
        <v>2</v>
      </c>
      <c r="AA875" s="27"/>
      <c r="AC875" s="502"/>
    </row>
    <row r="876" spans="3:29">
      <c r="C876" s="1799" t="s">
        <v>5366</v>
      </c>
      <c r="D876" s="1796">
        <v>0</v>
      </c>
      <c r="E876" s="1796">
        <v>1</v>
      </c>
      <c r="F876" s="1797">
        <v>1</v>
      </c>
      <c r="G876" s="1999" t="s">
        <v>5366</v>
      </c>
      <c r="H876" s="1794">
        <v>0</v>
      </c>
      <c r="I876" s="1794">
        <v>1</v>
      </c>
      <c r="J876" s="2000">
        <v>1</v>
      </c>
      <c r="K876" s="1798"/>
      <c r="L876" s="1792">
        <v>13073030202</v>
      </c>
      <c r="M876" s="1793">
        <v>0</v>
      </c>
      <c r="N876" s="1793">
        <v>1</v>
      </c>
      <c r="O876" s="1793">
        <v>1</v>
      </c>
      <c r="AA876" s="27"/>
      <c r="AC876" s="502"/>
    </row>
    <row r="877" spans="3:29">
      <c r="C877" s="1799" t="s">
        <v>5367</v>
      </c>
      <c r="D877" s="1796">
        <v>1</v>
      </c>
      <c r="E877" s="1796">
        <v>1</v>
      </c>
      <c r="F877" s="1797">
        <v>2</v>
      </c>
      <c r="G877" s="1999" t="s">
        <v>5367</v>
      </c>
      <c r="H877" s="1794">
        <v>1</v>
      </c>
      <c r="I877" s="1794">
        <v>1</v>
      </c>
      <c r="J877" s="2000">
        <v>2</v>
      </c>
      <c r="K877" s="1798"/>
      <c r="L877" s="1792">
        <v>13073030203</v>
      </c>
      <c r="M877" s="1793">
        <v>1</v>
      </c>
      <c r="N877" s="1793">
        <v>1</v>
      </c>
      <c r="O877" s="1793">
        <v>2</v>
      </c>
      <c r="AA877" s="27"/>
      <c r="AC877" s="502"/>
    </row>
    <row r="878" spans="3:29">
      <c r="C878" s="1799" t="s">
        <v>5368</v>
      </c>
      <c r="D878" s="1796">
        <v>1</v>
      </c>
      <c r="E878" s="1796">
        <v>1</v>
      </c>
      <c r="F878" s="1797">
        <v>2</v>
      </c>
      <c r="G878" s="1999" t="s">
        <v>5368</v>
      </c>
      <c r="H878" s="1794">
        <v>1</v>
      </c>
      <c r="I878" s="1794">
        <v>1</v>
      </c>
      <c r="J878" s="2000">
        <v>2</v>
      </c>
      <c r="K878" s="1798"/>
      <c r="L878" s="1792">
        <v>13073030302</v>
      </c>
      <c r="M878" s="1793">
        <v>1</v>
      </c>
      <c r="N878" s="1793">
        <v>1</v>
      </c>
      <c r="O878" s="1793">
        <v>2</v>
      </c>
      <c r="AA878" s="27"/>
      <c r="AC878" s="502"/>
    </row>
    <row r="879" spans="3:29">
      <c r="C879" s="1799" t="s">
        <v>5369</v>
      </c>
      <c r="D879" s="1796">
        <v>1</v>
      </c>
      <c r="E879" s="1796">
        <v>1</v>
      </c>
      <c r="F879" s="1797">
        <v>2</v>
      </c>
      <c r="G879" s="1999" t="s">
        <v>5369</v>
      </c>
      <c r="H879" s="1794">
        <v>1</v>
      </c>
      <c r="I879" s="1794">
        <v>1</v>
      </c>
      <c r="J879" s="2000">
        <v>2</v>
      </c>
      <c r="K879" s="1798"/>
      <c r="L879" s="1792">
        <v>13073030304</v>
      </c>
      <c r="M879" s="1793">
        <v>1</v>
      </c>
      <c r="N879" s="1793">
        <v>1</v>
      </c>
      <c r="O879" s="1793">
        <v>2</v>
      </c>
    </row>
    <row r="880" spans="3:29">
      <c r="C880" s="1799" t="s">
        <v>5370</v>
      </c>
      <c r="D880" s="1796">
        <v>1</v>
      </c>
      <c r="E880" s="1796">
        <v>1</v>
      </c>
      <c r="F880" s="1797">
        <v>2</v>
      </c>
      <c r="G880" s="1999" t="s">
        <v>5370</v>
      </c>
      <c r="H880" s="1794">
        <v>1</v>
      </c>
      <c r="I880" s="1794">
        <v>1</v>
      </c>
      <c r="J880" s="2000">
        <v>2</v>
      </c>
      <c r="K880" s="1798"/>
      <c r="L880" s="1792">
        <v>13073030306</v>
      </c>
      <c r="M880" s="1793">
        <v>1</v>
      </c>
      <c r="N880" s="1793">
        <v>1</v>
      </c>
      <c r="O880" s="1793">
        <v>2</v>
      </c>
    </row>
    <row r="881" spans="3:15">
      <c r="C881" s="1799" t="s">
        <v>5371</v>
      </c>
      <c r="D881" s="1796">
        <v>1</v>
      </c>
      <c r="E881" s="1796">
        <v>1</v>
      </c>
      <c r="F881" s="1797">
        <v>2</v>
      </c>
      <c r="G881" s="1999" t="s">
        <v>5371</v>
      </c>
      <c r="H881" s="1794">
        <v>1</v>
      </c>
      <c r="I881" s="1794">
        <v>1</v>
      </c>
      <c r="J881" s="2000">
        <v>2</v>
      </c>
      <c r="K881" s="1798"/>
      <c r="L881" s="1792">
        <v>13073030307</v>
      </c>
      <c r="M881" s="1793">
        <v>1</v>
      </c>
      <c r="N881" s="1793">
        <v>1</v>
      </c>
      <c r="O881" s="1793">
        <v>2</v>
      </c>
    </row>
    <row r="882" spans="3:15">
      <c r="C882" s="1799" t="s">
        <v>5372</v>
      </c>
      <c r="D882" s="1796">
        <v>1</v>
      </c>
      <c r="E882" s="1796">
        <v>1</v>
      </c>
      <c r="F882" s="1797">
        <v>2</v>
      </c>
      <c r="G882" s="1999" t="s">
        <v>5372</v>
      </c>
      <c r="H882" s="1794">
        <v>1</v>
      </c>
      <c r="I882" s="1794">
        <v>1</v>
      </c>
      <c r="J882" s="2000">
        <v>2</v>
      </c>
      <c r="K882" s="1798"/>
      <c r="L882" s="1792">
        <v>13073030308</v>
      </c>
      <c r="M882" s="1793">
        <v>1</v>
      </c>
      <c r="N882" s="1793">
        <v>1</v>
      </c>
      <c r="O882" s="1793">
        <v>2</v>
      </c>
    </row>
    <row r="883" spans="3:15">
      <c r="C883" s="1799" t="s">
        <v>5373</v>
      </c>
      <c r="D883" s="1796">
        <v>1</v>
      </c>
      <c r="E883" s="1796">
        <v>1</v>
      </c>
      <c r="F883" s="1797">
        <v>2</v>
      </c>
      <c r="G883" s="1999" t="s">
        <v>5373</v>
      </c>
      <c r="H883" s="1794">
        <v>1</v>
      </c>
      <c r="I883" s="1794">
        <v>1</v>
      </c>
      <c r="J883" s="2000">
        <v>2</v>
      </c>
      <c r="K883" s="1798"/>
      <c r="L883" s="1792">
        <v>13073030309</v>
      </c>
      <c r="M883" s="1793">
        <v>1</v>
      </c>
      <c r="N883" s="1793">
        <v>1</v>
      </c>
      <c r="O883" s="1793">
        <v>2</v>
      </c>
    </row>
    <row r="884" spans="3:15">
      <c r="C884" s="1799" t="s">
        <v>5374</v>
      </c>
      <c r="D884" s="1796">
        <v>0</v>
      </c>
      <c r="E884" s="1796">
        <v>0</v>
      </c>
      <c r="F884" s="1797">
        <v>0</v>
      </c>
      <c r="G884" s="1999" t="s">
        <v>5374</v>
      </c>
      <c r="H884" s="1794">
        <v>0</v>
      </c>
      <c r="I884" s="1794">
        <v>0</v>
      </c>
      <c r="J884" s="2000">
        <v>0</v>
      </c>
      <c r="K884" s="1798"/>
      <c r="L884" s="1792">
        <v>13073030401</v>
      </c>
      <c r="M884" s="1793">
        <v>0</v>
      </c>
      <c r="N884" s="1793">
        <v>0</v>
      </c>
      <c r="O884" s="1793">
        <v>0</v>
      </c>
    </row>
    <row r="885" spans="3:15">
      <c r="C885" s="1799" t="s">
        <v>5375</v>
      </c>
      <c r="D885" s="1796">
        <v>1</v>
      </c>
      <c r="E885" s="1796">
        <v>1</v>
      </c>
      <c r="F885" s="1797">
        <v>2</v>
      </c>
      <c r="G885" s="1999" t="s">
        <v>5375</v>
      </c>
      <c r="H885" s="1794">
        <v>1</v>
      </c>
      <c r="I885" s="1794">
        <v>1</v>
      </c>
      <c r="J885" s="2000">
        <v>2</v>
      </c>
      <c r="K885" s="1798"/>
      <c r="L885" s="1792">
        <v>13073030402</v>
      </c>
      <c r="M885" s="1793">
        <v>1</v>
      </c>
      <c r="N885" s="1793">
        <v>1</v>
      </c>
      <c r="O885" s="1793">
        <v>2</v>
      </c>
    </row>
    <row r="886" spans="3:15">
      <c r="C886" s="1799" t="s">
        <v>5376</v>
      </c>
      <c r="D886" s="1796">
        <v>1</v>
      </c>
      <c r="E886" s="1796">
        <v>1</v>
      </c>
      <c r="F886" s="1797">
        <v>2</v>
      </c>
      <c r="G886" s="1999" t="s">
        <v>5376</v>
      </c>
      <c r="H886" s="1794">
        <v>1</v>
      </c>
      <c r="I886" s="1794">
        <v>0</v>
      </c>
      <c r="J886" s="2000">
        <v>1</v>
      </c>
      <c r="K886" s="1798"/>
      <c r="L886" s="1792">
        <v>13073030503</v>
      </c>
      <c r="M886" s="1793">
        <v>1</v>
      </c>
      <c r="N886" s="1793">
        <v>1</v>
      </c>
      <c r="O886" s="1793">
        <v>2</v>
      </c>
    </row>
    <row r="887" spans="3:15">
      <c r="C887" s="1799" t="s">
        <v>5377</v>
      </c>
      <c r="D887" s="1796">
        <v>1</v>
      </c>
      <c r="E887" s="1796">
        <v>1</v>
      </c>
      <c r="F887" s="1797">
        <v>2</v>
      </c>
      <c r="G887" s="1999" t="s">
        <v>5377</v>
      </c>
      <c r="H887" s="1794">
        <v>0</v>
      </c>
      <c r="I887" s="1794">
        <v>1</v>
      </c>
      <c r="J887" s="2000">
        <v>1</v>
      </c>
      <c r="K887" s="1798"/>
      <c r="L887" s="1792">
        <v>13073030504</v>
      </c>
      <c r="M887" s="1793">
        <v>1</v>
      </c>
      <c r="N887" s="1793">
        <v>1</v>
      </c>
      <c r="O887" s="1793">
        <v>2</v>
      </c>
    </row>
    <row r="888" spans="3:15">
      <c r="C888" s="1799" t="s">
        <v>5378</v>
      </c>
      <c r="D888" s="1796">
        <v>1</v>
      </c>
      <c r="E888" s="1796">
        <v>1</v>
      </c>
      <c r="F888" s="1797">
        <v>2</v>
      </c>
      <c r="G888" s="1999" t="s">
        <v>5378</v>
      </c>
      <c r="H888" s="1794">
        <v>0</v>
      </c>
      <c r="I888" s="1794" t="s">
        <v>4485</v>
      </c>
      <c r="J888" s="2000">
        <v>0</v>
      </c>
      <c r="K888" s="1798"/>
      <c r="L888" s="1792">
        <v>13073030505</v>
      </c>
      <c r="M888" s="1793">
        <v>1</v>
      </c>
      <c r="N888" s="1793">
        <v>1</v>
      </c>
      <c r="O888" s="1793">
        <v>2</v>
      </c>
    </row>
    <row r="889" spans="3:15">
      <c r="C889" s="1799" t="s">
        <v>5379</v>
      </c>
      <c r="D889" s="1796">
        <v>0</v>
      </c>
      <c r="E889" s="1796">
        <v>1</v>
      </c>
      <c r="F889" s="1797">
        <v>1</v>
      </c>
      <c r="G889" s="1999" t="s">
        <v>5379</v>
      </c>
      <c r="H889" s="1794">
        <v>0</v>
      </c>
      <c r="I889" s="1794">
        <v>0</v>
      </c>
      <c r="J889" s="2000">
        <v>0</v>
      </c>
      <c r="K889" s="1798"/>
      <c r="L889" s="1792">
        <v>13073030506</v>
      </c>
      <c r="M889" s="1793">
        <v>0</v>
      </c>
      <c r="N889" s="1793">
        <v>1</v>
      </c>
      <c r="O889" s="1793">
        <v>1</v>
      </c>
    </row>
    <row r="890" spans="3:15">
      <c r="C890" s="1799" t="s">
        <v>5380</v>
      </c>
      <c r="D890" s="1796">
        <v>0</v>
      </c>
      <c r="E890" s="1796">
        <v>0</v>
      </c>
      <c r="F890" s="1797">
        <v>0</v>
      </c>
      <c r="G890" s="1999" t="s">
        <v>5380</v>
      </c>
      <c r="H890" s="1794">
        <v>0</v>
      </c>
      <c r="I890" s="1794">
        <v>0</v>
      </c>
      <c r="J890" s="2000">
        <v>0</v>
      </c>
      <c r="K890" s="1798"/>
      <c r="L890" s="1792">
        <v>13073030603</v>
      </c>
      <c r="M890" s="1793">
        <v>0</v>
      </c>
      <c r="N890" s="1793">
        <v>0</v>
      </c>
      <c r="O890" s="1793">
        <v>0</v>
      </c>
    </row>
    <row r="891" spans="3:15">
      <c r="C891" s="1799" t="s">
        <v>5381</v>
      </c>
      <c r="D891" s="1796">
        <v>0</v>
      </c>
      <c r="E891" s="1796">
        <v>0</v>
      </c>
      <c r="F891" s="1797">
        <v>0</v>
      </c>
      <c r="G891" s="1999" t="s">
        <v>5381</v>
      </c>
      <c r="H891" s="1794">
        <v>0</v>
      </c>
      <c r="I891" s="1794">
        <v>0</v>
      </c>
      <c r="J891" s="2000">
        <v>0</v>
      </c>
      <c r="K891" s="1798"/>
      <c r="L891" s="1792">
        <v>13075960100</v>
      </c>
      <c r="M891" s="1793">
        <v>0</v>
      </c>
      <c r="N891" s="1793">
        <v>0</v>
      </c>
      <c r="O891" s="1793">
        <v>0</v>
      </c>
    </row>
    <row r="892" spans="3:15">
      <c r="C892" s="1799" t="s">
        <v>5382</v>
      </c>
      <c r="D892" s="1796">
        <v>0</v>
      </c>
      <c r="E892" s="1796">
        <v>0</v>
      </c>
      <c r="F892" s="1797">
        <v>0</v>
      </c>
      <c r="G892" s="1999" t="s">
        <v>5382</v>
      </c>
      <c r="H892" s="1794">
        <v>0</v>
      </c>
      <c r="I892" s="1794">
        <v>0</v>
      </c>
      <c r="J892" s="2000">
        <v>0</v>
      </c>
      <c r="K892" s="1798"/>
      <c r="L892" s="1792">
        <v>13075960200</v>
      </c>
      <c r="M892" s="1793">
        <v>0</v>
      </c>
      <c r="N892" s="1793">
        <v>0</v>
      </c>
      <c r="O892" s="1793">
        <v>0</v>
      </c>
    </row>
    <row r="893" spans="3:15">
      <c r="C893" s="1799" t="s">
        <v>5383</v>
      </c>
      <c r="D893" s="1796">
        <v>0</v>
      </c>
      <c r="E893" s="1796">
        <v>0</v>
      </c>
      <c r="F893" s="1797">
        <v>0</v>
      </c>
      <c r="G893" s="1999" t="s">
        <v>5383</v>
      </c>
      <c r="H893" s="1794">
        <v>0</v>
      </c>
      <c r="I893" s="1794">
        <v>0</v>
      </c>
      <c r="J893" s="2000">
        <v>0</v>
      </c>
      <c r="K893" s="1798"/>
      <c r="L893" s="1792">
        <v>13075960300</v>
      </c>
      <c r="M893" s="1793">
        <v>0</v>
      </c>
      <c r="N893" s="1793">
        <v>0</v>
      </c>
      <c r="O893" s="1793">
        <v>0</v>
      </c>
    </row>
    <row r="894" spans="3:15">
      <c r="C894" s="1799" t="s">
        <v>5384</v>
      </c>
      <c r="D894" s="1796">
        <v>0</v>
      </c>
      <c r="E894" s="1796">
        <v>0</v>
      </c>
      <c r="F894" s="1797">
        <v>0</v>
      </c>
      <c r="G894" s="1999" t="s">
        <v>5384</v>
      </c>
      <c r="H894" s="1794">
        <v>0</v>
      </c>
      <c r="I894" s="1794">
        <v>0</v>
      </c>
      <c r="J894" s="2000">
        <v>0</v>
      </c>
      <c r="K894" s="1798"/>
      <c r="L894" s="1792">
        <v>13075960400</v>
      </c>
      <c r="M894" s="1793">
        <v>0</v>
      </c>
      <c r="N894" s="1793">
        <v>0</v>
      </c>
      <c r="O894" s="1793">
        <v>0</v>
      </c>
    </row>
    <row r="895" spans="3:15">
      <c r="C895" s="1799" t="s">
        <v>5385</v>
      </c>
      <c r="D895" s="1796">
        <v>1</v>
      </c>
      <c r="E895" s="1796">
        <v>1</v>
      </c>
      <c r="F895" s="1797">
        <v>2</v>
      </c>
      <c r="G895" s="1999" t="s">
        <v>5385</v>
      </c>
      <c r="H895" s="1794">
        <v>1</v>
      </c>
      <c r="I895" s="1794">
        <v>0</v>
      </c>
      <c r="J895" s="2000">
        <v>1</v>
      </c>
      <c r="K895" s="1798"/>
      <c r="L895" s="1792">
        <v>13077170100</v>
      </c>
      <c r="M895" s="1793">
        <v>1</v>
      </c>
      <c r="N895" s="1793">
        <v>1</v>
      </c>
      <c r="O895" s="1793">
        <v>2</v>
      </c>
    </row>
    <row r="896" spans="3:15">
      <c r="C896" s="1799" t="s">
        <v>5386</v>
      </c>
      <c r="D896" s="1796">
        <v>1</v>
      </c>
      <c r="E896" s="1796">
        <v>0</v>
      </c>
      <c r="F896" s="1797">
        <v>1</v>
      </c>
      <c r="G896" s="1999" t="s">
        <v>5386</v>
      </c>
      <c r="H896" s="1794">
        <v>1</v>
      </c>
      <c r="I896" s="1794">
        <v>0</v>
      </c>
      <c r="J896" s="2000">
        <v>1</v>
      </c>
      <c r="K896" s="1798"/>
      <c r="L896" s="1792">
        <v>13077170200</v>
      </c>
      <c r="M896" s="1793">
        <v>1</v>
      </c>
      <c r="N896" s="1793">
        <v>0</v>
      </c>
      <c r="O896" s="1793">
        <v>1</v>
      </c>
    </row>
    <row r="897" spans="3:15">
      <c r="C897" s="1799" t="s">
        <v>5387</v>
      </c>
      <c r="D897" s="1796">
        <v>1</v>
      </c>
      <c r="E897" s="1796">
        <v>1</v>
      </c>
      <c r="F897" s="1797">
        <v>2</v>
      </c>
      <c r="G897" s="1999" t="s">
        <v>5387</v>
      </c>
      <c r="H897" s="1794">
        <v>1</v>
      </c>
      <c r="I897" s="1794">
        <v>1</v>
      </c>
      <c r="J897" s="2000">
        <v>2</v>
      </c>
      <c r="K897" s="1798"/>
      <c r="L897" s="1792">
        <v>13077170303</v>
      </c>
      <c r="M897" s="1793">
        <v>1</v>
      </c>
      <c r="N897" s="1793">
        <v>1</v>
      </c>
      <c r="O897" s="1793">
        <v>2</v>
      </c>
    </row>
    <row r="898" spans="3:15">
      <c r="C898" s="1799" t="s">
        <v>5388</v>
      </c>
      <c r="D898" s="1796">
        <v>1</v>
      </c>
      <c r="E898" s="1796">
        <v>1</v>
      </c>
      <c r="F898" s="1797">
        <v>2</v>
      </c>
      <c r="G898" s="1999" t="s">
        <v>5388</v>
      </c>
      <c r="H898" s="1794">
        <v>1</v>
      </c>
      <c r="I898" s="1794">
        <v>1</v>
      </c>
      <c r="J898" s="2000">
        <v>2</v>
      </c>
      <c r="K898" s="1798"/>
      <c r="L898" s="1792">
        <v>13077170304</v>
      </c>
      <c r="M898" s="1793">
        <v>1</v>
      </c>
      <c r="N898" s="1793">
        <v>1</v>
      </c>
      <c r="O898" s="1793">
        <v>2</v>
      </c>
    </row>
    <row r="899" spans="3:15">
      <c r="C899" s="1799" t="s">
        <v>5389</v>
      </c>
      <c r="D899" s="1796">
        <v>0</v>
      </c>
      <c r="E899" s="1796">
        <v>0</v>
      </c>
      <c r="F899" s="1797">
        <v>0</v>
      </c>
      <c r="G899" s="1999" t="s">
        <v>5389</v>
      </c>
      <c r="H899" s="1794">
        <v>0</v>
      </c>
      <c r="I899" s="1794">
        <v>0</v>
      </c>
      <c r="J899" s="2000">
        <v>0</v>
      </c>
      <c r="K899" s="1798"/>
      <c r="L899" s="1792">
        <v>13077170305</v>
      </c>
      <c r="M899" s="1793">
        <v>0</v>
      </c>
      <c r="N899" s="1793">
        <v>0</v>
      </c>
      <c r="O899" s="1793">
        <v>0</v>
      </c>
    </row>
    <row r="900" spans="3:15">
      <c r="C900" s="1799" t="s">
        <v>5390</v>
      </c>
      <c r="D900" s="1796">
        <v>1</v>
      </c>
      <c r="E900" s="1796">
        <v>1</v>
      </c>
      <c r="F900" s="1797">
        <v>2</v>
      </c>
      <c r="G900" s="1999" t="s">
        <v>5390</v>
      </c>
      <c r="H900" s="1794">
        <v>1</v>
      </c>
      <c r="I900" s="1794">
        <v>1</v>
      </c>
      <c r="J900" s="2000">
        <v>2</v>
      </c>
      <c r="K900" s="1798"/>
      <c r="L900" s="1792">
        <v>13077170306</v>
      </c>
      <c r="M900" s="1793">
        <v>1</v>
      </c>
      <c r="N900" s="1793">
        <v>1</v>
      </c>
      <c r="O900" s="1793">
        <v>2</v>
      </c>
    </row>
    <row r="901" spans="3:15">
      <c r="C901" s="1799" t="s">
        <v>5391</v>
      </c>
      <c r="D901" s="1796">
        <v>1</v>
      </c>
      <c r="E901" s="1796">
        <v>1</v>
      </c>
      <c r="F901" s="1797">
        <v>2</v>
      </c>
      <c r="G901" s="1999" t="s">
        <v>5391</v>
      </c>
      <c r="H901" s="1794">
        <v>1</v>
      </c>
      <c r="I901" s="1794">
        <v>1</v>
      </c>
      <c r="J901" s="2000">
        <v>2</v>
      </c>
      <c r="K901" s="1798"/>
      <c r="L901" s="1792">
        <v>13077170402</v>
      </c>
      <c r="M901" s="1793">
        <v>1</v>
      </c>
      <c r="N901" s="1793">
        <v>1</v>
      </c>
      <c r="O901" s="1793">
        <v>2</v>
      </c>
    </row>
    <row r="902" spans="3:15">
      <c r="C902" s="1799" t="s">
        <v>5392</v>
      </c>
      <c r="D902" s="1796">
        <v>1</v>
      </c>
      <c r="E902" s="1796">
        <v>1</v>
      </c>
      <c r="F902" s="1797">
        <v>2</v>
      </c>
      <c r="G902" s="1999" t="s">
        <v>5392</v>
      </c>
      <c r="H902" s="1794">
        <v>1</v>
      </c>
      <c r="I902" s="1794">
        <v>1</v>
      </c>
      <c r="J902" s="2000">
        <v>2</v>
      </c>
      <c r="K902" s="1798"/>
      <c r="L902" s="1792">
        <v>13077170403</v>
      </c>
      <c r="M902" s="1793">
        <v>1</v>
      </c>
      <c r="N902" s="1793">
        <v>1</v>
      </c>
      <c r="O902" s="1793">
        <v>2</v>
      </c>
    </row>
    <row r="903" spans="3:15">
      <c r="C903" s="1799" t="s">
        <v>5393</v>
      </c>
      <c r="D903" s="1796">
        <v>1</v>
      </c>
      <c r="E903" s="1796">
        <v>1</v>
      </c>
      <c r="F903" s="1797">
        <v>2</v>
      </c>
      <c r="G903" s="1999" t="s">
        <v>5393</v>
      </c>
      <c r="H903" s="1794">
        <v>1</v>
      </c>
      <c r="I903" s="1794">
        <v>1</v>
      </c>
      <c r="J903" s="2000">
        <v>2</v>
      </c>
      <c r="K903" s="1798"/>
      <c r="L903" s="1792">
        <v>13077170404</v>
      </c>
      <c r="M903" s="1793">
        <v>1</v>
      </c>
      <c r="N903" s="1793">
        <v>1</v>
      </c>
      <c r="O903" s="1793">
        <v>2</v>
      </c>
    </row>
    <row r="904" spans="3:15">
      <c r="C904" s="1799" t="s">
        <v>5394</v>
      </c>
      <c r="D904" s="1796">
        <v>1</v>
      </c>
      <c r="E904" s="1796">
        <v>1</v>
      </c>
      <c r="F904" s="1797">
        <v>2</v>
      </c>
      <c r="G904" s="1999" t="s">
        <v>5394</v>
      </c>
      <c r="H904" s="1794">
        <v>1</v>
      </c>
      <c r="I904" s="1794">
        <v>1</v>
      </c>
      <c r="J904" s="2000">
        <v>2</v>
      </c>
      <c r="K904" s="1798"/>
      <c r="L904" s="1792">
        <v>13077170405</v>
      </c>
      <c r="M904" s="1793">
        <v>1</v>
      </c>
      <c r="N904" s="1793">
        <v>1</v>
      </c>
      <c r="O904" s="1793">
        <v>2</v>
      </c>
    </row>
    <row r="905" spans="3:15">
      <c r="C905" s="1799" t="s">
        <v>5395</v>
      </c>
      <c r="D905" s="1796">
        <v>1</v>
      </c>
      <c r="E905" s="1796">
        <v>1</v>
      </c>
      <c r="F905" s="1797">
        <v>2</v>
      </c>
      <c r="G905" s="1999" t="s">
        <v>5395</v>
      </c>
      <c r="H905" s="1794">
        <v>1</v>
      </c>
      <c r="I905" s="1794">
        <v>1</v>
      </c>
      <c r="J905" s="2000">
        <v>2</v>
      </c>
      <c r="K905" s="1798"/>
      <c r="L905" s="1792">
        <v>13077170406</v>
      </c>
      <c r="M905" s="1793">
        <v>1</v>
      </c>
      <c r="N905" s="1793">
        <v>1</v>
      </c>
      <c r="O905" s="1793">
        <v>2</v>
      </c>
    </row>
    <row r="906" spans="3:15">
      <c r="C906" s="1799" t="s">
        <v>5396</v>
      </c>
      <c r="D906" s="1796">
        <v>1</v>
      </c>
      <c r="E906" s="1796">
        <v>1</v>
      </c>
      <c r="F906" s="1797">
        <v>2</v>
      </c>
      <c r="G906" s="1999" t="s">
        <v>5396</v>
      </c>
      <c r="H906" s="1794">
        <v>1</v>
      </c>
      <c r="I906" s="1794">
        <v>1</v>
      </c>
      <c r="J906" s="2000">
        <v>2</v>
      </c>
      <c r="K906" s="1798"/>
      <c r="L906" s="1792">
        <v>13077170501</v>
      </c>
      <c r="M906" s="1793">
        <v>1</v>
      </c>
      <c r="N906" s="1793">
        <v>1</v>
      </c>
      <c r="O906" s="1793">
        <v>2</v>
      </c>
    </row>
    <row r="907" spans="3:15">
      <c r="C907" s="1799" t="s">
        <v>5397</v>
      </c>
      <c r="D907" s="1796">
        <v>1</v>
      </c>
      <c r="E907" s="1796">
        <v>1</v>
      </c>
      <c r="F907" s="1797">
        <v>2</v>
      </c>
      <c r="G907" s="1999" t="s">
        <v>5397</v>
      </c>
      <c r="H907" s="1794">
        <v>1</v>
      </c>
      <c r="I907" s="1794">
        <v>1</v>
      </c>
      <c r="J907" s="2000">
        <v>2</v>
      </c>
      <c r="K907" s="1798"/>
      <c r="L907" s="1792">
        <v>13077170502</v>
      </c>
      <c r="M907" s="1793">
        <v>1</v>
      </c>
      <c r="N907" s="1793">
        <v>1</v>
      </c>
      <c r="O907" s="1793">
        <v>2</v>
      </c>
    </row>
    <row r="908" spans="3:15">
      <c r="C908" s="1799" t="s">
        <v>5398</v>
      </c>
      <c r="D908" s="1796">
        <v>1</v>
      </c>
      <c r="E908" s="1796">
        <v>1</v>
      </c>
      <c r="F908" s="1797">
        <v>2</v>
      </c>
      <c r="G908" s="1999" t="s">
        <v>5398</v>
      </c>
      <c r="H908" s="1794">
        <v>1</v>
      </c>
      <c r="I908" s="1794">
        <v>1</v>
      </c>
      <c r="J908" s="2000">
        <v>2</v>
      </c>
      <c r="K908" s="1798"/>
      <c r="L908" s="1792">
        <v>13077170503</v>
      </c>
      <c r="M908" s="1793">
        <v>1</v>
      </c>
      <c r="N908" s="1793">
        <v>1</v>
      </c>
      <c r="O908" s="1793">
        <v>2</v>
      </c>
    </row>
    <row r="909" spans="3:15">
      <c r="C909" s="1799" t="s">
        <v>5399</v>
      </c>
      <c r="D909" s="1796">
        <v>0</v>
      </c>
      <c r="E909" s="1796">
        <v>0</v>
      </c>
      <c r="F909" s="1797">
        <v>0</v>
      </c>
      <c r="G909" s="1999" t="s">
        <v>5399</v>
      </c>
      <c r="H909" s="1794">
        <v>0</v>
      </c>
      <c r="I909" s="1794">
        <v>0</v>
      </c>
      <c r="J909" s="2000">
        <v>0</v>
      </c>
      <c r="K909" s="1798"/>
      <c r="L909" s="1792">
        <v>13077170601</v>
      </c>
      <c r="M909" s="1793">
        <v>0</v>
      </c>
      <c r="N909" s="1793">
        <v>0</v>
      </c>
      <c r="O909" s="1793">
        <v>0</v>
      </c>
    </row>
    <row r="910" spans="3:15">
      <c r="C910" s="1799" t="s">
        <v>5400</v>
      </c>
      <c r="D910" s="1796">
        <v>1</v>
      </c>
      <c r="E910" s="1796">
        <v>1</v>
      </c>
      <c r="F910" s="1797">
        <v>2</v>
      </c>
      <c r="G910" s="1999" t="s">
        <v>5400</v>
      </c>
      <c r="H910" s="1794">
        <v>1</v>
      </c>
      <c r="I910" s="1794" t="s">
        <v>4485</v>
      </c>
      <c r="J910" s="2000">
        <v>1</v>
      </c>
      <c r="K910" s="1798"/>
      <c r="L910" s="1792">
        <v>13077170602</v>
      </c>
      <c r="M910" s="1793">
        <v>1</v>
      </c>
      <c r="N910" s="1793">
        <v>1</v>
      </c>
      <c r="O910" s="1793">
        <v>2</v>
      </c>
    </row>
    <row r="911" spans="3:15">
      <c r="C911" s="1799" t="s">
        <v>5401</v>
      </c>
      <c r="D911" s="1796">
        <v>1</v>
      </c>
      <c r="E911" s="1796">
        <v>1</v>
      </c>
      <c r="F911" s="1797">
        <v>2</v>
      </c>
      <c r="G911" s="1999" t="s">
        <v>5401</v>
      </c>
      <c r="H911" s="1794">
        <v>1</v>
      </c>
      <c r="I911" s="1794">
        <v>1</v>
      </c>
      <c r="J911" s="2000">
        <v>2</v>
      </c>
      <c r="K911" s="1798"/>
      <c r="L911" s="1792">
        <v>13077170603</v>
      </c>
      <c r="M911" s="1793">
        <v>1</v>
      </c>
      <c r="N911" s="1793">
        <v>1</v>
      </c>
      <c r="O911" s="1793">
        <v>2</v>
      </c>
    </row>
    <row r="912" spans="3:15">
      <c r="C912" s="1799" t="s">
        <v>5402</v>
      </c>
      <c r="D912" s="1796">
        <v>0</v>
      </c>
      <c r="E912" s="1796">
        <v>0</v>
      </c>
      <c r="F912" s="1797">
        <v>0</v>
      </c>
      <c r="G912" s="1999" t="s">
        <v>5402</v>
      </c>
      <c r="H912" s="1794">
        <v>0</v>
      </c>
      <c r="I912" s="1794">
        <v>0</v>
      </c>
      <c r="J912" s="2000">
        <v>0</v>
      </c>
      <c r="K912" s="1798"/>
      <c r="L912" s="1792">
        <v>13077170700</v>
      </c>
      <c r="M912" s="1793">
        <v>0</v>
      </c>
      <c r="N912" s="1793">
        <v>0</v>
      </c>
      <c r="O912" s="1793">
        <v>0</v>
      </c>
    </row>
    <row r="913" spans="3:15">
      <c r="C913" s="1799" t="s">
        <v>5403</v>
      </c>
      <c r="D913" s="1796">
        <v>0</v>
      </c>
      <c r="E913" s="1796">
        <v>1</v>
      </c>
      <c r="F913" s="1797">
        <v>1</v>
      </c>
      <c r="G913" s="1999" t="s">
        <v>5403</v>
      </c>
      <c r="H913" s="1794">
        <v>0</v>
      </c>
      <c r="I913" s="1794">
        <v>0</v>
      </c>
      <c r="J913" s="2000">
        <v>0</v>
      </c>
      <c r="K913" s="1798"/>
      <c r="L913" s="1792">
        <v>13077170801</v>
      </c>
      <c r="M913" s="1793">
        <v>0</v>
      </c>
      <c r="N913" s="1793">
        <v>1</v>
      </c>
      <c r="O913" s="1793">
        <v>1</v>
      </c>
    </row>
    <row r="914" spans="3:15">
      <c r="C914" s="1799" t="s">
        <v>5404</v>
      </c>
      <c r="D914" s="1796">
        <v>1</v>
      </c>
      <c r="E914" s="1796">
        <v>1</v>
      </c>
      <c r="F914" s="1797">
        <v>2</v>
      </c>
      <c r="G914" s="1999" t="s">
        <v>5404</v>
      </c>
      <c r="H914" s="1794">
        <v>1</v>
      </c>
      <c r="I914" s="1794">
        <v>1</v>
      </c>
      <c r="J914" s="2000">
        <v>2</v>
      </c>
      <c r="K914" s="1798"/>
      <c r="L914" s="1792">
        <v>13077170802</v>
      </c>
      <c r="M914" s="1793">
        <v>1</v>
      </c>
      <c r="N914" s="1793">
        <v>1</v>
      </c>
      <c r="O914" s="1793">
        <v>2</v>
      </c>
    </row>
    <row r="915" spans="3:15">
      <c r="C915" s="1799" t="s">
        <v>5405</v>
      </c>
      <c r="D915" s="1796">
        <v>0</v>
      </c>
      <c r="E915" s="1796">
        <v>0</v>
      </c>
      <c r="F915" s="1797">
        <v>0</v>
      </c>
      <c r="G915" s="1999" t="s">
        <v>5405</v>
      </c>
      <c r="H915" s="1794">
        <v>0</v>
      </c>
      <c r="I915" s="1794">
        <v>0</v>
      </c>
      <c r="J915" s="2000">
        <v>0</v>
      </c>
      <c r="K915" s="1798"/>
      <c r="L915" s="1792">
        <v>13079070100</v>
      </c>
      <c r="M915" s="1793">
        <v>0</v>
      </c>
      <c r="N915" s="1793">
        <v>0</v>
      </c>
      <c r="O915" s="1793">
        <v>0</v>
      </c>
    </row>
    <row r="916" spans="3:15">
      <c r="C916" s="1799" t="s">
        <v>5406</v>
      </c>
      <c r="D916" s="1796">
        <v>0</v>
      </c>
      <c r="E916" s="1796">
        <v>1</v>
      </c>
      <c r="F916" s="1797">
        <v>1</v>
      </c>
      <c r="G916" s="1999" t="s">
        <v>5406</v>
      </c>
      <c r="H916" s="1794">
        <v>0</v>
      </c>
      <c r="I916" s="1794">
        <v>1</v>
      </c>
      <c r="J916" s="2000">
        <v>1</v>
      </c>
      <c r="K916" s="1798"/>
      <c r="L916" s="1792">
        <v>13079070201</v>
      </c>
      <c r="M916" s="1793">
        <v>0</v>
      </c>
      <c r="N916" s="1793">
        <v>1</v>
      </c>
      <c r="O916" s="1793">
        <v>1</v>
      </c>
    </row>
    <row r="917" spans="3:15">
      <c r="C917" s="1799" t="s">
        <v>5407</v>
      </c>
      <c r="D917" s="1796">
        <v>0</v>
      </c>
      <c r="E917" s="1796">
        <v>1</v>
      </c>
      <c r="F917" s="1797">
        <v>1</v>
      </c>
      <c r="G917" s="1999" t="s">
        <v>5407</v>
      </c>
      <c r="H917" s="1794">
        <v>0</v>
      </c>
      <c r="I917" s="1794">
        <v>0</v>
      </c>
      <c r="J917" s="2000">
        <v>0</v>
      </c>
      <c r="K917" s="1798"/>
      <c r="L917" s="1792">
        <v>13079070202</v>
      </c>
      <c r="M917" s="1793">
        <v>0</v>
      </c>
      <c r="N917" s="1793">
        <v>1</v>
      </c>
      <c r="O917" s="1793">
        <v>1</v>
      </c>
    </row>
    <row r="918" spans="3:15">
      <c r="C918" s="1799" t="s">
        <v>5408</v>
      </c>
      <c r="D918" s="1796">
        <v>0</v>
      </c>
      <c r="E918" s="1796">
        <v>0</v>
      </c>
      <c r="F918" s="1797">
        <v>0</v>
      </c>
      <c r="G918" s="1999" t="s">
        <v>5408</v>
      </c>
      <c r="H918" s="1794">
        <v>0</v>
      </c>
      <c r="I918" s="1794">
        <v>0</v>
      </c>
      <c r="J918" s="2000">
        <v>0</v>
      </c>
      <c r="K918" s="1798"/>
      <c r="L918" s="1792">
        <v>13081010100</v>
      </c>
      <c r="M918" s="1793">
        <v>0</v>
      </c>
      <c r="N918" s="1793">
        <v>0</v>
      </c>
      <c r="O918" s="1793">
        <v>0</v>
      </c>
    </row>
    <row r="919" spans="3:15">
      <c r="C919" s="1799" t="s">
        <v>5409</v>
      </c>
      <c r="D919" s="1796">
        <v>0</v>
      </c>
      <c r="E919" s="1796">
        <v>0</v>
      </c>
      <c r="F919" s="1797">
        <v>0</v>
      </c>
      <c r="G919" s="1999" t="s">
        <v>5409</v>
      </c>
      <c r="H919" s="1794">
        <v>0</v>
      </c>
      <c r="I919" s="1794">
        <v>0</v>
      </c>
      <c r="J919" s="2000">
        <v>0</v>
      </c>
      <c r="K919" s="1798"/>
      <c r="L919" s="1792">
        <v>13081010201</v>
      </c>
      <c r="M919" s="1793">
        <v>0</v>
      </c>
      <c r="N919" s="1793">
        <v>0</v>
      </c>
      <c r="O919" s="1793">
        <v>0</v>
      </c>
    </row>
    <row r="920" spans="3:15">
      <c r="C920" s="1799" t="s">
        <v>5410</v>
      </c>
      <c r="D920" s="1796">
        <v>0</v>
      </c>
      <c r="E920" s="1796">
        <v>0</v>
      </c>
      <c r="F920" s="1797">
        <v>0</v>
      </c>
      <c r="G920" s="1999" t="s">
        <v>5410</v>
      </c>
      <c r="H920" s="1794">
        <v>0</v>
      </c>
      <c r="I920" s="1794">
        <v>0</v>
      </c>
      <c r="J920" s="2000">
        <v>0</v>
      </c>
      <c r="K920" s="1798"/>
      <c r="L920" s="1792">
        <v>13081010202</v>
      </c>
      <c r="M920" s="1793">
        <v>0</v>
      </c>
      <c r="N920" s="1793">
        <v>0</v>
      </c>
      <c r="O920" s="1793">
        <v>0</v>
      </c>
    </row>
    <row r="921" spans="3:15">
      <c r="C921" s="1799" t="s">
        <v>5411</v>
      </c>
      <c r="D921" s="1796">
        <v>0</v>
      </c>
      <c r="E921" s="1796">
        <v>0</v>
      </c>
      <c r="F921" s="1797">
        <v>0</v>
      </c>
      <c r="G921" s="1999" t="s">
        <v>5411</v>
      </c>
      <c r="H921" s="1794">
        <v>0</v>
      </c>
      <c r="I921" s="1794">
        <v>0</v>
      </c>
      <c r="J921" s="2000">
        <v>0</v>
      </c>
      <c r="K921" s="1798"/>
      <c r="L921" s="1792">
        <v>13081010300</v>
      </c>
      <c r="M921" s="1793">
        <v>0</v>
      </c>
      <c r="N921" s="1793">
        <v>0</v>
      </c>
      <c r="O921" s="1793">
        <v>0</v>
      </c>
    </row>
    <row r="922" spans="3:15">
      <c r="C922" s="1799" t="s">
        <v>5412</v>
      </c>
      <c r="D922" s="1796">
        <v>0</v>
      </c>
      <c r="E922" s="1796">
        <v>0</v>
      </c>
      <c r="F922" s="1797">
        <v>0</v>
      </c>
      <c r="G922" s="1999" t="s">
        <v>5412</v>
      </c>
      <c r="H922" s="1794">
        <v>0</v>
      </c>
      <c r="I922" s="1794">
        <v>0</v>
      </c>
      <c r="J922" s="2000">
        <v>0</v>
      </c>
      <c r="K922" s="1798"/>
      <c r="L922" s="1792">
        <v>13081010400</v>
      </c>
      <c r="M922" s="1793">
        <v>0</v>
      </c>
      <c r="N922" s="1793">
        <v>0</v>
      </c>
      <c r="O922" s="1793">
        <v>0</v>
      </c>
    </row>
    <row r="923" spans="3:15">
      <c r="C923" s="1799" t="s">
        <v>5413</v>
      </c>
      <c r="D923" s="1796">
        <v>0</v>
      </c>
      <c r="E923" s="1796">
        <v>0</v>
      </c>
      <c r="F923" s="1797">
        <v>0</v>
      </c>
      <c r="G923" s="1999" t="s">
        <v>5413</v>
      </c>
      <c r="H923" s="1794">
        <v>0</v>
      </c>
      <c r="I923" s="1794">
        <v>0</v>
      </c>
      <c r="J923" s="2000">
        <v>0</v>
      </c>
      <c r="K923" s="1798"/>
      <c r="L923" s="1792">
        <v>13081010500</v>
      </c>
      <c r="M923" s="1793">
        <v>0</v>
      </c>
      <c r="N923" s="1793">
        <v>0</v>
      </c>
      <c r="O923" s="1793">
        <v>0</v>
      </c>
    </row>
    <row r="924" spans="3:15">
      <c r="C924" s="1799" t="s">
        <v>5414</v>
      </c>
      <c r="D924" s="1796">
        <v>0</v>
      </c>
      <c r="E924" s="1796">
        <v>0</v>
      </c>
      <c r="F924" s="1797">
        <v>0</v>
      </c>
      <c r="G924" s="1999" t="s">
        <v>5414</v>
      </c>
      <c r="H924" s="1794">
        <v>0</v>
      </c>
      <c r="I924" s="1794">
        <v>0</v>
      </c>
      <c r="J924" s="2000">
        <v>0</v>
      </c>
      <c r="K924" s="1798"/>
      <c r="L924" s="1792">
        <v>13083040101</v>
      </c>
      <c r="M924" s="1793">
        <v>0</v>
      </c>
      <c r="N924" s="1793">
        <v>0</v>
      </c>
      <c r="O924" s="1793">
        <v>0</v>
      </c>
    </row>
    <row r="925" spans="3:15">
      <c r="C925" s="1799" t="s">
        <v>5415</v>
      </c>
      <c r="D925" s="1796">
        <v>1</v>
      </c>
      <c r="E925" s="1796">
        <v>1</v>
      </c>
      <c r="F925" s="1797">
        <v>2</v>
      </c>
      <c r="G925" s="1999" t="s">
        <v>5415</v>
      </c>
      <c r="H925" s="1794">
        <v>0</v>
      </c>
      <c r="I925" s="1794">
        <v>1</v>
      </c>
      <c r="J925" s="2000">
        <v>1</v>
      </c>
      <c r="K925" s="1798"/>
      <c r="L925" s="1792">
        <v>13083040102</v>
      </c>
      <c r="M925" s="1793">
        <v>1</v>
      </c>
      <c r="N925" s="1793">
        <v>1</v>
      </c>
      <c r="O925" s="1793">
        <v>2</v>
      </c>
    </row>
    <row r="926" spans="3:15">
      <c r="C926" s="1799" t="s">
        <v>5416</v>
      </c>
      <c r="D926" s="1796">
        <v>0</v>
      </c>
      <c r="E926" s="1796">
        <v>0</v>
      </c>
      <c r="F926" s="1797">
        <v>0</v>
      </c>
      <c r="G926" s="1999" t="s">
        <v>5416</v>
      </c>
      <c r="H926" s="1794">
        <v>0</v>
      </c>
      <c r="I926" s="1794">
        <v>0</v>
      </c>
      <c r="J926" s="2000">
        <v>0</v>
      </c>
      <c r="K926" s="1798"/>
      <c r="L926" s="1792">
        <v>13083040200</v>
      </c>
      <c r="M926" s="1793">
        <v>0</v>
      </c>
      <c r="N926" s="1793">
        <v>0</v>
      </c>
      <c r="O926" s="1793">
        <v>0</v>
      </c>
    </row>
    <row r="927" spans="3:15">
      <c r="C927" s="1799" t="s">
        <v>5417</v>
      </c>
      <c r="D927" s="1796">
        <v>1</v>
      </c>
      <c r="E927" s="1796">
        <v>1</v>
      </c>
      <c r="F927" s="1797">
        <v>2</v>
      </c>
      <c r="G927" s="1999" t="s">
        <v>5417</v>
      </c>
      <c r="H927" s="1794">
        <v>0</v>
      </c>
      <c r="I927" s="1794">
        <v>1</v>
      </c>
      <c r="J927" s="2000">
        <v>1</v>
      </c>
      <c r="K927" s="1798"/>
      <c r="L927" s="1792">
        <v>13083040300</v>
      </c>
      <c r="M927" s="1793">
        <v>1</v>
      </c>
      <c r="N927" s="1793">
        <v>1</v>
      </c>
      <c r="O927" s="1793">
        <v>2</v>
      </c>
    </row>
    <row r="928" spans="3:15">
      <c r="C928" s="1799" t="s">
        <v>5418</v>
      </c>
      <c r="D928" s="1796">
        <v>1</v>
      </c>
      <c r="E928" s="1796">
        <v>1</v>
      </c>
      <c r="F928" s="1797">
        <v>2</v>
      </c>
      <c r="G928" s="1999" t="s">
        <v>5418</v>
      </c>
      <c r="H928" s="1794">
        <v>1</v>
      </c>
      <c r="I928" s="1794">
        <v>1</v>
      </c>
      <c r="J928" s="2000">
        <v>2</v>
      </c>
      <c r="K928" s="1798"/>
      <c r="L928" s="1792">
        <v>13085970100</v>
      </c>
      <c r="M928" s="1793">
        <v>1</v>
      </c>
      <c r="N928" s="1793">
        <v>1</v>
      </c>
      <c r="O928" s="1793">
        <v>2</v>
      </c>
    </row>
    <row r="929" spans="3:15">
      <c r="C929" s="1799" t="s">
        <v>5419</v>
      </c>
      <c r="D929" s="1796">
        <v>1</v>
      </c>
      <c r="E929" s="1796">
        <v>1</v>
      </c>
      <c r="F929" s="1797">
        <v>2</v>
      </c>
      <c r="G929" s="1999" t="s">
        <v>5419</v>
      </c>
      <c r="H929" s="1794">
        <v>1</v>
      </c>
      <c r="I929" s="1794">
        <v>1</v>
      </c>
      <c r="J929" s="2000">
        <v>2</v>
      </c>
      <c r="K929" s="1798"/>
      <c r="L929" s="1792">
        <v>13085970201</v>
      </c>
      <c r="M929" s="1793">
        <v>1</v>
      </c>
      <c r="N929" s="1793">
        <v>1</v>
      </c>
      <c r="O929" s="1793">
        <v>2</v>
      </c>
    </row>
    <row r="930" spans="3:15">
      <c r="C930" s="1799" t="s">
        <v>5420</v>
      </c>
      <c r="D930" s="1796">
        <v>0</v>
      </c>
      <c r="E930" s="1796">
        <v>1</v>
      </c>
      <c r="F930" s="1797">
        <v>1</v>
      </c>
      <c r="G930" s="1999" t="s">
        <v>5420</v>
      </c>
      <c r="H930" s="1794">
        <v>1</v>
      </c>
      <c r="I930" s="1794">
        <v>0</v>
      </c>
      <c r="J930" s="2000">
        <v>1</v>
      </c>
      <c r="K930" s="1798"/>
      <c r="L930" s="1792">
        <v>13085970202</v>
      </c>
      <c r="M930" s="1793">
        <v>1</v>
      </c>
      <c r="N930" s="1793">
        <v>1</v>
      </c>
      <c r="O930" s="1793">
        <v>1</v>
      </c>
    </row>
    <row r="931" spans="3:15">
      <c r="C931" s="1799" t="s">
        <v>5421</v>
      </c>
      <c r="D931" s="1796">
        <v>1</v>
      </c>
      <c r="E931" s="1796">
        <v>0</v>
      </c>
      <c r="F931" s="1797">
        <v>1</v>
      </c>
      <c r="G931" s="1999" t="s">
        <v>5421</v>
      </c>
      <c r="H931" s="1794">
        <v>0</v>
      </c>
      <c r="I931" s="1794">
        <v>0</v>
      </c>
      <c r="J931" s="2000">
        <v>0</v>
      </c>
      <c r="K931" s="1798"/>
      <c r="L931" s="1792">
        <v>13087970100</v>
      </c>
      <c r="M931" s="1793">
        <v>1</v>
      </c>
      <c r="N931" s="1793">
        <v>0</v>
      </c>
      <c r="O931" s="1793">
        <v>1</v>
      </c>
    </row>
    <row r="932" spans="3:15">
      <c r="C932" s="1799" t="s">
        <v>5422</v>
      </c>
      <c r="D932" s="1796">
        <v>0</v>
      </c>
      <c r="E932" s="1796">
        <v>0</v>
      </c>
      <c r="F932" s="1797">
        <v>0</v>
      </c>
      <c r="G932" s="1999" t="s">
        <v>5422</v>
      </c>
      <c r="H932" s="1794">
        <v>0</v>
      </c>
      <c r="I932" s="1794">
        <v>0</v>
      </c>
      <c r="J932" s="2000">
        <v>0</v>
      </c>
      <c r="K932" s="1798"/>
      <c r="L932" s="1792">
        <v>13087970200</v>
      </c>
      <c r="M932" s="1793">
        <v>0</v>
      </c>
      <c r="N932" s="1793">
        <v>0</v>
      </c>
      <c r="O932" s="1793">
        <v>0</v>
      </c>
    </row>
    <row r="933" spans="3:15">
      <c r="C933" s="1799" t="s">
        <v>5423</v>
      </c>
      <c r="D933" s="1796">
        <v>0</v>
      </c>
      <c r="E933" s="1796">
        <v>0</v>
      </c>
      <c r="F933" s="1797">
        <v>0</v>
      </c>
      <c r="G933" s="1999" t="s">
        <v>5423</v>
      </c>
      <c r="H933" s="1794">
        <v>0</v>
      </c>
      <c r="I933" s="1794">
        <v>0</v>
      </c>
      <c r="J933" s="2000">
        <v>0</v>
      </c>
      <c r="K933" s="1798"/>
      <c r="L933" s="1792">
        <v>13087970300</v>
      </c>
      <c r="M933" s="1793">
        <v>0</v>
      </c>
      <c r="N933" s="1793">
        <v>0</v>
      </c>
      <c r="O933" s="1793">
        <v>0</v>
      </c>
    </row>
    <row r="934" spans="3:15">
      <c r="C934" s="1799" t="s">
        <v>5424</v>
      </c>
      <c r="D934" s="1796">
        <v>0</v>
      </c>
      <c r="E934" s="1796">
        <v>0</v>
      </c>
      <c r="F934" s="1797">
        <v>0</v>
      </c>
      <c r="G934" s="1999" t="s">
        <v>5424</v>
      </c>
      <c r="H934" s="1794">
        <v>0</v>
      </c>
      <c r="I934" s="1794">
        <v>0</v>
      </c>
      <c r="J934" s="2000">
        <v>0</v>
      </c>
      <c r="K934" s="1798"/>
      <c r="L934" s="1792">
        <v>13087970400</v>
      </c>
      <c r="M934" s="1793">
        <v>0</v>
      </c>
      <c r="N934" s="1793">
        <v>0</v>
      </c>
      <c r="O934" s="1793">
        <v>0</v>
      </c>
    </row>
    <row r="935" spans="3:15">
      <c r="C935" s="1799" t="s">
        <v>5425</v>
      </c>
      <c r="D935" s="1796">
        <v>1</v>
      </c>
      <c r="E935" s="1796">
        <v>0</v>
      </c>
      <c r="F935" s="1797">
        <v>1</v>
      </c>
      <c r="G935" s="1999" t="s">
        <v>5425</v>
      </c>
      <c r="H935" s="1794">
        <v>0</v>
      </c>
      <c r="I935" s="1794">
        <v>1</v>
      </c>
      <c r="J935" s="2000">
        <v>1</v>
      </c>
      <c r="K935" s="1798"/>
      <c r="L935" s="1792">
        <v>13087970600</v>
      </c>
      <c r="M935" s="1793">
        <v>1</v>
      </c>
      <c r="N935" s="1793">
        <v>1</v>
      </c>
      <c r="O935" s="1793">
        <v>1</v>
      </c>
    </row>
    <row r="936" spans="3:15">
      <c r="C936" s="1799" t="s">
        <v>5426</v>
      </c>
      <c r="D936" s="1796">
        <v>0</v>
      </c>
      <c r="E936" s="1796">
        <v>0</v>
      </c>
      <c r="F936" s="1797">
        <v>0</v>
      </c>
      <c r="G936" s="1999" t="s">
        <v>5426</v>
      </c>
      <c r="H936" s="1794">
        <v>0</v>
      </c>
      <c r="I936" s="1794">
        <v>0</v>
      </c>
      <c r="J936" s="2000">
        <v>0</v>
      </c>
      <c r="K936" s="1798"/>
      <c r="L936" s="1792">
        <v>13087970700</v>
      </c>
      <c r="M936" s="1793">
        <v>0</v>
      </c>
      <c r="N936" s="1793">
        <v>0</v>
      </c>
      <c r="O936" s="1793">
        <v>0</v>
      </c>
    </row>
    <row r="937" spans="3:15">
      <c r="C937" s="1799" t="s">
        <v>5427</v>
      </c>
      <c r="D937" s="1796">
        <v>0</v>
      </c>
      <c r="E937" s="1796">
        <v>0</v>
      </c>
      <c r="F937" s="1797">
        <v>0</v>
      </c>
      <c r="G937" s="1999" t="s">
        <v>5427</v>
      </c>
      <c r="H937" s="1794">
        <v>0</v>
      </c>
      <c r="I937" s="1794">
        <v>0</v>
      </c>
      <c r="J937" s="2000">
        <v>0</v>
      </c>
      <c r="K937" s="1798"/>
      <c r="L937" s="1792">
        <v>13087970800</v>
      </c>
      <c r="M937" s="1793">
        <v>0</v>
      </c>
      <c r="N937" s="1793">
        <v>0</v>
      </c>
      <c r="O937" s="1793">
        <v>0</v>
      </c>
    </row>
    <row r="938" spans="3:15">
      <c r="C938" s="1799" t="s">
        <v>5428</v>
      </c>
      <c r="D938" s="1796">
        <v>1</v>
      </c>
      <c r="E938" s="1796">
        <v>1</v>
      </c>
      <c r="F938" s="1797">
        <v>2</v>
      </c>
      <c r="G938" s="1999" t="s">
        <v>5428</v>
      </c>
      <c r="H938" s="1794">
        <v>1</v>
      </c>
      <c r="I938" s="1794">
        <v>1</v>
      </c>
      <c r="J938" s="2000">
        <v>2</v>
      </c>
      <c r="K938" s="1798"/>
      <c r="L938" s="1792">
        <v>13089020100</v>
      </c>
      <c r="M938" s="1793">
        <v>1</v>
      </c>
      <c r="N938" s="1793">
        <v>1</v>
      </c>
      <c r="O938" s="1793">
        <v>2</v>
      </c>
    </row>
    <row r="939" spans="3:15">
      <c r="C939" s="1799" t="s">
        <v>5429</v>
      </c>
      <c r="D939" s="1796">
        <v>1</v>
      </c>
      <c r="E939" s="1796">
        <v>1</v>
      </c>
      <c r="F939" s="1797">
        <v>2</v>
      </c>
      <c r="G939" s="1999" t="s">
        <v>5429</v>
      </c>
      <c r="H939" s="1794">
        <v>1</v>
      </c>
      <c r="I939" s="1794">
        <v>1</v>
      </c>
      <c r="J939" s="2000">
        <v>2</v>
      </c>
      <c r="K939" s="1798"/>
      <c r="L939" s="1792">
        <v>13089020200</v>
      </c>
      <c r="M939" s="1793">
        <v>1</v>
      </c>
      <c r="N939" s="1793">
        <v>1</v>
      </c>
      <c r="O939" s="1793">
        <v>2</v>
      </c>
    </row>
    <row r="940" spans="3:15">
      <c r="C940" s="1799" t="s">
        <v>5430</v>
      </c>
      <c r="D940" s="1796">
        <v>1</v>
      </c>
      <c r="E940" s="1796">
        <v>1</v>
      </c>
      <c r="F940" s="1797">
        <v>2</v>
      </c>
      <c r="G940" s="1999" t="s">
        <v>5430</v>
      </c>
      <c r="H940" s="1794">
        <v>1</v>
      </c>
      <c r="I940" s="1794" t="s">
        <v>4485</v>
      </c>
      <c r="J940" s="2000">
        <v>1</v>
      </c>
      <c r="K940" s="1798"/>
      <c r="L940" s="1792">
        <v>13089020300</v>
      </c>
      <c r="M940" s="1793">
        <v>1</v>
      </c>
      <c r="N940" s="1793">
        <v>1</v>
      </c>
      <c r="O940" s="1793">
        <v>2</v>
      </c>
    </row>
    <row r="941" spans="3:15">
      <c r="C941" s="1799" t="s">
        <v>5431</v>
      </c>
      <c r="D941" s="1796">
        <v>1</v>
      </c>
      <c r="E941" s="1796">
        <v>1</v>
      </c>
      <c r="F941" s="1797">
        <v>2</v>
      </c>
      <c r="G941" s="1999" t="s">
        <v>5431</v>
      </c>
      <c r="H941" s="1794">
        <v>1</v>
      </c>
      <c r="I941" s="1794" t="s">
        <v>4485</v>
      </c>
      <c r="J941" s="2000">
        <v>1</v>
      </c>
      <c r="K941" s="1798"/>
      <c r="L941" s="1792">
        <v>13089020400</v>
      </c>
      <c r="M941" s="1793">
        <v>1</v>
      </c>
      <c r="N941" s="1793">
        <v>1</v>
      </c>
      <c r="O941" s="1793">
        <v>2</v>
      </c>
    </row>
    <row r="942" spans="3:15">
      <c r="C942" s="1799" t="s">
        <v>5432</v>
      </c>
      <c r="D942" s="1796">
        <v>0</v>
      </c>
      <c r="E942" s="1796">
        <v>0</v>
      </c>
      <c r="F942" s="1797">
        <v>0</v>
      </c>
      <c r="G942" s="1999" t="s">
        <v>5432</v>
      </c>
      <c r="H942" s="1794">
        <v>0</v>
      </c>
      <c r="I942" s="1794">
        <v>0</v>
      </c>
      <c r="J942" s="2000">
        <v>0</v>
      </c>
      <c r="K942" s="1798"/>
      <c r="L942" s="1792">
        <v>13089020500</v>
      </c>
      <c r="M942" s="1793">
        <v>0</v>
      </c>
      <c r="N942" s="1793">
        <v>0</v>
      </c>
      <c r="O942" s="1793">
        <v>0</v>
      </c>
    </row>
    <row r="943" spans="3:15">
      <c r="C943" s="1799" t="s">
        <v>5433</v>
      </c>
      <c r="D943" s="1796">
        <v>0</v>
      </c>
      <c r="E943" s="1796">
        <v>0</v>
      </c>
      <c r="F943" s="1797">
        <v>0</v>
      </c>
      <c r="G943" s="1999" t="s">
        <v>5433</v>
      </c>
      <c r="H943" s="1794">
        <v>0</v>
      </c>
      <c r="I943" s="1794">
        <v>0</v>
      </c>
      <c r="J943" s="2000">
        <v>0</v>
      </c>
      <c r="K943" s="1798"/>
      <c r="L943" s="1792">
        <v>13089020600</v>
      </c>
      <c r="M943" s="1793">
        <v>0</v>
      </c>
      <c r="N943" s="1793">
        <v>0</v>
      </c>
      <c r="O943" s="1793">
        <v>0</v>
      </c>
    </row>
    <row r="944" spans="3:15">
      <c r="C944" s="1799" t="s">
        <v>5434</v>
      </c>
      <c r="D944" s="1796">
        <v>1</v>
      </c>
      <c r="E944" s="1796">
        <v>0</v>
      </c>
      <c r="F944" s="1797">
        <v>1</v>
      </c>
      <c r="G944" s="1999" t="s">
        <v>5434</v>
      </c>
      <c r="H944" s="1794">
        <v>1</v>
      </c>
      <c r="I944" s="1794">
        <v>1</v>
      </c>
      <c r="J944" s="2000">
        <v>2</v>
      </c>
      <c r="K944" s="1798"/>
      <c r="L944" s="1792">
        <v>13089020700</v>
      </c>
      <c r="M944" s="1793">
        <v>1</v>
      </c>
      <c r="N944" s="1793">
        <v>1</v>
      </c>
      <c r="O944" s="1793">
        <v>2</v>
      </c>
    </row>
    <row r="945" spans="3:15">
      <c r="C945" s="1799" t="s">
        <v>5435</v>
      </c>
      <c r="D945" s="1796">
        <v>1</v>
      </c>
      <c r="E945" s="1796">
        <v>1</v>
      </c>
      <c r="F945" s="1797">
        <v>2</v>
      </c>
      <c r="G945" s="1999" t="s">
        <v>5435</v>
      </c>
      <c r="H945" s="1794">
        <v>1</v>
      </c>
      <c r="I945" s="1794">
        <v>1</v>
      </c>
      <c r="J945" s="2000">
        <v>2</v>
      </c>
      <c r="K945" s="1798"/>
      <c r="L945" s="1792">
        <v>13089020801</v>
      </c>
      <c r="M945" s="1793">
        <v>1</v>
      </c>
      <c r="N945" s="1793">
        <v>1</v>
      </c>
      <c r="O945" s="1793">
        <v>2</v>
      </c>
    </row>
    <row r="946" spans="3:15">
      <c r="C946" s="1799" t="s">
        <v>5436</v>
      </c>
      <c r="D946" s="1796">
        <v>1</v>
      </c>
      <c r="E946" s="1796">
        <v>0</v>
      </c>
      <c r="F946" s="1797">
        <v>1</v>
      </c>
      <c r="G946" s="1999" t="s">
        <v>5436</v>
      </c>
      <c r="H946" s="1794">
        <v>1</v>
      </c>
      <c r="I946" s="1794">
        <v>0</v>
      </c>
      <c r="J946" s="2000">
        <v>1</v>
      </c>
      <c r="K946" s="1798"/>
      <c r="L946" s="1792">
        <v>13089020802</v>
      </c>
      <c r="M946" s="1793">
        <v>1</v>
      </c>
      <c r="N946" s="1793">
        <v>0</v>
      </c>
      <c r="O946" s="1793">
        <v>1</v>
      </c>
    </row>
    <row r="947" spans="3:15">
      <c r="C947" s="1799" t="s">
        <v>5437</v>
      </c>
      <c r="D947" s="1796">
        <v>1</v>
      </c>
      <c r="E947" s="1796">
        <v>0</v>
      </c>
      <c r="F947" s="1797">
        <v>1</v>
      </c>
      <c r="G947" s="1999" t="s">
        <v>5437</v>
      </c>
      <c r="H947" s="1794">
        <v>1</v>
      </c>
      <c r="I947" s="1794">
        <v>0</v>
      </c>
      <c r="J947" s="2000">
        <v>1</v>
      </c>
      <c r="K947" s="1798"/>
      <c r="L947" s="1792">
        <v>13089020900</v>
      </c>
      <c r="M947" s="1793">
        <v>1</v>
      </c>
      <c r="N947" s="1793">
        <v>0</v>
      </c>
      <c r="O947" s="1793">
        <v>1</v>
      </c>
    </row>
    <row r="948" spans="3:15">
      <c r="C948" s="1799" t="s">
        <v>5438</v>
      </c>
      <c r="D948" s="1796">
        <v>1</v>
      </c>
      <c r="E948" s="1796">
        <v>1</v>
      </c>
      <c r="F948" s="1797">
        <v>2</v>
      </c>
      <c r="G948" s="1999" t="s">
        <v>5438</v>
      </c>
      <c r="H948" s="1794">
        <v>1</v>
      </c>
      <c r="I948" s="1794">
        <v>1</v>
      </c>
      <c r="J948" s="2000">
        <v>2</v>
      </c>
      <c r="K948" s="1798"/>
      <c r="L948" s="1792">
        <v>13089021101</v>
      </c>
      <c r="M948" s="1793">
        <v>1</v>
      </c>
      <c r="N948" s="1793">
        <v>1</v>
      </c>
      <c r="O948" s="1793">
        <v>2</v>
      </c>
    </row>
    <row r="949" spans="3:15">
      <c r="C949" s="1799" t="s">
        <v>5439</v>
      </c>
      <c r="D949" s="1796">
        <v>1</v>
      </c>
      <c r="E949" s="1796">
        <v>1</v>
      </c>
      <c r="F949" s="1797">
        <v>2</v>
      </c>
      <c r="G949" s="1999" t="s">
        <v>5439</v>
      </c>
      <c r="H949" s="1794">
        <v>1</v>
      </c>
      <c r="I949" s="1794">
        <v>1</v>
      </c>
      <c r="J949" s="2000">
        <v>2</v>
      </c>
      <c r="K949" s="1798"/>
      <c r="L949" s="1792">
        <v>13089021102</v>
      </c>
      <c r="M949" s="1793">
        <v>1</v>
      </c>
      <c r="N949" s="1793">
        <v>1</v>
      </c>
      <c r="O949" s="1793">
        <v>2</v>
      </c>
    </row>
    <row r="950" spans="3:15">
      <c r="C950" s="1799" t="s">
        <v>5440</v>
      </c>
      <c r="D950" s="1796">
        <v>1</v>
      </c>
      <c r="E950" s="1796">
        <v>1</v>
      </c>
      <c r="F950" s="1797">
        <v>2</v>
      </c>
      <c r="G950" s="1999" t="s">
        <v>5440</v>
      </c>
      <c r="H950" s="1794">
        <v>1</v>
      </c>
      <c r="I950" s="1794">
        <v>1</v>
      </c>
      <c r="J950" s="2000">
        <v>2</v>
      </c>
      <c r="K950" s="1798"/>
      <c r="L950" s="1792">
        <v>13089021202</v>
      </c>
      <c r="M950" s="1793">
        <v>1</v>
      </c>
      <c r="N950" s="1793">
        <v>1</v>
      </c>
      <c r="O950" s="1793">
        <v>2</v>
      </c>
    </row>
    <row r="951" spans="3:15">
      <c r="C951" s="1799" t="s">
        <v>5441</v>
      </c>
      <c r="D951" s="1796">
        <v>0</v>
      </c>
      <c r="E951" s="1796">
        <v>0</v>
      </c>
      <c r="F951" s="1797">
        <v>0</v>
      </c>
      <c r="G951" s="1999" t="s">
        <v>5441</v>
      </c>
      <c r="H951" s="1794">
        <v>0</v>
      </c>
      <c r="I951" s="1794" t="s">
        <v>4485</v>
      </c>
      <c r="J951" s="2000">
        <v>0</v>
      </c>
      <c r="K951" s="1798"/>
      <c r="L951" s="1792">
        <v>13089021204</v>
      </c>
      <c r="M951" s="1793">
        <v>0</v>
      </c>
      <c r="N951" s="1793">
        <v>0</v>
      </c>
      <c r="O951" s="1793">
        <v>0</v>
      </c>
    </row>
    <row r="952" spans="3:15">
      <c r="C952" s="1799" t="s">
        <v>5442</v>
      </c>
      <c r="D952" s="1796">
        <v>1</v>
      </c>
      <c r="E952" s="1796">
        <v>1</v>
      </c>
      <c r="F952" s="1797">
        <v>2</v>
      </c>
      <c r="G952" s="1999" t="s">
        <v>5442</v>
      </c>
      <c r="H952" s="1794">
        <v>1</v>
      </c>
      <c r="I952" s="1794">
        <v>1</v>
      </c>
      <c r="J952" s="2000">
        <v>2</v>
      </c>
      <c r="K952" s="1798"/>
      <c r="L952" s="1792">
        <v>13089021208</v>
      </c>
      <c r="M952" s="1793">
        <v>1</v>
      </c>
      <c r="N952" s="1793">
        <v>1</v>
      </c>
      <c r="O952" s="1793">
        <v>2</v>
      </c>
    </row>
    <row r="953" spans="3:15">
      <c r="C953" s="1799" t="s">
        <v>5443</v>
      </c>
      <c r="D953" s="1796">
        <v>1</v>
      </c>
      <c r="E953" s="1796">
        <v>1</v>
      </c>
      <c r="F953" s="1797">
        <v>2</v>
      </c>
      <c r="G953" s="1999" t="s">
        <v>5443</v>
      </c>
      <c r="H953" s="1794">
        <v>1</v>
      </c>
      <c r="I953" s="1794">
        <v>1</v>
      </c>
      <c r="J953" s="2000">
        <v>2</v>
      </c>
      <c r="K953" s="1798"/>
      <c r="L953" s="1792">
        <v>13089021209</v>
      </c>
      <c r="M953" s="1793">
        <v>1</v>
      </c>
      <c r="N953" s="1793">
        <v>1</v>
      </c>
      <c r="O953" s="1793">
        <v>2</v>
      </c>
    </row>
    <row r="954" spans="3:15">
      <c r="C954" s="1799" t="s">
        <v>5444</v>
      </c>
      <c r="D954" s="1796">
        <v>1</v>
      </c>
      <c r="E954" s="1796">
        <v>1</v>
      </c>
      <c r="F954" s="1797">
        <v>2</v>
      </c>
      <c r="G954" s="1999" t="s">
        <v>5444</v>
      </c>
      <c r="H954" s="1794">
        <v>1</v>
      </c>
      <c r="I954" s="1794">
        <v>1</v>
      </c>
      <c r="J954" s="2000">
        <v>2</v>
      </c>
      <c r="K954" s="1798"/>
      <c r="L954" s="1792">
        <v>13089021210</v>
      </c>
      <c r="M954" s="1793">
        <v>1</v>
      </c>
      <c r="N954" s="1793">
        <v>1</v>
      </c>
      <c r="O954" s="1793">
        <v>2</v>
      </c>
    </row>
    <row r="955" spans="3:15">
      <c r="C955" s="1799" t="s">
        <v>5445</v>
      </c>
      <c r="D955" s="1796">
        <v>1</v>
      </c>
      <c r="E955" s="1796">
        <v>1</v>
      </c>
      <c r="F955" s="1797">
        <v>2</v>
      </c>
      <c r="G955" s="1999" t="s">
        <v>5445</v>
      </c>
      <c r="H955" s="1794">
        <v>1</v>
      </c>
      <c r="I955" s="1794">
        <v>1</v>
      </c>
      <c r="J955" s="2000">
        <v>2</v>
      </c>
      <c r="K955" s="1798"/>
      <c r="L955" s="1792">
        <v>13089021211</v>
      </c>
      <c r="M955" s="1793">
        <v>1</v>
      </c>
      <c r="N955" s="1793">
        <v>1</v>
      </c>
      <c r="O955" s="1793">
        <v>2</v>
      </c>
    </row>
    <row r="956" spans="3:15">
      <c r="C956" s="1799" t="s">
        <v>5446</v>
      </c>
      <c r="D956" s="1796">
        <v>1</v>
      </c>
      <c r="E956" s="1796">
        <v>1</v>
      </c>
      <c r="F956" s="1797">
        <v>2</v>
      </c>
      <c r="G956" s="1999" t="s">
        <v>5446</v>
      </c>
      <c r="H956" s="1794">
        <v>1</v>
      </c>
      <c r="I956" s="1794">
        <v>1</v>
      </c>
      <c r="J956" s="2000">
        <v>2</v>
      </c>
      <c r="K956" s="1798"/>
      <c r="L956" s="1792">
        <v>13089021213</v>
      </c>
      <c r="M956" s="1793">
        <v>1</v>
      </c>
      <c r="N956" s="1793">
        <v>1</v>
      </c>
      <c r="O956" s="1793">
        <v>2</v>
      </c>
    </row>
    <row r="957" spans="3:15">
      <c r="C957" s="1799" t="s">
        <v>5447</v>
      </c>
      <c r="D957" s="1796">
        <v>1</v>
      </c>
      <c r="E957" s="1796">
        <v>1</v>
      </c>
      <c r="F957" s="1797">
        <v>2</v>
      </c>
      <c r="G957" s="1999" t="s">
        <v>5447</v>
      </c>
      <c r="H957" s="1794">
        <v>1</v>
      </c>
      <c r="I957" s="1794" t="s">
        <v>4485</v>
      </c>
      <c r="J957" s="2000">
        <v>1</v>
      </c>
      <c r="K957" s="1798"/>
      <c r="L957" s="1792">
        <v>13089021214</v>
      </c>
      <c r="M957" s="1793">
        <v>1</v>
      </c>
      <c r="N957" s="1793">
        <v>1</v>
      </c>
      <c r="O957" s="1793">
        <v>2</v>
      </c>
    </row>
    <row r="958" spans="3:15">
      <c r="C958" s="1799" t="s">
        <v>5448</v>
      </c>
      <c r="D958" s="1796">
        <v>1</v>
      </c>
      <c r="E958" s="1796">
        <v>1</v>
      </c>
      <c r="F958" s="1797">
        <v>2</v>
      </c>
      <c r="G958" s="1999" t="s">
        <v>5448</v>
      </c>
      <c r="H958" s="1794">
        <v>1</v>
      </c>
      <c r="I958" s="1794">
        <v>1</v>
      </c>
      <c r="J958" s="2000">
        <v>2</v>
      </c>
      <c r="K958" s="1798"/>
      <c r="L958" s="1792">
        <v>13089021215</v>
      </c>
      <c r="M958" s="1793">
        <v>1</v>
      </c>
      <c r="N958" s="1793">
        <v>1</v>
      </c>
      <c r="O958" s="1793">
        <v>2</v>
      </c>
    </row>
    <row r="959" spans="3:15">
      <c r="C959" s="1799" t="s">
        <v>5449</v>
      </c>
      <c r="D959" s="1796">
        <v>1</v>
      </c>
      <c r="E959" s="1796">
        <v>1</v>
      </c>
      <c r="F959" s="1797">
        <v>2</v>
      </c>
      <c r="G959" s="1999" t="s">
        <v>5449</v>
      </c>
      <c r="H959" s="1794">
        <v>1</v>
      </c>
      <c r="I959" s="1794">
        <v>1</v>
      </c>
      <c r="J959" s="2000">
        <v>2</v>
      </c>
      <c r="K959" s="1798"/>
      <c r="L959" s="1792">
        <v>13089021216</v>
      </c>
      <c r="M959" s="1793">
        <v>1</v>
      </c>
      <c r="N959" s="1793">
        <v>1</v>
      </c>
      <c r="O959" s="1793">
        <v>2</v>
      </c>
    </row>
    <row r="960" spans="3:15">
      <c r="C960" s="1799" t="s">
        <v>5450</v>
      </c>
      <c r="D960" s="1796">
        <v>1</v>
      </c>
      <c r="E960" s="1796">
        <v>1</v>
      </c>
      <c r="F960" s="1797">
        <v>2</v>
      </c>
      <c r="G960" s="1999" t="s">
        <v>5450</v>
      </c>
      <c r="H960" s="1794">
        <v>1</v>
      </c>
      <c r="I960" s="1794">
        <v>1</v>
      </c>
      <c r="J960" s="2000">
        <v>2</v>
      </c>
      <c r="K960" s="1798"/>
      <c r="L960" s="1792">
        <v>13089021217</v>
      </c>
      <c r="M960" s="1793">
        <v>1</v>
      </c>
      <c r="N960" s="1793">
        <v>1</v>
      </c>
      <c r="O960" s="1793">
        <v>2</v>
      </c>
    </row>
    <row r="961" spans="3:15">
      <c r="C961" s="1799" t="s">
        <v>5451</v>
      </c>
      <c r="D961" s="1796">
        <v>1</v>
      </c>
      <c r="E961" s="1796">
        <v>1</v>
      </c>
      <c r="F961" s="1797">
        <v>2</v>
      </c>
      <c r="G961" s="1999" t="s">
        <v>5451</v>
      </c>
      <c r="H961" s="1794">
        <v>1</v>
      </c>
      <c r="I961" s="1794">
        <v>1</v>
      </c>
      <c r="J961" s="2000">
        <v>2</v>
      </c>
      <c r="K961" s="1798"/>
      <c r="L961" s="1792">
        <v>13089021218</v>
      </c>
      <c r="M961" s="1793">
        <v>1</v>
      </c>
      <c r="N961" s="1793">
        <v>1</v>
      </c>
      <c r="O961" s="1793">
        <v>2</v>
      </c>
    </row>
    <row r="962" spans="3:15">
      <c r="C962" s="1799" t="s">
        <v>5452</v>
      </c>
      <c r="D962" s="1796">
        <v>0</v>
      </c>
      <c r="E962" s="1796">
        <v>0</v>
      </c>
      <c r="F962" s="1797">
        <v>0</v>
      </c>
      <c r="G962" s="1999" t="s">
        <v>5452</v>
      </c>
      <c r="H962" s="1794">
        <v>1</v>
      </c>
      <c r="I962" s="1794">
        <v>0</v>
      </c>
      <c r="J962" s="2000">
        <v>1</v>
      </c>
      <c r="K962" s="1798"/>
      <c r="L962" s="1792">
        <v>13089021301</v>
      </c>
      <c r="M962" s="1793">
        <v>1</v>
      </c>
      <c r="N962" s="1793">
        <v>0</v>
      </c>
      <c r="O962" s="1793">
        <v>1</v>
      </c>
    </row>
    <row r="963" spans="3:15">
      <c r="C963" s="1799" t="s">
        <v>5453</v>
      </c>
      <c r="D963" s="1796">
        <v>0</v>
      </c>
      <c r="E963" s="1796">
        <v>0</v>
      </c>
      <c r="F963" s="1797">
        <v>0</v>
      </c>
      <c r="G963" s="1999" t="s">
        <v>5453</v>
      </c>
      <c r="H963" s="1794">
        <v>0</v>
      </c>
      <c r="I963" s="1794">
        <v>0</v>
      </c>
      <c r="J963" s="2000">
        <v>0</v>
      </c>
      <c r="K963" s="1798"/>
      <c r="L963" s="1792">
        <v>13089021303</v>
      </c>
      <c r="M963" s="1793">
        <v>0</v>
      </c>
      <c r="N963" s="1793">
        <v>0</v>
      </c>
      <c r="O963" s="1793">
        <v>0</v>
      </c>
    </row>
    <row r="964" spans="3:15">
      <c r="C964" s="1799" t="s">
        <v>5454</v>
      </c>
      <c r="D964" s="1796">
        <v>0</v>
      </c>
      <c r="E964" s="1796">
        <v>0</v>
      </c>
      <c r="F964" s="1797">
        <v>0</v>
      </c>
      <c r="G964" s="1999" t="s">
        <v>5454</v>
      </c>
      <c r="H964" s="1794">
        <v>1</v>
      </c>
      <c r="I964" s="1794">
        <v>0</v>
      </c>
      <c r="J964" s="2000">
        <v>1</v>
      </c>
      <c r="K964" s="1798"/>
      <c r="L964" s="1792">
        <v>13089021305</v>
      </c>
      <c r="M964" s="1793">
        <v>1</v>
      </c>
      <c r="N964" s="1793">
        <v>0</v>
      </c>
      <c r="O964" s="1793">
        <v>1</v>
      </c>
    </row>
    <row r="965" spans="3:15">
      <c r="C965" s="1799" t="s">
        <v>5455</v>
      </c>
      <c r="D965" s="1796">
        <v>1</v>
      </c>
      <c r="E965" s="1796">
        <v>0</v>
      </c>
      <c r="F965" s="1797">
        <v>1</v>
      </c>
      <c r="G965" s="1999" t="s">
        <v>5455</v>
      </c>
      <c r="H965" s="1794">
        <v>1</v>
      </c>
      <c r="I965" s="1794">
        <v>0</v>
      </c>
      <c r="J965" s="2000">
        <v>1</v>
      </c>
      <c r="K965" s="1798"/>
      <c r="L965" s="1792">
        <v>13089021306</v>
      </c>
      <c r="M965" s="1793">
        <v>1</v>
      </c>
      <c r="N965" s="1793">
        <v>0</v>
      </c>
      <c r="O965" s="1793">
        <v>1</v>
      </c>
    </row>
    <row r="966" spans="3:15">
      <c r="C966" s="1799" t="s">
        <v>5456</v>
      </c>
      <c r="D966" s="1796">
        <v>0</v>
      </c>
      <c r="E966" s="1796">
        <v>0</v>
      </c>
      <c r="F966" s="1797">
        <v>0</v>
      </c>
      <c r="G966" s="1999" t="s">
        <v>5456</v>
      </c>
      <c r="H966" s="1794">
        <v>1</v>
      </c>
      <c r="I966" s="1794">
        <v>0</v>
      </c>
      <c r="J966" s="2000">
        <v>1</v>
      </c>
      <c r="K966" s="1798"/>
      <c r="L966" s="1792">
        <v>13089021307</v>
      </c>
      <c r="M966" s="1793">
        <v>1</v>
      </c>
      <c r="N966" s="1793">
        <v>0</v>
      </c>
      <c r="O966" s="1793">
        <v>1</v>
      </c>
    </row>
    <row r="967" spans="3:15">
      <c r="C967" s="1799" t="s">
        <v>5457</v>
      </c>
      <c r="D967" s="1796">
        <v>1</v>
      </c>
      <c r="E967" s="1796">
        <v>0</v>
      </c>
      <c r="F967" s="1797">
        <v>1</v>
      </c>
      <c r="G967" s="1999" t="s">
        <v>5457</v>
      </c>
      <c r="H967" s="1794">
        <v>1</v>
      </c>
      <c r="I967" s="1794">
        <v>0</v>
      </c>
      <c r="J967" s="2000">
        <v>1</v>
      </c>
      <c r="K967" s="1798"/>
      <c r="L967" s="1792">
        <v>13089021308</v>
      </c>
      <c r="M967" s="1793">
        <v>1</v>
      </c>
      <c r="N967" s="1793">
        <v>0</v>
      </c>
      <c r="O967" s="1793">
        <v>1</v>
      </c>
    </row>
    <row r="968" spans="3:15">
      <c r="C968" s="1799" t="s">
        <v>5458</v>
      </c>
      <c r="D968" s="1796">
        <v>1</v>
      </c>
      <c r="E968" s="1796">
        <v>1</v>
      </c>
      <c r="F968" s="1797">
        <v>2</v>
      </c>
      <c r="G968" s="1999" t="s">
        <v>5458</v>
      </c>
      <c r="H968" s="1794">
        <v>1</v>
      </c>
      <c r="I968" s="1794">
        <v>1</v>
      </c>
      <c r="J968" s="2000">
        <v>2</v>
      </c>
      <c r="K968" s="1798"/>
      <c r="L968" s="1792">
        <v>13089021405</v>
      </c>
      <c r="M968" s="1793">
        <v>1</v>
      </c>
      <c r="N968" s="1793">
        <v>1</v>
      </c>
      <c r="O968" s="1793">
        <v>2</v>
      </c>
    </row>
    <row r="969" spans="3:15">
      <c r="C969" s="1799" t="s">
        <v>5459</v>
      </c>
      <c r="D969" s="1796">
        <v>0</v>
      </c>
      <c r="E969" s="1796">
        <v>0</v>
      </c>
      <c r="F969" s="1797">
        <v>0</v>
      </c>
      <c r="G969" s="1999" t="s">
        <v>5459</v>
      </c>
      <c r="H969" s="1794">
        <v>1</v>
      </c>
      <c r="I969" s="1794" t="s">
        <v>4485</v>
      </c>
      <c r="J969" s="2000">
        <v>1</v>
      </c>
      <c r="K969" s="1798"/>
      <c r="L969" s="1792">
        <v>13089021409</v>
      </c>
      <c r="M969" s="1793">
        <v>1</v>
      </c>
      <c r="N969" s="1793">
        <v>0</v>
      </c>
      <c r="O969" s="1793">
        <v>1</v>
      </c>
    </row>
    <row r="970" spans="3:15">
      <c r="C970" s="1799" t="s">
        <v>5460</v>
      </c>
      <c r="D970" s="1796">
        <v>1</v>
      </c>
      <c r="E970" s="1796">
        <v>0</v>
      </c>
      <c r="F970" s="1797">
        <v>1</v>
      </c>
      <c r="G970" s="1999" t="s">
        <v>5460</v>
      </c>
      <c r="H970" s="1794">
        <v>1</v>
      </c>
      <c r="I970" s="1794" t="s">
        <v>4485</v>
      </c>
      <c r="J970" s="2000">
        <v>1</v>
      </c>
      <c r="K970" s="1798"/>
      <c r="L970" s="1792">
        <v>13089021410</v>
      </c>
      <c r="M970" s="1793">
        <v>1</v>
      </c>
      <c r="N970" s="1793">
        <v>0</v>
      </c>
      <c r="O970" s="1793">
        <v>1</v>
      </c>
    </row>
    <row r="971" spans="3:15">
      <c r="C971" s="1799" t="s">
        <v>5461</v>
      </c>
      <c r="D971" s="1796">
        <v>1</v>
      </c>
      <c r="E971" s="1796">
        <v>1</v>
      </c>
      <c r="F971" s="1797">
        <v>2</v>
      </c>
      <c r="G971" s="1999" t="s">
        <v>5461</v>
      </c>
      <c r="H971" s="1794">
        <v>1</v>
      </c>
      <c r="I971" s="1794">
        <v>1</v>
      </c>
      <c r="J971" s="2000">
        <v>2</v>
      </c>
      <c r="K971" s="1798"/>
      <c r="L971" s="1792">
        <v>13089021411</v>
      </c>
      <c r="M971" s="1793">
        <v>1</v>
      </c>
      <c r="N971" s="1793">
        <v>1</v>
      </c>
      <c r="O971" s="1793">
        <v>2</v>
      </c>
    </row>
    <row r="972" spans="3:15">
      <c r="C972" s="1799" t="s">
        <v>5462</v>
      </c>
      <c r="D972" s="1796">
        <v>1</v>
      </c>
      <c r="E972" s="1796">
        <v>1</v>
      </c>
      <c r="F972" s="1797">
        <v>2</v>
      </c>
      <c r="G972" s="1999" t="s">
        <v>5462</v>
      </c>
      <c r="H972" s="1794">
        <v>1</v>
      </c>
      <c r="I972" s="1794">
        <v>1</v>
      </c>
      <c r="J972" s="2000">
        <v>2</v>
      </c>
      <c r="K972" s="1798"/>
      <c r="L972" s="1792">
        <v>13089021412</v>
      </c>
      <c r="M972" s="1793">
        <v>1</v>
      </c>
      <c r="N972" s="1793">
        <v>1</v>
      </c>
      <c r="O972" s="1793">
        <v>2</v>
      </c>
    </row>
    <row r="973" spans="3:15">
      <c r="C973" s="1799" t="s">
        <v>5463</v>
      </c>
      <c r="D973" s="1796">
        <v>0</v>
      </c>
      <c r="E973" s="1796">
        <v>0</v>
      </c>
      <c r="F973" s="1797">
        <v>0</v>
      </c>
      <c r="G973" s="1999" t="s">
        <v>5463</v>
      </c>
      <c r="H973" s="1794">
        <v>1</v>
      </c>
      <c r="I973" s="1794">
        <v>0</v>
      </c>
      <c r="J973" s="2000">
        <v>1</v>
      </c>
      <c r="K973" s="1798"/>
      <c r="L973" s="1792">
        <v>13089021413</v>
      </c>
      <c r="M973" s="1793">
        <v>1</v>
      </c>
      <c r="N973" s="1793">
        <v>0</v>
      </c>
      <c r="O973" s="1793">
        <v>1</v>
      </c>
    </row>
    <row r="974" spans="3:15">
      <c r="C974" s="1799" t="s">
        <v>5464</v>
      </c>
      <c r="D974" s="1796">
        <v>1</v>
      </c>
      <c r="E974" s="1796">
        <v>0</v>
      </c>
      <c r="F974" s="1797">
        <v>1</v>
      </c>
      <c r="G974" s="1999" t="s">
        <v>5464</v>
      </c>
      <c r="H974" s="1794">
        <v>0</v>
      </c>
      <c r="I974" s="1794">
        <v>0</v>
      </c>
      <c r="J974" s="2000">
        <v>0</v>
      </c>
      <c r="K974" s="1798"/>
      <c r="L974" s="1792">
        <v>13089021414</v>
      </c>
      <c r="M974" s="1793">
        <v>1</v>
      </c>
      <c r="N974" s="1793">
        <v>0</v>
      </c>
      <c r="O974" s="1793">
        <v>1</v>
      </c>
    </row>
    <row r="975" spans="3:15">
      <c r="C975" s="1799" t="s">
        <v>5465</v>
      </c>
      <c r="D975" s="1796">
        <v>1</v>
      </c>
      <c r="E975" s="1796">
        <v>1</v>
      </c>
      <c r="F975" s="1797">
        <v>2</v>
      </c>
      <c r="G975" s="1999" t="s">
        <v>5465</v>
      </c>
      <c r="H975" s="1794">
        <v>1</v>
      </c>
      <c r="I975" s="1794" t="s">
        <v>4485</v>
      </c>
      <c r="J975" s="2000">
        <v>1</v>
      </c>
      <c r="K975" s="1798"/>
      <c r="L975" s="1792">
        <v>13089021415</v>
      </c>
      <c r="M975" s="1793">
        <v>1</v>
      </c>
      <c r="N975" s="1793">
        <v>1</v>
      </c>
      <c r="O975" s="1793">
        <v>2</v>
      </c>
    </row>
    <row r="976" spans="3:15">
      <c r="C976" s="1799" t="s">
        <v>5466</v>
      </c>
      <c r="D976" s="1796">
        <v>1</v>
      </c>
      <c r="E976" s="1796">
        <v>0</v>
      </c>
      <c r="F976" s="1797">
        <v>1</v>
      </c>
      <c r="G976" s="1999" t="s">
        <v>5466</v>
      </c>
      <c r="H976" s="1794">
        <v>1</v>
      </c>
      <c r="I976" s="1794">
        <v>0</v>
      </c>
      <c r="J976" s="2000">
        <v>1</v>
      </c>
      <c r="K976" s="1798"/>
      <c r="L976" s="1792">
        <v>13089021416</v>
      </c>
      <c r="M976" s="1793">
        <v>1</v>
      </c>
      <c r="N976" s="1793">
        <v>0</v>
      </c>
      <c r="O976" s="1793">
        <v>1</v>
      </c>
    </row>
    <row r="977" spans="3:15">
      <c r="C977" s="1799" t="s">
        <v>5467</v>
      </c>
      <c r="D977" s="1796">
        <v>0</v>
      </c>
      <c r="E977" s="1796">
        <v>0</v>
      </c>
      <c r="F977" s="1797">
        <v>0</v>
      </c>
      <c r="G977" s="1999" t="s">
        <v>5467</v>
      </c>
      <c r="H977" s="1794">
        <v>1</v>
      </c>
      <c r="I977" s="1794" t="s">
        <v>4485</v>
      </c>
      <c r="J977" s="2000">
        <v>1</v>
      </c>
      <c r="K977" s="1798"/>
      <c r="L977" s="1792">
        <v>13089021417</v>
      </c>
      <c r="M977" s="1793">
        <v>1</v>
      </c>
      <c r="N977" s="1793">
        <v>0</v>
      </c>
      <c r="O977" s="1793">
        <v>1</v>
      </c>
    </row>
    <row r="978" spans="3:15">
      <c r="C978" s="1799" t="s">
        <v>5468</v>
      </c>
      <c r="D978" s="1796">
        <v>1</v>
      </c>
      <c r="E978" s="1796">
        <v>1</v>
      </c>
      <c r="F978" s="1797">
        <v>2</v>
      </c>
      <c r="G978" s="1999" t="s">
        <v>5468</v>
      </c>
      <c r="H978" s="1794">
        <v>1</v>
      </c>
      <c r="I978" s="1794">
        <v>1</v>
      </c>
      <c r="J978" s="2000">
        <v>2</v>
      </c>
      <c r="K978" s="1798"/>
      <c r="L978" s="1792">
        <v>13089021502</v>
      </c>
      <c r="M978" s="1793">
        <v>1</v>
      </c>
      <c r="N978" s="1793">
        <v>1</v>
      </c>
      <c r="O978" s="1793">
        <v>2</v>
      </c>
    </row>
    <row r="979" spans="3:15">
      <c r="C979" s="1799" t="s">
        <v>5469</v>
      </c>
      <c r="D979" s="1796">
        <v>1</v>
      </c>
      <c r="E979" s="1796">
        <v>0</v>
      </c>
      <c r="F979" s="1797">
        <v>1</v>
      </c>
      <c r="G979" s="1999" t="s">
        <v>5469</v>
      </c>
      <c r="H979" s="1794">
        <v>1</v>
      </c>
      <c r="I979" s="1794">
        <v>1</v>
      </c>
      <c r="J979" s="2000">
        <v>2</v>
      </c>
      <c r="K979" s="1798"/>
      <c r="L979" s="1792">
        <v>13089021503</v>
      </c>
      <c r="M979" s="1793">
        <v>1</v>
      </c>
      <c r="N979" s="1793">
        <v>1</v>
      </c>
      <c r="O979" s="1793">
        <v>2</v>
      </c>
    </row>
    <row r="980" spans="3:15">
      <c r="C980" s="1799" t="s">
        <v>5470</v>
      </c>
      <c r="D980" s="1796">
        <v>1</v>
      </c>
      <c r="E980" s="1796">
        <v>1</v>
      </c>
      <c r="F980" s="1797">
        <v>2</v>
      </c>
      <c r="G980" s="1999" t="s">
        <v>5470</v>
      </c>
      <c r="H980" s="1794">
        <v>1</v>
      </c>
      <c r="I980" s="1794" t="s">
        <v>4485</v>
      </c>
      <c r="J980" s="2000">
        <v>1</v>
      </c>
      <c r="K980" s="1798"/>
      <c r="L980" s="1792">
        <v>13089021504</v>
      </c>
      <c r="M980" s="1793">
        <v>1</v>
      </c>
      <c r="N980" s="1793">
        <v>1</v>
      </c>
      <c r="O980" s="1793">
        <v>2</v>
      </c>
    </row>
    <row r="981" spans="3:15">
      <c r="C981" s="1799" t="s">
        <v>5471</v>
      </c>
      <c r="D981" s="1796">
        <v>1</v>
      </c>
      <c r="E981" s="1796">
        <v>1</v>
      </c>
      <c r="F981" s="1797">
        <v>2</v>
      </c>
      <c r="G981" s="1999" t="s">
        <v>5471</v>
      </c>
      <c r="H981" s="1794">
        <v>1</v>
      </c>
      <c r="I981" s="1794">
        <v>1</v>
      </c>
      <c r="J981" s="2000">
        <v>2</v>
      </c>
      <c r="K981" s="1798"/>
      <c r="L981" s="1792">
        <v>13089021602</v>
      </c>
      <c r="M981" s="1793">
        <v>1</v>
      </c>
      <c r="N981" s="1793">
        <v>1</v>
      </c>
      <c r="O981" s="1793">
        <v>2</v>
      </c>
    </row>
    <row r="982" spans="3:15">
      <c r="C982" s="1799" t="s">
        <v>5472</v>
      </c>
      <c r="D982" s="1796">
        <v>1</v>
      </c>
      <c r="E982" s="1796">
        <v>1</v>
      </c>
      <c r="F982" s="1797">
        <v>2</v>
      </c>
      <c r="G982" s="1999" t="s">
        <v>5472</v>
      </c>
      <c r="H982" s="1794">
        <v>1</v>
      </c>
      <c r="I982" s="1794">
        <v>1</v>
      </c>
      <c r="J982" s="2000">
        <v>2</v>
      </c>
      <c r="K982" s="1798"/>
      <c r="L982" s="1792">
        <v>13089021603</v>
      </c>
      <c r="M982" s="1793">
        <v>1</v>
      </c>
      <c r="N982" s="1793">
        <v>1</v>
      </c>
      <c r="O982" s="1793">
        <v>2</v>
      </c>
    </row>
    <row r="983" spans="3:15">
      <c r="C983" s="1799" t="s">
        <v>5473</v>
      </c>
      <c r="D983" s="1796">
        <v>1</v>
      </c>
      <c r="E983" s="1796">
        <v>1</v>
      </c>
      <c r="F983" s="1797">
        <v>2</v>
      </c>
      <c r="G983" s="1999" t="s">
        <v>5473</v>
      </c>
      <c r="H983" s="1794">
        <v>1</v>
      </c>
      <c r="I983" s="1794">
        <v>1</v>
      </c>
      <c r="J983" s="2000">
        <v>2</v>
      </c>
      <c r="K983" s="1798"/>
      <c r="L983" s="1792">
        <v>13089021604</v>
      </c>
      <c r="M983" s="1793">
        <v>1</v>
      </c>
      <c r="N983" s="1793">
        <v>1</v>
      </c>
      <c r="O983" s="1793">
        <v>2</v>
      </c>
    </row>
    <row r="984" spans="3:15">
      <c r="C984" s="1799" t="s">
        <v>5474</v>
      </c>
      <c r="D984" s="1796">
        <v>1</v>
      </c>
      <c r="E984" s="1796">
        <v>1</v>
      </c>
      <c r="F984" s="1797">
        <v>2</v>
      </c>
      <c r="G984" s="1999" t="s">
        <v>5474</v>
      </c>
      <c r="H984" s="1794">
        <v>1</v>
      </c>
      <c r="I984" s="1794">
        <v>1</v>
      </c>
      <c r="J984" s="2000">
        <v>2</v>
      </c>
      <c r="K984" s="1798"/>
      <c r="L984" s="1792">
        <v>13089021605</v>
      </c>
      <c r="M984" s="1793">
        <v>1</v>
      </c>
      <c r="N984" s="1793">
        <v>1</v>
      </c>
      <c r="O984" s="1793">
        <v>2</v>
      </c>
    </row>
    <row r="985" spans="3:15">
      <c r="C985" s="1799" t="s">
        <v>5475</v>
      </c>
      <c r="D985" s="1796">
        <v>1</v>
      </c>
      <c r="E985" s="1796">
        <v>1</v>
      </c>
      <c r="F985" s="1797">
        <v>2</v>
      </c>
      <c r="G985" s="1999" t="s">
        <v>5475</v>
      </c>
      <c r="H985" s="1794">
        <v>1</v>
      </c>
      <c r="I985" s="1794">
        <v>1</v>
      </c>
      <c r="J985" s="2000">
        <v>2</v>
      </c>
      <c r="K985" s="1798"/>
      <c r="L985" s="1792">
        <v>13089021703</v>
      </c>
      <c r="M985" s="1793">
        <v>1</v>
      </c>
      <c r="N985" s="1793">
        <v>1</v>
      </c>
      <c r="O985" s="1793">
        <v>2</v>
      </c>
    </row>
    <row r="986" spans="3:15">
      <c r="C986" s="1799" t="s">
        <v>5476</v>
      </c>
      <c r="D986" s="1796">
        <v>1</v>
      </c>
      <c r="E986" s="1796">
        <v>1</v>
      </c>
      <c r="F986" s="1797">
        <v>2</v>
      </c>
      <c r="G986" s="1999" t="s">
        <v>5476</v>
      </c>
      <c r="H986" s="1794">
        <v>1</v>
      </c>
      <c r="I986" s="1794">
        <v>1</v>
      </c>
      <c r="J986" s="2000">
        <v>2</v>
      </c>
      <c r="K986" s="1798"/>
      <c r="L986" s="1792">
        <v>13089021704</v>
      </c>
      <c r="M986" s="1793">
        <v>1</v>
      </c>
      <c r="N986" s="1793">
        <v>1</v>
      </c>
      <c r="O986" s="1793">
        <v>2</v>
      </c>
    </row>
    <row r="987" spans="3:15">
      <c r="C987" s="1799" t="s">
        <v>5477</v>
      </c>
      <c r="D987" s="1796">
        <v>1</v>
      </c>
      <c r="E987" s="1796">
        <v>0</v>
      </c>
      <c r="F987" s="1797">
        <v>1</v>
      </c>
      <c r="G987" s="1999" t="s">
        <v>5477</v>
      </c>
      <c r="H987" s="1794">
        <v>1</v>
      </c>
      <c r="I987" s="1794">
        <v>1</v>
      </c>
      <c r="J987" s="2000">
        <v>2</v>
      </c>
      <c r="K987" s="1798"/>
      <c r="L987" s="1792">
        <v>13089021705</v>
      </c>
      <c r="M987" s="1793">
        <v>1</v>
      </c>
      <c r="N987" s="1793">
        <v>1</v>
      </c>
      <c r="O987" s="1793">
        <v>2</v>
      </c>
    </row>
    <row r="988" spans="3:15">
      <c r="C988" s="1799" t="s">
        <v>5478</v>
      </c>
      <c r="D988" s="1796">
        <v>1</v>
      </c>
      <c r="E988" s="1796">
        <v>1</v>
      </c>
      <c r="F988" s="1797">
        <v>2</v>
      </c>
      <c r="G988" s="1999" t="s">
        <v>5478</v>
      </c>
      <c r="H988" s="1794">
        <v>1</v>
      </c>
      <c r="I988" s="1794">
        <v>1</v>
      </c>
      <c r="J988" s="2000">
        <v>2</v>
      </c>
      <c r="K988" s="1798"/>
      <c r="L988" s="1792">
        <v>13089021706</v>
      </c>
      <c r="M988" s="1793">
        <v>1</v>
      </c>
      <c r="N988" s="1793">
        <v>1</v>
      </c>
      <c r="O988" s="1793">
        <v>2</v>
      </c>
    </row>
    <row r="989" spans="3:15">
      <c r="C989" s="1799" t="s">
        <v>5479</v>
      </c>
      <c r="D989" s="1796">
        <v>1</v>
      </c>
      <c r="E989" s="1796">
        <v>0</v>
      </c>
      <c r="F989" s="1797">
        <v>1</v>
      </c>
      <c r="G989" s="1999" t="s">
        <v>5479</v>
      </c>
      <c r="H989" s="1794">
        <v>1</v>
      </c>
      <c r="I989" s="1794">
        <v>0</v>
      </c>
      <c r="J989" s="2000">
        <v>1</v>
      </c>
      <c r="K989" s="1798"/>
      <c r="L989" s="1792">
        <v>13089021805</v>
      </c>
      <c r="M989" s="1793">
        <v>1</v>
      </c>
      <c r="N989" s="1793">
        <v>0</v>
      </c>
      <c r="O989" s="1793">
        <v>1</v>
      </c>
    </row>
    <row r="990" spans="3:15">
      <c r="C990" s="1799" t="s">
        <v>5480</v>
      </c>
      <c r="D990" s="1796">
        <v>1</v>
      </c>
      <c r="E990" s="1796">
        <v>0</v>
      </c>
      <c r="F990" s="1797">
        <v>1</v>
      </c>
      <c r="G990" s="1999" t="s">
        <v>5480</v>
      </c>
      <c r="H990" s="1794">
        <v>1</v>
      </c>
      <c r="I990" s="1794">
        <v>0</v>
      </c>
      <c r="J990" s="2000">
        <v>1</v>
      </c>
      <c r="K990" s="1798"/>
      <c r="L990" s="1792">
        <v>13089021806</v>
      </c>
      <c r="M990" s="1793">
        <v>1</v>
      </c>
      <c r="N990" s="1793">
        <v>0</v>
      </c>
      <c r="O990" s="1793">
        <v>1</v>
      </c>
    </row>
    <row r="991" spans="3:15">
      <c r="C991" s="1799" t="s">
        <v>5481</v>
      </c>
      <c r="D991" s="1796">
        <v>1</v>
      </c>
      <c r="E991" s="1796">
        <v>1</v>
      </c>
      <c r="F991" s="1797">
        <v>2</v>
      </c>
      <c r="G991" s="1999" t="s">
        <v>5481</v>
      </c>
      <c r="H991" s="1794">
        <v>1</v>
      </c>
      <c r="I991" s="1794">
        <v>1</v>
      </c>
      <c r="J991" s="2000">
        <v>2</v>
      </c>
      <c r="K991" s="1798"/>
      <c r="L991" s="1792">
        <v>13089021808</v>
      </c>
      <c r="M991" s="1793">
        <v>1</v>
      </c>
      <c r="N991" s="1793">
        <v>1</v>
      </c>
      <c r="O991" s="1793">
        <v>2</v>
      </c>
    </row>
    <row r="992" spans="3:15">
      <c r="C992" s="1799" t="s">
        <v>5482</v>
      </c>
      <c r="D992" s="1796">
        <v>1</v>
      </c>
      <c r="E992" s="1796">
        <v>1</v>
      </c>
      <c r="F992" s="1797">
        <v>2</v>
      </c>
      <c r="G992" s="1999" t="s">
        <v>5482</v>
      </c>
      <c r="H992" s="1794">
        <v>1</v>
      </c>
      <c r="I992" s="1794">
        <v>1</v>
      </c>
      <c r="J992" s="2000">
        <v>2</v>
      </c>
      <c r="K992" s="1798"/>
      <c r="L992" s="1792">
        <v>13089021809</v>
      </c>
      <c r="M992" s="1793">
        <v>1</v>
      </c>
      <c r="N992" s="1793">
        <v>1</v>
      </c>
      <c r="O992" s="1793">
        <v>2</v>
      </c>
    </row>
    <row r="993" spans="3:15">
      <c r="C993" s="1799" t="s">
        <v>5483</v>
      </c>
      <c r="D993" s="1796">
        <v>1</v>
      </c>
      <c r="E993" s="1796">
        <v>1</v>
      </c>
      <c r="F993" s="1797">
        <v>2</v>
      </c>
      <c r="G993" s="1999" t="s">
        <v>5483</v>
      </c>
      <c r="H993" s="1794">
        <v>1</v>
      </c>
      <c r="I993" s="1794">
        <v>1</v>
      </c>
      <c r="J993" s="2000">
        <v>2</v>
      </c>
      <c r="K993" s="1798"/>
      <c r="L993" s="1792">
        <v>13089021810</v>
      </c>
      <c r="M993" s="1793">
        <v>1</v>
      </c>
      <c r="N993" s="1793">
        <v>1</v>
      </c>
      <c r="O993" s="1793">
        <v>2</v>
      </c>
    </row>
    <row r="994" spans="3:15">
      <c r="C994" s="1799" t="s">
        <v>5484</v>
      </c>
      <c r="D994" s="1796">
        <v>1</v>
      </c>
      <c r="E994" s="1796">
        <v>0</v>
      </c>
      <c r="F994" s="1797">
        <v>1</v>
      </c>
      <c r="G994" s="1999" t="s">
        <v>5484</v>
      </c>
      <c r="H994" s="1794">
        <v>1</v>
      </c>
      <c r="I994" s="1794">
        <v>1</v>
      </c>
      <c r="J994" s="2000">
        <v>2</v>
      </c>
      <c r="K994" s="1798"/>
      <c r="L994" s="1792">
        <v>13089021812</v>
      </c>
      <c r="M994" s="1793">
        <v>1</v>
      </c>
      <c r="N994" s="1793">
        <v>1</v>
      </c>
      <c r="O994" s="1793">
        <v>2</v>
      </c>
    </row>
    <row r="995" spans="3:15">
      <c r="C995" s="1799" t="s">
        <v>5485</v>
      </c>
      <c r="D995" s="1796">
        <v>0</v>
      </c>
      <c r="E995" s="1796">
        <v>0</v>
      </c>
      <c r="F995" s="1797">
        <v>0</v>
      </c>
      <c r="G995" s="1999" t="s">
        <v>5485</v>
      </c>
      <c r="H995" s="1794">
        <v>0</v>
      </c>
      <c r="I995" s="1794" t="s">
        <v>4485</v>
      </c>
      <c r="J995" s="2000">
        <v>0</v>
      </c>
      <c r="K995" s="1798"/>
      <c r="L995" s="1792">
        <v>13089021813</v>
      </c>
      <c r="M995" s="1793">
        <v>0</v>
      </c>
      <c r="N995" s="1793">
        <v>0</v>
      </c>
      <c r="O995" s="1793">
        <v>0</v>
      </c>
    </row>
    <row r="996" spans="3:15">
      <c r="C996" s="1799" t="s">
        <v>5486</v>
      </c>
      <c r="D996" s="1796">
        <v>0</v>
      </c>
      <c r="E996" s="1796">
        <v>0</v>
      </c>
      <c r="F996" s="1797">
        <v>0</v>
      </c>
      <c r="G996" s="1999" t="s">
        <v>5486</v>
      </c>
      <c r="H996" s="1794">
        <v>0</v>
      </c>
      <c r="I996" s="1794">
        <v>0</v>
      </c>
      <c r="J996" s="2000">
        <v>0</v>
      </c>
      <c r="K996" s="1798"/>
      <c r="L996" s="1792">
        <v>13089021814</v>
      </c>
      <c r="M996" s="1793">
        <v>0</v>
      </c>
      <c r="N996" s="1793">
        <v>0</v>
      </c>
      <c r="O996" s="1793">
        <v>0</v>
      </c>
    </row>
    <row r="997" spans="3:15">
      <c r="C997" s="1799" t="s">
        <v>5487</v>
      </c>
      <c r="D997" s="1796">
        <v>0</v>
      </c>
      <c r="E997" s="1796">
        <v>0</v>
      </c>
      <c r="F997" s="1797">
        <v>0</v>
      </c>
      <c r="G997" s="1999" t="s">
        <v>5487</v>
      </c>
      <c r="H997" s="1794">
        <v>0</v>
      </c>
      <c r="I997" s="1794">
        <v>0</v>
      </c>
      <c r="J997" s="2000">
        <v>0</v>
      </c>
      <c r="K997" s="1798"/>
      <c r="L997" s="1792">
        <v>13089021906</v>
      </c>
      <c r="M997" s="1793">
        <v>0</v>
      </c>
      <c r="N997" s="1793">
        <v>0</v>
      </c>
      <c r="O997" s="1793">
        <v>0</v>
      </c>
    </row>
    <row r="998" spans="3:15">
      <c r="C998" s="1799" t="s">
        <v>5488</v>
      </c>
      <c r="D998" s="1796">
        <v>0</v>
      </c>
      <c r="E998" s="1796">
        <v>0</v>
      </c>
      <c r="F998" s="1797">
        <v>0</v>
      </c>
      <c r="G998" s="1999" t="s">
        <v>5488</v>
      </c>
      <c r="H998" s="1794">
        <v>0</v>
      </c>
      <c r="I998" s="1794">
        <v>1</v>
      </c>
      <c r="J998" s="2000">
        <v>1</v>
      </c>
      <c r="K998" s="1798"/>
      <c r="L998" s="1792">
        <v>13089021907</v>
      </c>
      <c r="M998" s="1793">
        <v>0</v>
      </c>
      <c r="N998" s="1793">
        <v>1</v>
      </c>
      <c r="O998" s="1793">
        <v>1</v>
      </c>
    </row>
    <row r="999" spans="3:15">
      <c r="C999" s="1799" t="s">
        <v>5489</v>
      </c>
      <c r="D999" s="1796">
        <v>0</v>
      </c>
      <c r="E999" s="1796">
        <v>0</v>
      </c>
      <c r="F999" s="1797">
        <v>0</v>
      </c>
      <c r="G999" s="1999" t="s">
        <v>5489</v>
      </c>
      <c r="H999" s="1794">
        <v>0</v>
      </c>
      <c r="I999" s="1794">
        <v>0</v>
      </c>
      <c r="J999" s="2000">
        <v>0</v>
      </c>
      <c r="K999" s="1798"/>
      <c r="L999" s="1792">
        <v>13089021908</v>
      </c>
      <c r="M999" s="1793">
        <v>0</v>
      </c>
      <c r="N999" s="1793">
        <v>0</v>
      </c>
      <c r="O999" s="1793">
        <v>0</v>
      </c>
    </row>
    <row r="1000" spans="3:15">
      <c r="C1000" s="1799" t="s">
        <v>5490</v>
      </c>
      <c r="D1000" s="1796">
        <v>0</v>
      </c>
      <c r="E1000" s="1796">
        <v>0</v>
      </c>
      <c r="F1000" s="1797">
        <v>0</v>
      </c>
      <c r="G1000" s="1999" t="s">
        <v>5490</v>
      </c>
      <c r="H1000" s="1794">
        <v>0</v>
      </c>
      <c r="I1000" s="1794">
        <v>0</v>
      </c>
      <c r="J1000" s="2000">
        <v>0</v>
      </c>
      <c r="K1000" s="1798"/>
      <c r="L1000" s="1792">
        <v>13089021909</v>
      </c>
      <c r="M1000" s="1793">
        <v>0</v>
      </c>
      <c r="N1000" s="1793">
        <v>0</v>
      </c>
      <c r="O1000" s="1793">
        <v>0</v>
      </c>
    </row>
    <row r="1001" spans="3:15">
      <c r="C1001" s="1799" t="s">
        <v>5491</v>
      </c>
      <c r="D1001" s="1796">
        <v>0</v>
      </c>
      <c r="E1001" s="1796">
        <v>0</v>
      </c>
      <c r="F1001" s="1797">
        <v>0</v>
      </c>
      <c r="G1001" s="1999" t="s">
        <v>5491</v>
      </c>
      <c r="H1001" s="1794">
        <v>0</v>
      </c>
      <c r="I1001" s="1794">
        <v>0</v>
      </c>
      <c r="J1001" s="2000">
        <v>0</v>
      </c>
      <c r="K1001" s="1798"/>
      <c r="L1001" s="1792">
        <v>13089021910</v>
      </c>
      <c r="M1001" s="1793">
        <v>0</v>
      </c>
      <c r="N1001" s="1793">
        <v>0</v>
      </c>
      <c r="O1001" s="1793">
        <v>0</v>
      </c>
    </row>
    <row r="1002" spans="3:15">
      <c r="C1002" s="1799" t="s">
        <v>5492</v>
      </c>
      <c r="D1002" s="1796">
        <v>0</v>
      </c>
      <c r="E1002" s="1796">
        <v>0</v>
      </c>
      <c r="F1002" s="1797">
        <v>0</v>
      </c>
      <c r="G1002" s="1999" t="s">
        <v>5492</v>
      </c>
      <c r="H1002" s="1794">
        <v>0</v>
      </c>
      <c r="I1002" s="1794" t="s">
        <v>4485</v>
      </c>
      <c r="J1002" s="2000">
        <v>0</v>
      </c>
      <c r="K1002" s="1798"/>
      <c r="L1002" s="1792">
        <v>13089021911</v>
      </c>
      <c r="M1002" s="1793">
        <v>0</v>
      </c>
      <c r="N1002" s="1793">
        <v>0</v>
      </c>
      <c r="O1002" s="1793">
        <v>0</v>
      </c>
    </row>
    <row r="1003" spans="3:15">
      <c r="C1003" s="1799" t="s">
        <v>5493</v>
      </c>
      <c r="D1003" s="1796">
        <v>1</v>
      </c>
      <c r="E1003" s="1796">
        <v>1</v>
      </c>
      <c r="F1003" s="1797">
        <v>2</v>
      </c>
      <c r="G1003" s="1999" t="s">
        <v>5493</v>
      </c>
      <c r="H1003" s="1794">
        <v>1</v>
      </c>
      <c r="I1003" s="1794">
        <v>1</v>
      </c>
      <c r="J1003" s="2000">
        <v>2</v>
      </c>
      <c r="K1003" s="1798"/>
      <c r="L1003" s="1792">
        <v>13089021912</v>
      </c>
      <c r="M1003" s="1793">
        <v>1</v>
      </c>
      <c r="N1003" s="1793">
        <v>1</v>
      </c>
      <c r="O1003" s="1793">
        <v>2</v>
      </c>
    </row>
    <row r="1004" spans="3:15">
      <c r="C1004" s="1799" t="s">
        <v>5494</v>
      </c>
      <c r="D1004" s="1796">
        <v>0</v>
      </c>
      <c r="E1004" s="1796">
        <v>0</v>
      </c>
      <c r="F1004" s="1797">
        <v>0</v>
      </c>
      <c r="G1004" s="1999" t="s">
        <v>5494</v>
      </c>
      <c r="H1004" s="1794">
        <v>0</v>
      </c>
      <c r="I1004" s="1794">
        <v>0</v>
      </c>
      <c r="J1004" s="2000">
        <v>0</v>
      </c>
      <c r="K1004" s="1798"/>
      <c r="L1004" s="1792">
        <v>13089021913</v>
      </c>
      <c r="M1004" s="1793">
        <v>0</v>
      </c>
      <c r="N1004" s="1793">
        <v>0</v>
      </c>
      <c r="O1004" s="1793">
        <v>0</v>
      </c>
    </row>
    <row r="1005" spans="3:15">
      <c r="C1005" s="1799" t="s">
        <v>5495</v>
      </c>
      <c r="D1005" s="1796">
        <v>1</v>
      </c>
      <c r="E1005" s="1796">
        <v>1</v>
      </c>
      <c r="F1005" s="1797">
        <v>2</v>
      </c>
      <c r="G1005" s="1999" t="s">
        <v>5495</v>
      </c>
      <c r="H1005" s="1794">
        <v>1</v>
      </c>
      <c r="I1005" s="1794">
        <v>1</v>
      </c>
      <c r="J1005" s="2000">
        <v>2</v>
      </c>
      <c r="K1005" s="1798"/>
      <c r="L1005" s="1792">
        <v>13089022001</v>
      </c>
      <c r="M1005" s="1793">
        <v>1</v>
      </c>
      <c r="N1005" s="1793">
        <v>1</v>
      </c>
      <c r="O1005" s="1793">
        <v>2</v>
      </c>
    </row>
    <row r="1006" spans="3:15">
      <c r="C1006" s="1799" t="s">
        <v>5496</v>
      </c>
      <c r="D1006" s="1796">
        <v>0</v>
      </c>
      <c r="E1006" s="1796">
        <v>0</v>
      </c>
      <c r="F1006" s="1797">
        <v>0</v>
      </c>
      <c r="G1006" s="1999" t="s">
        <v>5496</v>
      </c>
      <c r="H1006" s="1794">
        <v>0</v>
      </c>
      <c r="I1006" s="1794">
        <v>1</v>
      </c>
      <c r="J1006" s="2000">
        <v>1</v>
      </c>
      <c r="K1006" s="1798"/>
      <c r="L1006" s="1792">
        <v>13089022004</v>
      </c>
      <c r="M1006" s="1793">
        <v>0</v>
      </c>
      <c r="N1006" s="1793">
        <v>1</v>
      </c>
      <c r="O1006" s="1793">
        <v>1</v>
      </c>
    </row>
    <row r="1007" spans="3:15">
      <c r="C1007" s="1799" t="s">
        <v>5497</v>
      </c>
      <c r="D1007" s="1796">
        <v>0</v>
      </c>
      <c r="E1007" s="1796">
        <v>0</v>
      </c>
      <c r="F1007" s="1797">
        <v>0</v>
      </c>
      <c r="G1007" s="1999" t="s">
        <v>5497</v>
      </c>
      <c r="H1007" s="1794">
        <v>0</v>
      </c>
      <c r="I1007" s="1794">
        <v>0</v>
      </c>
      <c r="J1007" s="2000">
        <v>0</v>
      </c>
      <c r="K1007" s="1798"/>
      <c r="L1007" s="1792">
        <v>13089022005</v>
      </c>
      <c r="M1007" s="1793">
        <v>0</v>
      </c>
      <c r="N1007" s="1793">
        <v>0</v>
      </c>
      <c r="O1007" s="1793">
        <v>0</v>
      </c>
    </row>
    <row r="1008" spans="3:15">
      <c r="C1008" s="1799" t="s">
        <v>5498</v>
      </c>
      <c r="D1008" s="1796">
        <v>0</v>
      </c>
      <c r="E1008" s="1796">
        <v>0</v>
      </c>
      <c r="F1008" s="1797">
        <v>0</v>
      </c>
      <c r="G1008" s="1999" t="s">
        <v>5498</v>
      </c>
      <c r="H1008" s="1794">
        <v>0</v>
      </c>
      <c r="I1008" s="1794">
        <v>0</v>
      </c>
      <c r="J1008" s="2000">
        <v>0</v>
      </c>
      <c r="K1008" s="1798"/>
      <c r="L1008" s="1792">
        <v>13089022007</v>
      </c>
      <c r="M1008" s="1793">
        <v>0</v>
      </c>
      <c r="N1008" s="1793">
        <v>0</v>
      </c>
      <c r="O1008" s="1793">
        <v>0</v>
      </c>
    </row>
    <row r="1009" spans="3:15">
      <c r="C1009" s="1799" t="s">
        <v>5499</v>
      </c>
      <c r="D1009" s="1796">
        <v>0</v>
      </c>
      <c r="E1009" s="1796">
        <v>0</v>
      </c>
      <c r="F1009" s="1797">
        <v>0</v>
      </c>
      <c r="G1009" s="1999" t="s">
        <v>5499</v>
      </c>
      <c r="H1009" s="1794">
        <v>0</v>
      </c>
      <c r="I1009" s="1794">
        <v>0</v>
      </c>
      <c r="J1009" s="2000">
        <v>0</v>
      </c>
      <c r="K1009" s="1798"/>
      <c r="L1009" s="1792">
        <v>13089022008</v>
      </c>
      <c r="M1009" s="1793">
        <v>0</v>
      </c>
      <c r="N1009" s="1793">
        <v>0</v>
      </c>
      <c r="O1009" s="1793">
        <v>0</v>
      </c>
    </row>
    <row r="1010" spans="3:15">
      <c r="C1010" s="1799" t="s">
        <v>5500</v>
      </c>
      <c r="D1010" s="1796">
        <v>0</v>
      </c>
      <c r="E1010" s="1796">
        <v>0</v>
      </c>
      <c r="F1010" s="1797">
        <v>0</v>
      </c>
      <c r="G1010" s="1999" t="s">
        <v>5500</v>
      </c>
      <c r="H1010" s="1794">
        <v>0</v>
      </c>
      <c r="I1010" s="1794" t="s">
        <v>4485</v>
      </c>
      <c r="J1010" s="2000">
        <v>0</v>
      </c>
      <c r="K1010" s="1798"/>
      <c r="L1010" s="1792">
        <v>13089022009</v>
      </c>
      <c r="M1010" s="1793">
        <v>0</v>
      </c>
      <c r="N1010" s="1793">
        <v>0</v>
      </c>
      <c r="O1010" s="1793">
        <v>0</v>
      </c>
    </row>
    <row r="1011" spans="3:15">
      <c r="C1011" s="1799" t="s">
        <v>5501</v>
      </c>
      <c r="D1011" s="1796">
        <v>0</v>
      </c>
      <c r="E1011" s="1796">
        <v>0</v>
      </c>
      <c r="F1011" s="1797">
        <v>0</v>
      </c>
      <c r="G1011" s="1999" t="s">
        <v>5501</v>
      </c>
      <c r="H1011" s="1794">
        <v>0</v>
      </c>
      <c r="I1011" s="1794">
        <v>0</v>
      </c>
      <c r="J1011" s="2000">
        <v>0</v>
      </c>
      <c r="K1011" s="1798"/>
      <c r="L1011" s="1792">
        <v>13089022010</v>
      </c>
      <c r="M1011" s="1793">
        <v>0</v>
      </c>
      <c r="N1011" s="1793">
        <v>0</v>
      </c>
      <c r="O1011" s="1793">
        <v>0</v>
      </c>
    </row>
    <row r="1012" spans="3:15">
      <c r="C1012" s="1799" t="s">
        <v>5502</v>
      </c>
      <c r="D1012" s="1796">
        <v>0</v>
      </c>
      <c r="E1012" s="1796">
        <v>0</v>
      </c>
      <c r="F1012" s="1797">
        <v>0</v>
      </c>
      <c r="G1012" s="1999" t="s">
        <v>5502</v>
      </c>
      <c r="H1012" s="1794">
        <v>0</v>
      </c>
      <c r="I1012" s="1794">
        <v>0</v>
      </c>
      <c r="J1012" s="2000">
        <v>0</v>
      </c>
      <c r="K1012" s="1798"/>
      <c r="L1012" s="1792">
        <v>13089022100</v>
      </c>
      <c r="M1012" s="1793">
        <v>0</v>
      </c>
      <c r="N1012" s="1793">
        <v>0</v>
      </c>
      <c r="O1012" s="1793">
        <v>0</v>
      </c>
    </row>
    <row r="1013" spans="3:15">
      <c r="C1013" s="1799" t="s">
        <v>5503</v>
      </c>
      <c r="D1013" s="1796">
        <v>0</v>
      </c>
      <c r="E1013" s="1796">
        <v>0</v>
      </c>
      <c r="F1013" s="1797">
        <v>0</v>
      </c>
      <c r="G1013" s="1999" t="s">
        <v>5503</v>
      </c>
      <c r="H1013" s="1794">
        <v>1</v>
      </c>
      <c r="I1013" s="1794">
        <v>0</v>
      </c>
      <c r="J1013" s="2000">
        <v>1</v>
      </c>
      <c r="K1013" s="1798"/>
      <c r="L1013" s="1792">
        <v>13089022203</v>
      </c>
      <c r="M1013" s="1793">
        <v>1</v>
      </c>
      <c r="N1013" s="1793">
        <v>0</v>
      </c>
      <c r="O1013" s="1793">
        <v>1</v>
      </c>
    </row>
    <row r="1014" spans="3:15">
      <c r="C1014" s="1799" t="s">
        <v>5504</v>
      </c>
      <c r="D1014" s="1796">
        <v>0</v>
      </c>
      <c r="E1014" s="1796">
        <v>0</v>
      </c>
      <c r="F1014" s="1797">
        <v>0</v>
      </c>
      <c r="G1014" s="1999" t="s">
        <v>5504</v>
      </c>
      <c r="H1014" s="1794">
        <v>1</v>
      </c>
      <c r="I1014" s="1794">
        <v>0</v>
      </c>
      <c r="J1014" s="2000">
        <v>1</v>
      </c>
      <c r="K1014" s="1798"/>
      <c r="L1014" s="1792">
        <v>13089022204</v>
      </c>
      <c r="M1014" s="1793">
        <v>1</v>
      </c>
      <c r="N1014" s="1793">
        <v>0</v>
      </c>
      <c r="O1014" s="1793">
        <v>1</v>
      </c>
    </row>
    <row r="1015" spans="3:15">
      <c r="C1015" s="1799" t="s">
        <v>5505</v>
      </c>
      <c r="D1015" s="1796">
        <v>1</v>
      </c>
      <c r="E1015" s="1796">
        <v>1</v>
      </c>
      <c r="F1015" s="1797">
        <v>2</v>
      </c>
      <c r="G1015" s="1999" t="s">
        <v>5505</v>
      </c>
      <c r="H1015" s="1794">
        <v>1</v>
      </c>
      <c r="I1015" s="1794">
        <v>1</v>
      </c>
      <c r="J1015" s="2000">
        <v>2</v>
      </c>
      <c r="K1015" s="1798"/>
      <c r="L1015" s="1792">
        <v>13089022301</v>
      </c>
      <c r="M1015" s="1793">
        <v>1</v>
      </c>
      <c r="N1015" s="1793">
        <v>1</v>
      </c>
      <c r="O1015" s="1793">
        <v>2</v>
      </c>
    </row>
    <row r="1016" spans="3:15">
      <c r="C1016" s="1799" t="s">
        <v>5506</v>
      </c>
      <c r="D1016" s="1796">
        <v>1</v>
      </c>
      <c r="E1016" s="1796">
        <v>1</v>
      </c>
      <c r="F1016" s="1797">
        <v>2</v>
      </c>
      <c r="G1016" s="1999" t="s">
        <v>5506</v>
      </c>
      <c r="H1016" s="1794">
        <v>1</v>
      </c>
      <c r="I1016" s="1794">
        <v>1</v>
      </c>
      <c r="J1016" s="2000">
        <v>2</v>
      </c>
      <c r="K1016" s="1798"/>
      <c r="L1016" s="1792">
        <v>13089022302</v>
      </c>
      <c r="M1016" s="1793">
        <v>1</v>
      </c>
      <c r="N1016" s="1793">
        <v>1</v>
      </c>
      <c r="O1016" s="1793">
        <v>2</v>
      </c>
    </row>
    <row r="1017" spans="3:15">
      <c r="C1017" s="1799" t="s">
        <v>5507</v>
      </c>
      <c r="D1017" s="1796">
        <v>1</v>
      </c>
      <c r="E1017" s="1796">
        <v>1</v>
      </c>
      <c r="F1017" s="1797">
        <v>2</v>
      </c>
      <c r="G1017" s="1999" t="s">
        <v>5507</v>
      </c>
      <c r="H1017" s="1794">
        <v>1</v>
      </c>
      <c r="I1017" s="1794">
        <v>1</v>
      </c>
      <c r="J1017" s="2000">
        <v>2</v>
      </c>
      <c r="K1017" s="1798"/>
      <c r="L1017" s="1792">
        <v>13089022401</v>
      </c>
      <c r="M1017" s="1793">
        <v>1</v>
      </c>
      <c r="N1017" s="1793">
        <v>1</v>
      </c>
      <c r="O1017" s="1793">
        <v>2</v>
      </c>
    </row>
    <row r="1018" spans="3:15">
      <c r="C1018" s="1799" t="s">
        <v>5508</v>
      </c>
      <c r="D1018" s="1796">
        <v>0</v>
      </c>
      <c r="E1018" s="1796">
        <v>0</v>
      </c>
      <c r="F1018" s="1797">
        <v>0</v>
      </c>
      <c r="G1018" s="1999" t="s">
        <v>5508</v>
      </c>
      <c r="H1018" s="1794">
        <v>0</v>
      </c>
      <c r="I1018" s="1794" t="s">
        <v>4485</v>
      </c>
      <c r="J1018" s="2000">
        <v>0</v>
      </c>
      <c r="K1018" s="1798"/>
      <c r="L1018" s="1792">
        <v>13089022402</v>
      </c>
      <c r="M1018" s="1793">
        <v>0</v>
      </c>
      <c r="N1018" s="1793">
        <v>0</v>
      </c>
      <c r="O1018" s="1793">
        <v>0</v>
      </c>
    </row>
    <row r="1019" spans="3:15">
      <c r="C1019" s="1799" t="s">
        <v>5509</v>
      </c>
      <c r="D1019" s="1796">
        <v>1</v>
      </c>
      <c r="E1019" s="1796">
        <v>1</v>
      </c>
      <c r="F1019" s="1797">
        <v>2</v>
      </c>
      <c r="G1019" s="1999" t="s">
        <v>5509</v>
      </c>
      <c r="H1019" s="1794">
        <v>1</v>
      </c>
      <c r="I1019" s="1794">
        <v>1</v>
      </c>
      <c r="J1019" s="2000">
        <v>2</v>
      </c>
      <c r="K1019" s="1798"/>
      <c r="L1019" s="1792">
        <v>13089022403</v>
      </c>
      <c r="M1019" s="1793">
        <v>1</v>
      </c>
      <c r="N1019" s="1793">
        <v>1</v>
      </c>
      <c r="O1019" s="1793">
        <v>2</v>
      </c>
    </row>
    <row r="1020" spans="3:15">
      <c r="C1020" s="1799" t="s">
        <v>5510</v>
      </c>
      <c r="D1020" s="1796">
        <v>1</v>
      </c>
      <c r="E1020" s="1796">
        <v>1</v>
      </c>
      <c r="F1020" s="1797">
        <v>2</v>
      </c>
      <c r="G1020" s="1999" t="s">
        <v>5510</v>
      </c>
      <c r="H1020" s="1794">
        <v>1</v>
      </c>
      <c r="I1020" s="1794">
        <v>1</v>
      </c>
      <c r="J1020" s="2000">
        <v>2</v>
      </c>
      <c r="K1020" s="1798"/>
      <c r="L1020" s="1792">
        <v>13089022500</v>
      </c>
      <c r="M1020" s="1793">
        <v>1</v>
      </c>
      <c r="N1020" s="1793">
        <v>1</v>
      </c>
      <c r="O1020" s="1793">
        <v>2</v>
      </c>
    </row>
    <row r="1021" spans="3:15">
      <c r="C1021" s="1799" t="s">
        <v>5511</v>
      </c>
      <c r="D1021" s="1796">
        <v>1</v>
      </c>
      <c r="E1021" s="1796">
        <v>1</v>
      </c>
      <c r="F1021" s="1797">
        <v>2</v>
      </c>
      <c r="G1021" s="1999" t="s">
        <v>5511</v>
      </c>
      <c r="H1021" s="1794">
        <v>1</v>
      </c>
      <c r="I1021" s="1794">
        <v>1</v>
      </c>
      <c r="J1021" s="2000">
        <v>2</v>
      </c>
      <c r="K1021" s="1798"/>
      <c r="L1021" s="1792">
        <v>13089022600</v>
      </c>
      <c r="M1021" s="1793">
        <v>1</v>
      </c>
      <c r="N1021" s="1793">
        <v>1</v>
      </c>
      <c r="O1021" s="1793">
        <v>2</v>
      </c>
    </row>
    <row r="1022" spans="3:15">
      <c r="C1022" s="1799" t="s">
        <v>5512</v>
      </c>
      <c r="D1022" s="1796">
        <v>1</v>
      </c>
      <c r="E1022" s="1796">
        <v>1</v>
      </c>
      <c r="F1022" s="1797">
        <v>2</v>
      </c>
      <c r="G1022" s="1999" t="s">
        <v>5512</v>
      </c>
      <c r="H1022" s="1794">
        <v>1</v>
      </c>
      <c r="I1022" s="1794">
        <v>1</v>
      </c>
      <c r="J1022" s="2000">
        <v>2</v>
      </c>
      <c r="K1022" s="1798"/>
      <c r="L1022" s="1792">
        <v>13089022700</v>
      </c>
      <c r="M1022" s="1793">
        <v>1</v>
      </c>
      <c r="N1022" s="1793">
        <v>1</v>
      </c>
      <c r="O1022" s="1793">
        <v>2</v>
      </c>
    </row>
    <row r="1023" spans="3:15">
      <c r="C1023" s="1799" t="s">
        <v>5513</v>
      </c>
      <c r="D1023" s="1796">
        <v>1</v>
      </c>
      <c r="E1023" s="1796">
        <v>1</v>
      </c>
      <c r="F1023" s="1797">
        <v>2</v>
      </c>
      <c r="G1023" s="1999" t="s">
        <v>5513</v>
      </c>
      <c r="H1023" s="1794">
        <v>1</v>
      </c>
      <c r="I1023" s="1794">
        <v>1</v>
      </c>
      <c r="J1023" s="2000">
        <v>2</v>
      </c>
      <c r="K1023" s="1798"/>
      <c r="L1023" s="1792">
        <v>13089022800</v>
      </c>
      <c r="M1023" s="1793">
        <v>1</v>
      </c>
      <c r="N1023" s="1793">
        <v>1</v>
      </c>
      <c r="O1023" s="1793">
        <v>2</v>
      </c>
    </row>
    <row r="1024" spans="3:15">
      <c r="C1024" s="1799" t="s">
        <v>5514</v>
      </c>
      <c r="D1024" s="1796">
        <v>1</v>
      </c>
      <c r="E1024" s="1796">
        <v>1</v>
      </c>
      <c r="F1024" s="1797">
        <v>2</v>
      </c>
      <c r="G1024" s="1999" t="s">
        <v>5514</v>
      </c>
      <c r="H1024" s="1794">
        <v>1</v>
      </c>
      <c r="I1024" s="1794">
        <v>1</v>
      </c>
      <c r="J1024" s="2000">
        <v>2</v>
      </c>
      <c r="K1024" s="1798"/>
      <c r="L1024" s="1792">
        <v>13089022900</v>
      </c>
      <c r="M1024" s="1793">
        <v>1</v>
      </c>
      <c r="N1024" s="1793">
        <v>1</v>
      </c>
      <c r="O1024" s="1793">
        <v>2</v>
      </c>
    </row>
    <row r="1025" spans="3:15">
      <c r="C1025" s="1799" t="s">
        <v>5515</v>
      </c>
      <c r="D1025" s="1796">
        <v>1</v>
      </c>
      <c r="E1025" s="1796">
        <v>1</v>
      </c>
      <c r="F1025" s="1797">
        <v>2</v>
      </c>
      <c r="G1025" s="1999" t="s">
        <v>5515</v>
      </c>
      <c r="H1025" s="1794">
        <v>1</v>
      </c>
      <c r="I1025" s="1794">
        <v>1</v>
      </c>
      <c r="J1025" s="2000">
        <v>2</v>
      </c>
      <c r="K1025" s="1798"/>
      <c r="L1025" s="1792">
        <v>13089023000</v>
      </c>
      <c r="M1025" s="1793">
        <v>1</v>
      </c>
      <c r="N1025" s="1793">
        <v>1</v>
      </c>
      <c r="O1025" s="1793">
        <v>2</v>
      </c>
    </row>
    <row r="1026" spans="3:15">
      <c r="C1026" s="1799" t="s">
        <v>5516</v>
      </c>
      <c r="D1026" s="1796">
        <v>0</v>
      </c>
      <c r="E1026" s="1796">
        <v>0</v>
      </c>
      <c r="F1026" s="1797">
        <v>0</v>
      </c>
      <c r="G1026" s="1999" t="s">
        <v>5516</v>
      </c>
      <c r="H1026" s="1794">
        <v>0</v>
      </c>
      <c r="I1026" s="1794">
        <v>0</v>
      </c>
      <c r="J1026" s="2000">
        <v>0</v>
      </c>
      <c r="K1026" s="1798"/>
      <c r="L1026" s="1792">
        <v>13089023101</v>
      </c>
      <c r="M1026" s="1793">
        <v>0</v>
      </c>
      <c r="N1026" s="1793">
        <v>0</v>
      </c>
      <c r="O1026" s="1793">
        <v>0</v>
      </c>
    </row>
    <row r="1027" spans="3:15">
      <c r="C1027" s="1799" t="s">
        <v>5517</v>
      </c>
      <c r="D1027" s="1796">
        <v>0</v>
      </c>
      <c r="E1027" s="1796">
        <v>0</v>
      </c>
      <c r="F1027" s="1797">
        <v>0</v>
      </c>
      <c r="G1027" s="1999" t="s">
        <v>5517</v>
      </c>
      <c r="H1027" s="1794">
        <v>1</v>
      </c>
      <c r="I1027" s="1794">
        <v>0</v>
      </c>
      <c r="J1027" s="2000">
        <v>1</v>
      </c>
      <c r="K1027" s="1798"/>
      <c r="L1027" s="1792">
        <v>13089023102</v>
      </c>
      <c r="M1027" s="1793">
        <v>1</v>
      </c>
      <c r="N1027" s="1793">
        <v>0</v>
      </c>
      <c r="O1027" s="1793">
        <v>1</v>
      </c>
    </row>
    <row r="1028" spans="3:15">
      <c r="C1028" s="1799" t="s">
        <v>5518</v>
      </c>
      <c r="D1028" s="1796">
        <v>0</v>
      </c>
      <c r="E1028" s="1796">
        <v>0</v>
      </c>
      <c r="F1028" s="1797">
        <v>0</v>
      </c>
      <c r="G1028" s="1999" t="s">
        <v>5518</v>
      </c>
      <c r="H1028" s="1794">
        <v>0</v>
      </c>
      <c r="I1028" s="1794">
        <v>0</v>
      </c>
      <c r="J1028" s="2000">
        <v>0</v>
      </c>
      <c r="K1028" s="1798"/>
      <c r="L1028" s="1792">
        <v>13089023107</v>
      </c>
      <c r="M1028" s="1793">
        <v>0</v>
      </c>
      <c r="N1028" s="1793">
        <v>0</v>
      </c>
      <c r="O1028" s="1793">
        <v>0</v>
      </c>
    </row>
    <row r="1029" spans="3:15">
      <c r="C1029" s="1799" t="s">
        <v>5519</v>
      </c>
      <c r="D1029" s="1796">
        <v>0</v>
      </c>
      <c r="E1029" s="1796">
        <v>0</v>
      </c>
      <c r="F1029" s="1797">
        <v>0</v>
      </c>
      <c r="G1029" s="1999" t="s">
        <v>5519</v>
      </c>
      <c r="H1029" s="1794">
        <v>0</v>
      </c>
      <c r="I1029" s="1794">
        <v>0</v>
      </c>
      <c r="J1029" s="2000">
        <v>0</v>
      </c>
      <c r="K1029" s="1798"/>
      <c r="L1029" s="1792">
        <v>13089023108</v>
      </c>
      <c r="M1029" s="1793">
        <v>0</v>
      </c>
      <c r="N1029" s="1793">
        <v>0</v>
      </c>
      <c r="O1029" s="1793">
        <v>0</v>
      </c>
    </row>
    <row r="1030" spans="3:15">
      <c r="C1030" s="1799" t="s">
        <v>5520</v>
      </c>
      <c r="D1030" s="1796">
        <v>0</v>
      </c>
      <c r="E1030" s="1796">
        <v>0</v>
      </c>
      <c r="F1030" s="1797">
        <v>0</v>
      </c>
      <c r="G1030" s="1999" t="s">
        <v>5520</v>
      </c>
      <c r="H1030" s="1794">
        <v>0</v>
      </c>
      <c r="I1030" s="1794">
        <v>0</v>
      </c>
      <c r="J1030" s="2000">
        <v>0</v>
      </c>
      <c r="K1030" s="1798"/>
      <c r="L1030" s="1792">
        <v>13089023111</v>
      </c>
      <c r="M1030" s="1793">
        <v>0</v>
      </c>
      <c r="N1030" s="1793">
        <v>0</v>
      </c>
      <c r="O1030" s="1793">
        <v>0</v>
      </c>
    </row>
    <row r="1031" spans="3:15">
      <c r="C1031" s="1799" t="s">
        <v>5521</v>
      </c>
      <c r="D1031" s="1796">
        <v>0</v>
      </c>
      <c r="E1031" s="1796">
        <v>0</v>
      </c>
      <c r="F1031" s="1797">
        <v>0</v>
      </c>
      <c r="G1031" s="1999" t="s">
        <v>5521</v>
      </c>
      <c r="H1031" s="1794">
        <v>0</v>
      </c>
      <c r="I1031" s="1794" t="s">
        <v>4485</v>
      </c>
      <c r="J1031" s="2000">
        <v>0</v>
      </c>
      <c r="K1031" s="1798"/>
      <c r="L1031" s="1792">
        <v>13089023112</v>
      </c>
      <c r="M1031" s="1793">
        <v>0</v>
      </c>
      <c r="N1031" s="1793">
        <v>0</v>
      </c>
      <c r="O1031" s="1793">
        <v>0</v>
      </c>
    </row>
    <row r="1032" spans="3:15">
      <c r="C1032" s="1799" t="s">
        <v>5522</v>
      </c>
      <c r="D1032" s="1796">
        <v>0</v>
      </c>
      <c r="E1032" s="1796">
        <v>0</v>
      </c>
      <c r="F1032" s="1797">
        <v>0</v>
      </c>
      <c r="G1032" s="1999" t="s">
        <v>5522</v>
      </c>
      <c r="H1032" s="1794">
        <v>0</v>
      </c>
      <c r="I1032" s="1794">
        <v>0</v>
      </c>
      <c r="J1032" s="2000">
        <v>0</v>
      </c>
      <c r="K1032" s="1798"/>
      <c r="L1032" s="1792">
        <v>13089023113</v>
      </c>
      <c r="M1032" s="1793">
        <v>0</v>
      </c>
      <c r="N1032" s="1793">
        <v>0</v>
      </c>
      <c r="O1032" s="1793">
        <v>0</v>
      </c>
    </row>
    <row r="1033" spans="3:15">
      <c r="C1033" s="1799" t="s">
        <v>5523</v>
      </c>
      <c r="D1033" s="1796">
        <v>0</v>
      </c>
      <c r="E1033" s="1796">
        <v>0</v>
      </c>
      <c r="F1033" s="1797">
        <v>0</v>
      </c>
      <c r="G1033" s="1999" t="s">
        <v>5523</v>
      </c>
      <c r="H1033" s="1794">
        <v>0</v>
      </c>
      <c r="I1033" s="1794">
        <v>0</v>
      </c>
      <c r="J1033" s="2000">
        <v>0</v>
      </c>
      <c r="K1033" s="1798"/>
      <c r="L1033" s="1792">
        <v>13089023114</v>
      </c>
      <c r="M1033" s="1793">
        <v>0</v>
      </c>
      <c r="N1033" s="1793">
        <v>0</v>
      </c>
      <c r="O1033" s="1793">
        <v>0</v>
      </c>
    </row>
    <row r="1034" spans="3:15">
      <c r="C1034" s="1799" t="s">
        <v>5524</v>
      </c>
      <c r="D1034" s="1796" t="s">
        <v>4485</v>
      </c>
      <c r="E1034" s="1796" t="s">
        <v>4485</v>
      </c>
      <c r="F1034" s="1797">
        <v>0</v>
      </c>
      <c r="G1034" s="1999" t="s">
        <v>5524</v>
      </c>
      <c r="H1034" s="1794" t="s">
        <v>4485</v>
      </c>
      <c r="I1034" s="1794" t="s">
        <v>4485</v>
      </c>
      <c r="J1034" s="2000">
        <v>0</v>
      </c>
      <c r="K1034" s="1798"/>
      <c r="L1034" s="1792">
        <v>13089023115</v>
      </c>
      <c r="M1034" s="1793">
        <v>0</v>
      </c>
      <c r="N1034" s="1793">
        <v>0</v>
      </c>
      <c r="O1034" s="1793">
        <v>0</v>
      </c>
    </row>
    <row r="1035" spans="3:15">
      <c r="C1035" s="1799" t="s">
        <v>5525</v>
      </c>
      <c r="D1035" s="1796">
        <v>0</v>
      </c>
      <c r="E1035" s="1796">
        <v>0</v>
      </c>
      <c r="F1035" s="1797">
        <v>0</v>
      </c>
      <c r="G1035" s="1999" t="s">
        <v>5525</v>
      </c>
      <c r="H1035" s="1794">
        <v>0</v>
      </c>
      <c r="I1035" s="1794">
        <v>0</v>
      </c>
      <c r="J1035" s="2000">
        <v>0</v>
      </c>
      <c r="K1035" s="1798"/>
      <c r="L1035" s="1792">
        <v>13089023204</v>
      </c>
      <c r="M1035" s="1793">
        <v>0</v>
      </c>
      <c r="N1035" s="1793">
        <v>0</v>
      </c>
      <c r="O1035" s="1793">
        <v>0</v>
      </c>
    </row>
    <row r="1036" spans="3:15">
      <c r="C1036" s="1799" t="s">
        <v>5526</v>
      </c>
      <c r="D1036" s="1796">
        <v>0</v>
      </c>
      <c r="E1036" s="1796">
        <v>0</v>
      </c>
      <c r="F1036" s="1797">
        <v>0</v>
      </c>
      <c r="G1036" s="1999" t="s">
        <v>5526</v>
      </c>
      <c r="H1036" s="1794">
        <v>0</v>
      </c>
      <c r="I1036" s="1794">
        <v>1</v>
      </c>
      <c r="J1036" s="2000">
        <v>1</v>
      </c>
      <c r="K1036" s="1798"/>
      <c r="L1036" s="1792">
        <v>13089023206</v>
      </c>
      <c r="M1036" s="1793">
        <v>0</v>
      </c>
      <c r="N1036" s="1793">
        <v>1</v>
      </c>
      <c r="O1036" s="1793">
        <v>1</v>
      </c>
    </row>
    <row r="1037" spans="3:15">
      <c r="C1037" s="1799" t="s">
        <v>5527</v>
      </c>
      <c r="D1037" s="1796">
        <v>0</v>
      </c>
      <c r="E1037" s="1796">
        <v>0</v>
      </c>
      <c r="F1037" s="1797">
        <v>0</v>
      </c>
      <c r="G1037" s="1999" t="s">
        <v>5527</v>
      </c>
      <c r="H1037" s="1794">
        <v>0</v>
      </c>
      <c r="I1037" s="1794">
        <v>0</v>
      </c>
      <c r="J1037" s="2000">
        <v>0</v>
      </c>
      <c r="K1037" s="1798"/>
      <c r="L1037" s="1792">
        <v>13089023208</v>
      </c>
      <c r="M1037" s="1793">
        <v>0</v>
      </c>
      <c r="N1037" s="1793">
        <v>0</v>
      </c>
      <c r="O1037" s="1793">
        <v>0</v>
      </c>
    </row>
    <row r="1038" spans="3:15">
      <c r="C1038" s="1799" t="s">
        <v>5528</v>
      </c>
      <c r="D1038" s="1796">
        <v>0</v>
      </c>
      <c r="E1038" s="1796">
        <v>0</v>
      </c>
      <c r="F1038" s="1797">
        <v>0</v>
      </c>
      <c r="G1038" s="1999" t="s">
        <v>5528</v>
      </c>
      <c r="H1038" s="1794">
        <v>0</v>
      </c>
      <c r="I1038" s="1794">
        <v>0</v>
      </c>
      <c r="J1038" s="2000">
        <v>0</v>
      </c>
      <c r="K1038" s="1798"/>
      <c r="L1038" s="1792">
        <v>13089023209</v>
      </c>
      <c r="M1038" s="1793">
        <v>0</v>
      </c>
      <c r="N1038" s="1793">
        <v>0</v>
      </c>
      <c r="O1038" s="1793">
        <v>0</v>
      </c>
    </row>
    <row r="1039" spans="3:15">
      <c r="C1039" s="1799" t="s">
        <v>5529</v>
      </c>
      <c r="D1039" s="1796">
        <v>0</v>
      </c>
      <c r="E1039" s="1796">
        <v>0</v>
      </c>
      <c r="F1039" s="1797">
        <v>0</v>
      </c>
      <c r="G1039" s="1999" t="s">
        <v>5529</v>
      </c>
      <c r="H1039" s="1794">
        <v>0</v>
      </c>
      <c r="I1039" s="1794">
        <v>0</v>
      </c>
      <c r="J1039" s="2000">
        <v>0</v>
      </c>
      <c r="K1039" s="1798"/>
      <c r="L1039" s="1792">
        <v>13089023210</v>
      </c>
      <c r="M1039" s="1793">
        <v>0</v>
      </c>
      <c r="N1039" s="1793">
        <v>0</v>
      </c>
      <c r="O1039" s="1793">
        <v>0</v>
      </c>
    </row>
    <row r="1040" spans="3:15">
      <c r="C1040" s="1799" t="s">
        <v>5530</v>
      </c>
      <c r="D1040" s="1796">
        <v>0</v>
      </c>
      <c r="E1040" s="1796">
        <v>0</v>
      </c>
      <c r="F1040" s="1797">
        <v>0</v>
      </c>
      <c r="G1040" s="1999" t="s">
        <v>5530</v>
      </c>
      <c r="H1040" s="1794">
        <v>0</v>
      </c>
      <c r="I1040" s="1794">
        <v>0</v>
      </c>
      <c r="J1040" s="2000">
        <v>0</v>
      </c>
      <c r="K1040" s="1798"/>
      <c r="L1040" s="1792">
        <v>13089023211</v>
      </c>
      <c r="M1040" s="1793">
        <v>0</v>
      </c>
      <c r="N1040" s="1793">
        <v>0</v>
      </c>
      <c r="O1040" s="1793">
        <v>0</v>
      </c>
    </row>
    <row r="1041" spans="3:15">
      <c r="C1041" s="1799" t="s">
        <v>5531</v>
      </c>
      <c r="D1041" s="1796">
        <v>0</v>
      </c>
      <c r="E1041" s="1796">
        <v>0</v>
      </c>
      <c r="F1041" s="1797">
        <v>0</v>
      </c>
      <c r="G1041" s="1999" t="s">
        <v>5531</v>
      </c>
      <c r="H1041" s="1794">
        <v>0</v>
      </c>
      <c r="I1041" s="1794">
        <v>0</v>
      </c>
      <c r="J1041" s="2000">
        <v>0</v>
      </c>
      <c r="K1041" s="1798"/>
      <c r="L1041" s="1792">
        <v>13089023212</v>
      </c>
      <c r="M1041" s="1793">
        <v>0</v>
      </c>
      <c r="N1041" s="1793">
        <v>0</v>
      </c>
      <c r="O1041" s="1793">
        <v>0</v>
      </c>
    </row>
    <row r="1042" spans="3:15">
      <c r="C1042" s="1799" t="s">
        <v>5532</v>
      </c>
      <c r="D1042" s="1796">
        <v>0</v>
      </c>
      <c r="E1042" s="1796">
        <v>0</v>
      </c>
      <c r="F1042" s="1797">
        <v>0</v>
      </c>
      <c r="G1042" s="1999" t="s">
        <v>5532</v>
      </c>
      <c r="H1042" s="1794">
        <v>0</v>
      </c>
      <c r="I1042" s="1794">
        <v>0</v>
      </c>
      <c r="J1042" s="2000">
        <v>0</v>
      </c>
      <c r="K1042" s="1798"/>
      <c r="L1042" s="1792">
        <v>13089023213</v>
      </c>
      <c r="M1042" s="1793">
        <v>0</v>
      </c>
      <c r="N1042" s="1793">
        <v>0</v>
      </c>
      <c r="O1042" s="1793">
        <v>0</v>
      </c>
    </row>
    <row r="1043" spans="3:15">
      <c r="C1043" s="1799" t="s">
        <v>5533</v>
      </c>
      <c r="D1043" s="1796">
        <v>0</v>
      </c>
      <c r="E1043" s="1796">
        <v>0</v>
      </c>
      <c r="F1043" s="1797">
        <v>0</v>
      </c>
      <c r="G1043" s="1999" t="s">
        <v>5533</v>
      </c>
      <c r="H1043" s="1794">
        <v>0</v>
      </c>
      <c r="I1043" s="1794" t="s">
        <v>4485</v>
      </c>
      <c r="J1043" s="2000">
        <v>0</v>
      </c>
      <c r="K1043" s="1798"/>
      <c r="L1043" s="1792">
        <v>13089023214</v>
      </c>
      <c r="M1043" s="1793">
        <v>0</v>
      </c>
      <c r="N1043" s="1793">
        <v>0</v>
      </c>
      <c r="O1043" s="1793">
        <v>0</v>
      </c>
    </row>
    <row r="1044" spans="3:15">
      <c r="C1044" s="1799" t="s">
        <v>5534</v>
      </c>
      <c r="D1044" s="1796">
        <v>0</v>
      </c>
      <c r="E1044" s="1796">
        <v>0</v>
      </c>
      <c r="F1044" s="1797">
        <v>0</v>
      </c>
      <c r="G1044" s="1999" t="s">
        <v>5534</v>
      </c>
      <c r="H1044" s="1794">
        <v>0</v>
      </c>
      <c r="I1044" s="1794">
        <v>0</v>
      </c>
      <c r="J1044" s="2000">
        <v>0</v>
      </c>
      <c r="K1044" s="1798"/>
      <c r="L1044" s="1792">
        <v>13089023303</v>
      </c>
      <c r="M1044" s="1793">
        <v>0</v>
      </c>
      <c r="N1044" s="1793">
        <v>0</v>
      </c>
      <c r="O1044" s="1793">
        <v>0</v>
      </c>
    </row>
    <row r="1045" spans="3:15">
      <c r="C1045" s="1799" t="s">
        <v>5535</v>
      </c>
      <c r="D1045" s="1796">
        <v>1</v>
      </c>
      <c r="E1045" s="1796">
        <v>1</v>
      </c>
      <c r="F1045" s="1797">
        <v>2</v>
      </c>
      <c r="G1045" s="1999" t="s">
        <v>5535</v>
      </c>
      <c r="H1045" s="1794">
        <v>0</v>
      </c>
      <c r="I1045" s="1794">
        <v>1</v>
      </c>
      <c r="J1045" s="2000">
        <v>1</v>
      </c>
      <c r="K1045" s="1798"/>
      <c r="L1045" s="1792">
        <v>13089023306</v>
      </c>
      <c r="M1045" s="1793">
        <v>1</v>
      </c>
      <c r="N1045" s="1793">
        <v>1</v>
      </c>
      <c r="O1045" s="1793">
        <v>2</v>
      </c>
    </row>
    <row r="1046" spans="3:15">
      <c r="C1046" s="1799" t="s">
        <v>5536</v>
      </c>
      <c r="D1046" s="1796">
        <v>0</v>
      </c>
      <c r="E1046" s="1796">
        <v>0</v>
      </c>
      <c r="F1046" s="1797">
        <v>0</v>
      </c>
      <c r="G1046" s="1999" t="s">
        <v>5536</v>
      </c>
      <c r="H1046" s="1794">
        <v>0</v>
      </c>
      <c r="I1046" s="1794">
        <v>0</v>
      </c>
      <c r="J1046" s="2000">
        <v>0</v>
      </c>
      <c r="K1046" s="1798"/>
      <c r="L1046" s="1792">
        <v>13089023309</v>
      </c>
      <c r="M1046" s="1793">
        <v>0</v>
      </c>
      <c r="N1046" s="1793">
        <v>0</v>
      </c>
      <c r="O1046" s="1793">
        <v>0</v>
      </c>
    </row>
    <row r="1047" spans="3:15">
      <c r="C1047" s="1799" t="s">
        <v>5537</v>
      </c>
      <c r="D1047" s="1796">
        <v>0</v>
      </c>
      <c r="E1047" s="1796">
        <v>0</v>
      </c>
      <c r="F1047" s="1797">
        <v>0</v>
      </c>
      <c r="G1047" s="1999" t="s">
        <v>5537</v>
      </c>
      <c r="H1047" s="1794">
        <v>0</v>
      </c>
      <c r="I1047" s="1794">
        <v>0</v>
      </c>
      <c r="J1047" s="2000">
        <v>0</v>
      </c>
      <c r="K1047" s="1798"/>
      <c r="L1047" s="1792">
        <v>13089023310</v>
      </c>
      <c r="M1047" s="1793">
        <v>0</v>
      </c>
      <c r="N1047" s="1793">
        <v>0</v>
      </c>
      <c r="O1047" s="1793">
        <v>0</v>
      </c>
    </row>
    <row r="1048" spans="3:15">
      <c r="C1048" s="1799" t="s">
        <v>5538</v>
      </c>
      <c r="D1048" s="1796">
        <v>1</v>
      </c>
      <c r="E1048" s="1796">
        <v>0</v>
      </c>
      <c r="F1048" s="1797">
        <v>1</v>
      </c>
      <c r="G1048" s="1999" t="s">
        <v>5538</v>
      </c>
      <c r="H1048" s="1794">
        <v>1</v>
      </c>
      <c r="I1048" s="1794">
        <v>0</v>
      </c>
      <c r="J1048" s="2000">
        <v>1</v>
      </c>
      <c r="K1048" s="1798"/>
      <c r="L1048" s="1792">
        <v>13089023311</v>
      </c>
      <c r="M1048" s="1793">
        <v>1</v>
      </c>
      <c r="N1048" s="1793">
        <v>0</v>
      </c>
      <c r="O1048" s="1793">
        <v>1</v>
      </c>
    </row>
    <row r="1049" spans="3:15">
      <c r="C1049" s="1799" t="s">
        <v>5539</v>
      </c>
      <c r="D1049" s="1796">
        <v>0</v>
      </c>
      <c r="E1049" s="1796">
        <v>0</v>
      </c>
      <c r="F1049" s="1797">
        <v>0</v>
      </c>
      <c r="G1049" s="1999" t="s">
        <v>5539</v>
      </c>
      <c r="H1049" s="1794">
        <v>0</v>
      </c>
      <c r="I1049" s="1794">
        <v>0</v>
      </c>
      <c r="J1049" s="2000">
        <v>0</v>
      </c>
      <c r="K1049" s="1798"/>
      <c r="L1049" s="1792">
        <v>13089023312</v>
      </c>
      <c r="M1049" s="1793">
        <v>0</v>
      </c>
      <c r="N1049" s="1793">
        <v>0</v>
      </c>
      <c r="O1049" s="1793">
        <v>0</v>
      </c>
    </row>
    <row r="1050" spans="3:15">
      <c r="C1050" s="1799" t="s">
        <v>5540</v>
      </c>
      <c r="D1050" s="1796">
        <v>0</v>
      </c>
      <c r="E1050" s="1796">
        <v>0</v>
      </c>
      <c r="F1050" s="1797">
        <v>0</v>
      </c>
      <c r="G1050" s="1999" t="s">
        <v>5540</v>
      </c>
      <c r="H1050" s="1794">
        <v>0</v>
      </c>
      <c r="I1050" s="1794">
        <v>0</v>
      </c>
      <c r="J1050" s="2000">
        <v>0</v>
      </c>
      <c r="K1050" s="1798"/>
      <c r="L1050" s="1792">
        <v>13089023313</v>
      </c>
      <c r="M1050" s="1793">
        <v>0</v>
      </c>
      <c r="N1050" s="1793">
        <v>0</v>
      </c>
      <c r="O1050" s="1793">
        <v>0</v>
      </c>
    </row>
    <row r="1051" spans="3:15">
      <c r="C1051" s="1799" t="s">
        <v>5541</v>
      </c>
      <c r="D1051" s="1796">
        <v>0</v>
      </c>
      <c r="E1051" s="1796">
        <v>0</v>
      </c>
      <c r="F1051" s="1797">
        <v>0</v>
      </c>
      <c r="G1051" s="1999" t="s">
        <v>5541</v>
      </c>
      <c r="H1051" s="1794">
        <v>0</v>
      </c>
      <c r="I1051" s="1794">
        <v>0</v>
      </c>
      <c r="J1051" s="2000">
        <v>0</v>
      </c>
      <c r="K1051" s="1798"/>
      <c r="L1051" s="1792">
        <v>13089023314</v>
      </c>
      <c r="M1051" s="1793">
        <v>0</v>
      </c>
      <c r="N1051" s="1793">
        <v>0</v>
      </c>
      <c r="O1051" s="1793">
        <v>0</v>
      </c>
    </row>
    <row r="1052" spans="3:15">
      <c r="C1052" s="1799" t="s">
        <v>5542</v>
      </c>
      <c r="D1052" s="1796">
        <v>1</v>
      </c>
      <c r="E1052" s="1796">
        <v>1</v>
      </c>
      <c r="F1052" s="1797">
        <v>2</v>
      </c>
      <c r="G1052" s="1999" t="s">
        <v>5542</v>
      </c>
      <c r="H1052" s="1794">
        <v>1</v>
      </c>
      <c r="I1052" s="1794">
        <v>0</v>
      </c>
      <c r="J1052" s="2000">
        <v>1</v>
      </c>
      <c r="K1052" s="1798"/>
      <c r="L1052" s="1792">
        <v>13089023315</v>
      </c>
      <c r="M1052" s="1793">
        <v>1</v>
      </c>
      <c r="N1052" s="1793">
        <v>1</v>
      </c>
      <c r="O1052" s="1793">
        <v>2</v>
      </c>
    </row>
    <row r="1053" spans="3:15">
      <c r="C1053" s="1799" t="s">
        <v>5543</v>
      </c>
      <c r="D1053" s="1796">
        <v>0</v>
      </c>
      <c r="E1053" s="1796">
        <v>0</v>
      </c>
      <c r="F1053" s="1797">
        <v>0</v>
      </c>
      <c r="G1053" s="1999" t="s">
        <v>5543</v>
      </c>
      <c r="H1053" s="1794">
        <v>1</v>
      </c>
      <c r="I1053" s="1794">
        <v>1</v>
      </c>
      <c r="J1053" s="2000">
        <v>1</v>
      </c>
      <c r="K1053" s="1798"/>
      <c r="L1053" s="1792">
        <v>13089023316</v>
      </c>
      <c r="M1053" s="1793">
        <v>1</v>
      </c>
      <c r="N1053" s="1793">
        <v>1</v>
      </c>
      <c r="O1053" s="1793">
        <v>1</v>
      </c>
    </row>
    <row r="1054" spans="3:15">
      <c r="C1054" s="1799" t="s">
        <v>5544</v>
      </c>
      <c r="D1054" s="1796">
        <v>0</v>
      </c>
      <c r="E1054" s="1796">
        <v>0</v>
      </c>
      <c r="F1054" s="1797">
        <v>0</v>
      </c>
      <c r="G1054" s="1999" t="s">
        <v>5544</v>
      </c>
      <c r="H1054" s="1794">
        <v>0</v>
      </c>
      <c r="I1054" s="1794">
        <v>0</v>
      </c>
      <c r="J1054" s="2000">
        <v>0</v>
      </c>
      <c r="K1054" s="1798"/>
      <c r="L1054" s="1792">
        <v>13089023410</v>
      </c>
      <c r="M1054" s="1793">
        <v>0</v>
      </c>
      <c r="N1054" s="1793">
        <v>0</v>
      </c>
      <c r="O1054" s="1793">
        <v>0</v>
      </c>
    </row>
    <row r="1055" spans="3:15">
      <c r="C1055" s="1799" t="s">
        <v>5545</v>
      </c>
      <c r="D1055" s="1796">
        <v>0</v>
      </c>
      <c r="E1055" s="1796">
        <v>0</v>
      </c>
      <c r="F1055" s="1797">
        <v>0</v>
      </c>
      <c r="G1055" s="1999" t="s">
        <v>5545</v>
      </c>
      <c r="H1055" s="1794">
        <v>0</v>
      </c>
      <c r="I1055" s="1794" t="s">
        <v>4485</v>
      </c>
      <c r="J1055" s="2000">
        <v>0</v>
      </c>
      <c r="K1055" s="1798"/>
      <c r="L1055" s="1792">
        <v>13089023411</v>
      </c>
      <c r="M1055" s="1793">
        <v>0</v>
      </c>
      <c r="N1055" s="1793">
        <v>0</v>
      </c>
      <c r="O1055" s="1793">
        <v>0</v>
      </c>
    </row>
    <row r="1056" spans="3:15">
      <c r="C1056" s="1799" t="s">
        <v>5546</v>
      </c>
      <c r="D1056" s="1796">
        <v>0</v>
      </c>
      <c r="E1056" s="1796">
        <v>0</v>
      </c>
      <c r="F1056" s="1797">
        <v>0</v>
      </c>
      <c r="G1056" s="1999" t="s">
        <v>5546</v>
      </c>
      <c r="H1056" s="1794">
        <v>0</v>
      </c>
      <c r="I1056" s="1794">
        <v>0</v>
      </c>
      <c r="J1056" s="2000">
        <v>0</v>
      </c>
      <c r="K1056" s="1798"/>
      <c r="L1056" s="1792">
        <v>13089023412</v>
      </c>
      <c r="M1056" s="1793">
        <v>0</v>
      </c>
      <c r="N1056" s="1793">
        <v>0</v>
      </c>
      <c r="O1056" s="1793">
        <v>0</v>
      </c>
    </row>
    <row r="1057" spans="3:15">
      <c r="C1057" s="1799" t="s">
        <v>5547</v>
      </c>
      <c r="D1057" s="1796">
        <v>0</v>
      </c>
      <c r="E1057" s="1796">
        <v>0</v>
      </c>
      <c r="F1057" s="1797">
        <v>0</v>
      </c>
      <c r="G1057" s="1999" t="s">
        <v>5547</v>
      </c>
      <c r="H1057" s="1794">
        <v>0</v>
      </c>
      <c r="I1057" s="1794">
        <v>1</v>
      </c>
      <c r="J1057" s="2000">
        <v>0</v>
      </c>
      <c r="K1057" s="1798"/>
      <c r="L1057" s="1792">
        <v>13089023413</v>
      </c>
      <c r="M1057" s="1793">
        <v>0</v>
      </c>
      <c r="N1057" s="1793">
        <v>1</v>
      </c>
      <c r="O1057" s="1793">
        <v>0</v>
      </c>
    </row>
    <row r="1058" spans="3:15">
      <c r="C1058" s="1799" t="s">
        <v>5548</v>
      </c>
      <c r="D1058" s="1796">
        <v>0</v>
      </c>
      <c r="E1058" s="1796">
        <v>0</v>
      </c>
      <c r="F1058" s="1797">
        <v>0</v>
      </c>
      <c r="G1058" s="1999" t="s">
        <v>5548</v>
      </c>
      <c r="H1058" s="1794">
        <v>1</v>
      </c>
      <c r="I1058" s="1794">
        <v>1</v>
      </c>
      <c r="J1058" s="2000">
        <v>2</v>
      </c>
      <c r="K1058" s="1798"/>
      <c r="L1058" s="1792">
        <v>13089023414</v>
      </c>
      <c r="M1058" s="1793">
        <v>1</v>
      </c>
      <c r="N1058" s="1793">
        <v>1</v>
      </c>
      <c r="O1058" s="1793">
        <v>2</v>
      </c>
    </row>
    <row r="1059" spans="3:15">
      <c r="C1059" s="1799" t="s">
        <v>5549</v>
      </c>
      <c r="D1059" s="1796">
        <v>0</v>
      </c>
      <c r="E1059" s="1796">
        <v>0</v>
      </c>
      <c r="F1059" s="1797">
        <v>0</v>
      </c>
      <c r="G1059" s="1999" t="s">
        <v>5549</v>
      </c>
      <c r="H1059" s="1794">
        <v>0</v>
      </c>
      <c r="I1059" s="1794">
        <v>1</v>
      </c>
      <c r="J1059" s="2000">
        <v>1</v>
      </c>
      <c r="K1059" s="1798"/>
      <c r="L1059" s="1792">
        <v>13089023416</v>
      </c>
      <c r="M1059" s="1793">
        <v>0</v>
      </c>
      <c r="N1059" s="1793">
        <v>1</v>
      </c>
      <c r="O1059" s="1793">
        <v>1</v>
      </c>
    </row>
    <row r="1060" spans="3:15">
      <c r="C1060" s="1799" t="s">
        <v>5550</v>
      </c>
      <c r="D1060" s="1796">
        <v>0</v>
      </c>
      <c r="E1060" s="1796">
        <v>0</v>
      </c>
      <c r="F1060" s="1797">
        <v>0</v>
      </c>
      <c r="G1060" s="1999" t="s">
        <v>5550</v>
      </c>
      <c r="H1060" s="1794">
        <v>0</v>
      </c>
      <c r="I1060" s="1794">
        <v>0</v>
      </c>
      <c r="J1060" s="2000">
        <v>0</v>
      </c>
      <c r="K1060" s="1798"/>
      <c r="L1060" s="1792">
        <v>13089023418</v>
      </c>
      <c r="M1060" s="1793">
        <v>0</v>
      </c>
      <c r="N1060" s="1793">
        <v>0</v>
      </c>
      <c r="O1060" s="1793">
        <v>0</v>
      </c>
    </row>
    <row r="1061" spans="3:15">
      <c r="C1061" s="1799" t="s">
        <v>5551</v>
      </c>
      <c r="D1061" s="1796">
        <v>0</v>
      </c>
      <c r="E1061" s="1796">
        <v>0</v>
      </c>
      <c r="F1061" s="1797">
        <v>0</v>
      </c>
      <c r="G1061" s="1999" t="s">
        <v>5551</v>
      </c>
      <c r="H1061" s="1794">
        <v>1</v>
      </c>
      <c r="I1061" s="1794">
        <v>1</v>
      </c>
      <c r="J1061" s="2000">
        <v>2</v>
      </c>
      <c r="K1061" s="1798"/>
      <c r="L1061" s="1792">
        <v>13089023419</v>
      </c>
      <c r="M1061" s="1793">
        <v>1</v>
      </c>
      <c r="N1061" s="1793">
        <v>1</v>
      </c>
      <c r="O1061" s="1793">
        <v>2</v>
      </c>
    </row>
    <row r="1062" spans="3:15">
      <c r="C1062" s="1799" t="s">
        <v>5552</v>
      </c>
      <c r="D1062" s="1796">
        <v>0</v>
      </c>
      <c r="E1062" s="1796">
        <v>0</v>
      </c>
      <c r="F1062" s="1797">
        <v>0</v>
      </c>
      <c r="G1062" s="1999" t="s">
        <v>5552</v>
      </c>
      <c r="H1062" s="1794">
        <v>0</v>
      </c>
      <c r="I1062" s="1794">
        <v>0</v>
      </c>
      <c r="J1062" s="2000">
        <v>0</v>
      </c>
      <c r="K1062" s="1798"/>
      <c r="L1062" s="1792">
        <v>13089023421</v>
      </c>
      <c r="M1062" s="1793">
        <v>0</v>
      </c>
      <c r="N1062" s="1793">
        <v>0</v>
      </c>
      <c r="O1062" s="1793">
        <v>0</v>
      </c>
    </row>
    <row r="1063" spans="3:15">
      <c r="C1063" s="1799" t="s">
        <v>5553</v>
      </c>
      <c r="D1063" s="1796">
        <v>0</v>
      </c>
      <c r="E1063" s="1796">
        <v>0</v>
      </c>
      <c r="F1063" s="1797">
        <v>0</v>
      </c>
      <c r="G1063" s="1999" t="s">
        <v>5553</v>
      </c>
      <c r="H1063" s="1794">
        <v>0</v>
      </c>
      <c r="I1063" s="1794">
        <v>0</v>
      </c>
      <c r="J1063" s="2000">
        <v>0</v>
      </c>
      <c r="K1063" s="1798"/>
      <c r="L1063" s="1792">
        <v>13089023422</v>
      </c>
      <c r="M1063" s="1793">
        <v>0</v>
      </c>
      <c r="N1063" s="1793">
        <v>0</v>
      </c>
      <c r="O1063" s="1793">
        <v>0</v>
      </c>
    </row>
    <row r="1064" spans="3:15">
      <c r="C1064" s="1799" t="s">
        <v>5554</v>
      </c>
      <c r="D1064" s="1796">
        <v>0</v>
      </c>
      <c r="E1064" s="1796">
        <v>0</v>
      </c>
      <c r="F1064" s="1797">
        <v>0</v>
      </c>
      <c r="G1064" s="1999" t="s">
        <v>5554</v>
      </c>
      <c r="H1064" s="1794">
        <v>1</v>
      </c>
      <c r="I1064" s="1794">
        <v>0</v>
      </c>
      <c r="J1064" s="2000">
        <v>1</v>
      </c>
      <c r="K1064" s="1798"/>
      <c r="L1064" s="1792">
        <v>13089023423</v>
      </c>
      <c r="M1064" s="1793">
        <v>1</v>
      </c>
      <c r="N1064" s="1793">
        <v>0</v>
      </c>
      <c r="O1064" s="1793">
        <v>1</v>
      </c>
    </row>
    <row r="1065" spans="3:15">
      <c r="C1065" s="1799" t="s">
        <v>5555</v>
      </c>
      <c r="D1065" s="1796">
        <v>0</v>
      </c>
      <c r="E1065" s="1796">
        <v>0</v>
      </c>
      <c r="F1065" s="1797">
        <v>0</v>
      </c>
      <c r="G1065" s="1999" t="s">
        <v>5555</v>
      </c>
      <c r="H1065" s="1794">
        <v>0</v>
      </c>
      <c r="I1065" s="1794">
        <v>1</v>
      </c>
      <c r="J1065" s="2000">
        <v>1</v>
      </c>
      <c r="K1065" s="1798"/>
      <c r="L1065" s="1792">
        <v>13089023424</v>
      </c>
      <c r="M1065" s="1793">
        <v>0</v>
      </c>
      <c r="N1065" s="1793">
        <v>1</v>
      </c>
      <c r="O1065" s="1793">
        <v>1</v>
      </c>
    </row>
    <row r="1066" spans="3:15">
      <c r="C1066" s="1799" t="s">
        <v>5556</v>
      </c>
      <c r="D1066" s="1796">
        <v>0</v>
      </c>
      <c r="E1066" s="1796">
        <v>0</v>
      </c>
      <c r="F1066" s="1797">
        <v>0</v>
      </c>
      <c r="G1066" s="1999" t="s">
        <v>5556</v>
      </c>
      <c r="H1066" s="1794">
        <v>0</v>
      </c>
      <c r="I1066" s="1794">
        <v>1</v>
      </c>
      <c r="J1066" s="2000">
        <v>1</v>
      </c>
      <c r="K1066" s="1798"/>
      <c r="L1066" s="1792">
        <v>13089023425</v>
      </c>
      <c r="M1066" s="1793">
        <v>0</v>
      </c>
      <c r="N1066" s="1793">
        <v>1</v>
      </c>
      <c r="O1066" s="1793">
        <v>1</v>
      </c>
    </row>
    <row r="1067" spans="3:15">
      <c r="C1067" s="1799" t="s">
        <v>5557</v>
      </c>
      <c r="D1067" s="1796">
        <v>1</v>
      </c>
      <c r="E1067" s="1796">
        <v>0</v>
      </c>
      <c r="F1067" s="1797">
        <v>1</v>
      </c>
      <c r="G1067" s="1999" t="s">
        <v>5557</v>
      </c>
      <c r="H1067" s="1794">
        <v>1</v>
      </c>
      <c r="I1067" s="1794">
        <v>1</v>
      </c>
      <c r="J1067" s="2000">
        <v>2</v>
      </c>
      <c r="K1067" s="1798"/>
      <c r="L1067" s="1792">
        <v>13089023426</v>
      </c>
      <c r="M1067" s="1793">
        <v>1</v>
      </c>
      <c r="N1067" s="1793">
        <v>1</v>
      </c>
      <c r="O1067" s="1793">
        <v>2</v>
      </c>
    </row>
    <row r="1068" spans="3:15">
      <c r="C1068" s="1799" t="s">
        <v>5558</v>
      </c>
      <c r="D1068" s="1796">
        <v>1</v>
      </c>
      <c r="E1068" s="1796">
        <v>0</v>
      </c>
      <c r="F1068" s="1797">
        <v>1</v>
      </c>
      <c r="G1068" s="1999" t="s">
        <v>5558</v>
      </c>
      <c r="H1068" s="1794">
        <v>1</v>
      </c>
      <c r="I1068" s="1794">
        <v>0</v>
      </c>
      <c r="J1068" s="2000">
        <v>1</v>
      </c>
      <c r="K1068" s="1798"/>
      <c r="L1068" s="1792">
        <v>13089023427</v>
      </c>
      <c r="M1068" s="1793">
        <v>1</v>
      </c>
      <c r="N1068" s="1793">
        <v>0</v>
      </c>
      <c r="O1068" s="1793">
        <v>1</v>
      </c>
    </row>
    <row r="1069" spans="3:15">
      <c r="C1069" s="1799" t="s">
        <v>5559</v>
      </c>
      <c r="D1069" s="1796">
        <v>0</v>
      </c>
      <c r="E1069" s="1796">
        <v>0</v>
      </c>
      <c r="F1069" s="1797">
        <v>0</v>
      </c>
      <c r="G1069" s="1999" t="s">
        <v>5559</v>
      </c>
      <c r="H1069" s="1794">
        <v>0</v>
      </c>
      <c r="I1069" s="1794">
        <v>0</v>
      </c>
      <c r="J1069" s="2000">
        <v>0</v>
      </c>
      <c r="K1069" s="1798"/>
      <c r="L1069" s="1792">
        <v>13089023428</v>
      </c>
      <c r="M1069" s="1793">
        <v>0</v>
      </c>
      <c r="N1069" s="1793">
        <v>0</v>
      </c>
      <c r="O1069" s="1793">
        <v>0</v>
      </c>
    </row>
    <row r="1070" spans="3:15">
      <c r="C1070" s="1799" t="s">
        <v>5560</v>
      </c>
      <c r="D1070" s="1796">
        <v>0</v>
      </c>
      <c r="E1070" s="1796">
        <v>0</v>
      </c>
      <c r="F1070" s="1797">
        <v>0</v>
      </c>
      <c r="G1070" s="1999" t="s">
        <v>5560</v>
      </c>
      <c r="H1070" s="1794">
        <v>0</v>
      </c>
      <c r="I1070" s="1794">
        <v>0</v>
      </c>
      <c r="J1070" s="2000">
        <v>0</v>
      </c>
      <c r="K1070" s="1798"/>
      <c r="L1070" s="1792">
        <v>13089023501</v>
      </c>
      <c r="M1070" s="1793">
        <v>0</v>
      </c>
      <c r="N1070" s="1793">
        <v>0</v>
      </c>
      <c r="O1070" s="1793">
        <v>0</v>
      </c>
    </row>
    <row r="1071" spans="3:15">
      <c r="C1071" s="1799" t="s">
        <v>5561</v>
      </c>
      <c r="D1071" s="1796">
        <v>0</v>
      </c>
      <c r="E1071" s="1796">
        <v>0</v>
      </c>
      <c r="F1071" s="1797">
        <v>0</v>
      </c>
      <c r="G1071" s="1999" t="s">
        <v>5561</v>
      </c>
      <c r="H1071" s="1794">
        <v>0</v>
      </c>
      <c r="I1071" s="1794">
        <v>0</v>
      </c>
      <c r="J1071" s="2000">
        <v>0</v>
      </c>
      <c r="K1071" s="1798"/>
      <c r="L1071" s="1792">
        <v>13089023504</v>
      </c>
      <c r="M1071" s="1793">
        <v>0</v>
      </c>
      <c r="N1071" s="1793">
        <v>0</v>
      </c>
      <c r="O1071" s="1793">
        <v>0</v>
      </c>
    </row>
    <row r="1072" spans="3:15">
      <c r="C1072" s="1799" t="s">
        <v>5562</v>
      </c>
      <c r="D1072" s="1796">
        <v>0</v>
      </c>
      <c r="E1072" s="1796">
        <v>0</v>
      </c>
      <c r="F1072" s="1797">
        <v>0</v>
      </c>
      <c r="G1072" s="1999" t="s">
        <v>5562</v>
      </c>
      <c r="H1072" s="1794">
        <v>0</v>
      </c>
      <c r="I1072" s="1794">
        <v>0</v>
      </c>
      <c r="J1072" s="2000">
        <v>0</v>
      </c>
      <c r="K1072" s="1798"/>
      <c r="L1072" s="1792">
        <v>13089023505</v>
      </c>
      <c r="M1072" s="1793">
        <v>0</v>
      </c>
      <c r="N1072" s="1793">
        <v>0</v>
      </c>
      <c r="O1072" s="1793">
        <v>0</v>
      </c>
    </row>
    <row r="1073" spans="3:15">
      <c r="C1073" s="1799" t="s">
        <v>5563</v>
      </c>
      <c r="D1073" s="1796">
        <v>0</v>
      </c>
      <c r="E1073" s="1796">
        <v>0</v>
      </c>
      <c r="F1073" s="1797">
        <v>0</v>
      </c>
      <c r="G1073" s="1999" t="s">
        <v>5563</v>
      </c>
      <c r="H1073" s="1794">
        <v>0</v>
      </c>
      <c r="I1073" s="1794">
        <v>0</v>
      </c>
      <c r="J1073" s="2000">
        <v>0</v>
      </c>
      <c r="K1073" s="1798"/>
      <c r="L1073" s="1792">
        <v>13089023506</v>
      </c>
      <c r="M1073" s="1793">
        <v>0</v>
      </c>
      <c r="N1073" s="1793">
        <v>0</v>
      </c>
      <c r="O1073" s="1793">
        <v>0</v>
      </c>
    </row>
    <row r="1074" spans="3:15">
      <c r="C1074" s="1799" t="s">
        <v>5564</v>
      </c>
      <c r="D1074" s="1796">
        <v>0</v>
      </c>
      <c r="E1074" s="1796">
        <v>0</v>
      </c>
      <c r="F1074" s="1797">
        <v>0</v>
      </c>
      <c r="G1074" s="1999" t="s">
        <v>5564</v>
      </c>
      <c r="H1074" s="1794">
        <v>0</v>
      </c>
      <c r="I1074" s="1794">
        <v>1</v>
      </c>
      <c r="J1074" s="2000">
        <v>1</v>
      </c>
      <c r="K1074" s="1798"/>
      <c r="L1074" s="1792">
        <v>13089023507</v>
      </c>
      <c r="M1074" s="1793">
        <v>0</v>
      </c>
      <c r="N1074" s="1793">
        <v>1</v>
      </c>
      <c r="O1074" s="1793">
        <v>1</v>
      </c>
    </row>
    <row r="1075" spans="3:15">
      <c r="C1075" s="1799" t="s">
        <v>5565</v>
      </c>
      <c r="D1075" s="1796">
        <v>0</v>
      </c>
      <c r="E1075" s="1796">
        <v>0</v>
      </c>
      <c r="F1075" s="1797">
        <v>0</v>
      </c>
      <c r="G1075" s="1999" t="s">
        <v>5565</v>
      </c>
      <c r="H1075" s="1794">
        <v>0</v>
      </c>
      <c r="I1075" s="1794">
        <v>0</v>
      </c>
      <c r="J1075" s="2000">
        <v>0</v>
      </c>
      <c r="K1075" s="1798"/>
      <c r="L1075" s="1792">
        <v>13089023601</v>
      </c>
      <c r="M1075" s="1793">
        <v>0</v>
      </c>
      <c r="N1075" s="1793">
        <v>0</v>
      </c>
      <c r="O1075" s="1793">
        <v>0</v>
      </c>
    </row>
    <row r="1076" spans="3:15">
      <c r="C1076" s="1799" t="s">
        <v>5566</v>
      </c>
      <c r="D1076" s="1796">
        <v>0</v>
      </c>
      <c r="E1076" s="1796">
        <v>0</v>
      </c>
      <c r="F1076" s="1797">
        <v>0</v>
      </c>
      <c r="G1076" s="1999" t="s">
        <v>5566</v>
      </c>
      <c r="H1076" s="1794">
        <v>0</v>
      </c>
      <c r="I1076" s="1794">
        <v>0</v>
      </c>
      <c r="J1076" s="2000">
        <v>0</v>
      </c>
      <c r="K1076" s="1798"/>
      <c r="L1076" s="1792">
        <v>13089023602</v>
      </c>
      <c r="M1076" s="1793">
        <v>0</v>
      </c>
      <c r="N1076" s="1793">
        <v>0</v>
      </c>
      <c r="O1076" s="1793">
        <v>0</v>
      </c>
    </row>
    <row r="1077" spans="3:15">
      <c r="C1077" s="1799" t="s">
        <v>5567</v>
      </c>
      <c r="D1077" s="1796">
        <v>0</v>
      </c>
      <c r="E1077" s="1796">
        <v>0</v>
      </c>
      <c r="F1077" s="1797">
        <v>0</v>
      </c>
      <c r="G1077" s="1999" t="s">
        <v>5567</v>
      </c>
      <c r="H1077" s="1794">
        <v>0</v>
      </c>
      <c r="I1077" s="1794">
        <v>0</v>
      </c>
      <c r="J1077" s="2000">
        <v>0</v>
      </c>
      <c r="K1077" s="1798"/>
      <c r="L1077" s="1792">
        <v>13089023603</v>
      </c>
      <c r="M1077" s="1793">
        <v>0</v>
      </c>
      <c r="N1077" s="1793">
        <v>0</v>
      </c>
      <c r="O1077" s="1793">
        <v>0</v>
      </c>
    </row>
    <row r="1078" spans="3:15">
      <c r="C1078" s="1799" t="s">
        <v>5568</v>
      </c>
      <c r="D1078" s="1796">
        <v>0</v>
      </c>
      <c r="E1078" s="1796">
        <v>0</v>
      </c>
      <c r="F1078" s="1797">
        <v>0</v>
      </c>
      <c r="G1078" s="1999" t="s">
        <v>5568</v>
      </c>
      <c r="H1078" s="1794">
        <v>0</v>
      </c>
      <c r="I1078" s="1794" t="s">
        <v>4485</v>
      </c>
      <c r="J1078" s="2000">
        <v>0</v>
      </c>
      <c r="K1078" s="1798"/>
      <c r="L1078" s="1792">
        <v>13089023700</v>
      </c>
      <c r="M1078" s="1793">
        <v>0</v>
      </c>
      <c r="N1078" s="1793">
        <v>0</v>
      </c>
      <c r="O1078" s="1793">
        <v>0</v>
      </c>
    </row>
    <row r="1079" spans="3:15">
      <c r="C1079" s="1799" t="s">
        <v>5569</v>
      </c>
      <c r="D1079" s="1796">
        <v>1</v>
      </c>
      <c r="E1079" s="1796">
        <v>0</v>
      </c>
      <c r="F1079" s="1797">
        <v>1</v>
      </c>
      <c r="G1079" s="1999" t="s">
        <v>5569</v>
      </c>
      <c r="H1079" s="1794">
        <v>1</v>
      </c>
      <c r="I1079" s="1794">
        <v>0</v>
      </c>
      <c r="J1079" s="2000">
        <v>1</v>
      </c>
      <c r="K1079" s="1798"/>
      <c r="L1079" s="1792">
        <v>13089023801</v>
      </c>
      <c r="M1079" s="1793">
        <v>1</v>
      </c>
      <c r="N1079" s="1793">
        <v>0</v>
      </c>
      <c r="O1079" s="1793">
        <v>1</v>
      </c>
    </row>
    <row r="1080" spans="3:15">
      <c r="C1080" s="1799" t="s">
        <v>5570</v>
      </c>
      <c r="D1080" s="1796">
        <v>0</v>
      </c>
      <c r="E1080" s="1796">
        <v>0</v>
      </c>
      <c r="F1080" s="1797">
        <v>0</v>
      </c>
      <c r="G1080" s="1999" t="s">
        <v>5570</v>
      </c>
      <c r="H1080" s="1794">
        <v>0</v>
      </c>
      <c r="I1080" s="1794">
        <v>0</v>
      </c>
      <c r="J1080" s="2000">
        <v>0</v>
      </c>
      <c r="K1080" s="1798"/>
      <c r="L1080" s="1792">
        <v>13089023802</v>
      </c>
      <c r="M1080" s="1793">
        <v>0</v>
      </c>
      <c r="N1080" s="1793">
        <v>0</v>
      </c>
      <c r="O1080" s="1793">
        <v>0</v>
      </c>
    </row>
    <row r="1081" spans="3:15">
      <c r="C1081" s="1799" t="s">
        <v>5571</v>
      </c>
      <c r="D1081" s="1796">
        <v>0</v>
      </c>
      <c r="E1081" s="1796">
        <v>0</v>
      </c>
      <c r="F1081" s="1797">
        <v>0</v>
      </c>
      <c r="G1081" s="1999" t="s">
        <v>5571</v>
      </c>
      <c r="H1081" s="1794">
        <v>0</v>
      </c>
      <c r="I1081" s="1794">
        <v>0</v>
      </c>
      <c r="J1081" s="2000">
        <v>0</v>
      </c>
      <c r="K1081" s="1798"/>
      <c r="L1081" s="1792">
        <v>13089023803</v>
      </c>
      <c r="M1081" s="1793">
        <v>0</v>
      </c>
      <c r="N1081" s="1793">
        <v>0</v>
      </c>
      <c r="O1081" s="1793">
        <v>0</v>
      </c>
    </row>
    <row r="1082" spans="3:15">
      <c r="C1082" s="1799" t="s">
        <v>5572</v>
      </c>
      <c r="D1082" s="1796" t="s">
        <v>4485</v>
      </c>
      <c r="E1082" s="1796" t="s">
        <v>4485</v>
      </c>
      <c r="F1082" s="1797">
        <v>0</v>
      </c>
      <c r="G1082" s="1999" t="s">
        <v>5572</v>
      </c>
      <c r="H1082" s="1794" t="s">
        <v>4485</v>
      </c>
      <c r="I1082" s="1794" t="s">
        <v>4485</v>
      </c>
      <c r="J1082" s="2000">
        <v>0</v>
      </c>
      <c r="K1082" s="1798"/>
      <c r="L1082" s="1792">
        <v>13089980000</v>
      </c>
      <c r="M1082" s="1793">
        <v>0</v>
      </c>
      <c r="N1082" s="1793">
        <v>0</v>
      </c>
      <c r="O1082" s="1793">
        <v>0</v>
      </c>
    </row>
    <row r="1083" spans="3:15">
      <c r="C1083" s="1799" t="s">
        <v>5573</v>
      </c>
      <c r="D1083" s="1796">
        <v>0</v>
      </c>
      <c r="E1083" s="1796">
        <v>0</v>
      </c>
      <c r="F1083" s="1797">
        <v>0</v>
      </c>
      <c r="G1083" s="1999" t="s">
        <v>5573</v>
      </c>
      <c r="H1083" s="1794">
        <v>0</v>
      </c>
      <c r="I1083" s="1794">
        <v>1</v>
      </c>
      <c r="J1083" s="2000">
        <v>1</v>
      </c>
      <c r="K1083" s="1798"/>
      <c r="L1083" s="1792">
        <v>13091960100</v>
      </c>
      <c r="M1083" s="1793">
        <v>0</v>
      </c>
      <c r="N1083" s="1793">
        <v>1</v>
      </c>
      <c r="O1083" s="1793">
        <v>1</v>
      </c>
    </row>
    <row r="1084" spans="3:15">
      <c r="C1084" s="1799" t="s">
        <v>5574</v>
      </c>
      <c r="D1084" s="1796">
        <v>0</v>
      </c>
      <c r="E1084" s="1796">
        <v>0</v>
      </c>
      <c r="F1084" s="1797">
        <v>0</v>
      </c>
      <c r="G1084" s="1999" t="s">
        <v>5574</v>
      </c>
      <c r="H1084" s="1794">
        <v>0</v>
      </c>
      <c r="I1084" s="1794">
        <v>0</v>
      </c>
      <c r="J1084" s="2000">
        <v>0</v>
      </c>
      <c r="K1084" s="1798"/>
      <c r="L1084" s="1792">
        <v>13091960200</v>
      </c>
      <c r="M1084" s="1793">
        <v>0</v>
      </c>
      <c r="N1084" s="1793">
        <v>0</v>
      </c>
      <c r="O1084" s="1793">
        <v>0</v>
      </c>
    </row>
    <row r="1085" spans="3:15">
      <c r="C1085" s="1799" t="s">
        <v>5575</v>
      </c>
      <c r="D1085" s="1796">
        <v>0</v>
      </c>
      <c r="E1085" s="1796">
        <v>1</v>
      </c>
      <c r="F1085" s="1797">
        <v>1</v>
      </c>
      <c r="G1085" s="1999" t="s">
        <v>5575</v>
      </c>
      <c r="H1085" s="1794">
        <v>0</v>
      </c>
      <c r="I1085" s="1794">
        <v>1</v>
      </c>
      <c r="J1085" s="2000">
        <v>1</v>
      </c>
      <c r="K1085" s="1798"/>
      <c r="L1085" s="1792">
        <v>13091960300</v>
      </c>
      <c r="M1085" s="1793">
        <v>0</v>
      </c>
      <c r="N1085" s="1793">
        <v>1</v>
      </c>
      <c r="O1085" s="1793">
        <v>1</v>
      </c>
    </row>
    <row r="1086" spans="3:15">
      <c r="C1086" s="1799" t="s">
        <v>5576</v>
      </c>
      <c r="D1086" s="1796">
        <v>0</v>
      </c>
      <c r="E1086" s="1796">
        <v>0</v>
      </c>
      <c r="F1086" s="1797">
        <v>0</v>
      </c>
      <c r="G1086" s="1999" t="s">
        <v>5576</v>
      </c>
      <c r="H1086" s="1794">
        <v>0</v>
      </c>
      <c r="I1086" s="1794">
        <v>0</v>
      </c>
      <c r="J1086" s="2000">
        <v>0</v>
      </c>
      <c r="K1086" s="1798"/>
      <c r="L1086" s="1792">
        <v>13091960400</v>
      </c>
      <c r="M1086" s="1793">
        <v>0</v>
      </c>
      <c r="N1086" s="1793">
        <v>0</v>
      </c>
      <c r="O1086" s="1793">
        <v>0</v>
      </c>
    </row>
    <row r="1087" spans="3:15">
      <c r="C1087" s="1799" t="s">
        <v>5577</v>
      </c>
      <c r="D1087" s="1796">
        <v>0</v>
      </c>
      <c r="E1087" s="1796">
        <v>0</v>
      </c>
      <c r="F1087" s="1797">
        <v>0</v>
      </c>
      <c r="G1087" s="1999" t="s">
        <v>5577</v>
      </c>
      <c r="H1087" s="1794">
        <v>0</v>
      </c>
      <c r="I1087" s="1794" t="s">
        <v>4485</v>
      </c>
      <c r="J1087" s="2000">
        <v>0</v>
      </c>
      <c r="K1087" s="1798"/>
      <c r="L1087" s="1792">
        <v>13091960500</v>
      </c>
      <c r="M1087" s="1793">
        <v>0</v>
      </c>
      <c r="N1087" s="1793">
        <v>0</v>
      </c>
      <c r="O1087" s="1793">
        <v>0</v>
      </c>
    </row>
    <row r="1088" spans="3:15">
      <c r="C1088" s="1799" t="s">
        <v>5578</v>
      </c>
      <c r="D1088" s="1796">
        <v>0</v>
      </c>
      <c r="E1088" s="1796">
        <v>0</v>
      </c>
      <c r="F1088" s="1797">
        <v>0</v>
      </c>
      <c r="G1088" s="1999" t="s">
        <v>5578</v>
      </c>
      <c r="H1088" s="1794">
        <v>0</v>
      </c>
      <c r="I1088" s="1794">
        <v>0</v>
      </c>
      <c r="J1088" s="2000">
        <v>0</v>
      </c>
      <c r="K1088" s="1798"/>
      <c r="L1088" s="1792">
        <v>13091960600</v>
      </c>
      <c r="M1088" s="1793">
        <v>0</v>
      </c>
      <c r="N1088" s="1793">
        <v>0</v>
      </c>
      <c r="O1088" s="1793">
        <v>0</v>
      </c>
    </row>
    <row r="1089" spans="3:15">
      <c r="C1089" s="1799" t="s">
        <v>5579</v>
      </c>
      <c r="D1089" s="1796">
        <v>0</v>
      </c>
      <c r="E1089" s="1796">
        <v>0</v>
      </c>
      <c r="F1089" s="1797">
        <v>0</v>
      </c>
      <c r="G1089" s="1999" t="s">
        <v>5579</v>
      </c>
      <c r="H1089" s="1794">
        <v>0</v>
      </c>
      <c r="I1089" s="1794">
        <v>1</v>
      </c>
      <c r="J1089" s="2000">
        <v>1</v>
      </c>
      <c r="K1089" s="1798"/>
      <c r="L1089" s="1792">
        <v>13093970100</v>
      </c>
      <c r="M1089" s="1793">
        <v>0</v>
      </c>
      <c r="N1089" s="1793">
        <v>1</v>
      </c>
      <c r="O1089" s="1793">
        <v>1</v>
      </c>
    </row>
    <row r="1090" spans="3:15">
      <c r="C1090" s="1799" t="s">
        <v>5580</v>
      </c>
      <c r="D1090" s="1796">
        <v>0</v>
      </c>
      <c r="E1090" s="1796">
        <v>0</v>
      </c>
      <c r="F1090" s="1797">
        <v>0</v>
      </c>
      <c r="G1090" s="1999" t="s">
        <v>5580</v>
      </c>
      <c r="H1090" s="1794">
        <v>0</v>
      </c>
      <c r="I1090" s="1794">
        <v>0</v>
      </c>
      <c r="J1090" s="2000">
        <v>0</v>
      </c>
      <c r="K1090" s="1798"/>
      <c r="L1090" s="1792">
        <v>13093970200</v>
      </c>
      <c r="M1090" s="1793">
        <v>0</v>
      </c>
      <c r="N1090" s="1793">
        <v>0</v>
      </c>
      <c r="O1090" s="1793">
        <v>0</v>
      </c>
    </row>
    <row r="1091" spans="3:15">
      <c r="C1091" s="1799" t="s">
        <v>5581</v>
      </c>
      <c r="D1091" s="1796">
        <v>0</v>
      </c>
      <c r="E1091" s="1796">
        <v>0</v>
      </c>
      <c r="F1091" s="1797">
        <v>0</v>
      </c>
      <c r="G1091" s="1999" t="s">
        <v>5581</v>
      </c>
      <c r="H1091" s="1794">
        <v>0</v>
      </c>
      <c r="I1091" s="1794">
        <v>1</v>
      </c>
      <c r="J1091" s="2000">
        <v>1</v>
      </c>
      <c r="K1091" s="1798"/>
      <c r="L1091" s="1792">
        <v>13093970300</v>
      </c>
      <c r="M1091" s="1793">
        <v>0</v>
      </c>
      <c r="N1091" s="1793">
        <v>1</v>
      </c>
      <c r="O1091" s="1793">
        <v>1</v>
      </c>
    </row>
    <row r="1092" spans="3:15">
      <c r="C1092" s="1799" t="s">
        <v>5582</v>
      </c>
      <c r="D1092" s="1796">
        <v>0</v>
      </c>
      <c r="E1092" s="1796">
        <v>0</v>
      </c>
      <c r="F1092" s="1797">
        <v>0</v>
      </c>
      <c r="G1092" s="1999" t="s">
        <v>5582</v>
      </c>
      <c r="H1092" s="1794">
        <v>0</v>
      </c>
      <c r="I1092" s="1794">
        <v>0</v>
      </c>
      <c r="J1092" s="2000">
        <v>0</v>
      </c>
      <c r="K1092" s="1798"/>
      <c r="L1092" s="1792">
        <v>13095000100</v>
      </c>
      <c r="M1092" s="1793">
        <v>0</v>
      </c>
      <c r="N1092" s="1793">
        <v>0</v>
      </c>
      <c r="O1092" s="1793">
        <v>0</v>
      </c>
    </row>
    <row r="1093" spans="3:15">
      <c r="C1093" s="1799" t="s">
        <v>5583</v>
      </c>
      <c r="D1093" s="1796">
        <v>0</v>
      </c>
      <c r="E1093" s="1796">
        <v>0</v>
      </c>
      <c r="F1093" s="1797">
        <v>0</v>
      </c>
      <c r="G1093" s="1999" t="s">
        <v>5583</v>
      </c>
      <c r="H1093" s="1794">
        <v>0</v>
      </c>
      <c r="I1093" s="1794">
        <v>0</v>
      </c>
      <c r="J1093" s="2000">
        <v>0</v>
      </c>
      <c r="K1093" s="1798"/>
      <c r="L1093" s="1792">
        <v>13095000200</v>
      </c>
      <c r="M1093" s="1793">
        <v>0</v>
      </c>
      <c r="N1093" s="1793">
        <v>0</v>
      </c>
      <c r="O1093" s="1793">
        <v>0</v>
      </c>
    </row>
    <row r="1094" spans="3:15">
      <c r="C1094" s="1799" t="s">
        <v>5584</v>
      </c>
      <c r="D1094" s="1796">
        <v>0</v>
      </c>
      <c r="E1094" s="1796">
        <v>0</v>
      </c>
      <c r="F1094" s="1797">
        <v>0</v>
      </c>
      <c r="G1094" s="1999" t="s">
        <v>5584</v>
      </c>
      <c r="H1094" s="1794">
        <v>0</v>
      </c>
      <c r="I1094" s="1794">
        <v>1</v>
      </c>
      <c r="J1094" s="2000">
        <v>1</v>
      </c>
      <c r="K1094" s="1798"/>
      <c r="L1094" s="1792">
        <v>13095000400</v>
      </c>
      <c r="M1094" s="1793">
        <v>0</v>
      </c>
      <c r="N1094" s="1793">
        <v>1</v>
      </c>
      <c r="O1094" s="1793">
        <v>1</v>
      </c>
    </row>
    <row r="1095" spans="3:15">
      <c r="C1095" s="1799" t="s">
        <v>5585</v>
      </c>
      <c r="D1095" s="1796">
        <v>1</v>
      </c>
      <c r="E1095" s="1796">
        <v>0</v>
      </c>
      <c r="F1095" s="1797">
        <v>1</v>
      </c>
      <c r="G1095" s="1999" t="s">
        <v>5585</v>
      </c>
      <c r="H1095" s="1794">
        <v>1</v>
      </c>
      <c r="I1095" s="1794">
        <v>1</v>
      </c>
      <c r="J1095" s="2000">
        <v>2</v>
      </c>
      <c r="K1095" s="1798"/>
      <c r="L1095" s="1792">
        <v>13095000501</v>
      </c>
      <c r="M1095" s="1793">
        <v>1</v>
      </c>
      <c r="N1095" s="1793">
        <v>1</v>
      </c>
      <c r="O1095" s="1793">
        <v>2</v>
      </c>
    </row>
    <row r="1096" spans="3:15">
      <c r="C1096" s="1799" t="s">
        <v>5586</v>
      </c>
      <c r="D1096" s="1796">
        <v>1</v>
      </c>
      <c r="E1096" s="1796">
        <v>1</v>
      </c>
      <c r="F1096" s="1797">
        <v>2</v>
      </c>
      <c r="G1096" s="1999" t="s">
        <v>5586</v>
      </c>
      <c r="H1096" s="1794">
        <v>1</v>
      </c>
      <c r="I1096" s="1794">
        <v>1</v>
      </c>
      <c r="J1096" s="2000">
        <v>2</v>
      </c>
      <c r="K1096" s="1798"/>
      <c r="L1096" s="1792">
        <v>13095000502</v>
      </c>
      <c r="M1096" s="1793">
        <v>1</v>
      </c>
      <c r="N1096" s="1793">
        <v>1</v>
      </c>
      <c r="O1096" s="1793">
        <v>2</v>
      </c>
    </row>
    <row r="1097" spans="3:15">
      <c r="C1097" s="1799" t="s">
        <v>5587</v>
      </c>
      <c r="D1097" s="1796">
        <v>0</v>
      </c>
      <c r="E1097" s="1796">
        <v>0</v>
      </c>
      <c r="F1097" s="1797">
        <v>0</v>
      </c>
      <c r="G1097" s="1999" t="s">
        <v>5587</v>
      </c>
      <c r="H1097" s="1794">
        <v>0</v>
      </c>
      <c r="I1097" s="1794">
        <v>0</v>
      </c>
      <c r="J1097" s="2000">
        <v>0</v>
      </c>
      <c r="K1097" s="1798"/>
      <c r="L1097" s="1792">
        <v>13095000600</v>
      </c>
      <c r="M1097" s="1793">
        <v>0</v>
      </c>
      <c r="N1097" s="1793">
        <v>0</v>
      </c>
      <c r="O1097" s="1793">
        <v>0</v>
      </c>
    </row>
    <row r="1098" spans="3:15">
      <c r="C1098" s="1799" t="s">
        <v>5588</v>
      </c>
      <c r="D1098" s="1796">
        <v>0</v>
      </c>
      <c r="E1098" s="1796">
        <v>0</v>
      </c>
      <c r="F1098" s="1797">
        <v>0</v>
      </c>
      <c r="G1098" s="1999" t="s">
        <v>5588</v>
      </c>
      <c r="H1098" s="1794">
        <v>1</v>
      </c>
      <c r="I1098" s="1794">
        <v>0</v>
      </c>
      <c r="J1098" s="2000">
        <v>1</v>
      </c>
      <c r="K1098" s="1798"/>
      <c r="L1098" s="1792">
        <v>13095000700</v>
      </c>
      <c r="M1098" s="1793">
        <v>1</v>
      </c>
      <c r="N1098" s="1793">
        <v>0</v>
      </c>
      <c r="O1098" s="1793">
        <v>1</v>
      </c>
    </row>
    <row r="1099" spans="3:15">
      <c r="C1099" s="1799" t="s">
        <v>5589</v>
      </c>
      <c r="D1099" s="1796">
        <v>0</v>
      </c>
      <c r="E1099" s="1796">
        <v>0</v>
      </c>
      <c r="F1099" s="1797">
        <v>0</v>
      </c>
      <c r="G1099" s="1999" t="s">
        <v>5589</v>
      </c>
      <c r="H1099" s="1794">
        <v>0</v>
      </c>
      <c r="I1099" s="1794">
        <v>0</v>
      </c>
      <c r="J1099" s="2000">
        <v>0</v>
      </c>
      <c r="K1099" s="1798"/>
      <c r="L1099" s="1792">
        <v>13095000800</v>
      </c>
      <c r="M1099" s="1793">
        <v>0</v>
      </c>
      <c r="N1099" s="1793">
        <v>0</v>
      </c>
      <c r="O1099" s="1793">
        <v>0</v>
      </c>
    </row>
    <row r="1100" spans="3:15">
      <c r="C1100" s="1799" t="s">
        <v>5590</v>
      </c>
      <c r="D1100" s="1796">
        <v>0</v>
      </c>
      <c r="E1100" s="1796">
        <v>0</v>
      </c>
      <c r="F1100" s="1797">
        <v>0</v>
      </c>
      <c r="G1100" s="1999" t="s">
        <v>5590</v>
      </c>
      <c r="H1100" s="1794">
        <v>0</v>
      </c>
      <c r="I1100" s="1794">
        <v>0</v>
      </c>
      <c r="J1100" s="2000">
        <v>0</v>
      </c>
      <c r="K1100" s="1798"/>
      <c r="L1100" s="1792">
        <v>13095000900</v>
      </c>
      <c r="M1100" s="1793">
        <v>0</v>
      </c>
      <c r="N1100" s="1793">
        <v>0</v>
      </c>
      <c r="O1100" s="1793">
        <v>0</v>
      </c>
    </row>
    <row r="1101" spans="3:15">
      <c r="C1101" s="1799" t="s">
        <v>5591</v>
      </c>
      <c r="D1101" s="1796">
        <v>0</v>
      </c>
      <c r="E1101" s="1796">
        <v>0</v>
      </c>
      <c r="F1101" s="1797">
        <v>0</v>
      </c>
      <c r="G1101" s="1999" t="s">
        <v>5591</v>
      </c>
      <c r="H1101" s="1794">
        <v>0</v>
      </c>
      <c r="I1101" s="1794">
        <v>0</v>
      </c>
      <c r="J1101" s="2000">
        <v>0</v>
      </c>
      <c r="K1101" s="1798"/>
      <c r="L1101" s="1792">
        <v>13095001000</v>
      </c>
      <c r="M1101" s="1793">
        <v>0</v>
      </c>
      <c r="N1101" s="1793">
        <v>0</v>
      </c>
      <c r="O1101" s="1793">
        <v>0</v>
      </c>
    </row>
    <row r="1102" spans="3:15">
      <c r="C1102" s="1799" t="s">
        <v>5592</v>
      </c>
      <c r="D1102" s="1796">
        <v>0</v>
      </c>
      <c r="E1102" s="1796">
        <v>0</v>
      </c>
      <c r="F1102" s="1797">
        <v>0</v>
      </c>
      <c r="G1102" s="1999" t="s">
        <v>5592</v>
      </c>
      <c r="H1102" s="1794">
        <v>0</v>
      </c>
      <c r="I1102" s="1794">
        <v>0</v>
      </c>
      <c r="J1102" s="2000">
        <v>0</v>
      </c>
      <c r="K1102" s="1798"/>
      <c r="L1102" s="1792">
        <v>13095001100</v>
      </c>
      <c r="M1102" s="1793">
        <v>0</v>
      </c>
      <c r="N1102" s="1793">
        <v>0</v>
      </c>
      <c r="O1102" s="1793">
        <v>0</v>
      </c>
    </row>
    <row r="1103" spans="3:15">
      <c r="C1103" s="1799" t="s">
        <v>5593</v>
      </c>
      <c r="D1103" s="1796">
        <v>0</v>
      </c>
      <c r="E1103" s="1796">
        <v>0</v>
      </c>
      <c r="F1103" s="1797">
        <v>0</v>
      </c>
      <c r="G1103" s="1999" t="s">
        <v>5593</v>
      </c>
      <c r="H1103" s="1794">
        <v>0</v>
      </c>
      <c r="I1103" s="1794" t="s">
        <v>4485</v>
      </c>
      <c r="J1103" s="2000">
        <v>0</v>
      </c>
      <c r="K1103" s="1798"/>
      <c r="L1103" s="1792">
        <v>13095001403</v>
      </c>
      <c r="M1103" s="1793">
        <v>0</v>
      </c>
      <c r="N1103" s="1793">
        <v>0</v>
      </c>
      <c r="O1103" s="1793">
        <v>0</v>
      </c>
    </row>
    <row r="1104" spans="3:15">
      <c r="C1104" s="1799" t="s">
        <v>5594</v>
      </c>
      <c r="D1104" s="1796">
        <v>0</v>
      </c>
      <c r="E1104" s="1796">
        <v>0</v>
      </c>
      <c r="F1104" s="1797">
        <v>0</v>
      </c>
      <c r="G1104" s="1999" t="s">
        <v>5594</v>
      </c>
      <c r="H1104" s="1794">
        <v>0</v>
      </c>
      <c r="I1104" s="1794">
        <v>0</v>
      </c>
      <c r="J1104" s="2000">
        <v>0</v>
      </c>
      <c r="K1104" s="1798"/>
      <c r="L1104" s="1792">
        <v>13095001500</v>
      </c>
      <c r="M1104" s="1793">
        <v>0</v>
      </c>
      <c r="N1104" s="1793">
        <v>0</v>
      </c>
      <c r="O1104" s="1793">
        <v>0</v>
      </c>
    </row>
    <row r="1105" spans="3:15">
      <c r="C1105" s="1799" t="s">
        <v>5595</v>
      </c>
      <c r="D1105" s="1796">
        <v>0</v>
      </c>
      <c r="E1105" s="1796">
        <v>0</v>
      </c>
      <c r="F1105" s="1797">
        <v>0</v>
      </c>
      <c r="G1105" s="1999" t="s">
        <v>5595</v>
      </c>
      <c r="H1105" s="1794">
        <v>0</v>
      </c>
      <c r="I1105" s="1794">
        <v>0</v>
      </c>
      <c r="J1105" s="2000">
        <v>0</v>
      </c>
      <c r="K1105" s="1798"/>
      <c r="L1105" s="1792">
        <v>13095010302</v>
      </c>
      <c r="M1105" s="1793">
        <v>0</v>
      </c>
      <c r="N1105" s="1793">
        <v>0</v>
      </c>
      <c r="O1105" s="1793">
        <v>0</v>
      </c>
    </row>
    <row r="1106" spans="3:15">
      <c r="C1106" s="1799" t="s">
        <v>5596</v>
      </c>
      <c r="D1106" s="1796">
        <v>1</v>
      </c>
      <c r="E1106" s="1796">
        <v>1</v>
      </c>
      <c r="F1106" s="1797">
        <v>2</v>
      </c>
      <c r="G1106" s="1999" t="s">
        <v>5596</v>
      </c>
      <c r="H1106" s="1794">
        <v>1</v>
      </c>
      <c r="I1106" s="1794">
        <v>1</v>
      </c>
      <c r="J1106" s="2000">
        <v>2</v>
      </c>
      <c r="K1106" s="1798"/>
      <c r="L1106" s="1792">
        <v>13095010401</v>
      </c>
      <c r="M1106" s="1793">
        <v>1</v>
      </c>
      <c r="N1106" s="1793">
        <v>1</v>
      </c>
      <c r="O1106" s="1793">
        <v>2</v>
      </c>
    </row>
    <row r="1107" spans="3:15">
      <c r="C1107" s="1799" t="s">
        <v>5597</v>
      </c>
      <c r="D1107" s="1796">
        <v>0</v>
      </c>
      <c r="E1107" s="1796">
        <v>0</v>
      </c>
      <c r="F1107" s="1797">
        <v>0</v>
      </c>
      <c r="G1107" s="1999" t="s">
        <v>5597</v>
      </c>
      <c r="H1107" s="1794">
        <v>0</v>
      </c>
      <c r="I1107" s="1794">
        <v>1</v>
      </c>
      <c r="J1107" s="2000">
        <v>1</v>
      </c>
      <c r="K1107" s="1798"/>
      <c r="L1107" s="1792">
        <v>13095010402</v>
      </c>
      <c r="M1107" s="1793">
        <v>0</v>
      </c>
      <c r="N1107" s="1793">
        <v>1</v>
      </c>
      <c r="O1107" s="1793">
        <v>1</v>
      </c>
    </row>
    <row r="1108" spans="3:15">
      <c r="C1108" s="1799" t="s">
        <v>5598</v>
      </c>
      <c r="D1108" s="1796">
        <v>1</v>
      </c>
      <c r="E1108" s="1796">
        <v>1</v>
      </c>
      <c r="F1108" s="1797">
        <v>2</v>
      </c>
      <c r="G1108" s="1999" t="s">
        <v>5598</v>
      </c>
      <c r="H1108" s="1794">
        <v>1</v>
      </c>
      <c r="I1108" s="1794">
        <v>0</v>
      </c>
      <c r="J1108" s="2000">
        <v>1</v>
      </c>
      <c r="K1108" s="1798"/>
      <c r="L1108" s="1792">
        <v>13095010403</v>
      </c>
      <c r="M1108" s="1793">
        <v>1</v>
      </c>
      <c r="N1108" s="1793">
        <v>1</v>
      </c>
      <c r="O1108" s="1793">
        <v>2</v>
      </c>
    </row>
    <row r="1109" spans="3:15">
      <c r="C1109" s="1799" t="s">
        <v>5599</v>
      </c>
      <c r="D1109" s="1796">
        <v>0</v>
      </c>
      <c r="E1109" s="1796">
        <v>0</v>
      </c>
      <c r="F1109" s="1797">
        <v>0</v>
      </c>
      <c r="G1109" s="1999" t="s">
        <v>5599</v>
      </c>
      <c r="H1109" s="1794">
        <v>0</v>
      </c>
      <c r="I1109" s="1794">
        <v>0</v>
      </c>
      <c r="J1109" s="2000">
        <v>0</v>
      </c>
      <c r="K1109" s="1798"/>
      <c r="L1109" s="1792">
        <v>13095010500</v>
      </c>
      <c r="M1109" s="1793">
        <v>0</v>
      </c>
      <c r="N1109" s="1793">
        <v>0</v>
      </c>
      <c r="O1109" s="1793">
        <v>0</v>
      </c>
    </row>
    <row r="1110" spans="3:15">
      <c r="C1110" s="1799" t="s">
        <v>5600</v>
      </c>
      <c r="D1110" s="1796">
        <v>0</v>
      </c>
      <c r="E1110" s="1796">
        <v>0</v>
      </c>
      <c r="F1110" s="1797">
        <v>0</v>
      </c>
      <c r="G1110" s="1999" t="s">
        <v>5600</v>
      </c>
      <c r="H1110" s="1794">
        <v>0</v>
      </c>
      <c r="I1110" s="1794">
        <v>0</v>
      </c>
      <c r="J1110" s="2000">
        <v>0</v>
      </c>
      <c r="K1110" s="1798"/>
      <c r="L1110" s="1792">
        <v>13095010601</v>
      </c>
      <c r="M1110" s="1793">
        <v>0</v>
      </c>
      <c r="N1110" s="1793">
        <v>0</v>
      </c>
      <c r="O1110" s="1793">
        <v>0</v>
      </c>
    </row>
    <row r="1111" spans="3:15">
      <c r="C1111" s="1799" t="s">
        <v>5601</v>
      </c>
      <c r="D1111" s="1796">
        <v>0</v>
      </c>
      <c r="E1111" s="1796">
        <v>0</v>
      </c>
      <c r="F1111" s="1797">
        <v>0</v>
      </c>
      <c r="G1111" s="1999" t="s">
        <v>5601</v>
      </c>
      <c r="H1111" s="1794">
        <v>0</v>
      </c>
      <c r="I1111" s="1794">
        <v>0</v>
      </c>
      <c r="J1111" s="2000">
        <v>0</v>
      </c>
      <c r="K1111" s="1798"/>
      <c r="L1111" s="1792">
        <v>13095010602</v>
      </c>
      <c r="M1111" s="1793">
        <v>0</v>
      </c>
      <c r="N1111" s="1793">
        <v>0</v>
      </c>
      <c r="O1111" s="1793">
        <v>0</v>
      </c>
    </row>
    <row r="1112" spans="3:15">
      <c r="C1112" s="1799" t="s">
        <v>5602</v>
      </c>
      <c r="D1112" s="1796">
        <v>0</v>
      </c>
      <c r="E1112" s="1796">
        <v>0</v>
      </c>
      <c r="F1112" s="1797">
        <v>0</v>
      </c>
      <c r="G1112" s="1999" t="s">
        <v>5602</v>
      </c>
      <c r="H1112" s="1794">
        <v>0</v>
      </c>
      <c r="I1112" s="1794">
        <v>0</v>
      </c>
      <c r="J1112" s="2000">
        <v>0</v>
      </c>
      <c r="K1112" s="1798"/>
      <c r="L1112" s="1792">
        <v>13095010700</v>
      </c>
      <c r="M1112" s="1793">
        <v>0</v>
      </c>
      <c r="N1112" s="1793">
        <v>0</v>
      </c>
      <c r="O1112" s="1793">
        <v>0</v>
      </c>
    </row>
    <row r="1113" spans="3:15">
      <c r="C1113" s="1799" t="s">
        <v>5603</v>
      </c>
      <c r="D1113" s="1796">
        <v>0</v>
      </c>
      <c r="E1113" s="1796">
        <v>0</v>
      </c>
      <c r="F1113" s="1797">
        <v>0</v>
      </c>
      <c r="G1113" s="1999" t="s">
        <v>5603</v>
      </c>
      <c r="H1113" s="1794">
        <v>0</v>
      </c>
      <c r="I1113" s="1794">
        <v>1</v>
      </c>
      <c r="J1113" s="2000">
        <v>1</v>
      </c>
      <c r="K1113" s="1798"/>
      <c r="L1113" s="1792">
        <v>13095010900</v>
      </c>
      <c r="M1113" s="1793">
        <v>0</v>
      </c>
      <c r="N1113" s="1793">
        <v>1</v>
      </c>
      <c r="O1113" s="1793">
        <v>1</v>
      </c>
    </row>
    <row r="1114" spans="3:15">
      <c r="C1114" s="1799" t="s">
        <v>5604</v>
      </c>
      <c r="D1114" s="1796">
        <v>0</v>
      </c>
      <c r="E1114" s="1796">
        <v>0</v>
      </c>
      <c r="F1114" s="1797">
        <v>0</v>
      </c>
      <c r="G1114" s="1999" t="s">
        <v>5604</v>
      </c>
      <c r="H1114" s="1794">
        <v>0</v>
      </c>
      <c r="I1114" s="1794">
        <v>0</v>
      </c>
      <c r="J1114" s="2000">
        <v>0</v>
      </c>
      <c r="K1114" s="1798"/>
      <c r="L1114" s="1792">
        <v>13095011000</v>
      </c>
      <c r="M1114" s="1793">
        <v>0</v>
      </c>
      <c r="N1114" s="1793">
        <v>0</v>
      </c>
      <c r="O1114" s="1793">
        <v>0</v>
      </c>
    </row>
    <row r="1115" spans="3:15">
      <c r="C1115" s="1799" t="s">
        <v>5605</v>
      </c>
      <c r="D1115" s="1796">
        <v>0</v>
      </c>
      <c r="E1115" s="1796">
        <v>0</v>
      </c>
      <c r="F1115" s="1797">
        <v>0</v>
      </c>
      <c r="G1115" s="1999" t="s">
        <v>5605</v>
      </c>
      <c r="H1115" s="1794">
        <v>0</v>
      </c>
      <c r="I1115" s="1794">
        <v>0</v>
      </c>
      <c r="J1115" s="2000">
        <v>0</v>
      </c>
      <c r="K1115" s="1798"/>
      <c r="L1115" s="1792">
        <v>13095011200</v>
      </c>
      <c r="M1115" s="1793">
        <v>0</v>
      </c>
      <c r="N1115" s="1793">
        <v>0</v>
      </c>
      <c r="O1115" s="1793">
        <v>0</v>
      </c>
    </row>
    <row r="1116" spans="3:15">
      <c r="C1116" s="1799" t="s">
        <v>5606</v>
      </c>
      <c r="D1116" s="1796">
        <v>0</v>
      </c>
      <c r="E1116" s="1796">
        <v>0</v>
      </c>
      <c r="F1116" s="1797">
        <v>0</v>
      </c>
      <c r="G1116" s="1999" t="s">
        <v>5606</v>
      </c>
      <c r="H1116" s="1794">
        <v>0</v>
      </c>
      <c r="I1116" s="1794">
        <v>0</v>
      </c>
      <c r="J1116" s="2000">
        <v>0</v>
      </c>
      <c r="K1116" s="1798"/>
      <c r="L1116" s="1792">
        <v>13095011300</v>
      </c>
      <c r="M1116" s="1793">
        <v>0</v>
      </c>
      <c r="N1116" s="1793">
        <v>0</v>
      </c>
      <c r="O1116" s="1793">
        <v>0</v>
      </c>
    </row>
    <row r="1117" spans="3:15">
      <c r="C1117" s="1799" t="s">
        <v>5607</v>
      </c>
      <c r="D1117" s="1796">
        <v>0</v>
      </c>
      <c r="E1117" s="1796">
        <v>0</v>
      </c>
      <c r="F1117" s="1797">
        <v>0</v>
      </c>
      <c r="G1117" s="1999" t="s">
        <v>5607</v>
      </c>
      <c r="H1117" s="1794">
        <v>0</v>
      </c>
      <c r="I1117" s="1794">
        <v>0</v>
      </c>
      <c r="J1117" s="2000">
        <v>0</v>
      </c>
      <c r="K1117" s="1798"/>
      <c r="L1117" s="1792">
        <v>13095011400</v>
      </c>
      <c r="M1117" s="1793">
        <v>0</v>
      </c>
      <c r="N1117" s="1793">
        <v>0</v>
      </c>
      <c r="O1117" s="1793">
        <v>0</v>
      </c>
    </row>
    <row r="1118" spans="3:15">
      <c r="C1118" s="1799" t="s">
        <v>5608</v>
      </c>
      <c r="D1118" s="1796">
        <v>0</v>
      </c>
      <c r="E1118" s="1796">
        <v>1</v>
      </c>
      <c r="F1118" s="1797">
        <v>1</v>
      </c>
      <c r="G1118" s="1999" t="s">
        <v>5608</v>
      </c>
      <c r="H1118" s="1794">
        <v>0</v>
      </c>
      <c r="I1118" s="1794">
        <v>0</v>
      </c>
      <c r="J1118" s="2000">
        <v>0</v>
      </c>
      <c r="K1118" s="1798"/>
      <c r="L1118" s="1792">
        <v>13095011600</v>
      </c>
      <c r="M1118" s="1793">
        <v>0</v>
      </c>
      <c r="N1118" s="1793">
        <v>1</v>
      </c>
      <c r="O1118" s="1793">
        <v>1</v>
      </c>
    </row>
    <row r="1119" spans="3:15">
      <c r="C1119" s="1799" t="s">
        <v>5609</v>
      </c>
      <c r="D1119" s="1796">
        <v>0</v>
      </c>
      <c r="E1119" s="1796">
        <v>1</v>
      </c>
      <c r="F1119" s="1797">
        <v>1</v>
      </c>
      <c r="G1119" s="1999" t="s">
        <v>5609</v>
      </c>
      <c r="H1119" s="1794">
        <v>1</v>
      </c>
      <c r="I1119" s="1794">
        <v>1</v>
      </c>
      <c r="J1119" s="2000">
        <v>2</v>
      </c>
      <c r="K1119" s="1798"/>
      <c r="L1119" s="1792">
        <v>13097080102</v>
      </c>
      <c r="M1119" s="1793">
        <v>1</v>
      </c>
      <c r="N1119" s="1793">
        <v>1</v>
      </c>
      <c r="O1119" s="1793">
        <v>2</v>
      </c>
    </row>
    <row r="1120" spans="3:15">
      <c r="C1120" s="1799" t="s">
        <v>5610</v>
      </c>
      <c r="D1120" s="1796">
        <v>0</v>
      </c>
      <c r="E1120" s="1796">
        <v>0</v>
      </c>
      <c r="F1120" s="1797">
        <v>0</v>
      </c>
      <c r="G1120" s="1999" t="s">
        <v>5610</v>
      </c>
      <c r="H1120" s="1794">
        <v>1</v>
      </c>
      <c r="I1120" s="1794">
        <v>0</v>
      </c>
      <c r="J1120" s="2000">
        <v>1</v>
      </c>
      <c r="K1120" s="1798"/>
      <c r="L1120" s="1792">
        <v>13097080103</v>
      </c>
      <c r="M1120" s="1793">
        <v>1</v>
      </c>
      <c r="N1120" s="1793">
        <v>0</v>
      </c>
      <c r="O1120" s="1793">
        <v>1</v>
      </c>
    </row>
    <row r="1121" spans="3:15">
      <c r="C1121" s="1799" t="s">
        <v>5611</v>
      </c>
      <c r="D1121" s="1796">
        <v>0</v>
      </c>
      <c r="E1121" s="1796">
        <v>1</v>
      </c>
      <c r="F1121" s="1797">
        <v>1</v>
      </c>
      <c r="G1121" s="1999" t="s">
        <v>5611</v>
      </c>
      <c r="H1121" s="1794">
        <v>0</v>
      </c>
      <c r="I1121" s="1794">
        <v>0</v>
      </c>
      <c r="J1121" s="2000">
        <v>0</v>
      </c>
      <c r="K1121" s="1798"/>
      <c r="L1121" s="1792">
        <v>13097080201</v>
      </c>
      <c r="M1121" s="1793">
        <v>0</v>
      </c>
      <c r="N1121" s="1793">
        <v>1</v>
      </c>
      <c r="O1121" s="1793">
        <v>1</v>
      </c>
    </row>
    <row r="1122" spans="3:15">
      <c r="C1122" s="1799" t="s">
        <v>5612</v>
      </c>
      <c r="D1122" s="1796">
        <v>0</v>
      </c>
      <c r="E1122" s="1796">
        <v>0</v>
      </c>
      <c r="F1122" s="1797">
        <v>0</v>
      </c>
      <c r="G1122" s="1999" t="s">
        <v>5612</v>
      </c>
      <c r="H1122" s="1794">
        <v>0</v>
      </c>
      <c r="I1122" s="1794">
        <v>0</v>
      </c>
      <c r="J1122" s="2000">
        <v>0</v>
      </c>
      <c r="K1122" s="1798"/>
      <c r="L1122" s="1792">
        <v>13097080202</v>
      </c>
      <c r="M1122" s="1793">
        <v>0</v>
      </c>
      <c r="N1122" s="1793">
        <v>0</v>
      </c>
      <c r="O1122" s="1793">
        <v>0</v>
      </c>
    </row>
    <row r="1123" spans="3:15">
      <c r="C1123" s="1799" t="s">
        <v>5613</v>
      </c>
      <c r="D1123" s="1796">
        <v>0</v>
      </c>
      <c r="E1123" s="1796">
        <v>0</v>
      </c>
      <c r="F1123" s="1797">
        <v>0</v>
      </c>
      <c r="G1123" s="1999" t="s">
        <v>5613</v>
      </c>
      <c r="H1123" s="1794">
        <v>0</v>
      </c>
      <c r="I1123" s="1794">
        <v>0</v>
      </c>
      <c r="J1123" s="2000">
        <v>0</v>
      </c>
      <c r="K1123" s="1798"/>
      <c r="L1123" s="1792">
        <v>13097080301</v>
      </c>
      <c r="M1123" s="1793">
        <v>0</v>
      </c>
      <c r="N1123" s="1793">
        <v>0</v>
      </c>
      <c r="O1123" s="1793">
        <v>0</v>
      </c>
    </row>
    <row r="1124" spans="3:15">
      <c r="C1124" s="1799" t="s">
        <v>5614</v>
      </c>
      <c r="D1124" s="1796">
        <v>0</v>
      </c>
      <c r="E1124" s="1796">
        <v>0</v>
      </c>
      <c r="F1124" s="1797">
        <v>0</v>
      </c>
      <c r="G1124" s="1999" t="s">
        <v>5614</v>
      </c>
      <c r="H1124" s="1794">
        <v>1</v>
      </c>
      <c r="I1124" s="1794">
        <v>0</v>
      </c>
      <c r="J1124" s="2000">
        <v>1</v>
      </c>
      <c r="K1124" s="1798"/>
      <c r="L1124" s="1792">
        <v>13097080303</v>
      </c>
      <c r="M1124" s="1793">
        <v>1</v>
      </c>
      <c r="N1124" s="1793">
        <v>0</v>
      </c>
      <c r="O1124" s="1793">
        <v>1</v>
      </c>
    </row>
    <row r="1125" spans="3:15">
      <c r="C1125" s="1799" t="s">
        <v>5615</v>
      </c>
      <c r="D1125" s="1796">
        <v>0</v>
      </c>
      <c r="E1125" s="1796">
        <v>0</v>
      </c>
      <c r="F1125" s="1797">
        <v>0</v>
      </c>
      <c r="G1125" s="1999" t="s">
        <v>5615</v>
      </c>
      <c r="H1125" s="1794">
        <v>0</v>
      </c>
      <c r="I1125" s="1794">
        <v>0</v>
      </c>
      <c r="J1125" s="2000">
        <v>0</v>
      </c>
      <c r="K1125" s="1798"/>
      <c r="L1125" s="1792">
        <v>13097080304</v>
      </c>
      <c r="M1125" s="1793">
        <v>0</v>
      </c>
      <c r="N1125" s="1793">
        <v>0</v>
      </c>
      <c r="O1125" s="1793">
        <v>0</v>
      </c>
    </row>
    <row r="1126" spans="3:15">
      <c r="C1126" s="1799" t="s">
        <v>5616</v>
      </c>
      <c r="D1126" s="1796">
        <v>1</v>
      </c>
      <c r="E1126" s="1796">
        <v>1</v>
      </c>
      <c r="F1126" s="1797">
        <v>2</v>
      </c>
      <c r="G1126" s="1999" t="s">
        <v>5616</v>
      </c>
      <c r="H1126" s="1794">
        <v>1</v>
      </c>
      <c r="I1126" s="1794">
        <v>1</v>
      </c>
      <c r="J1126" s="2000">
        <v>2</v>
      </c>
      <c r="K1126" s="1798"/>
      <c r="L1126" s="1792">
        <v>13097080402</v>
      </c>
      <c r="M1126" s="1793">
        <v>1</v>
      </c>
      <c r="N1126" s="1793">
        <v>1</v>
      </c>
      <c r="O1126" s="1793">
        <v>2</v>
      </c>
    </row>
    <row r="1127" spans="3:15">
      <c r="C1127" s="1799" t="s">
        <v>5617</v>
      </c>
      <c r="D1127" s="1796">
        <v>1</v>
      </c>
      <c r="E1127" s="1796">
        <v>1</v>
      </c>
      <c r="F1127" s="1797">
        <v>2</v>
      </c>
      <c r="G1127" s="1999" t="s">
        <v>5617</v>
      </c>
      <c r="H1127" s="1794">
        <v>1</v>
      </c>
      <c r="I1127" s="1794">
        <v>1</v>
      </c>
      <c r="J1127" s="2000">
        <v>2</v>
      </c>
      <c r="K1127" s="1798"/>
      <c r="L1127" s="1792">
        <v>13097080403</v>
      </c>
      <c r="M1127" s="1793">
        <v>1</v>
      </c>
      <c r="N1127" s="1793">
        <v>1</v>
      </c>
      <c r="O1127" s="1793">
        <v>2</v>
      </c>
    </row>
    <row r="1128" spans="3:15">
      <c r="C1128" s="1799" t="s">
        <v>5618</v>
      </c>
      <c r="D1128" s="1796">
        <v>0</v>
      </c>
      <c r="E1128" s="1796">
        <v>0</v>
      </c>
      <c r="F1128" s="1797">
        <v>0</v>
      </c>
      <c r="G1128" s="1999" t="s">
        <v>5618</v>
      </c>
      <c r="H1128" s="1794">
        <v>0</v>
      </c>
      <c r="I1128" s="1794">
        <v>0</v>
      </c>
      <c r="J1128" s="2000">
        <v>0</v>
      </c>
      <c r="K1128" s="1798"/>
      <c r="L1128" s="1792">
        <v>13097080404</v>
      </c>
      <c r="M1128" s="1793">
        <v>0</v>
      </c>
      <c r="N1128" s="1793">
        <v>0</v>
      </c>
      <c r="O1128" s="1793">
        <v>0</v>
      </c>
    </row>
    <row r="1129" spans="3:15">
      <c r="C1129" s="1799" t="s">
        <v>5619</v>
      </c>
      <c r="D1129" s="1796">
        <v>0</v>
      </c>
      <c r="E1129" s="1796">
        <v>1</v>
      </c>
      <c r="F1129" s="1797">
        <v>1</v>
      </c>
      <c r="G1129" s="1999" t="s">
        <v>5619</v>
      </c>
      <c r="H1129" s="1794">
        <v>0</v>
      </c>
      <c r="I1129" s="1794">
        <v>0</v>
      </c>
      <c r="J1129" s="2000">
        <v>0</v>
      </c>
      <c r="K1129" s="1798"/>
      <c r="L1129" s="1792">
        <v>13097080505</v>
      </c>
      <c r="M1129" s="1793">
        <v>0</v>
      </c>
      <c r="N1129" s="1793">
        <v>1</v>
      </c>
      <c r="O1129" s="1793">
        <v>1</v>
      </c>
    </row>
    <row r="1130" spans="3:15">
      <c r="C1130" s="1799" t="s">
        <v>5620</v>
      </c>
      <c r="D1130" s="1796">
        <v>1</v>
      </c>
      <c r="E1130" s="1796">
        <v>1</v>
      </c>
      <c r="F1130" s="1797">
        <v>2</v>
      </c>
      <c r="G1130" s="1999" t="s">
        <v>5620</v>
      </c>
      <c r="H1130" s="1794">
        <v>0</v>
      </c>
      <c r="I1130" s="1794">
        <v>0</v>
      </c>
      <c r="J1130" s="2000">
        <v>0</v>
      </c>
      <c r="K1130" s="1798"/>
      <c r="L1130" s="1792">
        <v>13097080506</v>
      </c>
      <c r="M1130" s="1793">
        <v>1</v>
      </c>
      <c r="N1130" s="1793">
        <v>1</v>
      </c>
      <c r="O1130" s="1793">
        <v>2</v>
      </c>
    </row>
    <row r="1131" spans="3:15">
      <c r="C1131" s="1799" t="s">
        <v>5621</v>
      </c>
      <c r="D1131" s="1796">
        <v>1</v>
      </c>
      <c r="E1131" s="1796">
        <v>1</v>
      </c>
      <c r="F1131" s="1797">
        <v>2</v>
      </c>
      <c r="G1131" s="1999" t="s">
        <v>5621</v>
      </c>
      <c r="H1131" s="1794">
        <v>1</v>
      </c>
      <c r="I1131" s="1794">
        <v>0</v>
      </c>
      <c r="J1131" s="2000">
        <v>1</v>
      </c>
      <c r="K1131" s="1798"/>
      <c r="L1131" s="1792">
        <v>13097080507</v>
      </c>
      <c r="M1131" s="1793">
        <v>1</v>
      </c>
      <c r="N1131" s="1793">
        <v>1</v>
      </c>
      <c r="O1131" s="1793">
        <v>2</v>
      </c>
    </row>
    <row r="1132" spans="3:15">
      <c r="C1132" s="1799" t="s">
        <v>5622</v>
      </c>
      <c r="D1132" s="1796">
        <v>0</v>
      </c>
      <c r="E1132" s="1796">
        <v>1</v>
      </c>
      <c r="F1132" s="1797">
        <v>1</v>
      </c>
      <c r="G1132" s="1999" t="s">
        <v>5622</v>
      </c>
      <c r="H1132" s="1794">
        <v>0</v>
      </c>
      <c r="I1132" s="1794">
        <v>0</v>
      </c>
      <c r="J1132" s="2000">
        <v>0</v>
      </c>
      <c r="K1132" s="1798"/>
      <c r="L1132" s="1792">
        <v>13097080508</v>
      </c>
      <c r="M1132" s="1793">
        <v>0</v>
      </c>
      <c r="N1132" s="1793">
        <v>1</v>
      </c>
      <c r="O1132" s="1793">
        <v>1</v>
      </c>
    </row>
    <row r="1133" spans="3:15">
      <c r="C1133" s="1799" t="s">
        <v>5623</v>
      </c>
      <c r="D1133" s="1796">
        <v>1</v>
      </c>
      <c r="E1133" s="1796">
        <v>1</v>
      </c>
      <c r="F1133" s="1797">
        <v>2</v>
      </c>
      <c r="G1133" s="1999" t="s">
        <v>5623</v>
      </c>
      <c r="H1133" s="1794">
        <v>1</v>
      </c>
      <c r="I1133" s="1794">
        <v>1</v>
      </c>
      <c r="J1133" s="2000">
        <v>2</v>
      </c>
      <c r="K1133" s="1798"/>
      <c r="L1133" s="1792">
        <v>13097080509</v>
      </c>
      <c r="M1133" s="1793">
        <v>1</v>
      </c>
      <c r="N1133" s="1793">
        <v>1</v>
      </c>
      <c r="O1133" s="1793">
        <v>2</v>
      </c>
    </row>
    <row r="1134" spans="3:15">
      <c r="C1134" s="1799" t="s">
        <v>5624</v>
      </c>
      <c r="D1134" s="1796">
        <v>1</v>
      </c>
      <c r="E1134" s="1796">
        <v>1</v>
      </c>
      <c r="F1134" s="1797">
        <v>2</v>
      </c>
      <c r="G1134" s="1999" t="s">
        <v>5624</v>
      </c>
      <c r="H1134" s="1794">
        <v>0</v>
      </c>
      <c r="I1134" s="1794">
        <v>1</v>
      </c>
      <c r="J1134" s="2000">
        <v>1</v>
      </c>
      <c r="K1134" s="1798"/>
      <c r="L1134" s="1792">
        <v>13097080510</v>
      </c>
      <c r="M1134" s="1793">
        <v>1</v>
      </c>
      <c r="N1134" s="1793">
        <v>1</v>
      </c>
      <c r="O1134" s="1793">
        <v>2</v>
      </c>
    </row>
    <row r="1135" spans="3:15">
      <c r="C1135" s="1799" t="s">
        <v>5625</v>
      </c>
      <c r="D1135" s="1796">
        <v>1</v>
      </c>
      <c r="E1135" s="1796">
        <v>1</v>
      </c>
      <c r="F1135" s="1797">
        <v>2</v>
      </c>
      <c r="G1135" s="1999" t="s">
        <v>5625</v>
      </c>
      <c r="H1135" s="1794">
        <v>1</v>
      </c>
      <c r="I1135" s="1794">
        <v>1</v>
      </c>
      <c r="J1135" s="2000">
        <v>2</v>
      </c>
      <c r="K1135" s="1798"/>
      <c r="L1135" s="1792">
        <v>13097080511</v>
      </c>
      <c r="M1135" s="1793">
        <v>1</v>
      </c>
      <c r="N1135" s="1793">
        <v>1</v>
      </c>
      <c r="O1135" s="1793">
        <v>2</v>
      </c>
    </row>
    <row r="1136" spans="3:15">
      <c r="C1136" s="1799" t="s">
        <v>5626</v>
      </c>
      <c r="D1136" s="1796">
        <v>1</v>
      </c>
      <c r="E1136" s="1796">
        <v>1</v>
      </c>
      <c r="F1136" s="1797">
        <v>2</v>
      </c>
      <c r="G1136" s="1999" t="s">
        <v>5626</v>
      </c>
      <c r="H1136" s="1794">
        <v>1</v>
      </c>
      <c r="I1136" s="1794">
        <v>1</v>
      </c>
      <c r="J1136" s="2000">
        <v>1</v>
      </c>
      <c r="K1136" s="1798"/>
      <c r="L1136" s="1792">
        <v>13097080602</v>
      </c>
      <c r="M1136" s="1793">
        <v>1</v>
      </c>
      <c r="N1136" s="1793">
        <v>1</v>
      </c>
      <c r="O1136" s="1793">
        <v>2</v>
      </c>
    </row>
    <row r="1137" spans="3:15">
      <c r="C1137" s="1799" t="s">
        <v>5627</v>
      </c>
      <c r="D1137" s="1796">
        <v>1</v>
      </c>
      <c r="E1137" s="1796">
        <v>1</v>
      </c>
      <c r="F1137" s="1797">
        <v>2</v>
      </c>
      <c r="G1137" s="1999" t="s">
        <v>5627</v>
      </c>
      <c r="H1137" s="1794">
        <v>1</v>
      </c>
      <c r="I1137" s="1794">
        <v>0</v>
      </c>
      <c r="J1137" s="2000">
        <v>1</v>
      </c>
      <c r="K1137" s="1798"/>
      <c r="L1137" s="1792">
        <v>13097080603</v>
      </c>
      <c r="M1137" s="1793">
        <v>1</v>
      </c>
      <c r="N1137" s="1793">
        <v>1</v>
      </c>
      <c r="O1137" s="1793">
        <v>2</v>
      </c>
    </row>
    <row r="1138" spans="3:15">
      <c r="C1138" s="1799" t="s">
        <v>5628</v>
      </c>
      <c r="D1138" s="1796">
        <v>1</v>
      </c>
      <c r="E1138" s="1796">
        <v>1</v>
      </c>
      <c r="F1138" s="1797">
        <v>2</v>
      </c>
      <c r="G1138" s="1999" t="s">
        <v>5628</v>
      </c>
      <c r="H1138" s="1794">
        <v>1</v>
      </c>
      <c r="I1138" s="1794">
        <v>0</v>
      </c>
      <c r="J1138" s="2000">
        <v>1</v>
      </c>
      <c r="K1138" s="1798"/>
      <c r="L1138" s="1792">
        <v>13097080604</v>
      </c>
      <c r="M1138" s="1793">
        <v>1</v>
      </c>
      <c r="N1138" s="1793">
        <v>1</v>
      </c>
      <c r="O1138" s="1793">
        <v>2</v>
      </c>
    </row>
    <row r="1139" spans="3:15">
      <c r="C1139" s="1799" t="s">
        <v>5629</v>
      </c>
      <c r="D1139" s="1796">
        <v>0</v>
      </c>
      <c r="E1139" s="1796">
        <v>0</v>
      </c>
      <c r="F1139" s="1797">
        <v>0</v>
      </c>
      <c r="G1139" s="1999" t="s">
        <v>5629</v>
      </c>
      <c r="H1139" s="1794">
        <v>0</v>
      </c>
      <c r="I1139" s="1794">
        <v>0</v>
      </c>
      <c r="J1139" s="2000">
        <v>0</v>
      </c>
      <c r="K1139" s="1798"/>
      <c r="L1139" s="1792">
        <v>13099090100</v>
      </c>
      <c r="M1139" s="1793">
        <v>0</v>
      </c>
      <c r="N1139" s="1793">
        <v>0</v>
      </c>
      <c r="O1139" s="1793">
        <v>0</v>
      </c>
    </row>
    <row r="1140" spans="3:15">
      <c r="C1140" s="1799" t="s">
        <v>5630</v>
      </c>
      <c r="D1140" s="1796">
        <v>0</v>
      </c>
      <c r="E1140" s="1796">
        <v>0</v>
      </c>
      <c r="F1140" s="1797">
        <v>0</v>
      </c>
      <c r="G1140" s="1999" t="s">
        <v>5630</v>
      </c>
      <c r="H1140" s="1794">
        <v>0</v>
      </c>
      <c r="I1140" s="1794">
        <v>0</v>
      </c>
      <c r="J1140" s="2000">
        <v>0</v>
      </c>
      <c r="K1140" s="1798"/>
      <c r="L1140" s="1792">
        <v>13099090200</v>
      </c>
      <c r="M1140" s="1793">
        <v>0</v>
      </c>
      <c r="N1140" s="1793">
        <v>0</v>
      </c>
      <c r="O1140" s="1793">
        <v>0</v>
      </c>
    </row>
    <row r="1141" spans="3:15">
      <c r="C1141" s="1799" t="s">
        <v>5631</v>
      </c>
      <c r="D1141" s="1796">
        <v>1</v>
      </c>
      <c r="E1141" s="1796">
        <v>0</v>
      </c>
      <c r="F1141" s="1797">
        <v>1</v>
      </c>
      <c r="G1141" s="1999" t="s">
        <v>5631</v>
      </c>
      <c r="H1141" s="1794">
        <v>0</v>
      </c>
      <c r="I1141" s="1794">
        <v>0</v>
      </c>
      <c r="J1141" s="2000">
        <v>0</v>
      </c>
      <c r="K1141" s="1798"/>
      <c r="L1141" s="1792">
        <v>13099090300</v>
      </c>
      <c r="M1141" s="1793">
        <v>1</v>
      </c>
      <c r="N1141" s="1793">
        <v>0</v>
      </c>
      <c r="O1141" s="1793">
        <v>1</v>
      </c>
    </row>
    <row r="1142" spans="3:15">
      <c r="C1142" s="1799" t="s">
        <v>5632</v>
      </c>
      <c r="D1142" s="1796">
        <v>0</v>
      </c>
      <c r="E1142" s="1796">
        <v>0</v>
      </c>
      <c r="F1142" s="1797">
        <v>0</v>
      </c>
      <c r="G1142" s="1999" t="s">
        <v>5632</v>
      </c>
      <c r="H1142" s="1794">
        <v>0</v>
      </c>
      <c r="I1142" s="1794">
        <v>0</v>
      </c>
      <c r="J1142" s="2000">
        <v>0</v>
      </c>
      <c r="K1142" s="1798"/>
      <c r="L1142" s="1792">
        <v>13099090400</v>
      </c>
      <c r="M1142" s="1793">
        <v>0</v>
      </c>
      <c r="N1142" s="1793">
        <v>0</v>
      </c>
      <c r="O1142" s="1793">
        <v>0</v>
      </c>
    </row>
    <row r="1143" spans="3:15">
      <c r="C1143" s="1799" t="s">
        <v>5633</v>
      </c>
      <c r="D1143" s="1796">
        <v>0</v>
      </c>
      <c r="E1143" s="1796">
        <v>0</v>
      </c>
      <c r="F1143" s="1797">
        <v>0</v>
      </c>
      <c r="G1143" s="1999" t="s">
        <v>5633</v>
      </c>
      <c r="H1143" s="1794">
        <v>0</v>
      </c>
      <c r="I1143" s="1794">
        <v>0</v>
      </c>
      <c r="J1143" s="2000">
        <v>0</v>
      </c>
      <c r="K1143" s="1798"/>
      <c r="L1143" s="1792">
        <v>13099090500</v>
      </c>
      <c r="M1143" s="1793">
        <v>0</v>
      </c>
      <c r="N1143" s="1793">
        <v>0</v>
      </c>
      <c r="O1143" s="1793">
        <v>0</v>
      </c>
    </row>
    <row r="1144" spans="3:15">
      <c r="C1144" s="1799" t="s">
        <v>5634</v>
      </c>
      <c r="D1144" s="1796">
        <v>0</v>
      </c>
      <c r="E1144" s="1796">
        <v>0</v>
      </c>
      <c r="F1144" s="1797">
        <v>0</v>
      </c>
      <c r="G1144" s="1999" t="s">
        <v>5634</v>
      </c>
      <c r="H1144" s="1794">
        <v>0</v>
      </c>
      <c r="I1144" s="1794">
        <v>0</v>
      </c>
      <c r="J1144" s="2000">
        <v>0</v>
      </c>
      <c r="K1144" s="1798"/>
      <c r="L1144" s="1792">
        <v>13101880100</v>
      </c>
      <c r="M1144" s="1793">
        <v>0</v>
      </c>
      <c r="N1144" s="1793">
        <v>0</v>
      </c>
      <c r="O1144" s="1793">
        <v>0</v>
      </c>
    </row>
    <row r="1145" spans="3:15">
      <c r="C1145" s="1799" t="s">
        <v>5635</v>
      </c>
      <c r="D1145" s="1796">
        <v>0</v>
      </c>
      <c r="E1145" s="1796">
        <v>0</v>
      </c>
      <c r="F1145" s="1797">
        <v>0</v>
      </c>
      <c r="G1145" s="1999" t="s">
        <v>5635</v>
      </c>
      <c r="H1145" s="1794">
        <v>0</v>
      </c>
      <c r="I1145" s="1794">
        <v>0</v>
      </c>
      <c r="J1145" s="2000">
        <v>0</v>
      </c>
      <c r="K1145" s="1798"/>
      <c r="L1145" s="1792">
        <v>13101880200</v>
      </c>
      <c r="M1145" s="1793">
        <v>0</v>
      </c>
      <c r="N1145" s="1793">
        <v>0</v>
      </c>
      <c r="O1145" s="1793">
        <v>0</v>
      </c>
    </row>
    <row r="1146" spans="3:15">
      <c r="C1146" s="1799" t="s">
        <v>5636</v>
      </c>
      <c r="D1146" s="1796">
        <v>1</v>
      </c>
      <c r="E1146" s="1796">
        <v>1</v>
      </c>
      <c r="F1146" s="1797">
        <v>2</v>
      </c>
      <c r="G1146" s="1999" t="s">
        <v>5636</v>
      </c>
      <c r="H1146" s="1794">
        <v>0</v>
      </c>
      <c r="I1146" s="1794">
        <v>0</v>
      </c>
      <c r="J1146" s="2000">
        <v>0</v>
      </c>
      <c r="K1146" s="1798"/>
      <c r="L1146" s="1792">
        <v>13103030100</v>
      </c>
      <c r="M1146" s="1793">
        <v>1</v>
      </c>
      <c r="N1146" s="1793">
        <v>1</v>
      </c>
      <c r="O1146" s="1793">
        <v>2</v>
      </c>
    </row>
    <row r="1147" spans="3:15">
      <c r="C1147" s="1799" t="s">
        <v>5637</v>
      </c>
      <c r="D1147" s="1796">
        <v>1</v>
      </c>
      <c r="E1147" s="1796">
        <v>1</v>
      </c>
      <c r="F1147" s="1797">
        <v>2</v>
      </c>
      <c r="G1147" s="1999" t="s">
        <v>5637</v>
      </c>
      <c r="H1147" s="1794">
        <v>1</v>
      </c>
      <c r="I1147" s="1794">
        <v>0</v>
      </c>
      <c r="J1147" s="2000">
        <v>1</v>
      </c>
      <c r="K1147" s="1798"/>
      <c r="L1147" s="1792">
        <v>13103030202</v>
      </c>
      <c r="M1147" s="1793">
        <v>1</v>
      </c>
      <c r="N1147" s="1793">
        <v>1</v>
      </c>
      <c r="O1147" s="1793">
        <v>2</v>
      </c>
    </row>
    <row r="1148" spans="3:15">
      <c r="C1148" s="1799" t="s">
        <v>5638</v>
      </c>
      <c r="D1148" s="1796">
        <v>1</v>
      </c>
      <c r="E1148" s="1796">
        <v>1</v>
      </c>
      <c r="F1148" s="1797">
        <v>2</v>
      </c>
      <c r="G1148" s="1999" t="s">
        <v>5638</v>
      </c>
      <c r="H1148" s="1794">
        <v>1</v>
      </c>
      <c r="I1148" s="1794">
        <v>0</v>
      </c>
      <c r="J1148" s="2000">
        <v>1</v>
      </c>
      <c r="K1148" s="1798"/>
      <c r="L1148" s="1792">
        <v>13103030203</v>
      </c>
      <c r="M1148" s="1793">
        <v>1</v>
      </c>
      <c r="N1148" s="1793">
        <v>1</v>
      </c>
      <c r="O1148" s="1793">
        <v>2</v>
      </c>
    </row>
    <row r="1149" spans="3:15">
      <c r="C1149" s="1799" t="s">
        <v>5639</v>
      </c>
      <c r="D1149" s="1796">
        <v>0</v>
      </c>
      <c r="E1149" s="1796">
        <v>0</v>
      </c>
      <c r="F1149" s="1797">
        <v>0</v>
      </c>
      <c r="G1149" s="1999" t="s">
        <v>5639</v>
      </c>
      <c r="H1149" s="1794">
        <v>0</v>
      </c>
      <c r="I1149" s="1794">
        <v>1</v>
      </c>
      <c r="J1149" s="2000">
        <v>1</v>
      </c>
      <c r="K1149" s="1798"/>
      <c r="L1149" s="1792">
        <v>13103030204</v>
      </c>
      <c r="M1149" s="1793">
        <v>0</v>
      </c>
      <c r="N1149" s="1793">
        <v>1</v>
      </c>
      <c r="O1149" s="1793">
        <v>1</v>
      </c>
    </row>
    <row r="1150" spans="3:15">
      <c r="C1150" s="1799" t="s">
        <v>5640</v>
      </c>
      <c r="D1150" s="1796">
        <v>1</v>
      </c>
      <c r="E1150" s="1796">
        <v>1</v>
      </c>
      <c r="F1150" s="1797">
        <v>2</v>
      </c>
      <c r="G1150" s="1999" t="s">
        <v>5640</v>
      </c>
      <c r="H1150" s="1794">
        <v>1</v>
      </c>
      <c r="I1150" s="1794">
        <v>1</v>
      </c>
      <c r="J1150" s="2000">
        <v>2</v>
      </c>
      <c r="K1150" s="1798"/>
      <c r="L1150" s="1792">
        <v>13103030301</v>
      </c>
      <c r="M1150" s="1793">
        <v>1</v>
      </c>
      <c r="N1150" s="1793">
        <v>1</v>
      </c>
      <c r="O1150" s="1793">
        <v>2</v>
      </c>
    </row>
    <row r="1151" spans="3:15">
      <c r="C1151" s="1799" t="s">
        <v>5641</v>
      </c>
      <c r="D1151" s="1796">
        <v>0</v>
      </c>
      <c r="E1151" s="1796">
        <v>1</v>
      </c>
      <c r="F1151" s="1797">
        <v>1</v>
      </c>
      <c r="G1151" s="1999" t="s">
        <v>5641</v>
      </c>
      <c r="H1151" s="1794">
        <v>1</v>
      </c>
      <c r="I1151" s="1794">
        <v>0</v>
      </c>
      <c r="J1151" s="2000">
        <v>1</v>
      </c>
      <c r="K1151" s="1798"/>
      <c r="L1151" s="1792">
        <v>13103030303</v>
      </c>
      <c r="M1151" s="1793">
        <v>1</v>
      </c>
      <c r="N1151" s="1793">
        <v>1</v>
      </c>
      <c r="O1151" s="1793">
        <v>1</v>
      </c>
    </row>
    <row r="1152" spans="3:15">
      <c r="C1152" s="1799" t="s">
        <v>5642</v>
      </c>
      <c r="D1152" s="1796">
        <v>1</v>
      </c>
      <c r="E1152" s="1796">
        <v>1</v>
      </c>
      <c r="F1152" s="1797">
        <v>2</v>
      </c>
      <c r="G1152" s="1999" t="s">
        <v>5642</v>
      </c>
      <c r="H1152" s="1794">
        <v>1</v>
      </c>
      <c r="I1152" s="1794">
        <v>0</v>
      </c>
      <c r="J1152" s="2000">
        <v>1</v>
      </c>
      <c r="K1152" s="1798"/>
      <c r="L1152" s="1792">
        <v>13103030304</v>
      </c>
      <c r="M1152" s="1793">
        <v>1</v>
      </c>
      <c r="N1152" s="1793">
        <v>1</v>
      </c>
      <c r="O1152" s="1793">
        <v>2</v>
      </c>
    </row>
    <row r="1153" spans="3:15">
      <c r="C1153" s="1799" t="s">
        <v>5643</v>
      </c>
      <c r="D1153" s="1796">
        <v>1</v>
      </c>
      <c r="E1153" s="1796">
        <v>1</v>
      </c>
      <c r="F1153" s="1797">
        <v>2</v>
      </c>
      <c r="G1153" s="1999" t="s">
        <v>5643</v>
      </c>
      <c r="H1153" s="1794">
        <v>1</v>
      </c>
      <c r="I1153" s="1794">
        <v>1</v>
      </c>
      <c r="J1153" s="2000">
        <v>2</v>
      </c>
      <c r="K1153" s="1798"/>
      <c r="L1153" s="1792">
        <v>13103030305</v>
      </c>
      <c r="M1153" s="1793">
        <v>1</v>
      </c>
      <c r="N1153" s="1793">
        <v>1</v>
      </c>
      <c r="O1153" s="1793">
        <v>2</v>
      </c>
    </row>
    <row r="1154" spans="3:15">
      <c r="C1154" s="1799" t="s">
        <v>5644</v>
      </c>
      <c r="D1154" s="1796">
        <v>1</v>
      </c>
      <c r="E1154" s="1796">
        <v>1</v>
      </c>
      <c r="F1154" s="1797">
        <v>2</v>
      </c>
      <c r="G1154" s="1999" t="s">
        <v>5644</v>
      </c>
      <c r="H1154" s="1794">
        <v>1</v>
      </c>
      <c r="I1154" s="1794">
        <v>1</v>
      </c>
      <c r="J1154" s="2000">
        <v>2</v>
      </c>
      <c r="K1154" s="1798"/>
      <c r="L1154" s="1792">
        <v>13103030401</v>
      </c>
      <c r="M1154" s="1793">
        <v>1</v>
      </c>
      <c r="N1154" s="1793">
        <v>1</v>
      </c>
      <c r="O1154" s="1793">
        <v>2</v>
      </c>
    </row>
    <row r="1155" spans="3:15">
      <c r="C1155" s="1799" t="s">
        <v>5645</v>
      </c>
      <c r="D1155" s="1796">
        <v>1</v>
      </c>
      <c r="E1155" s="1796">
        <v>1</v>
      </c>
      <c r="F1155" s="1797">
        <v>2</v>
      </c>
      <c r="G1155" s="1999" t="s">
        <v>5645</v>
      </c>
      <c r="H1155" s="1794">
        <v>1</v>
      </c>
      <c r="I1155" s="1794">
        <v>1</v>
      </c>
      <c r="J1155" s="2000">
        <v>2</v>
      </c>
      <c r="K1155" s="1798"/>
      <c r="L1155" s="1792">
        <v>13103030402</v>
      </c>
      <c r="M1155" s="1793">
        <v>1</v>
      </c>
      <c r="N1155" s="1793">
        <v>1</v>
      </c>
      <c r="O1155" s="1793">
        <v>2</v>
      </c>
    </row>
    <row r="1156" spans="3:15">
      <c r="C1156" s="1799" t="s">
        <v>5646</v>
      </c>
      <c r="D1156" s="1796">
        <v>0</v>
      </c>
      <c r="E1156" s="1796">
        <v>0</v>
      </c>
      <c r="F1156" s="1797">
        <v>0</v>
      </c>
      <c r="G1156" s="1999" t="s">
        <v>5646</v>
      </c>
      <c r="H1156" s="1794">
        <v>0</v>
      </c>
      <c r="I1156" s="1794">
        <v>0</v>
      </c>
      <c r="J1156" s="2000">
        <v>0</v>
      </c>
      <c r="K1156" s="1798"/>
      <c r="L1156" s="1792">
        <v>13105000100</v>
      </c>
      <c r="M1156" s="1793">
        <v>0</v>
      </c>
      <c r="N1156" s="1793">
        <v>0</v>
      </c>
      <c r="O1156" s="1793">
        <v>0</v>
      </c>
    </row>
    <row r="1157" spans="3:15">
      <c r="C1157" s="1799" t="s">
        <v>5647</v>
      </c>
      <c r="D1157" s="1796">
        <v>0</v>
      </c>
      <c r="E1157" s="1796">
        <v>0</v>
      </c>
      <c r="F1157" s="1797">
        <v>0</v>
      </c>
      <c r="G1157" s="1999" t="s">
        <v>5647</v>
      </c>
      <c r="H1157" s="1794">
        <v>0</v>
      </c>
      <c r="I1157" s="1794">
        <v>0</v>
      </c>
      <c r="J1157" s="2000">
        <v>0</v>
      </c>
      <c r="K1157" s="1798"/>
      <c r="L1157" s="1792">
        <v>13105000200</v>
      </c>
      <c r="M1157" s="1793">
        <v>0</v>
      </c>
      <c r="N1157" s="1793">
        <v>0</v>
      </c>
      <c r="O1157" s="1793">
        <v>0</v>
      </c>
    </row>
    <row r="1158" spans="3:15">
      <c r="C1158" s="1799" t="s">
        <v>5648</v>
      </c>
      <c r="D1158" s="1796">
        <v>0</v>
      </c>
      <c r="E1158" s="1796">
        <v>0</v>
      </c>
      <c r="F1158" s="1797">
        <v>0</v>
      </c>
      <c r="G1158" s="1999" t="s">
        <v>5648</v>
      </c>
      <c r="H1158" s="1794">
        <v>0</v>
      </c>
      <c r="I1158" s="1794">
        <v>0</v>
      </c>
      <c r="J1158" s="2000">
        <v>0</v>
      </c>
      <c r="K1158" s="1798"/>
      <c r="L1158" s="1792">
        <v>13105000300</v>
      </c>
      <c r="M1158" s="1793">
        <v>0</v>
      </c>
      <c r="N1158" s="1793">
        <v>0</v>
      </c>
      <c r="O1158" s="1793">
        <v>0</v>
      </c>
    </row>
    <row r="1159" spans="3:15">
      <c r="C1159" s="1799" t="s">
        <v>5649</v>
      </c>
      <c r="D1159" s="1796">
        <v>0</v>
      </c>
      <c r="E1159" s="1796">
        <v>0</v>
      </c>
      <c r="F1159" s="1797">
        <v>0</v>
      </c>
      <c r="G1159" s="1999" t="s">
        <v>5649</v>
      </c>
      <c r="H1159" s="1794">
        <v>0</v>
      </c>
      <c r="I1159" s="1794">
        <v>0</v>
      </c>
      <c r="J1159" s="2000">
        <v>0</v>
      </c>
      <c r="K1159" s="1798"/>
      <c r="L1159" s="1792">
        <v>13105000400</v>
      </c>
      <c r="M1159" s="1793">
        <v>0</v>
      </c>
      <c r="N1159" s="1793">
        <v>0</v>
      </c>
      <c r="O1159" s="1793">
        <v>0</v>
      </c>
    </row>
    <row r="1160" spans="3:15">
      <c r="C1160" s="1799" t="s">
        <v>5650</v>
      </c>
      <c r="D1160" s="1796">
        <v>0</v>
      </c>
      <c r="E1160" s="1796">
        <v>0</v>
      </c>
      <c r="F1160" s="1797">
        <v>0</v>
      </c>
      <c r="G1160" s="1999" t="s">
        <v>5650</v>
      </c>
      <c r="H1160" s="1794">
        <v>0</v>
      </c>
      <c r="I1160" s="1794">
        <v>1</v>
      </c>
      <c r="J1160" s="2000">
        <v>1</v>
      </c>
      <c r="K1160" s="1798"/>
      <c r="L1160" s="1792">
        <v>13105000500</v>
      </c>
      <c r="M1160" s="1793">
        <v>0</v>
      </c>
      <c r="N1160" s="1793">
        <v>1</v>
      </c>
      <c r="O1160" s="1793">
        <v>1</v>
      </c>
    </row>
    <row r="1161" spans="3:15">
      <c r="C1161" s="1799" t="s">
        <v>5651</v>
      </c>
      <c r="D1161" s="1796">
        <v>0</v>
      </c>
      <c r="E1161" s="1796">
        <v>0</v>
      </c>
      <c r="F1161" s="1797">
        <v>0</v>
      </c>
      <c r="G1161" s="1999" t="s">
        <v>5651</v>
      </c>
      <c r="H1161" s="1794">
        <v>0</v>
      </c>
      <c r="I1161" s="1794">
        <v>0</v>
      </c>
      <c r="J1161" s="2000">
        <v>0</v>
      </c>
      <c r="K1161" s="1798"/>
      <c r="L1161" s="1792">
        <v>13107970100</v>
      </c>
      <c r="M1161" s="1793">
        <v>0</v>
      </c>
      <c r="N1161" s="1793">
        <v>0</v>
      </c>
      <c r="O1161" s="1793">
        <v>0</v>
      </c>
    </row>
    <row r="1162" spans="3:15">
      <c r="C1162" s="1799" t="s">
        <v>5652</v>
      </c>
      <c r="D1162" s="1796">
        <v>0</v>
      </c>
      <c r="E1162" s="1796">
        <v>0</v>
      </c>
      <c r="F1162" s="1797">
        <v>0</v>
      </c>
      <c r="G1162" s="1999" t="s">
        <v>5652</v>
      </c>
      <c r="H1162" s="1794">
        <v>0</v>
      </c>
      <c r="I1162" s="1794">
        <v>0</v>
      </c>
      <c r="J1162" s="2000">
        <v>0</v>
      </c>
      <c r="K1162" s="1798"/>
      <c r="L1162" s="1792">
        <v>13107970200</v>
      </c>
      <c r="M1162" s="1793">
        <v>0</v>
      </c>
      <c r="N1162" s="1793">
        <v>0</v>
      </c>
      <c r="O1162" s="1793">
        <v>0</v>
      </c>
    </row>
    <row r="1163" spans="3:15">
      <c r="C1163" s="1799" t="s">
        <v>5653</v>
      </c>
      <c r="D1163" s="1796">
        <v>0</v>
      </c>
      <c r="E1163" s="1796">
        <v>0</v>
      </c>
      <c r="F1163" s="1797">
        <v>0</v>
      </c>
      <c r="G1163" s="1999" t="s">
        <v>5653</v>
      </c>
      <c r="H1163" s="1794">
        <v>0</v>
      </c>
      <c r="I1163" s="1794">
        <v>0</v>
      </c>
      <c r="J1163" s="2000">
        <v>0</v>
      </c>
      <c r="K1163" s="1798"/>
      <c r="L1163" s="1792">
        <v>13107970300</v>
      </c>
      <c r="M1163" s="1793">
        <v>0</v>
      </c>
      <c r="N1163" s="1793">
        <v>0</v>
      </c>
      <c r="O1163" s="1793">
        <v>0</v>
      </c>
    </row>
    <row r="1164" spans="3:15">
      <c r="C1164" s="1799" t="s">
        <v>5654</v>
      </c>
      <c r="D1164" s="1796">
        <v>0</v>
      </c>
      <c r="E1164" s="1796">
        <v>0</v>
      </c>
      <c r="F1164" s="1797">
        <v>0</v>
      </c>
      <c r="G1164" s="1999" t="s">
        <v>5654</v>
      </c>
      <c r="H1164" s="1794">
        <v>0</v>
      </c>
      <c r="I1164" s="1794">
        <v>0</v>
      </c>
      <c r="J1164" s="2000">
        <v>0</v>
      </c>
      <c r="K1164" s="1798"/>
      <c r="L1164" s="1792">
        <v>13107970400</v>
      </c>
      <c r="M1164" s="1793">
        <v>0</v>
      </c>
      <c r="N1164" s="1793">
        <v>0</v>
      </c>
      <c r="O1164" s="1793">
        <v>0</v>
      </c>
    </row>
    <row r="1165" spans="3:15">
      <c r="C1165" s="1799" t="s">
        <v>5655</v>
      </c>
      <c r="D1165" s="1796">
        <v>0</v>
      </c>
      <c r="E1165" s="1796">
        <v>0</v>
      </c>
      <c r="F1165" s="1797">
        <v>0</v>
      </c>
      <c r="G1165" s="1999" t="s">
        <v>5655</v>
      </c>
      <c r="H1165" s="1794">
        <v>0</v>
      </c>
      <c r="I1165" s="1794">
        <v>0</v>
      </c>
      <c r="J1165" s="2000">
        <v>0</v>
      </c>
      <c r="K1165" s="1798"/>
      <c r="L1165" s="1792">
        <v>13107970500</v>
      </c>
      <c r="M1165" s="1793">
        <v>0</v>
      </c>
      <c r="N1165" s="1793">
        <v>0</v>
      </c>
      <c r="O1165" s="1793">
        <v>0</v>
      </c>
    </row>
    <row r="1166" spans="3:15">
      <c r="C1166" s="1799" t="s">
        <v>5656</v>
      </c>
      <c r="D1166" s="1796">
        <v>0</v>
      </c>
      <c r="E1166" s="1796">
        <v>0</v>
      </c>
      <c r="F1166" s="1797">
        <v>0</v>
      </c>
      <c r="G1166" s="1999" t="s">
        <v>5656</v>
      </c>
      <c r="H1166" s="1794">
        <v>0</v>
      </c>
      <c r="I1166" s="1794">
        <v>0</v>
      </c>
      <c r="J1166" s="2000">
        <v>0</v>
      </c>
      <c r="K1166" s="1798"/>
      <c r="L1166" s="1792">
        <v>13107970600</v>
      </c>
      <c r="M1166" s="1793">
        <v>0</v>
      </c>
      <c r="N1166" s="1793">
        <v>0</v>
      </c>
      <c r="O1166" s="1793">
        <v>0</v>
      </c>
    </row>
    <row r="1167" spans="3:15">
      <c r="C1167" s="1799" t="s">
        <v>5657</v>
      </c>
      <c r="D1167" s="1796">
        <v>0</v>
      </c>
      <c r="E1167" s="1796">
        <v>0</v>
      </c>
      <c r="F1167" s="1797">
        <v>0</v>
      </c>
      <c r="G1167" s="1999" t="s">
        <v>5657</v>
      </c>
      <c r="H1167" s="1794">
        <v>0</v>
      </c>
      <c r="I1167" s="1794">
        <v>0</v>
      </c>
      <c r="J1167" s="2000">
        <v>0</v>
      </c>
      <c r="K1167" s="1798"/>
      <c r="L1167" s="1792">
        <v>13109970100</v>
      </c>
      <c r="M1167" s="1793">
        <v>0</v>
      </c>
      <c r="N1167" s="1793">
        <v>0</v>
      </c>
      <c r="O1167" s="1793">
        <v>0</v>
      </c>
    </row>
    <row r="1168" spans="3:15">
      <c r="C1168" s="1799" t="s">
        <v>5658</v>
      </c>
      <c r="D1168" s="1796">
        <v>0</v>
      </c>
      <c r="E1168" s="1796">
        <v>0</v>
      </c>
      <c r="F1168" s="1797">
        <v>0</v>
      </c>
      <c r="G1168" s="1999" t="s">
        <v>5658</v>
      </c>
      <c r="H1168" s="1794">
        <v>0</v>
      </c>
      <c r="I1168" s="1794">
        <v>0</v>
      </c>
      <c r="J1168" s="2000">
        <v>0</v>
      </c>
      <c r="K1168" s="1798"/>
      <c r="L1168" s="1792">
        <v>13109970200</v>
      </c>
      <c r="M1168" s="1793">
        <v>0</v>
      </c>
      <c r="N1168" s="1793">
        <v>0</v>
      </c>
      <c r="O1168" s="1793">
        <v>0</v>
      </c>
    </row>
    <row r="1169" spans="3:15">
      <c r="C1169" s="1799" t="s">
        <v>5659</v>
      </c>
      <c r="D1169" s="1796">
        <v>0</v>
      </c>
      <c r="E1169" s="1796">
        <v>0</v>
      </c>
      <c r="F1169" s="1797">
        <v>0</v>
      </c>
      <c r="G1169" s="1999" t="s">
        <v>5659</v>
      </c>
      <c r="H1169" s="1794">
        <v>0</v>
      </c>
      <c r="I1169" s="1794">
        <v>0</v>
      </c>
      <c r="J1169" s="2000">
        <v>0</v>
      </c>
      <c r="K1169" s="1798"/>
      <c r="L1169" s="1792">
        <v>13109970300</v>
      </c>
      <c r="M1169" s="1793">
        <v>0</v>
      </c>
      <c r="N1169" s="1793">
        <v>0</v>
      </c>
      <c r="O1169" s="1793">
        <v>0</v>
      </c>
    </row>
    <row r="1170" spans="3:15">
      <c r="C1170" s="1799" t="s">
        <v>5660</v>
      </c>
      <c r="D1170" s="1796">
        <v>0</v>
      </c>
      <c r="E1170" s="1796">
        <v>0</v>
      </c>
      <c r="F1170" s="1797">
        <v>0</v>
      </c>
      <c r="G1170" s="1999" t="s">
        <v>5660</v>
      </c>
      <c r="H1170" s="1794">
        <v>0</v>
      </c>
      <c r="I1170" s="1794">
        <v>0</v>
      </c>
      <c r="J1170" s="2000">
        <v>0</v>
      </c>
      <c r="K1170" s="1798"/>
      <c r="L1170" s="1792">
        <v>13111050100</v>
      </c>
      <c r="M1170" s="1793">
        <v>0</v>
      </c>
      <c r="N1170" s="1793">
        <v>0</v>
      </c>
      <c r="O1170" s="1793">
        <v>0</v>
      </c>
    </row>
    <row r="1171" spans="3:15">
      <c r="C1171" s="1799" t="s">
        <v>5661</v>
      </c>
      <c r="D1171" s="1796">
        <v>0</v>
      </c>
      <c r="E1171" s="1796">
        <v>0</v>
      </c>
      <c r="F1171" s="1797">
        <v>0</v>
      </c>
      <c r="G1171" s="1999" t="s">
        <v>5661</v>
      </c>
      <c r="H1171" s="1794">
        <v>0</v>
      </c>
      <c r="I1171" s="1794">
        <v>0</v>
      </c>
      <c r="J1171" s="2000">
        <v>0</v>
      </c>
      <c r="K1171" s="1798"/>
      <c r="L1171" s="1792">
        <v>13111050200</v>
      </c>
      <c r="M1171" s="1793">
        <v>0</v>
      </c>
      <c r="N1171" s="1793">
        <v>0</v>
      </c>
      <c r="O1171" s="1793">
        <v>0</v>
      </c>
    </row>
    <row r="1172" spans="3:15">
      <c r="C1172" s="1799" t="s">
        <v>5662</v>
      </c>
      <c r="D1172" s="1796">
        <v>0</v>
      </c>
      <c r="E1172" s="1796">
        <v>0</v>
      </c>
      <c r="F1172" s="1797">
        <v>0</v>
      </c>
      <c r="G1172" s="1999" t="s">
        <v>5662</v>
      </c>
      <c r="H1172" s="1794">
        <v>0</v>
      </c>
      <c r="I1172" s="1794" t="s">
        <v>4485</v>
      </c>
      <c r="J1172" s="2000">
        <v>0</v>
      </c>
      <c r="K1172" s="1798"/>
      <c r="L1172" s="1792">
        <v>13111050300</v>
      </c>
      <c r="M1172" s="1793">
        <v>0</v>
      </c>
      <c r="N1172" s="1793">
        <v>0</v>
      </c>
      <c r="O1172" s="1793">
        <v>0</v>
      </c>
    </row>
    <row r="1173" spans="3:15">
      <c r="C1173" s="1799" t="s">
        <v>5663</v>
      </c>
      <c r="D1173" s="1796">
        <v>0</v>
      </c>
      <c r="E1173" s="1796">
        <v>0</v>
      </c>
      <c r="F1173" s="1797">
        <v>0</v>
      </c>
      <c r="G1173" s="1999" t="s">
        <v>5663</v>
      </c>
      <c r="H1173" s="1794">
        <v>0</v>
      </c>
      <c r="I1173" s="1794">
        <v>1</v>
      </c>
      <c r="J1173" s="2000">
        <v>1</v>
      </c>
      <c r="K1173" s="1798"/>
      <c r="L1173" s="1792">
        <v>13111050400</v>
      </c>
      <c r="M1173" s="1793">
        <v>0</v>
      </c>
      <c r="N1173" s="1793">
        <v>1</v>
      </c>
      <c r="O1173" s="1793">
        <v>1</v>
      </c>
    </row>
    <row r="1174" spans="3:15">
      <c r="C1174" s="1799" t="s">
        <v>5664</v>
      </c>
      <c r="D1174" s="1796">
        <v>0</v>
      </c>
      <c r="E1174" s="1796">
        <v>0</v>
      </c>
      <c r="F1174" s="1797">
        <v>0</v>
      </c>
      <c r="G1174" s="1999" t="s">
        <v>5664</v>
      </c>
      <c r="H1174" s="1794">
        <v>1</v>
      </c>
      <c r="I1174" s="1794">
        <v>0</v>
      </c>
      <c r="J1174" s="2000">
        <v>1</v>
      </c>
      <c r="K1174" s="1798"/>
      <c r="L1174" s="1792">
        <v>13111050500</v>
      </c>
      <c r="M1174" s="1793">
        <v>1</v>
      </c>
      <c r="N1174" s="1793">
        <v>0</v>
      </c>
      <c r="O1174" s="1793">
        <v>1</v>
      </c>
    </row>
    <row r="1175" spans="3:15">
      <c r="C1175" s="1799" t="s">
        <v>5665</v>
      </c>
      <c r="D1175" s="1796">
        <v>1</v>
      </c>
      <c r="E1175" s="1796">
        <v>0</v>
      </c>
      <c r="F1175" s="1797">
        <v>1</v>
      </c>
      <c r="G1175" s="1999" t="s">
        <v>5665</v>
      </c>
      <c r="H1175" s="1794">
        <v>1</v>
      </c>
      <c r="I1175" s="1794">
        <v>1</v>
      </c>
      <c r="J1175" s="2000">
        <v>2</v>
      </c>
      <c r="K1175" s="1798"/>
      <c r="L1175" s="1792">
        <v>13113140101</v>
      </c>
      <c r="M1175" s="1793">
        <v>1</v>
      </c>
      <c r="N1175" s="1793">
        <v>1</v>
      </c>
      <c r="O1175" s="1793">
        <v>2</v>
      </c>
    </row>
    <row r="1176" spans="3:15">
      <c r="C1176" s="1799" t="s">
        <v>5666</v>
      </c>
      <c r="D1176" s="1796">
        <v>1</v>
      </c>
      <c r="E1176" s="1796">
        <v>1</v>
      </c>
      <c r="F1176" s="1797">
        <v>2</v>
      </c>
      <c r="G1176" s="1999" t="s">
        <v>5666</v>
      </c>
      <c r="H1176" s="1794">
        <v>1</v>
      </c>
      <c r="I1176" s="1794">
        <v>1</v>
      </c>
      <c r="J1176" s="2000">
        <v>2</v>
      </c>
      <c r="K1176" s="1798"/>
      <c r="L1176" s="1792">
        <v>13113140102</v>
      </c>
      <c r="M1176" s="1793">
        <v>1</v>
      </c>
      <c r="N1176" s="1793">
        <v>1</v>
      </c>
      <c r="O1176" s="1793">
        <v>2</v>
      </c>
    </row>
    <row r="1177" spans="3:15">
      <c r="C1177" s="1799" t="s">
        <v>5667</v>
      </c>
      <c r="D1177" s="1796">
        <v>1</v>
      </c>
      <c r="E1177" s="1796">
        <v>1</v>
      </c>
      <c r="F1177" s="1797">
        <v>2</v>
      </c>
      <c r="G1177" s="1999" t="s">
        <v>5667</v>
      </c>
      <c r="H1177" s="1794">
        <v>1</v>
      </c>
      <c r="I1177" s="1794">
        <v>1</v>
      </c>
      <c r="J1177" s="2000">
        <v>2</v>
      </c>
      <c r="K1177" s="1798"/>
      <c r="L1177" s="1792">
        <v>13113140203</v>
      </c>
      <c r="M1177" s="1793">
        <v>1</v>
      </c>
      <c r="N1177" s="1793">
        <v>1</v>
      </c>
      <c r="O1177" s="1793">
        <v>2</v>
      </c>
    </row>
    <row r="1178" spans="3:15">
      <c r="C1178" s="1799" t="s">
        <v>5668</v>
      </c>
      <c r="D1178" s="1796">
        <v>1</v>
      </c>
      <c r="E1178" s="1796">
        <v>1</v>
      </c>
      <c r="F1178" s="1797">
        <v>2</v>
      </c>
      <c r="G1178" s="1999" t="s">
        <v>5668</v>
      </c>
      <c r="H1178" s="1794">
        <v>1</v>
      </c>
      <c r="I1178" s="1794">
        <v>1</v>
      </c>
      <c r="J1178" s="2000">
        <v>2</v>
      </c>
      <c r="K1178" s="1798"/>
      <c r="L1178" s="1792">
        <v>13113140204</v>
      </c>
      <c r="M1178" s="1793">
        <v>1</v>
      </c>
      <c r="N1178" s="1793">
        <v>1</v>
      </c>
      <c r="O1178" s="1793">
        <v>2</v>
      </c>
    </row>
    <row r="1179" spans="3:15">
      <c r="C1179" s="1799" t="s">
        <v>5669</v>
      </c>
      <c r="D1179" s="1796">
        <v>1</v>
      </c>
      <c r="E1179" s="1796">
        <v>1</v>
      </c>
      <c r="F1179" s="1797">
        <v>2</v>
      </c>
      <c r="G1179" s="1999" t="s">
        <v>5669</v>
      </c>
      <c r="H1179" s="1794">
        <v>1</v>
      </c>
      <c r="I1179" s="1794">
        <v>1</v>
      </c>
      <c r="J1179" s="2000">
        <v>2</v>
      </c>
      <c r="K1179" s="1798"/>
      <c r="L1179" s="1792">
        <v>13113140206</v>
      </c>
      <c r="M1179" s="1793">
        <v>1</v>
      </c>
      <c r="N1179" s="1793">
        <v>1</v>
      </c>
      <c r="O1179" s="1793">
        <v>2</v>
      </c>
    </row>
    <row r="1180" spans="3:15">
      <c r="C1180" s="1799" t="s">
        <v>5670</v>
      </c>
      <c r="D1180" s="1796">
        <v>1</v>
      </c>
      <c r="E1180" s="1796">
        <v>1</v>
      </c>
      <c r="F1180" s="1797">
        <v>2</v>
      </c>
      <c r="G1180" s="1999" t="s">
        <v>5670</v>
      </c>
      <c r="H1180" s="1794">
        <v>1</v>
      </c>
      <c r="I1180" s="1794">
        <v>1</v>
      </c>
      <c r="J1180" s="2000">
        <v>2</v>
      </c>
      <c r="K1180" s="1798"/>
      <c r="L1180" s="1792">
        <v>13113140207</v>
      </c>
      <c r="M1180" s="1793">
        <v>1</v>
      </c>
      <c r="N1180" s="1793">
        <v>1</v>
      </c>
      <c r="O1180" s="1793">
        <v>2</v>
      </c>
    </row>
    <row r="1181" spans="3:15">
      <c r="C1181" s="1799" t="s">
        <v>5671</v>
      </c>
      <c r="D1181" s="1796">
        <v>1</v>
      </c>
      <c r="E1181" s="1796">
        <v>1</v>
      </c>
      <c r="F1181" s="1797">
        <v>2</v>
      </c>
      <c r="G1181" s="1999" t="s">
        <v>5671</v>
      </c>
      <c r="H1181" s="1794">
        <v>1</v>
      </c>
      <c r="I1181" s="1794">
        <v>1</v>
      </c>
      <c r="J1181" s="2000">
        <v>2</v>
      </c>
      <c r="K1181" s="1798"/>
      <c r="L1181" s="1792">
        <v>13113140208</v>
      </c>
      <c r="M1181" s="1793">
        <v>1</v>
      </c>
      <c r="N1181" s="1793">
        <v>1</v>
      </c>
      <c r="O1181" s="1793">
        <v>2</v>
      </c>
    </row>
    <row r="1182" spans="3:15">
      <c r="C1182" s="1799" t="s">
        <v>5672</v>
      </c>
      <c r="D1182" s="1796">
        <v>1</v>
      </c>
      <c r="E1182" s="1796">
        <v>1</v>
      </c>
      <c r="F1182" s="1797">
        <v>2</v>
      </c>
      <c r="G1182" s="1999" t="s">
        <v>5672</v>
      </c>
      <c r="H1182" s="1794">
        <v>1</v>
      </c>
      <c r="I1182" s="1794">
        <v>1</v>
      </c>
      <c r="J1182" s="2000">
        <v>2</v>
      </c>
      <c r="K1182" s="1798"/>
      <c r="L1182" s="1792">
        <v>13113140303</v>
      </c>
      <c r="M1182" s="1793">
        <v>1</v>
      </c>
      <c r="N1182" s="1793">
        <v>1</v>
      </c>
      <c r="O1182" s="1793">
        <v>2</v>
      </c>
    </row>
    <row r="1183" spans="3:15">
      <c r="C1183" s="1799" t="s">
        <v>5673</v>
      </c>
      <c r="D1183" s="1796">
        <v>1</v>
      </c>
      <c r="E1183" s="1796">
        <v>1</v>
      </c>
      <c r="F1183" s="1797">
        <v>2</v>
      </c>
      <c r="G1183" s="1999" t="s">
        <v>5673</v>
      </c>
      <c r="H1183" s="1794">
        <v>1</v>
      </c>
      <c r="I1183" s="1794">
        <v>1</v>
      </c>
      <c r="J1183" s="2000">
        <v>2</v>
      </c>
      <c r="K1183" s="1798"/>
      <c r="L1183" s="1792">
        <v>13113140304</v>
      </c>
      <c r="M1183" s="1793">
        <v>1</v>
      </c>
      <c r="N1183" s="1793">
        <v>1</v>
      </c>
      <c r="O1183" s="1793">
        <v>2</v>
      </c>
    </row>
    <row r="1184" spans="3:15">
      <c r="C1184" s="1799" t="s">
        <v>5674</v>
      </c>
      <c r="D1184" s="1796">
        <v>1</v>
      </c>
      <c r="E1184" s="1796">
        <v>1</v>
      </c>
      <c r="F1184" s="1797">
        <v>2</v>
      </c>
      <c r="G1184" s="1999" t="s">
        <v>5674</v>
      </c>
      <c r="H1184" s="1794">
        <v>1</v>
      </c>
      <c r="I1184" s="1794">
        <v>1</v>
      </c>
      <c r="J1184" s="2000">
        <v>2</v>
      </c>
      <c r="K1184" s="1798"/>
      <c r="L1184" s="1792">
        <v>13113140305</v>
      </c>
      <c r="M1184" s="1793">
        <v>1</v>
      </c>
      <c r="N1184" s="1793">
        <v>1</v>
      </c>
      <c r="O1184" s="1793">
        <v>2</v>
      </c>
    </row>
    <row r="1185" spans="3:15">
      <c r="C1185" s="1799" t="s">
        <v>5675</v>
      </c>
      <c r="D1185" s="1796">
        <v>1</v>
      </c>
      <c r="E1185" s="1796">
        <v>1</v>
      </c>
      <c r="F1185" s="1797">
        <v>2</v>
      </c>
      <c r="G1185" s="1999" t="s">
        <v>5675</v>
      </c>
      <c r="H1185" s="1794">
        <v>1</v>
      </c>
      <c r="I1185" s="1794">
        <v>1</v>
      </c>
      <c r="J1185" s="2000">
        <v>2</v>
      </c>
      <c r="K1185" s="1798"/>
      <c r="L1185" s="1792">
        <v>13113140306</v>
      </c>
      <c r="M1185" s="1793">
        <v>1</v>
      </c>
      <c r="N1185" s="1793">
        <v>1</v>
      </c>
      <c r="O1185" s="1793">
        <v>2</v>
      </c>
    </row>
    <row r="1186" spans="3:15">
      <c r="C1186" s="1799" t="s">
        <v>5676</v>
      </c>
      <c r="D1186" s="1796">
        <v>1</v>
      </c>
      <c r="E1186" s="1796">
        <v>1</v>
      </c>
      <c r="F1186" s="1797">
        <v>2</v>
      </c>
      <c r="G1186" s="1999" t="s">
        <v>5676</v>
      </c>
      <c r="H1186" s="1794">
        <v>1</v>
      </c>
      <c r="I1186" s="1794">
        <v>1</v>
      </c>
      <c r="J1186" s="2000">
        <v>2</v>
      </c>
      <c r="K1186" s="1798"/>
      <c r="L1186" s="1792">
        <v>13113140307</v>
      </c>
      <c r="M1186" s="1793">
        <v>1</v>
      </c>
      <c r="N1186" s="1793">
        <v>1</v>
      </c>
      <c r="O1186" s="1793">
        <v>2</v>
      </c>
    </row>
    <row r="1187" spans="3:15">
      <c r="C1187" s="1799" t="s">
        <v>5677</v>
      </c>
      <c r="D1187" s="1796">
        <v>1</v>
      </c>
      <c r="E1187" s="1796">
        <v>1</v>
      </c>
      <c r="F1187" s="1797">
        <v>2</v>
      </c>
      <c r="G1187" s="1999" t="s">
        <v>5677</v>
      </c>
      <c r="H1187" s="1794">
        <v>1</v>
      </c>
      <c r="I1187" s="1794">
        <v>1</v>
      </c>
      <c r="J1187" s="2000">
        <v>2</v>
      </c>
      <c r="K1187" s="1798"/>
      <c r="L1187" s="1792">
        <v>13113140403</v>
      </c>
      <c r="M1187" s="1793">
        <v>1</v>
      </c>
      <c r="N1187" s="1793">
        <v>1</v>
      </c>
      <c r="O1187" s="1793">
        <v>2</v>
      </c>
    </row>
    <row r="1188" spans="3:15">
      <c r="C1188" s="1799" t="s">
        <v>5678</v>
      </c>
      <c r="D1188" s="1796">
        <v>1</v>
      </c>
      <c r="E1188" s="1796">
        <v>1</v>
      </c>
      <c r="F1188" s="1797">
        <v>2</v>
      </c>
      <c r="G1188" s="1999" t="s">
        <v>5678</v>
      </c>
      <c r="H1188" s="1794">
        <v>1</v>
      </c>
      <c r="I1188" s="1794">
        <v>1</v>
      </c>
      <c r="J1188" s="2000">
        <v>2</v>
      </c>
      <c r="K1188" s="1798"/>
      <c r="L1188" s="1792">
        <v>13113140404</v>
      </c>
      <c r="M1188" s="1793">
        <v>1</v>
      </c>
      <c r="N1188" s="1793">
        <v>1</v>
      </c>
      <c r="O1188" s="1793">
        <v>2</v>
      </c>
    </row>
    <row r="1189" spans="3:15">
      <c r="C1189" s="1799" t="s">
        <v>5679</v>
      </c>
      <c r="D1189" s="1796">
        <v>1</v>
      </c>
      <c r="E1189" s="1796">
        <v>1</v>
      </c>
      <c r="F1189" s="1797">
        <v>2</v>
      </c>
      <c r="G1189" s="1999" t="s">
        <v>5679</v>
      </c>
      <c r="H1189" s="1794">
        <v>1</v>
      </c>
      <c r="I1189" s="1794">
        <v>1</v>
      </c>
      <c r="J1189" s="2000">
        <v>2</v>
      </c>
      <c r="K1189" s="1798"/>
      <c r="L1189" s="1792">
        <v>13113140405</v>
      </c>
      <c r="M1189" s="1793">
        <v>1</v>
      </c>
      <c r="N1189" s="1793">
        <v>1</v>
      </c>
      <c r="O1189" s="1793">
        <v>2</v>
      </c>
    </row>
    <row r="1190" spans="3:15">
      <c r="C1190" s="1799" t="s">
        <v>5680</v>
      </c>
      <c r="D1190" s="1796">
        <v>0</v>
      </c>
      <c r="E1190" s="1796">
        <v>1</v>
      </c>
      <c r="F1190" s="1797">
        <v>1</v>
      </c>
      <c r="G1190" s="1999" t="s">
        <v>5680</v>
      </c>
      <c r="H1190" s="1794">
        <v>0</v>
      </c>
      <c r="I1190" s="1794">
        <v>1</v>
      </c>
      <c r="J1190" s="2000">
        <v>1</v>
      </c>
      <c r="K1190" s="1798"/>
      <c r="L1190" s="1792">
        <v>13113140406</v>
      </c>
      <c r="M1190" s="1793">
        <v>0</v>
      </c>
      <c r="N1190" s="1793">
        <v>1</v>
      </c>
      <c r="O1190" s="1793">
        <v>1</v>
      </c>
    </row>
    <row r="1191" spans="3:15">
      <c r="C1191" s="1799" t="s">
        <v>5681</v>
      </c>
      <c r="D1191" s="1796">
        <v>1</v>
      </c>
      <c r="E1191" s="1796">
        <v>1</v>
      </c>
      <c r="F1191" s="1797">
        <v>2</v>
      </c>
      <c r="G1191" s="1999" t="s">
        <v>5681</v>
      </c>
      <c r="H1191" s="1794">
        <v>1</v>
      </c>
      <c r="I1191" s="1794">
        <v>1</v>
      </c>
      <c r="J1191" s="2000">
        <v>2</v>
      </c>
      <c r="K1191" s="1798"/>
      <c r="L1191" s="1792">
        <v>13113140407</v>
      </c>
      <c r="M1191" s="1793">
        <v>1</v>
      </c>
      <c r="N1191" s="1793">
        <v>1</v>
      </c>
      <c r="O1191" s="1793">
        <v>2</v>
      </c>
    </row>
    <row r="1192" spans="3:15">
      <c r="C1192" s="1799" t="s">
        <v>5682</v>
      </c>
      <c r="D1192" s="1796">
        <v>1</v>
      </c>
      <c r="E1192" s="1796">
        <v>1</v>
      </c>
      <c r="F1192" s="1797">
        <v>2</v>
      </c>
      <c r="G1192" s="1999" t="s">
        <v>5682</v>
      </c>
      <c r="H1192" s="1794">
        <v>1</v>
      </c>
      <c r="I1192" s="1794">
        <v>1</v>
      </c>
      <c r="J1192" s="2000">
        <v>2</v>
      </c>
      <c r="K1192" s="1798"/>
      <c r="L1192" s="1792">
        <v>13113140408</v>
      </c>
      <c r="M1192" s="1793">
        <v>1</v>
      </c>
      <c r="N1192" s="1793">
        <v>1</v>
      </c>
      <c r="O1192" s="1793">
        <v>2</v>
      </c>
    </row>
    <row r="1193" spans="3:15">
      <c r="C1193" s="1799" t="s">
        <v>5683</v>
      </c>
      <c r="D1193" s="1796">
        <v>1</v>
      </c>
      <c r="E1193" s="1796">
        <v>1</v>
      </c>
      <c r="F1193" s="1797">
        <v>2</v>
      </c>
      <c r="G1193" s="1999" t="s">
        <v>5683</v>
      </c>
      <c r="H1193" s="1794">
        <v>1</v>
      </c>
      <c r="I1193" s="1794">
        <v>1</v>
      </c>
      <c r="J1193" s="2000">
        <v>2</v>
      </c>
      <c r="K1193" s="1798"/>
      <c r="L1193" s="1792">
        <v>13113140501</v>
      </c>
      <c r="M1193" s="1793">
        <v>1</v>
      </c>
      <c r="N1193" s="1793">
        <v>1</v>
      </c>
      <c r="O1193" s="1793">
        <v>2</v>
      </c>
    </row>
    <row r="1194" spans="3:15">
      <c r="C1194" s="1799" t="s">
        <v>5684</v>
      </c>
      <c r="D1194" s="1796">
        <v>1</v>
      </c>
      <c r="E1194" s="1796">
        <v>1</v>
      </c>
      <c r="F1194" s="1797">
        <v>2</v>
      </c>
      <c r="G1194" s="1999" t="s">
        <v>5684</v>
      </c>
      <c r="H1194" s="1794">
        <v>1</v>
      </c>
      <c r="I1194" s="1794">
        <v>1</v>
      </c>
      <c r="J1194" s="2000">
        <v>2</v>
      </c>
      <c r="K1194" s="1798"/>
      <c r="L1194" s="1792">
        <v>13113140502</v>
      </c>
      <c r="M1194" s="1793">
        <v>1</v>
      </c>
      <c r="N1194" s="1793">
        <v>1</v>
      </c>
      <c r="O1194" s="1793">
        <v>2</v>
      </c>
    </row>
    <row r="1195" spans="3:15">
      <c r="C1195" s="1799" t="s">
        <v>5685</v>
      </c>
      <c r="D1195" s="1796">
        <v>0</v>
      </c>
      <c r="E1195" s="1796">
        <v>0</v>
      </c>
      <c r="F1195" s="1797">
        <v>0</v>
      </c>
      <c r="G1195" s="1999" t="s">
        <v>5685</v>
      </c>
      <c r="H1195" s="1794">
        <v>0</v>
      </c>
      <c r="I1195" s="1794">
        <v>1</v>
      </c>
      <c r="J1195" s="2000">
        <v>1</v>
      </c>
      <c r="K1195" s="1798"/>
      <c r="L1195" s="1792">
        <v>13115000100</v>
      </c>
      <c r="M1195" s="1793">
        <v>0</v>
      </c>
      <c r="N1195" s="1793">
        <v>1</v>
      </c>
      <c r="O1195" s="1793">
        <v>1</v>
      </c>
    </row>
    <row r="1196" spans="3:15">
      <c r="C1196" s="1799" t="s">
        <v>5686</v>
      </c>
      <c r="D1196" s="1796">
        <v>1</v>
      </c>
      <c r="E1196" s="1796">
        <v>1</v>
      </c>
      <c r="F1196" s="1797">
        <v>2</v>
      </c>
      <c r="G1196" s="1999" t="s">
        <v>5686</v>
      </c>
      <c r="H1196" s="1794">
        <v>1</v>
      </c>
      <c r="I1196" s="1794">
        <v>0</v>
      </c>
      <c r="J1196" s="2000">
        <v>1</v>
      </c>
      <c r="K1196" s="1798"/>
      <c r="L1196" s="1792">
        <v>13115000201</v>
      </c>
      <c r="M1196" s="1793">
        <v>1</v>
      </c>
      <c r="N1196" s="1793">
        <v>1</v>
      </c>
      <c r="O1196" s="1793">
        <v>2</v>
      </c>
    </row>
    <row r="1197" spans="3:15">
      <c r="C1197" s="1799" t="s">
        <v>5687</v>
      </c>
      <c r="D1197" s="1796">
        <v>1</v>
      </c>
      <c r="E1197" s="1796">
        <v>1</v>
      </c>
      <c r="F1197" s="1797">
        <v>2</v>
      </c>
      <c r="G1197" s="1999" t="s">
        <v>5687</v>
      </c>
      <c r="H1197" s="1794">
        <v>1</v>
      </c>
      <c r="I1197" s="1794">
        <v>1</v>
      </c>
      <c r="J1197" s="2000">
        <v>2</v>
      </c>
      <c r="K1197" s="1798"/>
      <c r="L1197" s="1792">
        <v>13115000202</v>
      </c>
      <c r="M1197" s="1793">
        <v>1</v>
      </c>
      <c r="N1197" s="1793">
        <v>1</v>
      </c>
      <c r="O1197" s="1794">
        <v>2</v>
      </c>
    </row>
    <row r="1198" spans="3:15">
      <c r="C1198" s="1799" t="s">
        <v>5688</v>
      </c>
      <c r="D1198" s="1796">
        <v>1</v>
      </c>
      <c r="E1198" s="1796">
        <v>1</v>
      </c>
      <c r="F1198" s="1797">
        <v>2</v>
      </c>
      <c r="G1198" s="1999" t="s">
        <v>5688</v>
      </c>
      <c r="H1198" s="1794">
        <v>1</v>
      </c>
      <c r="I1198" s="1794">
        <v>1</v>
      </c>
      <c r="J1198" s="2000">
        <v>2</v>
      </c>
      <c r="K1198" s="1798"/>
      <c r="L1198" s="1792">
        <v>13115000300</v>
      </c>
      <c r="M1198" s="1793">
        <v>1</v>
      </c>
      <c r="N1198" s="1793">
        <v>1</v>
      </c>
      <c r="O1198" s="1794">
        <v>2</v>
      </c>
    </row>
    <row r="1199" spans="3:15">
      <c r="C1199" s="1799" t="s">
        <v>5689</v>
      </c>
      <c r="D1199" s="1796">
        <v>0</v>
      </c>
      <c r="E1199" s="1796">
        <v>0</v>
      </c>
      <c r="F1199" s="1797">
        <v>0</v>
      </c>
      <c r="G1199" s="1999" t="s">
        <v>5689</v>
      </c>
      <c r="H1199" s="1794">
        <v>0</v>
      </c>
      <c r="I1199" s="1794">
        <v>1</v>
      </c>
      <c r="J1199" s="2000">
        <v>1</v>
      </c>
      <c r="K1199" s="1798"/>
      <c r="L1199" s="1792">
        <v>13115000400</v>
      </c>
      <c r="M1199" s="1793">
        <v>0</v>
      </c>
      <c r="N1199" s="1793">
        <v>1</v>
      </c>
      <c r="O1199" s="1794">
        <v>1</v>
      </c>
    </row>
    <row r="1200" spans="3:15">
      <c r="C1200" s="1799" t="s">
        <v>5690</v>
      </c>
      <c r="D1200" s="1796">
        <v>0</v>
      </c>
      <c r="E1200" s="1796">
        <v>0</v>
      </c>
      <c r="F1200" s="1797">
        <v>0</v>
      </c>
      <c r="G1200" s="1999" t="s">
        <v>5690</v>
      </c>
      <c r="H1200" s="1794">
        <v>0</v>
      </c>
      <c r="I1200" s="1794">
        <v>0</v>
      </c>
      <c r="J1200" s="2000">
        <v>0</v>
      </c>
      <c r="K1200" s="1798"/>
      <c r="L1200" s="1792">
        <v>13115000500</v>
      </c>
      <c r="M1200" s="1793">
        <v>0</v>
      </c>
      <c r="N1200" s="1793">
        <v>0</v>
      </c>
      <c r="O1200" s="1794">
        <v>0</v>
      </c>
    </row>
    <row r="1201" spans="3:15">
      <c r="C1201" s="1799" t="s">
        <v>5691</v>
      </c>
      <c r="D1201" s="1796">
        <v>0</v>
      </c>
      <c r="E1201" s="1796">
        <v>0</v>
      </c>
      <c r="F1201" s="1797">
        <v>0</v>
      </c>
      <c r="G1201" s="1999" t="s">
        <v>5691</v>
      </c>
      <c r="H1201" s="1794">
        <v>0</v>
      </c>
      <c r="I1201" s="1794">
        <v>0</v>
      </c>
      <c r="J1201" s="2000">
        <v>0</v>
      </c>
      <c r="K1201" s="1798"/>
      <c r="L1201" s="1792">
        <v>13115000600</v>
      </c>
      <c r="M1201" s="1793">
        <v>0</v>
      </c>
      <c r="N1201" s="1793">
        <v>0</v>
      </c>
      <c r="O1201" s="1794">
        <v>0</v>
      </c>
    </row>
    <row r="1202" spans="3:15">
      <c r="C1202" s="1799" t="s">
        <v>5692</v>
      </c>
      <c r="D1202" s="1796">
        <v>1</v>
      </c>
      <c r="E1202" s="1796">
        <v>1</v>
      </c>
      <c r="F1202" s="1797">
        <v>2</v>
      </c>
      <c r="G1202" s="1999" t="s">
        <v>5692</v>
      </c>
      <c r="H1202" s="1794">
        <v>0</v>
      </c>
      <c r="I1202" s="1794">
        <v>1</v>
      </c>
      <c r="J1202" s="2000">
        <v>1</v>
      </c>
      <c r="K1202" s="1798"/>
      <c r="L1202" s="1792">
        <v>13115000700</v>
      </c>
      <c r="M1202" s="1793">
        <v>1</v>
      </c>
      <c r="N1202" s="1793">
        <v>1</v>
      </c>
      <c r="O1202" s="1794">
        <v>2</v>
      </c>
    </row>
    <row r="1203" spans="3:15">
      <c r="C1203" s="1799" t="s">
        <v>5693</v>
      </c>
      <c r="D1203" s="1796">
        <v>1</v>
      </c>
      <c r="E1203" s="1796">
        <v>1</v>
      </c>
      <c r="F1203" s="1797">
        <v>2</v>
      </c>
      <c r="G1203" s="1999" t="s">
        <v>5693</v>
      </c>
      <c r="H1203" s="1794">
        <v>1</v>
      </c>
      <c r="I1203" s="1794">
        <v>1</v>
      </c>
      <c r="J1203" s="2000">
        <v>2</v>
      </c>
      <c r="K1203" s="1798"/>
      <c r="L1203" s="1792">
        <v>13115000800</v>
      </c>
      <c r="M1203" s="1793">
        <v>1</v>
      </c>
      <c r="N1203" s="1793">
        <v>1</v>
      </c>
      <c r="O1203" s="1794">
        <v>2</v>
      </c>
    </row>
    <row r="1204" spans="3:15">
      <c r="C1204" s="1799" t="s">
        <v>5694</v>
      </c>
      <c r="D1204" s="1796">
        <v>0</v>
      </c>
      <c r="E1204" s="1796">
        <v>1</v>
      </c>
      <c r="F1204" s="1797">
        <v>1</v>
      </c>
      <c r="G1204" s="1999" t="s">
        <v>5694</v>
      </c>
      <c r="H1204" s="1794">
        <v>0</v>
      </c>
      <c r="I1204" s="1794">
        <v>1</v>
      </c>
      <c r="J1204" s="2000">
        <v>1</v>
      </c>
      <c r="K1204" s="1798"/>
      <c r="L1204" s="1792">
        <v>13115000900</v>
      </c>
      <c r="M1204" s="1793">
        <v>0</v>
      </c>
      <c r="N1204" s="1793">
        <v>1</v>
      </c>
      <c r="O1204" s="1794">
        <v>1</v>
      </c>
    </row>
    <row r="1205" spans="3:15">
      <c r="C1205" s="1799" t="s">
        <v>5695</v>
      </c>
      <c r="D1205" s="1796">
        <v>0</v>
      </c>
      <c r="E1205" s="1796">
        <v>0</v>
      </c>
      <c r="F1205" s="1797">
        <v>0</v>
      </c>
      <c r="G1205" s="1999" t="s">
        <v>5695</v>
      </c>
      <c r="H1205" s="1794">
        <v>0</v>
      </c>
      <c r="I1205" s="1794">
        <v>0</v>
      </c>
      <c r="J1205" s="2000">
        <v>0</v>
      </c>
      <c r="K1205" s="1798"/>
      <c r="L1205" s="1792">
        <v>13115001100</v>
      </c>
      <c r="M1205" s="1793">
        <v>0</v>
      </c>
      <c r="N1205" s="1793">
        <v>0</v>
      </c>
      <c r="O1205" s="1794">
        <v>0</v>
      </c>
    </row>
    <row r="1206" spans="3:15">
      <c r="C1206" s="1799" t="s">
        <v>5696</v>
      </c>
      <c r="D1206" s="1796">
        <v>0</v>
      </c>
      <c r="E1206" s="1796">
        <v>0</v>
      </c>
      <c r="F1206" s="1797">
        <v>0</v>
      </c>
      <c r="G1206" s="1999" t="s">
        <v>5696</v>
      </c>
      <c r="H1206" s="1794">
        <v>0</v>
      </c>
      <c r="I1206" s="1794">
        <v>0</v>
      </c>
      <c r="J1206" s="2000">
        <v>0</v>
      </c>
      <c r="K1206" s="1798"/>
      <c r="L1206" s="1792">
        <v>13115001200</v>
      </c>
      <c r="M1206" s="1793">
        <v>0</v>
      </c>
      <c r="N1206" s="1793">
        <v>0</v>
      </c>
      <c r="O1206" s="1794">
        <v>0</v>
      </c>
    </row>
    <row r="1207" spans="3:15">
      <c r="C1207" s="1799" t="s">
        <v>5697</v>
      </c>
      <c r="D1207" s="1796">
        <v>0</v>
      </c>
      <c r="E1207" s="1796">
        <v>0</v>
      </c>
      <c r="F1207" s="1797">
        <v>0</v>
      </c>
      <c r="G1207" s="1999" t="s">
        <v>5697</v>
      </c>
      <c r="H1207" s="1794">
        <v>0</v>
      </c>
      <c r="I1207" s="1794">
        <v>0</v>
      </c>
      <c r="J1207" s="2000">
        <v>0</v>
      </c>
      <c r="K1207" s="1798"/>
      <c r="L1207" s="1792">
        <v>13115001300</v>
      </c>
      <c r="M1207" s="1793">
        <v>0</v>
      </c>
      <c r="N1207" s="1793">
        <v>0</v>
      </c>
      <c r="O1207" s="1794">
        <v>0</v>
      </c>
    </row>
    <row r="1208" spans="3:15">
      <c r="C1208" s="1799" t="s">
        <v>5698</v>
      </c>
      <c r="D1208" s="1796">
        <v>1</v>
      </c>
      <c r="E1208" s="1796">
        <v>1</v>
      </c>
      <c r="F1208" s="1797">
        <v>2</v>
      </c>
      <c r="G1208" s="1999" t="s">
        <v>5698</v>
      </c>
      <c r="H1208" s="1794">
        <v>0</v>
      </c>
      <c r="I1208" s="1794">
        <v>1</v>
      </c>
      <c r="J1208" s="2000">
        <v>1</v>
      </c>
      <c r="K1208" s="1798"/>
      <c r="L1208" s="1792">
        <v>13115001400</v>
      </c>
      <c r="M1208" s="1793">
        <v>1</v>
      </c>
      <c r="N1208" s="1793">
        <v>1</v>
      </c>
      <c r="O1208" s="1794">
        <v>2</v>
      </c>
    </row>
    <row r="1209" spans="3:15">
      <c r="C1209" s="1799" t="s">
        <v>5699</v>
      </c>
      <c r="D1209" s="1796">
        <v>0</v>
      </c>
      <c r="E1209" s="1796">
        <v>0</v>
      </c>
      <c r="F1209" s="1797">
        <v>0</v>
      </c>
      <c r="G1209" s="1999" t="s">
        <v>5699</v>
      </c>
      <c r="H1209" s="1794">
        <v>0</v>
      </c>
      <c r="I1209" s="1794">
        <v>0</v>
      </c>
      <c r="J1209" s="2000">
        <v>0</v>
      </c>
      <c r="K1209" s="1798"/>
      <c r="L1209" s="1792">
        <v>13115001600</v>
      </c>
      <c r="M1209" s="1793">
        <v>0</v>
      </c>
      <c r="N1209" s="1793">
        <v>0</v>
      </c>
      <c r="O1209" s="1794">
        <v>0</v>
      </c>
    </row>
    <row r="1210" spans="3:15">
      <c r="C1210" s="1799" t="s">
        <v>5700</v>
      </c>
      <c r="D1210" s="1796">
        <v>1</v>
      </c>
      <c r="E1210" s="1796">
        <v>0</v>
      </c>
      <c r="F1210" s="1797">
        <v>1</v>
      </c>
      <c r="G1210" s="1999" t="s">
        <v>5700</v>
      </c>
      <c r="H1210" s="1794">
        <v>1</v>
      </c>
      <c r="I1210" s="1794">
        <v>1</v>
      </c>
      <c r="J1210" s="2000">
        <v>2</v>
      </c>
      <c r="K1210" s="1798"/>
      <c r="L1210" s="1792">
        <v>13115001701</v>
      </c>
      <c r="M1210" s="1793">
        <v>1</v>
      </c>
      <c r="N1210" s="1793">
        <v>1</v>
      </c>
      <c r="O1210" s="1794">
        <v>2</v>
      </c>
    </row>
    <row r="1211" spans="3:15">
      <c r="C1211" s="1799" t="s">
        <v>5701</v>
      </c>
      <c r="D1211" s="1796">
        <v>1</v>
      </c>
      <c r="E1211" s="1796">
        <v>1</v>
      </c>
      <c r="F1211" s="1797">
        <v>2</v>
      </c>
      <c r="G1211" s="1999" t="s">
        <v>5701</v>
      </c>
      <c r="H1211" s="1794">
        <v>0</v>
      </c>
      <c r="I1211" s="1794">
        <v>0</v>
      </c>
      <c r="J1211" s="2000">
        <v>0</v>
      </c>
      <c r="K1211" s="1798"/>
      <c r="L1211" s="1792">
        <v>13115001702</v>
      </c>
      <c r="M1211" s="1793">
        <v>1</v>
      </c>
      <c r="N1211" s="1793">
        <v>1</v>
      </c>
      <c r="O1211" s="1794">
        <v>2</v>
      </c>
    </row>
    <row r="1212" spans="3:15">
      <c r="C1212" s="1799" t="s">
        <v>5702</v>
      </c>
      <c r="D1212" s="1796">
        <v>0</v>
      </c>
      <c r="E1212" s="1796">
        <v>0</v>
      </c>
      <c r="F1212" s="1797">
        <v>0</v>
      </c>
      <c r="G1212" s="1999" t="s">
        <v>5702</v>
      </c>
      <c r="H1212" s="1794">
        <v>0</v>
      </c>
      <c r="I1212" s="1794">
        <v>0</v>
      </c>
      <c r="J1212" s="2000">
        <v>0</v>
      </c>
      <c r="K1212" s="1798"/>
      <c r="L1212" s="1792">
        <v>13115001800</v>
      </c>
      <c r="M1212" s="1793">
        <v>0</v>
      </c>
      <c r="N1212" s="1793">
        <v>0</v>
      </c>
      <c r="O1212" s="1794">
        <v>0</v>
      </c>
    </row>
    <row r="1213" spans="3:15">
      <c r="C1213" s="1799" t="s">
        <v>5703</v>
      </c>
      <c r="D1213" s="1796">
        <v>0</v>
      </c>
      <c r="E1213" s="1796">
        <v>0</v>
      </c>
      <c r="F1213" s="1797">
        <v>0</v>
      </c>
      <c r="G1213" s="1999" t="s">
        <v>5703</v>
      </c>
      <c r="H1213" s="1794">
        <v>0</v>
      </c>
      <c r="I1213" s="1794">
        <v>0</v>
      </c>
      <c r="J1213" s="2000">
        <v>0</v>
      </c>
      <c r="K1213" s="1798"/>
      <c r="L1213" s="1792">
        <v>13115002000</v>
      </c>
      <c r="M1213" s="1793">
        <v>0</v>
      </c>
      <c r="N1213" s="1793">
        <v>0</v>
      </c>
      <c r="O1213" s="1794">
        <v>0</v>
      </c>
    </row>
    <row r="1214" spans="3:15">
      <c r="C1214" s="1799" t="s">
        <v>5704</v>
      </c>
      <c r="D1214" s="1796">
        <v>0</v>
      </c>
      <c r="E1214" s="1796">
        <v>0</v>
      </c>
      <c r="F1214" s="1797">
        <v>0</v>
      </c>
      <c r="G1214" s="1999" t="s">
        <v>5704</v>
      </c>
      <c r="H1214" s="1794">
        <v>0</v>
      </c>
      <c r="I1214" s="1794">
        <v>0</v>
      </c>
      <c r="J1214" s="2000">
        <v>0</v>
      </c>
      <c r="K1214" s="1798"/>
      <c r="L1214" s="1792">
        <v>13115002100</v>
      </c>
      <c r="M1214" s="1793">
        <v>0</v>
      </c>
      <c r="N1214" s="1793">
        <v>0</v>
      </c>
      <c r="O1214" s="1794">
        <v>0</v>
      </c>
    </row>
    <row r="1215" spans="3:15">
      <c r="C1215" s="1799" t="s">
        <v>5705</v>
      </c>
      <c r="D1215" s="1796">
        <v>1</v>
      </c>
      <c r="E1215" s="1796">
        <v>1</v>
      </c>
      <c r="F1215" s="1797">
        <v>2</v>
      </c>
      <c r="G1215" s="1999" t="s">
        <v>5705</v>
      </c>
      <c r="H1215" s="1794">
        <v>1</v>
      </c>
      <c r="I1215" s="1794">
        <v>1</v>
      </c>
      <c r="J1215" s="2000">
        <v>2</v>
      </c>
      <c r="K1215" s="1798"/>
      <c r="L1215" s="1792">
        <v>13117130101</v>
      </c>
      <c r="M1215" s="1793">
        <v>1</v>
      </c>
      <c r="N1215" s="1793">
        <v>1</v>
      </c>
      <c r="O1215" s="1794">
        <v>2</v>
      </c>
    </row>
    <row r="1216" spans="3:15">
      <c r="C1216" s="1799" t="s">
        <v>5706</v>
      </c>
      <c r="D1216" s="1796">
        <v>1</v>
      </c>
      <c r="E1216" s="1796">
        <v>1</v>
      </c>
      <c r="F1216" s="1797">
        <v>2</v>
      </c>
      <c r="G1216" s="1999" t="s">
        <v>5706</v>
      </c>
      <c r="H1216" s="1794">
        <v>1</v>
      </c>
      <c r="I1216" s="1794">
        <v>1</v>
      </c>
      <c r="J1216" s="2000">
        <v>2</v>
      </c>
      <c r="K1216" s="1798"/>
      <c r="L1216" s="1792">
        <v>13117130102</v>
      </c>
      <c r="M1216" s="1793">
        <v>1</v>
      </c>
      <c r="N1216" s="1793">
        <v>1</v>
      </c>
      <c r="O1216" s="1794">
        <v>2</v>
      </c>
    </row>
    <row r="1217" spans="3:15">
      <c r="C1217" s="1799" t="s">
        <v>5707</v>
      </c>
      <c r="D1217" s="1796">
        <v>1</v>
      </c>
      <c r="E1217" s="1796">
        <v>1</v>
      </c>
      <c r="F1217" s="1797">
        <v>2</v>
      </c>
      <c r="G1217" s="1999" t="s">
        <v>5707</v>
      </c>
      <c r="H1217" s="1794">
        <v>1</v>
      </c>
      <c r="I1217" s="1794">
        <v>0</v>
      </c>
      <c r="J1217" s="2000">
        <v>1</v>
      </c>
      <c r="K1217" s="1798"/>
      <c r="L1217" s="1792">
        <v>13117130103</v>
      </c>
      <c r="M1217" s="1793">
        <v>1</v>
      </c>
      <c r="N1217" s="1793">
        <v>1</v>
      </c>
      <c r="O1217" s="1794">
        <v>2</v>
      </c>
    </row>
    <row r="1218" spans="3:15">
      <c r="C1218" s="1799" t="s">
        <v>5708</v>
      </c>
      <c r="D1218" s="1796">
        <v>1</v>
      </c>
      <c r="E1218" s="1796">
        <v>1</v>
      </c>
      <c r="F1218" s="1797">
        <v>2</v>
      </c>
      <c r="G1218" s="1999" t="s">
        <v>5708</v>
      </c>
      <c r="H1218" s="1794">
        <v>1</v>
      </c>
      <c r="I1218" s="1794">
        <v>1</v>
      </c>
      <c r="J1218" s="2000">
        <v>2</v>
      </c>
      <c r="K1218" s="1798"/>
      <c r="L1218" s="1792">
        <v>13117130104</v>
      </c>
      <c r="M1218" s="1793">
        <v>1</v>
      </c>
      <c r="N1218" s="1793">
        <v>1</v>
      </c>
      <c r="O1218" s="1794">
        <v>2</v>
      </c>
    </row>
    <row r="1219" spans="3:15">
      <c r="C1219" s="1799" t="s">
        <v>5709</v>
      </c>
      <c r="D1219" s="1796">
        <v>0</v>
      </c>
      <c r="E1219" s="1796">
        <v>0</v>
      </c>
      <c r="F1219" s="1797">
        <v>0</v>
      </c>
      <c r="G1219" s="1999" t="s">
        <v>5709</v>
      </c>
      <c r="H1219" s="1794">
        <v>0</v>
      </c>
      <c r="I1219" s="1794">
        <v>1</v>
      </c>
      <c r="J1219" s="2000">
        <v>1</v>
      </c>
      <c r="K1219" s="1798"/>
      <c r="L1219" s="1792">
        <v>13117130105</v>
      </c>
      <c r="M1219" s="1793">
        <v>0</v>
      </c>
      <c r="N1219" s="1793">
        <v>1</v>
      </c>
      <c r="O1219" s="1794">
        <v>1</v>
      </c>
    </row>
    <row r="1220" spans="3:15">
      <c r="C1220" s="1799" t="s">
        <v>5710</v>
      </c>
      <c r="D1220" s="1796">
        <v>1</v>
      </c>
      <c r="E1220" s="1796">
        <v>1</v>
      </c>
      <c r="F1220" s="1797">
        <v>2</v>
      </c>
      <c r="G1220" s="1999" t="s">
        <v>5710</v>
      </c>
      <c r="H1220" s="1794">
        <v>1</v>
      </c>
      <c r="I1220" s="1794">
        <v>1</v>
      </c>
      <c r="J1220" s="2000">
        <v>2</v>
      </c>
      <c r="K1220" s="1798"/>
      <c r="L1220" s="1792">
        <v>13117130201</v>
      </c>
      <c r="M1220" s="1793">
        <v>1</v>
      </c>
      <c r="N1220" s="1793">
        <v>1</v>
      </c>
      <c r="O1220" s="1794">
        <v>2</v>
      </c>
    </row>
    <row r="1221" spans="3:15">
      <c r="C1221" s="1799" t="s">
        <v>5711</v>
      </c>
      <c r="D1221" s="1796">
        <v>1</v>
      </c>
      <c r="E1221" s="1796">
        <v>1</v>
      </c>
      <c r="F1221" s="1797">
        <v>2</v>
      </c>
      <c r="G1221" s="1999" t="s">
        <v>5711</v>
      </c>
      <c r="H1221" s="1794">
        <v>1</v>
      </c>
      <c r="I1221" s="1794" t="s">
        <v>4485</v>
      </c>
      <c r="J1221" s="2000">
        <v>1</v>
      </c>
      <c r="K1221" s="1798"/>
      <c r="L1221" s="1792">
        <v>13117130202</v>
      </c>
      <c r="M1221" s="1793">
        <v>1</v>
      </c>
      <c r="N1221" s="1793">
        <v>1</v>
      </c>
      <c r="O1221" s="1794">
        <v>2</v>
      </c>
    </row>
    <row r="1222" spans="3:15">
      <c r="C1222" s="1799" t="s">
        <v>5712</v>
      </c>
      <c r="D1222" s="1796">
        <v>1</v>
      </c>
      <c r="E1222" s="1796">
        <v>1</v>
      </c>
      <c r="F1222" s="1797">
        <v>2</v>
      </c>
      <c r="G1222" s="1999" t="s">
        <v>5712</v>
      </c>
      <c r="H1222" s="1794">
        <v>1</v>
      </c>
      <c r="I1222" s="1794">
        <v>1</v>
      </c>
      <c r="J1222" s="2000">
        <v>2</v>
      </c>
      <c r="K1222" s="1798"/>
      <c r="L1222" s="1792">
        <v>13117130203</v>
      </c>
      <c r="M1222" s="1793">
        <v>1</v>
      </c>
      <c r="N1222" s="1793">
        <v>1</v>
      </c>
      <c r="O1222" s="1794">
        <v>2</v>
      </c>
    </row>
    <row r="1223" spans="3:15">
      <c r="C1223" s="1799" t="s">
        <v>5713</v>
      </c>
      <c r="D1223" s="1796">
        <v>1</v>
      </c>
      <c r="E1223" s="1796">
        <v>0</v>
      </c>
      <c r="F1223" s="1797">
        <v>1</v>
      </c>
      <c r="G1223" s="1999" t="s">
        <v>5713</v>
      </c>
      <c r="H1223" s="1794">
        <v>1</v>
      </c>
      <c r="I1223" s="1794">
        <v>0</v>
      </c>
      <c r="J1223" s="2000">
        <v>1</v>
      </c>
      <c r="K1223" s="1798"/>
      <c r="L1223" s="1792">
        <v>13117130204</v>
      </c>
      <c r="M1223" s="1793">
        <v>1</v>
      </c>
      <c r="N1223" s="1793">
        <v>0</v>
      </c>
      <c r="O1223" s="1794">
        <v>1</v>
      </c>
    </row>
    <row r="1224" spans="3:15">
      <c r="C1224" s="1799" t="s">
        <v>5714</v>
      </c>
      <c r="D1224" s="1796">
        <v>1</v>
      </c>
      <c r="E1224" s="1796">
        <v>1</v>
      </c>
      <c r="F1224" s="1797">
        <v>2</v>
      </c>
      <c r="G1224" s="1999" t="s">
        <v>5714</v>
      </c>
      <c r="H1224" s="1794">
        <v>1</v>
      </c>
      <c r="I1224" s="1794" t="s">
        <v>4485</v>
      </c>
      <c r="J1224" s="2000">
        <v>1</v>
      </c>
      <c r="K1224" s="1798"/>
      <c r="L1224" s="1792">
        <v>13117130205</v>
      </c>
      <c r="M1224" s="1793">
        <v>1</v>
      </c>
      <c r="N1224" s="1793">
        <v>1</v>
      </c>
      <c r="O1224" s="1794">
        <v>2</v>
      </c>
    </row>
    <row r="1225" spans="3:15">
      <c r="C1225" s="1799" t="s">
        <v>5715</v>
      </c>
      <c r="D1225" s="1796">
        <v>1</v>
      </c>
      <c r="E1225" s="1796">
        <v>1</v>
      </c>
      <c r="F1225" s="1797">
        <v>2</v>
      </c>
      <c r="G1225" s="1999" t="s">
        <v>5715</v>
      </c>
      <c r="H1225" s="1794">
        <v>1</v>
      </c>
      <c r="I1225" s="1794">
        <v>1</v>
      </c>
      <c r="J1225" s="2000">
        <v>2</v>
      </c>
      <c r="K1225" s="1798"/>
      <c r="L1225" s="1792">
        <v>13117130301</v>
      </c>
      <c r="M1225" s="1793">
        <v>1</v>
      </c>
      <c r="N1225" s="1793">
        <v>1</v>
      </c>
      <c r="O1225" s="1794">
        <v>2</v>
      </c>
    </row>
    <row r="1226" spans="3:15">
      <c r="C1226" s="1799" t="s">
        <v>5716</v>
      </c>
      <c r="D1226" s="1796">
        <v>1</v>
      </c>
      <c r="E1226" s="1796">
        <v>1</v>
      </c>
      <c r="F1226" s="1797">
        <v>2</v>
      </c>
      <c r="G1226" s="1999" t="s">
        <v>5716</v>
      </c>
      <c r="H1226" s="1794">
        <v>1</v>
      </c>
      <c r="I1226" s="1794">
        <v>1</v>
      </c>
      <c r="J1226" s="2000">
        <v>2</v>
      </c>
      <c r="K1226" s="1798"/>
      <c r="L1226" s="1792">
        <v>13117130302</v>
      </c>
      <c r="M1226" s="1793">
        <v>1</v>
      </c>
      <c r="N1226" s="1793">
        <v>1</v>
      </c>
      <c r="O1226" s="1794">
        <v>2</v>
      </c>
    </row>
    <row r="1227" spans="3:15">
      <c r="C1227" s="1799" t="s">
        <v>5717</v>
      </c>
      <c r="D1227" s="1796">
        <v>1</v>
      </c>
      <c r="E1227" s="1796">
        <v>1</v>
      </c>
      <c r="F1227" s="1797">
        <v>2</v>
      </c>
      <c r="G1227" s="1999" t="s">
        <v>5717</v>
      </c>
      <c r="H1227" s="1794">
        <v>1</v>
      </c>
      <c r="I1227" s="1794">
        <v>1</v>
      </c>
      <c r="J1227" s="2000">
        <v>2</v>
      </c>
      <c r="K1227" s="1798"/>
      <c r="L1227" s="1792">
        <v>13117130303</v>
      </c>
      <c r="M1227" s="1793">
        <v>1</v>
      </c>
      <c r="N1227" s="1793">
        <v>1</v>
      </c>
      <c r="O1227" s="1794">
        <v>2</v>
      </c>
    </row>
    <row r="1228" spans="3:15">
      <c r="C1228" s="1799" t="s">
        <v>5718</v>
      </c>
      <c r="D1228" s="1796">
        <v>1</v>
      </c>
      <c r="E1228" s="1796">
        <v>1</v>
      </c>
      <c r="F1228" s="1797">
        <v>2</v>
      </c>
      <c r="G1228" s="1999" t="s">
        <v>5718</v>
      </c>
      <c r="H1228" s="1794">
        <v>1</v>
      </c>
      <c r="I1228" s="1794">
        <v>1</v>
      </c>
      <c r="J1228" s="2000">
        <v>2</v>
      </c>
      <c r="K1228" s="1798"/>
      <c r="L1228" s="1792">
        <v>13117130304</v>
      </c>
      <c r="M1228" s="1793">
        <v>1</v>
      </c>
      <c r="N1228" s="1793">
        <v>1</v>
      </c>
      <c r="O1228" s="1794">
        <v>2</v>
      </c>
    </row>
    <row r="1229" spans="3:15">
      <c r="C1229" s="1799" t="s">
        <v>5719</v>
      </c>
      <c r="D1229" s="1796">
        <v>1</v>
      </c>
      <c r="E1229" s="1796">
        <v>1</v>
      </c>
      <c r="F1229" s="1797">
        <v>2</v>
      </c>
      <c r="G1229" s="1999" t="s">
        <v>5719</v>
      </c>
      <c r="H1229" s="1794">
        <v>1</v>
      </c>
      <c r="I1229" s="1794">
        <v>1</v>
      </c>
      <c r="J1229" s="2000">
        <v>2</v>
      </c>
      <c r="K1229" s="1798"/>
      <c r="L1229" s="1792">
        <v>13117130305</v>
      </c>
      <c r="M1229" s="1793">
        <v>1</v>
      </c>
      <c r="N1229" s="1793">
        <v>1</v>
      </c>
      <c r="O1229" s="1794">
        <v>2</v>
      </c>
    </row>
    <row r="1230" spans="3:15">
      <c r="C1230" s="1799" t="s">
        <v>5720</v>
      </c>
      <c r="D1230" s="1796">
        <v>1</v>
      </c>
      <c r="E1230" s="1796">
        <v>1</v>
      </c>
      <c r="F1230" s="1797">
        <v>2</v>
      </c>
      <c r="G1230" s="1999" t="s">
        <v>5720</v>
      </c>
      <c r="H1230" s="1794">
        <v>1</v>
      </c>
      <c r="I1230" s="1794">
        <v>1</v>
      </c>
      <c r="J1230" s="2000">
        <v>2</v>
      </c>
      <c r="K1230" s="1798"/>
      <c r="L1230" s="1792">
        <v>13117130306</v>
      </c>
      <c r="M1230" s="1793">
        <v>1</v>
      </c>
      <c r="N1230" s="1793">
        <v>1</v>
      </c>
      <c r="O1230" s="1794">
        <v>2</v>
      </c>
    </row>
    <row r="1231" spans="3:15">
      <c r="C1231" s="1799" t="s">
        <v>5721</v>
      </c>
      <c r="D1231" s="1796">
        <v>1</v>
      </c>
      <c r="E1231" s="1796">
        <v>1</v>
      </c>
      <c r="F1231" s="1797">
        <v>2</v>
      </c>
      <c r="G1231" s="1999" t="s">
        <v>5721</v>
      </c>
      <c r="H1231" s="1794">
        <v>1</v>
      </c>
      <c r="I1231" s="1794">
        <v>1</v>
      </c>
      <c r="J1231" s="2000">
        <v>2</v>
      </c>
      <c r="K1231" s="1798"/>
      <c r="L1231" s="1792">
        <v>13117130307</v>
      </c>
      <c r="M1231" s="1793">
        <v>1</v>
      </c>
      <c r="N1231" s="1793">
        <v>1</v>
      </c>
      <c r="O1231" s="1794">
        <v>2</v>
      </c>
    </row>
    <row r="1232" spans="3:15">
      <c r="C1232" s="1799" t="s">
        <v>5722</v>
      </c>
      <c r="D1232" s="1796">
        <v>1</v>
      </c>
      <c r="E1232" s="1796">
        <v>1</v>
      </c>
      <c r="F1232" s="1797">
        <v>2</v>
      </c>
      <c r="G1232" s="1999" t="s">
        <v>5722</v>
      </c>
      <c r="H1232" s="1794">
        <v>1</v>
      </c>
      <c r="I1232" s="1794">
        <v>1</v>
      </c>
      <c r="J1232" s="2000">
        <v>2</v>
      </c>
      <c r="K1232" s="1798"/>
      <c r="L1232" s="1792">
        <v>13117130403</v>
      </c>
      <c r="M1232" s="1793">
        <v>1</v>
      </c>
      <c r="N1232" s="1793">
        <v>1</v>
      </c>
      <c r="O1232" s="1794">
        <v>2</v>
      </c>
    </row>
    <row r="1233" spans="3:15">
      <c r="C1233" s="1799" t="s">
        <v>5723</v>
      </c>
      <c r="D1233" s="1796">
        <v>1</v>
      </c>
      <c r="E1233" s="1796">
        <v>1</v>
      </c>
      <c r="F1233" s="1797">
        <v>2</v>
      </c>
      <c r="G1233" s="1999" t="s">
        <v>5723</v>
      </c>
      <c r="H1233" s="1794">
        <v>1</v>
      </c>
      <c r="I1233" s="1794">
        <v>1</v>
      </c>
      <c r="J1233" s="2000">
        <v>2</v>
      </c>
      <c r="K1233" s="1798"/>
      <c r="L1233" s="1792">
        <v>13117130404</v>
      </c>
      <c r="M1233" s="1793">
        <v>1</v>
      </c>
      <c r="N1233" s="1793">
        <v>1</v>
      </c>
      <c r="O1233" s="1794">
        <v>2</v>
      </c>
    </row>
    <row r="1234" spans="3:15">
      <c r="C1234" s="1799" t="s">
        <v>5724</v>
      </c>
      <c r="D1234" s="1796">
        <v>1</v>
      </c>
      <c r="E1234" s="1796">
        <v>1</v>
      </c>
      <c r="F1234" s="1797">
        <v>2</v>
      </c>
      <c r="G1234" s="1999" t="s">
        <v>5724</v>
      </c>
      <c r="H1234" s="1794">
        <v>1</v>
      </c>
      <c r="I1234" s="1794">
        <v>1</v>
      </c>
      <c r="J1234" s="2000">
        <v>2</v>
      </c>
      <c r="K1234" s="1798"/>
      <c r="L1234" s="1792">
        <v>13117130405</v>
      </c>
      <c r="M1234" s="1793">
        <v>1</v>
      </c>
      <c r="N1234" s="1793">
        <v>1</v>
      </c>
      <c r="O1234" s="1794">
        <v>2</v>
      </c>
    </row>
    <row r="1235" spans="3:15">
      <c r="C1235" s="1799" t="s">
        <v>5725</v>
      </c>
      <c r="D1235" s="1796">
        <v>1</v>
      </c>
      <c r="E1235" s="1796">
        <v>0</v>
      </c>
      <c r="F1235" s="1797">
        <v>1</v>
      </c>
      <c r="G1235" s="1999" t="s">
        <v>5725</v>
      </c>
      <c r="H1235" s="1794">
        <v>1</v>
      </c>
      <c r="I1235" s="1794">
        <v>0</v>
      </c>
      <c r="J1235" s="2000">
        <v>1</v>
      </c>
      <c r="K1235" s="1798"/>
      <c r="L1235" s="1792">
        <v>13117130406</v>
      </c>
      <c r="M1235" s="1793">
        <v>1</v>
      </c>
      <c r="N1235" s="1793">
        <v>0</v>
      </c>
      <c r="O1235" s="1794">
        <v>1</v>
      </c>
    </row>
    <row r="1236" spans="3:15">
      <c r="C1236" s="1799" t="s">
        <v>5726</v>
      </c>
      <c r="D1236" s="1796">
        <v>1</v>
      </c>
      <c r="E1236" s="1796">
        <v>0</v>
      </c>
      <c r="F1236" s="1797">
        <v>1</v>
      </c>
      <c r="G1236" s="1999" t="s">
        <v>5726</v>
      </c>
      <c r="H1236" s="1794">
        <v>0</v>
      </c>
      <c r="I1236" s="1794">
        <v>0</v>
      </c>
      <c r="J1236" s="2000">
        <v>0</v>
      </c>
      <c r="K1236" s="1798"/>
      <c r="L1236" s="1792">
        <v>13117130408</v>
      </c>
      <c r="M1236" s="1793">
        <v>1</v>
      </c>
      <c r="N1236" s="1793">
        <v>0</v>
      </c>
      <c r="O1236" s="1794">
        <v>1</v>
      </c>
    </row>
    <row r="1237" spans="3:15">
      <c r="C1237" s="1799" t="s">
        <v>5727</v>
      </c>
      <c r="D1237" s="1796">
        <v>1</v>
      </c>
      <c r="E1237" s="1796">
        <v>1</v>
      </c>
      <c r="F1237" s="1797">
        <v>2</v>
      </c>
      <c r="G1237" s="1999" t="s">
        <v>5727</v>
      </c>
      <c r="H1237" s="1794">
        <v>1</v>
      </c>
      <c r="I1237" s="1794">
        <v>0</v>
      </c>
      <c r="J1237" s="2000">
        <v>1</v>
      </c>
      <c r="K1237" s="1798"/>
      <c r="L1237" s="1792">
        <v>13117130409</v>
      </c>
      <c r="M1237" s="1793">
        <v>1</v>
      </c>
      <c r="N1237" s="1793">
        <v>1</v>
      </c>
      <c r="O1237" s="1794">
        <v>2</v>
      </c>
    </row>
    <row r="1238" spans="3:15">
      <c r="C1238" s="1799" t="s">
        <v>5728</v>
      </c>
      <c r="D1238" s="1796">
        <v>1</v>
      </c>
      <c r="E1238" s="1796">
        <v>1</v>
      </c>
      <c r="F1238" s="1797">
        <v>2</v>
      </c>
      <c r="G1238" s="1999" t="s">
        <v>5728</v>
      </c>
      <c r="H1238" s="1794">
        <v>1</v>
      </c>
      <c r="I1238" s="1794">
        <v>1</v>
      </c>
      <c r="J1238" s="2000">
        <v>1</v>
      </c>
      <c r="K1238" s="1798"/>
      <c r="L1238" s="1792">
        <v>13117130410</v>
      </c>
      <c r="M1238" s="1793">
        <v>1</v>
      </c>
      <c r="N1238" s="1793">
        <v>1</v>
      </c>
      <c r="O1238" s="1794">
        <v>2</v>
      </c>
    </row>
    <row r="1239" spans="3:15">
      <c r="C1239" s="1799" t="s">
        <v>5729</v>
      </c>
      <c r="D1239" s="1796">
        <v>1</v>
      </c>
      <c r="E1239" s="1796">
        <v>1</v>
      </c>
      <c r="F1239" s="1797">
        <v>2</v>
      </c>
      <c r="G1239" s="1999" t="s">
        <v>5729</v>
      </c>
      <c r="H1239" s="1794">
        <v>1</v>
      </c>
      <c r="I1239" s="1794">
        <v>0</v>
      </c>
      <c r="J1239" s="2000">
        <v>1</v>
      </c>
      <c r="K1239" s="1798"/>
      <c r="L1239" s="1792">
        <v>13117130503</v>
      </c>
      <c r="M1239" s="1793">
        <v>1</v>
      </c>
      <c r="N1239" s="1793">
        <v>1</v>
      </c>
      <c r="O1239" s="1794">
        <v>2</v>
      </c>
    </row>
    <row r="1240" spans="3:15">
      <c r="C1240" s="1799" t="s">
        <v>5730</v>
      </c>
      <c r="D1240" s="1796">
        <v>1</v>
      </c>
      <c r="E1240" s="1796">
        <v>1</v>
      </c>
      <c r="F1240" s="1797">
        <v>2</v>
      </c>
      <c r="G1240" s="1999" t="s">
        <v>5730</v>
      </c>
      <c r="H1240" s="1794">
        <v>1</v>
      </c>
      <c r="I1240" s="1794">
        <v>0</v>
      </c>
      <c r="J1240" s="2000">
        <v>1</v>
      </c>
      <c r="K1240" s="1798"/>
      <c r="L1240" s="1792">
        <v>13117130504</v>
      </c>
      <c r="M1240" s="1793">
        <v>1</v>
      </c>
      <c r="N1240" s="1793">
        <v>1</v>
      </c>
      <c r="O1240" s="1794">
        <v>2</v>
      </c>
    </row>
    <row r="1241" spans="3:15">
      <c r="C1241" s="1799" t="s">
        <v>5731</v>
      </c>
      <c r="D1241" s="1796">
        <v>1</v>
      </c>
      <c r="E1241" s="1796">
        <v>1</v>
      </c>
      <c r="F1241" s="1797">
        <v>2</v>
      </c>
      <c r="G1241" s="1999" t="s">
        <v>5731</v>
      </c>
      <c r="H1241" s="1794">
        <v>1</v>
      </c>
      <c r="I1241" s="1794" t="s">
        <v>4485</v>
      </c>
      <c r="J1241" s="2000">
        <v>1</v>
      </c>
      <c r="K1241" s="1798"/>
      <c r="L1241" s="1792">
        <v>13117130505</v>
      </c>
      <c r="M1241" s="1793">
        <v>1</v>
      </c>
      <c r="N1241" s="1793">
        <v>1</v>
      </c>
      <c r="O1241" s="1794">
        <v>2</v>
      </c>
    </row>
    <row r="1242" spans="3:15">
      <c r="C1242" s="1799" t="s">
        <v>5732</v>
      </c>
      <c r="D1242" s="1796">
        <v>1</v>
      </c>
      <c r="E1242" s="1796">
        <v>1</v>
      </c>
      <c r="F1242" s="1797">
        <v>2</v>
      </c>
      <c r="G1242" s="1999" t="s">
        <v>5732</v>
      </c>
      <c r="H1242" s="1794">
        <v>1</v>
      </c>
      <c r="I1242" s="1794">
        <v>1</v>
      </c>
      <c r="J1242" s="2000">
        <v>2</v>
      </c>
      <c r="K1242" s="1798"/>
      <c r="L1242" s="1792">
        <v>13117130506</v>
      </c>
      <c r="M1242" s="1793">
        <v>1</v>
      </c>
      <c r="N1242" s="1793">
        <v>1</v>
      </c>
      <c r="O1242" s="1794">
        <v>2</v>
      </c>
    </row>
    <row r="1243" spans="3:15">
      <c r="C1243" s="1799" t="s">
        <v>5733</v>
      </c>
      <c r="D1243" s="1796">
        <v>1</v>
      </c>
      <c r="E1243" s="1796">
        <v>1</v>
      </c>
      <c r="F1243" s="1797">
        <v>2</v>
      </c>
      <c r="G1243" s="1999" t="s">
        <v>5733</v>
      </c>
      <c r="H1243" s="1794">
        <v>1</v>
      </c>
      <c r="I1243" s="1794">
        <v>1</v>
      </c>
      <c r="J1243" s="2000">
        <v>2</v>
      </c>
      <c r="K1243" s="1798"/>
      <c r="L1243" s="1792">
        <v>13117130507</v>
      </c>
      <c r="M1243" s="1793">
        <v>1</v>
      </c>
      <c r="N1243" s="1793">
        <v>1</v>
      </c>
      <c r="O1243" s="1794">
        <v>2</v>
      </c>
    </row>
    <row r="1244" spans="3:15">
      <c r="C1244" s="1799" t="s">
        <v>5734</v>
      </c>
      <c r="D1244" s="1796">
        <v>1</v>
      </c>
      <c r="E1244" s="1796">
        <v>1</v>
      </c>
      <c r="F1244" s="1797">
        <v>2</v>
      </c>
      <c r="G1244" s="1999" t="s">
        <v>5734</v>
      </c>
      <c r="H1244" s="1794">
        <v>1</v>
      </c>
      <c r="I1244" s="1794">
        <v>1</v>
      </c>
      <c r="J1244" s="2000">
        <v>2</v>
      </c>
      <c r="K1244" s="1798"/>
      <c r="L1244" s="1792">
        <v>13117130508</v>
      </c>
      <c r="M1244" s="1793">
        <v>1</v>
      </c>
      <c r="N1244" s="1793">
        <v>1</v>
      </c>
      <c r="O1244" s="1794">
        <v>2</v>
      </c>
    </row>
    <row r="1245" spans="3:15">
      <c r="C1245" s="1799" t="s">
        <v>5735</v>
      </c>
      <c r="D1245" s="1796">
        <v>1</v>
      </c>
      <c r="E1245" s="1796">
        <v>1</v>
      </c>
      <c r="F1245" s="1797">
        <v>2</v>
      </c>
      <c r="G1245" s="1999" t="s">
        <v>5735</v>
      </c>
      <c r="H1245" s="1794">
        <v>1</v>
      </c>
      <c r="I1245" s="1794">
        <v>1</v>
      </c>
      <c r="J1245" s="2000">
        <v>2</v>
      </c>
      <c r="K1245" s="1798"/>
      <c r="L1245" s="1792">
        <v>13117130509</v>
      </c>
      <c r="M1245" s="1793">
        <v>1</v>
      </c>
      <c r="N1245" s="1793">
        <v>1</v>
      </c>
      <c r="O1245" s="1794">
        <v>2</v>
      </c>
    </row>
    <row r="1246" spans="3:15">
      <c r="C1246" s="1799" t="s">
        <v>5736</v>
      </c>
      <c r="D1246" s="1796">
        <v>1</v>
      </c>
      <c r="E1246" s="1796">
        <v>1</v>
      </c>
      <c r="F1246" s="1797">
        <v>2</v>
      </c>
      <c r="G1246" s="1999" t="s">
        <v>5736</v>
      </c>
      <c r="H1246" s="1794">
        <v>1</v>
      </c>
      <c r="I1246" s="1794">
        <v>1</v>
      </c>
      <c r="J1246" s="2000">
        <v>2</v>
      </c>
      <c r="K1246" s="1798"/>
      <c r="L1246" s="1792">
        <v>13117130510</v>
      </c>
      <c r="M1246" s="1793">
        <v>1</v>
      </c>
      <c r="N1246" s="1793">
        <v>1</v>
      </c>
      <c r="O1246" s="1794">
        <v>2</v>
      </c>
    </row>
    <row r="1247" spans="3:15">
      <c r="C1247" s="1799" t="s">
        <v>5737</v>
      </c>
      <c r="D1247" s="1796">
        <v>1</v>
      </c>
      <c r="E1247" s="1796">
        <v>1</v>
      </c>
      <c r="F1247" s="1797">
        <v>2</v>
      </c>
      <c r="G1247" s="1999" t="s">
        <v>5737</v>
      </c>
      <c r="H1247" s="1794">
        <v>1</v>
      </c>
      <c r="I1247" s="1794">
        <v>1</v>
      </c>
      <c r="J1247" s="2000">
        <v>2</v>
      </c>
      <c r="K1247" s="1798"/>
      <c r="L1247" s="1792">
        <v>13117130601</v>
      </c>
      <c r="M1247" s="1793">
        <v>1</v>
      </c>
      <c r="N1247" s="1793">
        <v>1</v>
      </c>
      <c r="O1247" s="1794">
        <v>2</v>
      </c>
    </row>
    <row r="1248" spans="3:15">
      <c r="C1248" s="1799" t="s">
        <v>5738</v>
      </c>
      <c r="D1248" s="1796">
        <v>1</v>
      </c>
      <c r="E1248" s="1796">
        <v>1</v>
      </c>
      <c r="F1248" s="1797">
        <v>2</v>
      </c>
      <c r="G1248" s="1999" t="s">
        <v>5738</v>
      </c>
      <c r="H1248" s="1794">
        <v>1</v>
      </c>
      <c r="I1248" s="1794">
        <v>0</v>
      </c>
      <c r="J1248" s="2000">
        <v>1</v>
      </c>
      <c r="K1248" s="1798"/>
      <c r="L1248" s="1792">
        <v>13117130602</v>
      </c>
      <c r="M1248" s="1793">
        <v>1</v>
      </c>
      <c r="N1248" s="1793">
        <v>1</v>
      </c>
      <c r="O1248" s="1794">
        <v>2</v>
      </c>
    </row>
    <row r="1249" spans="3:15">
      <c r="C1249" s="1799" t="s">
        <v>5739</v>
      </c>
      <c r="D1249" s="1796">
        <v>1</v>
      </c>
      <c r="E1249" s="1796">
        <v>1</v>
      </c>
      <c r="F1249" s="1797">
        <v>2</v>
      </c>
      <c r="G1249" s="1999" t="s">
        <v>5739</v>
      </c>
      <c r="H1249" s="1794">
        <v>1</v>
      </c>
      <c r="I1249" s="1794" t="s">
        <v>4485</v>
      </c>
      <c r="J1249" s="2000">
        <v>1</v>
      </c>
      <c r="K1249" s="1798"/>
      <c r="L1249" s="1792">
        <v>13117130603</v>
      </c>
      <c r="M1249" s="1793">
        <v>1</v>
      </c>
      <c r="N1249" s="1793">
        <v>1</v>
      </c>
      <c r="O1249" s="1794">
        <v>2</v>
      </c>
    </row>
    <row r="1250" spans="3:15">
      <c r="C1250" s="1799" t="s">
        <v>5740</v>
      </c>
      <c r="D1250" s="1796">
        <v>1</v>
      </c>
      <c r="E1250" s="1796">
        <v>1</v>
      </c>
      <c r="F1250" s="1797">
        <v>2</v>
      </c>
      <c r="G1250" s="1999" t="s">
        <v>5740</v>
      </c>
      <c r="H1250" s="1794">
        <v>1</v>
      </c>
      <c r="I1250" s="1794">
        <v>1</v>
      </c>
      <c r="J1250" s="2000">
        <v>2</v>
      </c>
      <c r="K1250" s="1798"/>
      <c r="L1250" s="1792">
        <v>13117130604</v>
      </c>
      <c r="M1250" s="1793">
        <v>1</v>
      </c>
      <c r="N1250" s="1793">
        <v>1</v>
      </c>
      <c r="O1250" s="1794">
        <v>2</v>
      </c>
    </row>
    <row r="1251" spans="3:15">
      <c r="C1251" s="1799" t="s">
        <v>5741</v>
      </c>
      <c r="D1251" s="1796">
        <v>1</v>
      </c>
      <c r="E1251" s="1796">
        <v>1</v>
      </c>
      <c r="F1251" s="1797">
        <v>2</v>
      </c>
      <c r="G1251" s="1999" t="s">
        <v>5741</v>
      </c>
      <c r="H1251" s="1794">
        <v>1</v>
      </c>
      <c r="I1251" s="1794">
        <v>1</v>
      </c>
      <c r="J1251" s="2000">
        <v>2</v>
      </c>
      <c r="K1251" s="1798"/>
      <c r="L1251" s="1792">
        <v>13117130605</v>
      </c>
      <c r="M1251" s="1793">
        <v>1</v>
      </c>
      <c r="N1251" s="1793">
        <v>1</v>
      </c>
      <c r="O1251" s="1794">
        <v>2</v>
      </c>
    </row>
    <row r="1252" spans="3:15">
      <c r="C1252" s="1799" t="s">
        <v>5742</v>
      </c>
      <c r="D1252" s="1796">
        <v>1</v>
      </c>
      <c r="E1252" s="1796">
        <v>1</v>
      </c>
      <c r="F1252" s="1797">
        <v>2</v>
      </c>
      <c r="G1252" s="1999" t="s">
        <v>5742</v>
      </c>
      <c r="H1252" s="1794">
        <v>1</v>
      </c>
      <c r="I1252" s="1794">
        <v>1</v>
      </c>
      <c r="J1252" s="2000">
        <v>2</v>
      </c>
      <c r="K1252" s="1798"/>
      <c r="L1252" s="1792">
        <v>13117130606</v>
      </c>
      <c r="M1252" s="1793">
        <v>1</v>
      </c>
      <c r="N1252" s="1793">
        <v>1</v>
      </c>
      <c r="O1252" s="1794">
        <v>2</v>
      </c>
    </row>
    <row r="1253" spans="3:15">
      <c r="C1253" s="1799" t="s">
        <v>5743</v>
      </c>
      <c r="D1253" s="1796">
        <v>1</v>
      </c>
      <c r="E1253" s="1796">
        <v>1</v>
      </c>
      <c r="F1253" s="1797">
        <v>2</v>
      </c>
      <c r="G1253" s="1999" t="s">
        <v>5743</v>
      </c>
      <c r="H1253" s="1794">
        <v>1</v>
      </c>
      <c r="I1253" s="1794">
        <v>1</v>
      </c>
      <c r="J1253" s="2000">
        <v>2</v>
      </c>
      <c r="K1253" s="1798"/>
      <c r="L1253" s="1792">
        <v>13117130607</v>
      </c>
      <c r="M1253" s="1793">
        <v>1</v>
      </c>
      <c r="N1253" s="1793">
        <v>1</v>
      </c>
      <c r="O1253" s="1794">
        <v>2</v>
      </c>
    </row>
    <row r="1254" spans="3:15">
      <c r="C1254" s="1799" t="s">
        <v>5744</v>
      </c>
      <c r="D1254" s="1796">
        <v>1</v>
      </c>
      <c r="E1254" s="1796">
        <v>1</v>
      </c>
      <c r="F1254" s="1797">
        <v>2</v>
      </c>
      <c r="G1254" s="1999" t="s">
        <v>5744</v>
      </c>
      <c r="H1254" s="1794">
        <v>1</v>
      </c>
      <c r="I1254" s="1794">
        <v>1</v>
      </c>
      <c r="J1254" s="2000">
        <v>2</v>
      </c>
      <c r="K1254" s="1798"/>
      <c r="L1254" s="1792">
        <v>13117130608</v>
      </c>
      <c r="M1254" s="1793">
        <v>1</v>
      </c>
      <c r="N1254" s="1793">
        <v>1</v>
      </c>
      <c r="O1254" s="1794">
        <v>2</v>
      </c>
    </row>
    <row r="1255" spans="3:15">
      <c r="C1255" s="1799" t="s">
        <v>5745</v>
      </c>
      <c r="D1255" s="1796">
        <v>1</v>
      </c>
      <c r="E1255" s="1796">
        <v>1</v>
      </c>
      <c r="F1255" s="1797">
        <v>2</v>
      </c>
      <c r="G1255" s="1999" t="s">
        <v>5745</v>
      </c>
      <c r="H1255" s="1794">
        <v>1</v>
      </c>
      <c r="I1255" s="1794">
        <v>1</v>
      </c>
      <c r="J1255" s="2000">
        <v>2</v>
      </c>
      <c r="K1255" s="1798"/>
      <c r="L1255" s="1792">
        <v>13117130609</v>
      </c>
      <c r="M1255" s="1793">
        <v>1</v>
      </c>
      <c r="N1255" s="1793">
        <v>1</v>
      </c>
      <c r="O1255" s="1794">
        <v>2</v>
      </c>
    </row>
    <row r="1256" spans="3:15">
      <c r="C1256" s="1799" t="s">
        <v>5746</v>
      </c>
      <c r="D1256" s="1796">
        <v>1</v>
      </c>
      <c r="E1256" s="1796">
        <v>1</v>
      </c>
      <c r="F1256" s="1797">
        <v>2</v>
      </c>
      <c r="G1256" s="1999" t="s">
        <v>5746</v>
      </c>
      <c r="H1256" s="1794">
        <v>1</v>
      </c>
      <c r="I1256" s="1794">
        <v>1</v>
      </c>
      <c r="J1256" s="2000">
        <v>2</v>
      </c>
      <c r="K1256" s="1798"/>
      <c r="L1256" s="1792">
        <v>13117130610</v>
      </c>
      <c r="M1256" s="1793">
        <v>1</v>
      </c>
      <c r="N1256" s="1793">
        <v>1</v>
      </c>
      <c r="O1256" s="1794">
        <v>2</v>
      </c>
    </row>
    <row r="1257" spans="3:15">
      <c r="C1257" s="1799" t="s">
        <v>5747</v>
      </c>
      <c r="D1257" s="1796">
        <v>1</v>
      </c>
      <c r="E1257" s="1796">
        <v>1</v>
      </c>
      <c r="F1257" s="1797">
        <v>2</v>
      </c>
      <c r="G1257" s="1999" t="s">
        <v>5747</v>
      </c>
      <c r="H1257" s="1794">
        <v>1</v>
      </c>
      <c r="I1257" s="1794">
        <v>1</v>
      </c>
      <c r="J1257" s="2000">
        <v>2</v>
      </c>
      <c r="K1257" s="1798"/>
      <c r="L1257" s="1792">
        <v>13117130611</v>
      </c>
      <c r="M1257" s="1793">
        <v>1</v>
      </c>
      <c r="N1257" s="1793">
        <v>1</v>
      </c>
      <c r="O1257" s="1794">
        <v>2</v>
      </c>
    </row>
    <row r="1258" spans="3:15">
      <c r="C1258" s="1799" t="s">
        <v>5748</v>
      </c>
      <c r="D1258" s="1796">
        <v>1</v>
      </c>
      <c r="E1258" s="1796">
        <v>1</v>
      </c>
      <c r="F1258" s="1797">
        <v>2</v>
      </c>
      <c r="G1258" s="1999" t="s">
        <v>5748</v>
      </c>
      <c r="H1258" s="1794">
        <v>1</v>
      </c>
      <c r="I1258" s="1794">
        <v>1</v>
      </c>
      <c r="J1258" s="2000">
        <v>2</v>
      </c>
      <c r="K1258" s="1798"/>
      <c r="L1258" s="1792">
        <v>13117130612</v>
      </c>
      <c r="M1258" s="1793">
        <v>1</v>
      </c>
      <c r="N1258" s="1793">
        <v>1</v>
      </c>
      <c r="O1258" s="1794">
        <v>2</v>
      </c>
    </row>
    <row r="1259" spans="3:15">
      <c r="C1259" s="1799" t="s">
        <v>5749</v>
      </c>
      <c r="D1259" s="1796">
        <v>1</v>
      </c>
      <c r="E1259" s="1796">
        <v>1</v>
      </c>
      <c r="F1259" s="1797">
        <v>2</v>
      </c>
      <c r="G1259" s="1999" t="s">
        <v>5749</v>
      </c>
      <c r="H1259" s="1794">
        <v>1</v>
      </c>
      <c r="I1259" s="1794" t="s">
        <v>4485</v>
      </c>
      <c r="J1259" s="2000">
        <v>1</v>
      </c>
      <c r="K1259" s="1798"/>
      <c r="L1259" s="1792">
        <v>13117130613</v>
      </c>
      <c r="M1259" s="1793">
        <v>1</v>
      </c>
      <c r="N1259" s="1793">
        <v>1</v>
      </c>
      <c r="O1259" s="1794">
        <v>2</v>
      </c>
    </row>
    <row r="1260" spans="3:15">
      <c r="C1260" s="1799" t="s">
        <v>5750</v>
      </c>
      <c r="D1260" s="1796">
        <v>0</v>
      </c>
      <c r="E1260" s="1796">
        <v>0</v>
      </c>
      <c r="F1260" s="1797">
        <v>0</v>
      </c>
      <c r="G1260" s="1999" t="s">
        <v>5750</v>
      </c>
      <c r="H1260" s="1794">
        <v>0</v>
      </c>
      <c r="I1260" s="1794">
        <v>0</v>
      </c>
      <c r="J1260" s="2000">
        <v>0</v>
      </c>
      <c r="K1260" s="1798"/>
      <c r="L1260" s="1792">
        <v>13119890101</v>
      </c>
      <c r="M1260" s="1793">
        <v>0</v>
      </c>
      <c r="N1260" s="1793">
        <v>0</v>
      </c>
      <c r="O1260" s="1794">
        <v>0</v>
      </c>
    </row>
    <row r="1261" spans="3:15">
      <c r="C1261" s="1799" t="s">
        <v>5751</v>
      </c>
      <c r="D1261" s="1796">
        <v>0</v>
      </c>
      <c r="E1261" s="1796">
        <v>1</v>
      </c>
      <c r="F1261" s="1797">
        <v>1</v>
      </c>
      <c r="G1261" s="1999" t="s">
        <v>5751</v>
      </c>
      <c r="H1261" s="1794">
        <v>0</v>
      </c>
      <c r="I1261" s="1794">
        <v>0</v>
      </c>
      <c r="J1261" s="2000">
        <v>0</v>
      </c>
      <c r="K1261" s="1798"/>
      <c r="L1261" s="1792">
        <v>13119890102</v>
      </c>
      <c r="M1261" s="1793">
        <v>0</v>
      </c>
      <c r="N1261" s="1793">
        <v>1</v>
      </c>
      <c r="O1261" s="1794">
        <v>1</v>
      </c>
    </row>
    <row r="1262" spans="3:15">
      <c r="C1262" s="1799" t="s">
        <v>5752</v>
      </c>
      <c r="D1262" s="1796">
        <v>0</v>
      </c>
      <c r="E1262" s="1796">
        <v>0</v>
      </c>
      <c r="F1262" s="1797">
        <v>0</v>
      </c>
      <c r="G1262" s="1999" t="s">
        <v>5752</v>
      </c>
      <c r="H1262" s="1794">
        <v>0</v>
      </c>
      <c r="I1262" s="1794">
        <v>0</v>
      </c>
      <c r="J1262" s="2000">
        <v>0</v>
      </c>
      <c r="K1262" s="1798"/>
      <c r="L1262" s="1792">
        <v>13119890200</v>
      </c>
      <c r="M1262" s="1793">
        <v>0</v>
      </c>
      <c r="N1262" s="1793">
        <v>0</v>
      </c>
      <c r="O1262" s="1794">
        <v>0</v>
      </c>
    </row>
    <row r="1263" spans="3:15">
      <c r="C1263" s="1799" t="s">
        <v>5753</v>
      </c>
      <c r="D1263" s="1796">
        <v>0</v>
      </c>
      <c r="E1263" s="1796">
        <v>0</v>
      </c>
      <c r="F1263" s="1797">
        <v>0</v>
      </c>
      <c r="G1263" s="1999" t="s">
        <v>5753</v>
      </c>
      <c r="H1263" s="1794">
        <v>0</v>
      </c>
      <c r="I1263" s="1794">
        <v>0</v>
      </c>
      <c r="J1263" s="2000">
        <v>0</v>
      </c>
      <c r="K1263" s="1798"/>
      <c r="L1263" s="1792">
        <v>13119890300</v>
      </c>
      <c r="M1263" s="1793">
        <v>0</v>
      </c>
      <c r="N1263" s="1793">
        <v>0</v>
      </c>
      <c r="O1263" s="1794">
        <v>0</v>
      </c>
    </row>
    <row r="1264" spans="3:15">
      <c r="C1264" s="1799" t="s">
        <v>5754</v>
      </c>
      <c r="D1264" s="1796">
        <v>0</v>
      </c>
      <c r="E1264" s="1796">
        <v>0</v>
      </c>
      <c r="F1264" s="1797">
        <v>0</v>
      </c>
      <c r="G1264" s="1999" t="s">
        <v>5754</v>
      </c>
      <c r="H1264" s="1794">
        <v>0</v>
      </c>
      <c r="I1264" s="1794">
        <v>0</v>
      </c>
      <c r="J1264" s="2000">
        <v>0</v>
      </c>
      <c r="K1264" s="1798"/>
      <c r="L1264" s="1792">
        <v>13119890400</v>
      </c>
      <c r="M1264" s="1793">
        <v>0</v>
      </c>
      <c r="N1264" s="1793">
        <v>0</v>
      </c>
      <c r="O1264" s="1794">
        <v>0</v>
      </c>
    </row>
    <row r="1265" spans="3:15">
      <c r="C1265" s="1799" t="s">
        <v>5755</v>
      </c>
      <c r="D1265" s="1796">
        <v>1</v>
      </c>
      <c r="E1265" s="1796">
        <v>1</v>
      </c>
      <c r="F1265" s="1797">
        <v>2</v>
      </c>
      <c r="G1265" s="1999" t="s">
        <v>5755</v>
      </c>
      <c r="H1265" s="1794">
        <v>1</v>
      </c>
      <c r="I1265" s="1794">
        <v>1</v>
      </c>
      <c r="J1265" s="2000">
        <v>2</v>
      </c>
      <c r="K1265" s="1798"/>
      <c r="L1265" s="1792">
        <v>13121000100</v>
      </c>
      <c r="M1265" s="1793">
        <v>1</v>
      </c>
      <c r="N1265" s="1793">
        <v>1</v>
      </c>
      <c r="O1265" s="1794">
        <v>2</v>
      </c>
    </row>
    <row r="1266" spans="3:15">
      <c r="C1266" s="1799" t="s">
        <v>5756</v>
      </c>
      <c r="D1266" s="1796">
        <v>1</v>
      </c>
      <c r="E1266" s="1796">
        <v>1</v>
      </c>
      <c r="F1266" s="1797">
        <v>2</v>
      </c>
      <c r="G1266" s="1999" t="s">
        <v>5756</v>
      </c>
      <c r="H1266" s="1794">
        <v>1</v>
      </c>
      <c r="I1266" s="1794">
        <v>1</v>
      </c>
      <c r="J1266" s="2000">
        <v>2</v>
      </c>
      <c r="K1266" s="1798"/>
      <c r="L1266" s="1792">
        <v>13121000200</v>
      </c>
      <c r="M1266" s="1793">
        <v>1</v>
      </c>
      <c r="N1266" s="1793">
        <v>1</v>
      </c>
      <c r="O1266" s="1794">
        <v>2</v>
      </c>
    </row>
    <row r="1267" spans="3:15">
      <c r="C1267" s="1799" t="s">
        <v>5757</v>
      </c>
      <c r="D1267" s="1796">
        <v>1</v>
      </c>
      <c r="E1267" s="1796">
        <v>1</v>
      </c>
      <c r="F1267" s="1797">
        <v>2</v>
      </c>
      <c r="G1267" s="1999" t="s">
        <v>5757</v>
      </c>
      <c r="H1267" s="1794">
        <v>1</v>
      </c>
      <c r="I1267" s="1794">
        <v>1</v>
      </c>
      <c r="J1267" s="2000">
        <v>2</v>
      </c>
      <c r="K1267" s="1798"/>
      <c r="L1267" s="1792">
        <v>13121000400</v>
      </c>
      <c r="M1267" s="1793">
        <v>1</v>
      </c>
      <c r="N1267" s="1793">
        <v>1</v>
      </c>
      <c r="O1267" s="1794">
        <v>2</v>
      </c>
    </row>
    <row r="1268" spans="3:15">
      <c r="C1268" s="1799" t="s">
        <v>5758</v>
      </c>
      <c r="D1268" s="1796">
        <v>1</v>
      </c>
      <c r="E1268" s="1796">
        <v>1</v>
      </c>
      <c r="F1268" s="1797">
        <v>2</v>
      </c>
      <c r="G1268" s="1999" t="s">
        <v>5758</v>
      </c>
      <c r="H1268" s="1794">
        <v>1</v>
      </c>
      <c r="I1268" s="1794" t="s">
        <v>4485</v>
      </c>
      <c r="J1268" s="2000">
        <v>1</v>
      </c>
      <c r="K1268" s="1798"/>
      <c r="L1268" s="1792">
        <v>13121000500</v>
      </c>
      <c r="M1268" s="1793">
        <v>1</v>
      </c>
      <c r="N1268" s="1793">
        <v>1</v>
      </c>
      <c r="O1268" s="1794">
        <v>2</v>
      </c>
    </row>
    <row r="1269" spans="3:15">
      <c r="C1269" s="1799" t="s">
        <v>5759</v>
      </c>
      <c r="D1269" s="1796">
        <v>0</v>
      </c>
      <c r="E1269" s="1796">
        <v>1</v>
      </c>
      <c r="F1269" s="1797">
        <v>1</v>
      </c>
      <c r="G1269" s="1999" t="s">
        <v>5759</v>
      </c>
      <c r="H1269" s="1794">
        <v>0</v>
      </c>
      <c r="I1269" s="1794" t="s">
        <v>4485</v>
      </c>
      <c r="J1269" s="2000">
        <v>0</v>
      </c>
      <c r="K1269" s="1798"/>
      <c r="L1269" s="1792">
        <v>13121000600</v>
      </c>
      <c r="M1269" s="1793">
        <v>0</v>
      </c>
      <c r="N1269" s="1793">
        <v>1</v>
      </c>
      <c r="O1269" s="1794">
        <v>1</v>
      </c>
    </row>
    <row r="1270" spans="3:15">
      <c r="C1270" s="1799" t="s">
        <v>5760</v>
      </c>
      <c r="D1270" s="1796">
        <v>0</v>
      </c>
      <c r="E1270" s="1796">
        <v>0</v>
      </c>
      <c r="F1270" s="1797">
        <v>0</v>
      </c>
      <c r="G1270" s="1999" t="s">
        <v>5760</v>
      </c>
      <c r="H1270" s="1794">
        <v>0</v>
      </c>
      <c r="I1270" s="1794" t="s">
        <v>4485</v>
      </c>
      <c r="J1270" s="2000">
        <v>0</v>
      </c>
      <c r="K1270" s="1798"/>
      <c r="L1270" s="1792">
        <v>13121000700</v>
      </c>
      <c r="M1270" s="1793">
        <v>0</v>
      </c>
      <c r="N1270" s="1793">
        <v>0</v>
      </c>
      <c r="O1270" s="1794">
        <v>0</v>
      </c>
    </row>
    <row r="1271" spans="3:15">
      <c r="C1271" s="1799" t="s">
        <v>5761</v>
      </c>
      <c r="D1271" s="1796">
        <v>1</v>
      </c>
      <c r="E1271" s="1796">
        <v>1</v>
      </c>
      <c r="F1271" s="1797">
        <v>2</v>
      </c>
      <c r="G1271" s="1999" t="s">
        <v>5761</v>
      </c>
      <c r="H1271" s="1794">
        <v>1</v>
      </c>
      <c r="I1271" s="1794" t="s">
        <v>4485</v>
      </c>
      <c r="J1271" s="2000">
        <v>1</v>
      </c>
      <c r="K1271" s="1798"/>
      <c r="L1271" s="1792">
        <v>13121001001</v>
      </c>
      <c r="M1271" s="1793">
        <v>1</v>
      </c>
      <c r="N1271" s="1793">
        <v>1</v>
      </c>
      <c r="O1271" s="1794">
        <v>2</v>
      </c>
    </row>
    <row r="1272" spans="3:15">
      <c r="C1272" s="1799" t="s">
        <v>5762</v>
      </c>
      <c r="D1272" s="1796">
        <v>0</v>
      </c>
      <c r="E1272" s="1796">
        <v>1</v>
      </c>
      <c r="F1272" s="1797">
        <v>1</v>
      </c>
      <c r="G1272" s="1999" t="s">
        <v>5762</v>
      </c>
      <c r="H1272" s="1794">
        <v>0</v>
      </c>
      <c r="I1272" s="1794" t="s">
        <v>4485</v>
      </c>
      <c r="J1272" s="2000">
        <v>0</v>
      </c>
      <c r="K1272" s="1798"/>
      <c r="L1272" s="1792">
        <v>13121001002</v>
      </c>
      <c r="M1272" s="1793">
        <v>0</v>
      </c>
      <c r="N1272" s="1793">
        <v>1</v>
      </c>
      <c r="O1272" s="1794">
        <v>1</v>
      </c>
    </row>
    <row r="1273" spans="3:15">
      <c r="C1273" s="1799" t="s">
        <v>5763</v>
      </c>
      <c r="D1273" s="1796">
        <v>1</v>
      </c>
      <c r="E1273" s="1796">
        <v>1</v>
      </c>
      <c r="F1273" s="1797">
        <v>2</v>
      </c>
      <c r="G1273" s="1999" t="s">
        <v>5763</v>
      </c>
      <c r="H1273" s="1794">
        <v>1</v>
      </c>
      <c r="I1273" s="1794" t="s">
        <v>4485</v>
      </c>
      <c r="J1273" s="2000">
        <v>1</v>
      </c>
      <c r="K1273" s="1798"/>
      <c r="L1273" s="1792">
        <v>13121001100</v>
      </c>
      <c r="M1273" s="1793">
        <v>1</v>
      </c>
      <c r="N1273" s="1793">
        <v>1</v>
      </c>
      <c r="O1273" s="1794">
        <v>2</v>
      </c>
    </row>
    <row r="1274" spans="3:15">
      <c r="C1274" s="1799" t="s">
        <v>5764</v>
      </c>
      <c r="D1274" s="1796">
        <v>1</v>
      </c>
      <c r="E1274" s="1796">
        <v>1</v>
      </c>
      <c r="F1274" s="1797">
        <v>2</v>
      </c>
      <c r="G1274" s="1999" t="s">
        <v>5764</v>
      </c>
      <c r="H1274" s="1794">
        <v>1</v>
      </c>
      <c r="I1274" s="1794">
        <v>1</v>
      </c>
      <c r="J1274" s="2000">
        <v>2</v>
      </c>
      <c r="K1274" s="1798"/>
      <c r="L1274" s="1792">
        <v>13121001201</v>
      </c>
      <c r="M1274" s="1793">
        <v>1</v>
      </c>
      <c r="N1274" s="1793">
        <v>1</v>
      </c>
      <c r="O1274" s="1794">
        <v>2</v>
      </c>
    </row>
    <row r="1275" spans="3:15">
      <c r="C1275" s="1799" t="s">
        <v>5765</v>
      </c>
      <c r="D1275" s="1796">
        <v>1</v>
      </c>
      <c r="E1275" s="1796">
        <v>1</v>
      </c>
      <c r="F1275" s="1797">
        <v>2</v>
      </c>
      <c r="G1275" s="1999" t="s">
        <v>5765</v>
      </c>
      <c r="H1275" s="1794">
        <v>1</v>
      </c>
      <c r="I1275" s="1794" t="s">
        <v>4485</v>
      </c>
      <c r="J1275" s="2000">
        <v>1</v>
      </c>
      <c r="K1275" s="1798"/>
      <c r="L1275" s="1792">
        <v>13121001202</v>
      </c>
      <c r="M1275" s="1793">
        <v>1</v>
      </c>
      <c r="N1275" s="1793">
        <v>1</v>
      </c>
      <c r="O1275" s="1794">
        <v>2</v>
      </c>
    </row>
    <row r="1276" spans="3:15">
      <c r="C1276" s="1799" t="s">
        <v>5766</v>
      </c>
      <c r="D1276" s="1796">
        <v>1</v>
      </c>
      <c r="E1276" s="1796">
        <v>1</v>
      </c>
      <c r="F1276" s="1797">
        <v>2</v>
      </c>
      <c r="G1276" s="1999" t="s">
        <v>5766</v>
      </c>
      <c r="H1276" s="1794">
        <v>1</v>
      </c>
      <c r="I1276" s="1794">
        <v>1</v>
      </c>
      <c r="J1276" s="2000">
        <v>2</v>
      </c>
      <c r="K1276" s="1798"/>
      <c r="L1276" s="1792">
        <v>13121001300</v>
      </c>
      <c r="M1276" s="1793">
        <v>1</v>
      </c>
      <c r="N1276" s="1793">
        <v>1</v>
      </c>
      <c r="O1276" s="1794">
        <v>2</v>
      </c>
    </row>
    <row r="1277" spans="3:15">
      <c r="C1277" s="1799" t="s">
        <v>5767</v>
      </c>
      <c r="D1277" s="1796">
        <v>1</v>
      </c>
      <c r="E1277" s="1796">
        <v>1</v>
      </c>
      <c r="F1277" s="1797">
        <v>2</v>
      </c>
      <c r="G1277" s="1999" t="s">
        <v>5767</v>
      </c>
      <c r="H1277" s="1794">
        <v>1</v>
      </c>
      <c r="I1277" s="1794" t="s">
        <v>4485</v>
      </c>
      <c r="J1277" s="2000">
        <v>1</v>
      </c>
      <c r="K1277" s="1798"/>
      <c r="L1277" s="1792">
        <v>13121001400</v>
      </c>
      <c r="M1277" s="1793">
        <v>1</v>
      </c>
      <c r="N1277" s="1793">
        <v>1</v>
      </c>
      <c r="O1277" s="1794">
        <v>2</v>
      </c>
    </row>
    <row r="1278" spans="3:15">
      <c r="C1278" s="1799" t="s">
        <v>5768</v>
      </c>
      <c r="D1278" s="1796">
        <v>1</v>
      </c>
      <c r="E1278" s="1796">
        <v>1</v>
      </c>
      <c r="F1278" s="1797">
        <v>2</v>
      </c>
      <c r="G1278" s="1999" t="s">
        <v>5768</v>
      </c>
      <c r="H1278" s="1794">
        <v>1</v>
      </c>
      <c r="I1278" s="1794">
        <v>0</v>
      </c>
      <c r="J1278" s="2000">
        <v>1</v>
      </c>
      <c r="K1278" s="1798"/>
      <c r="L1278" s="1792">
        <v>13121001500</v>
      </c>
      <c r="M1278" s="1793">
        <v>1</v>
      </c>
      <c r="N1278" s="1793">
        <v>1</v>
      </c>
      <c r="O1278" s="1794">
        <v>2</v>
      </c>
    </row>
    <row r="1279" spans="3:15">
      <c r="C1279" s="1799" t="s">
        <v>5769</v>
      </c>
      <c r="D1279" s="1796">
        <v>1</v>
      </c>
      <c r="E1279" s="1796">
        <v>1</v>
      </c>
      <c r="F1279" s="1797">
        <v>2</v>
      </c>
      <c r="G1279" s="1999" t="s">
        <v>5769</v>
      </c>
      <c r="H1279" s="1794">
        <v>1</v>
      </c>
      <c r="I1279" s="1794" t="s">
        <v>4485</v>
      </c>
      <c r="J1279" s="2000">
        <v>1</v>
      </c>
      <c r="K1279" s="1798"/>
      <c r="L1279" s="1792">
        <v>13121001600</v>
      </c>
      <c r="M1279" s="1793">
        <v>1</v>
      </c>
      <c r="N1279" s="1793">
        <v>1</v>
      </c>
      <c r="O1279" s="1794">
        <v>2</v>
      </c>
    </row>
    <row r="1280" spans="3:15">
      <c r="C1280" s="1799" t="s">
        <v>5770</v>
      </c>
      <c r="D1280" s="1796">
        <v>1</v>
      </c>
      <c r="E1280" s="1796">
        <v>0</v>
      </c>
      <c r="F1280" s="1797">
        <v>1</v>
      </c>
      <c r="G1280" s="1999" t="s">
        <v>5770</v>
      </c>
      <c r="H1280" s="1794">
        <v>1</v>
      </c>
      <c r="I1280" s="1794">
        <v>1</v>
      </c>
      <c r="J1280" s="2000">
        <v>2</v>
      </c>
      <c r="K1280" s="1798"/>
      <c r="L1280" s="1792">
        <v>13121001700</v>
      </c>
      <c r="M1280" s="1793">
        <v>1</v>
      </c>
      <c r="N1280" s="1793">
        <v>1</v>
      </c>
      <c r="O1280" s="1794">
        <v>2</v>
      </c>
    </row>
    <row r="1281" spans="3:15">
      <c r="C1281" s="1799" t="s">
        <v>5771</v>
      </c>
      <c r="D1281" s="1796">
        <v>0</v>
      </c>
      <c r="E1281" s="1796">
        <v>0</v>
      </c>
      <c r="F1281" s="1797">
        <v>0</v>
      </c>
      <c r="G1281" s="1999" t="s">
        <v>5771</v>
      </c>
      <c r="H1281" s="1794">
        <v>0</v>
      </c>
      <c r="I1281" s="1794">
        <v>1</v>
      </c>
      <c r="J1281" s="2000">
        <v>1</v>
      </c>
      <c r="K1281" s="1798"/>
      <c r="L1281" s="1792">
        <v>13121001800</v>
      </c>
      <c r="M1281" s="1793">
        <v>0</v>
      </c>
      <c r="N1281" s="1793">
        <v>1</v>
      </c>
      <c r="O1281" s="1794">
        <v>1</v>
      </c>
    </row>
    <row r="1282" spans="3:15">
      <c r="C1282" s="1799" t="s">
        <v>5772</v>
      </c>
      <c r="D1282" s="1796">
        <v>0</v>
      </c>
      <c r="E1282" s="1796">
        <v>1</v>
      </c>
      <c r="F1282" s="1797">
        <v>1</v>
      </c>
      <c r="G1282" s="1999" t="s">
        <v>5772</v>
      </c>
      <c r="H1282" s="1794">
        <v>0</v>
      </c>
      <c r="I1282" s="1794" t="s">
        <v>4485</v>
      </c>
      <c r="J1282" s="2000">
        <v>0</v>
      </c>
      <c r="K1282" s="1798"/>
      <c r="L1282" s="1792">
        <v>13121001900</v>
      </c>
      <c r="M1282" s="1793">
        <v>0</v>
      </c>
      <c r="N1282" s="1793">
        <v>1</v>
      </c>
      <c r="O1282" s="1794">
        <v>1</v>
      </c>
    </row>
    <row r="1283" spans="3:15">
      <c r="C1283" s="1799" t="s">
        <v>5773</v>
      </c>
      <c r="D1283" s="1796">
        <v>0</v>
      </c>
      <c r="E1283" s="1796">
        <v>0</v>
      </c>
      <c r="F1283" s="1797">
        <v>0</v>
      </c>
      <c r="G1283" s="1999" t="s">
        <v>5773</v>
      </c>
      <c r="H1283" s="1794">
        <v>0</v>
      </c>
      <c r="I1283" s="1794" t="s">
        <v>4485</v>
      </c>
      <c r="J1283" s="2000">
        <v>0</v>
      </c>
      <c r="K1283" s="1798"/>
      <c r="L1283" s="1792">
        <v>13121002100</v>
      </c>
      <c r="M1283" s="1793">
        <v>0</v>
      </c>
      <c r="N1283" s="1793">
        <v>0</v>
      </c>
      <c r="O1283" s="1794">
        <v>0</v>
      </c>
    </row>
    <row r="1284" spans="3:15">
      <c r="C1284" s="1799" t="s">
        <v>5774</v>
      </c>
      <c r="D1284" s="1796">
        <v>0</v>
      </c>
      <c r="E1284" s="1796">
        <v>0</v>
      </c>
      <c r="F1284" s="1797">
        <v>0</v>
      </c>
      <c r="G1284" s="1999" t="s">
        <v>5774</v>
      </c>
      <c r="H1284" s="1794">
        <v>0</v>
      </c>
      <c r="I1284" s="1794">
        <v>0</v>
      </c>
      <c r="J1284" s="2000">
        <v>0</v>
      </c>
      <c r="K1284" s="1798"/>
      <c r="L1284" s="1792">
        <v>13121002300</v>
      </c>
      <c r="M1284" s="1793">
        <v>0</v>
      </c>
      <c r="N1284" s="1793">
        <v>0</v>
      </c>
      <c r="O1284" s="1794">
        <v>0</v>
      </c>
    </row>
    <row r="1285" spans="3:15">
      <c r="C1285" s="1799" t="s">
        <v>5775</v>
      </c>
      <c r="D1285" s="1796">
        <v>0</v>
      </c>
      <c r="E1285" s="1796">
        <v>0</v>
      </c>
      <c r="F1285" s="1797">
        <v>0</v>
      </c>
      <c r="G1285" s="1999" t="s">
        <v>5775</v>
      </c>
      <c r="H1285" s="1794">
        <v>0</v>
      </c>
      <c r="I1285" s="1794">
        <v>0</v>
      </c>
      <c r="J1285" s="2000">
        <v>0</v>
      </c>
      <c r="K1285" s="1798"/>
      <c r="L1285" s="1792">
        <v>13121002400</v>
      </c>
      <c r="M1285" s="1793">
        <v>0</v>
      </c>
      <c r="N1285" s="1793">
        <v>0</v>
      </c>
      <c r="O1285" s="1794">
        <v>0</v>
      </c>
    </row>
    <row r="1286" spans="3:15">
      <c r="C1286" s="1799" t="s">
        <v>5776</v>
      </c>
      <c r="D1286" s="1796">
        <v>0</v>
      </c>
      <c r="E1286" s="1796">
        <v>0</v>
      </c>
      <c r="F1286" s="1797">
        <v>0</v>
      </c>
      <c r="G1286" s="1999" t="s">
        <v>5776</v>
      </c>
      <c r="H1286" s="1794">
        <v>0</v>
      </c>
      <c r="I1286" s="1794">
        <v>0</v>
      </c>
      <c r="J1286" s="2000">
        <v>0</v>
      </c>
      <c r="K1286" s="1798"/>
      <c r="L1286" s="1792">
        <v>13121002500</v>
      </c>
      <c r="M1286" s="1793">
        <v>0</v>
      </c>
      <c r="N1286" s="1793">
        <v>0</v>
      </c>
      <c r="O1286" s="1794">
        <v>0</v>
      </c>
    </row>
    <row r="1287" spans="3:15">
      <c r="C1287" s="1799" t="s">
        <v>5777</v>
      </c>
      <c r="D1287" s="1796">
        <v>0</v>
      </c>
      <c r="E1287" s="1796">
        <v>0</v>
      </c>
      <c r="F1287" s="1797">
        <v>0</v>
      </c>
      <c r="G1287" s="1999" t="s">
        <v>5777</v>
      </c>
      <c r="H1287" s="1794">
        <v>0</v>
      </c>
      <c r="I1287" s="1794" t="s">
        <v>4485</v>
      </c>
      <c r="J1287" s="2000">
        <v>0</v>
      </c>
      <c r="K1287" s="1798"/>
      <c r="L1287" s="1792">
        <v>13121002600</v>
      </c>
      <c r="M1287" s="1793">
        <v>0</v>
      </c>
      <c r="N1287" s="1793">
        <v>0</v>
      </c>
      <c r="O1287" s="1794">
        <v>0</v>
      </c>
    </row>
    <row r="1288" spans="3:15">
      <c r="C1288" s="1799" t="s">
        <v>5778</v>
      </c>
      <c r="D1288" s="1796">
        <v>0</v>
      </c>
      <c r="E1288" s="1796">
        <v>0</v>
      </c>
      <c r="F1288" s="1797">
        <v>0</v>
      </c>
      <c r="G1288" s="1999" t="s">
        <v>5778</v>
      </c>
      <c r="H1288" s="1794">
        <v>0</v>
      </c>
      <c r="I1288" s="1794" t="s">
        <v>4485</v>
      </c>
      <c r="J1288" s="2000">
        <v>0</v>
      </c>
      <c r="K1288" s="1798"/>
      <c r="L1288" s="1792">
        <v>13121002800</v>
      </c>
      <c r="M1288" s="1793">
        <v>0</v>
      </c>
      <c r="N1288" s="1793">
        <v>0</v>
      </c>
      <c r="O1288" s="1794">
        <v>0</v>
      </c>
    </row>
    <row r="1289" spans="3:15">
      <c r="C1289" s="1799" t="s">
        <v>5779</v>
      </c>
      <c r="D1289" s="1796">
        <v>1</v>
      </c>
      <c r="E1289" s="1796">
        <v>1</v>
      </c>
      <c r="F1289" s="1797">
        <v>2</v>
      </c>
      <c r="G1289" s="1999" t="s">
        <v>5779</v>
      </c>
      <c r="H1289" s="1794">
        <v>1</v>
      </c>
      <c r="I1289" s="1794">
        <v>1</v>
      </c>
      <c r="J1289" s="2000">
        <v>2</v>
      </c>
      <c r="K1289" s="1798"/>
      <c r="L1289" s="1792">
        <v>13121002900</v>
      </c>
      <c r="M1289" s="1793">
        <v>1</v>
      </c>
      <c r="N1289" s="1793">
        <v>1</v>
      </c>
      <c r="O1289" s="1794">
        <v>2</v>
      </c>
    </row>
    <row r="1290" spans="3:15">
      <c r="C1290" s="1799" t="s">
        <v>5780</v>
      </c>
      <c r="D1290" s="1796">
        <v>1</v>
      </c>
      <c r="E1290" s="1796">
        <v>1</v>
      </c>
      <c r="F1290" s="1797">
        <v>2</v>
      </c>
      <c r="G1290" s="1999" t="s">
        <v>5780</v>
      </c>
      <c r="H1290" s="1794">
        <v>1</v>
      </c>
      <c r="I1290" s="1794" t="s">
        <v>4485</v>
      </c>
      <c r="J1290" s="2000">
        <v>1</v>
      </c>
      <c r="K1290" s="1798"/>
      <c r="L1290" s="1792">
        <v>13121003000</v>
      </c>
      <c r="M1290" s="1793">
        <v>1</v>
      </c>
      <c r="N1290" s="1793">
        <v>1</v>
      </c>
      <c r="O1290" s="1794">
        <v>2</v>
      </c>
    </row>
    <row r="1291" spans="3:15">
      <c r="C1291" s="1799" t="s">
        <v>5781</v>
      </c>
      <c r="D1291" s="1796">
        <v>1</v>
      </c>
      <c r="E1291" s="1796">
        <v>0</v>
      </c>
      <c r="F1291" s="1797">
        <v>1</v>
      </c>
      <c r="G1291" s="1999" t="s">
        <v>5781</v>
      </c>
      <c r="H1291" s="1794">
        <v>1</v>
      </c>
      <c r="I1291" s="1794">
        <v>0</v>
      </c>
      <c r="J1291" s="2000">
        <v>1</v>
      </c>
      <c r="K1291" s="1798"/>
      <c r="L1291" s="1792">
        <v>13121003100</v>
      </c>
      <c r="M1291" s="1793">
        <v>1</v>
      </c>
      <c r="N1291" s="1793">
        <v>0</v>
      </c>
      <c r="O1291" s="1794">
        <v>1</v>
      </c>
    </row>
    <row r="1292" spans="3:15">
      <c r="C1292" s="1799" t="s">
        <v>5782</v>
      </c>
      <c r="D1292" s="1796">
        <v>1</v>
      </c>
      <c r="E1292" s="1796">
        <v>1</v>
      </c>
      <c r="F1292" s="1797">
        <v>2</v>
      </c>
      <c r="G1292" s="1999" t="s">
        <v>5782</v>
      </c>
      <c r="H1292" s="1794">
        <v>1</v>
      </c>
      <c r="I1292" s="1794" t="s">
        <v>4485</v>
      </c>
      <c r="J1292" s="2000">
        <v>1</v>
      </c>
      <c r="K1292" s="1798"/>
      <c r="L1292" s="1792">
        <v>13121003200</v>
      </c>
      <c r="M1292" s="1793">
        <v>1</v>
      </c>
      <c r="N1292" s="1793">
        <v>1</v>
      </c>
      <c r="O1292" s="1794">
        <v>2</v>
      </c>
    </row>
    <row r="1293" spans="3:15">
      <c r="C1293" s="1799" t="s">
        <v>5783</v>
      </c>
      <c r="D1293" s="1796">
        <v>0</v>
      </c>
      <c r="E1293" s="1796">
        <v>0</v>
      </c>
      <c r="F1293" s="1797">
        <v>0</v>
      </c>
      <c r="G1293" s="1999" t="s">
        <v>5783</v>
      </c>
      <c r="H1293" s="1794">
        <v>0</v>
      </c>
      <c r="I1293" s="1794" t="s">
        <v>4485</v>
      </c>
      <c r="J1293" s="2000">
        <v>0</v>
      </c>
      <c r="K1293" s="1798"/>
      <c r="L1293" s="1792">
        <v>13121003500</v>
      </c>
      <c r="M1293" s="1793">
        <v>0</v>
      </c>
      <c r="N1293" s="1793">
        <v>0</v>
      </c>
      <c r="O1293" s="1794">
        <v>0</v>
      </c>
    </row>
    <row r="1294" spans="3:15">
      <c r="C1294" s="1799" t="s">
        <v>5784</v>
      </c>
      <c r="D1294" s="1796">
        <v>1</v>
      </c>
      <c r="E1294" s="1796">
        <v>0</v>
      </c>
      <c r="F1294" s="1797">
        <v>1</v>
      </c>
      <c r="G1294" s="1999" t="s">
        <v>5784</v>
      </c>
      <c r="H1294" s="1794">
        <v>0</v>
      </c>
      <c r="I1294" s="1794">
        <v>0</v>
      </c>
      <c r="J1294" s="2000">
        <v>0</v>
      </c>
      <c r="K1294" s="1798"/>
      <c r="L1294" s="1792">
        <v>13121003600</v>
      </c>
      <c r="M1294" s="1793">
        <v>1</v>
      </c>
      <c r="N1294" s="1793">
        <v>0</v>
      </c>
      <c r="O1294" s="1794">
        <v>1</v>
      </c>
    </row>
    <row r="1295" spans="3:15">
      <c r="C1295" s="1799" t="s">
        <v>5785</v>
      </c>
      <c r="D1295" s="1796" t="s">
        <v>4485</v>
      </c>
      <c r="E1295" s="1796" t="s">
        <v>4485</v>
      </c>
      <c r="F1295" s="1797">
        <v>0</v>
      </c>
      <c r="G1295" s="1999" t="s">
        <v>5785</v>
      </c>
      <c r="H1295" s="1794">
        <v>0</v>
      </c>
      <c r="I1295" s="1794" t="s">
        <v>4485</v>
      </c>
      <c r="J1295" s="2000">
        <v>0</v>
      </c>
      <c r="K1295" s="1798"/>
      <c r="L1295" s="1792">
        <v>13121003700</v>
      </c>
      <c r="M1295" s="1793">
        <v>0</v>
      </c>
      <c r="N1295" s="1793">
        <v>0</v>
      </c>
      <c r="O1295" s="1794">
        <v>0</v>
      </c>
    </row>
    <row r="1296" spans="3:15">
      <c r="C1296" s="1799" t="s">
        <v>5786</v>
      </c>
      <c r="D1296" s="1796">
        <v>0</v>
      </c>
      <c r="E1296" s="1796">
        <v>0</v>
      </c>
      <c r="F1296" s="1797">
        <v>0</v>
      </c>
      <c r="G1296" s="1999" t="s">
        <v>5786</v>
      </c>
      <c r="H1296" s="1794">
        <v>0</v>
      </c>
      <c r="I1296" s="1794" t="s">
        <v>4485</v>
      </c>
      <c r="J1296" s="2000">
        <v>0</v>
      </c>
      <c r="K1296" s="1798"/>
      <c r="L1296" s="1792">
        <v>13121003800</v>
      </c>
      <c r="M1296" s="1793">
        <v>0</v>
      </c>
      <c r="N1296" s="1793">
        <v>0</v>
      </c>
      <c r="O1296" s="1794">
        <v>0</v>
      </c>
    </row>
    <row r="1297" spans="3:15">
      <c r="C1297" s="1799" t="s">
        <v>5787</v>
      </c>
      <c r="D1297" s="1796">
        <v>0</v>
      </c>
      <c r="E1297" s="1796">
        <v>0</v>
      </c>
      <c r="F1297" s="1797">
        <v>0</v>
      </c>
      <c r="G1297" s="1999" t="s">
        <v>5787</v>
      </c>
      <c r="H1297" s="1794">
        <v>0</v>
      </c>
      <c r="I1297" s="1794">
        <v>0</v>
      </c>
      <c r="J1297" s="2000">
        <v>0</v>
      </c>
      <c r="K1297" s="1798"/>
      <c r="L1297" s="1792">
        <v>13121003900</v>
      </c>
      <c r="M1297" s="1793">
        <v>0</v>
      </c>
      <c r="N1297" s="1793">
        <v>0</v>
      </c>
      <c r="O1297" s="1794">
        <v>0</v>
      </c>
    </row>
    <row r="1298" spans="3:15">
      <c r="C1298" s="1799" t="s">
        <v>5788</v>
      </c>
      <c r="D1298" s="1796">
        <v>0</v>
      </c>
      <c r="E1298" s="1796">
        <v>0</v>
      </c>
      <c r="F1298" s="1797">
        <v>0</v>
      </c>
      <c r="G1298" s="1999" t="s">
        <v>5788</v>
      </c>
      <c r="H1298" s="1794">
        <v>0</v>
      </c>
      <c r="I1298" s="1794">
        <v>0</v>
      </c>
      <c r="J1298" s="2000">
        <v>0</v>
      </c>
      <c r="K1298" s="1798"/>
      <c r="L1298" s="1792">
        <v>13121004000</v>
      </c>
      <c r="M1298" s="1793">
        <v>0</v>
      </c>
      <c r="N1298" s="1793">
        <v>0</v>
      </c>
      <c r="O1298" s="1794">
        <v>0</v>
      </c>
    </row>
    <row r="1299" spans="3:15">
      <c r="C1299" s="1799" t="s">
        <v>5789</v>
      </c>
      <c r="D1299" s="1796">
        <v>0</v>
      </c>
      <c r="E1299" s="1796">
        <v>0</v>
      </c>
      <c r="F1299" s="1797">
        <v>0</v>
      </c>
      <c r="G1299" s="1999" t="s">
        <v>5789</v>
      </c>
      <c r="H1299" s="1794">
        <v>0</v>
      </c>
      <c r="I1299" s="1794">
        <v>0</v>
      </c>
      <c r="J1299" s="2000">
        <v>0</v>
      </c>
      <c r="K1299" s="1798"/>
      <c r="L1299" s="1792">
        <v>13121004100</v>
      </c>
      <c r="M1299" s="1793">
        <v>0</v>
      </c>
      <c r="N1299" s="1793">
        <v>0</v>
      </c>
      <c r="O1299" s="1794">
        <v>0</v>
      </c>
    </row>
    <row r="1300" spans="3:15">
      <c r="C1300" s="1799" t="s">
        <v>5790</v>
      </c>
      <c r="D1300" s="1796">
        <v>0</v>
      </c>
      <c r="E1300" s="1796">
        <v>0</v>
      </c>
      <c r="F1300" s="1797">
        <v>0</v>
      </c>
      <c r="G1300" s="1999" t="s">
        <v>5790</v>
      </c>
      <c r="H1300" s="1794">
        <v>0</v>
      </c>
      <c r="I1300" s="1794">
        <v>0</v>
      </c>
      <c r="J1300" s="2000">
        <v>0</v>
      </c>
      <c r="K1300" s="1798"/>
      <c r="L1300" s="1792">
        <v>13121004200</v>
      </c>
      <c r="M1300" s="1793">
        <v>0</v>
      </c>
      <c r="N1300" s="1793">
        <v>0</v>
      </c>
      <c r="O1300" s="1794">
        <v>0</v>
      </c>
    </row>
    <row r="1301" spans="3:15">
      <c r="C1301" s="1799" t="s">
        <v>5791</v>
      </c>
      <c r="D1301" s="1796">
        <v>0</v>
      </c>
      <c r="E1301" s="1796">
        <v>0</v>
      </c>
      <c r="F1301" s="1797">
        <v>0</v>
      </c>
      <c r="G1301" s="1999" t="s">
        <v>5791</v>
      </c>
      <c r="H1301" s="1794">
        <v>0</v>
      </c>
      <c r="I1301" s="1794" t="s">
        <v>4485</v>
      </c>
      <c r="J1301" s="2000">
        <v>0</v>
      </c>
      <c r="K1301" s="1798"/>
      <c r="L1301" s="1792">
        <v>13121004300</v>
      </c>
      <c r="M1301" s="1793">
        <v>0</v>
      </c>
      <c r="N1301" s="1793">
        <v>0</v>
      </c>
      <c r="O1301" s="1794">
        <v>0</v>
      </c>
    </row>
    <row r="1302" spans="3:15">
      <c r="C1302" s="1799" t="s">
        <v>5792</v>
      </c>
      <c r="D1302" s="1796">
        <v>0</v>
      </c>
      <c r="E1302" s="1796">
        <v>0</v>
      </c>
      <c r="F1302" s="1797">
        <v>0</v>
      </c>
      <c r="G1302" s="1999" t="s">
        <v>5792</v>
      </c>
      <c r="H1302" s="1794">
        <v>0</v>
      </c>
      <c r="I1302" s="1794">
        <v>0</v>
      </c>
      <c r="J1302" s="2000">
        <v>0</v>
      </c>
      <c r="K1302" s="1798"/>
      <c r="L1302" s="1792">
        <v>13121004400</v>
      </c>
      <c r="M1302" s="1793">
        <v>0</v>
      </c>
      <c r="N1302" s="1793">
        <v>0</v>
      </c>
      <c r="O1302" s="1794">
        <v>0</v>
      </c>
    </row>
    <row r="1303" spans="3:15">
      <c r="C1303" s="1799" t="s">
        <v>5793</v>
      </c>
      <c r="D1303" s="1796">
        <v>0</v>
      </c>
      <c r="E1303" s="1796">
        <v>0</v>
      </c>
      <c r="F1303" s="1797">
        <v>0</v>
      </c>
      <c r="G1303" s="1999" t="s">
        <v>5793</v>
      </c>
      <c r="H1303" s="1794">
        <v>0</v>
      </c>
      <c r="I1303" s="1794" t="s">
        <v>4485</v>
      </c>
      <c r="J1303" s="2000">
        <v>0</v>
      </c>
      <c r="K1303" s="1798"/>
      <c r="L1303" s="1792">
        <v>13121004800</v>
      </c>
      <c r="M1303" s="1793">
        <v>0</v>
      </c>
      <c r="N1303" s="1793">
        <v>0</v>
      </c>
      <c r="O1303" s="1794">
        <v>0</v>
      </c>
    </row>
    <row r="1304" spans="3:15">
      <c r="C1304" s="1799" t="s">
        <v>5794</v>
      </c>
      <c r="D1304" s="1796">
        <v>1</v>
      </c>
      <c r="E1304" s="1796">
        <v>0</v>
      </c>
      <c r="F1304" s="1797">
        <v>1</v>
      </c>
      <c r="G1304" s="1999" t="s">
        <v>5794</v>
      </c>
      <c r="H1304" s="1794">
        <v>1</v>
      </c>
      <c r="I1304" s="1794" t="s">
        <v>4485</v>
      </c>
      <c r="J1304" s="2000">
        <v>1</v>
      </c>
      <c r="K1304" s="1798"/>
      <c r="L1304" s="1792">
        <v>13121004900</v>
      </c>
      <c r="M1304" s="1793">
        <v>1</v>
      </c>
      <c r="N1304" s="1793">
        <v>0</v>
      </c>
      <c r="O1304" s="1794">
        <v>1</v>
      </c>
    </row>
    <row r="1305" spans="3:15">
      <c r="C1305" s="1799" t="s">
        <v>5795</v>
      </c>
      <c r="D1305" s="1796">
        <v>1</v>
      </c>
      <c r="E1305" s="1796">
        <v>1</v>
      </c>
      <c r="F1305" s="1797">
        <v>2</v>
      </c>
      <c r="G1305" s="1999" t="s">
        <v>5795</v>
      </c>
      <c r="H1305" s="1794">
        <v>1</v>
      </c>
      <c r="I1305" s="1794">
        <v>1</v>
      </c>
      <c r="J1305" s="2000">
        <v>2</v>
      </c>
      <c r="K1305" s="1798"/>
      <c r="L1305" s="1792">
        <v>13121005000</v>
      </c>
      <c r="M1305" s="1793">
        <v>1</v>
      </c>
      <c r="N1305" s="1793">
        <v>1</v>
      </c>
      <c r="O1305" s="1794">
        <v>2</v>
      </c>
    </row>
    <row r="1306" spans="3:15">
      <c r="C1306" s="1799" t="s">
        <v>5796</v>
      </c>
      <c r="D1306" s="1796">
        <v>1</v>
      </c>
      <c r="E1306" s="1796">
        <v>1</v>
      </c>
      <c r="F1306" s="1797">
        <v>2</v>
      </c>
      <c r="G1306" s="1999" t="s">
        <v>5796</v>
      </c>
      <c r="H1306" s="1794">
        <v>1</v>
      </c>
      <c r="I1306" s="1794">
        <v>1</v>
      </c>
      <c r="J1306" s="2000">
        <v>2</v>
      </c>
      <c r="K1306" s="1798"/>
      <c r="L1306" s="1792">
        <v>13121005200</v>
      </c>
      <c r="M1306" s="1793">
        <v>1</v>
      </c>
      <c r="N1306" s="1793">
        <v>1</v>
      </c>
      <c r="O1306" s="1794">
        <v>2</v>
      </c>
    </row>
    <row r="1307" spans="3:15">
      <c r="C1307" s="1799" t="s">
        <v>5797</v>
      </c>
      <c r="D1307" s="1796">
        <v>1</v>
      </c>
      <c r="E1307" s="1796">
        <v>1</v>
      </c>
      <c r="F1307" s="1797">
        <v>2</v>
      </c>
      <c r="G1307" s="1999" t="s">
        <v>5797</v>
      </c>
      <c r="H1307" s="1794">
        <v>1</v>
      </c>
      <c r="I1307" s="1794">
        <v>1</v>
      </c>
      <c r="J1307" s="2000">
        <v>2</v>
      </c>
      <c r="K1307" s="1798"/>
      <c r="L1307" s="1792">
        <v>13121005300</v>
      </c>
      <c r="M1307" s="1793">
        <v>1</v>
      </c>
      <c r="N1307" s="1793">
        <v>1</v>
      </c>
      <c r="O1307" s="1794">
        <v>2</v>
      </c>
    </row>
    <row r="1308" spans="3:15">
      <c r="C1308" s="1799" t="s">
        <v>5798</v>
      </c>
      <c r="D1308" s="1796">
        <v>0</v>
      </c>
      <c r="E1308" s="1796">
        <v>0</v>
      </c>
      <c r="F1308" s="1797">
        <v>0</v>
      </c>
      <c r="G1308" s="1999" t="s">
        <v>5798</v>
      </c>
      <c r="H1308" s="1794">
        <v>0</v>
      </c>
      <c r="I1308" s="1794">
        <v>0</v>
      </c>
      <c r="J1308" s="2000">
        <v>0</v>
      </c>
      <c r="K1308" s="1798"/>
      <c r="L1308" s="1792">
        <v>13121005501</v>
      </c>
      <c r="M1308" s="1793">
        <v>0</v>
      </c>
      <c r="N1308" s="1793">
        <v>0</v>
      </c>
      <c r="O1308" s="1794">
        <v>0</v>
      </c>
    </row>
    <row r="1309" spans="3:15">
      <c r="C1309" s="1799" t="s">
        <v>5799</v>
      </c>
      <c r="D1309" s="1796">
        <v>0</v>
      </c>
      <c r="E1309" s="1796">
        <v>0</v>
      </c>
      <c r="F1309" s="1797">
        <v>0</v>
      </c>
      <c r="G1309" s="1999" t="s">
        <v>5799</v>
      </c>
      <c r="H1309" s="1794">
        <v>0</v>
      </c>
      <c r="I1309" s="1794">
        <v>0</v>
      </c>
      <c r="J1309" s="2000">
        <v>0</v>
      </c>
      <c r="K1309" s="1798"/>
      <c r="L1309" s="1792">
        <v>13121005502</v>
      </c>
      <c r="M1309" s="1793">
        <v>0</v>
      </c>
      <c r="N1309" s="1793">
        <v>0</v>
      </c>
      <c r="O1309" s="1794">
        <v>0</v>
      </c>
    </row>
    <row r="1310" spans="3:15">
      <c r="C1310" s="1799" t="s">
        <v>5800</v>
      </c>
      <c r="D1310" s="1796">
        <v>0</v>
      </c>
      <c r="E1310" s="1796">
        <v>0</v>
      </c>
      <c r="F1310" s="1797">
        <v>0</v>
      </c>
      <c r="G1310" s="1999" t="s">
        <v>5800</v>
      </c>
      <c r="H1310" s="1794">
        <v>0</v>
      </c>
      <c r="I1310" s="1794">
        <v>0</v>
      </c>
      <c r="J1310" s="2000">
        <v>0</v>
      </c>
      <c r="K1310" s="1798"/>
      <c r="L1310" s="1792">
        <v>13121005700</v>
      </c>
      <c r="M1310" s="1793">
        <v>0</v>
      </c>
      <c r="N1310" s="1793">
        <v>0</v>
      </c>
      <c r="O1310" s="1794">
        <v>0</v>
      </c>
    </row>
    <row r="1311" spans="3:15">
      <c r="C1311" s="1799" t="s">
        <v>5801</v>
      </c>
      <c r="D1311" s="1796">
        <v>0</v>
      </c>
      <c r="E1311" s="1796">
        <v>0</v>
      </c>
      <c r="F1311" s="1797">
        <v>0</v>
      </c>
      <c r="G1311" s="1999" t="s">
        <v>5801</v>
      </c>
      <c r="H1311" s="1794">
        <v>0</v>
      </c>
      <c r="I1311" s="1794">
        <v>0</v>
      </c>
      <c r="J1311" s="2000">
        <v>0</v>
      </c>
      <c r="K1311" s="1798"/>
      <c r="L1311" s="1792">
        <v>13121005800</v>
      </c>
      <c r="M1311" s="1793">
        <v>0</v>
      </c>
      <c r="N1311" s="1793">
        <v>0</v>
      </c>
      <c r="O1311" s="1794">
        <v>0</v>
      </c>
    </row>
    <row r="1312" spans="3:15">
      <c r="C1312" s="1799" t="s">
        <v>5802</v>
      </c>
      <c r="D1312" s="1796">
        <v>0</v>
      </c>
      <c r="E1312" s="1796">
        <v>0</v>
      </c>
      <c r="F1312" s="1797">
        <v>0</v>
      </c>
      <c r="G1312" s="1999" t="s">
        <v>5802</v>
      </c>
      <c r="H1312" s="1794">
        <v>0</v>
      </c>
      <c r="I1312" s="1794">
        <v>0</v>
      </c>
      <c r="J1312" s="2000">
        <v>0</v>
      </c>
      <c r="K1312" s="1798"/>
      <c r="L1312" s="1792">
        <v>13121006000</v>
      </c>
      <c r="M1312" s="1793">
        <v>0</v>
      </c>
      <c r="N1312" s="1793">
        <v>0</v>
      </c>
      <c r="O1312" s="1794">
        <v>0</v>
      </c>
    </row>
    <row r="1313" spans="3:15">
      <c r="C1313" s="1799" t="s">
        <v>5803</v>
      </c>
      <c r="D1313" s="1796">
        <v>0</v>
      </c>
      <c r="E1313" s="1796">
        <v>0</v>
      </c>
      <c r="F1313" s="1797">
        <v>0</v>
      </c>
      <c r="G1313" s="1999" t="s">
        <v>5803</v>
      </c>
      <c r="H1313" s="1794">
        <v>0</v>
      </c>
      <c r="I1313" s="1794">
        <v>0</v>
      </c>
      <c r="J1313" s="2000">
        <v>0</v>
      </c>
      <c r="K1313" s="1798"/>
      <c r="L1313" s="1792">
        <v>13121006100</v>
      </c>
      <c r="M1313" s="1793">
        <v>0</v>
      </c>
      <c r="N1313" s="1793">
        <v>0</v>
      </c>
      <c r="O1313" s="1794">
        <v>0</v>
      </c>
    </row>
    <row r="1314" spans="3:15">
      <c r="C1314" s="1799" t="s">
        <v>5804</v>
      </c>
      <c r="D1314" s="1796">
        <v>0</v>
      </c>
      <c r="E1314" s="1796">
        <v>0</v>
      </c>
      <c r="F1314" s="1797">
        <v>0</v>
      </c>
      <c r="G1314" s="1999" t="s">
        <v>5804</v>
      </c>
      <c r="H1314" s="1794">
        <v>0</v>
      </c>
      <c r="I1314" s="1794">
        <v>0</v>
      </c>
      <c r="J1314" s="2000">
        <v>0</v>
      </c>
      <c r="K1314" s="1798"/>
      <c r="L1314" s="1792">
        <v>13121006200</v>
      </c>
      <c r="M1314" s="1793">
        <v>0</v>
      </c>
      <c r="N1314" s="1793">
        <v>0</v>
      </c>
      <c r="O1314" s="1794">
        <v>0</v>
      </c>
    </row>
    <row r="1315" spans="3:15">
      <c r="C1315" s="1799" t="s">
        <v>5805</v>
      </c>
      <c r="D1315" s="1796">
        <v>0</v>
      </c>
      <c r="E1315" s="1796">
        <v>0</v>
      </c>
      <c r="F1315" s="1797">
        <v>0</v>
      </c>
      <c r="G1315" s="1999" t="s">
        <v>5805</v>
      </c>
      <c r="H1315" s="1794">
        <v>0</v>
      </c>
      <c r="I1315" s="1794">
        <v>0</v>
      </c>
      <c r="J1315" s="2000">
        <v>0</v>
      </c>
      <c r="K1315" s="1798"/>
      <c r="L1315" s="1792">
        <v>13121006300</v>
      </c>
      <c r="M1315" s="1793">
        <v>0</v>
      </c>
      <c r="N1315" s="1793">
        <v>0</v>
      </c>
      <c r="O1315" s="1794">
        <v>0</v>
      </c>
    </row>
    <row r="1316" spans="3:15">
      <c r="C1316" s="1799" t="s">
        <v>5806</v>
      </c>
      <c r="D1316" s="1796">
        <v>0</v>
      </c>
      <c r="E1316" s="1796">
        <v>0</v>
      </c>
      <c r="F1316" s="1797">
        <v>0</v>
      </c>
      <c r="G1316" s="1999" t="s">
        <v>5806</v>
      </c>
      <c r="H1316" s="1794">
        <v>0</v>
      </c>
      <c r="I1316" s="1794" t="s">
        <v>4485</v>
      </c>
      <c r="J1316" s="2000">
        <v>0</v>
      </c>
      <c r="K1316" s="1798"/>
      <c r="L1316" s="1792">
        <v>13121006400</v>
      </c>
      <c r="M1316" s="1793">
        <v>0</v>
      </c>
      <c r="N1316" s="1793">
        <v>0</v>
      </c>
      <c r="O1316" s="1794">
        <v>0</v>
      </c>
    </row>
    <row r="1317" spans="3:15">
      <c r="C1317" s="1799" t="s">
        <v>5807</v>
      </c>
      <c r="D1317" s="1796">
        <v>0</v>
      </c>
      <c r="E1317" s="1796">
        <v>0</v>
      </c>
      <c r="F1317" s="1797">
        <v>0</v>
      </c>
      <c r="G1317" s="1999" t="s">
        <v>5807</v>
      </c>
      <c r="H1317" s="1794">
        <v>0</v>
      </c>
      <c r="I1317" s="1794">
        <v>0</v>
      </c>
      <c r="J1317" s="2000">
        <v>0</v>
      </c>
      <c r="K1317" s="1798"/>
      <c r="L1317" s="1792">
        <v>13121006500</v>
      </c>
      <c r="M1317" s="1793">
        <v>0</v>
      </c>
      <c r="N1317" s="1793">
        <v>0</v>
      </c>
      <c r="O1317" s="1794">
        <v>0</v>
      </c>
    </row>
    <row r="1318" spans="3:15">
      <c r="C1318" s="1799" t="s">
        <v>5808</v>
      </c>
      <c r="D1318" s="1796">
        <v>0</v>
      </c>
      <c r="E1318" s="1796">
        <v>0</v>
      </c>
      <c r="F1318" s="1797">
        <v>0</v>
      </c>
      <c r="G1318" s="1999" t="s">
        <v>5808</v>
      </c>
      <c r="H1318" s="1794">
        <v>0</v>
      </c>
      <c r="I1318" s="1794">
        <v>0</v>
      </c>
      <c r="J1318" s="2000">
        <v>0</v>
      </c>
      <c r="K1318" s="1798"/>
      <c r="L1318" s="1792">
        <v>13121006601</v>
      </c>
      <c r="M1318" s="1793">
        <v>0</v>
      </c>
      <c r="N1318" s="1793">
        <v>0</v>
      </c>
      <c r="O1318" s="1794">
        <v>0</v>
      </c>
    </row>
    <row r="1319" spans="3:15">
      <c r="C1319" s="1799" t="s">
        <v>5809</v>
      </c>
      <c r="D1319" s="1796">
        <v>0</v>
      </c>
      <c r="E1319" s="1796">
        <v>0</v>
      </c>
      <c r="F1319" s="1797">
        <v>0</v>
      </c>
      <c r="G1319" s="1999" t="s">
        <v>5809</v>
      </c>
      <c r="H1319" s="1794">
        <v>0</v>
      </c>
      <c r="I1319" s="1794">
        <v>0</v>
      </c>
      <c r="J1319" s="2000">
        <v>0</v>
      </c>
      <c r="K1319" s="1798"/>
      <c r="L1319" s="1792">
        <v>13121006602</v>
      </c>
      <c r="M1319" s="1793">
        <v>0</v>
      </c>
      <c r="N1319" s="1793">
        <v>0</v>
      </c>
      <c r="O1319" s="1794">
        <v>0</v>
      </c>
    </row>
    <row r="1320" spans="3:15">
      <c r="C1320" s="1799" t="s">
        <v>5810</v>
      </c>
      <c r="D1320" s="1796">
        <v>0</v>
      </c>
      <c r="E1320" s="1796">
        <v>0</v>
      </c>
      <c r="F1320" s="1797">
        <v>0</v>
      </c>
      <c r="G1320" s="1999" t="s">
        <v>5810</v>
      </c>
      <c r="H1320" s="1794">
        <v>0</v>
      </c>
      <c r="I1320" s="1794">
        <v>0</v>
      </c>
      <c r="J1320" s="2000">
        <v>0</v>
      </c>
      <c r="K1320" s="1798"/>
      <c r="L1320" s="1792">
        <v>13121006700</v>
      </c>
      <c r="M1320" s="1793">
        <v>0</v>
      </c>
      <c r="N1320" s="1793">
        <v>0</v>
      </c>
      <c r="O1320" s="1794">
        <v>0</v>
      </c>
    </row>
    <row r="1321" spans="3:15">
      <c r="C1321" s="1799" t="s">
        <v>5811</v>
      </c>
      <c r="D1321" s="1796" t="s">
        <v>4485</v>
      </c>
      <c r="E1321" s="1796" t="s">
        <v>4485</v>
      </c>
      <c r="F1321" s="1797">
        <v>0</v>
      </c>
      <c r="G1321" s="1999" t="s">
        <v>5811</v>
      </c>
      <c r="H1321" s="1794" t="s">
        <v>4485</v>
      </c>
      <c r="I1321" s="1794" t="s">
        <v>4485</v>
      </c>
      <c r="J1321" s="2000">
        <v>0</v>
      </c>
      <c r="K1321" s="1798"/>
      <c r="L1321" s="1792">
        <v>13121006801</v>
      </c>
      <c r="M1321" s="1793">
        <v>0</v>
      </c>
      <c r="N1321" s="1793">
        <v>0</v>
      </c>
      <c r="O1321" s="1794">
        <v>0</v>
      </c>
    </row>
    <row r="1322" spans="3:15">
      <c r="C1322" s="1799" t="s">
        <v>5812</v>
      </c>
      <c r="D1322" s="1796">
        <v>0</v>
      </c>
      <c r="E1322" s="1796">
        <v>0</v>
      </c>
      <c r="F1322" s="1797">
        <v>0</v>
      </c>
      <c r="G1322" s="1999" t="s">
        <v>5812</v>
      </c>
      <c r="H1322" s="1794">
        <v>0</v>
      </c>
      <c r="I1322" s="1794">
        <v>0</v>
      </c>
      <c r="J1322" s="2000">
        <v>0</v>
      </c>
      <c r="K1322" s="1798"/>
      <c r="L1322" s="1792">
        <v>13121006802</v>
      </c>
      <c r="M1322" s="1793">
        <v>0</v>
      </c>
      <c r="N1322" s="1793">
        <v>0</v>
      </c>
      <c r="O1322" s="1794">
        <v>0</v>
      </c>
    </row>
    <row r="1323" spans="3:15">
      <c r="C1323" s="1799" t="s">
        <v>5813</v>
      </c>
      <c r="D1323" s="1796">
        <v>0</v>
      </c>
      <c r="E1323" s="1796">
        <v>0</v>
      </c>
      <c r="F1323" s="1797">
        <v>0</v>
      </c>
      <c r="G1323" s="1999" t="s">
        <v>5813</v>
      </c>
      <c r="H1323" s="1794">
        <v>1</v>
      </c>
      <c r="I1323" s="1794">
        <v>0</v>
      </c>
      <c r="J1323" s="2000">
        <v>1</v>
      </c>
      <c r="K1323" s="1798"/>
      <c r="L1323" s="1792">
        <v>13121006900</v>
      </c>
      <c r="M1323" s="1793">
        <v>1</v>
      </c>
      <c r="N1323" s="1793">
        <v>0</v>
      </c>
      <c r="O1323" s="1794">
        <v>1</v>
      </c>
    </row>
    <row r="1324" spans="3:15">
      <c r="C1324" s="1799" t="s">
        <v>5814</v>
      </c>
      <c r="D1324" s="1796">
        <v>0</v>
      </c>
      <c r="E1324" s="1796">
        <v>0</v>
      </c>
      <c r="F1324" s="1797">
        <v>0</v>
      </c>
      <c r="G1324" s="1999" t="s">
        <v>5814</v>
      </c>
      <c r="H1324" s="1794">
        <v>0</v>
      </c>
      <c r="I1324" s="1794">
        <v>0</v>
      </c>
      <c r="J1324" s="2000">
        <v>0</v>
      </c>
      <c r="K1324" s="1798"/>
      <c r="L1324" s="1792">
        <v>13121007001</v>
      </c>
      <c r="M1324" s="1793">
        <v>0</v>
      </c>
      <c r="N1324" s="1793">
        <v>0</v>
      </c>
      <c r="O1324" s="1794">
        <v>0</v>
      </c>
    </row>
    <row r="1325" spans="3:15">
      <c r="C1325" s="1799" t="s">
        <v>5815</v>
      </c>
      <c r="D1325" s="1796">
        <v>0</v>
      </c>
      <c r="E1325" s="1796">
        <v>0</v>
      </c>
      <c r="F1325" s="1797">
        <v>0</v>
      </c>
      <c r="G1325" s="1999" t="s">
        <v>5815</v>
      </c>
      <c r="H1325" s="1794">
        <v>0</v>
      </c>
      <c r="I1325" s="1794">
        <v>0</v>
      </c>
      <c r="J1325" s="2000">
        <v>0</v>
      </c>
      <c r="K1325" s="1798"/>
      <c r="L1325" s="1792">
        <v>13121007002</v>
      </c>
      <c r="M1325" s="1793">
        <v>0</v>
      </c>
      <c r="N1325" s="1793">
        <v>0</v>
      </c>
      <c r="O1325" s="1794">
        <v>0</v>
      </c>
    </row>
    <row r="1326" spans="3:15">
      <c r="C1326" s="1799" t="s">
        <v>5816</v>
      </c>
      <c r="D1326" s="1796">
        <v>0</v>
      </c>
      <c r="E1326" s="1796">
        <v>0</v>
      </c>
      <c r="F1326" s="1797">
        <v>0</v>
      </c>
      <c r="G1326" s="1999" t="s">
        <v>5816</v>
      </c>
      <c r="H1326" s="1794">
        <v>0</v>
      </c>
      <c r="I1326" s="1794">
        <v>0</v>
      </c>
      <c r="J1326" s="2000">
        <v>0</v>
      </c>
      <c r="K1326" s="1798"/>
      <c r="L1326" s="1792">
        <v>13121007100</v>
      </c>
      <c r="M1326" s="1793">
        <v>0</v>
      </c>
      <c r="N1326" s="1793">
        <v>0</v>
      </c>
      <c r="O1326" s="1794">
        <v>0</v>
      </c>
    </row>
    <row r="1327" spans="3:15">
      <c r="C1327" s="1799" t="s">
        <v>5817</v>
      </c>
      <c r="D1327" s="1796">
        <v>0</v>
      </c>
      <c r="E1327" s="1796">
        <v>0</v>
      </c>
      <c r="F1327" s="1797">
        <v>0</v>
      </c>
      <c r="G1327" s="1999" t="s">
        <v>5817</v>
      </c>
      <c r="H1327" s="1794">
        <v>0</v>
      </c>
      <c r="I1327" s="1794">
        <v>0</v>
      </c>
      <c r="J1327" s="2000">
        <v>0</v>
      </c>
      <c r="K1327" s="1798"/>
      <c r="L1327" s="1792">
        <v>13121007200</v>
      </c>
      <c r="M1327" s="1793">
        <v>0</v>
      </c>
      <c r="N1327" s="1793">
        <v>0</v>
      </c>
      <c r="O1327" s="1794">
        <v>0</v>
      </c>
    </row>
    <row r="1328" spans="3:15">
      <c r="C1328" s="1799" t="s">
        <v>5818</v>
      </c>
      <c r="D1328" s="1796">
        <v>0</v>
      </c>
      <c r="E1328" s="1796">
        <v>0</v>
      </c>
      <c r="F1328" s="1797">
        <v>0</v>
      </c>
      <c r="G1328" s="1999" t="s">
        <v>5818</v>
      </c>
      <c r="H1328" s="1794">
        <v>0</v>
      </c>
      <c r="I1328" s="1794">
        <v>0</v>
      </c>
      <c r="J1328" s="2000">
        <v>0</v>
      </c>
      <c r="K1328" s="1798"/>
      <c r="L1328" s="1792">
        <v>13121007300</v>
      </c>
      <c r="M1328" s="1793">
        <v>0</v>
      </c>
      <c r="N1328" s="1793">
        <v>0</v>
      </c>
      <c r="O1328" s="1794">
        <v>0</v>
      </c>
    </row>
    <row r="1329" spans="3:15">
      <c r="C1329" s="1799" t="s">
        <v>5819</v>
      </c>
      <c r="D1329" s="1796">
        <v>0</v>
      </c>
      <c r="E1329" s="1796">
        <v>0</v>
      </c>
      <c r="F1329" s="1797">
        <v>0</v>
      </c>
      <c r="G1329" s="1999" t="s">
        <v>5819</v>
      </c>
      <c r="H1329" s="1794">
        <v>0</v>
      </c>
      <c r="I1329" s="1794">
        <v>0</v>
      </c>
      <c r="J1329" s="2000">
        <v>0</v>
      </c>
      <c r="K1329" s="1798"/>
      <c r="L1329" s="1792">
        <v>13121007400</v>
      </c>
      <c r="M1329" s="1793">
        <v>0</v>
      </c>
      <c r="N1329" s="1793">
        <v>0</v>
      </c>
      <c r="O1329" s="1794">
        <v>0</v>
      </c>
    </row>
    <row r="1330" spans="3:15">
      <c r="C1330" s="1799" t="s">
        <v>5820</v>
      </c>
      <c r="D1330" s="1796">
        <v>0</v>
      </c>
      <c r="E1330" s="1796">
        <v>0</v>
      </c>
      <c r="F1330" s="1797">
        <v>0</v>
      </c>
      <c r="G1330" s="1999" t="s">
        <v>5820</v>
      </c>
      <c r="H1330" s="1794">
        <v>0</v>
      </c>
      <c r="I1330" s="1794">
        <v>0</v>
      </c>
      <c r="J1330" s="2000">
        <v>0</v>
      </c>
      <c r="K1330" s="1798"/>
      <c r="L1330" s="1792">
        <v>13121007500</v>
      </c>
      <c r="M1330" s="1793">
        <v>0</v>
      </c>
      <c r="N1330" s="1793">
        <v>0</v>
      </c>
      <c r="O1330" s="1794">
        <v>0</v>
      </c>
    </row>
    <row r="1331" spans="3:15">
      <c r="C1331" s="1799" t="s">
        <v>5821</v>
      </c>
      <c r="D1331" s="1796">
        <v>0</v>
      </c>
      <c r="E1331" s="1796">
        <v>0</v>
      </c>
      <c r="F1331" s="1797">
        <v>0</v>
      </c>
      <c r="G1331" s="1999" t="s">
        <v>5821</v>
      </c>
      <c r="H1331" s="1794">
        <v>0</v>
      </c>
      <c r="I1331" s="1794">
        <v>0</v>
      </c>
      <c r="J1331" s="2000">
        <v>0</v>
      </c>
      <c r="K1331" s="1798"/>
      <c r="L1331" s="1792">
        <v>13121007602</v>
      </c>
      <c r="M1331" s="1793">
        <v>0</v>
      </c>
      <c r="N1331" s="1793">
        <v>0</v>
      </c>
      <c r="O1331" s="1794">
        <v>0</v>
      </c>
    </row>
    <row r="1332" spans="3:15">
      <c r="C1332" s="1799" t="s">
        <v>5822</v>
      </c>
      <c r="D1332" s="1796">
        <v>0</v>
      </c>
      <c r="E1332" s="1796">
        <v>0</v>
      </c>
      <c r="F1332" s="1797">
        <v>0</v>
      </c>
      <c r="G1332" s="1999" t="s">
        <v>5822</v>
      </c>
      <c r="H1332" s="1794">
        <v>0</v>
      </c>
      <c r="I1332" s="1794">
        <v>0</v>
      </c>
      <c r="J1332" s="2000">
        <v>0</v>
      </c>
      <c r="K1332" s="1798"/>
      <c r="L1332" s="1792">
        <v>13121007603</v>
      </c>
      <c r="M1332" s="1793">
        <v>0</v>
      </c>
      <c r="N1332" s="1793">
        <v>0</v>
      </c>
      <c r="O1332" s="1794">
        <v>0</v>
      </c>
    </row>
    <row r="1333" spans="3:15">
      <c r="C1333" s="1799" t="s">
        <v>5823</v>
      </c>
      <c r="D1333" s="1796">
        <v>0</v>
      </c>
      <c r="E1333" s="1796">
        <v>0</v>
      </c>
      <c r="F1333" s="1797">
        <v>0</v>
      </c>
      <c r="G1333" s="1999" t="s">
        <v>5823</v>
      </c>
      <c r="H1333" s="1794">
        <v>0</v>
      </c>
      <c r="I1333" s="1794" t="s">
        <v>4485</v>
      </c>
      <c r="J1333" s="2000">
        <v>0</v>
      </c>
      <c r="K1333" s="1798"/>
      <c r="L1333" s="1792">
        <v>13121007604</v>
      </c>
      <c r="M1333" s="1793">
        <v>0</v>
      </c>
      <c r="N1333" s="1793">
        <v>0</v>
      </c>
      <c r="O1333" s="1794">
        <v>0</v>
      </c>
    </row>
    <row r="1334" spans="3:15">
      <c r="C1334" s="1799" t="s">
        <v>5824</v>
      </c>
      <c r="D1334" s="1796">
        <v>0</v>
      </c>
      <c r="E1334" s="1796">
        <v>0</v>
      </c>
      <c r="F1334" s="1797">
        <v>0</v>
      </c>
      <c r="G1334" s="1999" t="s">
        <v>5824</v>
      </c>
      <c r="H1334" s="1794">
        <v>0</v>
      </c>
      <c r="I1334" s="1794">
        <v>0</v>
      </c>
      <c r="J1334" s="2000">
        <v>0</v>
      </c>
      <c r="K1334" s="1798"/>
      <c r="L1334" s="1792">
        <v>13121007703</v>
      </c>
      <c r="M1334" s="1793">
        <v>0</v>
      </c>
      <c r="N1334" s="1793">
        <v>0</v>
      </c>
      <c r="O1334" s="1794">
        <v>0</v>
      </c>
    </row>
    <row r="1335" spans="3:15">
      <c r="C1335" s="1799" t="s">
        <v>5825</v>
      </c>
      <c r="D1335" s="1796">
        <v>0</v>
      </c>
      <c r="E1335" s="1796">
        <v>0</v>
      </c>
      <c r="F1335" s="1797">
        <v>0</v>
      </c>
      <c r="G1335" s="1999" t="s">
        <v>5825</v>
      </c>
      <c r="H1335" s="1794">
        <v>0</v>
      </c>
      <c r="I1335" s="1794">
        <v>0</v>
      </c>
      <c r="J1335" s="2000">
        <v>0</v>
      </c>
      <c r="K1335" s="1798"/>
      <c r="L1335" s="1792">
        <v>13121007704</v>
      </c>
      <c r="M1335" s="1793">
        <v>0</v>
      </c>
      <c r="N1335" s="1793">
        <v>0</v>
      </c>
      <c r="O1335" s="1794">
        <v>0</v>
      </c>
    </row>
    <row r="1336" spans="3:15">
      <c r="C1336" s="1799" t="s">
        <v>5826</v>
      </c>
      <c r="D1336" s="1796">
        <v>0</v>
      </c>
      <c r="E1336" s="1796">
        <v>0</v>
      </c>
      <c r="F1336" s="1797">
        <v>0</v>
      </c>
      <c r="G1336" s="1999" t="s">
        <v>5826</v>
      </c>
      <c r="H1336" s="1794">
        <v>0</v>
      </c>
      <c r="I1336" s="1794">
        <v>0</v>
      </c>
      <c r="J1336" s="2000">
        <v>0</v>
      </c>
      <c r="K1336" s="1798"/>
      <c r="L1336" s="1792">
        <v>13121007705</v>
      </c>
      <c r="M1336" s="1793">
        <v>0</v>
      </c>
      <c r="N1336" s="1793">
        <v>0</v>
      </c>
      <c r="O1336" s="1794">
        <v>0</v>
      </c>
    </row>
    <row r="1337" spans="3:15">
      <c r="C1337" s="1799" t="s">
        <v>5827</v>
      </c>
      <c r="D1337" s="1796">
        <v>0</v>
      </c>
      <c r="E1337" s="1796">
        <v>0</v>
      </c>
      <c r="F1337" s="1797">
        <v>0</v>
      </c>
      <c r="G1337" s="1999" t="s">
        <v>5827</v>
      </c>
      <c r="H1337" s="1794">
        <v>0</v>
      </c>
      <c r="I1337" s="1794">
        <v>1</v>
      </c>
      <c r="J1337" s="2000">
        <v>1</v>
      </c>
      <c r="K1337" s="1798"/>
      <c r="L1337" s="1792">
        <v>13121007706</v>
      </c>
      <c r="M1337" s="1793">
        <v>0</v>
      </c>
      <c r="N1337" s="1793">
        <v>1</v>
      </c>
      <c r="O1337" s="1794">
        <v>1</v>
      </c>
    </row>
    <row r="1338" spans="3:15">
      <c r="C1338" s="1799" t="s">
        <v>5828</v>
      </c>
      <c r="D1338" s="1796">
        <v>0</v>
      </c>
      <c r="E1338" s="1796">
        <v>0</v>
      </c>
      <c r="F1338" s="1797">
        <v>0</v>
      </c>
      <c r="G1338" s="1999" t="s">
        <v>5828</v>
      </c>
      <c r="H1338" s="1794">
        <v>0</v>
      </c>
      <c r="I1338" s="1794">
        <v>0</v>
      </c>
      <c r="J1338" s="2000">
        <v>0</v>
      </c>
      <c r="K1338" s="1798"/>
      <c r="L1338" s="1792">
        <v>13121007802</v>
      </c>
      <c r="M1338" s="1793">
        <v>0</v>
      </c>
      <c r="N1338" s="1793">
        <v>0</v>
      </c>
      <c r="O1338" s="1794">
        <v>0</v>
      </c>
    </row>
    <row r="1339" spans="3:15">
      <c r="C1339" s="1799" t="s">
        <v>5829</v>
      </c>
      <c r="D1339" s="1796">
        <v>0</v>
      </c>
      <c r="E1339" s="1796">
        <v>0</v>
      </c>
      <c r="F1339" s="1797">
        <v>0</v>
      </c>
      <c r="G1339" s="1999" t="s">
        <v>5829</v>
      </c>
      <c r="H1339" s="1794">
        <v>0</v>
      </c>
      <c r="I1339" s="1794">
        <v>0</v>
      </c>
      <c r="J1339" s="2000">
        <v>0</v>
      </c>
      <c r="K1339" s="1798"/>
      <c r="L1339" s="1792">
        <v>13121007805</v>
      </c>
      <c r="M1339" s="1793">
        <v>0</v>
      </c>
      <c r="N1339" s="1793">
        <v>0</v>
      </c>
      <c r="O1339" s="1794">
        <v>0</v>
      </c>
    </row>
    <row r="1340" spans="3:15">
      <c r="C1340" s="1799" t="s">
        <v>5830</v>
      </c>
      <c r="D1340" s="1796">
        <v>0</v>
      </c>
      <c r="E1340" s="1796">
        <v>0</v>
      </c>
      <c r="F1340" s="1797">
        <v>0</v>
      </c>
      <c r="G1340" s="1999" t="s">
        <v>5830</v>
      </c>
      <c r="H1340" s="1794">
        <v>0</v>
      </c>
      <c r="I1340" s="1794">
        <v>1</v>
      </c>
      <c r="J1340" s="2000">
        <v>1</v>
      </c>
      <c r="K1340" s="1798"/>
      <c r="L1340" s="1792">
        <v>13121007806</v>
      </c>
      <c r="M1340" s="1793">
        <v>0</v>
      </c>
      <c r="N1340" s="1793">
        <v>1</v>
      </c>
      <c r="O1340" s="1794">
        <v>1</v>
      </c>
    </row>
    <row r="1341" spans="3:15">
      <c r="C1341" s="1799" t="s">
        <v>5831</v>
      </c>
      <c r="D1341" s="1796">
        <v>0</v>
      </c>
      <c r="E1341" s="1796">
        <v>0</v>
      </c>
      <c r="F1341" s="1797">
        <v>0</v>
      </c>
      <c r="G1341" s="1999" t="s">
        <v>5831</v>
      </c>
      <c r="H1341" s="1794">
        <v>0</v>
      </c>
      <c r="I1341" s="1794">
        <v>0</v>
      </c>
      <c r="J1341" s="2000">
        <v>0</v>
      </c>
      <c r="K1341" s="1798"/>
      <c r="L1341" s="1792">
        <v>13121007807</v>
      </c>
      <c r="M1341" s="1793">
        <v>0</v>
      </c>
      <c r="N1341" s="1793">
        <v>0</v>
      </c>
      <c r="O1341" s="1794">
        <v>0</v>
      </c>
    </row>
    <row r="1342" spans="3:15">
      <c r="C1342" s="1799" t="s">
        <v>5832</v>
      </c>
      <c r="D1342" s="1796">
        <v>0</v>
      </c>
      <c r="E1342" s="1796">
        <v>0</v>
      </c>
      <c r="F1342" s="1797">
        <v>0</v>
      </c>
      <c r="G1342" s="1999" t="s">
        <v>5832</v>
      </c>
      <c r="H1342" s="1794">
        <v>0</v>
      </c>
      <c r="I1342" s="1794">
        <v>0</v>
      </c>
      <c r="J1342" s="2000">
        <v>0</v>
      </c>
      <c r="K1342" s="1798"/>
      <c r="L1342" s="1792">
        <v>13121007808</v>
      </c>
      <c r="M1342" s="1793">
        <v>0</v>
      </c>
      <c r="N1342" s="1793">
        <v>0</v>
      </c>
      <c r="O1342" s="1794">
        <v>0</v>
      </c>
    </row>
    <row r="1343" spans="3:15">
      <c r="C1343" s="1799" t="s">
        <v>5833</v>
      </c>
      <c r="D1343" s="1796">
        <v>0</v>
      </c>
      <c r="E1343" s="1796">
        <v>0</v>
      </c>
      <c r="F1343" s="1797">
        <v>0</v>
      </c>
      <c r="G1343" s="1999" t="s">
        <v>5833</v>
      </c>
      <c r="H1343" s="1794">
        <v>1</v>
      </c>
      <c r="I1343" s="1794">
        <v>1</v>
      </c>
      <c r="J1343" s="2000">
        <v>2</v>
      </c>
      <c r="K1343" s="1798"/>
      <c r="L1343" s="1792">
        <v>13121007900</v>
      </c>
      <c r="M1343" s="1793">
        <v>1</v>
      </c>
      <c r="N1343" s="1793">
        <v>1</v>
      </c>
      <c r="O1343" s="1794">
        <v>2</v>
      </c>
    </row>
    <row r="1344" spans="3:15">
      <c r="C1344" s="1799" t="s">
        <v>5834</v>
      </c>
      <c r="D1344" s="1796">
        <v>0</v>
      </c>
      <c r="E1344" s="1796">
        <v>0</v>
      </c>
      <c r="F1344" s="1797">
        <v>0</v>
      </c>
      <c r="G1344" s="1999" t="s">
        <v>5834</v>
      </c>
      <c r="H1344" s="1794">
        <v>0</v>
      </c>
      <c r="I1344" s="1794">
        <v>0</v>
      </c>
      <c r="J1344" s="2000">
        <v>0</v>
      </c>
      <c r="K1344" s="1798"/>
      <c r="L1344" s="1792">
        <v>13121008000</v>
      </c>
      <c r="M1344" s="1793">
        <v>0</v>
      </c>
      <c r="N1344" s="1793">
        <v>0</v>
      </c>
      <c r="O1344" s="1794">
        <v>0</v>
      </c>
    </row>
    <row r="1345" spans="3:15">
      <c r="C1345" s="1799" t="s">
        <v>5835</v>
      </c>
      <c r="D1345" s="1796">
        <v>0</v>
      </c>
      <c r="E1345" s="1796">
        <v>0</v>
      </c>
      <c r="F1345" s="1797">
        <v>0</v>
      </c>
      <c r="G1345" s="1999" t="s">
        <v>5835</v>
      </c>
      <c r="H1345" s="1794">
        <v>0</v>
      </c>
      <c r="I1345" s="1794">
        <v>0</v>
      </c>
      <c r="J1345" s="2000">
        <v>0</v>
      </c>
      <c r="K1345" s="1798"/>
      <c r="L1345" s="1792">
        <v>13121008101</v>
      </c>
      <c r="M1345" s="1793">
        <v>0</v>
      </c>
      <c r="N1345" s="1793">
        <v>0</v>
      </c>
      <c r="O1345" s="1794">
        <v>0</v>
      </c>
    </row>
    <row r="1346" spans="3:15">
      <c r="C1346" s="1799" t="s">
        <v>5836</v>
      </c>
      <c r="D1346" s="1796">
        <v>0</v>
      </c>
      <c r="E1346" s="1796">
        <v>0</v>
      </c>
      <c r="F1346" s="1797">
        <v>0</v>
      </c>
      <c r="G1346" s="1999" t="s">
        <v>5836</v>
      </c>
      <c r="H1346" s="1794">
        <v>0</v>
      </c>
      <c r="I1346" s="1794">
        <v>0</v>
      </c>
      <c r="J1346" s="2000">
        <v>0</v>
      </c>
      <c r="K1346" s="1798"/>
      <c r="L1346" s="1792">
        <v>13121008102</v>
      </c>
      <c r="M1346" s="1793">
        <v>0</v>
      </c>
      <c r="N1346" s="1793">
        <v>0</v>
      </c>
      <c r="O1346" s="1794">
        <v>0</v>
      </c>
    </row>
    <row r="1347" spans="3:15">
      <c r="C1347" s="1799" t="s">
        <v>5837</v>
      </c>
      <c r="D1347" s="1796">
        <v>0</v>
      </c>
      <c r="E1347" s="1796">
        <v>0</v>
      </c>
      <c r="F1347" s="1797">
        <v>0</v>
      </c>
      <c r="G1347" s="1999" t="s">
        <v>5837</v>
      </c>
      <c r="H1347" s="1794">
        <v>0</v>
      </c>
      <c r="I1347" s="1794">
        <v>0</v>
      </c>
      <c r="J1347" s="2000">
        <v>0</v>
      </c>
      <c r="K1347" s="1798"/>
      <c r="L1347" s="1792">
        <v>13121008201</v>
      </c>
      <c r="M1347" s="1793">
        <v>0</v>
      </c>
      <c r="N1347" s="1793">
        <v>0</v>
      </c>
      <c r="O1347" s="1794">
        <v>0</v>
      </c>
    </row>
    <row r="1348" spans="3:15">
      <c r="C1348" s="1799" t="s">
        <v>5838</v>
      </c>
      <c r="D1348" s="1796">
        <v>0</v>
      </c>
      <c r="E1348" s="1796">
        <v>0</v>
      </c>
      <c r="F1348" s="1797">
        <v>0</v>
      </c>
      <c r="G1348" s="1999" t="s">
        <v>5838</v>
      </c>
      <c r="H1348" s="1794">
        <v>0</v>
      </c>
      <c r="I1348" s="1794">
        <v>0</v>
      </c>
      <c r="J1348" s="2000">
        <v>0</v>
      </c>
      <c r="K1348" s="1798"/>
      <c r="L1348" s="1792">
        <v>13121008202</v>
      </c>
      <c r="M1348" s="1793">
        <v>0</v>
      </c>
      <c r="N1348" s="1793">
        <v>0</v>
      </c>
      <c r="O1348" s="1794">
        <v>0</v>
      </c>
    </row>
    <row r="1349" spans="3:15">
      <c r="C1349" s="1799" t="s">
        <v>5839</v>
      </c>
      <c r="D1349" s="1796">
        <v>0</v>
      </c>
      <c r="E1349" s="1796">
        <v>0</v>
      </c>
      <c r="F1349" s="1797">
        <v>0</v>
      </c>
      <c r="G1349" s="1999" t="s">
        <v>5839</v>
      </c>
      <c r="H1349" s="1794">
        <v>0</v>
      </c>
      <c r="I1349" s="1794" t="s">
        <v>4485</v>
      </c>
      <c r="J1349" s="2000">
        <v>0</v>
      </c>
      <c r="K1349" s="1798"/>
      <c r="L1349" s="1792">
        <v>13121008301</v>
      </c>
      <c r="M1349" s="1793">
        <v>0</v>
      </c>
      <c r="N1349" s="1793">
        <v>0</v>
      </c>
      <c r="O1349" s="1794">
        <v>0</v>
      </c>
    </row>
    <row r="1350" spans="3:15">
      <c r="C1350" s="1799" t="s">
        <v>5840</v>
      </c>
      <c r="D1350" s="1796">
        <v>0</v>
      </c>
      <c r="E1350" s="1796">
        <v>0</v>
      </c>
      <c r="F1350" s="1797">
        <v>0</v>
      </c>
      <c r="G1350" s="1999" t="s">
        <v>5840</v>
      </c>
      <c r="H1350" s="1794">
        <v>0</v>
      </c>
      <c r="I1350" s="1794" t="s">
        <v>4485</v>
      </c>
      <c r="J1350" s="2000">
        <v>0</v>
      </c>
      <c r="K1350" s="1798"/>
      <c r="L1350" s="1792">
        <v>13121008302</v>
      </c>
      <c r="M1350" s="1793">
        <v>0</v>
      </c>
      <c r="N1350" s="1793">
        <v>0</v>
      </c>
      <c r="O1350" s="1794">
        <v>0</v>
      </c>
    </row>
    <row r="1351" spans="3:15">
      <c r="C1351" s="1799" t="s">
        <v>5841</v>
      </c>
      <c r="D1351" s="1796">
        <v>0</v>
      </c>
      <c r="E1351" s="1796">
        <v>0</v>
      </c>
      <c r="F1351" s="1797">
        <v>0</v>
      </c>
      <c r="G1351" s="1999" t="s">
        <v>5841</v>
      </c>
      <c r="H1351" s="1794">
        <v>0</v>
      </c>
      <c r="I1351" s="1794">
        <v>0</v>
      </c>
      <c r="J1351" s="2000">
        <v>0</v>
      </c>
      <c r="K1351" s="1798"/>
      <c r="L1351" s="1792">
        <v>13121008400</v>
      </c>
      <c r="M1351" s="1793">
        <v>0</v>
      </c>
      <c r="N1351" s="1793">
        <v>0</v>
      </c>
      <c r="O1351" s="1794">
        <v>0</v>
      </c>
    </row>
    <row r="1352" spans="3:15">
      <c r="C1352" s="1799" t="s">
        <v>5842</v>
      </c>
      <c r="D1352" s="1796">
        <v>0</v>
      </c>
      <c r="E1352" s="1796">
        <v>0</v>
      </c>
      <c r="F1352" s="1797">
        <v>0</v>
      </c>
      <c r="G1352" s="1999" t="s">
        <v>5842</v>
      </c>
      <c r="H1352" s="1794">
        <v>0</v>
      </c>
      <c r="I1352" s="1794">
        <v>0</v>
      </c>
      <c r="J1352" s="2000">
        <v>0</v>
      </c>
      <c r="K1352" s="1798"/>
      <c r="L1352" s="1792">
        <v>13121008500</v>
      </c>
      <c r="M1352" s="1793">
        <v>0</v>
      </c>
      <c r="N1352" s="1793">
        <v>0</v>
      </c>
      <c r="O1352" s="1794">
        <v>0</v>
      </c>
    </row>
    <row r="1353" spans="3:15">
      <c r="C1353" s="1799" t="s">
        <v>5843</v>
      </c>
      <c r="D1353" s="1796">
        <v>0</v>
      </c>
      <c r="E1353" s="1796">
        <v>0</v>
      </c>
      <c r="F1353" s="1797">
        <v>0</v>
      </c>
      <c r="G1353" s="1999" t="s">
        <v>5843</v>
      </c>
      <c r="H1353" s="1794">
        <v>0</v>
      </c>
      <c r="I1353" s="1794">
        <v>0</v>
      </c>
      <c r="J1353" s="2000">
        <v>0</v>
      </c>
      <c r="K1353" s="1798"/>
      <c r="L1353" s="1792">
        <v>13121008601</v>
      </c>
      <c r="M1353" s="1793">
        <v>0</v>
      </c>
      <c r="N1353" s="1793">
        <v>0</v>
      </c>
      <c r="O1353" s="1794">
        <v>0</v>
      </c>
    </row>
    <row r="1354" spans="3:15">
      <c r="C1354" s="1799" t="s">
        <v>5844</v>
      </c>
      <c r="D1354" s="1796">
        <v>0</v>
      </c>
      <c r="E1354" s="1796">
        <v>0</v>
      </c>
      <c r="F1354" s="1797">
        <v>0</v>
      </c>
      <c r="G1354" s="1999" t="s">
        <v>5844</v>
      </c>
      <c r="H1354" s="1794">
        <v>0</v>
      </c>
      <c r="I1354" s="1794" t="s">
        <v>4485</v>
      </c>
      <c r="J1354" s="2000">
        <v>0</v>
      </c>
      <c r="K1354" s="1798"/>
      <c r="L1354" s="1792">
        <v>13121008602</v>
      </c>
      <c r="M1354" s="1793">
        <v>0</v>
      </c>
      <c r="N1354" s="1793">
        <v>0</v>
      </c>
      <c r="O1354" s="1794">
        <v>0</v>
      </c>
    </row>
    <row r="1355" spans="3:15">
      <c r="C1355" s="1799" t="s">
        <v>5845</v>
      </c>
      <c r="D1355" s="1796">
        <v>0</v>
      </c>
      <c r="E1355" s="1796">
        <v>0</v>
      </c>
      <c r="F1355" s="1797">
        <v>0</v>
      </c>
      <c r="G1355" s="1999" t="s">
        <v>5845</v>
      </c>
      <c r="H1355" s="1794">
        <v>0</v>
      </c>
      <c r="I1355" s="1794">
        <v>0</v>
      </c>
      <c r="J1355" s="2000">
        <v>0</v>
      </c>
      <c r="K1355" s="1798"/>
      <c r="L1355" s="1792">
        <v>13121008700</v>
      </c>
      <c r="M1355" s="1793">
        <v>0</v>
      </c>
      <c r="N1355" s="1793">
        <v>0</v>
      </c>
      <c r="O1355" s="1794">
        <v>0</v>
      </c>
    </row>
    <row r="1356" spans="3:15">
      <c r="C1356" s="1799" t="s">
        <v>5846</v>
      </c>
      <c r="D1356" s="1796">
        <v>1</v>
      </c>
      <c r="E1356" s="1796">
        <v>1</v>
      </c>
      <c r="F1356" s="1797">
        <v>2</v>
      </c>
      <c r="G1356" s="1999" t="s">
        <v>5846</v>
      </c>
      <c r="H1356" s="1794">
        <v>1</v>
      </c>
      <c r="I1356" s="1794" t="s">
        <v>4485</v>
      </c>
      <c r="J1356" s="2000">
        <v>1</v>
      </c>
      <c r="K1356" s="1798"/>
      <c r="L1356" s="1792">
        <v>13121008800</v>
      </c>
      <c r="M1356" s="1793">
        <v>1</v>
      </c>
      <c r="N1356" s="1793">
        <v>1</v>
      </c>
      <c r="O1356" s="1794">
        <v>2</v>
      </c>
    </row>
    <row r="1357" spans="3:15">
      <c r="C1357" s="1799" t="s">
        <v>5847</v>
      </c>
      <c r="D1357" s="1796">
        <v>1</v>
      </c>
      <c r="E1357" s="1796">
        <v>1</v>
      </c>
      <c r="F1357" s="1797">
        <v>2</v>
      </c>
      <c r="G1357" s="1999" t="s">
        <v>5847</v>
      </c>
      <c r="H1357" s="1794">
        <v>1</v>
      </c>
      <c r="I1357" s="1794">
        <v>1</v>
      </c>
      <c r="J1357" s="2000">
        <v>2</v>
      </c>
      <c r="K1357" s="1798"/>
      <c r="L1357" s="1792">
        <v>13121008902</v>
      </c>
      <c r="M1357" s="1793">
        <v>1</v>
      </c>
      <c r="N1357" s="1793">
        <v>1</v>
      </c>
      <c r="O1357" s="1794">
        <v>2</v>
      </c>
    </row>
    <row r="1358" spans="3:15">
      <c r="C1358" s="1799" t="s">
        <v>5848</v>
      </c>
      <c r="D1358" s="1796">
        <v>1</v>
      </c>
      <c r="E1358" s="1796">
        <v>0</v>
      </c>
      <c r="F1358" s="1797">
        <v>1</v>
      </c>
      <c r="G1358" s="1999" t="s">
        <v>5848</v>
      </c>
      <c r="H1358" s="1794">
        <v>1</v>
      </c>
      <c r="I1358" s="1794" t="s">
        <v>4485</v>
      </c>
      <c r="J1358" s="2000">
        <v>1</v>
      </c>
      <c r="K1358" s="1798"/>
      <c r="L1358" s="1792">
        <v>13121008903</v>
      </c>
      <c r="M1358" s="1793">
        <v>1</v>
      </c>
      <c r="N1358" s="1793">
        <v>0</v>
      </c>
      <c r="O1358" s="1794">
        <v>1</v>
      </c>
    </row>
    <row r="1359" spans="3:15">
      <c r="C1359" s="1799" t="s">
        <v>5849</v>
      </c>
      <c r="D1359" s="1796">
        <v>1</v>
      </c>
      <c r="E1359" s="1796">
        <v>1</v>
      </c>
      <c r="F1359" s="1797">
        <v>2</v>
      </c>
      <c r="G1359" s="1999" t="s">
        <v>5849</v>
      </c>
      <c r="H1359" s="1794">
        <v>1</v>
      </c>
      <c r="I1359" s="1794">
        <v>1</v>
      </c>
      <c r="J1359" s="2000">
        <v>2</v>
      </c>
      <c r="K1359" s="1798"/>
      <c r="L1359" s="1792">
        <v>13121008904</v>
      </c>
      <c r="M1359" s="1793">
        <v>1</v>
      </c>
      <c r="N1359" s="1793">
        <v>1</v>
      </c>
      <c r="O1359" s="1794">
        <v>2</v>
      </c>
    </row>
    <row r="1360" spans="3:15">
      <c r="C1360" s="1799" t="s">
        <v>5850</v>
      </c>
      <c r="D1360" s="1796">
        <v>1</v>
      </c>
      <c r="E1360" s="1796">
        <v>1</v>
      </c>
      <c r="F1360" s="1797">
        <v>2</v>
      </c>
      <c r="G1360" s="1999" t="s">
        <v>5850</v>
      </c>
      <c r="H1360" s="1794">
        <v>1</v>
      </c>
      <c r="I1360" s="1794">
        <v>1</v>
      </c>
      <c r="J1360" s="2000">
        <v>2</v>
      </c>
      <c r="K1360" s="1798"/>
      <c r="L1360" s="1792">
        <v>13121009000</v>
      </c>
      <c r="M1360" s="1793">
        <v>1</v>
      </c>
      <c r="N1360" s="1793">
        <v>1</v>
      </c>
      <c r="O1360" s="1794">
        <v>2</v>
      </c>
    </row>
    <row r="1361" spans="3:15">
      <c r="C1361" s="1799" t="s">
        <v>5851</v>
      </c>
      <c r="D1361" s="1796">
        <v>1</v>
      </c>
      <c r="E1361" s="1796">
        <v>1</v>
      </c>
      <c r="F1361" s="1797">
        <v>2</v>
      </c>
      <c r="G1361" s="1999" t="s">
        <v>5851</v>
      </c>
      <c r="H1361" s="1794">
        <v>1</v>
      </c>
      <c r="I1361" s="1794">
        <v>1</v>
      </c>
      <c r="J1361" s="2000">
        <v>2</v>
      </c>
      <c r="K1361" s="1798"/>
      <c r="L1361" s="1792">
        <v>13121009101</v>
      </c>
      <c r="M1361" s="1793">
        <v>1</v>
      </c>
      <c r="N1361" s="1793">
        <v>1</v>
      </c>
      <c r="O1361" s="1794">
        <v>2</v>
      </c>
    </row>
    <row r="1362" spans="3:15">
      <c r="C1362" s="1799" t="s">
        <v>5852</v>
      </c>
      <c r="D1362" s="1796">
        <v>1</v>
      </c>
      <c r="E1362" s="1796">
        <v>1</v>
      </c>
      <c r="F1362" s="1797">
        <v>2</v>
      </c>
      <c r="G1362" s="1999" t="s">
        <v>5852</v>
      </c>
      <c r="H1362" s="1794">
        <v>1</v>
      </c>
      <c r="I1362" s="1794">
        <v>1</v>
      </c>
      <c r="J1362" s="2000">
        <v>2</v>
      </c>
      <c r="K1362" s="1798"/>
      <c r="L1362" s="1792">
        <v>13121009102</v>
      </c>
      <c r="M1362" s="1793">
        <v>1</v>
      </c>
      <c r="N1362" s="1793">
        <v>1</v>
      </c>
      <c r="O1362" s="1794">
        <v>2</v>
      </c>
    </row>
    <row r="1363" spans="3:15">
      <c r="C1363" s="1799" t="s">
        <v>5853</v>
      </c>
      <c r="D1363" s="1796">
        <v>1</v>
      </c>
      <c r="E1363" s="1796">
        <v>0</v>
      </c>
      <c r="F1363" s="1797">
        <v>1</v>
      </c>
      <c r="G1363" s="1999" t="s">
        <v>5853</v>
      </c>
      <c r="H1363" s="1794">
        <v>1</v>
      </c>
      <c r="I1363" s="1794">
        <v>1</v>
      </c>
      <c r="J1363" s="2000">
        <v>2</v>
      </c>
      <c r="K1363" s="1798"/>
      <c r="L1363" s="1792">
        <v>13121009200</v>
      </c>
      <c r="M1363" s="1793">
        <v>1</v>
      </c>
      <c r="N1363" s="1793">
        <v>1</v>
      </c>
      <c r="O1363" s="1794">
        <v>2</v>
      </c>
    </row>
    <row r="1364" spans="3:15">
      <c r="C1364" s="1799" t="s">
        <v>5854</v>
      </c>
      <c r="D1364" s="1796">
        <v>1</v>
      </c>
      <c r="E1364" s="1796">
        <v>1</v>
      </c>
      <c r="F1364" s="1797">
        <v>2</v>
      </c>
      <c r="G1364" s="1999" t="s">
        <v>5854</v>
      </c>
      <c r="H1364" s="1794">
        <v>1</v>
      </c>
      <c r="I1364" s="1794">
        <v>1</v>
      </c>
      <c r="J1364" s="2000">
        <v>2</v>
      </c>
      <c r="K1364" s="1798"/>
      <c r="L1364" s="1792">
        <v>13121009300</v>
      </c>
      <c r="M1364" s="1793">
        <v>1</v>
      </c>
      <c r="N1364" s="1793">
        <v>1</v>
      </c>
      <c r="O1364" s="1794">
        <v>2</v>
      </c>
    </row>
    <row r="1365" spans="3:15">
      <c r="C1365" s="1799" t="s">
        <v>5855</v>
      </c>
      <c r="D1365" s="1796">
        <v>1</v>
      </c>
      <c r="E1365" s="1796">
        <v>1</v>
      </c>
      <c r="F1365" s="1797">
        <v>2</v>
      </c>
      <c r="G1365" s="1999" t="s">
        <v>5855</v>
      </c>
      <c r="H1365" s="1794">
        <v>1</v>
      </c>
      <c r="I1365" s="1794" t="s">
        <v>4485</v>
      </c>
      <c r="J1365" s="2000">
        <v>1</v>
      </c>
      <c r="K1365" s="1798"/>
      <c r="L1365" s="1792">
        <v>13121009402</v>
      </c>
      <c r="M1365" s="1793">
        <v>1</v>
      </c>
      <c r="N1365" s="1793">
        <v>1</v>
      </c>
      <c r="O1365" s="1794">
        <v>2</v>
      </c>
    </row>
    <row r="1366" spans="3:15">
      <c r="C1366" s="1799" t="s">
        <v>5856</v>
      </c>
      <c r="D1366" s="1796">
        <v>1</v>
      </c>
      <c r="E1366" s="1796">
        <v>1</v>
      </c>
      <c r="F1366" s="1797">
        <v>2</v>
      </c>
      <c r="G1366" s="1999" t="s">
        <v>5856</v>
      </c>
      <c r="H1366" s="1794">
        <v>1</v>
      </c>
      <c r="I1366" s="1794">
        <v>1</v>
      </c>
      <c r="J1366" s="2000">
        <v>2</v>
      </c>
      <c r="K1366" s="1798"/>
      <c r="L1366" s="1792">
        <v>13121009403</v>
      </c>
      <c r="M1366" s="1793">
        <v>1</v>
      </c>
      <c r="N1366" s="1793">
        <v>1</v>
      </c>
      <c r="O1366" s="1794">
        <v>2</v>
      </c>
    </row>
    <row r="1367" spans="3:15">
      <c r="C1367" s="1799" t="s">
        <v>5857</v>
      </c>
      <c r="D1367" s="1796">
        <v>1</v>
      </c>
      <c r="E1367" s="1796">
        <v>1</v>
      </c>
      <c r="F1367" s="1797">
        <v>2</v>
      </c>
      <c r="G1367" s="1999" t="s">
        <v>5857</v>
      </c>
      <c r="H1367" s="1794">
        <v>1</v>
      </c>
      <c r="I1367" s="1794">
        <v>1</v>
      </c>
      <c r="J1367" s="2000">
        <v>2</v>
      </c>
      <c r="K1367" s="1798"/>
      <c r="L1367" s="1792">
        <v>13121009404</v>
      </c>
      <c r="M1367" s="1793">
        <v>1</v>
      </c>
      <c r="N1367" s="1793">
        <v>1</v>
      </c>
      <c r="O1367" s="1794">
        <v>2</v>
      </c>
    </row>
    <row r="1368" spans="3:15">
      <c r="C1368" s="1799" t="s">
        <v>5858</v>
      </c>
      <c r="D1368" s="1796">
        <v>1</v>
      </c>
      <c r="E1368" s="1796">
        <v>1</v>
      </c>
      <c r="F1368" s="1797">
        <v>2</v>
      </c>
      <c r="G1368" s="1999" t="s">
        <v>5858</v>
      </c>
      <c r="H1368" s="1794">
        <v>1</v>
      </c>
      <c r="I1368" s="1794">
        <v>1</v>
      </c>
      <c r="J1368" s="2000">
        <v>2</v>
      </c>
      <c r="K1368" s="1798"/>
      <c r="L1368" s="1792">
        <v>13121009501</v>
      </c>
      <c r="M1368" s="1793">
        <v>1</v>
      </c>
      <c r="N1368" s="1793">
        <v>1</v>
      </c>
      <c r="O1368" s="1794">
        <v>2</v>
      </c>
    </row>
    <row r="1369" spans="3:15">
      <c r="C1369" s="1799" t="s">
        <v>5859</v>
      </c>
      <c r="D1369" s="1796">
        <v>1</v>
      </c>
      <c r="E1369" s="1796">
        <v>0</v>
      </c>
      <c r="F1369" s="1797">
        <v>1</v>
      </c>
      <c r="G1369" s="1999" t="s">
        <v>5859</v>
      </c>
      <c r="H1369" s="1794">
        <v>1</v>
      </c>
      <c r="I1369" s="1794" t="s">
        <v>4485</v>
      </c>
      <c r="J1369" s="2000">
        <v>1</v>
      </c>
      <c r="K1369" s="1798"/>
      <c r="L1369" s="1792">
        <v>13121009502</v>
      </c>
      <c r="M1369" s="1793">
        <v>1</v>
      </c>
      <c r="N1369" s="1793">
        <v>0</v>
      </c>
      <c r="O1369" s="1794">
        <v>1</v>
      </c>
    </row>
    <row r="1370" spans="3:15">
      <c r="C1370" s="1799" t="s">
        <v>5860</v>
      </c>
      <c r="D1370" s="1796">
        <v>1</v>
      </c>
      <c r="E1370" s="1796">
        <v>1</v>
      </c>
      <c r="F1370" s="1797">
        <v>2</v>
      </c>
      <c r="G1370" s="1999" t="s">
        <v>5860</v>
      </c>
      <c r="H1370" s="1794">
        <v>1</v>
      </c>
      <c r="I1370" s="1794">
        <v>1</v>
      </c>
      <c r="J1370" s="2000">
        <v>2</v>
      </c>
      <c r="K1370" s="1798"/>
      <c r="L1370" s="1792">
        <v>13121009601</v>
      </c>
      <c r="M1370" s="1793">
        <v>1</v>
      </c>
      <c r="N1370" s="1793">
        <v>1</v>
      </c>
      <c r="O1370" s="1794">
        <v>2</v>
      </c>
    </row>
    <row r="1371" spans="3:15">
      <c r="C1371" s="1799" t="s">
        <v>5861</v>
      </c>
      <c r="D1371" s="1796">
        <v>1</v>
      </c>
      <c r="E1371" s="1796">
        <v>1</v>
      </c>
      <c r="F1371" s="1797">
        <v>2</v>
      </c>
      <c r="G1371" s="1999" t="s">
        <v>5861</v>
      </c>
      <c r="H1371" s="1794">
        <v>1</v>
      </c>
      <c r="I1371" s="1794">
        <v>1</v>
      </c>
      <c r="J1371" s="2000">
        <v>2</v>
      </c>
      <c r="K1371" s="1798"/>
      <c r="L1371" s="1792">
        <v>13121009602</v>
      </c>
      <c r="M1371" s="1793">
        <v>1</v>
      </c>
      <c r="N1371" s="1793">
        <v>1</v>
      </c>
      <c r="O1371" s="1794">
        <v>2</v>
      </c>
    </row>
    <row r="1372" spans="3:15">
      <c r="C1372" s="1799" t="s">
        <v>5862</v>
      </c>
      <c r="D1372" s="1796">
        <v>1</v>
      </c>
      <c r="E1372" s="1796">
        <v>1</v>
      </c>
      <c r="F1372" s="1797">
        <v>2</v>
      </c>
      <c r="G1372" s="1999" t="s">
        <v>5862</v>
      </c>
      <c r="H1372" s="1794">
        <v>1</v>
      </c>
      <c r="I1372" s="1794">
        <v>1</v>
      </c>
      <c r="J1372" s="2000">
        <v>2</v>
      </c>
      <c r="K1372" s="1798"/>
      <c r="L1372" s="1792">
        <v>13121009603</v>
      </c>
      <c r="M1372" s="1793">
        <v>1</v>
      </c>
      <c r="N1372" s="1793">
        <v>1</v>
      </c>
      <c r="O1372" s="1794">
        <v>2</v>
      </c>
    </row>
    <row r="1373" spans="3:15">
      <c r="C1373" s="1799" t="s">
        <v>5863</v>
      </c>
      <c r="D1373" s="1796">
        <v>1</v>
      </c>
      <c r="E1373" s="1796">
        <v>1</v>
      </c>
      <c r="F1373" s="1797">
        <v>2</v>
      </c>
      <c r="G1373" s="1999" t="s">
        <v>5863</v>
      </c>
      <c r="H1373" s="1794">
        <v>1</v>
      </c>
      <c r="I1373" s="1794">
        <v>1</v>
      </c>
      <c r="J1373" s="2000">
        <v>2</v>
      </c>
      <c r="K1373" s="1798"/>
      <c r="L1373" s="1792">
        <v>13121009700</v>
      </c>
      <c r="M1373" s="1793">
        <v>1</v>
      </c>
      <c r="N1373" s="1793">
        <v>1</v>
      </c>
      <c r="O1373" s="1794">
        <v>2</v>
      </c>
    </row>
    <row r="1374" spans="3:15">
      <c r="C1374" s="1799" t="s">
        <v>5864</v>
      </c>
      <c r="D1374" s="1796">
        <v>1</v>
      </c>
      <c r="E1374" s="1796">
        <v>1</v>
      </c>
      <c r="F1374" s="1797">
        <v>2</v>
      </c>
      <c r="G1374" s="1999" t="s">
        <v>5864</v>
      </c>
      <c r="H1374" s="1794">
        <v>1</v>
      </c>
      <c r="I1374" s="1794">
        <v>1</v>
      </c>
      <c r="J1374" s="2000">
        <v>2</v>
      </c>
      <c r="K1374" s="1798"/>
      <c r="L1374" s="1792">
        <v>13121009801</v>
      </c>
      <c r="M1374" s="1793">
        <v>1</v>
      </c>
      <c r="N1374" s="1793">
        <v>1</v>
      </c>
      <c r="O1374" s="1794">
        <v>2</v>
      </c>
    </row>
    <row r="1375" spans="3:15">
      <c r="C1375" s="1799" t="s">
        <v>5865</v>
      </c>
      <c r="D1375" s="1796">
        <v>1</v>
      </c>
      <c r="E1375" s="1796">
        <v>1</v>
      </c>
      <c r="F1375" s="1797">
        <v>2</v>
      </c>
      <c r="G1375" s="1999" t="s">
        <v>5865</v>
      </c>
      <c r="H1375" s="1794">
        <v>1</v>
      </c>
      <c r="I1375" s="1794">
        <v>1</v>
      </c>
      <c r="J1375" s="2000">
        <v>2</v>
      </c>
      <c r="K1375" s="1798"/>
      <c r="L1375" s="1792">
        <v>13121009802</v>
      </c>
      <c r="M1375" s="1793">
        <v>1</v>
      </c>
      <c r="N1375" s="1793">
        <v>1</v>
      </c>
      <c r="O1375" s="1794">
        <v>2</v>
      </c>
    </row>
    <row r="1376" spans="3:15">
      <c r="C1376" s="1799" t="s">
        <v>5866</v>
      </c>
      <c r="D1376" s="1796">
        <v>1</v>
      </c>
      <c r="E1376" s="1796">
        <v>1</v>
      </c>
      <c r="F1376" s="1797">
        <v>2</v>
      </c>
      <c r="G1376" s="1999" t="s">
        <v>5866</v>
      </c>
      <c r="H1376" s="1794">
        <v>1</v>
      </c>
      <c r="I1376" s="1794" t="s">
        <v>4485</v>
      </c>
      <c r="J1376" s="2000">
        <v>1</v>
      </c>
      <c r="K1376" s="1798"/>
      <c r="L1376" s="1792">
        <v>13121009900</v>
      </c>
      <c r="M1376" s="1793">
        <v>1</v>
      </c>
      <c r="N1376" s="1793">
        <v>1</v>
      </c>
      <c r="O1376" s="1794">
        <v>2</v>
      </c>
    </row>
    <row r="1377" spans="3:15">
      <c r="C1377" s="1799" t="s">
        <v>5867</v>
      </c>
      <c r="D1377" s="1796">
        <v>1</v>
      </c>
      <c r="E1377" s="1796">
        <v>1</v>
      </c>
      <c r="F1377" s="1797">
        <v>2</v>
      </c>
      <c r="G1377" s="1999" t="s">
        <v>5867</v>
      </c>
      <c r="H1377" s="1794">
        <v>1</v>
      </c>
      <c r="I1377" s="1794">
        <v>1</v>
      </c>
      <c r="J1377" s="2000">
        <v>2</v>
      </c>
      <c r="K1377" s="1798"/>
      <c r="L1377" s="1792">
        <v>13121010001</v>
      </c>
      <c r="M1377" s="1793">
        <v>1</v>
      </c>
      <c r="N1377" s="1793">
        <v>1</v>
      </c>
      <c r="O1377" s="1794">
        <v>2</v>
      </c>
    </row>
    <row r="1378" spans="3:15">
      <c r="C1378" s="1799" t="s">
        <v>5868</v>
      </c>
      <c r="D1378" s="1796">
        <v>1</v>
      </c>
      <c r="E1378" s="1796">
        <v>1</v>
      </c>
      <c r="F1378" s="1797">
        <v>2</v>
      </c>
      <c r="G1378" s="1999" t="s">
        <v>5868</v>
      </c>
      <c r="H1378" s="1794">
        <v>1</v>
      </c>
      <c r="I1378" s="1794">
        <v>1</v>
      </c>
      <c r="J1378" s="2000">
        <v>2</v>
      </c>
      <c r="K1378" s="1798"/>
      <c r="L1378" s="1792">
        <v>13121010002</v>
      </c>
      <c r="M1378" s="1793">
        <v>1</v>
      </c>
      <c r="N1378" s="1793">
        <v>1</v>
      </c>
      <c r="O1378" s="1794">
        <v>2</v>
      </c>
    </row>
    <row r="1379" spans="3:15">
      <c r="C1379" s="1799" t="s">
        <v>5869</v>
      </c>
      <c r="D1379" s="1796">
        <v>1</v>
      </c>
      <c r="E1379" s="1796">
        <v>1</v>
      </c>
      <c r="F1379" s="1797">
        <v>2</v>
      </c>
      <c r="G1379" s="1999" t="s">
        <v>5869</v>
      </c>
      <c r="H1379" s="1794">
        <v>1</v>
      </c>
      <c r="I1379" s="1794">
        <v>1</v>
      </c>
      <c r="J1379" s="2000">
        <v>2</v>
      </c>
      <c r="K1379" s="1798"/>
      <c r="L1379" s="1792">
        <v>13121010106</v>
      </c>
      <c r="M1379" s="1793">
        <v>1</v>
      </c>
      <c r="N1379" s="1793">
        <v>1</v>
      </c>
      <c r="O1379" s="1794">
        <v>2</v>
      </c>
    </row>
    <row r="1380" spans="3:15">
      <c r="C1380" s="1799" t="s">
        <v>5870</v>
      </c>
      <c r="D1380" s="1796">
        <v>1</v>
      </c>
      <c r="E1380" s="1796">
        <v>1</v>
      </c>
      <c r="F1380" s="1797">
        <v>2</v>
      </c>
      <c r="G1380" s="1999" t="s">
        <v>5870</v>
      </c>
      <c r="H1380" s="1794">
        <v>1</v>
      </c>
      <c r="I1380" s="1794">
        <v>1</v>
      </c>
      <c r="J1380" s="2000">
        <v>2</v>
      </c>
      <c r="K1380" s="1798"/>
      <c r="L1380" s="1792">
        <v>13121010107</v>
      </c>
      <c r="M1380" s="1793">
        <v>1</v>
      </c>
      <c r="N1380" s="1793">
        <v>1</v>
      </c>
      <c r="O1380" s="1794">
        <v>2</v>
      </c>
    </row>
    <row r="1381" spans="3:15">
      <c r="C1381" s="1799" t="s">
        <v>5871</v>
      </c>
      <c r="D1381" s="1796">
        <v>1</v>
      </c>
      <c r="E1381" s="1796">
        <v>1</v>
      </c>
      <c r="F1381" s="1797">
        <v>2</v>
      </c>
      <c r="G1381" s="1999" t="s">
        <v>5871</v>
      </c>
      <c r="H1381" s="1794">
        <v>1</v>
      </c>
      <c r="I1381" s="1794">
        <v>1</v>
      </c>
      <c r="J1381" s="2000">
        <v>2</v>
      </c>
      <c r="K1381" s="1798"/>
      <c r="L1381" s="1792">
        <v>13121010108</v>
      </c>
      <c r="M1381" s="1793">
        <v>1</v>
      </c>
      <c r="N1381" s="1793">
        <v>1</v>
      </c>
      <c r="O1381" s="1794">
        <v>2</v>
      </c>
    </row>
    <row r="1382" spans="3:15">
      <c r="C1382" s="1799" t="s">
        <v>5872</v>
      </c>
      <c r="D1382" s="1796">
        <v>1</v>
      </c>
      <c r="E1382" s="1796">
        <v>1</v>
      </c>
      <c r="F1382" s="1797">
        <v>2</v>
      </c>
      <c r="G1382" s="1999" t="s">
        <v>5872</v>
      </c>
      <c r="H1382" s="1794">
        <v>1</v>
      </c>
      <c r="I1382" s="1794">
        <v>1</v>
      </c>
      <c r="J1382" s="2000">
        <v>2</v>
      </c>
      <c r="K1382" s="1798"/>
      <c r="L1382" s="1792">
        <v>13121010110</v>
      </c>
      <c r="M1382" s="1793">
        <v>1</v>
      </c>
      <c r="N1382" s="1793">
        <v>1</v>
      </c>
      <c r="O1382" s="1794">
        <v>2</v>
      </c>
    </row>
    <row r="1383" spans="3:15">
      <c r="C1383" s="1799" t="s">
        <v>5873</v>
      </c>
      <c r="D1383" s="1796">
        <v>1</v>
      </c>
      <c r="E1383" s="1796">
        <v>0</v>
      </c>
      <c r="F1383" s="1797">
        <v>1</v>
      </c>
      <c r="G1383" s="1999" t="s">
        <v>5873</v>
      </c>
      <c r="H1383" s="1794">
        <v>1</v>
      </c>
      <c r="I1383" s="1794">
        <v>0</v>
      </c>
      <c r="J1383" s="2000">
        <v>1</v>
      </c>
      <c r="K1383" s="1798"/>
      <c r="L1383" s="1792">
        <v>13121010113</v>
      </c>
      <c r="M1383" s="1793">
        <v>1</v>
      </c>
      <c r="N1383" s="1793">
        <v>0</v>
      </c>
      <c r="O1383" s="1794">
        <v>1</v>
      </c>
    </row>
    <row r="1384" spans="3:15">
      <c r="C1384" s="1799" t="s">
        <v>5874</v>
      </c>
      <c r="D1384" s="1796">
        <v>1</v>
      </c>
      <c r="E1384" s="1796">
        <v>1</v>
      </c>
      <c r="F1384" s="1797">
        <v>2</v>
      </c>
      <c r="G1384" s="1999" t="s">
        <v>5874</v>
      </c>
      <c r="H1384" s="1794">
        <v>1</v>
      </c>
      <c r="I1384" s="1794">
        <v>1</v>
      </c>
      <c r="J1384" s="2000">
        <v>2</v>
      </c>
      <c r="K1384" s="1798"/>
      <c r="L1384" s="1792">
        <v>13121010114</v>
      </c>
      <c r="M1384" s="1793">
        <v>1</v>
      </c>
      <c r="N1384" s="1793">
        <v>1</v>
      </c>
      <c r="O1384" s="1794">
        <v>2</v>
      </c>
    </row>
    <row r="1385" spans="3:15">
      <c r="C1385" s="1799" t="s">
        <v>5875</v>
      </c>
      <c r="D1385" s="1796">
        <v>1</v>
      </c>
      <c r="E1385" s="1796">
        <v>1</v>
      </c>
      <c r="F1385" s="1797">
        <v>2</v>
      </c>
      <c r="G1385" s="1999" t="s">
        <v>5875</v>
      </c>
      <c r="H1385" s="1794">
        <v>1</v>
      </c>
      <c r="I1385" s="1794">
        <v>1</v>
      </c>
      <c r="J1385" s="2000">
        <v>2</v>
      </c>
      <c r="K1385" s="1798"/>
      <c r="L1385" s="1792">
        <v>13121010115</v>
      </c>
      <c r="M1385" s="1793">
        <v>1</v>
      </c>
      <c r="N1385" s="1793">
        <v>1</v>
      </c>
      <c r="O1385" s="1794">
        <v>2</v>
      </c>
    </row>
    <row r="1386" spans="3:15">
      <c r="C1386" s="1799" t="s">
        <v>5876</v>
      </c>
      <c r="D1386" s="1796">
        <v>1</v>
      </c>
      <c r="E1386" s="1796">
        <v>0</v>
      </c>
      <c r="F1386" s="1797">
        <v>1</v>
      </c>
      <c r="G1386" s="1999" t="s">
        <v>5876</v>
      </c>
      <c r="H1386" s="1794">
        <v>1</v>
      </c>
      <c r="I1386" s="1794" t="s">
        <v>4485</v>
      </c>
      <c r="J1386" s="2000">
        <v>1</v>
      </c>
      <c r="K1386" s="1798"/>
      <c r="L1386" s="1792">
        <v>13121010117</v>
      </c>
      <c r="M1386" s="1793">
        <v>1</v>
      </c>
      <c r="N1386" s="1793">
        <v>0</v>
      </c>
      <c r="O1386" s="1794">
        <v>1</v>
      </c>
    </row>
    <row r="1387" spans="3:15">
      <c r="C1387" s="1799" t="s">
        <v>5877</v>
      </c>
      <c r="D1387" s="1796">
        <v>0</v>
      </c>
      <c r="E1387" s="1796">
        <v>0</v>
      </c>
      <c r="F1387" s="1797">
        <v>0</v>
      </c>
      <c r="G1387" s="1999" t="s">
        <v>5877</v>
      </c>
      <c r="H1387" s="1794">
        <v>1</v>
      </c>
      <c r="I1387" s="1794" t="s">
        <v>4485</v>
      </c>
      <c r="J1387" s="2000">
        <v>1</v>
      </c>
      <c r="K1387" s="1798"/>
      <c r="L1387" s="1792">
        <v>13121010118</v>
      </c>
      <c r="M1387" s="1793">
        <v>1</v>
      </c>
      <c r="N1387" s="1793">
        <v>0</v>
      </c>
      <c r="O1387" s="1794">
        <v>1</v>
      </c>
    </row>
    <row r="1388" spans="3:15">
      <c r="C1388" s="1799" t="s">
        <v>5878</v>
      </c>
      <c r="D1388" s="1796">
        <v>0</v>
      </c>
      <c r="E1388" s="1796">
        <v>0</v>
      </c>
      <c r="F1388" s="1797">
        <v>0</v>
      </c>
      <c r="G1388" s="1999" t="s">
        <v>5878</v>
      </c>
      <c r="H1388" s="1794">
        <v>0</v>
      </c>
      <c r="I1388" s="1794">
        <v>0</v>
      </c>
      <c r="J1388" s="2000">
        <v>0</v>
      </c>
      <c r="K1388" s="1798"/>
      <c r="L1388" s="1792">
        <v>13121010119</v>
      </c>
      <c r="M1388" s="1793">
        <v>0</v>
      </c>
      <c r="N1388" s="1793">
        <v>0</v>
      </c>
      <c r="O1388" s="1794">
        <v>0</v>
      </c>
    </row>
    <row r="1389" spans="3:15">
      <c r="C1389" s="1799" t="s">
        <v>5879</v>
      </c>
      <c r="D1389" s="1796">
        <v>1</v>
      </c>
      <c r="E1389" s="1796">
        <v>1</v>
      </c>
      <c r="F1389" s="1797">
        <v>2</v>
      </c>
      <c r="G1389" s="1999" t="s">
        <v>5879</v>
      </c>
      <c r="H1389" s="1794">
        <v>1</v>
      </c>
      <c r="I1389" s="1794" t="s">
        <v>4485</v>
      </c>
      <c r="J1389" s="2000">
        <v>1</v>
      </c>
      <c r="K1389" s="1798"/>
      <c r="L1389" s="1792">
        <v>13121010120</v>
      </c>
      <c r="M1389" s="1793">
        <v>1</v>
      </c>
      <c r="N1389" s="1793">
        <v>1</v>
      </c>
      <c r="O1389" s="1794">
        <v>2</v>
      </c>
    </row>
    <row r="1390" spans="3:15">
      <c r="C1390" s="1799" t="s">
        <v>5880</v>
      </c>
      <c r="D1390" s="1796">
        <v>1</v>
      </c>
      <c r="E1390" s="1796">
        <v>1</v>
      </c>
      <c r="F1390" s="1797">
        <v>2</v>
      </c>
      <c r="G1390" s="1999" t="s">
        <v>5880</v>
      </c>
      <c r="H1390" s="1794">
        <v>1</v>
      </c>
      <c r="I1390" s="1794">
        <v>1</v>
      </c>
      <c r="J1390" s="2000">
        <v>2</v>
      </c>
      <c r="K1390" s="1798"/>
      <c r="L1390" s="1792">
        <v>13121010121</v>
      </c>
      <c r="M1390" s="1793">
        <v>1</v>
      </c>
      <c r="N1390" s="1793">
        <v>1</v>
      </c>
      <c r="O1390" s="1794">
        <v>2</v>
      </c>
    </row>
    <row r="1391" spans="3:15">
      <c r="C1391" s="1799" t="s">
        <v>5881</v>
      </c>
      <c r="D1391" s="1796">
        <v>1</v>
      </c>
      <c r="E1391" s="1796">
        <v>1</v>
      </c>
      <c r="F1391" s="1797">
        <v>2</v>
      </c>
      <c r="G1391" s="1999" t="s">
        <v>5881</v>
      </c>
      <c r="H1391" s="1794">
        <v>1</v>
      </c>
      <c r="I1391" s="1794">
        <v>1</v>
      </c>
      <c r="J1391" s="2000">
        <v>2</v>
      </c>
      <c r="K1391" s="1798"/>
      <c r="L1391" s="1792">
        <v>13121010122</v>
      </c>
      <c r="M1391" s="1793">
        <v>1</v>
      </c>
      <c r="N1391" s="1793">
        <v>1</v>
      </c>
      <c r="O1391" s="1794">
        <v>2</v>
      </c>
    </row>
    <row r="1392" spans="3:15">
      <c r="C1392" s="1799" t="s">
        <v>5882</v>
      </c>
      <c r="D1392" s="1796">
        <v>1</v>
      </c>
      <c r="E1392" s="1796">
        <v>0</v>
      </c>
      <c r="F1392" s="1797">
        <v>1</v>
      </c>
      <c r="G1392" s="1999" t="s">
        <v>5882</v>
      </c>
      <c r="H1392" s="1794">
        <v>1</v>
      </c>
      <c r="I1392" s="1794">
        <v>1</v>
      </c>
      <c r="J1392" s="2000">
        <v>2</v>
      </c>
      <c r="K1392" s="1798"/>
      <c r="L1392" s="1792">
        <v>13121010123</v>
      </c>
      <c r="M1392" s="1793">
        <v>1</v>
      </c>
      <c r="N1392" s="1793">
        <v>1</v>
      </c>
      <c r="O1392" s="1794">
        <v>2</v>
      </c>
    </row>
    <row r="1393" spans="3:15">
      <c r="C1393" s="1799" t="s">
        <v>5883</v>
      </c>
      <c r="D1393" s="1796">
        <v>1</v>
      </c>
      <c r="E1393" s="1796">
        <v>1</v>
      </c>
      <c r="F1393" s="1797">
        <v>2</v>
      </c>
      <c r="G1393" s="1999" t="s">
        <v>5883</v>
      </c>
      <c r="H1393" s="1794">
        <v>1</v>
      </c>
      <c r="I1393" s="1794">
        <v>1</v>
      </c>
      <c r="J1393" s="2000">
        <v>2</v>
      </c>
      <c r="K1393" s="1798"/>
      <c r="L1393" s="1792">
        <v>13121010204</v>
      </c>
      <c r="M1393" s="1793">
        <v>1</v>
      </c>
      <c r="N1393" s="1793">
        <v>1</v>
      </c>
      <c r="O1393" s="1794">
        <v>2</v>
      </c>
    </row>
    <row r="1394" spans="3:15">
      <c r="C1394" s="1799" t="s">
        <v>5884</v>
      </c>
      <c r="D1394" s="1796">
        <v>1</v>
      </c>
      <c r="E1394" s="1796">
        <v>1</v>
      </c>
      <c r="F1394" s="1797">
        <v>2</v>
      </c>
      <c r="G1394" s="1999" t="s">
        <v>5884</v>
      </c>
      <c r="H1394" s="1794">
        <v>1</v>
      </c>
      <c r="I1394" s="1794">
        <v>1</v>
      </c>
      <c r="J1394" s="2000">
        <v>2</v>
      </c>
      <c r="K1394" s="1798"/>
      <c r="L1394" s="1792">
        <v>13121010205</v>
      </c>
      <c r="M1394" s="1793">
        <v>1</v>
      </c>
      <c r="N1394" s="1793">
        <v>1</v>
      </c>
      <c r="O1394" s="1794">
        <v>2</v>
      </c>
    </row>
    <row r="1395" spans="3:15">
      <c r="C1395" s="1799" t="s">
        <v>5885</v>
      </c>
      <c r="D1395" s="1796">
        <v>1</v>
      </c>
      <c r="E1395" s="1796">
        <v>1</v>
      </c>
      <c r="F1395" s="1797">
        <v>2</v>
      </c>
      <c r="G1395" s="1999" t="s">
        <v>5885</v>
      </c>
      <c r="H1395" s="1794">
        <v>1</v>
      </c>
      <c r="I1395" s="1794">
        <v>1</v>
      </c>
      <c r="J1395" s="2000">
        <v>2</v>
      </c>
      <c r="K1395" s="1798"/>
      <c r="L1395" s="1792">
        <v>13121010206</v>
      </c>
      <c r="M1395" s="1793">
        <v>1</v>
      </c>
      <c r="N1395" s="1793">
        <v>1</v>
      </c>
      <c r="O1395" s="1794">
        <v>2</v>
      </c>
    </row>
    <row r="1396" spans="3:15">
      <c r="C1396" s="1799" t="s">
        <v>5886</v>
      </c>
      <c r="D1396" s="1796">
        <v>1</v>
      </c>
      <c r="E1396" s="1796">
        <v>0</v>
      </c>
      <c r="F1396" s="1797">
        <v>1</v>
      </c>
      <c r="G1396" s="1999" t="s">
        <v>5886</v>
      </c>
      <c r="H1396" s="1794">
        <v>1</v>
      </c>
      <c r="I1396" s="1794">
        <v>1</v>
      </c>
      <c r="J1396" s="2000">
        <v>2</v>
      </c>
      <c r="K1396" s="1798"/>
      <c r="L1396" s="1792">
        <v>13121010208</v>
      </c>
      <c r="M1396" s="1793">
        <v>1</v>
      </c>
      <c r="N1396" s="1793">
        <v>1</v>
      </c>
      <c r="O1396" s="1794">
        <v>2</v>
      </c>
    </row>
    <row r="1397" spans="3:15">
      <c r="C1397" s="1799" t="s">
        <v>5887</v>
      </c>
      <c r="D1397" s="1796">
        <v>1</v>
      </c>
      <c r="E1397" s="1796">
        <v>1</v>
      </c>
      <c r="F1397" s="1797">
        <v>2</v>
      </c>
      <c r="G1397" s="1999" t="s">
        <v>5887</v>
      </c>
      <c r="H1397" s="1794">
        <v>1</v>
      </c>
      <c r="I1397" s="1794" t="s">
        <v>4485</v>
      </c>
      <c r="J1397" s="2000">
        <v>1</v>
      </c>
      <c r="K1397" s="1798"/>
      <c r="L1397" s="1792">
        <v>13121010209</v>
      </c>
      <c r="M1397" s="1793">
        <v>1</v>
      </c>
      <c r="N1397" s="1793">
        <v>1</v>
      </c>
      <c r="O1397" s="1794">
        <v>2</v>
      </c>
    </row>
    <row r="1398" spans="3:15">
      <c r="C1398" s="1799" t="s">
        <v>5888</v>
      </c>
      <c r="D1398" s="1796">
        <v>1</v>
      </c>
      <c r="E1398" s="1796">
        <v>1</v>
      </c>
      <c r="F1398" s="1797">
        <v>2</v>
      </c>
      <c r="G1398" s="1999" t="s">
        <v>5888</v>
      </c>
      <c r="H1398" s="1794">
        <v>1</v>
      </c>
      <c r="I1398" s="1794">
        <v>1</v>
      </c>
      <c r="J1398" s="2000">
        <v>2</v>
      </c>
      <c r="K1398" s="1798"/>
      <c r="L1398" s="1792">
        <v>13121010210</v>
      </c>
      <c r="M1398" s="1793">
        <v>1</v>
      </c>
      <c r="N1398" s="1793">
        <v>1</v>
      </c>
      <c r="O1398" s="1794">
        <v>2</v>
      </c>
    </row>
    <row r="1399" spans="3:15">
      <c r="C1399" s="1799" t="s">
        <v>5889</v>
      </c>
      <c r="D1399" s="1796">
        <v>1</v>
      </c>
      <c r="E1399" s="1796">
        <v>1</v>
      </c>
      <c r="F1399" s="1797">
        <v>2</v>
      </c>
      <c r="G1399" s="1999" t="s">
        <v>5889</v>
      </c>
      <c r="H1399" s="1794">
        <v>1</v>
      </c>
      <c r="I1399" s="1794">
        <v>1</v>
      </c>
      <c r="J1399" s="2000">
        <v>2</v>
      </c>
      <c r="K1399" s="1798"/>
      <c r="L1399" s="1792">
        <v>13121010211</v>
      </c>
      <c r="M1399" s="1793">
        <v>1</v>
      </c>
      <c r="N1399" s="1793">
        <v>1</v>
      </c>
      <c r="O1399" s="1794">
        <v>2</v>
      </c>
    </row>
    <row r="1400" spans="3:15">
      <c r="C1400" s="1799" t="s">
        <v>5890</v>
      </c>
      <c r="D1400" s="1796">
        <v>1</v>
      </c>
      <c r="E1400" s="1796">
        <v>0</v>
      </c>
      <c r="F1400" s="1797">
        <v>1</v>
      </c>
      <c r="G1400" s="1999" t="s">
        <v>5890</v>
      </c>
      <c r="H1400" s="1794">
        <v>1</v>
      </c>
      <c r="I1400" s="1794">
        <v>0</v>
      </c>
      <c r="J1400" s="2000">
        <v>1</v>
      </c>
      <c r="K1400" s="1798"/>
      <c r="L1400" s="1792">
        <v>13121010212</v>
      </c>
      <c r="M1400" s="1793">
        <v>1</v>
      </c>
      <c r="N1400" s="1793">
        <v>0</v>
      </c>
      <c r="O1400" s="1794">
        <v>1</v>
      </c>
    </row>
    <row r="1401" spans="3:15">
      <c r="C1401" s="1799" t="s">
        <v>5891</v>
      </c>
      <c r="D1401" s="1796">
        <v>1</v>
      </c>
      <c r="E1401" s="1796">
        <v>0</v>
      </c>
      <c r="F1401" s="1797">
        <v>1</v>
      </c>
      <c r="G1401" s="1999" t="s">
        <v>5891</v>
      </c>
      <c r="H1401" s="1794">
        <v>1</v>
      </c>
      <c r="I1401" s="1794">
        <v>1</v>
      </c>
      <c r="J1401" s="2000">
        <v>2</v>
      </c>
      <c r="K1401" s="1798"/>
      <c r="L1401" s="1792">
        <v>13121010301</v>
      </c>
      <c r="M1401" s="1793">
        <v>1</v>
      </c>
      <c r="N1401" s="1793">
        <v>1</v>
      </c>
      <c r="O1401" s="1794">
        <v>2</v>
      </c>
    </row>
    <row r="1402" spans="3:15">
      <c r="C1402" s="1799" t="s">
        <v>5892</v>
      </c>
      <c r="D1402" s="1796">
        <v>1</v>
      </c>
      <c r="E1402" s="1796">
        <v>0</v>
      </c>
      <c r="F1402" s="1797">
        <v>1</v>
      </c>
      <c r="G1402" s="1999" t="s">
        <v>5892</v>
      </c>
      <c r="H1402" s="1794">
        <v>1</v>
      </c>
      <c r="I1402" s="1794">
        <v>1</v>
      </c>
      <c r="J1402" s="2000">
        <v>2</v>
      </c>
      <c r="K1402" s="1798"/>
      <c r="L1402" s="1792">
        <v>13121010303</v>
      </c>
      <c r="M1402" s="1793">
        <v>1</v>
      </c>
      <c r="N1402" s="1793">
        <v>1</v>
      </c>
      <c r="O1402" s="1794">
        <v>2</v>
      </c>
    </row>
    <row r="1403" spans="3:15">
      <c r="C1403" s="1799" t="s">
        <v>5893</v>
      </c>
      <c r="D1403" s="1796">
        <v>1</v>
      </c>
      <c r="E1403" s="1796">
        <v>1</v>
      </c>
      <c r="F1403" s="1797">
        <v>2</v>
      </c>
      <c r="G1403" s="1999" t="s">
        <v>5893</v>
      </c>
      <c r="H1403" s="1794">
        <v>1</v>
      </c>
      <c r="I1403" s="1794">
        <v>1</v>
      </c>
      <c r="J1403" s="2000">
        <v>2</v>
      </c>
      <c r="K1403" s="1798"/>
      <c r="L1403" s="1792">
        <v>13121010304</v>
      </c>
      <c r="M1403" s="1793">
        <v>1</v>
      </c>
      <c r="N1403" s="1793">
        <v>1</v>
      </c>
      <c r="O1403" s="1794">
        <v>2</v>
      </c>
    </row>
    <row r="1404" spans="3:15">
      <c r="C1404" s="1799" t="s">
        <v>5894</v>
      </c>
      <c r="D1404" s="1796">
        <v>0</v>
      </c>
      <c r="E1404" s="1796">
        <v>0</v>
      </c>
      <c r="F1404" s="1797">
        <v>0</v>
      </c>
      <c r="G1404" s="1999" t="s">
        <v>5894</v>
      </c>
      <c r="H1404" s="1794">
        <v>0</v>
      </c>
      <c r="I1404" s="1794">
        <v>0</v>
      </c>
      <c r="J1404" s="2000">
        <v>0</v>
      </c>
      <c r="K1404" s="1798"/>
      <c r="L1404" s="1792">
        <v>13121010400</v>
      </c>
      <c r="M1404" s="1793">
        <v>0</v>
      </c>
      <c r="N1404" s="1793">
        <v>0</v>
      </c>
      <c r="O1404" s="1794">
        <v>0</v>
      </c>
    </row>
    <row r="1405" spans="3:15">
      <c r="C1405" s="1799" t="s">
        <v>5895</v>
      </c>
      <c r="D1405" s="1796">
        <v>0</v>
      </c>
      <c r="E1405" s="1796">
        <v>0</v>
      </c>
      <c r="F1405" s="1797">
        <v>0</v>
      </c>
      <c r="G1405" s="1999" t="s">
        <v>5895</v>
      </c>
      <c r="H1405" s="1794">
        <v>0</v>
      </c>
      <c r="I1405" s="1794">
        <v>1</v>
      </c>
      <c r="J1405" s="2000">
        <v>1</v>
      </c>
      <c r="K1405" s="1798"/>
      <c r="L1405" s="1792">
        <v>13121010507</v>
      </c>
      <c r="M1405" s="1793">
        <v>0</v>
      </c>
      <c r="N1405" s="1793">
        <v>1</v>
      </c>
      <c r="O1405" s="1794">
        <v>1</v>
      </c>
    </row>
    <row r="1406" spans="3:15">
      <c r="C1406" s="1799" t="s">
        <v>5896</v>
      </c>
      <c r="D1406" s="1796">
        <v>0</v>
      </c>
      <c r="E1406" s="1796">
        <v>0</v>
      </c>
      <c r="F1406" s="1797">
        <v>0</v>
      </c>
      <c r="G1406" s="1999" t="s">
        <v>5896</v>
      </c>
      <c r="H1406" s="1794">
        <v>0</v>
      </c>
      <c r="I1406" s="1794">
        <v>0</v>
      </c>
      <c r="J1406" s="2000">
        <v>0</v>
      </c>
      <c r="K1406" s="1798"/>
      <c r="L1406" s="1792">
        <v>13121010508</v>
      </c>
      <c r="M1406" s="1793">
        <v>0</v>
      </c>
      <c r="N1406" s="1793">
        <v>0</v>
      </c>
      <c r="O1406" s="1794">
        <v>0</v>
      </c>
    </row>
    <row r="1407" spans="3:15">
      <c r="C1407" s="1799" t="s">
        <v>5897</v>
      </c>
      <c r="D1407" s="1796">
        <v>0</v>
      </c>
      <c r="E1407" s="1796">
        <v>0</v>
      </c>
      <c r="F1407" s="1797">
        <v>0</v>
      </c>
      <c r="G1407" s="1999" t="s">
        <v>5897</v>
      </c>
      <c r="H1407" s="1794">
        <v>0</v>
      </c>
      <c r="I1407" s="1794">
        <v>1</v>
      </c>
      <c r="J1407" s="2000">
        <v>1</v>
      </c>
      <c r="K1407" s="1798"/>
      <c r="L1407" s="1792">
        <v>13121010510</v>
      </c>
      <c r="M1407" s="1793">
        <v>0</v>
      </c>
      <c r="N1407" s="1793">
        <v>1</v>
      </c>
      <c r="O1407" s="1794">
        <v>1</v>
      </c>
    </row>
    <row r="1408" spans="3:15">
      <c r="C1408" s="1799" t="s">
        <v>5898</v>
      </c>
      <c r="D1408" s="1796">
        <v>0</v>
      </c>
      <c r="E1408" s="1796">
        <v>0</v>
      </c>
      <c r="F1408" s="1797">
        <v>0</v>
      </c>
      <c r="G1408" s="1999" t="s">
        <v>5898</v>
      </c>
      <c r="H1408" s="1794">
        <v>0</v>
      </c>
      <c r="I1408" s="1794">
        <v>1</v>
      </c>
      <c r="J1408" s="2000">
        <v>1</v>
      </c>
      <c r="K1408" s="1798"/>
      <c r="L1408" s="1792">
        <v>13121010511</v>
      </c>
      <c r="M1408" s="1793">
        <v>0</v>
      </c>
      <c r="N1408" s="1793">
        <v>1</v>
      </c>
      <c r="O1408" s="1794">
        <v>1</v>
      </c>
    </row>
    <row r="1409" spans="3:15">
      <c r="C1409" s="1799" t="s">
        <v>5899</v>
      </c>
      <c r="D1409" s="1796">
        <v>0</v>
      </c>
      <c r="E1409" s="1796">
        <v>0</v>
      </c>
      <c r="F1409" s="1797">
        <v>0</v>
      </c>
      <c r="G1409" s="1999" t="s">
        <v>5899</v>
      </c>
      <c r="H1409" s="1794">
        <v>0</v>
      </c>
      <c r="I1409" s="1794" t="s">
        <v>4485</v>
      </c>
      <c r="J1409" s="2000">
        <v>0</v>
      </c>
      <c r="K1409" s="1798"/>
      <c r="L1409" s="1792">
        <v>13121010512</v>
      </c>
      <c r="M1409" s="1793">
        <v>0</v>
      </c>
      <c r="N1409" s="1793">
        <v>0</v>
      </c>
      <c r="O1409" s="1794">
        <v>0</v>
      </c>
    </row>
    <row r="1410" spans="3:15">
      <c r="C1410" s="1799" t="s">
        <v>5900</v>
      </c>
      <c r="D1410" s="1796">
        <v>0</v>
      </c>
      <c r="E1410" s="1796">
        <v>0</v>
      </c>
      <c r="F1410" s="1797">
        <v>0</v>
      </c>
      <c r="G1410" s="1999" t="s">
        <v>5900</v>
      </c>
      <c r="H1410" s="1794">
        <v>0</v>
      </c>
      <c r="I1410" s="1794">
        <v>0</v>
      </c>
      <c r="J1410" s="2000">
        <v>0</v>
      </c>
      <c r="K1410" s="1798"/>
      <c r="L1410" s="1792">
        <v>13121010513</v>
      </c>
      <c r="M1410" s="1793">
        <v>0</v>
      </c>
      <c r="N1410" s="1793">
        <v>0</v>
      </c>
      <c r="O1410" s="1794">
        <v>0</v>
      </c>
    </row>
    <row r="1411" spans="3:15">
      <c r="C1411" s="1799" t="s">
        <v>5901</v>
      </c>
      <c r="D1411" s="1796">
        <v>1</v>
      </c>
      <c r="E1411" s="1796">
        <v>1</v>
      </c>
      <c r="F1411" s="1797">
        <v>2</v>
      </c>
      <c r="G1411" s="1999" t="s">
        <v>5901</v>
      </c>
      <c r="H1411" s="1794">
        <v>1</v>
      </c>
      <c r="I1411" s="1794">
        <v>1</v>
      </c>
      <c r="J1411" s="2000">
        <v>2</v>
      </c>
      <c r="K1411" s="1798"/>
      <c r="L1411" s="1792">
        <v>13121010514</v>
      </c>
      <c r="M1411" s="1793">
        <v>1</v>
      </c>
      <c r="N1411" s="1793">
        <v>1</v>
      </c>
      <c r="O1411" s="1794">
        <v>2</v>
      </c>
    </row>
    <row r="1412" spans="3:15">
      <c r="C1412" s="1799" t="s">
        <v>5902</v>
      </c>
      <c r="D1412" s="1796">
        <v>0</v>
      </c>
      <c r="E1412" s="1796">
        <v>0</v>
      </c>
      <c r="F1412" s="1797">
        <v>0</v>
      </c>
      <c r="G1412" s="1999" t="s">
        <v>5902</v>
      </c>
      <c r="H1412" s="1794">
        <v>1</v>
      </c>
      <c r="I1412" s="1794">
        <v>0</v>
      </c>
      <c r="J1412" s="2000">
        <v>1</v>
      </c>
      <c r="K1412" s="1798"/>
      <c r="L1412" s="1792">
        <v>13121010515</v>
      </c>
      <c r="M1412" s="1793">
        <v>1</v>
      </c>
      <c r="N1412" s="1793">
        <v>0</v>
      </c>
      <c r="O1412" s="1794">
        <v>1</v>
      </c>
    </row>
    <row r="1413" spans="3:15">
      <c r="C1413" s="1799" t="s">
        <v>5903</v>
      </c>
      <c r="D1413" s="1796">
        <v>0</v>
      </c>
      <c r="E1413" s="1796">
        <v>0</v>
      </c>
      <c r="F1413" s="1797">
        <v>0</v>
      </c>
      <c r="G1413" s="1999" t="s">
        <v>5903</v>
      </c>
      <c r="H1413" s="1794">
        <v>0</v>
      </c>
      <c r="I1413" s="1794">
        <v>0</v>
      </c>
      <c r="J1413" s="2000">
        <v>0</v>
      </c>
      <c r="K1413" s="1798"/>
      <c r="L1413" s="1792">
        <v>13121010516</v>
      </c>
      <c r="M1413" s="1793">
        <v>0</v>
      </c>
      <c r="N1413" s="1793">
        <v>0</v>
      </c>
      <c r="O1413" s="1794">
        <v>0</v>
      </c>
    </row>
    <row r="1414" spans="3:15">
      <c r="C1414" s="1799" t="s">
        <v>5904</v>
      </c>
      <c r="D1414" s="1796">
        <v>0</v>
      </c>
      <c r="E1414" s="1796">
        <v>0</v>
      </c>
      <c r="F1414" s="1797">
        <v>0</v>
      </c>
      <c r="G1414" s="1999" t="s">
        <v>5904</v>
      </c>
      <c r="H1414" s="1794">
        <v>0</v>
      </c>
      <c r="I1414" s="1794">
        <v>0</v>
      </c>
      <c r="J1414" s="2000">
        <v>0</v>
      </c>
      <c r="K1414" s="1798"/>
      <c r="L1414" s="1792">
        <v>13121010601</v>
      </c>
      <c r="M1414" s="1793">
        <v>0</v>
      </c>
      <c r="N1414" s="1793">
        <v>0</v>
      </c>
      <c r="O1414" s="1794">
        <v>0</v>
      </c>
    </row>
    <row r="1415" spans="3:15">
      <c r="C1415" s="1799" t="s">
        <v>5905</v>
      </c>
      <c r="D1415" s="1796">
        <v>0</v>
      </c>
      <c r="E1415" s="1796">
        <v>0</v>
      </c>
      <c r="F1415" s="1797">
        <v>0</v>
      </c>
      <c r="G1415" s="1999" t="s">
        <v>5905</v>
      </c>
      <c r="H1415" s="1794">
        <v>0</v>
      </c>
      <c r="I1415" s="1794">
        <v>0</v>
      </c>
      <c r="J1415" s="2000">
        <v>0</v>
      </c>
      <c r="K1415" s="1798"/>
      <c r="L1415" s="1792">
        <v>13121010603</v>
      </c>
      <c r="M1415" s="1793">
        <v>0</v>
      </c>
      <c r="N1415" s="1793">
        <v>0</v>
      </c>
      <c r="O1415" s="1794">
        <v>0</v>
      </c>
    </row>
    <row r="1416" spans="3:15">
      <c r="C1416" s="1799" t="s">
        <v>5906</v>
      </c>
      <c r="D1416" s="1796">
        <v>0</v>
      </c>
      <c r="E1416" s="1796">
        <v>0</v>
      </c>
      <c r="F1416" s="1797">
        <v>0</v>
      </c>
      <c r="G1416" s="1999" t="s">
        <v>5906</v>
      </c>
      <c r="H1416" s="1794">
        <v>0</v>
      </c>
      <c r="I1416" s="1794">
        <v>0</v>
      </c>
      <c r="J1416" s="2000">
        <v>0</v>
      </c>
      <c r="K1416" s="1798"/>
      <c r="L1416" s="1792">
        <v>13121010604</v>
      </c>
      <c r="M1416" s="1793">
        <v>0</v>
      </c>
      <c r="N1416" s="1793">
        <v>0</v>
      </c>
      <c r="O1416" s="1794">
        <v>0</v>
      </c>
    </row>
    <row r="1417" spans="3:15">
      <c r="C1417" s="1799" t="s">
        <v>5907</v>
      </c>
      <c r="D1417" s="1796">
        <v>0</v>
      </c>
      <c r="E1417" s="1796">
        <v>0</v>
      </c>
      <c r="F1417" s="1797">
        <v>0</v>
      </c>
      <c r="G1417" s="1999" t="s">
        <v>5907</v>
      </c>
      <c r="H1417" s="1794">
        <v>1</v>
      </c>
      <c r="I1417" s="1794">
        <v>0</v>
      </c>
      <c r="J1417" s="2000">
        <v>1</v>
      </c>
      <c r="K1417" s="1798"/>
      <c r="L1417" s="1792">
        <v>13121010800</v>
      </c>
      <c r="M1417" s="1793">
        <v>1</v>
      </c>
      <c r="N1417" s="1793">
        <v>0</v>
      </c>
      <c r="O1417" s="1794">
        <v>1</v>
      </c>
    </row>
    <row r="1418" spans="3:15">
      <c r="C1418" s="1799" t="s">
        <v>5908</v>
      </c>
      <c r="D1418" s="1796">
        <v>0</v>
      </c>
      <c r="E1418" s="1796">
        <v>0</v>
      </c>
      <c r="F1418" s="1797">
        <v>0</v>
      </c>
      <c r="G1418" s="1999" t="s">
        <v>5908</v>
      </c>
      <c r="H1418" s="1794">
        <v>0</v>
      </c>
      <c r="I1418" s="1794">
        <v>0</v>
      </c>
      <c r="J1418" s="2000">
        <v>0</v>
      </c>
      <c r="K1418" s="1798"/>
      <c r="L1418" s="1792">
        <v>13121011000</v>
      </c>
      <c r="M1418" s="1793">
        <v>0</v>
      </c>
      <c r="N1418" s="1793">
        <v>0</v>
      </c>
      <c r="O1418" s="1794">
        <v>0</v>
      </c>
    </row>
    <row r="1419" spans="3:15">
      <c r="C1419" s="1799" t="s">
        <v>5909</v>
      </c>
      <c r="D1419" s="1796">
        <v>1</v>
      </c>
      <c r="E1419" s="1796">
        <v>0</v>
      </c>
      <c r="F1419" s="1797">
        <v>1</v>
      </c>
      <c r="G1419" s="1999" t="s">
        <v>5909</v>
      </c>
      <c r="H1419" s="1794">
        <v>1</v>
      </c>
      <c r="I1419" s="1794">
        <v>0</v>
      </c>
      <c r="J1419" s="2000">
        <v>1</v>
      </c>
      <c r="K1419" s="1798"/>
      <c r="L1419" s="1792">
        <v>13121011100</v>
      </c>
      <c r="M1419" s="1793">
        <v>1</v>
      </c>
      <c r="N1419" s="1793">
        <v>0</v>
      </c>
      <c r="O1419" s="1794">
        <v>1</v>
      </c>
    </row>
    <row r="1420" spans="3:15">
      <c r="C1420" s="1799" t="s">
        <v>5910</v>
      </c>
      <c r="D1420" s="1796">
        <v>0</v>
      </c>
      <c r="E1420" s="1796">
        <v>0</v>
      </c>
      <c r="F1420" s="1797">
        <v>0</v>
      </c>
      <c r="G1420" s="1999" t="s">
        <v>5910</v>
      </c>
      <c r="H1420" s="1794">
        <v>0</v>
      </c>
      <c r="I1420" s="1794">
        <v>0</v>
      </c>
      <c r="J1420" s="2000">
        <v>0</v>
      </c>
      <c r="K1420" s="1798"/>
      <c r="L1420" s="1792">
        <v>13121011201</v>
      </c>
      <c r="M1420" s="1793">
        <v>0</v>
      </c>
      <c r="N1420" s="1793">
        <v>0</v>
      </c>
      <c r="O1420" s="1794">
        <v>0</v>
      </c>
    </row>
    <row r="1421" spans="3:15">
      <c r="C1421" s="1799" t="s">
        <v>5911</v>
      </c>
      <c r="D1421" s="1796">
        <v>0</v>
      </c>
      <c r="E1421" s="1796">
        <v>0</v>
      </c>
      <c r="F1421" s="1797">
        <v>0</v>
      </c>
      <c r="G1421" s="1999" t="s">
        <v>5911</v>
      </c>
      <c r="H1421" s="1794">
        <v>0</v>
      </c>
      <c r="I1421" s="1794">
        <v>0</v>
      </c>
      <c r="J1421" s="2000">
        <v>0</v>
      </c>
      <c r="K1421" s="1798"/>
      <c r="L1421" s="1792">
        <v>13121011202</v>
      </c>
      <c r="M1421" s="1793">
        <v>0</v>
      </c>
      <c r="N1421" s="1793">
        <v>0</v>
      </c>
      <c r="O1421" s="1794">
        <v>0</v>
      </c>
    </row>
    <row r="1422" spans="3:15">
      <c r="C1422" s="1799" t="s">
        <v>5912</v>
      </c>
      <c r="D1422" s="1796">
        <v>0</v>
      </c>
      <c r="E1422" s="1796">
        <v>0</v>
      </c>
      <c r="F1422" s="1797">
        <v>0</v>
      </c>
      <c r="G1422" s="1999" t="s">
        <v>5912</v>
      </c>
      <c r="H1422" s="1794">
        <v>0</v>
      </c>
      <c r="I1422" s="1794">
        <v>0</v>
      </c>
      <c r="J1422" s="2000">
        <v>0</v>
      </c>
      <c r="K1422" s="1798"/>
      <c r="L1422" s="1792">
        <v>13121011301</v>
      </c>
      <c r="M1422" s="1793">
        <v>0</v>
      </c>
      <c r="N1422" s="1793">
        <v>0</v>
      </c>
      <c r="O1422" s="1794">
        <v>0</v>
      </c>
    </row>
    <row r="1423" spans="3:15">
      <c r="C1423" s="1799" t="s">
        <v>5913</v>
      </c>
      <c r="D1423" s="1796">
        <v>0</v>
      </c>
      <c r="E1423" s="1796">
        <v>0</v>
      </c>
      <c r="F1423" s="1797">
        <v>0</v>
      </c>
      <c r="G1423" s="1999" t="s">
        <v>5913</v>
      </c>
      <c r="H1423" s="1794">
        <v>1</v>
      </c>
      <c r="I1423" s="1794">
        <v>0</v>
      </c>
      <c r="J1423" s="2000">
        <v>1</v>
      </c>
      <c r="K1423" s="1798"/>
      <c r="L1423" s="1792">
        <v>13121011303</v>
      </c>
      <c r="M1423" s="1793">
        <v>1</v>
      </c>
      <c r="N1423" s="1793">
        <v>0</v>
      </c>
      <c r="O1423" s="1794">
        <v>1</v>
      </c>
    </row>
    <row r="1424" spans="3:15">
      <c r="C1424" s="1799" t="s">
        <v>5914</v>
      </c>
      <c r="D1424" s="1796">
        <v>0</v>
      </c>
      <c r="E1424" s="1796">
        <v>0</v>
      </c>
      <c r="F1424" s="1797">
        <v>0</v>
      </c>
      <c r="G1424" s="1999" t="s">
        <v>5914</v>
      </c>
      <c r="H1424" s="1794">
        <v>0</v>
      </c>
      <c r="I1424" s="1794">
        <v>0</v>
      </c>
      <c r="J1424" s="2000">
        <v>0</v>
      </c>
      <c r="K1424" s="1798"/>
      <c r="L1424" s="1792">
        <v>13121011305</v>
      </c>
      <c r="M1424" s="1793">
        <v>0</v>
      </c>
      <c r="N1424" s="1793">
        <v>0</v>
      </c>
      <c r="O1424" s="1794">
        <v>0</v>
      </c>
    </row>
    <row r="1425" spans="3:15">
      <c r="C1425" s="1799" t="s">
        <v>5915</v>
      </c>
      <c r="D1425" s="1796">
        <v>0</v>
      </c>
      <c r="E1425" s="1796">
        <v>0</v>
      </c>
      <c r="F1425" s="1797">
        <v>0</v>
      </c>
      <c r="G1425" s="1999" t="s">
        <v>5915</v>
      </c>
      <c r="H1425" s="1794">
        <v>0</v>
      </c>
      <c r="I1425" s="1794">
        <v>0</v>
      </c>
      <c r="J1425" s="2000">
        <v>0</v>
      </c>
      <c r="K1425" s="1798"/>
      <c r="L1425" s="1792">
        <v>13121011306</v>
      </c>
      <c r="M1425" s="1793">
        <v>0</v>
      </c>
      <c r="N1425" s="1793">
        <v>0</v>
      </c>
      <c r="O1425" s="1794">
        <v>0</v>
      </c>
    </row>
    <row r="1426" spans="3:15">
      <c r="C1426" s="1799" t="s">
        <v>5916</v>
      </c>
      <c r="D1426" s="1796">
        <v>1</v>
      </c>
      <c r="E1426" s="1796">
        <v>0</v>
      </c>
      <c r="F1426" s="1797">
        <v>1</v>
      </c>
      <c r="G1426" s="1999" t="s">
        <v>5916</v>
      </c>
      <c r="H1426" s="1794">
        <v>1</v>
      </c>
      <c r="I1426" s="1794">
        <v>1</v>
      </c>
      <c r="J1426" s="2000">
        <v>2</v>
      </c>
      <c r="K1426" s="1798"/>
      <c r="L1426" s="1792">
        <v>13121011405</v>
      </c>
      <c r="M1426" s="1793">
        <v>1</v>
      </c>
      <c r="N1426" s="1793">
        <v>1</v>
      </c>
      <c r="O1426" s="1794">
        <v>2</v>
      </c>
    </row>
    <row r="1427" spans="3:15">
      <c r="C1427" s="1799" t="s">
        <v>5917</v>
      </c>
      <c r="D1427" s="1796">
        <v>1</v>
      </c>
      <c r="E1427" s="1796">
        <v>1</v>
      </c>
      <c r="F1427" s="1797">
        <v>2</v>
      </c>
      <c r="G1427" s="1999" t="s">
        <v>5917</v>
      </c>
      <c r="H1427" s="1794">
        <v>1</v>
      </c>
      <c r="I1427" s="1794">
        <v>1</v>
      </c>
      <c r="J1427" s="2000">
        <v>2</v>
      </c>
      <c r="K1427" s="1798"/>
      <c r="L1427" s="1792">
        <v>13121011410</v>
      </c>
      <c r="M1427" s="1793">
        <v>1</v>
      </c>
      <c r="N1427" s="1793">
        <v>1</v>
      </c>
      <c r="O1427" s="1794">
        <v>2</v>
      </c>
    </row>
    <row r="1428" spans="3:15">
      <c r="C1428" s="1799" t="s">
        <v>5918</v>
      </c>
      <c r="D1428" s="1796">
        <v>1</v>
      </c>
      <c r="E1428" s="1796">
        <v>1</v>
      </c>
      <c r="F1428" s="1797">
        <v>2</v>
      </c>
      <c r="G1428" s="1999" t="s">
        <v>5918</v>
      </c>
      <c r="H1428" s="1794">
        <v>1</v>
      </c>
      <c r="I1428" s="1794">
        <v>1</v>
      </c>
      <c r="J1428" s="2000">
        <v>2</v>
      </c>
      <c r="K1428" s="1798"/>
      <c r="L1428" s="1792">
        <v>13121011411</v>
      </c>
      <c r="M1428" s="1793">
        <v>1</v>
      </c>
      <c r="N1428" s="1793">
        <v>1</v>
      </c>
      <c r="O1428" s="1794">
        <v>2</v>
      </c>
    </row>
    <row r="1429" spans="3:15">
      <c r="C1429" s="1799" t="s">
        <v>5919</v>
      </c>
      <c r="D1429" s="1796">
        <v>1</v>
      </c>
      <c r="E1429" s="1796">
        <v>1</v>
      </c>
      <c r="F1429" s="1797">
        <v>2</v>
      </c>
      <c r="G1429" s="1999" t="s">
        <v>5919</v>
      </c>
      <c r="H1429" s="1794">
        <v>1</v>
      </c>
      <c r="I1429" s="1794">
        <v>1</v>
      </c>
      <c r="J1429" s="2000">
        <v>2</v>
      </c>
      <c r="K1429" s="1798"/>
      <c r="L1429" s="1792">
        <v>13121011412</v>
      </c>
      <c r="M1429" s="1793">
        <v>1</v>
      </c>
      <c r="N1429" s="1793">
        <v>1</v>
      </c>
      <c r="O1429" s="1794">
        <v>2</v>
      </c>
    </row>
    <row r="1430" spans="3:15">
      <c r="C1430" s="1799" t="s">
        <v>5920</v>
      </c>
      <c r="D1430" s="1796">
        <v>1</v>
      </c>
      <c r="E1430" s="1796">
        <v>1</v>
      </c>
      <c r="F1430" s="1797">
        <v>2</v>
      </c>
      <c r="G1430" s="1999" t="s">
        <v>5920</v>
      </c>
      <c r="H1430" s="1794">
        <v>1</v>
      </c>
      <c r="I1430" s="1794">
        <v>0</v>
      </c>
      <c r="J1430" s="2000">
        <v>1</v>
      </c>
      <c r="K1430" s="1798"/>
      <c r="L1430" s="1792">
        <v>13121011414</v>
      </c>
      <c r="M1430" s="1793">
        <v>1</v>
      </c>
      <c r="N1430" s="1793">
        <v>1</v>
      </c>
      <c r="O1430" s="1794">
        <v>2</v>
      </c>
    </row>
    <row r="1431" spans="3:15">
      <c r="C1431" s="1799" t="s">
        <v>5921</v>
      </c>
      <c r="D1431" s="1796">
        <v>1</v>
      </c>
      <c r="E1431" s="1796">
        <v>1</v>
      </c>
      <c r="F1431" s="1797">
        <v>2</v>
      </c>
      <c r="G1431" s="1999" t="s">
        <v>5921</v>
      </c>
      <c r="H1431" s="1794">
        <v>1</v>
      </c>
      <c r="I1431" s="1794">
        <v>1</v>
      </c>
      <c r="J1431" s="2000">
        <v>2</v>
      </c>
      <c r="K1431" s="1798"/>
      <c r="L1431" s="1792">
        <v>13121011416</v>
      </c>
      <c r="M1431" s="1793">
        <v>1</v>
      </c>
      <c r="N1431" s="1793">
        <v>1</v>
      </c>
      <c r="O1431" s="1794">
        <v>2</v>
      </c>
    </row>
    <row r="1432" spans="3:15">
      <c r="C1432" s="1799" t="s">
        <v>5922</v>
      </c>
      <c r="D1432" s="1796">
        <v>1</v>
      </c>
      <c r="E1432" s="1796">
        <v>1</v>
      </c>
      <c r="F1432" s="1797">
        <v>2</v>
      </c>
      <c r="G1432" s="1999" t="s">
        <v>5922</v>
      </c>
      <c r="H1432" s="1794">
        <v>1</v>
      </c>
      <c r="I1432" s="1794">
        <v>1</v>
      </c>
      <c r="J1432" s="2000">
        <v>2</v>
      </c>
      <c r="K1432" s="1798"/>
      <c r="L1432" s="1792">
        <v>13121011417</v>
      </c>
      <c r="M1432" s="1793">
        <v>1</v>
      </c>
      <c r="N1432" s="1793">
        <v>1</v>
      </c>
      <c r="O1432" s="1794">
        <v>2</v>
      </c>
    </row>
    <row r="1433" spans="3:15">
      <c r="C1433" s="1799" t="s">
        <v>5923</v>
      </c>
      <c r="D1433" s="1796">
        <v>1</v>
      </c>
      <c r="E1433" s="1796">
        <v>1</v>
      </c>
      <c r="F1433" s="1797">
        <v>2</v>
      </c>
      <c r="G1433" s="1999" t="s">
        <v>5923</v>
      </c>
      <c r="H1433" s="1794">
        <v>1</v>
      </c>
      <c r="I1433" s="1794">
        <v>1</v>
      </c>
      <c r="J1433" s="2000">
        <v>2</v>
      </c>
      <c r="K1433" s="1798"/>
      <c r="L1433" s="1792">
        <v>13121011418</v>
      </c>
      <c r="M1433" s="1793">
        <v>1</v>
      </c>
      <c r="N1433" s="1793">
        <v>1</v>
      </c>
      <c r="O1433" s="1794">
        <v>2</v>
      </c>
    </row>
    <row r="1434" spans="3:15">
      <c r="C1434" s="1799" t="s">
        <v>5924</v>
      </c>
      <c r="D1434" s="1796">
        <v>1</v>
      </c>
      <c r="E1434" s="1796">
        <v>1</v>
      </c>
      <c r="F1434" s="1797">
        <v>2</v>
      </c>
      <c r="G1434" s="1999" t="s">
        <v>5924</v>
      </c>
      <c r="H1434" s="1794">
        <v>1</v>
      </c>
      <c r="I1434" s="1794">
        <v>1</v>
      </c>
      <c r="J1434" s="2000">
        <v>2</v>
      </c>
      <c r="K1434" s="1798"/>
      <c r="L1434" s="1792">
        <v>13121011419</v>
      </c>
      <c r="M1434" s="1793">
        <v>1</v>
      </c>
      <c r="N1434" s="1793">
        <v>1</v>
      </c>
      <c r="O1434" s="1794">
        <v>2</v>
      </c>
    </row>
    <row r="1435" spans="3:15">
      <c r="C1435" s="1799" t="s">
        <v>5925</v>
      </c>
      <c r="D1435" s="1796">
        <v>0</v>
      </c>
      <c r="E1435" s="1796">
        <v>0</v>
      </c>
      <c r="F1435" s="1797">
        <v>0</v>
      </c>
      <c r="G1435" s="1999" t="s">
        <v>5925</v>
      </c>
      <c r="H1435" s="1794">
        <v>0</v>
      </c>
      <c r="I1435" s="1794">
        <v>0</v>
      </c>
      <c r="J1435" s="2000">
        <v>0</v>
      </c>
      <c r="K1435" s="1798"/>
      <c r="L1435" s="1792">
        <v>13121011420</v>
      </c>
      <c r="M1435" s="1793">
        <v>0</v>
      </c>
      <c r="N1435" s="1793">
        <v>0</v>
      </c>
      <c r="O1435" s="1794">
        <v>0</v>
      </c>
    </row>
    <row r="1436" spans="3:15">
      <c r="C1436" s="1799" t="s">
        <v>5926</v>
      </c>
      <c r="D1436" s="1796">
        <v>1</v>
      </c>
      <c r="E1436" s="1796">
        <v>0</v>
      </c>
      <c r="F1436" s="1797">
        <v>1</v>
      </c>
      <c r="G1436" s="1999" t="s">
        <v>5926</v>
      </c>
      <c r="H1436" s="1794">
        <v>1</v>
      </c>
      <c r="I1436" s="1794">
        <v>0</v>
      </c>
      <c r="J1436" s="2000">
        <v>1</v>
      </c>
      <c r="K1436" s="1798"/>
      <c r="L1436" s="1792">
        <v>13121011421</v>
      </c>
      <c r="M1436" s="1793">
        <v>1</v>
      </c>
      <c r="N1436" s="1793">
        <v>0</v>
      </c>
      <c r="O1436" s="1794">
        <v>1</v>
      </c>
    </row>
    <row r="1437" spans="3:15">
      <c r="C1437" s="1799" t="s">
        <v>5927</v>
      </c>
      <c r="D1437" s="1796">
        <v>1</v>
      </c>
      <c r="E1437" s="1796">
        <v>1</v>
      </c>
      <c r="F1437" s="1797">
        <v>2</v>
      </c>
      <c r="G1437" s="1999" t="s">
        <v>5927</v>
      </c>
      <c r="H1437" s="1794">
        <v>1</v>
      </c>
      <c r="I1437" s="1794">
        <v>1</v>
      </c>
      <c r="J1437" s="2000">
        <v>2</v>
      </c>
      <c r="K1437" s="1798"/>
      <c r="L1437" s="1792">
        <v>13121011422</v>
      </c>
      <c r="M1437" s="1793">
        <v>1</v>
      </c>
      <c r="N1437" s="1793">
        <v>1</v>
      </c>
      <c r="O1437" s="1794">
        <v>2</v>
      </c>
    </row>
    <row r="1438" spans="3:15">
      <c r="C1438" s="1799" t="s">
        <v>5928</v>
      </c>
      <c r="D1438" s="1796">
        <v>1</v>
      </c>
      <c r="E1438" s="1796">
        <v>1</v>
      </c>
      <c r="F1438" s="1797">
        <v>2</v>
      </c>
      <c r="G1438" s="1999" t="s">
        <v>5928</v>
      </c>
      <c r="H1438" s="1794">
        <v>1</v>
      </c>
      <c r="I1438" s="1794">
        <v>1</v>
      </c>
      <c r="J1438" s="2000">
        <v>2</v>
      </c>
      <c r="K1438" s="1798"/>
      <c r="L1438" s="1792">
        <v>13121011423</v>
      </c>
      <c r="M1438" s="1793">
        <v>1</v>
      </c>
      <c r="N1438" s="1793">
        <v>1</v>
      </c>
      <c r="O1438" s="1794">
        <v>2</v>
      </c>
    </row>
    <row r="1439" spans="3:15">
      <c r="C1439" s="1799" t="s">
        <v>5929</v>
      </c>
      <c r="D1439" s="1796">
        <v>1</v>
      </c>
      <c r="E1439" s="1796">
        <v>1</v>
      </c>
      <c r="F1439" s="1797">
        <v>2</v>
      </c>
      <c r="G1439" s="1999" t="s">
        <v>5929</v>
      </c>
      <c r="H1439" s="1794">
        <v>1</v>
      </c>
      <c r="I1439" s="1794">
        <v>1</v>
      </c>
      <c r="J1439" s="2000">
        <v>2</v>
      </c>
      <c r="K1439" s="1798"/>
      <c r="L1439" s="1792">
        <v>13121011424</v>
      </c>
      <c r="M1439" s="1793">
        <v>1</v>
      </c>
      <c r="N1439" s="1793">
        <v>1</v>
      </c>
      <c r="O1439" s="1794">
        <v>2</v>
      </c>
    </row>
    <row r="1440" spans="3:15">
      <c r="C1440" s="1799" t="s">
        <v>5930</v>
      </c>
      <c r="D1440" s="1796">
        <v>1</v>
      </c>
      <c r="E1440" s="1796">
        <v>1</v>
      </c>
      <c r="F1440" s="1797">
        <v>2</v>
      </c>
      <c r="G1440" s="1999" t="s">
        <v>5930</v>
      </c>
      <c r="H1440" s="1794">
        <v>1</v>
      </c>
      <c r="I1440" s="1794">
        <v>1</v>
      </c>
      <c r="J1440" s="2000">
        <v>2</v>
      </c>
      <c r="K1440" s="1798"/>
      <c r="L1440" s="1792">
        <v>13121011425</v>
      </c>
      <c r="M1440" s="1793">
        <v>1</v>
      </c>
      <c r="N1440" s="1793">
        <v>1</v>
      </c>
      <c r="O1440" s="1794">
        <v>2</v>
      </c>
    </row>
    <row r="1441" spans="3:15">
      <c r="C1441" s="1799" t="s">
        <v>5931</v>
      </c>
      <c r="D1441" s="1796">
        <v>1</v>
      </c>
      <c r="E1441" s="1796">
        <v>1</v>
      </c>
      <c r="F1441" s="1797">
        <v>2</v>
      </c>
      <c r="G1441" s="1999" t="s">
        <v>5931</v>
      </c>
      <c r="H1441" s="1794">
        <v>1</v>
      </c>
      <c r="I1441" s="1794">
        <v>1</v>
      </c>
      <c r="J1441" s="2000">
        <v>2</v>
      </c>
      <c r="K1441" s="1798"/>
      <c r="L1441" s="1792">
        <v>13121011426</v>
      </c>
      <c r="M1441" s="1793">
        <v>1</v>
      </c>
      <c r="N1441" s="1793">
        <v>1</v>
      </c>
      <c r="O1441" s="1794">
        <v>2</v>
      </c>
    </row>
    <row r="1442" spans="3:15">
      <c r="C1442" s="1799" t="s">
        <v>5932</v>
      </c>
      <c r="D1442" s="1796">
        <v>1</v>
      </c>
      <c r="E1442" s="1796">
        <v>1</v>
      </c>
      <c r="F1442" s="1797">
        <v>2</v>
      </c>
      <c r="G1442" s="1999" t="s">
        <v>5932</v>
      </c>
      <c r="H1442" s="1794">
        <v>1</v>
      </c>
      <c r="I1442" s="1794">
        <v>1</v>
      </c>
      <c r="J1442" s="2000">
        <v>2</v>
      </c>
      <c r="K1442" s="1798"/>
      <c r="L1442" s="1792">
        <v>13121011427</v>
      </c>
      <c r="M1442" s="1793">
        <v>1</v>
      </c>
      <c r="N1442" s="1793">
        <v>1</v>
      </c>
      <c r="O1442" s="1794">
        <v>2</v>
      </c>
    </row>
    <row r="1443" spans="3:15">
      <c r="C1443" s="1799" t="s">
        <v>5933</v>
      </c>
      <c r="D1443" s="1796">
        <v>1</v>
      </c>
      <c r="E1443" s="1796">
        <v>1</v>
      </c>
      <c r="F1443" s="1797">
        <v>2</v>
      </c>
      <c r="G1443" s="1999" t="s">
        <v>5933</v>
      </c>
      <c r="H1443" s="1794">
        <v>1</v>
      </c>
      <c r="I1443" s="1794">
        <v>1</v>
      </c>
      <c r="J1443" s="2000">
        <v>2</v>
      </c>
      <c r="K1443" s="1798"/>
      <c r="L1443" s="1792">
        <v>13121011503</v>
      </c>
      <c r="M1443" s="1793">
        <v>1</v>
      </c>
      <c r="N1443" s="1793">
        <v>1</v>
      </c>
      <c r="O1443" s="1794">
        <v>2</v>
      </c>
    </row>
    <row r="1444" spans="3:15">
      <c r="C1444" s="1799" t="s">
        <v>5934</v>
      </c>
      <c r="D1444" s="1796">
        <v>1</v>
      </c>
      <c r="E1444" s="1796">
        <v>1</v>
      </c>
      <c r="F1444" s="1797">
        <v>2</v>
      </c>
      <c r="G1444" s="1999" t="s">
        <v>5934</v>
      </c>
      <c r="H1444" s="1794">
        <v>1</v>
      </c>
      <c r="I1444" s="1794" t="s">
        <v>4485</v>
      </c>
      <c r="J1444" s="2000">
        <v>1</v>
      </c>
      <c r="K1444" s="1798"/>
      <c r="L1444" s="1792">
        <v>13121011504</v>
      </c>
      <c r="M1444" s="1793">
        <v>1</v>
      </c>
      <c r="N1444" s="1793">
        <v>1</v>
      </c>
      <c r="O1444" s="1794">
        <v>2</v>
      </c>
    </row>
    <row r="1445" spans="3:15">
      <c r="C1445" s="1799" t="s">
        <v>5935</v>
      </c>
      <c r="D1445" s="1796">
        <v>1</v>
      </c>
      <c r="E1445" s="1796">
        <v>1</v>
      </c>
      <c r="F1445" s="1797">
        <v>2</v>
      </c>
      <c r="G1445" s="1999" t="s">
        <v>5935</v>
      </c>
      <c r="H1445" s="1794">
        <v>1</v>
      </c>
      <c r="I1445" s="1794">
        <v>1</v>
      </c>
      <c r="J1445" s="2000">
        <v>2</v>
      </c>
      <c r="K1445" s="1798"/>
      <c r="L1445" s="1792">
        <v>13121011505</v>
      </c>
      <c r="M1445" s="1793">
        <v>1</v>
      </c>
      <c r="N1445" s="1793">
        <v>1</v>
      </c>
      <c r="O1445" s="1794">
        <v>2</v>
      </c>
    </row>
    <row r="1446" spans="3:15">
      <c r="C1446" s="1799" t="s">
        <v>5936</v>
      </c>
      <c r="D1446" s="1796">
        <v>1</v>
      </c>
      <c r="E1446" s="1796">
        <v>1</v>
      </c>
      <c r="F1446" s="1797">
        <v>2</v>
      </c>
      <c r="G1446" s="1999" t="s">
        <v>5936</v>
      </c>
      <c r="H1446" s="1794">
        <v>1</v>
      </c>
      <c r="I1446" s="1794">
        <v>1</v>
      </c>
      <c r="J1446" s="2000">
        <v>2</v>
      </c>
      <c r="K1446" s="1798"/>
      <c r="L1446" s="1792">
        <v>13121011506</v>
      </c>
      <c r="M1446" s="1793">
        <v>1</v>
      </c>
      <c r="N1446" s="1793">
        <v>1</v>
      </c>
      <c r="O1446" s="1794">
        <v>2</v>
      </c>
    </row>
    <row r="1447" spans="3:15">
      <c r="C1447" s="1799" t="s">
        <v>5937</v>
      </c>
      <c r="D1447" s="1796">
        <v>1</v>
      </c>
      <c r="E1447" s="1796">
        <v>1</v>
      </c>
      <c r="F1447" s="1797">
        <v>2</v>
      </c>
      <c r="G1447" s="1999" t="s">
        <v>5937</v>
      </c>
      <c r="H1447" s="1794">
        <v>1</v>
      </c>
      <c r="I1447" s="1794">
        <v>1</v>
      </c>
      <c r="J1447" s="2000">
        <v>2</v>
      </c>
      <c r="K1447" s="1798"/>
      <c r="L1447" s="1792">
        <v>13121011610</v>
      </c>
      <c r="M1447" s="1793">
        <v>1</v>
      </c>
      <c r="N1447" s="1793">
        <v>1</v>
      </c>
      <c r="O1447" s="1794">
        <v>2</v>
      </c>
    </row>
    <row r="1448" spans="3:15">
      <c r="C1448" s="1799" t="s">
        <v>5938</v>
      </c>
      <c r="D1448" s="1796">
        <v>1</v>
      </c>
      <c r="E1448" s="1796">
        <v>0</v>
      </c>
      <c r="F1448" s="1797">
        <v>1</v>
      </c>
      <c r="G1448" s="1999" t="s">
        <v>5938</v>
      </c>
      <c r="H1448" s="1794">
        <v>1</v>
      </c>
      <c r="I1448" s="1794">
        <v>1</v>
      </c>
      <c r="J1448" s="2000">
        <v>2</v>
      </c>
      <c r="K1448" s="1798"/>
      <c r="L1448" s="1792">
        <v>13121011611</v>
      </c>
      <c r="M1448" s="1793">
        <v>1</v>
      </c>
      <c r="N1448" s="1793">
        <v>1</v>
      </c>
      <c r="O1448" s="1794">
        <v>2</v>
      </c>
    </row>
    <row r="1449" spans="3:15">
      <c r="C1449" s="1799" t="s">
        <v>5939</v>
      </c>
      <c r="D1449" s="1796">
        <v>1</v>
      </c>
      <c r="E1449" s="1796">
        <v>1</v>
      </c>
      <c r="F1449" s="1797">
        <v>2</v>
      </c>
      <c r="G1449" s="1999" t="s">
        <v>5939</v>
      </c>
      <c r="H1449" s="1794">
        <v>1</v>
      </c>
      <c r="I1449" s="1794" t="s">
        <v>4485</v>
      </c>
      <c r="J1449" s="2000">
        <v>1</v>
      </c>
      <c r="K1449" s="1798"/>
      <c r="L1449" s="1792">
        <v>13121011612</v>
      </c>
      <c r="M1449" s="1793">
        <v>1</v>
      </c>
      <c r="N1449" s="1793">
        <v>1</v>
      </c>
      <c r="O1449" s="1794">
        <v>2</v>
      </c>
    </row>
    <row r="1450" spans="3:15">
      <c r="C1450" s="1799" t="s">
        <v>5940</v>
      </c>
      <c r="D1450" s="1796">
        <v>1</v>
      </c>
      <c r="E1450" s="1796">
        <v>1</v>
      </c>
      <c r="F1450" s="1797">
        <v>2</v>
      </c>
      <c r="G1450" s="1999" t="s">
        <v>5940</v>
      </c>
      <c r="H1450" s="1794">
        <v>1</v>
      </c>
      <c r="I1450" s="1794">
        <v>1</v>
      </c>
      <c r="J1450" s="2000">
        <v>2</v>
      </c>
      <c r="K1450" s="1798"/>
      <c r="L1450" s="1792">
        <v>13121011613</v>
      </c>
      <c r="M1450" s="1793">
        <v>1</v>
      </c>
      <c r="N1450" s="1793">
        <v>1</v>
      </c>
      <c r="O1450" s="1794">
        <v>2</v>
      </c>
    </row>
    <row r="1451" spans="3:15">
      <c r="C1451" s="1799" t="s">
        <v>5941</v>
      </c>
      <c r="D1451" s="1796">
        <v>1</v>
      </c>
      <c r="E1451" s="1796">
        <v>1</v>
      </c>
      <c r="F1451" s="1797">
        <v>2</v>
      </c>
      <c r="G1451" s="1999" t="s">
        <v>5941</v>
      </c>
      <c r="H1451" s="1794">
        <v>1</v>
      </c>
      <c r="I1451" s="1794">
        <v>1</v>
      </c>
      <c r="J1451" s="2000">
        <v>2</v>
      </c>
      <c r="K1451" s="1798"/>
      <c r="L1451" s="1792">
        <v>13121011614</v>
      </c>
      <c r="M1451" s="1793">
        <v>1</v>
      </c>
      <c r="N1451" s="1793">
        <v>1</v>
      </c>
      <c r="O1451" s="1794">
        <v>2</v>
      </c>
    </row>
    <row r="1452" spans="3:15">
      <c r="C1452" s="1799" t="s">
        <v>5942</v>
      </c>
      <c r="D1452" s="1796">
        <v>1</v>
      </c>
      <c r="E1452" s="1796">
        <v>1</v>
      </c>
      <c r="F1452" s="1797">
        <v>2</v>
      </c>
      <c r="G1452" s="1999" t="s">
        <v>5942</v>
      </c>
      <c r="H1452" s="1794">
        <v>1</v>
      </c>
      <c r="I1452" s="1794">
        <v>1</v>
      </c>
      <c r="J1452" s="2000">
        <v>2</v>
      </c>
      <c r="K1452" s="1798"/>
      <c r="L1452" s="1792">
        <v>13121011615</v>
      </c>
      <c r="M1452" s="1793">
        <v>1</v>
      </c>
      <c r="N1452" s="1793">
        <v>1</v>
      </c>
      <c r="O1452" s="1794">
        <v>2</v>
      </c>
    </row>
    <row r="1453" spans="3:15">
      <c r="C1453" s="1799" t="s">
        <v>5943</v>
      </c>
      <c r="D1453" s="1796">
        <v>1</v>
      </c>
      <c r="E1453" s="1796">
        <v>1</v>
      </c>
      <c r="F1453" s="1797">
        <v>2</v>
      </c>
      <c r="G1453" s="1999" t="s">
        <v>5943</v>
      </c>
      <c r="H1453" s="1794">
        <v>1</v>
      </c>
      <c r="I1453" s="1794">
        <v>1</v>
      </c>
      <c r="J1453" s="2000">
        <v>2</v>
      </c>
      <c r="K1453" s="1798"/>
      <c r="L1453" s="1792">
        <v>13121011616</v>
      </c>
      <c r="M1453" s="1793">
        <v>1</v>
      </c>
      <c r="N1453" s="1793">
        <v>1</v>
      </c>
      <c r="O1453" s="1794">
        <v>2</v>
      </c>
    </row>
    <row r="1454" spans="3:15">
      <c r="C1454" s="1799" t="s">
        <v>5944</v>
      </c>
      <c r="D1454" s="1796">
        <v>1</v>
      </c>
      <c r="E1454" s="1796">
        <v>1</v>
      </c>
      <c r="F1454" s="1797">
        <v>2</v>
      </c>
      <c r="G1454" s="1999" t="s">
        <v>5944</v>
      </c>
      <c r="H1454" s="1794">
        <v>1</v>
      </c>
      <c r="I1454" s="1794">
        <v>1</v>
      </c>
      <c r="J1454" s="2000">
        <v>2</v>
      </c>
      <c r="K1454" s="1798"/>
      <c r="L1454" s="1792">
        <v>13121011617</v>
      </c>
      <c r="M1454" s="1793">
        <v>1</v>
      </c>
      <c r="N1454" s="1793">
        <v>1</v>
      </c>
      <c r="O1454" s="1794">
        <v>2</v>
      </c>
    </row>
    <row r="1455" spans="3:15">
      <c r="C1455" s="1799" t="s">
        <v>5945</v>
      </c>
      <c r="D1455" s="1796">
        <v>1</v>
      </c>
      <c r="E1455" s="1796">
        <v>1</v>
      </c>
      <c r="F1455" s="1797">
        <v>2</v>
      </c>
      <c r="G1455" s="1999" t="s">
        <v>5945</v>
      </c>
      <c r="H1455" s="1794">
        <v>1</v>
      </c>
      <c r="I1455" s="1794">
        <v>1</v>
      </c>
      <c r="J1455" s="2000">
        <v>2</v>
      </c>
      <c r="K1455" s="1798"/>
      <c r="L1455" s="1792">
        <v>13121011618</v>
      </c>
      <c r="M1455" s="1793">
        <v>1</v>
      </c>
      <c r="N1455" s="1793">
        <v>1</v>
      </c>
      <c r="O1455" s="1794">
        <v>2</v>
      </c>
    </row>
    <row r="1456" spans="3:15">
      <c r="C1456" s="1799" t="s">
        <v>5946</v>
      </c>
      <c r="D1456" s="1796">
        <v>1</v>
      </c>
      <c r="E1456" s="1796">
        <v>1</v>
      </c>
      <c r="F1456" s="1797">
        <v>2</v>
      </c>
      <c r="G1456" s="1999" t="s">
        <v>5946</v>
      </c>
      <c r="H1456" s="1794">
        <v>1</v>
      </c>
      <c r="I1456" s="1794">
        <v>1</v>
      </c>
      <c r="J1456" s="2000">
        <v>2</v>
      </c>
      <c r="K1456" s="1798"/>
      <c r="L1456" s="1792">
        <v>13121011619</v>
      </c>
      <c r="M1456" s="1793">
        <v>1</v>
      </c>
      <c r="N1456" s="1793">
        <v>1</v>
      </c>
      <c r="O1456" s="1794">
        <v>2</v>
      </c>
    </row>
    <row r="1457" spans="3:15">
      <c r="C1457" s="1799" t="s">
        <v>5947</v>
      </c>
      <c r="D1457" s="1796">
        <v>1</v>
      </c>
      <c r="E1457" s="1796">
        <v>1</v>
      </c>
      <c r="F1457" s="1797">
        <v>2</v>
      </c>
      <c r="G1457" s="1999" t="s">
        <v>5947</v>
      </c>
      <c r="H1457" s="1794">
        <v>1</v>
      </c>
      <c r="I1457" s="1794">
        <v>1</v>
      </c>
      <c r="J1457" s="2000">
        <v>2</v>
      </c>
      <c r="K1457" s="1798"/>
      <c r="L1457" s="1792">
        <v>13121011620</v>
      </c>
      <c r="M1457" s="1793">
        <v>1</v>
      </c>
      <c r="N1457" s="1793">
        <v>1</v>
      </c>
      <c r="O1457" s="1794">
        <v>2</v>
      </c>
    </row>
    <row r="1458" spans="3:15">
      <c r="C1458" s="1799" t="s">
        <v>5948</v>
      </c>
      <c r="D1458" s="1796">
        <v>1</v>
      </c>
      <c r="E1458" s="1796">
        <v>1</v>
      </c>
      <c r="F1458" s="1797">
        <v>2</v>
      </c>
      <c r="G1458" s="1999" t="s">
        <v>5948</v>
      </c>
      <c r="H1458" s="1794">
        <v>1</v>
      </c>
      <c r="I1458" s="1794">
        <v>1</v>
      </c>
      <c r="J1458" s="2000">
        <v>2</v>
      </c>
      <c r="K1458" s="1798"/>
      <c r="L1458" s="1792">
        <v>13121011621</v>
      </c>
      <c r="M1458" s="1793">
        <v>1</v>
      </c>
      <c r="N1458" s="1793">
        <v>1</v>
      </c>
      <c r="O1458" s="1794">
        <v>2</v>
      </c>
    </row>
    <row r="1459" spans="3:15">
      <c r="C1459" s="1799" t="s">
        <v>5949</v>
      </c>
      <c r="D1459" s="1796">
        <v>1</v>
      </c>
      <c r="E1459" s="1796">
        <v>1</v>
      </c>
      <c r="F1459" s="1797">
        <v>2</v>
      </c>
      <c r="G1459" s="1999" t="s">
        <v>5949</v>
      </c>
      <c r="H1459" s="1794">
        <v>1</v>
      </c>
      <c r="I1459" s="1794">
        <v>1</v>
      </c>
      <c r="J1459" s="2000">
        <v>2</v>
      </c>
      <c r="K1459" s="1798"/>
      <c r="L1459" s="1792">
        <v>13121011622</v>
      </c>
      <c r="M1459" s="1793">
        <v>1</v>
      </c>
      <c r="N1459" s="1793">
        <v>1</v>
      </c>
      <c r="O1459" s="1794">
        <v>2</v>
      </c>
    </row>
    <row r="1460" spans="3:15">
      <c r="C1460" s="1799" t="s">
        <v>5950</v>
      </c>
      <c r="D1460" s="1796">
        <v>1</v>
      </c>
      <c r="E1460" s="1796">
        <v>1</v>
      </c>
      <c r="F1460" s="1797">
        <v>2</v>
      </c>
      <c r="G1460" s="1999" t="s">
        <v>5950</v>
      </c>
      <c r="H1460" s="1794">
        <v>1</v>
      </c>
      <c r="I1460" s="1794">
        <v>1</v>
      </c>
      <c r="J1460" s="2000">
        <v>2</v>
      </c>
      <c r="K1460" s="1798"/>
      <c r="L1460" s="1792">
        <v>13121011623</v>
      </c>
      <c r="M1460" s="1793">
        <v>1</v>
      </c>
      <c r="N1460" s="1793">
        <v>1</v>
      </c>
      <c r="O1460" s="1794">
        <v>2</v>
      </c>
    </row>
    <row r="1461" spans="3:15">
      <c r="C1461" s="1799" t="s">
        <v>5951</v>
      </c>
      <c r="D1461" s="1796">
        <v>1</v>
      </c>
      <c r="E1461" s="1796">
        <v>1</v>
      </c>
      <c r="F1461" s="1797">
        <v>2</v>
      </c>
      <c r="G1461" s="1999" t="s">
        <v>5951</v>
      </c>
      <c r="H1461" s="1794">
        <v>1</v>
      </c>
      <c r="I1461" s="1794" t="s">
        <v>4485</v>
      </c>
      <c r="J1461" s="2000">
        <v>1</v>
      </c>
      <c r="K1461" s="1798"/>
      <c r="L1461" s="1792">
        <v>13121011624</v>
      </c>
      <c r="M1461" s="1793">
        <v>1</v>
      </c>
      <c r="N1461" s="1793">
        <v>1</v>
      </c>
      <c r="O1461" s="1794">
        <v>2</v>
      </c>
    </row>
    <row r="1462" spans="3:15">
      <c r="C1462" s="1799" t="s">
        <v>5952</v>
      </c>
      <c r="D1462" s="1796">
        <v>1</v>
      </c>
      <c r="E1462" s="1796">
        <v>1</v>
      </c>
      <c r="F1462" s="1797">
        <v>2</v>
      </c>
      <c r="G1462" s="1999" t="s">
        <v>5952</v>
      </c>
      <c r="H1462" s="1794">
        <v>1</v>
      </c>
      <c r="I1462" s="1794">
        <v>1</v>
      </c>
      <c r="J1462" s="2000">
        <v>2</v>
      </c>
      <c r="K1462" s="1798"/>
      <c r="L1462" s="1792">
        <v>13121011625</v>
      </c>
      <c r="M1462" s="1793">
        <v>1</v>
      </c>
      <c r="N1462" s="1793">
        <v>1</v>
      </c>
      <c r="O1462" s="1794">
        <v>2</v>
      </c>
    </row>
    <row r="1463" spans="3:15">
      <c r="C1463" s="1799" t="s">
        <v>5953</v>
      </c>
      <c r="D1463" s="1796">
        <v>1</v>
      </c>
      <c r="E1463" s="1796">
        <v>1</v>
      </c>
      <c r="F1463" s="1797">
        <v>2</v>
      </c>
      <c r="G1463" s="1999" t="s">
        <v>5953</v>
      </c>
      <c r="H1463" s="1794">
        <v>1</v>
      </c>
      <c r="I1463" s="1794">
        <v>1</v>
      </c>
      <c r="J1463" s="2000">
        <v>2</v>
      </c>
      <c r="K1463" s="1798"/>
      <c r="L1463" s="1792">
        <v>13121011626</v>
      </c>
      <c r="M1463" s="1793">
        <v>1</v>
      </c>
      <c r="N1463" s="1793">
        <v>1</v>
      </c>
      <c r="O1463" s="1794">
        <v>2</v>
      </c>
    </row>
    <row r="1464" spans="3:15">
      <c r="C1464" s="1799" t="s">
        <v>5954</v>
      </c>
      <c r="D1464" s="1796">
        <v>0</v>
      </c>
      <c r="E1464" s="1796">
        <v>0</v>
      </c>
      <c r="F1464" s="1797">
        <v>0</v>
      </c>
      <c r="G1464" s="1999" t="s">
        <v>5954</v>
      </c>
      <c r="H1464" s="1794">
        <v>0</v>
      </c>
      <c r="I1464" s="1794">
        <v>0</v>
      </c>
      <c r="J1464" s="2000">
        <v>0</v>
      </c>
      <c r="K1464" s="1798"/>
      <c r="L1464" s="1792">
        <v>13121011800</v>
      </c>
      <c r="M1464" s="1793">
        <v>0</v>
      </c>
      <c r="N1464" s="1793">
        <v>0</v>
      </c>
      <c r="O1464" s="1794">
        <v>0</v>
      </c>
    </row>
    <row r="1465" spans="3:15">
      <c r="C1465" s="1799" t="s">
        <v>5955</v>
      </c>
      <c r="D1465" s="1796">
        <v>0</v>
      </c>
      <c r="E1465" s="1796">
        <v>0</v>
      </c>
      <c r="F1465" s="1797">
        <v>0</v>
      </c>
      <c r="G1465" s="1999" t="s">
        <v>5955</v>
      </c>
      <c r="H1465" s="1794">
        <v>0</v>
      </c>
      <c r="I1465" s="1794" t="s">
        <v>4485</v>
      </c>
      <c r="J1465" s="2000">
        <v>0</v>
      </c>
      <c r="K1465" s="1798"/>
      <c r="L1465" s="1792">
        <v>13121011900</v>
      </c>
      <c r="M1465" s="1793">
        <v>0</v>
      </c>
      <c r="N1465" s="1793">
        <v>0</v>
      </c>
      <c r="O1465" s="1794">
        <v>0</v>
      </c>
    </row>
    <row r="1466" spans="3:15">
      <c r="C1466" s="1799" t="s">
        <v>5956</v>
      </c>
      <c r="D1466" s="1796">
        <v>0</v>
      </c>
      <c r="E1466" s="1796">
        <v>0</v>
      </c>
      <c r="F1466" s="1797">
        <v>0</v>
      </c>
      <c r="G1466" s="1999" t="s">
        <v>5956</v>
      </c>
      <c r="H1466" s="1794">
        <v>0</v>
      </c>
      <c r="I1466" s="1794">
        <v>0</v>
      </c>
      <c r="J1466" s="2000">
        <v>0</v>
      </c>
      <c r="K1466" s="1798"/>
      <c r="L1466" s="1792">
        <v>13121012000</v>
      </c>
      <c r="M1466" s="1793">
        <v>0</v>
      </c>
      <c r="N1466" s="1793">
        <v>0</v>
      </c>
      <c r="O1466" s="1794">
        <v>0</v>
      </c>
    </row>
    <row r="1467" spans="3:15">
      <c r="C1467" s="1799" t="s">
        <v>5957</v>
      </c>
      <c r="D1467" s="1796">
        <v>1</v>
      </c>
      <c r="E1467" s="1796">
        <v>0</v>
      </c>
      <c r="F1467" s="1797">
        <v>1</v>
      </c>
      <c r="G1467" s="1999" t="s">
        <v>5957</v>
      </c>
      <c r="H1467" s="1794">
        <v>1</v>
      </c>
      <c r="I1467" s="1794">
        <v>0</v>
      </c>
      <c r="J1467" s="2000">
        <v>1</v>
      </c>
      <c r="K1467" s="1798"/>
      <c r="L1467" s="1792">
        <v>13121012300</v>
      </c>
      <c r="M1467" s="1793">
        <v>1</v>
      </c>
      <c r="N1467" s="1793">
        <v>0</v>
      </c>
      <c r="O1467" s="1794">
        <v>1</v>
      </c>
    </row>
    <row r="1468" spans="3:15">
      <c r="C1468" s="1799" t="s">
        <v>5958</v>
      </c>
      <c r="D1468" s="1796" t="s">
        <v>4485</v>
      </c>
      <c r="E1468" s="1796" t="s">
        <v>4485</v>
      </c>
      <c r="F1468" s="1797">
        <v>0</v>
      </c>
      <c r="G1468" s="1999" t="s">
        <v>5958</v>
      </c>
      <c r="H1468" s="1794" t="s">
        <v>4485</v>
      </c>
      <c r="I1468" s="1794" t="s">
        <v>4485</v>
      </c>
      <c r="J1468" s="2000">
        <v>0</v>
      </c>
      <c r="K1468" s="1798"/>
      <c r="L1468" s="1792">
        <v>13121980000</v>
      </c>
      <c r="M1468" s="1793">
        <v>0</v>
      </c>
      <c r="N1468" s="1793">
        <v>0</v>
      </c>
      <c r="O1468" s="1794">
        <v>0</v>
      </c>
    </row>
    <row r="1469" spans="3:15">
      <c r="C1469" s="1799" t="s">
        <v>5959</v>
      </c>
      <c r="D1469" s="1796">
        <v>0</v>
      </c>
      <c r="E1469" s="1796">
        <v>0</v>
      </c>
      <c r="F1469" s="1797">
        <v>0</v>
      </c>
      <c r="G1469" s="1999" t="s">
        <v>5959</v>
      </c>
      <c r="H1469" s="1794">
        <v>0</v>
      </c>
      <c r="I1469" s="1794">
        <v>1</v>
      </c>
      <c r="J1469" s="2000">
        <v>1</v>
      </c>
      <c r="K1469" s="1798"/>
      <c r="L1469" s="1792">
        <v>13123080100</v>
      </c>
      <c r="M1469" s="1793">
        <v>0</v>
      </c>
      <c r="N1469" s="1793">
        <v>1</v>
      </c>
      <c r="O1469" s="1794">
        <v>1</v>
      </c>
    </row>
    <row r="1470" spans="3:15">
      <c r="C1470" s="1799" t="s">
        <v>5960</v>
      </c>
      <c r="D1470" s="1796">
        <v>0</v>
      </c>
      <c r="E1470" s="1796">
        <v>0</v>
      </c>
      <c r="F1470" s="1797">
        <v>0</v>
      </c>
      <c r="G1470" s="1999" t="s">
        <v>5960</v>
      </c>
      <c r="H1470" s="1794">
        <v>0</v>
      </c>
      <c r="I1470" s="1794">
        <v>0</v>
      </c>
      <c r="J1470" s="2000">
        <v>0</v>
      </c>
      <c r="K1470" s="1798"/>
      <c r="L1470" s="1792">
        <v>13123080200</v>
      </c>
      <c r="M1470" s="1793">
        <v>0</v>
      </c>
      <c r="N1470" s="1793">
        <v>0</v>
      </c>
      <c r="O1470" s="1794">
        <v>0</v>
      </c>
    </row>
    <row r="1471" spans="3:15">
      <c r="C1471" s="1799" t="s">
        <v>5961</v>
      </c>
      <c r="D1471" s="1796">
        <v>0</v>
      </c>
      <c r="E1471" s="1796">
        <v>0</v>
      </c>
      <c r="F1471" s="1797">
        <v>0</v>
      </c>
      <c r="G1471" s="1999" t="s">
        <v>5961</v>
      </c>
      <c r="H1471" s="1794">
        <v>0</v>
      </c>
      <c r="I1471" s="1794">
        <v>0</v>
      </c>
      <c r="J1471" s="2000">
        <v>0</v>
      </c>
      <c r="K1471" s="1798"/>
      <c r="L1471" s="1792">
        <v>13123080300</v>
      </c>
      <c r="M1471" s="1793">
        <v>0</v>
      </c>
      <c r="N1471" s="1793">
        <v>0</v>
      </c>
      <c r="O1471" s="1794">
        <v>0</v>
      </c>
    </row>
    <row r="1472" spans="3:15">
      <c r="C1472" s="1799" t="s">
        <v>5962</v>
      </c>
      <c r="D1472" s="1796">
        <v>0</v>
      </c>
      <c r="E1472" s="1796">
        <v>0</v>
      </c>
      <c r="F1472" s="1797">
        <v>0</v>
      </c>
      <c r="G1472" s="1999" t="s">
        <v>5962</v>
      </c>
      <c r="H1472" s="1794">
        <v>0</v>
      </c>
      <c r="I1472" s="1794">
        <v>0</v>
      </c>
      <c r="J1472" s="2000">
        <v>0</v>
      </c>
      <c r="K1472" s="1798"/>
      <c r="L1472" s="1792">
        <v>13123080400</v>
      </c>
      <c r="M1472" s="1793">
        <v>0</v>
      </c>
      <c r="N1472" s="1793">
        <v>0</v>
      </c>
      <c r="O1472" s="1794">
        <v>0</v>
      </c>
    </row>
    <row r="1473" spans="3:15">
      <c r="C1473" s="1799" t="s">
        <v>5963</v>
      </c>
      <c r="D1473" s="1796">
        <v>0</v>
      </c>
      <c r="E1473" s="1796">
        <v>0</v>
      </c>
      <c r="F1473" s="1797">
        <v>0</v>
      </c>
      <c r="G1473" s="1999" t="s">
        <v>5963</v>
      </c>
      <c r="H1473" s="1794">
        <v>0</v>
      </c>
      <c r="I1473" s="1794">
        <v>1</v>
      </c>
      <c r="J1473" s="2000">
        <v>1</v>
      </c>
      <c r="K1473" s="1798"/>
      <c r="L1473" s="1792">
        <v>13123080500</v>
      </c>
      <c r="M1473" s="1793">
        <v>0</v>
      </c>
      <c r="N1473" s="1793">
        <v>1</v>
      </c>
      <c r="O1473" s="1794">
        <v>1</v>
      </c>
    </row>
    <row r="1474" spans="3:15">
      <c r="C1474" s="1799" t="s">
        <v>5964</v>
      </c>
      <c r="D1474" s="1796">
        <v>0</v>
      </c>
      <c r="E1474" s="1796">
        <v>0</v>
      </c>
      <c r="F1474" s="1797">
        <v>0</v>
      </c>
      <c r="G1474" s="1999" t="s">
        <v>5964</v>
      </c>
      <c r="H1474" s="1794">
        <v>0</v>
      </c>
      <c r="I1474" s="1794">
        <v>1</v>
      </c>
      <c r="J1474" s="2000">
        <v>1</v>
      </c>
      <c r="K1474" s="1798"/>
      <c r="L1474" s="1792">
        <v>13125010100</v>
      </c>
      <c r="M1474" s="1793">
        <v>0</v>
      </c>
      <c r="N1474" s="1793">
        <v>1</v>
      </c>
      <c r="O1474" s="1794">
        <v>1</v>
      </c>
    </row>
    <row r="1475" spans="3:15">
      <c r="C1475" s="1799" t="s">
        <v>5965</v>
      </c>
      <c r="D1475" s="1796">
        <v>1</v>
      </c>
      <c r="E1475" s="1796">
        <v>1</v>
      </c>
      <c r="F1475" s="1797">
        <v>2</v>
      </c>
      <c r="G1475" s="1999" t="s">
        <v>5965</v>
      </c>
      <c r="H1475" s="1794">
        <v>1</v>
      </c>
      <c r="I1475" s="1794">
        <v>1</v>
      </c>
      <c r="J1475" s="2000">
        <v>2</v>
      </c>
      <c r="K1475" s="1798"/>
      <c r="L1475" s="1792">
        <v>13127000101</v>
      </c>
      <c r="M1475" s="1793">
        <v>1</v>
      </c>
      <c r="N1475" s="1793">
        <v>1</v>
      </c>
      <c r="O1475" s="1794">
        <v>2</v>
      </c>
    </row>
    <row r="1476" spans="3:15">
      <c r="C1476" s="1799" t="s">
        <v>5966</v>
      </c>
      <c r="D1476" s="1796">
        <v>1</v>
      </c>
      <c r="E1476" s="1796">
        <v>1</v>
      </c>
      <c r="F1476" s="1797">
        <v>2</v>
      </c>
      <c r="G1476" s="1999" t="s">
        <v>5966</v>
      </c>
      <c r="H1476" s="1794">
        <v>1</v>
      </c>
      <c r="I1476" s="1794">
        <v>1</v>
      </c>
      <c r="J1476" s="2000">
        <v>2</v>
      </c>
      <c r="K1476" s="1798"/>
      <c r="L1476" s="1792">
        <v>13127000102</v>
      </c>
      <c r="M1476" s="1793">
        <v>1</v>
      </c>
      <c r="N1476" s="1793">
        <v>1</v>
      </c>
      <c r="O1476" s="1794">
        <v>2</v>
      </c>
    </row>
    <row r="1477" spans="3:15">
      <c r="C1477" s="1799" t="s">
        <v>5967</v>
      </c>
      <c r="D1477" s="1796">
        <v>1</v>
      </c>
      <c r="E1477" s="1796">
        <v>1</v>
      </c>
      <c r="F1477" s="1797">
        <v>2</v>
      </c>
      <c r="G1477" s="1999" t="s">
        <v>5967</v>
      </c>
      <c r="H1477" s="1794">
        <v>1</v>
      </c>
      <c r="I1477" s="1794">
        <v>1</v>
      </c>
      <c r="J1477" s="2000">
        <v>2</v>
      </c>
      <c r="K1477" s="1798"/>
      <c r="L1477" s="1792">
        <v>13127000200</v>
      </c>
      <c r="M1477" s="1793">
        <v>1</v>
      </c>
      <c r="N1477" s="1793">
        <v>1</v>
      </c>
      <c r="O1477" s="1794">
        <v>2</v>
      </c>
    </row>
    <row r="1478" spans="3:15">
      <c r="C1478" s="1799" t="s">
        <v>5968</v>
      </c>
      <c r="D1478" s="1796">
        <v>1</v>
      </c>
      <c r="E1478" s="1796">
        <v>1</v>
      </c>
      <c r="F1478" s="1797">
        <v>2</v>
      </c>
      <c r="G1478" s="1999" t="s">
        <v>5968</v>
      </c>
      <c r="H1478" s="1794">
        <v>1</v>
      </c>
      <c r="I1478" s="1794">
        <v>1</v>
      </c>
      <c r="J1478" s="2000">
        <v>2</v>
      </c>
      <c r="K1478" s="1798"/>
      <c r="L1478" s="1792">
        <v>13127000300</v>
      </c>
      <c r="M1478" s="1793">
        <v>1</v>
      </c>
      <c r="N1478" s="1793">
        <v>1</v>
      </c>
      <c r="O1478" s="1794">
        <v>2</v>
      </c>
    </row>
    <row r="1479" spans="3:15">
      <c r="C1479" s="1799" t="s">
        <v>5969</v>
      </c>
      <c r="D1479" s="1796">
        <v>1</v>
      </c>
      <c r="E1479" s="1796">
        <v>0</v>
      </c>
      <c r="F1479" s="1797">
        <v>1</v>
      </c>
      <c r="G1479" s="1999" t="s">
        <v>5969</v>
      </c>
      <c r="H1479" s="1794">
        <v>0</v>
      </c>
      <c r="I1479" s="1794">
        <v>0</v>
      </c>
      <c r="J1479" s="2000">
        <v>0</v>
      </c>
      <c r="K1479" s="1798"/>
      <c r="L1479" s="1792">
        <v>13127000401</v>
      </c>
      <c r="M1479" s="1793">
        <v>1</v>
      </c>
      <c r="N1479" s="1793">
        <v>0</v>
      </c>
      <c r="O1479" s="1794">
        <v>1</v>
      </c>
    </row>
    <row r="1480" spans="3:15">
      <c r="C1480" s="1799" t="s">
        <v>5970</v>
      </c>
      <c r="D1480" s="1796">
        <v>0</v>
      </c>
      <c r="E1480" s="1796">
        <v>1</v>
      </c>
      <c r="F1480" s="1797">
        <v>1</v>
      </c>
      <c r="G1480" s="1999" t="s">
        <v>5970</v>
      </c>
      <c r="H1480" s="1794">
        <v>0</v>
      </c>
      <c r="I1480" s="1794">
        <v>1</v>
      </c>
      <c r="J1480" s="2000">
        <v>1</v>
      </c>
      <c r="K1480" s="1798"/>
      <c r="L1480" s="1792">
        <v>13127000403</v>
      </c>
      <c r="M1480" s="1793">
        <v>0</v>
      </c>
      <c r="N1480" s="1793">
        <v>1</v>
      </c>
      <c r="O1480" s="1794">
        <v>1</v>
      </c>
    </row>
    <row r="1481" spans="3:15">
      <c r="C1481" s="1799" t="s">
        <v>5971</v>
      </c>
      <c r="D1481" s="1796">
        <v>0</v>
      </c>
      <c r="E1481" s="1796">
        <v>1</v>
      </c>
      <c r="F1481" s="1797">
        <v>1</v>
      </c>
      <c r="G1481" s="1999" t="s">
        <v>5971</v>
      </c>
      <c r="H1481" s="1794">
        <v>0</v>
      </c>
      <c r="I1481" s="1794">
        <v>1</v>
      </c>
      <c r="J1481" s="2000">
        <v>1</v>
      </c>
      <c r="K1481" s="1798"/>
      <c r="L1481" s="1792">
        <v>13127000404</v>
      </c>
      <c r="M1481" s="1793">
        <v>0</v>
      </c>
      <c r="N1481" s="1793">
        <v>1</v>
      </c>
      <c r="O1481" s="1794">
        <v>1</v>
      </c>
    </row>
    <row r="1482" spans="3:15">
      <c r="C1482" s="1799" t="s">
        <v>5972</v>
      </c>
      <c r="D1482" s="1796">
        <v>0</v>
      </c>
      <c r="E1482" s="1796">
        <v>0</v>
      </c>
      <c r="F1482" s="1797">
        <v>0</v>
      </c>
      <c r="G1482" s="1999" t="s">
        <v>5972</v>
      </c>
      <c r="H1482" s="1794">
        <v>0</v>
      </c>
      <c r="I1482" s="1794">
        <v>0</v>
      </c>
      <c r="J1482" s="2000">
        <v>0</v>
      </c>
      <c r="K1482" s="1798"/>
      <c r="L1482" s="1792">
        <v>13127000501</v>
      </c>
      <c r="M1482" s="1793">
        <v>0</v>
      </c>
      <c r="N1482" s="1793">
        <v>0</v>
      </c>
      <c r="O1482" s="1794">
        <v>0</v>
      </c>
    </row>
    <row r="1483" spans="3:15">
      <c r="C1483" s="1799" t="s">
        <v>5973</v>
      </c>
      <c r="D1483" s="1796">
        <v>0</v>
      </c>
      <c r="E1483" s="1796">
        <v>0</v>
      </c>
      <c r="F1483" s="1797">
        <v>0</v>
      </c>
      <c r="G1483" s="1999" t="s">
        <v>5973</v>
      </c>
      <c r="H1483" s="1794">
        <v>0</v>
      </c>
      <c r="I1483" s="1794">
        <v>0</v>
      </c>
      <c r="J1483" s="2000">
        <v>0</v>
      </c>
      <c r="K1483" s="1798"/>
      <c r="L1483" s="1792">
        <v>13127000503</v>
      </c>
      <c r="M1483" s="1793">
        <v>0</v>
      </c>
      <c r="N1483" s="1793">
        <v>0</v>
      </c>
      <c r="O1483" s="1794">
        <v>0</v>
      </c>
    </row>
    <row r="1484" spans="3:15">
      <c r="C1484" s="1799" t="s">
        <v>5974</v>
      </c>
      <c r="D1484" s="1796">
        <v>0</v>
      </c>
      <c r="E1484" s="1796">
        <v>0</v>
      </c>
      <c r="F1484" s="1797">
        <v>0</v>
      </c>
      <c r="G1484" s="1999" t="s">
        <v>5974</v>
      </c>
      <c r="H1484" s="1794">
        <v>0</v>
      </c>
      <c r="I1484" s="1794">
        <v>0</v>
      </c>
      <c r="J1484" s="2000">
        <v>0</v>
      </c>
      <c r="K1484" s="1798"/>
      <c r="L1484" s="1792">
        <v>13127000504</v>
      </c>
      <c r="M1484" s="1793">
        <v>0</v>
      </c>
      <c r="N1484" s="1793">
        <v>0</v>
      </c>
      <c r="O1484" s="1794">
        <v>0</v>
      </c>
    </row>
    <row r="1485" spans="3:15">
      <c r="C1485" s="1799" t="s">
        <v>5975</v>
      </c>
      <c r="D1485" s="1796">
        <v>0</v>
      </c>
      <c r="E1485" s="1796">
        <v>0</v>
      </c>
      <c r="F1485" s="1797">
        <v>0</v>
      </c>
      <c r="G1485" s="1999" t="s">
        <v>5975</v>
      </c>
      <c r="H1485" s="1794">
        <v>0</v>
      </c>
      <c r="I1485" s="1794">
        <v>0</v>
      </c>
      <c r="J1485" s="2000">
        <v>0</v>
      </c>
      <c r="K1485" s="1798"/>
      <c r="L1485" s="1792">
        <v>13127000600</v>
      </c>
      <c r="M1485" s="1793">
        <v>0</v>
      </c>
      <c r="N1485" s="1793">
        <v>0</v>
      </c>
      <c r="O1485" s="1794">
        <v>0</v>
      </c>
    </row>
    <row r="1486" spans="3:15">
      <c r="C1486" s="1799" t="s">
        <v>5976</v>
      </c>
      <c r="D1486" s="1796">
        <v>0</v>
      </c>
      <c r="E1486" s="1796">
        <v>0</v>
      </c>
      <c r="F1486" s="1797">
        <v>0</v>
      </c>
      <c r="G1486" s="1999" t="s">
        <v>5976</v>
      </c>
      <c r="H1486" s="1794">
        <v>0</v>
      </c>
      <c r="I1486" s="1794">
        <v>0</v>
      </c>
      <c r="J1486" s="2000">
        <v>0</v>
      </c>
      <c r="K1486" s="1798"/>
      <c r="L1486" s="1792">
        <v>13127000700</v>
      </c>
      <c r="M1486" s="1793">
        <v>0</v>
      </c>
      <c r="N1486" s="1793">
        <v>0</v>
      </c>
      <c r="O1486" s="1794">
        <v>0</v>
      </c>
    </row>
    <row r="1487" spans="3:15">
      <c r="C1487" s="1799" t="s">
        <v>5977</v>
      </c>
      <c r="D1487" s="1796">
        <v>0</v>
      </c>
      <c r="E1487" s="1796">
        <v>0</v>
      </c>
      <c r="F1487" s="1797">
        <v>0</v>
      </c>
      <c r="G1487" s="1999" t="s">
        <v>5977</v>
      </c>
      <c r="H1487" s="1794">
        <v>0</v>
      </c>
      <c r="I1487" s="1794">
        <v>0</v>
      </c>
      <c r="J1487" s="2000">
        <v>0</v>
      </c>
      <c r="K1487" s="1798"/>
      <c r="L1487" s="1792">
        <v>13127000800</v>
      </c>
      <c r="M1487" s="1793">
        <v>0</v>
      </c>
      <c r="N1487" s="1793">
        <v>0</v>
      </c>
      <c r="O1487" s="1794">
        <v>0</v>
      </c>
    </row>
    <row r="1488" spans="3:15">
      <c r="C1488" s="1799" t="s">
        <v>5978</v>
      </c>
      <c r="D1488" s="1796">
        <v>0</v>
      </c>
      <c r="E1488" s="1796">
        <v>0</v>
      </c>
      <c r="F1488" s="1797">
        <v>0</v>
      </c>
      <c r="G1488" s="1999" t="s">
        <v>5978</v>
      </c>
      <c r="H1488" s="1794">
        <v>0</v>
      </c>
      <c r="I1488" s="1794">
        <v>0</v>
      </c>
      <c r="J1488" s="2000">
        <v>0</v>
      </c>
      <c r="K1488" s="1798"/>
      <c r="L1488" s="1792">
        <v>13127000900</v>
      </c>
      <c r="M1488" s="1793">
        <v>0</v>
      </c>
      <c r="N1488" s="1793">
        <v>0</v>
      </c>
      <c r="O1488" s="1794">
        <v>0</v>
      </c>
    </row>
    <row r="1489" spans="3:15">
      <c r="C1489" s="1799" t="s">
        <v>5979</v>
      </c>
      <c r="D1489" s="1796">
        <v>1</v>
      </c>
      <c r="E1489" s="1796">
        <v>1</v>
      </c>
      <c r="F1489" s="1797">
        <v>2</v>
      </c>
      <c r="G1489" s="1999" t="s">
        <v>5979</v>
      </c>
      <c r="H1489" s="1794">
        <v>1</v>
      </c>
      <c r="I1489" s="1794">
        <v>0</v>
      </c>
      <c r="J1489" s="2000">
        <v>1</v>
      </c>
      <c r="K1489" s="1798"/>
      <c r="L1489" s="1792">
        <v>13127001000</v>
      </c>
      <c r="M1489" s="1793">
        <v>1</v>
      </c>
      <c r="N1489" s="1793">
        <v>1</v>
      </c>
      <c r="O1489" s="1794">
        <v>2</v>
      </c>
    </row>
    <row r="1490" spans="3:15">
      <c r="C1490" s="1799" t="s">
        <v>5980</v>
      </c>
      <c r="D1490" s="1796" t="s">
        <v>4485</v>
      </c>
      <c r="E1490" s="1796" t="s">
        <v>4485</v>
      </c>
      <c r="F1490" s="1797">
        <v>0</v>
      </c>
      <c r="G1490" s="1999" t="s">
        <v>5980</v>
      </c>
      <c r="H1490" s="1794" t="s">
        <v>4485</v>
      </c>
      <c r="I1490" s="1794" t="s">
        <v>4485</v>
      </c>
      <c r="J1490" s="2000">
        <v>0</v>
      </c>
      <c r="K1490" s="1798"/>
      <c r="L1490" s="1792">
        <v>13127990000</v>
      </c>
      <c r="M1490" s="1793">
        <v>0</v>
      </c>
      <c r="N1490" s="1793">
        <v>0</v>
      </c>
      <c r="O1490" s="1794">
        <v>0</v>
      </c>
    </row>
    <row r="1491" spans="3:15">
      <c r="C1491" s="1799" t="s">
        <v>5981</v>
      </c>
      <c r="D1491" s="1796">
        <v>0</v>
      </c>
      <c r="E1491" s="1796">
        <v>0</v>
      </c>
      <c r="F1491" s="1797">
        <v>0</v>
      </c>
      <c r="G1491" s="1999" t="s">
        <v>5981</v>
      </c>
      <c r="H1491" s="1794">
        <v>0</v>
      </c>
      <c r="I1491" s="1794">
        <v>0</v>
      </c>
      <c r="J1491" s="2000">
        <v>0</v>
      </c>
      <c r="K1491" s="1798"/>
      <c r="L1491" s="1792">
        <v>13129970100</v>
      </c>
      <c r="M1491" s="1793">
        <v>0</v>
      </c>
      <c r="N1491" s="1793">
        <v>0</v>
      </c>
      <c r="O1491" s="1794">
        <v>0</v>
      </c>
    </row>
    <row r="1492" spans="3:15">
      <c r="C1492" s="1799" t="s">
        <v>5982</v>
      </c>
      <c r="D1492" s="1796">
        <v>0</v>
      </c>
      <c r="E1492" s="1796">
        <v>0</v>
      </c>
      <c r="F1492" s="1797">
        <v>0</v>
      </c>
      <c r="G1492" s="1999" t="s">
        <v>5982</v>
      </c>
      <c r="H1492" s="1794">
        <v>0</v>
      </c>
      <c r="I1492" s="1794">
        <v>0</v>
      </c>
      <c r="J1492" s="2000">
        <v>0</v>
      </c>
      <c r="K1492" s="1798"/>
      <c r="L1492" s="1792">
        <v>13129970200</v>
      </c>
      <c r="M1492" s="1793">
        <v>0</v>
      </c>
      <c r="N1492" s="1793">
        <v>0</v>
      </c>
      <c r="O1492" s="1794">
        <v>0</v>
      </c>
    </row>
    <row r="1493" spans="3:15">
      <c r="C1493" s="1799" t="s">
        <v>5983</v>
      </c>
      <c r="D1493" s="1796">
        <v>0</v>
      </c>
      <c r="E1493" s="1796">
        <v>0</v>
      </c>
      <c r="F1493" s="1797">
        <v>0</v>
      </c>
      <c r="G1493" s="1999" t="s">
        <v>5983</v>
      </c>
      <c r="H1493" s="1794">
        <v>0</v>
      </c>
      <c r="I1493" s="1794">
        <v>0</v>
      </c>
      <c r="J1493" s="2000">
        <v>0</v>
      </c>
      <c r="K1493" s="1798"/>
      <c r="L1493" s="1792">
        <v>13129970300</v>
      </c>
      <c r="M1493" s="1793">
        <v>0</v>
      </c>
      <c r="N1493" s="1793">
        <v>0</v>
      </c>
      <c r="O1493" s="1794">
        <v>0</v>
      </c>
    </row>
    <row r="1494" spans="3:15">
      <c r="C1494" s="1799" t="s">
        <v>5984</v>
      </c>
      <c r="D1494" s="1796">
        <v>0</v>
      </c>
      <c r="E1494" s="1796">
        <v>0</v>
      </c>
      <c r="F1494" s="1797">
        <v>0</v>
      </c>
      <c r="G1494" s="1999" t="s">
        <v>5984</v>
      </c>
      <c r="H1494" s="1794">
        <v>0</v>
      </c>
      <c r="I1494" s="1794">
        <v>0</v>
      </c>
      <c r="J1494" s="2000">
        <v>0</v>
      </c>
      <c r="K1494" s="1798"/>
      <c r="L1494" s="1792">
        <v>13129970400</v>
      </c>
      <c r="M1494" s="1793">
        <v>0</v>
      </c>
      <c r="N1494" s="1793">
        <v>0</v>
      </c>
      <c r="O1494" s="1794">
        <v>0</v>
      </c>
    </row>
    <row r="1495" spans="3:15">
      <c r="C1495" s="1799" t="s">
        <v>5985</v>
      </c>
      <c r="D1495" s="1796">
        <v>0</v>
      </c>
      <c r="E1495" s="1796">
        <v>0</v>
      </c>
      <c r="F1495" s="1797">
        <v>0</v>
      </c>
      <c r="G1495" s="1999" t="s">
        <v>5985</v>
      </c>
      <c r="H1495" s="1794">
        <v>0</v>
      </c>
      <c r="I1495" s="1794">
        <v>0</v>
      </c>
      <c r="J1495" s="2000">
        <v>0</v>
      </c>
      <c r="K1495" s="1798"/>
      <c r="L1495" s="1792">
        <v>13129970500</v>
      </c>
      <c r="M1495" s="1793">
        <v>0</v>
      </c>
      <c r="N1495" s="1793">
        <v>0</v>
      </c>
      <c r="O1495" s="1794">
        <v>0</v>
      </c>
    </row>
    <row r="1496" spans="3:15">
      <c r="C1496" s="1799" t="s">
        <v>5986</v>
      </c>
      <c r="D1496" s="1796">
        <v>0</v>
      </c>
      <c r="E1496" s="1796">
        <v>0</v>
      </c>
      <c r="F1496" s="1797">
        <v>0</v>
      </c>
      <c r="G1496" s="1999" t="s">
        <v>5986</v>
      </c>
      <c r="H1496" s="1794">
        <v>0</v>
      </c>
      <c r="I1496" s="1794">
        <v>0</v>
      </c>
      <c r="J1496" s="2000">
        <v>0</v>
      </c>
      <c r="K1496" s="1798"/>
      <c r="L1496" s="1792">
        <v>13129970600</v>
      </c>
      <c r="M1496" s="1793">
        <v>0</v>
      </c>
      <c r="N1496" s="1793">
        <v>0</v>
      </c>
      <c r="O1496" s="1794">
        <v>0</v>
      </c>
    </row>
    <row r="1497" spans="3:15">
      <c r="C1497" s="1799" t="s">
        <v>5987</v>
      </c>
      <c r="D1497" s="1796">
        <v>0</v>
      </c>
      <c r="E1497" s="1796">
        <v>0</v>
      </c>
      <c r="F1497" s="1797">
        <v>0</v>
      </c>
      <c r="G1497" s="1999" t="s">
        <v>5987</v>
      </c>
      <c r="H1497" s="1794">
        <v>0</v>
      </c>
      <c r="I1497" s="1794">
        <v>0</v>
      </c>
      <c r="J1497" s="2000">
        <v>0</v>
      </c>
      <c r="K1497" s="1798"/>
      <c r="L1497" s="1792">
        <v>13129970700</v>
      </c>
      <c r="M1497" s="1793">
        <v>0</v>
      </c>
      <c r="N1497" s="1793">
        <v>0</v>
      </c>
      <c r="O1497" s="1794">
        <v>0</v>
      </c>
    </row>
    <row r="1498" spans="3:15">
      <c r="C1498" s="1799" t="s">
        <v>5988</v>
      </c>
      <c r="D1498" s="1796">
        <v>1</v>
      </c>
      <c r="E1498" s="1796">
        <v>1</v>
      </c>
      <c r="F1498" s="1797">
        <v>2</v>
      </c>
      <c r="G1498" s="1999" t="s">
        <v>5988</v>
      </c>
      <c r="H1498" s="1794">
        <v>1</v>
      </c>
      <c r="I1498" s="1794">
        <v>1</v>
      </c>
      <c r="J1498" s="2000">
        <v>2</v>
      </c>
      <c r="K1498" s="1798"/>
      <c r="L1498" s="1792">
        <v>13129970800</v>
      </c>
      <c r="M1498" s="1793">
        <v>1</v>
      </c>
      <c r="N1498" s="1793">
        <v>1</v>
      </c>
      <c r="O1498" s="1794">
        <v>2</v>
      </c>
    </row>
    <row r="1499" spans="3:15">
      <c r="C1499" s="1799" t="s">
        <v>5989</v>
      </c>
      <c r="D1499" s="1796">
        <v>1</v>
      </c>
      <c r="E1499" s="1796">
        <v>0</v>
      </c>
      <c r="F1499" s="1797">
        <v>1</v>
      </c>
      <c r="G1499" s="1999" t="s">
        <v>5989</v>
      </c>
      <c r="H1499" s="1794">
        <v>1</v>
      </c>
      <c r="I1499" s="1794">
        <v>1</v>
      </c>
      <c r="J1499" s="2000">
        <v>2</v>
      </c>
      <c r="K1499" s="1798"/>
      <c r="L1499" s="1792">
        <v>13129970900</v>
      </c>
      <c r="M1499" s="1793">
        <v>1</v>
      </c>
      <c r="N1499" s="1793">
        <v>1</v>
      </c>
      <c r="O1499" s="1794">
        <v>2</v>
      </c>
    </row>
    <row r="1500" spans="3:15">
      <c r="C1500" s="1799" t="s">
        <v>5990</v>
      </c>
      <c r="D1500" s="1796">
        <v>0</v>
      </c>
      <c r="E1500" s="1796">
        <v>0</v>
      </c>
      <c r="F1500" s="1797">
        <v>0</v>
      </c>
      <c r="G1500" s="1999" t="s">
        <v>5990</v>
      </c>
      <c r="H1500" s="1794">
        <v>0</v>
      </c>
      <c r="I1500" s="1794">
        <v>1</v>
      </c>
      <c r="J1500" s="2000">
        <v>1</v>
      </c>
      <c r="K1500" s="1798"/>
      <c r="L1500" s="1792">
        <v>13131950100</v>
      </c>
      <c r="M1500" s="1793">
        <v>0</v>
      </c>
      <c r="N1500" s="1793">
        <v>1</v>
      </c>
      <c r="O1500" s="1794">
        <v>1</v>
      </c>
    </row>
    <row r="1501" spans="3:15">
      <c r="C1501" s="1799" t="s">
        <v>5991</v>
      </c>
      <c r="D1501" s="1796">
        <v>0</v>
      </c>
      <c r="E1501" s="1796">
        <v>0</v>
      </c>
      <c r="F1501" s="1797">
        <v>0</v>
      </c>
      <c r="G1501" s="1999" t="s">
        <v>5991</v>
      </c>
      <c r="H1501" s="1794">
        <v>0</v>
      </c>
      <c r="I1501" s="1794">
        <v>0</v>
      </c>
      <c r="J1501" s="2000">
        <v>0</v>
      </c>
      <c r="K1501" s="1798"/>
      <c r="L1501" s="1792">
        <v>13131950200</v>
      </c>
      <c r="M1501" s="1793">
        <v>0</v>
      </c>
      <c r="N1501" s="1793">
        <v>0</v>
      </c>
      <c r="O1501" s="1794">
        <v>0</v>
      </c>
    </row>
    <row r="1502" spans="3:15">
      <c r="C1502" s="1799" t="s">
        <v>5992</v>
      </c>
      <c r="D1502" s="1796">
        <v>0</v>
      </c>
      <c r="E1502" s="1796">
        <v>0</v>
      </c>
      <c r="F1502" s="1797">
        <v>0</v>
      </c>
      <c r="G1502" s="1999" t="s">
        <v>5992</v>
      </c>
      <c r="H1502" s="1794">
        <v>0</v>
      </c>
      <c r="I1502" s="1794">
        <v>0</v>
      </c>
      <c r="J1502" s="2000">
        <v>0</v>
      </c>
      <c r="K1502" s="1798"/>
      <c r="L1502" s="1792">
        <v>13131950300</v>
      </c>
      <c r="M1502" s="1793">
        <v>0</v>
      </c>
      <c r="N1502" s="1793">
        <v>0</v>
      </c>
      <c r="O1502" s="1794">
        <v>0</v>
      </c>
    </row>
    <row r="1503" spans="3:15">
      <c r="C1503" s="1799" t="s">
        <v>5993</v>
      </c>
      <c r="D1503" s="1796">
        <v>0</v>
      </c>
      <c r="E1503" s="1796">
        <v>0</v>
      </c>
      <c r="F1503" s="1797">
        <v>0</v>
      </c>
      <c r="G1503" s="1999" t="s">
        <v>5993</v>
      </c>
      <c r="H1503" s="1794">
        <v>0</v>
      </c>
      <c r="I1503" s="1794">
        <v>0</v>
      </c>
      <c r="J1503" s="2000">
        <v>0</v>
      </c>
      <c r="K1503" s="1798"/>
      <c r="L1503" s="1792">
        <v>13131950400</v>
      </c>
      <c r="M1503" s="1793">
        <v>0</v>
      </c>
      <c r="N1503" s="1793">
        <v>0</v>
      </c>
      <c r="O1503" s="1794">
        <v>0</v>
      </c>
    </row>
    <row r="1504" spans="3:15">
      <c r="C1504" s="1799" t="s">
        <v>5994</v>
      </c>
      <c r="D1504" s="1796">
        <v>0</v>
      </c>
      <c r="E1504" s="1796">
        <v>0</v>
      </c>
      <c r="F1504" s="1797">
        <v>0</v>
      </c>
      <c r="G1504" s="1999" t="s">
        <v>5994</v>
      </c>
      <c r="H1504" s="1794">
        <v>0</v>
      </c>
      <c r="I1504" s="1794">
        <v>0</v>
      </c>
      <c r="J1504" s="2000">
        <v>0</v>
      </c>
      <c r="K1504" s="1798"/>
      <c r="L1504" s="1792">
        <v>13131950500</v>
      </c>
      <c r="M1504" s="1793">
        <v>0</v>
      </c>
      <c r="N1504" s="1793">
        <v>0</v>
      </c>
      <c r="O1504" s="1794">
        <v>0</v>
      </c>
    </row>
    <row r="1505" spans="3:15">
      <c r="C1505" s="1799" t="s">
        <v>5995</v>
      </c>
      <c r="D1505" s="1796">
        <v>1</v>
      </c>
      <c r="E1505" s="1796">
        <v>0</v>
      </c>
      <c r="F1505" s="1797">
        <v>1</v>
      </c>
      <c r="G1505" s="1999" t="s">
        <v>5995</v>
      </c>
      <c r="H1505" s="1794">
        <v>1</v>
      </c>
      <c r="I1505" s="1794">
        <v>1</v>
      </c>
      <c r="J1505" s="2000">
        <v>2</v>
      </c>
      <c r="K1505" s="1798"/>
      <c r="L1505" s="1792">
        <v>13131950600</v>
      </c>
      <c r="M1505" s="1793">
        <v>1</v>
      </c>
      <c r="N1505" s="1793">
        <v>1</v>
      </c>
      <c r="O1505" s="1794">
        <v>2</v>
      </c>
    </row>
    <row r="1506" spans="3:15">
      <c r="C1506" s="1799" t="s">
        <v>5996</v>
      </c>
      <c r="D1506" s="1796">
        <v>0</v>
      </c>
      <c r="E1506" s="1796">
        <v>0</v>
      </c>
      <c r="F1506" s="1797">
        <v>0</v>
      </c>
      <c r="G1506" s="1999" t="s">
        <v>5996</v>
      </c>
      <c r="H1506" s="1794">
        <v>0</v>
      </c>
      <c r="I1506" s="1794" t="s">
        <v>4485</v>
      </c>
      <c r="J1506" s="2000">
        <v>0</v>
      </c>
      <c r="K1506" s="1798"/>
      <c r="L1506" s="1792">
        <v>13133950100</v>
      </c>
      <c r="M1506" s="1793">
        <v>0</v>
      </c>
      <c r="N1506" s="1793">
        <v>0</v>
      </c>
      <c r="O1506" s="1794">
        <v>0</v>
      </c>
    </row>
    <row r="1507" spans="3:15">
      <c r="C1507" s="1799" t="s">
        <v>5997</v>
      </c>
      <c r="D1507" s="1796">
        <v>0</v>
      </c>
      <c r="E1507" s="1796">
        <v>0</v>
      </c>
      <c r="F1507" s="1797">
        <v>0</v>
      </c>
      <c r="G1507" s="1999" t="s">
        <v>5997</v>
      </c>
      <c r="H1507" s="1794">
        <v>0</v>
      </c>
      <c r="I1507" s="1794">
        <v>0</v>
      </c>
      <c r="J1507" s="2000">
        <v>0</v>
      </c>
      <c r="K1507" s="1798"/>
      <c r="L1507" s="1792">
        <v>13133950200</v>
      </c>
      <c r="M1507" s="1793">
        <v>0</v>
      </c>
      <c r="N1507" s="1793">
        <v>0</v>
      </c>
      <c r="O1507" s="1794">
        <v>0</v>
      </c>
    </row>
    <row r="1508" spans="3:15">
      <c r="C1508" s="1799" t="s">
        <v>5998</v>
      </c>
      <c r="D1508" s="1796">
        <v>1</v>
      </c>
      <c r="E1508" s="1796">
        <v>1</v>
      </c>
      <c r="F1508" s="1797">
        <v>2</v>
      </c>
      <c r="G1508" s="1999" t="s">
        <v>5998</v>
      </c>
      <c r="H1508" s="1794">
        <v>1</v>
      </c>
      <c r="I1508" s="1794" t="s">
        <v>4485</v>
      </c>
      <c r="J1508" s="2000">
        <v>1</v>
      </c>
      <c r="K1508" s="1798"/>
      <c r="L1508" s="1792">
        <v>13133950301</v>
      </c>
      <c r="M1508" s="1793">
        <v>1</v>
      </c>
      <c r="N1508" s="1793">
        <v>1</v>
      </c>
      <c r="O1508" s="1794">
        <v>2</v>
      </c>
    </row>
    <row r="1509" spans="3:15">
      <c r="C1509" s="1799" t="s">
        <v>5999</v>
      </c>
      <c r="D1509" s="1796">
        <v>1</v>
      </c>
      <c r="E1509" s="1796">
        <v>1</v>
      </c>
      <c r="F1509" s="1797">
        <v>2</v>
      </c>
      <c r="G1509" s="1999" t="s">
        <v>5999</v>
      </c>
      <c r="H1509" s="1794">
        <v>1</v>
      </c>
      <c r="I1509" s="1794">
        <v>1</v>
      </c>
      <c r="J1509" s="2000">
        <v>2</v>
      </c>
      <c r="K1509" s="1798"/>
      <c r="L1509" s="1792">
        <v>13133950302</v>
      </c>
      <c r="M1509" s="1793">
        <v>1</v>
      </c>
      <c r="N1509" s="1793">
        <v>1</v>
      </c>
      <c r="O1509" s="1794">
        <v>2</v>
      </c>
    </row>
    <row r="1510" spans="3:15">
      <c r="C1510" s="1799" t="s">
        <v>6000</v>
      </c>
      <c r="D1510" s="1796">
        <v>0</v>
      </c>
      <c r="E1510" s="1796">
        <v>0</v>
      </c>
      <c r="F1510" s="1797">
        <v>0</v>
      </c>
      <c r="G1510" s="1999" t="s">
        <v>6000</v>
      </c>
      <c r="H1510" s="1794">
        <v>0</v>
      </c>
      <c r="I1510" s="1794">
        <v>0</v>
      </c>
      <c r="J1510" s="2000">
        <v>0</v>
      </c>
      <c r="K1510" s="1798"/>
      <c r="L1510" s="1792">
        <v>13133950303</v>
      </c>
      <c r="M1510" s="1793">
        <v>0</v>
      </c>
      <c r="N1510" s="1793">
        <v>0</v>
      </c>
      <c r="O1510" s="1794">
        <v>0</v>
      </c>
    </row>
    <row r="1511" spans="3:15">
      <c r="C1511" s="1799" t="s">
        <v>6001</v>
      </c>
      <c r="D1511" s="1796">
        <v>0</v>
      </c>
      <c r="E1511" s="1796">
        <v>0</v>
      </c>
      <c r="F1511" s="1797">
        <v>0</v>
      </c>
      <c r="G1511" s="1999" t="s">
        <v>6001</v>
      </c>
      <c r="H1511" s="1794">
        <v>0</v>
      </c>
      <c r="I1511" s="1794">
        <v>0</v>
      </c>
      <c r="J1511" s="2000">
        <v>0</v>
      </c>
      <c r="K1511" s="1798"/>
      <c r="L1511" s="1792">
        <v>13133950400</v>
      </c>
      <c r="M1511" s="1793">
        <v>0</v>
      </c>
      <c r="N1511" s="1793">
        <v>0</v>
      </c>
      <c r="O1511" s="1794">
        <v>0</v>
      </c>
    </row>
    <row r="1512" spans="3:15">
      <c r="C1512" s="1799" t="s">
        <v>6002</v>
      </c>
      <c r="D1512" s="1796">
        <v>1</v>
      </c>
      <c r="E1512" s="1796">
        <v>0</v>
      </c>
      <c r="F1512" s="1797">
        <v>1</v>
      </c>
      <c r="G1512" s="1999" t="s">
        <v>6002</v>
      </c>
      <c r="H1512" s="1794">
        <v>0</v>
      </c>
      <c r="I1512" s="1794">
        <v>0</v>
      </c>
      <c r="J1512" s="2000">
        <v>0</v>
      </c>
      <c r="K1512" s="1798"/>
      <c r="L1512" s="1792">
        <v>13133950500</v>
      </c>
      <c r="M1512" s="1793">
        <v>1</v>
      </c>
      <c r="N1512" s="1793">
        <v>0</v>
      </c>
      <c r="O1512" s="1794">
        <v>1</v>
      </c>
    </row>
    <row r="1513" spans="3:15">
      <c r="C1513" s="1799" t="s">
        <v>6003</v>
      </c>
      <c r="D1513" s="1796">
        <v>1</v>
      </c>
      <c r="E1513" s="1796">
        <v>1</v>
      </c>
      <c r="F1513" s="1797">
        <v>2</v>
      </c>
      <c r="G1513" s="1999" t="s">
        <v>6003</v>
      </c>
      <c r="H1513" s="1794">
        <v>1</v>
      </c>
      <c r="I1513" s="1794">
        <v>0</v>
      </c>
      <c r="J1513" s="2000">
        <v>1</v>
      </c>
      <c r="K1513" s="1798"/>
      <c r="L1513" s="1792">
        <v>13135050103</v>
      </c>
      <c r="M1513" s="1793">
        <v>1</v>
      </c>
      <c r="N1513" s="1793">
        <v>1</v>
      </c>
      <c r="O1513" s="1794">
        <v>2</v>
      </c>
    </row>
    <row r="1514" spans="3:15">
      <c r="C1514" s="1799" t="s">
        <v>6004</v>
      </c>
      <c r="D1514" s="1796">
        <v>0</v>
      </c>
      <c r="E1514" s="1796">
        <v>0</v>
      </c>
      <c r="F1514" s="1797">
        <v>0</v>
      </c>
      <c r="G1514" s="1999" t="s">
        <v>6004</v>
      </c>
      <c r="H1514" s="1794">
        <v>0</v>
      </c>
      <c r="I1514" s="1794">
        <v>0</v>
      </c>
      <c r="J1514" s="2000">
        <v>0</v>
      </c>
      <c r="K1514" s="1798"/>
      <c r="L1514" s="1792">
        <v>13135050105</v>
      </c>
      <c r="M1514" s="1793">
        <v>0</v>
      </c>
      <c r="N1514" s="1793">
        <v>0</v>
      </c>
      <c r="O1514" s="1794">
        <v>0</v>
      </c>
    </row>
    <row r="1515" spans="3:15">
      <c r="C1515" s="1799" t="s">
        <v>6005</v>
      </c>
      <c r="D1515" s="1796">
        <v>1</v>
      </c>
      <c r="E1515" s="1796">
        <v>0</v>
      </c>
      <c r="F1515" s="1797">
        <v>1</v>
      </c>
      <c r="G1515" s="1999" t="s">
        <v>6005</v>
      </c>
      <c r="H1515" s="1794">
        <v>1</v>
      </c>
      <c r="I1515" s="1794">
        <v>0</v>
      </c>
      <c r="J1515" s="2000">
        <v>1</v>
      </c>
      <c r="K1515" s="1798"/>
      <c r="L1515" s="1792">
        <v>13135050106</v>
      </c>
      <c r="M1515" s="1793">
        <v>1</v>
      </c>
      <c r="N1515" s="1793">
        <v>0</v>
      </c>
      <c r="O1515" s="1794">
        <v>1</v>
      </c>
    </row>
    <row r="1516" spans="3:15">
      <c r="C1516" s="1799" t="s">
        <v>6006</v>
      </c>
      <c r="D1516" s="1796">
        <v>1</v>
      </c>
      <c r="E1516" s="1796">
        <v>1</v>
      </c>
      <c r="F1516" s="1797">
        <v>2</v>
      </c>
      <c r="G1516" s="1999" t="s">
        <v>6006</v>
      </c>
      <c r="H1516" s="1794">
        <v>1</v>
      </c>
      <c r="I1516" s="1794">
        <v>1</v>
      </c>
      <c r="J1516" s="2000">
        <v>2</v>
      </c>
      <c r="K1516" s="1798"/>
      <c r="L1516" s="1792">
        <v>13135050107</v>
      </c>
      <c r="M1516" s="1793">
        <v>1</v>
      </c>
      <c r="N1516" s="1793">
        <v>1</v>
      </c>
      <c r="O1516" s="1794">
        <v>2</v>
      </c>
    </row>
    <row r="1517" spans="3:15">
      <c r="C1517" s="1799" t="s">
        <v>6007</v>
      </c>
      <c r="D1517" s="1796">
        <v>1</v>
      </c>
      <c r="E1517" s="1796">
        <v>1</v>
      </c>
      <c r="F1517" s="1797">
        <v>2</v>
      </c>
      <c r="G1517" s="1999" t="s">
        <v>6007</v>
      </c>
      <c r="H1517" s="1794">
        <v>1</v>
      </c>
      <c r="I1517" s="1794">
        <v>1</v>
      </c>
      <c r="J1517" s="2000">
        <v>2</v>
      </c>
      <c r="K1517" s="1798"/>
      <c r="L1517" s="1792">
        <v>13135050108</v>
      </c>
      <c r="M1517" s="1793">
        <v>1</v>
      </c>
      <c r="N1517" s="1793">
        <v>1</v>
      </c>
      <c r="O1517" s="1794">
        <v>2</v>
      </c>
    </row>
    <row r="1518" spans="3:15">
      <c r="C1518" s="1799" t="s">
        <v>6008</v>
      </c>
      <c r="D1518" s="1796">
        <v>1</v>
      </c>
      <c r="E1518" s="1796">
        <v>1</v>
      </c>
      <c r="F1518" s="1797">
        <v>2</v>
      </c>
      <c r="G1518" s="1999" t="s">
        <v>6008</v>
      </c>
      <c r="H1518" s="1794">
        <v>1</v>
      </c>
      <c r="I1518" s="1794">
        <v>0</v>
      </c>
      <c r="J1518" s="2000">
        <v>1</v>
      </c>
      <c r="K1518" s="1798"/>
      <c r="L1518" s="1792">
        <v>13135050109</v>
      </c>
      <c r="M1518" s="1793">
        <v>1</v>
      </c>
      <c r="N1518" s="1793">
        <v>1</v>
      </c>
      <c r="O1518" s="1794">
        <v>2</v>
      </c>
    </row>
    <row r="1519" spans="3:15">
      <c r="C1519" s="1799" t="s">
        <v>6009</v>
      </c>
      <c r="D1519" s="1796">
        <v>1</v>
      </c>
      <c r="E1519" s="1796">
        <v>0</v>
      </c>
      <c r="F1519" s="1797">
        <v>1</v>
      </c>
      <c r="G1519" s="1999" t="s">
        <v>6009</v>
      </c>
      <c r="H1519" s="1794">
        <v>1</v>
      </c>
      <c r="I1519" s="1794">
        <v>0</v>
      </c>
      <c r="J1519" s="2000">
        <v>1</v>
      </c>
      <c r="K1519" s="1798"/>
      <c r="L1519" s="1792">
        <v>13135050205</v>
      </c>
      <c r="M1519" s="1793">
        <v>1</v>
      </c>
      <c r="N1519" s="1793">
        <v>0</v>
      </c>
      <c r="O1519" s="1794">
        <v>1</v>
      </c>
    </row>
    <row r="1520" spans="3:15">
      <c r="C1520" s="1799" t="s">
        <v>6010</v>
      </c>
      <c r="D1520" s="1796">
        <v>1</v>
      </c>
      <c r="E1520" s="1796">
        <v>1</v>
      </c>
      <c r="F1520" s="1797">
        <v>2</v>
      </c>
      <c r="G1520" s="1999" t="s">
        <v>6010</v>
      </c>
      <c r="H1520" s="1794">
        <v>1</v>
      </c>
      <c r="I1520" s="1794">
        <v>1</v>
      </c>
      <c r="J1520" s="2000">
        <v>2</v>
      </c>
      <c r="K1520" s="1798"/>
      <c r="L1520" s="1792">
        <v>13135050208</v>
      </c>
      <c r="M1520" s="1793">
        <v>1</v>
      </c>
      <c r="N1520" s="1793">
        <v>1</v>
      </c>
      <c r="O1520" s="1794">
        <v>2</v>
      </c>
    </row>
    <row r="1521" spans="3:15">
      <c r="C1521" s="1799" t="s">
        <v>6011</v>
      </c>
      <c r="D1521" s="1796">
        <v>0</v>
      </c>
      <c r="E1521" s="1796">
        <v>0</v>
      </c>
      <c r="F1521" s="1797">
        <v>0</v>
      </c>
      <c r="G1521" s="1999" t="s">
        <v>6011</v>
      </c>
      <c r="H1521" s="1794">
        <v>1</v>
      </c>
      <c r="I1521" s="1794">
        <v>0</v>
      </c>
      <c r="J1521" s="2000">
        <v>1</v>
      </c>
      <c r="K1521" s="1798"/>
      <c r="L1521" s="1792">
        <v>13135050209</v>
      </c>
      <c r="M1521" s="1793">
        <v>1</v>
      </c>
      <c r="N1521" s="1793">
        <v>0</v>
      </c>
      <c r="O1521" s="1794">
        <v>1</v>
      </c>
    </row>
    <row r="1522" spans="3:15">
      <c r="C1522" s="1799" t="s">
        <v>6012</v>
      </c>
      <c r="D1522" s="1796">
        <v>1</v>
      </c>
      <c r="E1522" s="1796">
        <v>1</v>
      </c>
      <c r="F1522" s="1797">
        <v>2</v>
      </c>
      <c r="G1522" s="1999" t="s">
        <v>6012</v>
      </c>
      <c r="H1522" s="1794">
        <v>1</v>
      </c>
      <c r="I1522" s="1794">
        <v>1</v>
      </c>
      <c r="J1522" s="2000">
        <v>2</v>
      </c>
      <c r="K1522" s="1798"/>
      <c r="L1522" s="1792">
        <v>13135050210</v>
      </c>
      <c r="M1522" s="1793">
        <v>1</v>
      </c>
      <c r="N1522" s="1793">
        <v>1</v>
      </c>
      <c r="O1522" s="1794">
        <v>2</v>
      </c>
    </row>
    <row r="1523" spans="3:15">
      <c r="C1523" s="1799" t="s">
        <v>6013</v>
      </c>
      <c r="D1523" s="1796">
        <v>0</v>
      </c>
      <c r="E1523" s="1796">
        <v>0</v>
      </c>
      <c r="F1523" s="1797">
        <v>0</v>
      </c>
      <c r="G1523" s="1999" t="s">
        <v>6013</v>
      </c>
      <c r="H1523" s="1794">
        <v>0</v>
      </c>
      <c r="I1523" s="1794">
        <v>0</v>
      </c>
      <c r="J1523" s="2000">
        <v>0</v>
      </c>
      <c r="K1523" s="1798"/>
      <c r="L1523" s="1792">
        <v>13135050211</v>
      </c>
      <c r="M1523" s="1793">
        <v>0</v>
      </c>
      <c r="N1523" s="1793">
        <v>0</v>
      </c>
      <c r="O1523" s="1794">
        <v>0</v>
      </c>
    </row>
    <row r="1524" spans="3:15">
      <c r="C1524" s="1799" t="s">
        <v>6014</v>
      </c>
      <c r="D1524" s="1796">
        <v>1</v>
      </c>
      <c r="E1524" s="1796">
        <v>1</v>
      </c>
      <c r="F1524" s="1797">
        <v>2</v>
      </c>
      <c r="G1524" s="1999" t="s">
        <v>6014</v>
      </c>
      <c r="H1524" s="1794">
        <v>1</v>
      </c>
      <c r="I1524" s="1794">
        <v>1</v>
      </c>
      <c r="J1524" s="2000">
        <v>2</v>
      </c>
      <c r="K1524" s="1798"/>
      <c r="L1524" s="1792">
        <v>13135050212</v>
      </c>
      <c r="M1524" s="1793">
        <v>1</v>
      </c>
      <c r="N1524" s="1793">
        <v>1</v>
      </c>
      <c r="O1524" s="1794">
        <v>2</v>
      </c>
    </row>
    <row r="1525" spans="3:15">
      <c r="C1525" s="1799" t="s">
        <v>6015</v>
      </c>
      <c r="D1525" s="1796">
        <v>1</v>
      </c>
      <c r="E1525" s="1796">
        <v>1</v>
      </c>
      <c r="F1525" s="1797">
        <v>2</v>
      </c>
      <c r="G1525" s="1999" t="s">
        <v>6015</v>
      </c>
      <c r="H1525" s="1794">
        <v>1</v>
      </c>
      <c r="I1525" s="1794">
        <v>1</v>
      </c>
      <c r="J1525" s="2000">
        <v>2</v>
      </c>
      <c r="K1525" s="1798"/>
      <c r="L1525" s="1792">
        <v>13135050213</v>
      </c>
      <c r="M1525" s="1793">
        <v>1</v>
      </c>
      <c r="N1525" s="1793">
        <v>1</v>
      </c>
      <c r="O1525" s="1794">
        <v>2</v>
      </c>
    </row>
    <row r="1526" spans="3:15">
      <c r="C1526" s="1799" t="s">
        <v>6016</v>
      </c>
      <c r="D1526" s="1796">
        <v>1</v>
      </c>
      <c r="E1526" s="1796">
        <v>1</v>
      </c>
      <c r="F1526" s="1797">
        <v>2</v>
      </c>
      <c r="G1526" s="1999" t="s">
        <v>6016</v>
      </c>
      <c r="H1526" s="1794">
        <v>1</v>
      </c>
      <c r="I1526" s="1794">
        <v>1</v>
      </c>
      <c r="J1526" s="2000">
        <v>2</v>
      </c>
      <c r="K1526" s="1798"/>
      <c r="L1526" s="1792">
        <v>13135050214</v>
      </c>
      <c r="M1526" s="1793">
        <v>1</v>
      </c>
      <c r="N1526" s="1793">
        <v>1</v>
      </c>
      <c r="O1526" s="1794">
        <v>2</v>
      </c>
    </row>
    <row r="1527" spans="3:15">
      <c r="C1527" s="1799" t="s">
        <v>6017</v>
      </c>
      <c r="D1527" s="1796">
        <v>1</v>
      </c>
      <c r="E1527" s="1796">
        <v>1</v>
      </c>
      <c r="F1527" s="1797">
        <v>2</v>
      </c>
      <c r="G1527" s="1999" t="s">
        <v>6017</v>
      </c>
      <c r="H1527" s="1794">
        <v>1</v>
      </c>
      <c r="I1527" s="1794" t="s">
        <v>4485</v>
      </c>
      <c r="J1527" s="2000">
        <v>1</v>
      </c>
      <c r="K1527" s="1798"/>
      <c r="L1527" s="1792">
        <v>13135050215</v>
      </c>
      <c r="M1527" s="1793">
        <v>1</v>
      </c>
      <c r="N1527" s="1793">
        <v>1</v>
      </c>
      <c r="O1527" s="1794">
        <v>2</v>
      </c>
    </row>
    <row r="1528" spans="3:15">
      <c r="C1528" s="1799" t="s">
        <v>6018</v>
      </c>
      <c r="D1528" s="1796">
        <v>1</v>
      </c>
      <c r="E1528" s="1796">
        <v>1</v>
      </c>
      <c r="F1528" s="1797">
        <v>2</v>
      </c>
      <c r="G1528" s="1999" t="s">
        <v>6018</v>
      </c>
      <c r="H1528" s="1794">
        <v>1</v>
      </c>
      <c r="I1528" s="1794">
        <v>1</v>
      </c>
      <c r="J1528" s="2000">
        <v>2</v>
      </c>
      <c r="K1528" s="1798"/>
      <c r="L1528" s="1792">
        <v>13135050216</v>
      </c>
      <c r="M1528" s="1793">
        <v>1</v>
      </c>
      <c r="N1528" s="1793">
        <v>1</v>
      </c>
      <c r="O1528" s="1794">
        <v>2</v>
      </c>
    </row>
    <row r="1529" spans="3:15">
      <c r="C1529" s="1799" t="s">
        <v>6019</v>
      </c>
      <c r="D1529" s="1796">
        <v>1</v>
      </c>
      <c r="E1529" s="1796">
        <v>1</v>
      </c>
      <c r="F1529" s="1797">
        <v>2</v>
      </c>
      <c r="G1529" s="1999" t="s">
        <v>6019</v>
      </c>
      <c r="H1529" s="1794">
        <v>1</v>
      </c>
      <c r="I1529" s="1794">
        <v>1</v>
      </c>
      <c r="J1529" s="2000">
        <v>2</v>
      </c>
      <c r="K1529" s="1798"/>
      <c r="L1529" s="1792">
        <v>13135050217</v>
      </c>
      <c r="M1529" s="1793">
        <v>1</v>
      </c>
      <c r="N1529" s="1793">
        <v>1</v>
      </c>
      <c r="O1529" s="1794">
        <v>2</v>
      </c>
    </row>
    <row r="1530" spans="3:15">
      <c r="C1530" s="1799" t="s">
        <v>6020</v>
      </c>
      <c r="D1530" s="1796">
        <v>1</v>
      </c>
      <c r="E1530" s="1796">
        <v>1</v>
      </c>
      <c r="F1530" s="1797">
        <v>2</v>
      </c>
      <c r="G1530" s="1999" t="s">
        <v>6020</v>
      </c>
      <c r="H1530" s="1794">
        <v>1</v>
      </c>
      <c r="I1530" s="1794">
        <v>0</v>
      </c>
      <c r="J1530" s="2000">
        <v>1</v>
      </c>
      <c r="K1530" s="1798"/>
      <c r="L1530" s="1792">
        <v>13135050218</v>
      </c>
      <c r="M1530" s="1793">
        <v>1</v>
      </c>
      <c r="N1530" s="1793">
        <v>1</v>
      </c>
      <c r="O1530" s="1794">
        <v>2</v>
      </c>
    </row>
    <row r="1531" spans="3:15">
      <c r="C1531" s="1799" t="s">
        <v>6021</v>
      </c>
      <c r="D1531" s="1796">
        <v>1</v>
      </c>
      <c r="E1531" s="1796">
        <v>1</v>
      </c>
      <c r="F1531" s="1797">
        <v>2</v>
      </c>
      <c r="G1531" s="1999" t="s">
        <v>6021</v>
      </c>
      <c r="H1531" s="1794">
        <v>1</v>
      </c>
      <c r="I1531" s="1794">
        <v>1</v>
      </c>
      <c r="J1531" s="2000">
        <v>2</v>
      </c>
      <c r="K1531" s="1798"/>
      <c r="L1531" s="1792">
        <v>13135050219</v>
      </c>
      <c r="M1531" s="1793">
        <v>1</v>
      </c>
      <c r="N1531" s="1793">
        <v>1</v>
      </c>
      <c r="O1531" s="1794">
        <v>2</v>
      </c>
    </row>
    <row r="1532" spans="3:15">
      <c r="C1532" s="1799" t="s">
        <v>6022</v>
      </c>
      <c r="D1532" s="1796">
        <v>0</v>
      </c>
      <c r="E1532" s="1796">
        <v>0</v>
      </c>
      <c r="F1532" s="1797">
        <v>0</v>
      </c>
      <c r="G1532" s="1999" t="s">
        <v>6022</v>
      </c>
      <c r="H1532" s="1794">
        <v>1</v>
      </c>
      <c r="I1532" s="1794">
        <v>0</v>
      </c>
      <c r="J1532" s="2000">
        <v>1</v>
      </c>
      <c r="K1532" s="1798"/>
      <c r="L1532" s="1792">
        <v>13135050220</v>
      </c>
      <c r="M1532" s="1793">
        <v>1</v>
      </c>
      <c r="N1532" s="1793">
        <v>0</v>
      </c>
      <c r="O1532" s="1794">
        <v>1</v>
      </c>
    </row>
    <row r="1533" spans="3:15">
      <c r="C1533" s="1799" t="s">
        <v>6023</v>
      </c>
      <c r="D1533" s="1796">
        <v>1</v>
      </c>
      <c r="E1533" s="1796">
        <v>0</v>
      </c>
      <c r="F1533" s="1797">
        <v>1</v>
      </c>
      <c r="G1533" s="1999" t="s">
        <v>6023</v>
      </c>
      <c r="H1533" s="1794">
        <v>1</v>
      </c>
      <c r="I1533" s="1794">
        <v>0</v>
      </c>
      <c r="J1533" s="2000">
        <v>1</v>
      </c>
      <c r="K1533" s="1798"/>
      <c r="L1533" s="1792">
        <v>13135050304</v>
      </c>
      <c r="M1533" s="1793">
        <v>1</v>
      </c>
      <c r="N1533" s="1793">
        <v>0</v>
      </c>
      <c r="O1533" s="1794">
        <v>1</v>
      </c>
    </row>
    <row r="1534" spans="3:15">
      <c r="C1534" s="1799" t="s">
        <v>6024</v>
      </c>
      <c r="D1534" s="1796">
        <v>0</v>
      </c>
      <c r="E1534" s="1796">
        <v>0</v>
      </c>
      <c r="F1534" s="1797">
        <v>0</v>
      </c>
      <c r="G1534" s="1999" t="s">
        <v>6024</v>
      </c>
      <c r="H1534" s="1794">
        <v>1</v>
      </c>
      <c r="I1534" s="1794">
        <v>0</v>
      </c>
      <c r="J1534" s="2000">
        <v>1</v>
      </c>
      <c r="K1534" s="1798"/>
      <c r="L1534" s="1792">
        <v>13135050306</v>
      </c>
      <c r="M1534" s="1793">
        <v>1</v>
      </c>
      <c r="N1534" s="1793">
        <v>0</v>
      </c>
      <c r="O1534" s="1794">
        <v>1</v>
      </c>
    </row>
    <row r="1535" spans="3:15">
      <c r="C1535" s="1799" t="s">
        <v>6025</v>
      </c>
      <c r="D1535" s="1796">
        <v>1</v>
      </c>
      <c r="E1535" s="1796">
        <v>1</v>
      </c>
      <c r="F1535" s="1797">
        <v>2</v>
      </c>
      <c r="G1535" s="1999" t="s">
        <v>6025</v>
      </c>
      <c r="H1535" s="1794">
        <v>1</v>
      </c>
      <c r="I1535" s="1794">
        <v>1</v>
      </c>
      <c r="J1535" s="2000">
        <v>2</v>
      </c>
      <c r="K1535" s="1798"/>
      <c r="L1535" s="1792">
        <v>13135050308</v>
      </c>
      <c r="M1535" s="1793">
        <v>1</v>
      </c>
      <c r="N1535" s="1793">
        <v>1</v>
      </c>
      <c r="O1535" s="1794">
        <v>2</v>
      </c>
    </row>
    <row r="1536" spans="3:15">
      <c r="C1536" s="1799" t="s">
        <v>6026</v>
      </c>
      <c r="D1536" s="1796">
        <v>1</v>
      </c>
      <c r="E1536" s="1796">
        <v>1</v>
      </c>
      <c r="F1536" s="1797">
        <v>2</v>
      </c>
      <c r="G1536" s="1999" t="s">
        <v>6026</v>
      </c>
      <c r="H1536" s="1794">
        <v>1</v>
      </c>
      <c r="I1536" s="1794">
        <v>1</v>
      </c>
      <c r="J1536" s="2000">
        <v>2</v>
      </c>
      <c r="K1536" s="1798"/>
      <c r="L1536" s="1792">
        <v>13135050309</v>
      </c>
      <c r="M1536" s="1793">
        <v>1</v>
      </c>
      <c r="N1536" s="1793">
        <v>1</v>
      </c>
      <c r="O1536" s="1794">
        <v>2</v>
      </c>
    </row>
    <row r="1537" spans="3:15">
      <c r="C1537" s="1799" t="s">
        <v>6027</v>
      </c>
      <c r="D1537" s="1796">
        <v>1</v>
      </c>
      <c r="E1537" s="1796">
        <v>1</v>
      </c>
      <c r="F1537" s="1797">
        <v>2</v>
      </c>
      <c r="G1537" s="1999" t="s">
        <v>6027</v>
      </c>
      <c r="H1537" s="1794">
        <v>1</v>
      </c>
      <c r="I1537" s="1794">
        <v>1</v>
      </c>
      <c r="J1537" s="2000">
        <v>2</v>
      </c>
      <c r="K1537" s="1798"/>
      <c r="L1537" s="1792">
        <v>13135050310</v>
      </c>
      <c r="M1537" s="1793">
        <v>1</v>
      </c>
      <c r="N1537" s="1793">
        <v>1</v>
      </c>
      <c r="O1537" s="1794">
        <v>2</v>
      </c>
    </row>
    <row r="1538" spans="3:15">
      <c r="C1538" s="1799" t="s">
        <v>6028</v>
      </c>
      <c r="D1538" s="1796">
        <v>1</v>
      </c>
      <c r="E1538" s="1796">
        <v>1</v>
      </c>
      <c r="F1538" s="1797">
        <v>2</v>
      </c>
      <c r="G1538" s="1999" t="s">
        <v>6028</v>
      </c>
      <c r="H1538" s="1794">
        <v>1</v>
      </c>
      <c r="I1538" s="1794">
        <v>0</v>
      </c>
      <c r="J1538" s="2000">
        <v>1</v>
      </c>
      <c r="K1538" s="1798"/>
      <c r="L1538" s="1792">
        <v>13135050311</v>
      </c>
      <c r="M1538" s="1793">
        <v>1</v>
      </c>
      <c r="N1538" s="1793">
        <v>1</v>
      </c>
      <c r="O1538" s="1794">
        <v>2</v>
      </c>
    </row>
    <row r="1539" spans="3:15">
      <c r="C1539" s="1799" t="s">
        <v>6029</v>
      </c>
      <c r="D1539" s="1796">
        <v>0</v>
      </c>
      <c r="E1539" s="1796">
        <v>0</v>
      </c>
      <c r="F1539" s="1797">
        <v>0</v>
      </c>
      <c r="G1539" s="1999" t="s">
        <v>6029</v>
      </c>
      <c r="H1539" s="1794">
        <v>0</v>
      </c>
      <c r="I1539" s="1794">
        <v>0</v>
      </c>
      <c r="J1539" s="2000">
        <v>0</v>
      </c>
      <c r="K1539" s="1798"/>
      <c r="L1539" s="1792">
        <v>13135050313</v>
      </c>
      <c r="M1539" s="1793">
        <v>0</v>
      </c>
      <c r="N1539" s="1793">
        <v>0</v>
      </c>
      <c r="O1539" s="1794">
        <v>0</v>
      </c>
    </row>
    <row r="1540" spans="3:15">
      <c r="C1540" s="1799" t="s">
        <v>6030</v>
      </c>
      <c r="D1540" s="1796">
        <v>1</v>
      </c>
      <c r="E1540" s="1796">
        <v>0</v>
      </c>
      <c r="F1540" s="1797">
        <v>1</v>
      </c>
      <c r="G1540" s="1999" t="s">
        <v>6030</v>
      </c>
      <c r="H1540" s="1794">
        <v>1</v>
      </c>
      <c r="I1540" s="1794">
        <v>0</v>
      </c>
      <c r="J1540" s="2000">
        <v>1</v>
      </c>
      <c r="K1540" s="1798"/>
      <c r="L1540" s="1792">
        <v>13135050314</v>
      </c>
      <c r="M1540" s="1793">
        <v>1</v>
      </c>
      <c r="N1540" s="1793">
        <v>0</v>
      </c>
      <c r="O1540" s="1794">
        <v>1</v>
      </c>
    </row>
    <row r="1541" spans="3:15">
      <c r="C1541" s="1799" t="s">
        <v>6031</v>
      </c>
      <c r="D1541" s="1796">
        <v>1</v>
      </c>
      <c r="E1541" s="1796">
        <v>0</v>
      </c>
      <c r="F1541" s="1797">
        <v>1</v>
      </c>
      <c r="G1541" s="1999" t="s">
        <v>6031</v>
      </c>
      <c r="H1541" s="1794">
        <v>1</v>
      </c>
      <c r="I1541" s="1794">
        <v>0</v>
      </c>
      <c r="J1541" s="2000">
        <v>1</v>
      </c>
      <c r="K1541" s="1798"/>
      <c r="L1541" s="1792">
        <v>13135050315</v>
      </c>
      <c r="M1541" s="1793">
        <v>1</v>
      </c>
      <c r="N1541" s="1793">
        <v>0</v>
      </c>
      <c r="O1541" s="1794">
        <v>1</v>
      </c>
    </row>
    <row r="1542" spans="3:15">
      <c r="C1542" s="1799" t="s">
        <v>6032</v>
      </c>
      <c r="D1542" s="1796">
        <v>0</v>
      </c>
      <c r="E1542" s="1796">
        <v>0</v>
      </c>
      <c r="F1542" s="1797">
        <v>0</v>
      </c>
      <c r="G1542" s="1999" t="s">
        <v>6032</v>
      </c>
      <c r="H1542" s="1794">
        <v>1</v>
      </c>
      <c r="I1542" s="1794" t="s">
        <v>4485</v>
      </c>
      <c r="J1542" s="2000">
        <v>1</v>
      </c>
      <c r="K1542" s="1798"/>
      <c r="L1542" s="1792">
        <v>13135050317</v>
      </c>
      <c r="M1542" s="1793">
        <v>1</v>
      </c>
      <c r="N1542" s="1793">
        <v>0</v>
      </c>
      <c r="O1542" s="1794">
        <v>1</v>
      </c>
    </row>
    <row r="1543" spans="3:15">
      <c r="C1543" s="1799" t="s">
        <v>6033</v>
      </c>
      <c r="D1543" s="1796">
        <v>1</v>
      </c>
      <c r="E1543" s="1796">
        <v>0</v>
      </c>
      <c r="F1543" s="1797">
        <v>1</v>
      </c>
      <c r="G1543" s="1999" t="s">
        <v>6033</v>
      </c>
      <c r="H1543" s="1794">
        <v>1</v>
      </c>
      <c r="I1543" s="1794" t="s">
        <v>4485</v>
      </c>
      <c r="J1543" s="2000">
        <v>1</v>
      </c>
      <c r="K1543" s="1798"/>
      <c r="L1543" s="1792">
        <v>13135050318</v>
      </c>
      <c r="M1543" s="1793">
        <v>1</v>
      </c>
      <c r="N1543" s="1793">
        <v>0</v>
      </c>
      <c r="O1543" s="1794">
        <v>1</v>
      </c>
    </row>
    <row r="1544" spans="3:15">
      <c r="C1544" s="1799" t="s">
        <v>6034</v>
      </c>
      <c r="D1544" s="1796">
        <v>0</v>
      </c>
      <c r="E1544" s="1796">
        <v>0</v>
      </c>
      <c r="F1544" s="1797">
        <v>0</v>
      </c>
      <c r="G1544" s="1999" t="s">
        <v>6034</v>
      </c>
      <c r="H1544" s="1794">
        <v>0</v>
      </c>
      <c r="I1544" s="1794" t="s">
        <v>4485</v>
      </c>
      <c r="J1544" s="2000">
        <v>0</v>
      </c>
      <c r="K1544" s="1798"/>
      <c r="L1544" s="1792">
        <v>13135050319</v>
      </c>
      <c r="M1544" s="1793">
        <v>0</v>
      </c>
      <c r="N1544" s="1793">
        <v>0</v>
      </c>
      <c r="O1544" s="1794">
        <v>0</v>
      </c>
    </row>
    <row r="1545" spans="3:15">
      <c r="C1545" s="1799" t="s">
        <v>6035</v>
      </c>
      <c r="D1545" s="1796">
        <v>0</v>
      </c>
      <c r="E1545" s="1796">
        <v>0</v>
      </c>
      <c r="F1545" s="1797">
        <v>0</v>
      </c>
      <c r="G1545" s="1999" t="s">
        <v>6035</v>
      </c>
      <c r="H1545" s="1794">
        <v>0</v>
      </c>
      <c r="I1545" s="1794" t="s">
        <v>4485</v>
      </c>
      <c r="J1545" s="2000">
        <v>0</v>
      </c>
      <c r="K1545" s="1798"/>
      <c r="L1545" s="1792">
        <v>13135050320</v>
      </c>
      <c r="M1545" s="1793">
        <v>0</v>
      </c>
      <c r="N1545" s="1793">
        <v>0</v>
      </c>
      <c r="O1545" s="1794">
        <v>0</v>
      </c>
    </row>
    <row r="1546" spans="3:15">
      <c r="C1546" s="1799" t="s">
        <v>6036</v>
      </c>
      <c r="D1546" s="1796">
        <v>1</v>
      </c>
      <c r="E1546" s="1796">
        <v>1</v>
      </c>
      <c r="F1546" s="1797">
        <v>2</v>
      </c>
      <c r="G1546" s="1999" t="s">
        <v>6036</v>
      </c>
      <c r="H1546" s="1794">
        <v>1</v>
      </c>
      <c r="I1546" s="1794">
        <v>1</v>
      </c>
      <c r="J1546" s="2000">
        <v>2</v>
      </c>
      <c r="K1546" s="1798"/>
      <c r="L1546" s="1792">
        <v>13135050321</v>
      </c>
      <c r="M1546" s="1793">
        <v>1</v>
      </c>
      <c r="N1546" s="1793">
        <v>1</v>
      </c>
      <c r="O1546" s="1794">
        <v>2</v>
      </c>
    </row>
    <row r="1547" spans="3:15">
      <c r="C1547" s="1799" t="s">
        <v>6037</v>
      </c>
      <c r="D1547" s="1796">
        <v>1</v>
      </c>
      <c r="E1547" s="1796">
        <v>1</v>
      </c>
      <c r="F1547" s="1797">
        <v>2</v>
      </c>
      <c r="G1547" s="1999" t="s">
        <v>6037</v>
      </c>
      <c r="H1547" s="1794">
        <v>1</v>
      </c>
      <c r="I1547" s="1794">
        <v>1</v>
      </c>
      <c r="J1547" s="2000">
        <v>2</v>
      </c>
      <c r="K1547" s="1798"/>
      <c r="L1547" s="1792">
        <v>13135050322</v>
      </c>
      <c r="M1547" s="1793">
        <v>1</v>
      </c>
      <c r="N1547" s="1793">
        <v>1</v>
      </c>
      <c r="O1547" s="1794">
        <v>2</v>
      </c>
    </row>
    <row r="1548" spans="3:15">
      <c r="C1548" s="1799" t="s">
        <v>6038</v>
      </c>
      <c r="D1548" s="1796">
        <v>0</v>
      </c>
      <c r="E1548" s="1796">
        <v>0</v>
      </c>
      <c r="F1548" s="1797">
        <v>0</v>
      </c>
      <c r="G1548" s="1999" t="s">
        <v>6038</v>
      </c>
      <c r="H1548" s="1794">
        <v>1</v>
      </c>
      <c r="I1548" s="1794">
        <v>0</v>
      </c>
      <c r="J1548" s="2000">
        <v>1</v>
      </c>
      <c r="K1548" s="1798"/>
      <c r="L1548" s="1792">
        <v>13135050410</v>
      </c>
      <c r="M1548" s="1793">
        <v>1</v>
      </c>
      <c r="N1548" s="1793">
        <v>0</v>
      </c>
      <c r="O1548" s="1794">
        <v>1</v>
      </c>
    </row>
    <row r="1549" spans="3:15">
      <c r="C1549" s="1799" t="s">
        <v>6039</v>
      </c>
      <c r="D1549" s="1796">
        <v>1</v>
      </c>
      <c r="E1549" s="1796">
        <v>1</v>
      </c>
      <c r="F1549" s="1797">
        <v>2</v>
      </c>
      <c r="G1549" s="1999" t="s">
        <v>6039</v>
      </c>
      <c r="H1549" s="1794">
        <v>1</v>
      </c>
      <c r="I1549" s="1794">
        <v>1</v>
      </c>
      <c r="J1549" s="2000">
        <v>2</v>
      </c>
      <c r="K1549" s="1798"/>
      <c r="L1549" s="1792">
        <v>13135050415</v>
      </c>
      <c r="M1549" s="1793">
        <v>1</v>
      </c>
      <c r="N1549" s="1793">
        <v>1</v>
      </c>
      <c r="O1549" s="1794">
        <v>2</v>
      </c>
    </row>
    <row r="1550" spans="3:15">
      <c r="C1550" s="1799" t="s">
        <v>6040</v>
      </c>
      <c r="D1550" s="1796">
        <v>0</v>
      </c>
      <c r="E1550" s="1796">
        <v>0</v>
      </c>
      <c r="F1550" s="1797">
        <v>0</v>
      </c>
      <c r="G1550" s="1999" t="s">
        <v>6040</v>
      </c>
      <c r="H1550" s="1794">
        <v>0</v>
      </c>
      <c r="I1550" s="1794">
        <v>0</v>
      </c>
      <c r="J1550" s="2000">
        <v>0</v>
      </c>
      <c r="K1550" s="1798"/>
      <c r="L1550" s="1792">
        <v>13135050416</v>
      </c>
      <c r="M1550" s="1793">
        <v>0</v>
      </c>
      <c r="N1550" s="1793">
        <v>0</v>
      </c>
      <c r="O1550" s="1794">
        <v>0</v>
      </c>
    </row>
    <row r="1551" spans="3:15">
      <c r="C1551" s="1799" t="s">
        <v>6041</v>
      </c>
      <c r="D1551" s="1796">
        <v>0</v>
      </c>
      <c r="E1551" s="1796">
        <v>0</v>
      </c>
      <c r="F1551" s="1797">
        <v>0</v>
      </c>
      <c r="G1551" s="1999" t="s">
        <v>6041</v>
      </c>
      <c r="H1551" s="1794">
        <v>0</v>
      </c>
      <c r="I1551" s="1794" t="s">
        <v>4485</v>
      </c>
      <c r="J1551" s="2000">
        <v>0</v>
      </c>
      <c r="K1551" s="1798"/>
      <c r="L1551" s="1792">
        <v>13135050417</v>
      </c>
      <c r="M1551" s="1793">
        <v>0</v>
      </c>
      <c r="N1551" s="1793">
        <v>0</v>
      </c>
      <c r="O1551" s="1794">
        <v>0</v>
      </c>
    </row>
    <row r="1552" spans="3:15">
      <c r="C1552" s="1799" t="s">
        <v>6042</v>
      </c>
      <c r="D1552" s="1796">
        <v>0</v>
      </c>
      <c r="E1552" s="1796">
        <v>0</v>
      </c>
      <c r="F1552" s="1797">
        <v>0</v>
      </c>
      <c r="G1552" s="1999" t="s">
        <v>6042</v>
      </c>
      <c r="H1552" s="1794">
        <v>0</v>
      </c>
      <c r="I1552" s="1794">
        <v>0</v>
      </c>
      <c r="J1552" s="2000">
        <v>0</v>
      </c>
      <c r="K1552" s="1798"/>
      <c r="L1552" s="1792">
        <v>13135050418</v>
      </c>
      <c r="M1552" s="1793">
        <v>0</v>
      </c>
      <c r="N1552" s="1793">
        <v>0</v>
      </c>
      <c r="O1552" s="1794">
        <v>0</v>
      </c>
    </row>
    <row r="1553" spans="3:15">
      <c r="C1553" s="1799" t="s">
        <v>6043</v>
      </c>
      <c r="D1553" s="1796">
        <v>0</v>
      </c>
      <c r="E1553" s="1796">
        <v>0</v>
      </c>
      <c r="F1553" s="1797">
        <v>0</v>
      </c>
      <c r="G1553" s="1999" t="s">
        <v>6043</v>
      </c>
      <c r="H1553" s="1794">
        <v>0</v>
      </c>
      <c r="I1553" s="1794" t="s">
        <v>4485</v>
      </c>
      <c r="J1553" s="2000">
        <v>0</v>
      </c>
      <c r="K1553" s="1798"/>
      <c r="L1553" s="1792">
        <v>13135050419</v>
      </c>
      <c r="M1553" s="1793">
        <v>0</v>
      </c>
      <c r="N1553" s="1793">
        <v>0</v>
      </c>
      <c r="O1553" s="1794">
        <v>0</v>
      </c>
    </row>
    <row r="1554" spans="3:15">
      <c r="C1554" s="1799" t="s">
        <v>6044</v>
      </c>
      <c r="D1554" s="1796">
        <v>0</v>
      </c>
      <c r="E1554" s="1796">
        <v>0</v>
      </c>
      <c r="F1554" s="1797">
        <v>0</v>
      </c>
      <c r="G1554" s="1999" t="s">
        <v>6044</v>
      </c>
      <c r="H1554" s="1794">
        <v>0</v>
      </c>
      <c r="I1554" s="1794">
        <v>0</v>
      </c>
      <c r="J1554" s="2000">
        <v>0</v>
      </c>
      <c r="K1554" s="1798"/>
      <c r="L1554" s="1792">
        <v>13135050421</v>
      </c>
      <c r="M1554" s="1793">
        <v>0</v>
      </c>
      <c r="N1554" s="1793">
        <v>0</v>
      </c>
      <c r="O1554" s="1794">
        <v>0</v>
      </c>
    </row>
    <row r="1555" spans="3:15">
      <c r="C1555" s="1799" t="s">
        <v>6045</v>
      </c>
      <c r="D1555" s="1796">
        <v>0</v>
      </c>
      <c r="E1555" s="1796">
        <v>0</v>
      </c>
      <c r="F1555" s="1797">
        <v>0</v>
      </c>
      <c r="G1555" s="1999" t="s">
        <v>6045</v>
      </c>
      <c r="H1555" s="1794">
        <v>0</v>
      </c>
      <c r="I1555" s="1794">
        <v>0</v>
      </c>
      <c r="J1555" s="2000">
        <v>0</v>
      </c>
      <c r="K1555" s="1798"/>
      <c r="L1555" s="1792">
        <v>13135050422</v>
      </c>
      <c r="M1555" s="1793">
        <v>0</v>
      </c>
      <c r="N1555" s="1793">
        <v>0</v>
      </c>
      <c r="O1555" s="1794">
        <v>0</v>
      </c>
    </row>
    <row r="1556" spans="3:15">
      <c r="C1556" s="1799" t="s">
        <v>6046</v>
      </c>
      <c r="D1556" s="1796">
        <v>0</v>
      </c>
      <c r="E1556" s="1796">
        <v>0</v>
      </c>
      <c r="F1556" s="1797">
        <v>0</v>
      </c>
      <c r="G1556" s="1999" t="s">
        <v>6046</v>
      </c>
      <c r="H1556" s="1794">
        <v>0</v>
      </c>
      <c r="I1556" s="1794" t="s">
        <v>4485</v>
      </c>
      <c r="J1556" s="2000">
        <v>0</v>
      </c>
      <c r="K1556" s="1798"/>
      <c r="L1556" s="1792">
        <v>13135050423</v>
      </c>
      <c r="M1556" s="1793">
        <v>0</v>
      </c>
      <c r="N1556" s="1793">
        <v>0</v>
      </c>
      <c r="O1556" s="1794">
        <v>0</v>
      </c>
    </row>
    <row r="1557" spans="3:15">
      <c r="C1557" s="1799" t="s">
        <v>6047</v>
      </c>
      <c r="D1557" s="1796">
        <v>0</v>
      </c>
      <c r="E1557" s="1796">
        <v>0</v>
      </c>
      <c r="F1557" s="1797">
        <v>0</v>
      </c>
      <c r="G1557" s="1999" t="s">
        <v>6047</v>
      </c>
      <c r="H1557" s="1794">
        <v>0</v>
      </c>
      <c r="I1557" s="1794" t="s">
        <v>4485</v>
      </c>
      <c r="J1557" s="2000">
        <v>0</v>
      </c>
      <c r="K1557" s="1798"/>
      <c r="L1557" s="1792">
        <v>13135050424</v>
      </c>
      <c r="M1557" s="1793">
        <v>0</v>
      </c>
      <c r="N1557" s="1793">
        <v>0</v>
      </c>
      <c r="O1557" s="1794">
        <v>0</v>
      </c>
    </row>
    <row r="1558" spans="3:15">
      <c r="C1558" s="1799" t="s">
        <v>6048</v>
      </c>
      <c r="D1558" s="1796">
        <v>1</v>
      </c>
      <c r="E1558" s="1796">
        <v>1</v>
      </c>
      <c r="F1558" s="1797">
        <v>2</v>
      </c>
      <c r="G1558" s="1999" t="s">
        <v>6048</v>
      </c>
      <c r="H1558" s="1794">
        <v>1</v>
      </c>
      <c r="I1558" s="1794">
        <v>1</v>
      </c>
      <c r="J1558" s="2000">
        <v>2</v>
      </c>
      <c r="K1558" s="1798"/>
      <c r="L1558" s="1792">
        <v>13135050425</v>
      </c>
      <c r="M1558" s="1793">
        <v>1</v>
      </c>
      <c r="N1558" s="1793">
        <v>1</v>
      </c>
      <c r="O1558" s="1794">
        <v>2</v>
      </c>
    </row>
    <row r="1559" spans="3:15">
      <c r="C1559" s="1799" t="s">
        <v>6049</v>
      </c>
      <c r="D1559" s="1796">
        <v>1</v>
      </c>
      <c r="E1559" s="1796">
        <v>1</v>
      </c>
      <c r="F1559" s="1797">
        <v>2</v>
      </c>
      <c r="G1559" s="1999" t="s">
        <v>6049</v>
      </c>
      <c r="H1559" s="1794">
        <v>1</v>
      </c>
      <c r="I1559" s="1794">
        <v>1</v>
      </c>
      <c r="J1559" s="2000">
        <v>2</v>
      </c>
      <c r="K1559" s="1798"/>
      <c r="L1559" s="1792">
        <v>13135050426</v>
      </c>
      <c r="M1559" s="1793">
        <v>1</v>
      </c>
      <c r="N1559" s="1793">
        <v>1</v>
      </c>
      <c r="O1559" s="1794">
        <v>2</v>
      </c>
    </row>
    <row r="1560" spans="3:15">
      <c r="C1560" s="1799" t="s">
        <v>6050</v>
      </c>
      <c r="D1560" s="1796">
        <v>1</v>
      </c>
      <c r="E1560" s="1796">
        <v>1</v>
      </c>
      <c r="F1560" s="1797">
        <v>2</v>
      </c>
      <c r="G1560" s="1999" t="s">
        <v>6050</v>
      </c>
      <c r="H1560" s="1794">
        <v>1</v>
      </c>
      <c r="I1560" s="1794">
        <v>1</v>
      </c>
      <c r="J1560" s="2000">
        <v>2</v>
      </c>
      <c r="K1560" s="1798"/>
      <c r="L1560" s="1792">
        <v>13135050427</v>
      </c>
      <c r="M1560" s="1793">
        <v>1</v>
      </c>
      <c r="N1560" s="1793">
        <v>1</v>
      </c>
      <c r="O1560" s="1794">
        <v>2</v>
      </c>
    </row>
    <row r="1561" spans="3:15">
      <c r="C1561" s="1799" t="s">
        <v>6051</v>
      </c>
      <c r="D1561" s="1796">
        <v>1</v>
      </c>
      <c r="E1561" s="1796">
        <v>1</v>
      </c>
      <c r="F1561" s="1797">
        <v>2</v>
      </c>
      <c r="G1561" s="1999" t="s">
        <v>6051</v>
      </c>
      <c r="H1561" s="1794">
        <v>1</v>
      </c>
      <c r="I1561" s="1794">
        <v>1</v>
      </c>
      <c r="J1561" s="2000">
        <v>2</v>
      </c>
      <c r="K1561" s="1798"/>
      <c r="L1561" s="1792">
        <v>13135050428</v>
      </c>
      <c r="M1561" s="1793">
        <v>1</v>
      </c>
      <c r="N1561" s="1793">
        <v>1</v>
      </c>
      <c r="O1561" s="1794">
        <v>2</v>
      </c>
    </row>
    <row r="1562" spans="3:15">
      <c r="C1562" s="1799" t="s">
        <v>6052</v>
      </c>
      <c r="D1562" s="1796">
        <v>1</v>
      </c>
      <c r="E1562" s="1796">
        <v>1</v>
      </c>
      <c r="F1562" s="1797">
        <v>2</v>
      </c>
      <c r="G1562" s="1999" t="s">
        <v>6052</v>
      </c>
      <c r="H1562" s="1794">
        <v>1</v>
      </c>
      <c r="I1562" s="1794">
        <v>1</v>
      </c>
      <c r="J1562" s="2000">
        <v>2</v>
      </c>
      <c r="K1562" s="1798"/>
      <c r="L1562" s="1792">
        <v>13135050429</v>
      </c>
      <c r="M1562" s="1793">
        <v>1</v>
      </c>
      <c r="N1562" s="1793">
        <v>1</v>
      </c>
      <c r="O1562" s="1794">
        <v>2</v>
      </c>
    </row>
    <row r="1563" spans="3:15">
      <c r="C1563" s="1799" t="s">
        <v>6053</v>
      </c>
      <c r="D1563" s="1796">
        <v>1</v>
      </c>
      <c r="E1563" s="1796">
        <v>1</v>
      </c>
      <c r="F1563" s="1797">
        <v>2</v>
      </c>
      <c r="G1563" s="1999" t="s">
        <v>6053</v>
      </c>
      <c r="H1563" s="1794">
        <v>1</v>
      </c>
      <c r="I1563" s="1794">
        <v>0</v>
      </c>
      <c r="J1563" s="2000">
        <v>1</v>
      </c>
      <c r="K1563" s="1798"/>
      <c r="L1563" s="1792">
        <v>13135050430</v>
      </c>
      <c r="M1563" s="1793">
        <v>1</v>
      </c>
      <c r="N1563" s="1793">
        <v>1</v>
      </c>
      <c r="O1563" s="1794">
        <v>2</v>
      </c>
    </row>
    <row r="1564" spans="3:15">
      <c r="C1564" s="1799" t="s">
        <v>6054</v>
      </c>
      <c r="D1564" s="1796">
        <v>0</v>
      </c>
      <c r="E1564" s="1796">
        <v>0</v>
      </c>
      <c r="F1564" s="1797">
        <v>0</v>
      </c>
      <c r="G1564" s="1999" t="s">
        <v>6054</v>
      </c>
      <c r="H1564" s="1794">
        <v>0</v>
      </c>
      <c r="I1564" s="1794">
        <v>0</v>
      </c>
      <c r="J1564" s="2000">
        <v>0</v>
      </c>
      <c r="K1564" s="1798"/>
      <c r="L1564" s="1792">
        <v>13135050431</v>
      </c>
      <c r="M1564" s="1793">
        <v>0</v>
      </c>
      <c r="N1564" s="1793">
        <v>0</v>
      </c>
      <c r="O1564" s="1794">
        <v>0</v>
      </c>
    </row>
    <row r="1565" spans="3:15">
      <c r="C1565" s="1799" t="s">
        <v>6055</v>
      </c>
      <c r="D1565" s="1796">
        <v>1</v>
      </c>
      <c r="E1565" s="1796">
        <v>1</v>
      </c>
      <c r="F1565" s="1797">
        <v>2</v>
      </c>
      <c r="G1565" s="1999" t="s">
        <v>6055</v>
      </c>
      <c r="H1565" s="1794">
        <v>1</v>
      </c>
      <c r="I1565" s="1794" t="s">
        <v>4485</v>
      </c>
      <c r="J1565" s="2000">
        <v>1</v>
      </c>
      <c r="K1565" s="1798"/>
      <c r="L1565" s="1792">
        <v>13135050432</v>
      </c>
      <c r="M1565" s="1793">
        <v>1</v>
      </c>
      <c r="N1565" s="1793">
        <v>1</v>
      </c>
      <c r="O1565" s="1794">
        <v>2</v>
      </c>
    </row>
    <row r="1566" spans="3:15">
      <c r="C1566" s="1799" t="s">
        <v>6056</v>
      </c>
      <c r="D1566" s="1796">
        <v>0</v>
      </c>
      <c r="E1566" s="1796">
        <v>0</v>
      </c>
      <c r="F1566" s="1797">
        <v>0</v>
      </c>
      <c r="G1566" s="1999" t="s">
        <v>6056</v>
      </c>
      <c r="H1566" s="1794">
        <v>1</v>
      </c>
      <c r="I1566" s="1794">
        <v>0</v>
      </c>
      <c r="J1566" s="2000">
        <v>1</v>
      </c>
      <c r="K1566" s="1798"/>
      <c r="L1566" s="1792">
        <v>13135050433</v>
      </c>
      <c r="M1566" s="1793">
        <v>1</v>
      </c>
      <c r="N1566" s="1793">
        <v>0</v>
      </c>
      <c r="O1566" s="1794">
        <v>1</v>
      </c>
    </row>
    <row r="1567" spans="3:15">
      <c r="C1567" s="1799" t="s">
        <v>6057</v>
      </c>
      <c r="D1567" s="1796">
        <v>0</v>
      </c>
      <c r="E1567" s="1796">
        <v>0</v>
      </c>
      <c r="F1567" s="1797">
        <v>0</v>
      </c>
      <c r="G1567" s="1999" t="s">
        <v>6057</v>
      </c>
      <c r="H1567" s="1794">
        <v>1</v>
      </c>
      <c r="I1567" s="1794">
        <v>0</v>
      </c>
      <c r="J1567" s="2000">
        <v>1</v>
      </c>
      <c r="K1567" s="1798"/>
      <c r="L1567" s="1792">
        <v>13135050434</v>
      </c>
      <c r="M1567" s="1793">
        <v>1</v>
      </c>
      <c r="N1567" s="1793">
        <v>0</v>
      </c>
      <c r="O1567" s="1794">
        <v>1</v>
      </c>
    </row>
    <row r="1568" spans="3:15">
      <c r="C1568" s="1799" t="s">
        <v>6058</v>
      </c>
      <c r="D1568" s="1796">
        <v>1</v>
      </c>
      <c r="E1568" s="1796">
        <v>0</v>
      </c>
      <c r="F1568" s="1797">
        <v>1</v>
      </c>
      <c r="G1568" s="1999" t="s">
        <v>6058</v>
      </c>
      <c r="H1568" s="1794">
        <v>0</v>
      </c>
      <c r="I1568" s="1794">
        <v>0</v>
      </c>
      <c r="J1568" s="2000">
        <v>0</v>
      </c>
      <c r="K1568" s="1798"/>
      <c r="L1568" s="1792">
        <v>13135050435</v>
      </c>
      <c r="M1568" s="1793">
        <v>1</v>
      </c>
      <c r="N1568" s="1793">
        <v>0</v>
      </c>
      <c r="O1568" s="1794">
        <v>1</v>
      </c>
    </row>
    <row r="1569" spans="3:15">
      <c r="C1569" s="1799" t="s">
        <v>6059</v>
      </c>
      <c r="D1569" s="1796">
        <v>0</v>
      </c>
      <c r="E1569" s="1796">
        <v>0</v>
      </c>
      <c r="F1569" s="1797">
        <v>0</v>
      </c>
      <c r="G1569" s="1999" t="s">
        <v>6059</v>
      </c>
      <c r="H1569" s="1794">
        <v>0</v>
      </c>
      <c r="I1569" s="1794">
        <v>0</v>
      </c>
      <c r="J1569" s="2000">
        <v>0</v>
      </c>
      <c r="K1569" s="1798"/>
      <c r="L1569" s="1792">
        <v>13135050436</v>
      </c>
      <c r="M1569" s="1793">
        <v>0</v>
      </c>
      <c r="N1569" s="1793">
        <v>0</v>
      </c>
      <c r="O1569" s="1794">
        <v>0</v>
      </c>
    </row>
    <row r="1570" spans="3:15">
      <c r="C1570" s="1799" t="s">
        <v>6060</v>
      </c>
      <c r="D1570" s="1796">
        <v>1</v>
      </c>
      <c r="E1570" s="1796">
        <v>0</v>
      </c>
      <c r="F1570" s="1797">
        <v>1</v>
      </c>
      <c r="G1570" s="1999" t="s">
        <v>6060</v>
      </c>
      <c r="H1570" s="1794">
        <v>0</v>
      </c>
      <c r="I1570" s="1794">
        <v>0</v>
      </c>
      <c r="J1570" s="2000">
        <v>0</v>
      </c>
      <c r="K1570" s="1798"/>
      <c r="L1570" s="1792">
        <v>13135050511</v>
      </c>
      <c r="M1570" s="1793">
        <v>1</v>
      </c>
      <c r="N1570" s="1793">
        <v>0</v>
      </c>
      <c r="O1570" s="1794">
        <v>1</v>
      </c>
    </row>
    <row r="1571" spans="3:15">
      <c r="C1571" s="1799" t="s">
        <v>6061</v>
      </c>
      <c r="D1571" s="1796">
        <v>0</v>
      </c>
      <c r="E1571" s="1796">
        <v>0</v>
      </c>
      <c r="F1571" s="1797">
        <v>0</v>
      </c>
      <c r="G1571" s="1999" t="s">
        <v>6061</v>
      </c>
      <c r="H1571" s="1794">
        <v>0</v>
      </c>
      <c r="I1571" s="1794">
        <v>0</v>
      </c>
      <c r="J1571" s="2000">
        <v>0</v>
      </c>
      <c r="K1571" s="1798"/>
      <c r="L1571" s="1792">
        <v>13135050520</v>
      </c>
      <c r="M1571" s="1793">
        <v>0</v>
      </c>
      <c r="N1571" s="1793">
        <v>0</v>
      </c>
      <c r="O1571" s="1794">
        <v>0</v>
      </c>
    </row>
    <row r="1572" spans="3:15">
      <c r="C1572" s="1799" t="s">
        <v>6062</v>
      </c>
      <c r="D1572" s="1796">
        <v>0</v>
      </c>
      <c r="E1572" s="1796">
        <v>0</v>
      </c>
      <c r="F1572" s="1797">
        <v>0</v>
      </c>
      <c r="G1572" s="1999" t="s">
        <v>6062</v>
      </c>
      <c r="H1572" s="1794">
        <v>0</v>
      </c>
      <c r="I1572" s="1794">
        <v>0</v>
      </c>
      <c r="J1572" s="2000">
        <v>0</v>
      </c>
      <c r="K1572" s="1798"/>
      <c r="L1572" s="1792">
        <v>13135050521</v>
      </c>
      <c r="M1572" s="1793">
        <v>0</v>
      </c>
      <c r="N1572" s="1793">
        <v>0</v>
      </c>
      <c r="O1572" s="1794">
        <v>0</v>
      </c>
    </row>
    <row r="1573" spans="3:15">
      <c r="C1573" s="1799" t="s">
        <v>6063</v>
      </c>
      <c r="D1573" s="1796">
        <v>0</v>
      </c>
      <c r="E1573" s="1796">
        <v>0</v>
      </c>
      <c r="F1573" s="1797">
        <v>0</v>
      </c>
      <c r="G1573" s="1999" t="s">
        <v>6063</v>
      </c>
      <c r="H1573" s="1794">
        <v>0</v>
      </c>
      <c r="I1573" s="1794">
        <v>0</v>
      </c>
      <c r="J1573" s="2000">
        <v>0</v>
      </c>
      <c r="K1573" s="1798"/>
      <c r="L1573" s="1792">
        <v>13135050522</v>
      </c>
      <c r="M1573" s="1793">
        <v>0</v>
      </c>
      <c r="N1573" s="1793">
        <v>0</v>
      </c>
      <c r="O1573" s="1794">
        <v>0</v>
      </c>
    </row>
    <row r="1574" spans="3:15">
      <c r="C1574" s="1799" t="s">
        <v>6064</v>
      </c>
      <c r="D1574" s="1796">
        <v>1</v>
      </c>
      <c r="E1574" s="1796">
        <v>1</v>
      </c>
      <c r="F1574" s="1797">
        <v>2</v>
      </c>
      <c r="G1574" s="1999" t="s">
        <v>6064</v>
      </c>
      <c r="H1574" s="1794">
        <v>0</v>
      </c>
      <c r="I1574" s="1794" t="s">
        <v>4485</v>
      </c>
      <c r="J1574" s="2000">
        <v>0</v>
      </c>
      <c r="K1574" s="1798"/>
      <c r="L1574" s="1792">
        <v>13135050523</v>
      </c>
      <c r="M1574" s="1793">
        <v>1</v>
      </c>
      <c r="N1574" s="1793">
        <v>1</v>
      </c>
      <c r="O1574" s="1794">
        <v>2</v>
      </c>
    </row>
    <row r="1575" spans="3:15">
      <c r="C1575" s="1799" t="s">
        <v>6065</v>
      </c>
      <c r="D1575" s="1796">
        <v>0</v>
      </c>
      <c r="E1575" s="1796">
        <v>0</v>
      </c>
      <c r="F1575" s="1797">
        <v>0</v>
      </c>
      <c r="G1575" s="1999" t="s">
        <v>6065</v>
      </c>
      <c r="H1575" s="1794">
        <v>0</v>
      </c>
      <c r="I1575" s="1794">
        <v>0</v>
      </c>
      <c r="J1575" s="2000">
        <v>0</v>
      </c>
      <c r="K1575" s="1798"/>
      <c r="L1575" s="1792">
        <v>13135050524</v>
      </c>
      <c r="M1575" s="1793">
        <v>0</v>
      </c>
      <c r="N1575" s="1793">
        <v>0</v>
      </c>
      <c r="O1575" s="1794">
        <v>0</v>
      </c>
    </row>
    <row r="1576" spans="3:15">
      <c r="C1576" s="1799" t="s">
        <v>6066</v>
      </c>
      <c r="D1576" s="1796">
        <v>1</v>
      </c>
      <c r="E1576" s="1796">
        <v>1</v>
      </c>
      <c r="F1576" s="1797">
        <v>2</v>
      </c>
      <c r="G1576" s="1999" t="s">
        <v>6066</v>
      </c>
      <c r="H1576" s="1794">
        <v>1</v>
      </c>
      <c r="I1576" s="1794">
        <v>1</v>
      </c>
      <c r="J1576" s="2000">
        <v>2</v>
      </c>
      <c r="K1576" s="1798"/>
      <c r="L1576" s="1792">
        <v>13135050525</v>
      </c>
      <c r="M1576" s="1793">
        <v>1</v>
      </c>
      <c r="N1576" s="1793">
        <v>1</v>
      </c>
      <c r="O1576" s="1794">
        <v>2</v>
      </c>
    </row>
    <row r="1577" spans="3:15">
      <c r="C1577" s="1799" t="s">
        <v>6067</v>
      </c>
      <c r="D1577" s="1796">
        <v>0</v>
      </c>
      <c r="E1577" s="1796">
        <v>0</v>
      </c>
      <c r="F1577" s="1797">
        <v>0</v>
      </c>
      <c r="G1577" s="1999" t="s">
        <v>6067</v>
      </c>
      <c r="H1577" s="1794">
        <v>1</v>
      </c>
      <c r="I1577" s="1794">
        <v>0</v>
      </c>
      <c r="J1577" s="2000">
        <v>1</v>
      </c>
      <c r="K1577" s="1798"/>
      <c r="L1577" s="1792">
        <v>13135050526</v>
      </c>
      <c r="M1577" s="1793">
        <v>1</v>
      </c>
      <c r="N1577" s="1793">
        <v>0</v>
      </c>
      <c r="O1577" s="1794">
        <v>1</v>
      </c>
    </row>
    <row r="1578" spans="3:15">
      <c r="C1578" s="1799" t="s">
        <v>6068</v>
      </c>
      <c r="D1578" s="1796">
        <v>1</v>
      </c>
      <c r="E1578" s="1796">
        <v>1</v>
      </c>
      <c r="F1578" s="1797">
        <v>2</v>
      </c>
      <c r="G1578" s="1999" t="s">
        <v>6068</v>
      </c>
      <c r="H1578" s="1794">
        <v>1</v>
      </c>
      <c r="I1578" s="1794">
        <v>1</v>
      </c>
      <c r="J1578" s="2000">
        <v>2</v>
      </c>
      <c r="K1578" s="1798"/>
      <c r="L1578" s="1792">
        <v>13135050527</v>
      </c>
      <c r="M1578" s="1793">
        <v>1</v>
      </c>
      <c r="N1578" s="1793">
        <v>1</v>
      </c>
      <c r="O1578" s="1794">
        <v>2</v>
      </c>
    </row>
    <row r="1579" spans="3:15">
      <c r="C1579" s="1799" t="s">
        <v>6069</v>
      </c>
      <c r="D1579" s="1796">
        <v>1</v>
      </c>
      <c r="E1579" s="1796">
        <v>1</v>
      </c>
      <c r="F1579" s="1797">
        <v>2</v>
      </c>
      <c r="G1579" s="1999" t="s">
        <v>6069</v>
      </c>
      <c r="H1579" s="1794">
        <v>1</v>
      </c>
      <c r="I1579" s="1794">
        <v>1</v>
      </c>
      <c r="J1579" s="2000">
        <v>2</v>
      </c>
      <c r="K1579" s="1798"/>
      <c r="L1579" s="1792">
        <v>13135050528</v>
      </c>
      <c r="M1579" s="1793">
        <v>1</v>
      </c>
      <c r="N1579" s="1793">
        <v>1</v>
      </c>
      <c r="O1579" s="1794">
        <v>2</v>
      </c>
    </row>
    <row r="1580" spans="3:15">
      <c r="C1580" s="1799" t="s">
        <v>6070</v>
      </c>
      <c r="D1580" s="1796">
        <v>1</v>
      </c>
      <c r="E1580" s="1796">
        <v>0</v>
      </c>
      <c r="F1580" s="1797">
        <v>1</v>
      </c>
      <c r="G1580" s="1999" t="s">
        <v>6070</v>
      </c>
      <c r="H1580" s="1794">
        <v>1</v>
      </c>
      <c r="I1580" s="1794" t="s">
        <v>4485</v>
      </c>
      <c r="J1580" s="2000">
        <v>1</v>
      </c>
      <c r="K1580" s="1798"/>
      <c r="L1580" s="1792">
        <v>13135050529</v>
      </c>
      <c r="M1580" s="1793">
        <v>1</v>
      </c>
      <c r="N1580" s="1793">
        <v>0</v>
      </c>
      <c r="O1580" s="1794">
        <v>1</v>
      </c>
    </row>
    <row r="1581" spans="3:15">
      <c r="C1581" s="1799" t="s">
        <v>6071</v>
      </c>
      <c r="D1581" s="1796">
        <v>1</v>
      </c>
      <c r="E1581" s="1796">
        <v>1</v>
      </c>
      <c r="F1581" s="1797">
        <v>2</v>
      </c>
      <c r="G1581" s="1999" t="s">
        <v>6071</v>
      </c>
      <c r="H1581" s="1794">
        <v>1</v>
      </c>
      <c r="I1581" s="1794">
        <v>1</v>
      </c>
      <c r="J1581" s="2000">
        <v>2</v>
      </c>
      <c r="K1581" s="1798"/>
      <c r="L1581" s="1792">
        <v>13135050530</v>
      </c>
      <c r="M1581" s="1793">
        <v>1</v>
      </c>
      <c r="N1581" s="1793">
        <v>1</v>
      </c>
      <c r="O1581" s="1794">
        <v>2</v>
      </c>
    </row>
    <row r="1582" spans="3:15">
      <c r="C1582" s="1799" t="s">
        <v>6072</v>
      </c>
      <c r="D1582" s="1796">
        <v>1</v>
      </c>
      <c r="E1582" s="1796">
        <v>0</v>
      </c>
      <c r="F1582" s="1797">
        <v>1</v>
      </c>
      <c r="G1582" s="1999" t="s">
        <v>6072</v>
      </c>
      <c r="H1582" s="1794">
        <v>0</v>
      </c>
      <c r="I1582" s="1794">
        <v>0</v>
      </c>
      <c r="J1582" s="2000">
        <v>0</v>
      </c>
      <c r="K1582" s="1798"/>
      <c r="L1582" s="1792">
        <v>13135050531</v>
      </c>
      <c r="M1582" s="1793">
        <v>1</v>
      </c>
      <c r="N1582" s="1793">
        <v>0</v>
      </c>
      <c r="O1582" s="1794">
        <v>1</v>
      </c>
    </row>
    <row r="1583" spans="3:15">
      <c r="C1583" s="1799" t="s">
        <v>6073</v>
      </c>
      <c r="D1583" s="1796">
        <v>1</v>
      </c>
      <c r="E1583" s="1796">
        <v>0</v>
      </c>
      <c r="F1583" s="1797">
        <v>1</v>
      </c>
      <c r="G1583" s="1999" t="s">
        <v>6073</v>
      </c>
      <c r="H1583" s="1794">
        <v>1</v>
      </c>
      <c r="I1583" s="1794">
        <v>0</v>
      </c>
      <c r="J1583" s="2000">
        <v>1</v>
      </c>
      <c r="K1583" s="1798"/>
      <c r="L1583" s="1792">
        <v>13135050532</v>
      </c>
      <c r="M1583" s="1793">
        <v>1</v>
      </c>
      <c r="N1583" s="1793">
        <v>0</v>
      </c>
      <c r="O1583" s="1794">
        <v>1</v>
      </c>
    </row>
    <row r="1584" spans="3:15">
      <c r="C1584" s="1799" t="s">
        <v>6074</v>
      </c>
      <c r="D1584" s="1796">
        <v>1</v>
      </c>
      <c r="E1584" s="1796">
        <v>0</v>
      </c>
      <c r="F1584" s="1797">
        <v>1</v>
      </c>
      <c r="G1584" s="1999" t="s">
        <v>6074</v>
      </c>
      <c r="H1584" s="1794">
        <v>1</v>
      </c>
      <c r="I1584" s="1794">
        <v>0</v>
      </c>
      <c r="J1584" s="2000">
        <v>1</v>
      </c>
      <c r="K1584" s="1798"/>
      <c r="L1584" s="1792">
        <v>13135050533</v>
      </c>
      <c r="M1584" s="1793">
        <v>1</v>
      </c>
      <c r="N1584" s="1793">
        <v>0</v>
      </c>
      <c r="O1584" s="1794">
        <v>1</v>
      </c>
    </row>
    <row r="1585" spans="3:15">
      <c r="C1585" s="1799" t="s">
        <v>6075</v>
      </c>
      <c r="D1585" s="1796">
        <v>1</v>
      </c>
      <c r="E1585" s="1796">
        <v>1</v>
      </c>
      <c r="F1585" s="1797">
        <v>2</v>
      </c>
      <c r="G1585" s="1999" t="s">
        <v>6075</v>
      </c>
      <c r="H1585" s="1794">
        <v>1</v>
      </c>
      <c r="I1585" s="1794" t="s">
        <v>4485</v>
      </c>
      <c r="J1585" s="2000">
        <v>1</v>
      </c>
      <c r="K1585" s="1798"/>
      <c r="L1585" s="1792">
        <v>13135050534</v>
      </c>
      <c r="M1585" s="1793">
        <v>1</v>
      </c>
      <c r="N1585" s="1793">
        <v>1</v>
      </c>
      <c r="O1585" s="1794">
        <v>2</v>
      </c>
    </row>
    <row r="1586" spans="3:15">
      <c r="C1586" s="1799" t="s">
        <v>6076</v>
      </c>
      <c r="D1586" s="1796">
        <v>1</v>
      </c>
      <c r="E1586" s="1796">
        <v>0</v>
      </c>
      <c r="F1586" s="1797">
        <v>1</v>
      </c>
      <c r="G1586" s="1999" t="s">
        <v>6076</v>
      </c>
      <c r="H1586" s="1794">
        <v>1</v>
      </c>
      <c r="I1586" s="1794">
        <v>0</v>
      </c>
      <c r="J1586" s="2000">
        <v>1</v>
      </c>
      <c r="K1586" s="1798"/>
      <c r="L1586" s="1792">
        <v>13135050535</v>
      </c>
      <c r="M1586" s="1793">
        <v>1</v>
      </c>
      <c r="N1586" s="1793">
        <v>0</v>
      </c>
      <c r="O1586" s="1794">
        <v>1</v>
      </c>
    </row>
    <row r="1587" spans="3:15">
      <c r="C1587" s="1799" t="s">
        <v>6077</v>
      </c>
      <c r="D1587" s="1796">
        <v>1</v>
      </c>
      <c r="E1587" s="1796">
        <v>1</v>
      </c>
      <c r="F1587" s="1797">
        <v>2</v>
      </c>
      <c r="G1587" s="1999" t="s">
        <v>6077</v>
      </c>
      <c r="H1587" s="1794">
        <v>1</v>
      </c>
      <c r="I1587" s="1794">
        <v>0</v>
      </c>
      <c r="J1587" s="2000">
        <v>1</v>
      </c>
      <c r="K1587" s="1798"/>
      <c r="L1587" s="1792">
        <v>13135050536</v>
      </c>
      <c r="M1587" s="1793">
        <v>1</v>
      </c>
      <c r="N1587" s="1793">
        <v>1</v>
      </c>
      <c r="O1587" s="1794">
        <v>2</v>
      </c>
    </row>
    <row r="1588" spans="3:15">
      <c r="C1588" s="1799" t="s">
        <v>6078</v>
      </c>
      <c r="D1588" s="1796">
        <v>0</v>
      </c>
      <c r="E1588" s="1796">
        <v>0</v>
      </c>
      <c r="F1588" s="1797">
        <v>0</v>
      </c>
      <c r="G1588" s="1999" t="s">
        <v>6078</v>
      </c>
      <c r="H1588" s="1794">
        <v>0</v>
      </c>
      <c r="I1588" s="1794" t="s">
        <v>4485</v>
      </c>
      <c r="J1588" s="2000">
        <v>0</v>
      </c>
      <c r="K1588" s="1798"/>
      <c r="L1588" s="1792">
        <v>13135050537</v>
      </c>
      <c r="M1588" s="1793">
        <v>0</v>
      </c>
      <c r="N1588" s="1793">
        <v>0</v>
      </c>
      <c r="O1588" s="1794">
        <v>0</v>
      </c>
    </row>
    <row r="1589" spans="3:15">
      <c r="C1589" s="1799" t="s">
        <v>6079</v>
      </c>
      <c r="D1589" s="1796">
        <v>1</v>
      </c>
      <c r="E1589" s="1796">
        <v>1</v>
      </c>
      <c r="F1589" s="1797">
        <v>2</v>
      </c>
      <c r="G1589" s="1999" t="s">
        <v>6079</v>
      </c>
      <c r="H1589" s="1794">
        <v>1</v>
      </c>
      <c r="I1589" s="1794">
        <v>0</v>
      </c>
      <c r="J1589" s="2000">
        <v>1</v>
      </c>
      <c r="K1589" s="1798"/>
      <c r="L1589" s="1792">
        <v>13135050538</v>
      </c>
      <c r="M1589" s="1793">
        <v>1</v>
      </c>
      <c r="N1589" s="1793">
        <v>1</v>
      </c>
      <c r="O1589" s="1794">
        <v>2</v>
      </c>
    </row>
    <row r="1590" spans="3:15">
      <c r="C1590" s="1799" t="s">
        <v>6080</v>
      </c>
      <c r="D1590" s="1796">
        <v>0</v>
      </c>
      <c r="E1590" s="1796">
        <v>0</v>
      </c>
      <c r="F1590" s="1797">
        <v>0</v>
      </c>
      <c r="G1590" s="1999" t="s">
        <v>6080</v>
      </c>
      <c r="H1590" s="1794">
        <v>0</v>
      </c>
      <c r="I1590" s="1794">
        <v>0</v>
      </c>
      <c r="J1590" s="2000">
        <v>0</v>
      </c>
      <c r="K1590" s="1798"/>
      <c r="L1590" s="1792">
        <v>13135050539</v>
      </c>
      <c r="M1590" s="1793">
        <v>0</v>
      </c>
      <c r="N1590" s="1793">
        <v>0</v>
      </c>
      <c r="O1590" s="1794">
        <v>0</v>
      </c>
    </row>
    <row r="1591" spans="3:15">
      <c r="C1591" s="1799" t="s">
        <v>6081</v>
      </c>
      <c r="D1591" s="1796">
        <v>1</v>
      </c>
      <c r="E1591" s="1796">
        <v>1</v>
      </c>
      <c r="F1591" s="1797">
        <v>2</v>
      </c>
      <c r="G1591" s="1999" t="s">
        <v>6081</v>
      </c>
      <c r="H1591" s="1794">
        <v>0</v>
      </c>
      <c r="I1591" s="1794">
        <v>0</v>
      </c>
      <c r="J1591" s="2000">
        <v>0</v>
      </c>
      <c r="K1591" s="1798"/>
      <c r="L1591" s="1792">
        <v>13135050540</v>
      </c>
      <c r="M1591" s="1793">
        <v>1</v>
      </c>
      <c r="N1591" s="1793">
        <v>1</v>
      </c>
      <c r="O1591" s="1794">
        <v>2</v>
      </c>
    </row>
    <row r="1592" spans="3:15">
      <c r="C1592" s="1799" t="s">
        <v>6082</v>
      </c>
      <c r="D1592" s="1796">
        <v>0</v>
      </c>
      <c r="E1592" s="1796">
        <v>0</v>
      </c>
      <c r="F1592" s="1797">
        <v>0</v>
      </c>
      <c r="G1592" s="1999" t="s">
        <v>6082</v>
      </c>
      <c r="H1592" s="1794">
        <v>0</v>
      </c>
      <c r="I1592" s="1794" t="s">
        <v>4485</v>
      </c>
      <c r="J1592" s="2000">
        <v>0</v>
      </c>
      <c r="K1592" s="1798"/>
      <c r="L1592" s="1792">
        <v>13135050541</v>
      </c>
      <c r="M1592" s="1793">
        <v>0</v>
      </c>
      <c r="N1592" s="1793">
        <v>0</v>
      </c>
      <c r="O1592" s="1794">
        <v>0</v>
      </c>
    </row>
    <row r="1593" spans="3:15">
      <c r="C1593" s="1799" t="s">
        <v>6083</v>
      </c>
      <c r="D1593" s="1796">
        <v>0</v>
      </c>
      <c r="E1593" s="1796">
        <v>0</v>
      </c>
      <c r="F1593" s="1797">
        <v>0</v>
      </c>
      <c r="G1593" s="1999" t="s">
        <v>6083</v>
      </c>
      <c r="H1593" s="1794">
        <v>0</v>
      </c>
      <c r="I1593" s="1794">
        <v>0</v>
      </c>
      <c r="J1593" s="2000">
        <v>0</v>
      </c>
      <c r="K1593" s="1798"/>
      <c r="L1593" s="1792">
        <v>13135050542</v>
      </c>
      <c r="M1593" s="1793">
        <v>0</v>
      </c>
      <c r="N1593" s="1793">
        <v>0</v>
      </c>
      <c r="O1593" s="1794">
        <v>0</v>
      </c>
    </row>
    <row r="1594" spans="3:15">
      <c r="C1594" s="1799" t="s">
        <v>6084</v>
      </c>
      <c r="D1594" s="1796">
        <v>1</v>
      </c>
      <c r="E1594" s="1796">
        <v>1</v>
      </c>
      <c r="F1594" s="1797">
        <v>2</v>
      </c>
      <c r="G1594" s="1999" t="s">
        <v>6084</v>
      </c>
      <c r="H1594" s="1794">
        <v>1</v>
      </c>
      <c r="I1594" s="1794">
        <v>1</v>
      </c>
      <c r="J1594" s="2000">
        <v>2</v>
      </c>
      <c r="K1594" s="1798"/>
      <c r="L1594" s="1792">
        <v>13135050543</v>
      </c>
      <c r="M1594" s="1793">
        <v>1</v>
      </c>
      <c r="N1594" s="1793">
        <v>1</v>
      </c>
      <c r="O1594" s="1794">
        <v>2</v>
      </c>
    </row>
    <row r="1595" spans="3:15">
      <c r="C1595" s="1799" t="s">
        <v>6085</v>
      </c>
      <c r="D1595" s="1796">
        <v>1</v>
      </c>
      <c r="E1595" s="1796">
        <v>1</v>
      </c>
      <c r="F1595" s="1797">
        <v>2</v>
      </c>
      <c r="G1595" s="1999" t="s">
        <v>6085</v>
      </c>
      <c r="H1595" s="1794">
        <v>1</v>
      </c>
      <c r="I1595" s="1794">
        <v>1</v>
      </c>
      <c r="J1595" s="2000">
        <v>2</v>
      </c>
      <c r="K1595" s="1798"/>
      <c r="L1595" s="1792">
        <v>13135050544</v>
      </c>
      <c r="M1595" s="1793">
        <v>1</v>
      </c>
      <c r="N1595" s="1793">
        <v>1</v>
      </c>
      <c r="O1595" s="1794">
        <v>2</v>
      </c>
    </row>
    <row r="1596" spans="3:15">
      <c r="C1596" s="1799" t="s">
        <v>6086</v>
      </c>
      <c r="D1596" s="1796">
        <v>1</v>
      </c>
      <c r="E1596" s="1796">
        <v>0</v>
      </c>
      <c r="F1596" s="1797">
        <v>1</v>
      </c>
      <c r="G1596" s="1999" t="s">
        <v>6086</v>
      </c>
      <c r="H1596" s="1794">
        <v>1</v>
      </c>
      <c r="I1596" s="1794">
        <v>0</v>
      </c>
      <c r="J1596" s="2000">
        <v>1</v>
      </c>
      <c r="K1596" s="1798"/>
      <c r="L1596" s="1792">
        <v>13135050545</v>
      </c>
      <c r="M1596" s="1793">
        <v>1</v>
      </c>
      <c r="N1596" s="1793">
        <v>0</v>
      </c>
      <c r="O1596" s="1794">
        <v>1</v>
      </c>
    </row>
    <row r="1597" spans="3:15">
      <c r="C1597" s="1799" t="s">
        <v>6087</v>
      </c>
      <c r="D1597" s="1796">
        <v>1</v>
      </c>
      <c r="E1597" s="1796">
        <v>1</v>
      </c>
      <c r="F1597" s="1797">
        <v>2</v>
      </c>
      <c r="G1597" s="1999" t="s">
        <v>6087</v>
      </c>
      <c r="H1597" s="1794">
        <v>1</v>
      </c>
      <c r="I1597" s="1794">
        <v>1</v>
      </c>
      <c r="J1597" s="2000">
        <v>2</v>
      </c>
      <c r="K1597" s="1798"/>
      <c r="L1597" s="1792">
        <v>13135050546</v>
      </c>
      <c r="M1597" s="1793">
        <v>1</v>
      </c>
      <c r="N1597" s="1793">
        <v>1</v>
      </c>
      <c r="O1597" s="1794">
        <v>2</v>
      </c>
    </row>
    <row r="1598" spans="3:15">
      <c r="C1598" s="1799" t="s">
        <v>6088</v>
      </c>
      <c r="D1598" s="1796">
        <v>1</v>
      </c>
      <c r="E1598" s="1796">
        <v>1</v>
      </c>
      <c r="F1598" s="1797">
        <v>2</v>
      </c>
      <c r="G1598" s="1999" t="s">
        <v>6088</v>
      </c>
      <c r="H1598" s="1794">
        <v>1</v>
      </c>
      <c r="I1598" s="1794">
        <v>1</v>
      </c>
      <c r="J1598" s="2000">
        <v>2</v>
      </c>
      <c r="K1598" s="1798"/>
      <c r="L1598" s="1792">
        <v>13135050547</v>
      </c>
      <c r="M1598" s="1793">
        <v>1</v>
      </c>
      <c r="N1598" s="1793">
        <v>1</v>
      </c>
      <c r="O1598" s="1794">
        <v>2</v>
      </c>
    </row>
    <row r="1599" spans="3:15">
      <c r="C1599" s="1799" t="s">
        <v>6089</v>
      </c>
      <c r="D1599" s="1796">
        <v>1</v>
      </c>
      <c r="E1599" s="1796">
        <v>1</v>
      </c>
      <c r="F1599" s="1797">
        <v>2</v>
      </c>
      <c r="G1599" s="1999" t="s">
        <v>6089</v>
      </c>
      <c r="H1599" s="1794">
        <v>1</v>
      </c>
      <c r="I1599" s="1794">
        <v>1</v>
      </c>
      <c r="J1599" s="2000">
        <v>2</v>
      </c>
      <c r="K1599" s="1798"/>
      <c r="L1599" s="1792">
        <v>13135050548</v>
      </c>
      <c r="M1599" s="1793">
        <v>1</v>
      </c>
      <c r="N1599" s="1793">
        <v>1</v>
      </c>
      <c r="O1599" s="1794">
        <v>2</v>
      </c>
    </row>
    <row r="1600" spans="3:15">
      <c r="C1600" s="1799" t="s">
        <v>6090</v>
      </c>
      <c r="D1600" s="1796">
        <v>1</v>
      </c>
      <c r="E1600" s="1796">
        <v>1</v>
      </c>
      <c r="F1600" s="1797">
        <v>2</v>
      </c>
      <c r="G1600" s="1999" t="s">
        <v>6090</v>
      </c>
      <c r="H1600" s="1794">
        <v>1</v>
      </c>
      <c r="I1600" s="1794">
        <v>1</v>
      </c>
      <c r="J1600" s="2000">
        <v>2</v>
      </c>
      <c r="K1600" s="1798"/>
      <c r="L1600" s="1792">
        <v>13135050549</v>
      </c>
      <c r="M1600" s="1793">
        <v>1</v>
      </c>
      <c r="N1600" s="1793">
        <v>1</v>
      </c>
      <c r="O1600" s="1794">
        <v>2</v>
      </c>
    </row>
    <row r="1601" spans="3:15">
      <c r="C1601" s="1799" t="s">
        <v>6091</v>
      </c>
      <c r="D1601" s="1796">
        <v>1</v>
      </c>
      <c r="E1601" s="1796">
        <v>1</v>
      </c>
      <c r="F1601" s="1797">
        <v>2</v>
      </c>
      <c r="G1601" s="1999" t="s">
        <v>6091</v>
      </c>
      <c r="H1601" s="1794">
        <v>1</v>
      </c>
      <c r="I1601" s="1794">
        <v>1</v>
      </c>
      <c r="J1601" s="2000">
        <v>2</v>
      </c>
      <c r="K1601" s="1798"/>
      <c r="L1601" s="1792">
        <v>13135050605</v>
      </c>
      <c r="M1601" s="1793">
        <v>1</v>
      </c>
      <c r="N1601" s="1793">
        <v>1</v>
      </c>
      <c r="O1601" s="1794">
        <v>2</v>
      </c>
    </row>
    <row r="1602" spans="3:15">
      <c r="C1602" s="1799" t="s">
        <v>6092</v>
      </c>
      <c r="D1602" s="1796">
        <v>1</v>
      </c>
      <c r="E1602" s="1796">
        <v>1</v>
      </c>
      <c r="F1602" s="1797">
        <v>2</v>
      </c>
      <c r="G1602" s="1999" t="s">
        <v>6092</v>
      </c>
      <c r="H1602" s="1794">
        <v>1</v>
      </c>
      <c r="I1602" s="1794">
        <v>1</v>
      </c>
      <c r="J1602" s="2000">
        <v>2</v>
      </c>
      <c r="K1602" s="1798"/>
      <c r="L1602" s="1792">
        <v>13135050606</v>
      </c>
      <c r="M1602" s="1793">
        <v>1</v>
      </c>
      <c r="N1602" s="1793">
        <v>1</v>
      </c>
      <c r="O1602" s="1794">
        <v>2</v>
      </c>
    </row>
    <row r="1603" spans="3:15">
      <c r="C1603" s="1799" t="s">
        <v>6093</v>
      </c>
      <c r="D1603" s="1796">
        <v>1</v>
      </c>
      <c r="E1603" s="1796">
        <v>1</v>
      </c>
      <c r="F1603" s="1797">
        <v>2</v>
      </c>
      <c r="G1603" s="1999" t="s">
        <v>6093</v>
      </c>
      <c r="H1603" s="1794">
        <v>1</v>
      </c>
      <c r="I1603" s="1794">
        <v>1</v>
      </c>
      <c r="J1603" s="2000">
        <v>2</v>
      </c>
      <c r="K1603" s="1798"/>
      <c r="L1603" s="1792">
        <v>13135050607</v>
      </c>
      <c r="M1603" s="1793">
        <v>1</v>
      </c>
      <c r="N1603" s="1793">
        <v>1</v>
      </c>
      <c r="O1603" s="1794">
        <v>2</v>
      </c>
    </row>
    <row r="1604" spans="3:15">
      <c r="C1604" s="1799" t="s">
        <v>6094</v>
      </c>
      <c r="D1604" s="1796">
        <v>1</v>
      </c>
      <c r="E1604" s="1796">
        <v>1</v>
      </c>
      <c r="F1604" s="1797">
        <v>2</v>
      </c>
      <c r="G1604" s="1999" t="s">
        <v>6094</v>
      </c>
      <c r="H1604" s="1794">
        <v>1</v>
      </c>
      <c r="I1604" s="1794">
        <v>1</v>
      </c>
      <c r="J1604" s="2000">
        <v>2</v>
      </c>
      <c r="K1604" s="1798"/>
      <c r="L1604" s="1792">
        <v>13135050608</v>
      </c>
      <c r="M1604" s="1793">
        <v>1</v>
      </c>
      <c r="N1604" s="1793">
        <v>1</v>
      </c>
      <c r="O1604" s="1794">
        <v>2</v>
      </c>
    </row>
    <row r="1605" spans="3:15">
      <c r="C1605" s="1799" t="s">
        <v>6095</v>
      </c>
      <c r="D1605" s="1796">
        <v>1</v>
      </c>
      <c r="E1605" s="1796">
        <v>1</v>
      </c>
      <c r="F1605" s="1797">
        <v>2</v>
      </c>
      <c r="G1605" s="1999" t="s">
        <v>6095</v>
      </c>
      <c r="H1605" s="1794">
        <v>1</v>
      </c>
      <c r="I1605" s="1794">
        <v>1</v>
      </c>
      <c r="J1605" s="2000">
        <v>2</v>
      </c>
      <c r="K1605" s="1798"/>
      <c r="L1605" s="1792">
        <v>13135050609</v>
      </c>
      <c r="M1605" s="1793">
        <v>1</v>
      </c>
      <c r="N1605" s="1793">
        <v>1</v>
      </c>
      <c r="O1605" s="1794">
        <v>2</v>
      </c>
    </row>
    <row r="1606" spans="3:15">
      <c r="C1606" s="1799" t="s">
        <v>6096</v>
      </c>
      <c r="D1606" s="1796">
        <v>1</v>
      </c>
      <c r="E1606" s="1796">
        <v>1</v>
      </c>
      <c r="F1606" s="1797">
        <v>2</v>
      </c>
      <c r="G1606" s="1999" t="s">
        <v>6096</v>
      </c>
      <c r="H1606" s="1794">
        <v>1</v>
      </c>
      <c r="I1606" s="1794">
        <v>1</v>
      </c>
      <c r="J1606" s="2000">
        <v>2</v>
      </c>
      <c r="K1606" s="1798"/>
      <c r="L1606" s="1792">
        <v>13135050610</v>
      </c>
      <c r="M1606" s="1793">
        <v>1</v>
      </c>
      <c r="N1606" s="1793">
        <v>1</v>
      </c>
      <c r="O1606" s="1794">
        <v>2</v>
      </c>
    </row>
    <row r="1607" spans="3:15">
      <c r="C1607" s="1799" t="s">
        <v>6097</v>
      </c>
      <c r="D1607" s="1796">
        <v>0</v>
      </c>
      <c r="E1607" s="1796">
        <v>1</v>
      </c>
      <c r="F1607" s="1797">
        <v>1</v>
      </c>
      <c r="G1607" s="1999" t="s">
        <v>6097</v>
      </c>
      <c r="H1607" s="1794">
        <v>0</v>
      </c>
      <c r="I1607" s="1794">
        <v>1</v>
      </c>
      <c r="J1607" s="2000">
        <v>1</v>
      </c>
      <c r="K1607" s="1798"/>
      <c r="L1607" s="1792">
        <v>13135050709</v>
      </c>
      <c r="M1607" s="1793">
        <v>0</v>
      </c>
      <c r="N1607" s="1793">
        <v>1</v>
      </c>
      <c r="O1607" s="1794">
        <v>1</v>
      </c>
    </row>
    <row r="1608" spans="3:15">
      <c r="C1608" s="1799" t="s">
        <v>6098</v>
      </c>
      <c r="D1608" s="1796">
        <v>1</v>
      </c>
      <c r="E1608" s="1796">
        <v>1</v>
      </c>
      <c r="F1608" s="1797">
        <v>2</v>
      </c>
      <c r="G1608" s="1999" t="s">
        <v>6098</v>
      </c>
      <c r="H1608" s="1794">
        <v>1</v>
      </c>
      <c r="I1608" s="1794">
        <v>1</v>
      </c>
      <c r="J1608" s="2000">
        <v>2</v>
      </c>
      <c r="K1608" s="1798"/>
      <c r="L1608" s="1792">
        <v>13135050712</v>
      </c>
      <c r="M1608" s="1793">
        <v>1</v>
      </c>
      <c r="N1608" s="1793">
        <v>1</v>
      </c>
      <c r="O1608" s="1794">
        <v>2</v>
      </c>
    </row>
    <row r="1609" spans="3:15">
      <c r="C1609" s="1799" t="s">
        <v>6099</v>
      </c>
      <c r="D1609" s="1796">
        <v>1</v>
      </c>
      <c r="E1609" s="1796">
        <v>1</v>
      </c>
      <c r="F1609" s="1797">
        <v>2</v>
      </c>
      <c r="G1609" s="1999" t="s">
        <v>6099</v>
      </c>
      <c r="H1609" s="1794">
        <v>1</v>
      </c>
      <c r="I1609" s="1794">
        <v>1</v>
      </c>
      <c r="J1609" s="2000">
        <v>2</v>
      </c>
      <c r="K1609" s="1798"/>
      <c r="L1609" s="1792">
        <v>13135050713</v>
      </c>
      <c r="M1609" s="1793">
        <v>1</v>
      </c>
      <c r="N1609" s="1793">
        <v>1</v>
      </c>
      <c r="O1609" s="1794">
        <v>2</v>
      </c>
    </row>
    <row r="1610" spans="3:15">
      <c r="C1610" s="1799" t="s">
        <v>6100</v>
      </c>
      <c r="D1610" s="1796">
        <v>1</v>
      </c>
      <c r="E1610" s="1796">
        <v>1</v>
      </c>
      <c r="F1610" s="1797">
        <v>2</v>
      </c>
      <c r="G1610" s="1999" t="s">
        <v>6100</v>
      </c>
      <c r="H1610" s="1794">
        <v>1</v>
      </c>
      <c r="I1610" s="1794">
        <v>1</v>
      </c>
      <c r="J1610" s="2000">
        <v>2</v>
      </c>
      <c r="K1610" s="1798"/>
      <c r="L1610" s="1792">
        <v>13135050714</v>
      </c>
      <c r="M1610" s="1793">
        <v>1</v>
      </c>
      <c r="N1610" s="1793">
        <v>1</v>
      </c>
      <c r="O1610" s="1794">
        <v>2</v>
      </c>
    </row>
    <row r="1611" spans="3:15">
      <c r="C1611" s="1799" t="s">
        <v>6101</v>
      </c>
      <c r="D1611" s="1796">
        <v>1</v>
      </c>
      <c r="E1611" s="1796">
        <v>1</v>
      </c>
      <c r="F1611" s="1797">
        <v>2</v>
      </c>
      <c r="G1611" s="1999" t="s">
        <v>6101</v>
      </c>
      <c r="H1611" s="1794">
        <v>1</v>
      </c>
      <c r="I1611" s="1794">
        <v>1</v>
      </c>
      <c r="J1611" s="2000">
        <v>2</v>
      </c>
      <c r="K1611" s="1798"/>
      <c r="L1611" s="1792">
        <v>13135050715</v>
      </c>
      <c r="M1611" s="1793">
        <v>1</v>
      </c>
      <c r="N1611" s="1793">
        <v>1</v>
      </c>
      <c r="O1611" s="1794">
        <v>2</v>
      </c>
    </row>
    <row r="1612" spans="3:15">
      <c r="C1612" s="1799" t="s">
        <v>6102</v>
      </c>
      <c r="D1612" s="1796">
        <v>1</v>
      </c>
      <c r="E1612" s="1796">
        <v>1</v>
      </c>
      <c r="F1612" s="1797">
        <v>2</v>
      </c>
      <c r="G1612" s="1999" t="s">
        <v>6102</v>
      </c>
      <c r="H1612" s="1794">
        <v>1</v>
      </c>
      <c r="I1612" s="1794" t="s">
        <v>4485</v>
      </c>
      <c r="J1612" s="2000">
        <v>1</v>
      </c>
      <c r="K1612" s="1798"/>
      <c r="L1612" s="1792">
        <v>13135050718</v>
      </c>
      <c r="M1612" s="1793">
        <v>1</v>
      </c>
      <c r="N1612" s="1793">
        <v>1</v>
      </c>
      <c r="O1612" s="1794">
        <v>2</v>
      </c>
    </row>
    <row r="1613" spans="3:15">
      <c r="C1613" s="1799" t="s">
        <v>6103</v>
      </c>
      <c r="D1613" s="1796">
        <v>1</v>
      </c>
      <c r="E1613" s="1796">
        <v>1</v>
      </c>
      <c r="F1613" s="1797">
        <v>2</v>
      </c>
      <c r="G1613" s="1999" t="s">
        <v>6103</v>
      </c>
      <c r="H1613" s="1794">
        <v>1</v>
      </c>
      <c r="I1613" s="1794">
        <v>0</v>
      </c>
      <c r="J1613" s="2000">
        <v>1</v>
      </c>
      <c r="K1613" s="1798"/>
      <c r="L1613" s="1792">
        <v>13135050719</v>
      </c>
      <c r="M1613" s="1793">
        <v>1</v>
      </c>
      <c r="N1613" s="1793">
        <v>1</v>
      </c>
      <c r="O1613" s="1794">
        <v>2</v>
      </c>
    </row>
    <row r="1614" spans="3:15">
      <c r="C1614" s="1799" t="s">
        <v>6104</v>
      </c>
      <c r="D1614" s="1796">
        <v>1</v>
      </c>
      <c r="E1614" s="1796">
        <v>1</v>
      </c>
      <c r="F1614" s="1797">
        <v>2</v>
      </c>
      <c r="G1614" s="1999" t="s">
        <v>6104</v>
      </c>
      <c r="H1614" s="1794">
        <v>1</v>
      </c>
      <c r="I1614" s="1794">
        <v>1</v>
      </c>
      <c r="J1614" s="2000">
        <v>2</v>
      </c>
      <c r="K1614" s="1798"/>
      <c r="L1614" s="1792">
        <v>13135050720</v>
      </c>
      <c r="M1614" s="1793">
        <v>1</v>
      </c>
      <c r="N1614" s="1793">
        <v>1</v>
      </c>
      <c r="O1614" s="1794">
        <v>2</v>
      </c>
    </row>
    <row r="1615" spans="3:15">
      <c r="C1615" s="1799" t="s">
        <v>6105</v>
      </c>
      <c r="D1615" s="1796">
        <v>1</v>
      </c>
      <c r="E1615" s="1796">
        <v>0</v>
      </c>
      <c r="F1615" s="1797">
        <v>1</v>
      </c>
      <c r="G1615" s="1999" t="s">
        <v>6105</v>
      </c>
      <c r="H1615" s="1794">
        <v>1</v>
      </c>
      <c r="I1615" s="1794">
        <v>1</v>
      </c>
      <c r="J1615" s="2000">
        <v>2</v>
      </c>
      <c r="K1615" s="1798"/>
      <c r="L1615" s="1792">
        <v>13135050721</v>
      </c>
      <c r="M1615" s="1793">
        <v>1</v>
      </c>
      <c r="N1615" s="1793">
        <v>1</v>
      </c>
      <c r="O1615" s="1794">
        <v>2</v>
      </c>
    </row>
    <row r="1616" spans="3:15">
      <c r="C1616" s="1799" t="s">
        <v>6106</v>
      </c>
      <c r="D1616" s="1796">
        <v>0</v>
      </c>
      <c r="E1616" s="1796">
        <v>0</v>
      </c>
      <c r="F1616" s="1797">
        <v>0</v>
      </c>
      <c r="G1616" s="1999" t="s">
        <v>6106</v>
      </c>
      <c r="H1616" s="1794">
        <v>0</v>
      </c>
      <c r="I1616" s="1794">
        <v>0</v>
      </c>
      <c r="J1616" s="2000">
        <v>0</v>
      </c>
      <c r="K1616" s="1798"/>
      <c r="L1616" s="1792">
        <v>13135050722</v>
      </c>
      <c r="M1616" s="1793">
        <v>0</v>
      </c>
      <c r="N1616" s="1793">
        <v>0</v>
      </c>
      <c r="O1616" s="1794">
        <v>0</v>
      </c>
    </row>
    <row r="1617" spans="3:15">
      <c r="C1617" s="1799" t="s">
        <v>6107</v>
      </c>
      <c r="D1617" s="1796">
        <v>0</v>
      </c>
      <c r="E1617" s="1796">
        <v>1</v>
      </c>
      <c r="F1617" s="1797">
        <v>1</v>
      </c>
      <c r="G1617" s="1999" t="s">
        <v>6107</v>
      </c>
      <c r="H1617" s="1794">
        <v>1</v>
      </c>
      <c r="I1617" s="1794">
        <v>1</v>
      </c>
      <c r="J1617" s="2000">
        <v>2</v>
      </c>
      <c r="K1617" s="1798"/>
      <c r="L1617" s="1792">
        <v>13135050723</v>
      </c>
      <c r="M1617" s="1793">
        <v>1</v>
      </c>
      <c r="N1617" s="1793">
        <v>1</v>
      </c>
      <c r="O1617" s="1794">
        <v>2</v>
      </c>
    </row>
    <row r="1618" spans="3:15">
      <c r="C1618" s="1799" t="s">
        <v>6108</v>
      </c>
      <c r="D1618" s="1796">
        <v>1</v>
      </c>
      <c r="E1618" s="1796">
        <v>1</v>
      </c>
      <c r="F1618" s="1797">
        <v>2</v>
      </c>
      <c r="G1618" s="1999" t="s">
        <v>6108</v>
      </c>
      <c r="H1618" s="1794">
        <v>1</v>
      </c>
      <c r="I1618" s="1794">
        <v>1</v>
      </c>
      <c r="J1618" s="2000">
        <v>2</v>
      </c>
      <c r="K1618" s="1798"/>
      <c r="L1618" s="1792">
        <v>13135050724</v>
      </c>
      <c r="M1618" s="1793">
        <v>1</v>
      </c>
      <c r="N1618" s="1793">
        <v>1</v>
      </c>
      <c r="O1618" s="1794">
        <v>2</v>
      </c>
    </row>
    <row r="1619" spans="3:15">
      <c r="C1619" s="1799" t="s">
        <v>6109</v>
      </c>
      <c r="D1619" s="1796">
        <v>1</v>
      </c>
      <c r="E1619" s="1796">
        <v>1</v>
      </c>
      <c r="F1619" s="1797">
        <v>2</v>
      </c>
      <c r="G1619" s="1999" t="s">
        <v>6109</v>
      </c>
      <c r="H1619" s="1794">
        <v>1</v>
      </c>
      <c r="I1619" s="1794">
        <v>1</v>
      </c>
      <c r="J1619" s="2000">
        <v>2</v>
      </c>
      <c r="K1619" s="1798"/>
      <c r="L1619" s="1792">
        <v>13135050725</v>
      </c>
      <c r="M1619" s="1793">
        <v>1</v>
      </c>
      <c r="N1619" s="1793">
        <v>1</v>
      </c>
      <c r="O1619" s="1794">
        <v>2</v>
      </c>
    </row>
    <row r="1620" spans="3:15">
      <c r="C1620" s="1799" t="s">
        <v>6110</v>
      </c>
      <c r="D1620" s="1796">
        <v>1</v>
      </c>
      <c r="E1620" s="1796">
        <v>1</v>
      </c>
      <c r="F1620" s="1797">
        <v>2</v>
      </c>
      <c r="G1620" s="1999" t="s">
        <v>6110</v>
      </c>
      <c r="H1620" s="1794">
        <v>1</v>
      </c>
      <c r="I1620" s="1794">
        <v>1</v>
      </c>
      <c r="J1620" s="2000">
        <v>2</v>
      </c>
      <c r="K1620" s="1798"/>
      <c r="L1620" s="1792">
        <v>13135050726</v>
      </c>
      <c r="M1620" s="1793">
        <v>1</v>
      </c>
      <c r="N1620" s="1793">
        <v>1</v>
      </c>
      <c r="O1620" s="1794">
        <v>2</v>
      </c>
    </row>
    <row r="1621" spans="3:15">
      <c r="C1621" s="1799" t="s">
        <v>6111</v>
      </c>
      <c r="D1621" s="1796">
        <v>1</v>
      </c>
      <c r="E1621" s="1796">
        <v>1</v>
      </c>
      <c r="F1621" s="1797">
        <v>2</v>
      </c>
      <c r="G1621" s="1999" t="s">
        <v>6111</v>
      </c>
      <c r="H1621" s="1794">
        <v>1</v>
      </c>
      <c r="I1621" s="1794">
        <v>1</v>
      </c>
      <c r="J1621" s="2000">
        <v>2</v>
      </c>
      <c r="K1621" s="1798"/>
      <c r="L1621" s="1792">
        <v>13135050727</v>
      </c>
      <c r="M1621" s="1793">
        <v>1</v>
      </c>
      <c r="N1621" s="1793">
        <v>1</v>
      </c>
      <c r="O1621" s="1794">
        <v>2</v>
      </c>
    </row>
    <row r="1622" spans="3:15">
      <c r="C1622" s="1799" t="s">
        <v>6112</v>
      </c>
      <c r="D1622" s="1796">
        <v>1</v>
      </c>
      <c r="E1622" s="1796">
        <v>1</v>
      </c>
      <c r="F1622" s="1797">
        <v>2</v>
      </c>
      <c r="G1622" s="1999" t="s">
        <v>6112</v>
      </c>
      <c r="H1622" s="1794">
        <v>1</v>
      </c>
      <c r="I1622" s="1794">
        <v>1</v>
      </c>
      <c r="J1622" s="2000">
        <v>2</v>
      </c>
      <c r="K1622" s="1798"/>
      <c r="L1622" s="1792">
        <v>13135050728</v>
      </c>
      <c r="M1622" s="1793">
        <v>1</v>
      </c>
      <c r="N1622" s="1793">
        <v>1</v>
      </c>
      <c r="O1622" s="1794">
        <v>2</v>
      </c>
    </row>
    <row r="1623" spans="3:15">
      <c r="C1623" s="1799" t="s">
        <v>6113</v>
      </c>
      <c r="D1623" s="1796">
        <v>0</v>
      </c>
      <c r="E1623" s="1796">
        <v>0</v>
      </c>
      <c r="F1623" s="1797">
        <v>0</v>
      </c>
      <c r="G1623" s="1999" t="s">
        <v>6113</v>
      </c>
      <c r="H1623" s="1794">
        <v>1</v>
      </c>
      <c r="I1623" s="1794">
        <v>0</v>
      </c>
      <c r="J1623" s="2000">
        <v>1</v>
      </c>
      <c r="K1623" s="1798"/>
      <c r="L1623" s="1792">
        <v>13135050729</v>
      </c>
      <c r="M1623" s="1793">
        <v>1</v>
      </c>
      <c r="N1623" s="1793">
        <v>0</v>
      </c>
      <c r="O1623" s="1794">
        <v>1</v>
      </c>
    </row>
    <row r="1624" spans="3:15">
      <c r="C1624" s="1799" t="s">
        <v>6114</v>
      </c>
      <c r="D1624" s="1796">
        <v>1</v>
      </c>
      <c r="E1624" s="1796">
        <v>1</v>
      </c>
      <c r="F1624" s="1797">
        <v>2</v>
      </c>
      <c r="G1624" s="1999" t="s">
        <v>6114</v>
      </c>
      <c r="H1624" s="1794">
        <v>1</v>
      </c>
      <c r="I1624" s="1794">
        <v>0</v>
      </c>
      <c r="J1624" s="2000">
        <v>1</v>
      </c>
      <c r="K1624" s="1798"/>
      <c r="L1624" s="1792">
        <v>13135050730</v>
      </c>
      <c r="M1624" s="1793">
        <v>1</v>
      </c>
      <c r="N1624" s="1793">
        <v>1</v>
      </c>
      <c r="O1624" s="1794">
        <v>2</v>
      </c>
    </row>
    <row r="1625" spans="3:15">
      <c r="C1625" s="1799" t="s">
        <v>6115</v>
      </c>
      <c r="D1625" s="1796">
        <v>1</v>
      </c>
      <c r="E1625" s="1796">
        <v>1</v>
      </c>
      <c r="F1625" s="1797">
        <v>2</v>
      </c>
      <c r="G1625" s="1999" t="s">
        <v>6115</v>
      </c>
      <c r="H1625" s="1794">
        <v>0</v>
      </c>
      <c r="I1625" s="1794">
        <v>1</v>
      </c>
      <c r="J1625" s="2000">
        <v>1</v>
      </c>
      <c r="K1625" s="1798"/>
      <c r="L1625" s="1792">
        <v>13135050731</v>
      </c>
      <c r="M1625" s="1793">
        <v>1</v>
      </c>
      <c r="N1625" s="1793">
        <v>1</v>
      </c>
      <c r="O1625" s="1794">
        <v>2</v>
      </c>
    </row>
    <row r="1626" spans="3:15">
      <c r="C1626" s="1799" t="s">
        <v>6116</v>
      </c>
      <c r="D1626" s="1796">
        <v>1</v>
      </c>
      <c r="E1626" s="1796">
        <v>1</v>
      </c>
      <c r="F1626" s="1797">
        <v>2</v>
      </c>
      <c r="G1626" s="1999" t="s">
        <v>6116</v>
      </c>
      <c r="H1626" s="1794">
        <v>0</v>
      </c>
      <c r="I1626" s="1794">
        <v>1</v>
      </c>
      <c r="J1626" s="2000">
        <v>1</v>
      </c>
      <c r="K1626" s="1798"/>
      <c r="L1626" s="1792">
        <v>13137000100</v>
      </c>
      <c r="M1626" s="1793">
        <v>1</v>
      </c>
      <c r="N1626" s="1793">
        <v>1</v>
      </c>
      <c r="O1626" s="1794">
        <v>2</v>
      </c>
    </row>
    <row r="1627" spans="3:15">
      <c r="C1627" s="1799" t="s">
        <v>6117</v>
      </c>
      <c r="D1627" s="1796">
        <v>1</v>
      </c>
      <c r="E1627" s="1796">
        <v>0</v>
      </c>
      <c r="F1627" s="1797">
        <v>1</v>
      </c>
      <c r="G1627" s="1999" t="s">
        <v>6117</v>
      </c>
      <c r="H1627" s="1794">
        <v>0</v>
      </c>
      <c r="I1627" s="1794">
        <v>0</v>
      </c>
      <c r="J1627" s="2000">
        <v>0</v>
      </c>
      <c r="K1627" s="1798"/>
      <c r="L1627" s="1792">
        <v>13137000201</v>
      </c>
      <c r="M1627" s="1793">
        <v>1</v>
      </c>
      <c r="N1627" s="1793">
        <v>0</v>
      </c>
      <c r="O1627" s="1794">
        <v>1</v>
      </c>
    </row>
    <row r="1628" spans="3:15">
      <c r="C1628" s="1799" t="s">
        <v>6118</v>
      </c>
      <c r="D1628" s="1796">
        <v>1</v>
      </c>
      <c r="E1628" s="1796">
        <v>1</v>
      </c>
      <c r="F1628" s="1797">
        <v>2</v>
      </c>
      <c r="G1628" s="1999" t="s">
        <v>6118</v>
      </c>
      <c r="H1628" s="1794">
        <v>1</v>
      </c>
      <c r="I1628" s="1794">
        <v>0</v>
      </c>
      <c r="J1628" s="2000">
        <v>1</v>
      </c>
      <c r="K1628" s="1798"/>
      <c r="L1628" s="1792">
        <v>13137000202</v>
      </c>
      <c r="M1628" s="1793">
        <v>1</v>
      </c>
      <c r="N1628" s="1793">
        <v>1</v>
      </c>
      <c r="O1628" s="1794">
        <v>2</v>
      </c>
    </row>
    <row r="1629" spans="3:15">
      <c r="C1629" s="1799" t="s">
        <v>6119</v>
      </c>
      <c r="D1629" s="1796">
        <v>0</v>
      </c>
      <c r="E1629" s="1796">
        <v>0</v>
      </c>
      <c r="F1629" s="1797">
        <v>0</v>
      </c>
      <c r="G1629" s="1999" t="s">
        <v>6119</v>
      </c>
      <c r="H1629" s="1794">
        <v>0</v>
      </c>
      <c r="I1629" s="1794">
        <v>0</v>
      </c>
      <c r="J1629" s="2000">
        <v>0</v>
      </c>
      <c r="K1629" s="1798"/>
      <c r="L1629" s="1792">
        <v>13137000300</v>
      </c>
      <c r="M1629" s="1793">
        <v>0</v>
      </c>
      <c r="N1629" s="1793">
        <v>0</v>
      </c>
      <c r="O1629" s="1794">
        <v>0</v>
      </c>
    </row>
    <row r="1630" spans="3:15">
      <c r="C1630" s="1799" t="s">
        <v>6120</v>
      </c>
      <c r="D1630" s="1796">
        <v>1</v>
      </c>
      <c r="E1630" s="1796">
        <v>0</v>
      </c>
      <c r="F1630" s="1797">
        <v>1</v>
      </c>
      <c r="G1630" s="1999" t="s">
        <v>6120</v>
      </c>
      <c r="H1630" s="1794">
        <v>0</v>
      </c>
      <c r="I1630" s="1794">
        <v>1</v>
      </c>
      <c r="J1630" s="2000">
        <v>1</v>
      </c>
      <c r="K1630" s="1798"/>
      <c r="L1630" s="1792">
        <v>13137000400</v>
      </c>
      <c r="M1630" s="1793">
        <v>1</v>
      </c>
      <c r="N1630" s="1793">
        <v>1</v>
      </c>
      <c r="O1630" s="1794">
        <v>1</v>
      </c>
    </row>
    <row r="1631" spans="3:15">
      <c r="C1631" s="1799" t="s">
        <v>6121</v>
      </c>
      <c r="D1631" s="1796">
        <v>0</v>
      </c>
      <c r="E1631" s="1796">
        <v>0</v>
      </c>
      <c r="F1631" s="1797">
        <v>0</v>
      </c>
      <c r="G1631" s="1999" t="s">
        <v>6121</v>
      </c>
      <c r="H1631" s="1794">
        <v>0</v>
      </c>
      <c r="I1631" s="1794">
        <v>1</v>
      </c>
      <c r="J1631" s="2000">
        <v>1</v>
      </c>
      <c r="K1631" s="1798"/>
      <c r="L1631" s="1792">
        <v>13137000500</v>
      </c>
      <c r="M1631" s="1793">
        <v>0</v>
      </c>
      <c r="N1631" s="1793">
        <v>1</v>
      </c>
      <c r="O1631" s="1794">
        <v>1</v>
      </c>
    </row>
    <row r="1632" spans="3:15">
      <c r="C1632" s="1799" t="s">
        <v>6122</v>
      </c>
      <c r="D1632" s="1796">
        <v>0</v>
      </c>
      <c r="E1632" s="1796">
        <v>0</v>
      </c>
      <c r="F1632" s="1797">
        <v>0</v>
      </c>
      <c r="G1632" s="1999" t="s">
        <v>6122</v>
      </c>
      <c r="H1632" s="1794">
        <v>0</v>
      </c>
      <c r="I1632" s="1794">
        <v>0</v>
      </c>
      <c r="J1632" s="2000">
        <v>0</v>
      </c>
      <c r="K1632" s="1798"/>
      <c r="L1632" s="1792">
        <v>13137000601</v>
      </c>
      <c r="M1632" s="1793">
        <v>0</v>
      </c>
      <c r="N1632" s="1793">
        <v>0</v>
      </c>
      <c r="O1632" s="1794">
        <v>0</v>
      </c>
    </row>
    <row r="1633" spans="3:15">
      <c r="C1633" s="1799" t="s">
        <v>6123</v>
      </c>
      <c r="D1633" s="1796">
        <v>0</v>
      </c>
      <c r="E1633" s="1796">
        <v>0</v>
      </c>
      <c r="F1633" s="1797">
        <v>0</v>
      </c>
      <c r="G1633" s="1999" t="s">
        <v>6123</v>
      </c>
      <c r="H1633" s="1794">
        <v>0</v>
      </c>
      <c r="I1633" s="1794">
        <v>0</v>
      </c>
      <c r="J1633" s="2000">
        <v>0</v>
      </c>
      <c r="K1633" s="1798"/>
      <c r="L1633" s="1792">
        <v>13137000602</v>
      </c>
      <c r="M1633" s="1793">
        <v>0</v>
      </c>
      <c r="N1633" s="1793">
        <v>0</v>
      </c>
      <c r="O1633" s="1794">
        <v>0</v>
      </c>
    </row>
    <row r="1634" spans="3:15">
      <c r="C1634" s="1799" t="s">
        <v>6124</v>
      </c>
      <c r="D1634" s="1796">
        <v>1</v>
      </c>
      <c r="E1634" s="1796">
        <v>0</v>
      </c>
      <c r="F1634" s="1797">
        <v>1</v>
      </c>
      <c r="G1634" s="1999" t="s">
        <v>6124</v>
      </c>
      <c r="H1634" s="1794">
        <v>0</v>
      </c>
      <c r="I1634" s="1794">
        <v>0</v>
      </c>
      <c r="J1634" s="2000">
        <v>0</v>
      </c>
      <c r="K1634" s="1798"/>
      <c r="L1634" s="1792">
        <v>13139000101</v>
      </c>
      <c r="M1634" s="1793">
        <v>1</v>
      </c>
      <c r="N1634" s="1793">
        <v>0</v>
      </c>
      <c r="O1634" s="1794">
        <v>1</v>
      </c>
    </row>
    <row r="1635" spans="3:15">
      <c r="C1635" s="1799" t="s">
        <v>6125</v>
      </c>
      <c r="D1635" s="1796">
        <v>1</v>
      </c>
      <c r="E1635" s="1796">
        <v>0</v>
      </c>
      <c r="F1635" s="1797">
        <v>1</v>
      </c>
      <c r="G1635" s="1999" t="s">
        <v>6125</v>
      </c>
      <c r="H1635" s="1794">
        <v>1</v>
      </c>
      <c r="I1635" s="1794">
        <v>0</v>
      </c>
      <c r="J1635" s="2000">
        <v>1</v>
      </c>
      <c r="K1635" s="1798"/>
      <c r="L1635" s="1792">
        <v>13139000102</v>
      </c>
      <c r="M1635" s="1793">
        <v>1</v>
      </c>
      <c r="N1635" s="1793">
        <v>0</v>
      </c>
      <c r="O1635" s="1794">
        <v>1</v>
      </c>
    </row>
    <row r="1636" spans="3:15">
      <c r="C1636" s="1799" t="s">
        <v>6126</v>
      </c>
      <c r="D1636" s="1796">
        <v>0</v>
      </c>
      <c r="E1636" s="1796">
        <v>0</v>
      </c>
      <c r="F1636" s="1797">
        <v>0</v>
      </c>
      <c r="G1636" s="1999" t="s">
        <v>6126</v>
      </c>
      <c r="H1636" s="1794">
        <v>1</v>
      </c>
      <c r="I1636" s="1794">
        <v>0</v>
      </c>
      <c r="J1636" s="2000">
        <v>1</v>
      </c>
      <c r="K1636" s="1798"/>
      <c r="L1636" s="1792">
        <v>13139000201</v>
      </c>
      <c r="M1636" s="1793">
        <v>1</v>
      </c>
      <c r="N1636" s="1793">
        <v>0</v>
      </c>
      <c r="O1636" s="1794">
        <v>1</v>
      </c>
    </row>
    <row r="1637" spans="3:15">
      <c r="C1637" s="1799" t="s">
        <v>6127</v>
      </c>
      <c r="D1637" s="1796">
        <v>1</v>
      </c>
      <c r="E1637" s="1796">
        <v>1</v>
      </c>
      <c r="F1637" s="1797">
        <v>2</v>
      </c>
      <c r="G1637" s="1999" t="s">
        <v>6127</v>
      </c>
      <c r="H1637" s="1794">
        <v>1</v>
      </c>
      <c r="I1637" s="1794">
        <v>1</v>
      </c>
      <c r="J1637" s="2000">
        <v>2</v>
      </c>
      <c r="K1637" s="1798"/>
      <c r="L1637" s="1792">
        <v>13139000203</v>
      </c>
      <c r="M1637" s="1793">
        <v>1</v>
      </c>
      <c r="N1637" s="1793">
        <v>1</v>
      </c>
      <c r="O1637" s="1794">
        <v>2</v>
      </c>
    </row>
    <row r="1638" spans="3:15">
      <c r="C1638" s="1799" t="s">
        <v>6128</v>
      </c>
      <c r="D1638" s="1796">
        <v>1</v>
      </c>
      <c r="E1638" s="1796">
        <v>1</v>
      </c>
      <c r="F1638" s="1797">
        <v>2</v>
      </c>
      <c r="G1638" s="1999" t="s">
        <v>6128</v>
      </c>
      <c r="H1638" s="1794">
        <v>1</v>
      </c>
      <c r="I1638" s="1794">
        <v>1</v>
      </c>
      <c r="J1638" s="2000">
        <v>2</v>
      </c>
      <c r="K1638" s="1798"/>
      <c r="L1638" s="1792">
        <v>13139000204</v>
      </c>
      <c r="M1638" s="1793">
        <v>1</v>
      </c>
      <c r="N1638" s="1793">
        <v>1</v>
      </c>
      <c r="O1638" s="1794">
        <v>2</v>
      </c>
    </row>
    <row r="1639" spans="3:15">
      <c r="C1639" s="1799" t="s">
        <v>6129</v>
      </c>
      <c r="D1639" s="1796">
        <v>1</v>
      </c>
      <c r="E1639" s="1796">
        <v>1</v>
      </c>
      <c r="F1639" s="1797">
        <v>2</v>
      </c>
      <c r="G1639" s="1999" t="s">
        <v>6129</v>
      </c>
      <c r="H1639" s="1794">
        <v>1</v>
      </c>
      <c r="I1639" s="1794">
        <v>0</v>
      </c>
      <c r="J1639" s="2000">
        <v>1</v>
      </c>
      <c r="K1639" s="1798"/>
      <c r="L1639" s="1792">
        <v>13139000302</v>
      </c>
      <c r="M1639" s="1793">
        <v>1</v>
      </c>
      <c r="N1639" s="1793">
        <v>1</v>
      </c>
      <c r="O1639" s="1794">
        <v>2</v>
      </c>
    </row>
    <row r="1640" spans="3:15">
      <c r="C1640" s="1799" t="s">
        <v>6130</v>
      </c>
      <c r="D1640" s="1796">
        <v>1</v>
      </c>
      <c r="E1640" s="1796">
        <v>1</v>
      </c>
      <c r="F1640" s="1797">
        <v>2</v>
      </c>
      <c r="G1640" s="1999" t="s">
        <v>6130</v>
      </c>
      <c r="H1640" s="1794">
        <v>1</v>
      </c>
      <c r="I1640" s="1794">
        <v>1</v>
      </c>
      <c r="J1640" s="2000">
        <v>2</v>
      </c>
      <c r="K1640" s="1798"/>
      <c r="L1640" s="1792">
        <v>13139000303</v>
      </c>
      <c r="M1640" s="1793">
        <v>1</v>
      </c>
      <c r="N1640" s="1793">
        <v>1</v>
      </c>
      <c r="O1640" s="1794">
        <v>2</v>
      </c>
    </row>
    <row r="1641" spans="3:15">
      <c r="C1641" s="1799" t="s">
        <v>6131</v>
      </c>
      <c r="D1641" s="1796">
        <v>1</v>
      </c>
      <c r="E1641" s="1796">
        <v>1</v>
      </c>
      <c r="F1641" s="1797">
        <v>2</v>
      </c>
      <c r="G1641" s="1999" t="s">
        <v>6131</v>
      </c>
      <c r="H1641" s="1794">
        <v>1</v>
      </c>
      <c r="I1641" s="1794">
        <v>1</v>
      </c>
      <c r="J1641" s="2000">
        <v>2</v>
      </c>
      <c r="K1641" s="1798"/>
      <c r="L1641" s="1792">
        <v>13139000304</v>
      </c>
      <c r="M1641" s="1793">
        <v>1</v>
      </c>
      <c r="N1641" s="1793">
        <v>1</v>
      </c>
      <c r="O1641" s="1794">
        <v>2</v>
      </c>
    </row>
    <row r="1642" spans="3:15">
      <c r="C1642" s="1799" t="s">
        <v>6132</v>
      </c>
      <c r="D1642" s="1796">
        <v>1</v>
      </c>
      <c r="E1642" s="1796">
        <v>1</v>
      </c>
      <c r="F1642" s="1797">
        <v>2</v>
      </c>
      <c r="G1642" s="1999" t="s">
        <v>6132</v>
      </c>
      <c r="H1642" s="1794">
        <v>1</v>
      </c>
      <c r="I1642" s="1794">
        <v>1</v>
      </c>
      <c r="J1642" s="2000">
        <v>2</v>
      </c>
      <c r="K1642" s="1798"/>
      <c r="L1642" s="1792">
        <v>13139000305</v>
      </c>
      <c r="M1642" s="1793">
        <v>1</v>
      </c>
      <c r="N1642" s="1793">
        <v>1</v>
      </c>
      <c r="O1642" s="1794">
        <v>2</v>
      </c>
    </row>
    <row r="1643" spans="3:15">
      <c r="C1643" s="1799" t="s">
        <v>6133</v>
      </c>
      <c r="D1643" s="1796">
        <v>1</v>
      </c>
      <c r="E1643" s="1796">
        <v>0</v>
      </c>
      <c r="F1643" s="1797">
        <v>1</v>
      </c>
      <c r="G1643" s="1999" t="s">
        <v>6133</v>
      </c>
      <c r="H1643" s="1794">
        <v>1</v>
      </c>
      <c r="I1643" s="1794">
        <v>1</v>
      </c>
      <c r="J1643" s="2000">
        <v>2</v>
      </c>
      <c r="K1643" s="1798"/>
      <c r="L1643" s="1792">
        <v>13139000400</v>
      </c>
      <c r="M1643" s="1793">
        <v>1</v>
      </c>
      <c r="N1643" s="1793">
        <v>1</v>
      </c>
      <c r="O1643" s="1794">
        <v>2</v>
      </c>
    </row>
    <row r="1644" spans="3:15">
      <c r="C1644" s="1799" t="s">
        <v>6134</v>
      </c>
      <c r="D1644" s="1796">
        <v>1</v>
      </c>
      <c r="E1644" s="1796">
        <v>1</v>
      </c>
      <c r="F1644" s="1797">
        <v>2</v>
      </c>
      <c r="G1644" s="1999" t="s">
        <v>6134</v>
      </c>
      <c r="H1644" s="1794">
        <v>1</v>
      </c>
      <c r="I1644" s="1794">
        <v>1</v>
      </c>
      <c r="J1644" s="2000">
        <v>2</v>
      </c>
      <c r="K1644" s="1798"/>
      <c r="L1644" s="1792">
        <v>13139000500</v>
      </c>
      <c r="M1644" s="1793">
        <v>1</v>
      </c>
      <c r="N1644" s="1793">
        <v>1</v>
      </c>
      <c r="O1644" s="1794">
        <v>2</v>
      </c>
    </row>
    <row r="1645" spans="3:15">
      <c r="C1645" s="1799" t="s">
        <v>6135</v>
      </c>
      <c r="D1645" s="1796">
        <v>0</v>
      </c>
      <c r="E1645" s="1796">
        <v>0</v>
      </c>
      <c r="F1645" s="1797">
        <v>0</v>
      </c>
      <c r="G1645" s="1999" t="s">
        <v>6135</v>
      </c>
      <c r="H1645" s="1794">
        <v>0</v>
      </c>
      <c r="I1645" s="1794">
        <v>0</v>
      </c>
      <c r="J1645" s="2000">
        <v>0</v>
      </c>
      <c r="K1645" s="1798"/>
      <c r="L1645" s="1792">
        <v>13139000600</v>
      </c>
      <c r="M1645" s="1793">
        <v>0</v>
      </c>
      <c r="N1645" s="1793">
        <v>0</v>
      </c>
      <c r="O1645" s="1794">
        <v>0</v>
      </c>
    </row>
    <row r="1646" spans="3:15">
      <c r="C1646" s="1799" t="s">
        <v>6136</v>
      </c>
      <c r="D1646" s="1796">
        <v>0</v>
      </c>
      <c r="E1646" s="1796">
        <v>0</v>
      </c>
      <c r="F1646" s="1797">
        <v>0</v>
      </c>
      <c r="G1646" s="1999" t="s">
        <v>6136</v>
      </c>
      <c r="H1646" s="1794">
        <v>0</v>
      </c>
      <c r="I1646" s="1794">
        <v>0</v>
      </c>
      <c r="J1646" s="2000">
        <v>0</v>
      </c>
      <c r="K1646" s="1798"/>
      <c r="L1646" s="1792">
        <v>13139000701</v>
      </c>
      <c r="M1646" s="1793">
        <v>0</v>
      </c>
      <c r="N1646" s="1793">
        <v>0</v>
      </c>
      <c r="O1646" s="1794">
        <v>0</v>
      </c>
    </row>
    <row r="1647" spans="3:15">
      <c r="C1647" s="1799" t="s">
        <v>6137</v>
      </c>
      <c r="D1647" s="1796">
        <v>0</v>
      </c>
      <c r="E1647" s="1796">
        <v>0</v>
      </c>
      <c r="F1647" s="1797">
        <v>0</v>
      </c>
      <c r="G1647" s="1999" t="s">
        <v>6137</v>
      </c>
      <c r="H1647" s="1794">
        <v>0</v>
      </c>
      <c r="I1647" s="1794">
        <v>0</v>
      </c>
      <c r="J1647" s="2000">
        <v>0</v>
      </c>
      <c r="K1647" s="1798"/>
      <c r="L1647" s="1792">
        <v>13139000702</v>
      </c>
      <c r="M1647" s="1793">
        <v>0</v>
      </c>
      <c r="N1647" s="1793">
        <v>0</v>
      </c>
      <c r="O1647" s="1794">
        <v>0</v>
      </c>
    </row>
    <row r="1648" spans="3:15">
      <c r="C1648" s="1799" t="s">
        <v>6138</v>
      </c>
      <c r="D1648" s="1796">
        <v>0</v>
      </c>
      <c r="E1648" s="1796">
        <v>0</v>
      </c>
      <c r="F1648" s="1797">
        <v>0</v>
      </c>
      <c r="G1648" s="1999" t="s">
        <v>6138</v>
      </c>
      <c r="H1648" s="1794">
        <v>0</v>
      </c>
      <c r="I1648" s="1794">
        <v>0</v>
      </c>
      <c r="J1648" s="2000">
        <v>0</v>
      </c>
      <c r="K1648" s="1798"/>
      <c r="L1648" s="1792">
        <v>13139000800</v>
      </c>
      <c r="M1648" s="1793">
        <v>0</v>
      </c>
      <c r="N1648" s="1793">
        <v>0</v>
      </c>
      <c r="O1648" s="1794">
        <v>0</v>
      </c>
    </row>
    <row r="1649" spans="3:15">
      <c r="C1649" s="1799" t="s">
        <v>6139</v>
      </c>
      <c r="D1649" s="1796">
        <v>1</v>
      </c>
      <c r="E1649" s="1796">
        <v>1</v>
      </c>
      <c r="F1649" s="1797">
        <v>2</v>
      </c>
      <c r="G1649" s="1999" t="s">
        <v>6139</v>
      </c>
      <c r="H1649" s="1794">
        <v>1</v>
      </c>
      <c r="I1649" s="1794">
        <v>1</v>
      </c>
      <c r="J1649" s="2000">
        <v>2</v>
      </c>
      <c r="K1649" s="1798"/>
      <c r="L1649" s="1792">
        <v>13139000900</v>
      </c>
      <c r="M1649" s="1793">
        <v>1</v>
      </c>
      <c r="N1649" s="1793">
        <v>1</v>
      </c>
      <c r="O1649" s="1794">
        <v>2</v>
      </c>
    </row>
    <row r="1650" spans="3:15">
      <c r="C1650" s="1799" t="s">
        <v>6140</v>
      </c>
      <c r="D1650" s="1796">
        <v>1</v>
      </c>
      <c r="E1650" s="1796">
        <v>0</v>
      </c>
      <c r="F1650" s="1797">
        <v>1</v>
      </c>
      <c r="G1650" s="1999" t="s">
        <v>6140</v>
      </c>
      <c r="H1650" s="1794">
        <v>0</v>
      </c>
      <c r="I1650" s="1794">
        <v>1</v>
      </c>
      <c r="J1650" s="2000">
        <v>1</v>
      </c>
      <c r="K1650" s="1798"/>
      <c r="L1650" s="1792">
        <v>13139001002</v>
      </c>
      <c r="M1650" s="1793">
        <v>1</v>
      </c>
      <c r="N1650" s="1793">
        <v>1</v>
      </c>
      <c r="O1650" s="1794">
        <v>1</v>
      </c>
    </row>
    <row r="1651" spans="3:15">
      <c r="C1651" s="1799" t="s">
        <v>6141</v>
      </c>
      <c r="D1651" s="1796">
        <v>0</v>
      </c>
      <c r="E1651" s="1796">
        <v>0</v>
      </c>
      <c r="F1651" s="1797">
        <v>0</v>
      </c>
      <c r="G1651" s="1999" t="s">
        <v>6141</v>
      </c>
      <c r="H1651" s="1794">
        <v>0</v>
      </c>
      <c r="I1651" s="1794">
        <v>0</v>
      </c>
      <c r="J1651" s="2000">
        <v>0</v>
      </c>
      <c r="K1651" s="1798"/>
      <c r="L1651" s="1792">
        <v>13139001003</v>
      </c>
      <c r="M1651" s="1793">
        <v>0</v>
      </c>
      <c r="N1651" s="1793">
        <v>0</v>
      </c>
      <c r="O1651" s="1794">
        <v>0</v>
      </c>
    </row>
    <row r="1652" spans="3:15">
      <c r="C1652" s="1799" t="s">
        <v>6142</v>
      </c>
      <c r="D1652" s="1796">
        <v>1</v>
      </c>
      <c r="E1652" s="1796">
        <v>1</v>
      </c>
      <c r="F1652" s="1797">
        <v>2</v>
      </c>
      <c r="G1652" s="1999" t="s">
        <v>6142</v>
      </c>
      <c r="H1652" s="1794">
        <v>0</v>
      </c>
      <c r="I1652" s="1794">
        <v>0</v>
      </c>
      <c r="J1652" s="2000">
        <v>0</v>
      </c>
      <c r="K1652" s="1798"/>
      <c r="L1652" s="1792">
        <v>13139001004</v>
      </c>
      <c r="M1652" s="1793">
        <v>1</v>
      </c>
      <c r="N1652" s="1793">
        <v>1</v>
      </c>
      <c r="O1652" s="1794">
        <v>2</v>
      </c>
    </row>
    <row r="1653" spans="3:15">
      <c r="C1653" s="1799" t="s">
        <v>6143</v>
      </c>
      <c r="D1653" s="1796">
        <v>0</v>
      </c>
      <c r="E1653" s="1796">
        <v>0</v>
      </c>
      <c r="F1653" s="1797">
        <v>0</v>
      </c>
      <c r="G1653" s="1999" t="s">
        <v>6143</v>
      </c>
      <c r="H1653" s="1794">
        <v>0</v>
      </c>
      <c r="I1653" s="1794" t="s">
        <v>4485</v>
      </c>
      <c r="J1653" s="2000">
        <v>0</v>
      </c>
      <c r="K1653" s="1798"/>
      <c r="L1653" s="1792">
        <v>13139001101</v>
      </c>
      <c r="M1653" s="1793">
        <v>0</v>
      </c>
      <c r="N1653" s="1793">
        <v>0</v>
      </c>
      <c r="O1653" s="1794">
        <v>0</v>
      </c>
    </row>
    <row r="1654" spans="3:15">
      <c r="C1654" s="1799" t="s">
        <v>6144</v>
      </c>
      <c r="D1654" s="1796">
        <v>0</v>
      </c>
      <c r="E1654" s="1796">
        <v>0</v>
      </c>
      <c r="F1654" s="1797">
        <v>0</v>
      </c>
      <c r="G1654" s="1999" t="s">
        <v>6144</v>
      </c>
      <c r="H1654" s="1794">
        <v>1</v>
      </c>
      <c r="I1654" s="1794">
        <v>0</v>
      </c>
      <c r="J1654" s="2000">
        <v>1</v>
      </c>
      <c r="K1654" s="1798"/>
      <c r="L1654" s="1792">
        <v>13139001102</v>
      </c>
      <c r="M1654" s="1793">
        <v>1</v>
      </c>
      <c r="N1654" s="1793">
        <v>0</v>
      </c>
      <c r="O1654" s="1794">
        <v>1</v>
      </c>
    </row>
    <row r="1655" spans="3:15">
      <c r="C1655" s="1799" t="s">
        <v>6145</v>
      </c>
      <c r="D1655" s="1796">
        <v>0</v>
      </c>
      <c r="E1655" s="1796">
        <v>0</v>
      </c>
      <c r="F1655" s="1797">
        <v>0</v>
      </c>
      <c r="G1655" s="1999" t="s">
        <v>6145</v>
      </c>
      <c r="H1655" s="1794">
        <v>0</v>
      </c>
      <c r="I1655" s="1794">
        <v>0</v>
      </c>
      <c r="J1655" s="2000">
        <v>0</v>
      </c>
      <c r="K1655" s="1798"/>
      <c r="L1655" s="1792">
        <v>13139001201</v>
      </c>
      <c r="M1655" s="1793">
        <v>0</v>
      </c>
      <c r="N1655" s="1793">
        <v>0</v>
      </c>
      <c r="O1655" s="1794">
        <v>0</v>
      </c>
    </row>
    <row r="1656" spans="3:15">
      <c r="C1656" s="1799" t="s">
        <v>6146</v>
      </c>
      <c r="D1656" s="1796">
        <v>1</v>
      </c>
      <c r="E1656" s="1796">
        <v>0</v>
      </c>
      <c r="F1656" s="1797">
        <v>1</v>
      </c>
      <c r="G1656" s="1999" t="s">
        <v>6146</v>
      </c>
      <c r="H1656" s="1794">
        <v>0</v>
      </c>
      <c r="I1656" s="1794">
        <v>0</v>
      </c>
      <c r="J1656" s="2000">
        <v>0</v>
      </c>
      <c r="K1656" s="1798"/>
      <c r="L1656" s="1792">
        <v>13139001202</v>
      </c>
      <c r="M1656" s="1793">
        <v>1</v>
      </c>
      <c r="N1656" s="1793">
        <v>0</v>
      </c>
      <c r="O1656" s="1794">
        <v>1</v>
      </c>
    </row>
    <row r="1657" spans="3:15">
      <c r="C1657" s="1799" t="s">
        <v>6147</v>
      </c>
      <c r="D1657" s="1796">
        <v>1</v>
      </c>
      <c r="E1657" s="1796">
        <v>1</v>
      </c>
      <c r="F1657" s="1797">
        <v>2</v>
      </c>
      <c r="G1657" s="1999" t="s">
        <v>6147</v>
      </c>
      <c r="H1657" s="1794">
        <v>1</v>
      </c>
      <c r="I1657" s="1794">
        <v>0</v>
      </c>
      <c r="J1657" s="2000">
        <v>1</v>
      </c>
      <c r="K1657" s="1798"/>
      <c r="L1657" s="1792">
        <v>13139001301</v>
      </c>
      <c r="M1657" s="1793">
        <v>1</v>
      </c>
      <c r="N1657" s="1793">
        <v>1</v>
      </c>
      <c r="O1657" s="1794">
        <v>2</v>
      </c>
    </row>
    <row r="1658" spans="3:15">
      <c r="C1658" s="1799" t="s">
        <v>6148</v>
      </c>
      <c r="D1658" s="1796">
        <v>1</v>
      </c>
      <c r="E1658" s="1796">
        <v>1</v>
      </c>
      <c r="F1658" s="1797">
        <v>2</v>
      </c>
      <c r="G1658" s="1999" t="s">
        <v>6148</v>
      </c>
      <c r="H1658" s="1794">
        <v>1</v>
      </c>
      <c r="I1658" s="1794">
        <v>1</v>
      </c>
      <c r="J1658" s="2000">
        <v>2</v>
      </c>
      <c r="K1658" s="1798"/>
      <c r="L1658" s="1792">
        <v>13139001302</v>
      </c>
      <c r="M1658" s="1793">
        <v>1</v>
      </c>
      <c r="N1658" s="1793">
        <v>1</v>
      </c>
      <c r="O1658" s="1794">
        <v>2</v>
      </c>
    </row>
    <row r="1659" spans="3:15">
      <c r="C1659" s="1799" t="s">
        <v>6149</v>
      </c>
      <c r="D1659" s="1796">
        <v>1</v>
      </c>
      <c r="E1659" s="1796">
        <v>1</v>
      </c>
      <c r="F1659" s="1797">
        <v>2</v>
      </c>
      <c r="G1659" s="1999" t="s">
        <v>6149</v>
      </c>
      <c r="H1659" s="1794">
        <v>1</v>
      </c>
      <c r="I1659" s="1794">
        <v>0</v>
      </c>
      <c r="J1659" s="2000">
        <v>1</v>
      </c>
      <c r="K1659" s="1798"/>
      <c r="L1659" s="1792">
        <v>13139001402</v>
      </c>
      <c r="M1659" s="1793">
        <v>1</v>
      </c>
      <c r="N1659" s="1793">
        <v>1</v>
      </c>
      <c r="O1659" s="1794">
        <v>2</v>
      </c>
    </row>
    <row r="1660" spans="3:15">
      <c r="C1660" s="1799" t="s">
        <v>6150</v>
      </c>
      <c r="D1660" s="1796">
        <v>0</v>
      </c>
      <c r="E1660" s="1796">
        <v>0</v>
      </c>
      <c r="F1660" s="1797">
        <v>0</v>
      </c>
      <c r="G1660" s="1999" t="s">
        <v>6150</v>
      </c>
      <c r="H1660" s="1794">
        <v>0</v>
      </c>
      <c r="I1660" s="1794">
        <v>0</v>
      </c>
      <c r="J1660" s="2000">
        <v>0</v>
      </c>
      <c r="K1660" s="1798"/>
      <c r="L1660" s="1792">
        <v>13139001403</v>
      </c>
      <c r="M1660" s="1793">
        <v>0</v>
      </c>
      <c r="N1660" s="1793">
        <v>0</v>
      </c>
      <c r="O1660" s="1794">
        <v>0</v>
      </c>
    </row>
    <row r="1661" spans="3:15">
      <c r="C1661" s="1799" t="s">
        <v>6151</v>
      </c>
      <c r="D1661" s="1796">
        <v>1</v>
      </c>
      <c r="E1661" s="1796">
        <v>0</v>
      </c>
      <c r="F1661" s="1797">
        <v>1</v>
      </c>
      <c r="G1661" s="1999" t="s">
        <v>6151</v>
      </c>
      <c r="H1661" s="1794">
        <v>1</v>
      </c>
      <c r="I1661" s="1794">
        <v>0</v>
      </c>
      <c r="J1661" s="2000">
        <v>1</v>
      </c>
      <c r="K1661" s="1798"/>
      <c r="L1661" s="1792">
        <v>13139001404</v>
      </c>
      <c r="M1661" s="1793">
        <v>1</v>
      </c>
      <c r="N1661" s="1793">
        <v>0</v>
      </c>
      <c r="O1661" s="1794">
        <v>1</v>
      </c>
    </row>
    <row r="1662" spans="3:15">
      <c r="C1662" s="1799" t="s">
        <v>6152</v>
      </c>
      <c r="D1662" s="1796">
        <v>1</v>
      </c>
      <c r="E1662" s="1796">
        <v>1</v>
      </c>
      <c r="F1662" s="1797">
        <v>2</v>
      </c>
      <c r="G1662" s="1999" t="s">
        <v>6152</v>
      </c>
      <c r="H1662" s="1794">
        <v>1</v>
      </c>
      <c r="I1662" s="1794">
        <v>1</v>
      </c>
      <c r="J1662" s="2000">
        <v>2</v>
      </c>
      <c r="K1662" s="1798"/>
      <c r="L1662" s="1792">
        <v>13139001501</v>
      </c>
      <c r="M1662" s="1793">
        <v>1</v>
      </c>
      <c r="N1662" s="1793">
        <v>1</v>
      </c>
      <c r="O1662" s="1794">
        <v>2</v>
      </c>
    </row>
    <row r="1663" spans="3:15">
      <c r="C1663" s="1799" t="s">
        <v>6153</v>
      </c>
      <c r="D1663" s="1796">
        <v>1</v>
      </c>
      <c r="E1663" s="1796">
        <v>1</v>
      </c>
      <c r="F1663" s="1797">
        <v>2</v>
      </c>
      <c r="G1663" s="1999" t="s">
        <v>6153</v>
      </c>
      <c r="H1663" s="1794">
        <v>1</v>
      </c>
      <c r="I1663" s="1794">
        <v>1</v>
      </c>
      <c r="J1663" s="2000">
        <v>2</v>
      </c>
      <c r="K1663" s="1798"/>
      <c r="L1663" s="1792">
        <v>13139001502</v>
      </c>
      <c r="M1663" s="1793">
        <v>1</v>
      </c>
      <c r="N1663" s="1793">
        <v>1</v>
      </c>
      <c r="O1663" s="1794">
        <v>2</v>
      </c>
    </row>
    <row r="1664" spans="3:15">
      <c r="C1664" s="1799" t="s">
        <v>6154</v>
      </c>
      <c r="D1664" s="1796">
        <v>1</v>
      </c>
      <c r="E1664" s="1796">
        <v>1</v>
      </c>
      <c r="F1664" s="1797">
        <v>2</v>
      </c>
      <c r="G1664" s="1999" t="s">
        <v>6154</v>
      </c>
      <c r="H1664" s="1794">
        <v>1</v>
      </c>
      <c r="I1664" s="1794">
        <v>0</v>
      </c>
      <c r="J1664" s="2000">
        <v>1</v>
      </c>
      <c r="K1664" s="1798"/>
      <c r="L1664" s="1792">
        <v>13139001603</v>
      </c>
      <c r="M1664" s="1793">
        <v>1</v>
      </c>
      <c r="N1664" s="1793">
        <v>1</v>
      </c>
      <c r="O1664" s="1794">
        <v>2</v>
      </c>
    </row>
    <row r="1665" spans="3:15">
      <c r="C1665" s="1799" t="s">
        <v>6155</v>
      </c>
      <c r="D1665" s="1796">
        <v>1</v>
      </c>
      <c r="E1665" s="1796">
        <v>1</v>
      </c>
      <c r="F1665" s="1797">
        <v>2</v>
      </c>
      <c r="G1665" s="1999" t="s">
        <v>6155</v>
      </c>
      <c r="H1665" s="1794">
        <v>1</v>
      </c>
      <c r="I1665" s="1794">
        <v>1</v>
      </c>
      <c r="J1665" s="2000">
        <v>2</v>
      </c>
      <c r="K1665" s="1798"/>
      <c r="L1665" s="1792">
        <v>13139001604</v>
      </c>
      <c r="M1665" s="1793">
        <v>1</v>
      </c>
      <c r="N1665" s="1793">
        <v>1</v>
      </c>
      <c r="O1665" s="1794">
        <v>2</v>
      </c>
    </row>
    <row r="1666" spans="3:15">
      <c r="C1666" s="1799" t="s">
        <v>6156</v>
      </c>
      <c r="D1666" s="1796">
        <v>1</v>
      </c>
      <c r="E1666" s="1796">
        <v>1</v>
      </c>
      <c r="F1666" s="1797">
        <v>2</v>
      </c>
      <c r="G1666" s="1999" t="s">
        <v>6156</v>
      </c>
      <c r="H1666" s="1794">
        <v>1</v>
      </c>
      <c r="I1666" s="1794" t="s">
        <v>4485</v>
      </c>
      <c r="J1666" s="2000">
        <v>1</v>
      </c>
      <c r="K1666" s="1798"/>
      <c r="L1666" s="1792">
        <v>13139001605</v>
      </c>
      <c r="M1666" s="1793">
        <v>1</v>
      </c>
      <c r="N1666" s="1793">
        <v>1</v>
      </c>
      <c r="O1666" s="1794">
        <v>2</v>
      </c>
    </row>
    <row r="1667" spans="3:15">
      <c r="C1667" s="1799" t="s">
        <v>6157</v>
      </c>
      <c r="D1667" s="1796">
        <v>1</v>
      </c>
      <c r="E1667" s="1796">
        <v>1</v>
      </c>
      <c r="F1667" s="1797">
        <v>2</v>
      </c>
      <c r="G1667" s="1999" t="s">
        <v>6157</v>
      </c>
      <c r="H1667" s="1794">
        <v>1</v>
      </c>
      <c r="I1667" s="1794">
        <v>1</v>
      </c>
      <c r="J1667" s="2000">
        <v>2</v>
      </c>
      <c r="K1667" s="1798"/>
      <c r="L1667" s="1792">
        <v>13139001606</v>
      </c>
      <c r="M1667" s="1793">
        <v>1</v>
      </c>
      <c r="N1667" s="1793">
        <v>1</v>
      </c>
      <c r="O1667" s="1794">
        <v>2</v>
      </c>
    </row>
    <row r="1668" spans="3:15">
      <c r="C1668" s="1799" t="s">
        <v>6158</v>
      </c>
      <c r="D1668" s="1796">
        <v>0</v>
      </c>
      <c r="E1668" s="1796">
        <v>1</v>
      </c>
      <c r="F1668" s="1797">
        <v>1</v>
      </c>
      <c r="G1668" s="1999" t="s">
        <v>6158</v>
      </c>
      <c r="H1668" s="1794">
        <v>1</v>
      </c>
      <c r="I1668" s="1794">
        <v>1</v>
      </c>
      <c r="J1668" s="2000">
        <v>2</v>
      </c>
      <c r="K1668" s="1798"/>
      <c r="L1668" s="1792">
        <v>13139001607</v>
      </c>
      <c r="M1668" s="1793">
        <v>1</v>
      </c>
      <c r="N1668" s="1793">
        <v>1</v>
      </c>
      <c r="O1668" s="1794">
        <v>2</v>
      </c>
    </row>
    <row r="1669" spans="3:15">
      <c r="C1669" s="1799" t="s">
        <v>6159</v>
      </c>
      <c r="D1669" s="1796">
        <v>1</v>
      </c>
      <c r="E1669" s="1796">
        <v>1</v>
      </c>
      <c r="F1669" s="1797">
        <v>2</v>
      </c>
      <c r="G1669" s="1999" t="s">
        <v>6159</v>
      </c>
      <c r="H1669" s="1794">
        <v>1</v>
      </c>
      <c r="I1669" s="1794">
        <v>1</v>
      </c>
      <c r="J1669" s="2000">
        <v>2</v>
      </c>
      <c r="K1669" s="1798"/>
      <c r="L1669" s="1792">
        <v>13139001608</v>
      </c>
      <c r="M1669" s="1793">
        <v>1</v>
      </c>
      <c r="N1669" s="1793">
        <v>1</v>
      </c>
      <c r="O1669" s="1794">
        <v>2</v>
      </c>
    </row>
    <row r="1670" spans="3:15">
      <c r="C1670" s="1799" t="s">
        <v>6160</v>
      </c>
      <c r="D1670" s="1796">
        <v>0</v>
      </c>
      <c r="E1670" s="1796">
        <v>0</v>
      </c>
      <c r="F1670" s="1797">
        <v>0</v>
      </c>
      <c r="G1670" s="1999" t="s">
        <v>6160</v>
      </c>
      <c r="H1670" s="1794">
        <v>0</v>
      </c>
      <c r="I1670" s="1794">
        <v>1</v>
      </c>
      <c r="J1670" s="2000">
        <v>1</v>
      </c>
      <c r="K1670" s="1798"/>
      <c r="L1670" s="1792">
        <v>13141480300</v>
      </c>
      <c r="M1670" s="1793">
        <v>0</v>
      </c>
      <c r="N1670" s="1793">
        <v>1</v>
      </c>
      <c r="O1670" s="1794">
        <v>1</v>
      </c>
    </row>
    <row r="1671" spans="3:15">
      <c r="C1671" s="1799" t="s">
        <v>6161</v>
      </c>
      <c r="D1671" s="1796">
        <v>0</v>
      </c>
      <c r="E1671" s="1796">
        <v>0</v>
      </c>
      <c r="F1671" s="1797">
        <v>0</v>
      </c>
      <c r="G1671" s="1999" t="s">
        <v>6161</v>
      </c>
      <c r="H1671" s="1794">
        <v>0</v>
      </c>
      <c r="I1671" s="1794">
        <v>1</v>
      </c>
      <c r="J1671" s="2000">
        <v>1</v>
      </c>
      <c r="K1671" s="1798"/>
      <c r="L1671" s="1792">
        <v>13141480400</v>
      </c>
      <c r="M1671" s="1793">
        <v>0</v>
      </c>
      <c r="N1671" s="1793">
        <v>1</v>
      </c>
      <c r="O1671" s="1794">
        <v>1</v>
      </c>
    </row>
    <row r="1672" spans="3:15">
      <c r="C1672" s="1799" t="s">
        <v>6162</v>
      </c>
      <c r="D1672" s="1796">
        <v>0</v>
      </c>
      <c r="E1672" s="1796">
        <v>0</v>
      </c>
      <c r="F1672" s="1797">
        <v>0</v>
      </c>
      <c r="G1672" s="1999" t="s">
        <v>6162</v>
      </c>
      <c r="H1672" s="1794">
        <v>0</v>
      </c>
      <c r="I1672" s="1794">
        <v>0</v>
      </c>
      <c r="J1672" s="2000">
        <v>0</v>
      </c>
      <c r="K1672" s="1798"/>
      <c r="L1672" s="1792">
        <v>13143010100</v>
      </c>
      <c r="M1672" s="1793">
        <v>0</v>
      </c>
      <c r="N1672" s="1793">
        <v>0</v>
      </c>
      <c r="O1672" s="1794">
        <v>0</v>
      </c>
    </row>
    <row r="1673" spans="3:15">
      <c r="C1673" s="1799" t="s">
        <v>6163</v>
      </c>
      <c r="D1673" s="1796">
        <v>0</v>
      </c>
      <c r="E1673" s="1796">
        <v>1</v>
      </c>
      <c r="F1673" s="1797">
        <v>1</v>
      </c>
      <c r="G1673" s="1999" t="s">
        <v>6163</v>
      </c>
      <c r="H1673" s="1794">
        <v>0</v>
      </c>
      <c r="I1673" s="1794">
        <v>0</v>
      </c>
      <c r="J1673" s="2000">
        <v>0</v>
      </c>
      <c r="K1673" s="1798"/>
      <c r="L1673" s="1792">
        <v>13143010200</v>
      </c>
      <c r="M1673" s="1793">
        <v>0</v>
      </c>
      <c r="N1673" s="1793">
        <v>1</v>
      </c>
      <c r="O1673" s="1794">
        <v>1</v>
      </c>
    </row>
    <row r="1674" spans="3:15">
      <c r="C1674" s="1799" t="s">
        <v>6164</v>
      </c>
      <c r="D1674" s="1796">
        <v>0</v>
      </c>
      <c r="E1674" s="1796">
        <v>0</v>
      </c>
      <c r="F1674" s="1797">
        <v>0</v>
      </c>
      <c r="G1674" s="1999" t="s">
        <v>6164</v>
      </c>
      <c r="H1674" s="1794">
        <v>0</v>
      </c>
      <c r="I1674" s="1794">
        <v>0</v>
      </c>
      <c r="J1674" s="2000">
        <v>0</v>
      </c>
      <c r="K1674" s="1798"/>
      <c r="L1674" s="1792">
        <v>13143010301</v>
      </c>
      <c r="M1674" s="1793">
        <v>0</v>
      </c>
      <c r="N1674" s="1793">
        <v>0</v>
      </c>
      <c r="O1674" s="1794">
        <v>0</v>
      </c>
    </row>
    <row r="1675" spans="3:15">
      <c r="C1675" s="1799" t="s">
        <v>6165</v>
      </c>
      <c r="D1675" s="1796">
        <v>0</v>
      </c>
      <c r="E1675" s="1796">
        <v>0</v>
      </c>
      <c r="F1675" s="1797">
        <v>0</v>
      </c>
      <c r="G1675" s="1999" t="s">
        <v>6165</v>
      </c>
      <c r="H1675" s="1794">
        <v>1</v>
      </c>
      <c r="I1675" s="1794">
        <v>0</v>
      </c>
      <c r="J1675" s="2000">
        <v>1</v>
      </c>
      <c r="K1675" s="1798"/>
      <c r="L1675" s="1792">
        <v>13143010302</v>
      </c>
      <c r="M1675" s="1793">
        <v>1</v>
      </c>
      <c r="N1675" s="1793">
        <v>0</v>
      </c>
      <c r="O1675" s="1794">
        <v>1</v>
      </c>
    </row>
    <row r="1676" spans="3:15">
      <c r="C1676" s="1799" t="s">
        <v>6166</v>
      </c>
      <c r="D1676" s="1796">
        <v>0</v>
      </c>
      <c r="E1676" s="1796">
        <v>0</v>
      </c>
      <c r="F1676" s="1797">
        <v>0</v>
      </c>
      <c r="G1676" s="1999" t="s">
        <v>6166</v>
      </c>
      <c r="H1676" s="1794">
        <v>0</v>
      </c>
      <c r="I1676" s="1794">
        <v>0</v>
      </c>
      <c r="J1676" s="2000">
        <v>0</v>
      </c>
      <c r="K1676" s="1798"/>
      <c r="L1676" s="1792">
        <v>13143010400</v>
      </c>
      <c r="M1676" s="1793">
        <v>0</v>
      </c>
      <c r="N1676" s="1793">
        <v>0</v>
      </c>
      <c r="O1676" s="1794">
        <v>0</v>
      </c>
    </row>
    <row r="1677" spans="3:15">
      <c r="C1677" s="1799" t="s">
        <v>6167</v>
      </c>
      <c r="D1677" s="1796">
        <v>0</v>
      </c>
      <c r="E1677" s="1796">
        <v>0</v>
      </c>
      <c r="F1677" s="1797">
        <v>0</v>
      </c>
      <c r="G1677" s="1999" t="s">
        <v>6167</v>
      </c>
      <c r="H1677" s="1794">
        <v>0</v>
      </c>
      <c r="I1677" s="1794">
        <v>1</v>
      </c>
      <c r="J1677" s="2000">
        <v>1</v>
      </c>
      <c r="K1677" s="1798"/>
      <c r="L1677" s="1792">
        <v>13145120198</v>
      </c>
      <c r="M1677" s="1793">
        <v>0</v>
      </c>
      <c r="N1677" s="1793">
        <v>1</v>
      </c>
      <c r="O1677" s="1794">
        <v>1</v>
      </c>
    </row>
    <row r="1678" spans="3:15">
      <c r="C1678" s="1799" t="s">
        <v>6168</v>
      </c>
      <c r="D1678" s="1796">
        <v>0</v>
      </c>
      <c r="E1678" s="1796">
        <v>1</v>
      </c>
      <c r="F1678" s="1797">
        <v>1</v>
      </c>
      <c r="G1678" s="1999" t="s">
        <v>6168</v>
      </c>
      <c r="H1678" s="1794">
        <v>0</v>
      </c>
      <c r="I1678" s="1794" t="s">
        <v>4485</v>
      </c>
      <c r="J1678" s="2000">
        <v>0</v>
      </c>
      <c r="K1678" s="1798"/>
      <c r="L1678" s="1792">
        <v>13145120200</v>
      </c>
      <c r="M1678" s="1793">
        <v>0</v>
      </c>
      <c r="N1678" s="1793">
        <v>1</v>
      </c>
      <c r="O1678" s="1794">
        <v>1</v>
      </c>
    </row>
    <row r="1679" spans="3:15">
      <c r="C1679" s="1799" t="s">
        <v>6169</v>
      </c>
      <c r="D1679" s="1796">
        <v>1</v>
      </c>
      <c r="E1679" s="1796">
        <v>1</v>
      </c>
      <c r="F1679" s="1797">
        <v>2</v>
      </c>
      <c r="G1679" s="1999" t="s">
        <v>6169</v>
      </c>
      <c r="H1679" s="1794">
        <v>1</v>
      </c>
      <c r="I1679" s="1794">
        <v>1</v>
      </c>
      <c r="J1679" s="2000">
        <v>2</v>
      </c>
      <c r="K1679" s="1798"/>
      <c r="L1679" s="1792">
        <v>13145120300</v>
      </c>
      <c r="M1679" s="1793">
        <v>1</v>
      </c>
      <c r="N1679" s="1793">
        <v>1</v>
      </c>
      <c r="O1679" s="1794">
        <v>2</v>
      </c>
    </row>
    <row r="1680" spans="3:15">
      <c r="C1680" s="1799" t="s">
        <v>6170</v>
      </c>
      <c r="D1680" s="1796">
        <v>1</v>
      </c>
      <c r="E1680" s="1796">
        <v>1</v>
      </c>
      <c r="F1680" s="1797">
        <v>2</v>
      </c>
      <c r="G1680" s="1999" t="s">
        <v>6170</v>
      </c>
      <c r="H1680" s="1794">
        <v>1</v>
      </c>
      <c r="I1680" s="1794">
        <v>1</v>
      </c>
      <c r="J1680" s="2000">
        <v>2</v>
      </c>
      <c r="K1680" s="1798"/>
      <c r="L1680" s="1792">
        <v>13145120401</v>
      </c>
      <c r="M1680" s="1793">
        <v>1</v>
      </c>
      <c r="N1680" s="1793">
        <v>1</v>
      </c>
      <c r="O1680" s="1794">
        <v>2</v>
      </c>
    </row>
    <row r="1681" spans="3:15">
      <c r="C1681" s="1799" t="s">
        <v>6171</v>
      </c>
      <c r="D1681" s="1796">
        <v>1</v>
      </c>
      <c r="E1681" s="1796">
        <v>1</v>
      </c>
      <c r="F1681" s="1797">
        <v>2</v>
      </c>
      <c r="G1681" s="1999" t="s">
        <v>6171</v>
      </c>
      <c r="H1681" s="1794">
        <v>0</v>
      </c>
      <c r="I1681" s="1794">
        <v>1</v>
      </c>
      <c r="J1681" s="2000">
        <v>1</v>
      </c>
      <c r="K1681" s="1798"/>
      <c r="L1681" s="1792">
        <v>13145120402</v>
      </c>
      <c r="M1681" s="1793">
        <v>1</v>
      </c>
      <c r="N1681" s="1793">
        <v>1</v>
      </c>
      <c r="O1681" s="1794">
        <v>2</v>
      </c>
    </row>
    <row r="1682" spans="3:15">
      <c r="C1682" s="1799" t="s">
        <v>6172</v>
      </c>
      <c r="D1682" s="1796">
        <v>0</v>
      </c>
      <c r="E1682" s="1796">
        <v>1</v>
      </c>
      <c r="F1682" s="1797">
        <v>1</v>
      </c>
      <c r="G1682" s="1999" t="s">
        <v>6172</v>
      </c>
      <c r="H1682" s="1794">
        <v>0</v>
      </c>
      <c r="I1682" s="1794">
        <v>1</v>
      </c>
      <c r="J1682" s="2000">
        <v>1</v>
      </c>
      <c r="K1682" s="1798"/>
      <c r="L1682" s="1792">
        <v>13147960100</v>
      </c>
      <c r="M1682" s="1793">
        <v>0</v>
      </c>
      <c r="N1682" s="1793">
        <v>1</v>
      </c>
      <c r="O1682" s="1794">
        <v>1</v>
      </c>
    </row>
    <row r="1683" spans="3:15">
      <c r="C1683" s="1799" t="s">
        <v>6173</v>
      </c>
      <c r="D1683" s="1796">
        <v>1</v>
      </c>
      <c r="E1683" s="1796">
        <v>1</v>
      </c>
      <c r="F1683" s="1797">
        <v>2</v>
      </c>
      <c r="G1683" s="1999" t="s">
        <v>6173</v>
      </c>
      <c r="H1683" s="1794">
        <v>0</v>
      </c>
      <c r="I1683" s="1794">
        <v>1</v>
      </c>
      <c r="J1683" s="2000">
        <v>1</v>
      </c>
      <c r="K1683" s="1798"/>
      <c r="L1683" s="1792">
        <v>13147960200</v>
      </c>
      <c r="M1683" s="1793">
        <v>1</v>
      </c>
      <c r="N1683" s="1793">
        <v>1</v>
      </c>
      <c r="O1683" s="1794">
        <v>2</v>
      </c>
    </row>
    <row r="1684" spans="3:15">
      <c r="C1684" s="1799" t="s">
        <v>6174</v>
      </c>
      <c r="D1684" s="1796">
        <v>0</v>
      </c>
      <c r="E1684" s="1796">
        <v>0</v>
      </c>
      <c r="F1684" s="1797">
        <v>0</v>
      </c>
      <c r="G1684" s="1999" t="s">
        <v>6174</v>
      </c>
      <c r="H1684" s="1794">
        <v>0</v>
      </c>
      <c r="I1684" s="1794">
        <v>0</v>
      </c>
      <c r="J1684" s="2000">
        <v>0</v>
      </c>
      <c r="K1684" s="1798"/>
      <c r="L1684" s="1792">
        <v>13147960300</v>
      </c>
      <c r="M1684" s="1793">
        <v>0</v>
      </c>
      <c r="N1684" s="1793">
        <v>0</v>
      </c>
      <c r="O1684" s="1794">
        <v>0</v>
      </c>
    </row>
    <row r="1685" spans="3:15">
      <c r="C1685" s="1799" t="s">
        <v>6175</v>
      </c>
      <c r="D1685" s="1796">
        <v>0</v>
      </c>
      <c r="E1685" s="1796">
        <v>0</v>
      </c>
      <c r="F1685" s="1797">
        <v>0</v>
      </c>
      <c r="G1685" s="1999" t="s">
        <v>6175</v>
      </c>
      <c r="H1685" s="1794">
        <v>0</v>
      </c>
      <c r="I1685" s="1794">
        <v>0</v>
      </c>
      <c r="J1685" s="2000">
        <v>0</v>
      </c>
      <c r="K1685" s="1798"/>
      <c r="L1685" s="1792">
        <v>13147960400</v>
      </c>
      <c r="M1685" s="1793">
        <v>0</v>
      </c>
      <c r="N1685" s="1793">
        <v>0</v>
      </c>
      <c r="O1685" s="1794">
        <v>0</v>
      </c>
    </row>
    <row r="1686" spans="3:15">
      <c r="C1686" s="1799" t="s">
        <v>6176</v>
      </c>
      <c r="D1686" s="1796">
        <v>0</v>
      </c>
      <c r="E1686" s="1796">
        <v>0</v>
      </c>
      <c r="F1686" s="1797">
        <v>0</v>
      </c>
      <c r="G1686" s="1999" t="s">
        <v>6176</v>
      </c>
      <c r="H1686" s="1794">
        <v>0</v>
      </c>
      <c r="I1686" s="1794">
        <v>1</v>
      </c>
      <c r="J1686" s="2000">
        <v>1</v>
      </c>
      <c r="K1686" s="1798"/>
      <c r="L1686" s="1792">
        <v>13147960500</v>
      </c>
      <c r="M1686" s="1793">
        <v>0</v>
      </c>
      <c r="N1686" s="1793">
        <v>1</v>
      </c>
      <c r="O1686" s="1794">
        <v>1</v>
      </c>
    </row>
    <row r="1687" spans="3:15">
      <c r="C1687" s="1799" t="s">
        <v>6177</v>
      </c>
      <c r="D1687" s="1796">
        <v>0</v>
      </c>
      <c r="E1687" s="1796">
        <v>0</v>
      </c>
      <c r="F1687" s="1797">
        <v>0</v>
      </c>
      <c r="G1687" s="1999" t="s">
        <v>6177</v>
      </c>
      <c r="H1687" s="1794">
        <v>0</v>
      </c>
      <c r="I1687" s="1794">
        <v>0</v>
      </c>
      <c r="J1687" s="2000">
        <v>0</v>
      </c>
      <c r="K1687" s="1798"/>
      <c r="L1687" s="1792">
        <v>13149970100</v>
      </c>
      <c r="M1687" s="1793">
        <v>0</v>
      </c>
      <c r="N1687" s="1793">
        <v>0</v>
      </c>
      <c r="O1687" s="1794">
        <v>0</v>
      </c>
    </row>
    <row r="1688" spans="3:15">
      <c r="C1688" s="1799" t="s">
        <v>6178</v>
      </c>
      <c r="D1688" s="1796">
        <v>0</v>
      </c>
      <c r="E1688" s="1796">
        <v>1</v>
      </c>
      <c r="F1688" s="1797">
        <v>1</v>
      </c>
      <c r="G1688" s="1999" t="s">
        <v>6178</v>
      </c>
      <c r="H1688" s="1794">
        <v>0</v>
      </c>
      <c r="I1688" s="1794">
        <v>1</v>
      </c>
      <c r="J1688" s="2000">
        <v>1</v>
      </c>
      <c r="K1688" s="1798"/>
      <c r="L1688" s="1792">
        <v>13149970200</v>
      </c>
      <c r="M1688" s="1793">
        <v>0</v>
      </c>
      <c r="N1688" s="1793">
        <v>1</v>
      </c>
      <c r="O1688" s="1794">
        <v>1</v>
      </c>
    </row>
    <row r="1689" spans="3:15">
      <c r="C1689" s="1799" t="s">
        <v>6179</v>
      </c>
      <c r="D1689" s="1796">
        <v>0</v>
      </c>
      <c r="E1689" s="1796">
        <v>0</v>
      </c>
      <c r="F1689" s="1797">
        <v>0</v>
      </c>
      <c r="G1689" s="1999" t="s">
        <v>6179</v>
      </c>
      <c r="H1689" s="1794">
        <v>1</v>
      </c>
      <c r="I1689" s="1794">
        <v>0</v>
      </c>
      <c r="J1689" s="2000">
        <v>1</v>
      </c>
      <c r="K1689" s="1798"/>
      <c r="L1689" s="1792">
        <v>13149970300</v>
      </c>
      <c r="M1689" s="1793">
        <v>1</v>
      </c>
      <c r="N1689" s="1793">
        <v>0</v>
      </c>
      <c r="O1689" s="1794">
        <v>1</v>
      </c>
    </row>
    <row r="1690" spans="3:15">
      <c r="C1690" s="1799" t="s">
        <v>6180</v>
      </c>
      <c r="D1690" s="1796">
        <v>1</v>
      </c>
      <c r="E1690" s="1796">
        <v>1</v>
      </c>
      <c r="F1690" s="1797">
        <v>2</v>
      </c>
      <c r="G1690" s="1999" t="s">
        <v>6180</v>
      </c>
      <c r="H1690" s="1794">
        <v>1</v>
      </c>
      <c r="I1690" s="1794">
        <v>1</v>
      </c>
      <c r="J1690" s="2000">
        <v>2</v>
      </c>
      <c r="K1690" s="1798"/>
      <c r="L1690" s="1792">
        <v>13151070104</v>
      </c>
      <c r="M1690" s="1793">
        <v>1</v>
      </c>
      <c r="N1690" s="1793">
        <v>1</v>
      </c>
      <c r="O1690" s="1794">
        <v>2</v>
      </c>
    </row>
    <row r="1691" spans="3:15">
      <c r="C1691" s="1799" t="s">
        <v>6181</v>
      </c>
      <c r="D1691" s="1796">
        <v>0</v>
      </c>
      <c r="E1691" s="1796">
        <v>0</v>
      </c>
      <c r="F1691" s="1797">
        <v>0</v>
      </c>
      <c r="G1691" s="1999" t="s">
        <v>6181</v>
      </c>
      <c r="H1691" s="1794">
        <v>0</v>
      </c>
      <c r="I1691" s="1794">
        <v>0</v>
      </c>
      <c r="J1691" s="2000">
        <v>0</v>
      </c>
      <c r="K1691" s="1798"/>
      <c r="L1691" s="1792">
        <v>13151070106</v>
      </c>
      <c r="M1691" s="1793">
        <v>0</v>
      </c>
      <c r="N1691" s="1793">
        <v>0</v>
      </c>
      <c r="O1691" s="1794">
        <v>0</v>
      </c>
    </row>
    <row r="1692" spans="3:15">
      <c r="C1692" s="1799" t="s">
        <v>6182</v>
      </c>
      <c r="D1692" s="1796">
        <v>1</v>
      </c>
      <c r="E1692" s="1796">
        <v>1</v>
      </c>
      <c r="F1692" s="1797">
        <v>2</v>
      </c>
      <c r="G1692" s="1999" t="s">
        <v>6182</v>
      </c>
      <c r="H1692" s="1794">
        <v>1</v>
      </c>
      <c r="I1692" s="1794">
        <v>1</v>
      </c>
      <c r="J1692" s="2000">
        <v>2</v>
      </c>
      <c r="K1692" s="1798"/>
      <c r="L1692" s="1792">
        <v>13151070107</v>
      </c>
      <c r="M1692" s="1793">
        <v>1</v>
      </c>
      <c r="N1692" s="1793">
        <v>1</v>
      </c>
      <c r="O1692" s="1794">
        <v>2</v>
      </c>
    </row>
    <row r="1693" spans="3:15">
      <c r="C1693" s="1799" t="s">
        <v>6183</v>
      </c>
      <c r="D1693" s="1796">
        <v>1</v>
      </c>
      <c r="E1693" s="1796">
        <v>1</v>
      </c>
      <c r="F1693" s="1797">
        <v>2</v>
      </c>
      <c r="G1693" s="1999" t="s">
        <v>6183</v>
      </c>
      <c r="H1693" s="1794">
        <v>1</v>
      </c>
      <c r="I1693" s="1794">
        <v>1</v>
      </c>
      <c r="J1693" s="2000">
        <v>2</v>
      </c>
      <c r="K1693" s="1798"/>
      <c r="L1693" s="1792">
        <v>13151070108</v>
      </c>
      <c r="M1693" s="1793">
        <v>1</v>
      </c>
      <c r="N1693" s="1793">
        <v>1</v>
      </c>
      <c r="O1693" s="1794">
        <v>2</v>
      </c>
    </row>
    <row r="1694" spans="3:15">
      <c r="C1694" s="1799" t="s">
        <v>6184</v>
      </c>
      <c r="D1694" s="1796">
        <v>1</v>
      </c>
      <c r="E1694" s="1796">
        <v>1</v>
      </c>
      <c r="F1694" s="1797">
        <v>2</v>
      </c>
      <c r="G1694" s="1999" t="s">
        <v>6184</v>
      </c>
      <c r="H1694" s="1794">
        <v>1</v>
      </c>
      <c r="I1694" s="1794">
        <v>1</v>
      </c>
      <c r="J1694" s="2000">
        <v>2</v>
      </c>
      <c r="K1694" s="1798"/>
      <c r="L1694" s="1792">
        <v>13151070109</v>
      </c>
      <c r="M1694" s="1793">
        <v>1</v>
      </c>
      <c r="N1694" s="1793">
        <v>1</v>
      </c>
      <c r="O1694" s="1794">
        <v>2</v>
      </c>
    </row>
    <row r="1695" spans="3:15">
      <c r="C1695" s="1799" t="s">
        <v>6185</v>
      </c>
      <c r="D1695" s="1796">
        <v>1</v>
      </c>
      <c r="E1695" s="1796">
        <v>1</v>
      </c>
      <c r="F1695" s="1797">
        <v>2</v>
      </c>
      <c r="G1695" s="1999" t="s">
        <v>6185</v>
      </c>
      <c r="H1695" s="1794">
        <v>1</v>
      </c>
      <c r="I1695" s="1794">
        <v>1</v>
      </c>
      <c r="J1695" s="2000">
        <v>2</v>
      </c>
      <c r="K1695" s="1798"/>
      <c r="L1695" s="1792">
        <v>13151070110</v>
      </c>
      <c r="M1695" s="1793">
        <v>1</v>
      </c>
      <c r="N1695" s="1793">
        <v>1</v>
      </c>
      <c r="O1695" s="1794">
        <v>2</v>
      </c>
    </row>
    <row r="1696" spans="3:15">
      <c r="C1696" s="1799" t="s">
        <v>6186</v>
      </c>
      <c r="D1696" s="1796">
        <v>0</v>
      </c>
      <c r="E1696" s="1796">
        <v>0</v>
      </c>
      <c r="F1696" s="1797">
        <v>0</v>
      </c>
      <c r="G1696" s="1999" t="s">
        <v>6186</v>
      </c>
      <c r="H1696" s="1794">
        <v>0</v>
      </c>
      <c r="I1696" s="1794">
        <v>0</v>
      </c>
      <c r="J1696" s="2000">
        <v>0</v>
      </c>
      <c r="K1696" s="1798"/>
      <c r="L1696" s="1792">
        <v>13151070111</v>
      </c>
      <c r="M1696" s="1793">
        <v>0</v>
      </c>
      <c r="N1696" s="1793">
        <v>0</v>
      </c>
      <c r="O1696" s="1794">
        <v>0</v>
      </c>
    </row>
    <row r="1697" spans="3:15">
      <c r="C1697" s="1799" t="s">
        <v>6187</v>
      </c>
      <c r="D1697" s="1796">
        <v>0</v>
      </c>
      <c r="E1697" s="1796">
        <v>0</v>
      </c>
      <c r="F1697" s="1797">
        <v>0</v>
      </c>
      <c r="G1697" s="1999" t="s">
        <v>6187</v>
      </c>
      <c r="H1697" s="1794">
        <v>0</v>
      </c>
      <c r="I1697" s="1794">
        <v>0</v>
      </c>
      <c r="J1697" s="2000">
        <v>0</v>
      </c>
      <c r="K1697" s="1798"/>
      <c r="L1697" s="1792">
        <v>13151070113</v>
      </c>
      <c r="M1697" s="1793">
        <v>0</v>
      </c>
      <c r="N1697" s="1793">
        <v>0</v>
      </c>
      <c r="O1697" s="1794">
        <v>0</v>
      </c>
    </row>
    <row r="1698" spans="3:15">
      <c r="C1698" s="1799" t="s">
        <v>6188</v>
      </c>
      <c r="D1698" s="1796">
        <v>0</v>
      </c>
      <c r="E1698" s="1796">
        <v>1</v>
      </c>
      <c r="F1698" s="1797">
        <v>1</v>
      </c>
      <c r="G1698" s="1999" t="s">
        <v>6188</v>
      </c>
      <c r="H1698" s="1794">
        <v>0</v>
      </c>
      <c r="I1698" s="1794">
        <v>1</v>
      </c>
      <c r="J1698" s="2000">
        <v>1</v>
      </c>
      <c r="K1698" s="1798"/>
      <c r="L1698" s="1792">
        <v>13151070114</v>
      </c>
      <c r="M1698" s="1793">
        <v>0</v>
      </c>
      <c r="N1698" s="1793">
        <v>1</v>
      </c>
      <c r="O1698" s="1794">
        <v>1</v>
      </c>
    </row>
    <row r="1699" spans="3:15">
      <c r="C1699" s="1799" t="s">
        <v>6189</v>
      </c>
      <c r="D1699" s="1796">
        <v>1</v>
      </c>
      <c r="E1699" s="1796">
        <v>1</v>
      </c>
      <c r="F1699" s="1797">
        <v>2</v>
      </c>
      <c r="G1699" s="1999" t="s">
        <v>6189</v>
      </c>
      <c r="H1699" s="1794">
        <v>1</v>
      </c>
      <c r="I1699" s="1794">
        <v>1</v>
      </c>
      <c r="J1699" s="2000">
        <v>2</v>
      </c>
      <c r="K1699" s="1798"/>
      <c r="L1699" s="1792">
        <v>13151070202</v>
      </c>
      <c r="M1699" s="1793">
        <v>1</v>
      </c>
      <c r="N1699" s="1793">
        <v>1</v>
      </c>
      <c r="O1699" s="1794">
        <v>2</v>
      </c>
    </row>
    <row r="1700" spans="3:15">
      <c r="C1700" s="1799" t="s">
        <v>6190</v>
      </c>
      <c r="D1700" s="1796">
        <v>1</v>
      </c>
      <c r="E1700" s="1796">
        <v>1</v>
      </c>
      <c r="F1700" s="1797">
        <v>2</v>
      </c>
      <c r="G1700" s="1999" t="s">
        <v>6190</v>
      </c>
      <c r="H1700" s="1794">
        <v>1</v>
      </c>
      <c r="I1700" s="1794">
        <v>1</v>
      </c>
      <c r="J1700" s="2000">
        <v>2</v>
      </c>
      <c r="K1700" s="1798"/>
      <c r="L1700" s="1792">
        <v>13151070203</v>
      </c>
      <c r="M1700" s="1793">
        <v>1</v>
      </c>
      <c r="N1700" s="1793">
        <v>1</v>
      </c>
      <c r="O1700" s="1794">
        <v>2</v>
      </c>
    </row>
    <row r="1701" spans="3:15">
      <c r="C1701" s="1799" t="s">
        <v>6191</v>
      </c>
      <c r="D1701" s="1796">
        <v>1</v>
      </c>
      <c r="E1701" s="1796">
        <v>1</v>
      </c>
      <c r="F1701" s="1797">
        <v>2</v>
      </c>
      <c r="G1701" s="1999" t="s">
        <v>6191</v>
      </c>
      <c r="H1701" s="1794">
        <v>1</v>
      </c>
      <c r="I1701" s="1794">
        <v>1</v>
      </c>
      <c r="J1701" s="2000">
        <v>2</v>
      </c>
      <c r="K1701" s="1798"/>
      <c r="L1701" s="1792">
        <v>13151070204</v>
      </c>
      <c r="M1701" s="1793">
        <v>1</v>
      </c>
      <c r="N1701" s="1793">
        <v>1</v>
      </c>
      <c r="O1701" s="1794">
        <v>2</v>
      </c>
    </row>
    <row r="1702" spans="3:15">
      <c r="C1702" s="1799" t="s">
        <v>6192</v>
      </c>
      <c r="D1702" s="1796">
        <v>0</v>
      </c>
      <c r="E1702" s="1796">
        <v>1</v>
      </c>
      <c r="F1702" s="1797">
        <v>1</v>
      </c>
      <c r="G1702" s="1999" t="s">
        <v>6192</v>
      </c>
      <c r="H1702" s="1794">
        <v>0</v>
      </c>
      <c r="I1702" s="1794">
        <v>1</v>
      </c>
      <c r="J1702" s="2000">
        <v>1</v>
      </c>
      <c r="K1702" s="1798"/>
      <c r="L1702" s="1792">
        <v>13151070205</v>
      </c>
      <c r="M1702" s="1793">
        <v>0</v>
      </c>
      <c r="N1702" s="1793">
        <v>1</v>
      </c>
      <c r="O1702" s="1794">
        <v>1</v>
      </c>
    </row>
    <row r="1703" spans="3:15">
      <c r="C1703" s="1799" t="s">
        <v>6193</v>
      </c>
      <c r="D1703" s="1796">
        <v>0</v>
      </c>
      <c r="E1703" s="1796">
        <v>0</v>
      </c>
      <c r="F1703" s="1797">
        <v>0</v>
      </c>
      <c r="G1703" s="1999" t="s">
        <v>6193</v>
      </c>
      <c r="H1703" s="1794">
        <v>0</v>
      </c>
      <c r="I1703" s="1794">
        <v>1</v>
      </c>
      <c r="J1703" s="2000">
        <v>1</v>
      </c>
      <c r="K1703" s="1798"/>
      <c r="L1703" s="1792">
        <v>13151070304</v>
      </c>
      <c r="M1703" s="1793">
        <v>0</v>
      </c>
      <c r="N1703" s="1793">
        <v>1</v>
      </c>
      <c r="O1703" s="1794">
        <v>1</v>
      </c>
    </row>
    <row r="1704" spans="3:15">
      <c r="C1704" s="1799" t="s">
        <v>6194</v>
      </c>
      <c r="D1704" s="1796">
        <v>1</v>
      </c>
      <c r="E1704" s="1796">
        <v>1</v>
      </c>
      <c r="F1704" s="1797">
        <v>2</v>
      </c>
      <c r="G1704" s="1999" t="s">
        <v>6194</v>
      </c>
      <c r="H1704" s="1794">
        <v>1</v>
      </c>
      <c r="I1704" s="1794" t="s">
        <v>4485</v>
      </c>
      <c r="J1704" s="2000">
        <v>1</v>
      </c>
      <c r="K1704" s="1798"/>
      <c r="L1704" s="1792">
        <v>13151070305</v>
      </c>
      <c r="M1704" s="1793">
        <v>1</v>
      </c>
      <c r="N1704" s="1793">
        <v>1</v>
      </c>
      <c r="O1704" s="1794">
        <v>2</v>
      </c>
    </row>
    <row r="1705" spans="3:15">
      <c r="C1705" s="1799" t="s">
        <v>6195</v>
      </c>
      <c r="D1705" s="1796">
        <v>1</v>
      </c>
      <c r="E1705" s="1796">
        <v>1</v>
      </c>
      <c r="F1705" s="1797">
        <v>2</v>
      </c>
      <c r="G1705" s="1999" t="s">
        <v>6195</v>
      </c>
      <c r="H1705" s="1794">
        <v>1</v>
      </c>
      <c r="I1705" s="1794">
        <v>1</v>
      </c>
      <c r="J1705" s="2000">
        <v>2</v>
      </c>
      <c r="K1705" s="1798"/>
      <c r="L1705" s="1792">
        <v>13151070306</v>
      </c>
      <c r="M1705" s="1793">
        <v>1</v>
      </c>
      <c r="N1705" s="1793">
        <v>1</v>
      </c>
      <c r="O1705" s="1794">
        <v>2</v>
      </c>
    </row>
    <row r="1706" spans="3:15">
      <c r="C1706" s="1799" t="s">
        <v>6196</v>
      </c>
      <c r="D1706" s="1796">
        <v>1</v>
      </c>
      <c r="E1706" s="1796">
        <v>1</v>
      </c>
      <c r="F1706" s="1797">
        <v>2</v>
      </c>
      <c r="G1706" s="1999" t="s">
        <v>6196</v>
      </c>
      <c r="H1706" s="1794">
        <v>1</v>
      </c>
      <c r="I1706" s="1794">
        <v>1</v>
      </c>
      <c r="J1706" s="2000">
        <v>2</v>
      </c>
      <c r="K1706" s="1798"/>
      <c r="L1706" s="1792">
        <v>13151070307</v>
      </c>
      <c r="M1706" s="1793">
        <v>1</v>
      </c>
      <c r="N1706" s="1793">
        <v>1</v>
      </c>
      <c r="O1706" s="1794">
        <v>2</v>
      </c>
    </row>
    <row r="1707" spans="3:15">
      <c r="C1707" s="1799" t="s">
        <v>6197</v>
      </c>
      <c r="D1707" s="1796">
        <v>1</v>
      </c>
      <c r="E1707" s="1796">
        <v>1</v>
      </c>
      <c r="F1707" s="1797">
        <v>2</v>
      </c>
      <c r="G1707" s="1999" t="s">
        <v>6197</v>
      </c>
      <c r="H1707" s="1794">
        <v>1</v>
      </c>
      <c r="I1707" s="1794">
        <v>1</v>
      </c>
      <c r="J1707" s="2000">
        <v>2</v>
      </c>
      <c r="K1707" s="1798"/>
      <c r="L1707" s="1792">
        <v>13151070309</v>
      </c>
      <c r="M1707" s="1793">
        <v>1</v>
      </c>
      <c r="N1707" s="1793">
        <v>1</v>
      </c>
      <c r="O1707" s="1794">
        <v>2</v>
      </c>
    </row>
    <row r="1708" spans="3:15">
      <c r="C1708" s="1799" t="s">
        <v>6198</v>
      </c>
      <c r="D1708" s="1796">
        <v>1</v>
      </c>
      <c r="E1708" s="1796">
        <v>1</v>
      </c>
      <c r="F1708" s="1797">
        <v>2</v>
      </c>
      <c r="G1708" s="1999" t="s">
        <v>6198</v>
      </c>
      <c r="H1708" s="1794">
        <v>1</v>
      </c>
      <c r="I1708" s="1794">
        <v>0</v>
      </c>
      <c r="J1708" s="2000">
        <v>1</v>
      </c>
      <c r="K1708" s="1798"/>
      <c r="L1708" s="1792">
        <v>13151070310</v>
      </c>
      <c r="M1708" s="1793">
        <v>1</v>
      </c>
      <c r="N1708" s="1793">
        <v>1</v>
      </c>
      <c r="O1708" s="1794">
        <v>2</v>
      </c>
    </row>
    <row r="1709" spans="3:15">
      <c r="C1709" s="1799" t="s">
        <v>6199</v>
      </c>
      <c r="D1709" s="1796">
        <v>0</v>
      </c>
      <c r="E1709" s="1796">
        <v>0</v>
      </c>
      <c r="F1709" s="1797">
        <v>0</v>
      </c>
      <c r="G1709" s="1999" t="s">
        <v>6199</v>
      </c>
      <c r="H1709" s="1794">
        <v>0</v>
      </c>
      <c r="I1709" s="1794" t="s">
        <v>4485</v>
      </c>
      <c r="J1709" s="2000">
        <v>0</v>
      </c>
      <c r="K1709" s="1798"/>
      <c r="L1709" s="1792">
        <v>13151070311</v>
      </c>
      <c r="M1709" s="1793">
        <v>0</v>
      </c>
      <c r="N1709" s="1793">
        <v>0</v>
      </c>
      <c r="O1709" s="1794">
        <v>0</v>
      </c>
    </row>
    <row r="1710" spans="3:15">
      <c r="C1710" s="1799" t="s">
        <v>6200</v>
      </c>
      <c r="D1710" s="1796">
        <v>1</v>
      </c>
      <c r="E1710" s="1796">
        <v>1</v>
      </c>
      <c r="F1710" s="1797">
        <v>2</v>
      </c>
      <c r="G1710" s="1999" t="s">
        <v>6200</v>
      </c>
      <c r="H1710" s="1794">
        <v>1</v>
      </c>
      <c r="I1710" s="1794">
        <v>1</v>
      </c>
      <c r="J1710" s="2000">
        <v>2</v>
      </c>
      <c r="K1710" s="1798"/>
      <c r="L1710" s="1792">
        <v>13151070402</v>
      </c>
      <c r="M1710" s="1793">
        <v>1</v>
      </c>
      <c r="N1710" s="1793">
        <v>1</v>
      </c>
      <c r="O1710" s="1794">
        <v>2</v>
      </c>
    </row>
    <row r="1711" spans="3:15">
      <c r="C1711" s="1799" t="s">
        <v>6201</v>
      </c>
      <c r="D1711" s="1796">
        <v>0</v>
      </c>
      <c r="E1711" s="1796">
        <v>1</v>
      </c>
      <c r="F1711" s="1797">
        <v>1</v>
      </c>
      <c r="G1711" s="1999" t="s">
        <v>6201</v>
      </c>
      <c r="H1711" s="1794">
        <v>0</v>
      </c>
      <c r="I1711" s="1794">
        <v>0</v>
      </c>
      <c r="J1711" s="2000">
        <v>0</v>
      </c>
      <c r="K1711" s="1798"/>
      <c r="L1711" s="1792">
        <v>13151070403</v>
      </c>
      <c r="M1711" s="1793">
        <v>0</v>
      </c>
      <c r="N1711" s="1793">
        <v>1</v>
      </c>
      <c r="O1711" s="1794">
        <v>1</v>
      </c>
    </row>
    <row r="1712" spans="3:15">
      <c r="C1712" s="1799" t="s">
        <v>6202</v>
      </c>
      <c r="D1712" s="1796">
        <v>1</v>
      </c>
      <c r="E1712" s="1796">
        <v>1</v>
      </c>
      <c r="F1712" s="1797">
        <v>2</v>
      </c>
      <c r="G1712" s="1999" t="s">
        <v>6202</v>
      </c>
      <c r="H1712" s="1794">
        <v>1</v>
      </c>
      <c r="I1712" s="1794">
        <v>1</v>
      </c>
      <c r="J1712" s="2000">
        <v>2</v>
      </c>
      <c r="K1712" s="1798"/>
      <c r="L1712" s="1792">
        <v>13151070404</v>
      </c>
      <c r="M1712" s="1793">
        <v>1</v>
      </c>
      <c r="N1712" s="1793">
        <v>1</v>
      </c>
      <c r="O1712" s="1794">
        <v>2</v>
      </c>
    </row>
    <row r="1713" spans="3:15">
      <c r="C1713" s="1799" t="s">
        <v>6203</v>
      </c>
      <c r="D1713" s="1796">
        <v>0</v>
      </c>
      <c r="E1713" s="1796">
        <v>0</v>
      </c>
      <c r="F1713" s="1797">
        <v>0</v>
      </c>
      <c r="G1713" s="1999" t="s">
        <v>6203</v>
      </c>
      <c r="H1713" s="1794">
        <v>1</v>
      </c>
      <c r="I1713" s="1794">
        <v>0</v>
      </c>
      <c r="J1713" s="2000">
        <v>1</v>
      </c>
      <c r="K1713" s="1798"/>
      <c r="L1713" s="1792">
        <v>13151070501</v>
      </c>
      <c r="M1713" s="1793">
        <v>1</v>
      </c>
      <c r="N1713" s="1793">
        <v>0</v>
      </c>
      <c r="O1713" s="1794">
        <v>1</v>
      </c>
    </row>
    <row r="1714" spans="3:15">
      <c r="C1714" s="1799" t="s">
        <v>6204</v>
      </c>
      <c r="D1714" s="1796">
        <v>1</v>
      </c>
      <c r="E1714" s="1796">
        <v>1</v>
      </c>
      <c r="F1714" s="1797">
        <v>2</v>
      </c>
      <c r="G1714" s="1999" t="s">
        <v>6204</v>
      </c>
      <c r="H1714" s="1794">
        <v>1</v>
      </c>
      <c r="I1714" s="1794">
        <v>1</v>
      </c>
      <c r="J1714" s="2000">
        <v>2</v>
      </c>
      <c r="K1714" s="1798"/>
      <c r="L1714" s="1792">
        <v>13151070502</v>
      </c>
      <c r="M1714" s="1793">
        <v>1</v>
      </c>
      <c r="N1714" s="1793">
        <v>1</v>
      </c>
      <c r="O1714" s="1794">
        <v>2</v>
      </c>
    </row>
    <row r="1715" spans="3:15">
      <c r="C1715" s="1799" t="s">
        <v>6205</v>
      </c>
      <c r="D1715" s="1796">
        <v>0</v>
      </c>
      <c r="E1715" s="1796">
        <v>0</v>
      </c>
      <c r="F1715" s="1797">
        <v>0</v>
      </c>
      <c r="G1715" s="1999" t="s">
        <v>6205</v>
      </c>
      <c r="H1715" s="1794">
        <v>0</v>
      </c>
      <c r="I1715" s="1794">
        <v>1</v>
      </c>
      <c r="J1715" s="2000">
        <v>0</v>
      </c>
      <c r="K1715" s="1798"/>
      <c r="L1715" s="1792">
        <v>13153020105</v>
      </c>
      <c r="M1715" s="1793">
        <v>0</v>
      </c>
      <c r="N1715" s="1793">
        <v>1</v>
      </c>
      <c r="O1715" s="1794">
        <v>0</v>
      </c>
    </row>
    <row r="1716" spans="3:15">
      <c r="C1716" s="1799" t="s">
        <v>6206</v>
      </c>
      <c r="D1716" s="1796">
        <v>0</v>
      </c>
      <c r="E1716" s="1796">
        <v>1</v>
      </c>
      <c r="F1716" s="1797">
        <v>1</v>
      </c>
      <c r="G1716" s="1999" t="s">
        <v>6206</v>
      </c>
      <c r="H1716" s="1794">
        <v>0</v>
      </c>
      <c r="I1716" s="1794">
        <v>0</v>
      </c>
      <c r="J1716" s="2000">
        <v>0</v>
      </c>
      <c r="K1716" s="1798"/>
      <c r="L1716" s="1792">
        <v>13153020106</v>
      </c>
      <c r="M1716" s="1793">
        <v>0</v>
      </c>
      <c r="N1716" s="1793">
        <v>1</v>
      </c>
      <c r="O1716" s="1794">
        <v>1</v>
      </c>
    </row>
    <row r="1717" spans="3:15">
      <c r="C1717" s="1799" t="s">
        <v>6207</v>
      </c>
      <c r="D1717" s="1796">
        <v>0</v>
      </c>
      <c r="E1717" s="1796">
        <v>1</v>
      </c>
      <c r="F1717" s="1797">
        <v>1</v>
      </c>
      <c r="G1717" s="1999" t="s">
        <v>6207</v>
      </c>
      <c r="H1717" s="1794">
        <v>0</v>
      </c>
      <c r="I1717" s="1794">
        <v>1</v>
      </c>
      <c r="J1717" s="2000">
        <v>1</v>
      </c>
      <c r="K1717" s="1798"/>
      <c r="L1717" s="1792">
        <v>13153020108</v>
      </c>
      <c r="M1717" s="1793">
        <v>0</v>
      </c>
      <c r="N1717" s="1793">
        <v>1</v>
      </c>
      <c r="O1717" s="1794">
        <v>1</v>
      </c>
    </row>
    <row r="1718" spans="3:15">
      <c r="C1718" s="1799" t="s">
        <v>6208</v>
      </c>
      <c r="D1718" s="1796">
        <v>1</v>
      </c>
      <c r="E1718" s="1796">
        <v>1</v>
      </c>
      <c r="F1718" s="1797">
        <v>2</v>
      </c>
      <c r="G1718" s="1999" t="s">
        <v>6208</v>
      </c>
      <c r="H1718" s="1794">
        <v>1</v>
      </c>
      <c r="I1718" s="1794">
        <v>1</v>
      </c>
      <c r="J1718" s="2000">
        <v>2</v>
      </c>
      <c r="K1718" s="1798"/>
      <c r="L1718" s="1792">
        <v>13153020109</v>
      </c>
      <c r="M1718" s="1793">
        <v>1</v>
      </c>
      <c r="N1718" s="1793">
        <v>1</v>
      </c>
      <c r="O1718" s="1794">
        <v>2</v>
      </c>
    </row>
    <row r="1719" spans="3:15">
      <c r="C1719" s="1799" t="s">
        <v>6209</v>
      </c>
      <c r="D1719" s="1796">
        <v>0</v>
      </c>
      <c r="E1719" s="1796">
        <v>0</v>
      </c>
      <c r="F1719" s="1797">
        <v>0</v>
      </c>
      <c r="G1719" s="1999" t="s">
        <v>6209</v>
      </c>
      <c r="H1719" s="1794">
        <v>0</v>
      </c>
      <c r="I1719" s="1794">
        <v>0</v>
      </c>
      <c r="J1719" s="2000">
        <v>0</v>
      </c>
      <c r="K1719" s="1798"/>
      <c r="L1719" s="1792">
        <v>13153020200</v>
      </c>
      <c r="M1719" s="1793">
        <v>0</v>
      </c>
      <c r="N1719" s="1793">
        <v>0</v>
      </c>
      <c r="O1719" s="1794">
        <v>0</v>
      </c>
    </row>
    <row r="1720" spans="3:15">
      <c r="C1720" s="1799" t="s">
        <v>6210</v>
      </c>
      <c r="D1720" s="1796">
        <v>0</v>
      </c>
      <c r="E1720" s="1796">
        <v>0</v>
      </c>
      <c r="F1720" s="1797">
        <v>0</v>
      </c>
      <c r="G1720" s="1999" t="s">
        <v>6210</v>
      </c>
      <c r="H1720" s="1794">
        <v>0</v>
      </c>
      <c r="I1720" s="1794">
        <v>0</v>
      </c>
      <c r="J1720" s="2000">
        <v>0</v>
      </c>
      <c r="K1720" s="1798"/>
      <c r="L1720" s="1792">
        <v>13153020300</v>
      </c>
      <c r="M1720" s="1793">
        <v>0</v>
      </c>
      <c r="N1720" s="1793">
        <v>0</v>
      </c>
      <c r="O1720" s="1794">
        <v>0</v>
      </c>
    </row>
    <row r="1721" spans="3:15">
      <c r="C1721" s="1799" t="s">
        <v>6211</v>
      </c>
      <c r="D1721" s="1796">
        <v>0</v>
      </c>
      <c r="E1721" s="1796">
        <v>0</v>
      </c>
      <c r="F1721" s="1797">
        <v>0</v>
      </c>
      <c r="G1721" s="1999" t="s">
        <v>6211</v>
      </c>
      <c r="H1721" s="1794">
        <v>0</v>
      </c>
      <c r="I1721" s="1794">
        <v>0</v>
      </c>
      <c r="J1721" s="2000">
        <v>0</v>
      </c>
      <c r="K1721" s="1798"/>
      <c r="L1721" s="1792">
        <v>13153020400</v>
      </c>
      <c r="M1721" s="1793">
        <v>0</v>
      </c>
      <c r="N1721" s="1793">
        <v>0</v>
      </c>
      <c r="O1721" s="1794">
        <v>0</v>
      </c>
    </row>
    <row r="1722" spans="3:15">
      <c r="C1722" s="1799" t="s">
        <v>6212</v>
      </c>
      <c r="D1722" s="1796">
        <v>0</v>
      </c>
      <c r="E1722" s="1796">
        <v>1</v>
      </c>
      <c r="F1722" s="1797">
        <v>1</v>
      </c>
      <c r="G1722" s="1999" t="s">
        <v>6212</v>
      </c>
      <c r="H1722" s="1794">
        <v>0</v>
      </c>
      <c r="I1722" s="1794" t="s">
        <v>4485</v>
      </c>
      <c r="J1722" s="2000">
        <v>0</v>
      </c>
      <c r="K1722" s="1798"/>
      <c r="L1722" s="1792">
        <v>13153020600</v>
      </c>
      <c r="M1722" s="1793">
        <v>0</v>
      </c>
      <c r="N1722" s="1793">
        <v>1</v>
      </c>
      <c r="O1722" s="1794">
        <v>1</v>
      </c>
    </row>
    <row r="1723" spans="3:15">
      <c r="C1723" s="1799" t="s">
        <v>6213</v>
      </c>
      <c r="D1723" s="1796">
        <v>0</v>
      </c>
      <c r="E1723" s="1796">
        <v>0</v>
      </c>
      <c r="F1723" s="1797">
        <v>0</v>
      </c>
      <c r="G1723" s="1999" t="s">
        <v>6213</v>
      </c>
      <c r="H1723" s="1794">
        <v>0</v>
      </c>
      <c r="I1723" s="1794">
        <v>0</v>
      </c>
      <c r="J1723" s="2000">
        <v>0</v>
      </c>
      <c r="K1723" s="1798"/>
      <c r="L1723" s="1792">
        <v>13153020700</v>
      </c>
      <c r="M1723" s="1793">
        <v>0</v>
      </c>
      <c r="N1723" s="1793">
        <v>0</v>
      </c>
      <c r="O1723" s="1794">
        <v>0</v>
      </c>
    </row>
    <row r="1724" spans="3:15">
      <c r="C1724" s="1799" t="s">
        <v>6214</v>
      </c>
      <c r="D1724" s="1796">
        <v>0</v>
      </c>
      <c r="E1724" s="1796">
        <v>0</v>
      </c>
      <c r="F1724" s="1797">
        <v>0</v>
      </c>
      <c r="G1724" s="1999" t="s">
        <v>6214</v>
      </c>
      <c r="H1724" s="1794">
        <v>1</v>
      </c>
      <c r="I1724" s="1794">
        <v>0</v>
      </c>
      <c r="J1724" s="2000">
        <v>1</v>
      </c>
      <c r="K1724" s="1798"/>
      <c r="L1724" s="1792">
        <v>13153020800</v>
      </c>
      <c r="M1724" s="1793">
        <v>1</v>
      </c>
      <c r="N1724" s="1793">
        <v>0</v>
      </c>
      <c r="O1724" s="1794">
        <v>1</v>
      </c>
    </row>
    <row r="1725" spans="3:15">
      <c r="C1725" s="1799" t="s">
        <v>6215</v>
      </c>
      <c r="D1725" s="1796">
        <v>0</v>
      </c>
      <c r="E1725" s="1796">
        <v>0</v>
      </c>
      <c r="F1725" s="1797">
        <v>0</v>
      </c>
      <c r="G1725" s="1999" t="s">
        <v>6215</v>
      </c>
      <c r="H1725" s="1794">
        <v>0</v>
      </c>
      <c r="I1725" s="1794">
        <v>0</v>
      </c>
      <c r="J1725" s="2000">
        <v>0</v>
      </c>
      <c r="K1725" s="1798"/>
      <c r="L1725" s="1792">
        <v>13153020900</v>
      </c>
      <c r="M1725" s="1793">
        <v>0</v>
      </c>
      <c r="N1725" s="1793">
        <v>0</v>
      </c>
      <c r="O1725" s="1794">
        <v>0</v>
      </c>
    </row>
    <row r="1726" spans="3:15">
      <c r="C1726" s="1799" t="s">
        <v>6216</v>
      </c>
      <c r="D1726" s="1796">
        <v>0</v>
      </c>
      <c r="E1726" s="1796">
        <v>0</v>
      </c>
      <c r="F1726" s="1797">
        <v>0</v>
      </c>
      <c r="G1726" s="1999" t="s">
        <v>6216</v>
      </c>
      <c r="H1726" s="1794">
        <v>0</v>
      </c>
      <c r="I1726" s="1794">
        <v>1</v>
      </c>
      <c r="J1726" s="2000">
        <v>1</v>
      </c>
      <c r="K1726" s="1798"/>
      <c r="L1726" s="1792">
        <v>13153021000</v>
      </c>
      <c r="M1726" s="1793">
        <v>0</v>
      </c>
      <c r="N1726" s="1793">
        <v>1</v>
      </c>
      <c r="O1726" s="1794">
        <v>1</v>
      </c>
    </row>
    <row r="1727" spans="3:15">
      <c r="C1727" s="1799" t="s">
        <v>6217</v>
      </c>
      <c r="D1727" s="1796">
        <v>1</v>
      </c>
      <c r="E1727" s="1796">
        <v>1</v>
      </c>
      <c r="F1727" s="1797">
        <v>2</v>
      </c>
      <c r="G1727" s="1999" t="s">
        <v>6217</v>
      </c>
      <c r="H1727" s="1794">
        <v>1</v>
      </c>
      <c r="I1727" s="1794">
        <v>1</v>
      </c>
      <c r="J1727" s="2000">
        <v>2</v>
      </c>
      <c r="K1727" s="1798"/>
      <c r="L1727" s="1792">
        <v>13153021103</v>
      </c>
      <c r="M1727" s="1793">
        <v>1</v>
      </c>
      <c r="N1727" s="1793">
        <v>1</v>
      </c>
      <c r="O1727" s="1794">
        <v>2</v>
      </c>
    </row>
    <row r="1728" spans="3:15">
      <c r="C1728" s="1799" t="s">
        <v>6218</v>
      </c>
      <c r="D1728" s="1796">
        <v>0</v>
      </c>
      <c r="E1728" s="1796">
        <v>0</v>
      </c>
      <c r="F1728" s="1797">
        <v>0</v>
      </c>
      <c r="G1728" s="1999" t="s">
        <v>6218</v>
      </c>
      <c r="H1728" s="1794">
        <v>0</v>
      </c>
      <c r="I1728" s="1794">
        <v>0</v>
      </c>
      <c r="J1728" s="2000">
        <v>0</v>
      </c>
      <c r="K1728" s="1798"/>
      <c r="L1728" s="1792">
        <v>13153021104</v>
      </c>
      <c r="M1728" s="1793">
        <v>0</v>
      </c>
      <c r="N1728" s="1793">
        <v>0</v>
      </c>
      <c r="O1728" s="1794">
        <v>0</v>
      </c>
    </row>
    <row r="1729" spans="3:15">
      <c r="C1729" s="1799" t="s">
        <v>6219</v>
      </c>
      <c r="D1729" s="1796">
        <v>0</v>
      </c>
      <c r="E1729" s="1796">
        <v>1</v>
      </c>
      <c r="F1729" s="1797">
        <v>1</v>
      </c>
      <c r="G1729" s="1999" t="s">
        <v>6219</v>
      </c>
      <c r="H1729" s="1794">
        <v>1</v>
      </c>
      <c r="I1729" s="1794">
        <v>0</v>
      </c>
      <c r="J1729" s="2000">
        <v>1</v>
      </c>
      <c r="K1729" s="1798"/>
      <c r="L1729" s="1792">
        <v>13153021105</v>
      </c>
      <c r="M1729" s="1793">
        <v>1</v>
      </c>
      <c r="N1729" s="1793">
        <v>1</v>
      </c>
      <c r="O1729" s="1794">
        <v>1</v>
      </c>
    </row>
    <row r="1730" spans="3:15">
      <c r="C1730" s="1799" t="s">
        <v>6220</v>
      </c>
      <c r="D1730" s="1796">
        <v>1</v>
      </c>
      <c r="E1730" s="1796">
        <v>1</v>
      </c>
      <c r="F1730" s="1797">
        <v>2</v>
      </c>
      <c r="G1730" s="1999" t="s">
        <v>6220</v>
      </c>
      <c r="H1730" s="1794">
        <v>0</v>
      </c>
      <c r="I1730" s="1794">
        <v>1</v>
      </c>
      <c r="J1730" s="2000">
        <v>1</v>
      </c>
      <c r="K1730" s="1798"/>
      <c r="L1730" s="1792">
        <v>13153021107</v>
      </c>
      <c r="M1730" s="1793">
        <v>1</v>
      </c>
      <c r="N1730" s="1793">
        <v>1</v>
      </c>
      <c r="O1730" s="1794">
        <v>2</v>
      </c>
    </row>
    <row r="1731" spans="3:15">
      <c r="C1731" s="1799" t="s">
        <v>6221</v>
      </c>
      <c r="D1731" s="1796">
        <v>1</v>
      </c>
      <c r="E1731" s="1796">
        <v>1</v>
      </c>
      <c r="F1731" s="1797">
        <v>2</v>
      </c>
      <c r="G1731" s="1999" t="s">
        <v>6221</v>
      </c>
      <c r="H1731" s="1794">
        <v>1</v>
      </c>
      <c r="I1731" s="1794">
        <v>1</v>
      </c>
      <c r="J1731" s="2000">
        <v>2</v>
      </c>
      <c r="K1731" s="1798"/>
      <c r="L1731" s="1792">
        <v>13153021108</v>
      </c>
      <c r="M1731" s="1793">
        <v>1</v>
      </c>
      <c r="N1731" s="1793">
        <v>1</v>
      </c>
      <c r="O1731" s="1794">
        <v>2</v>
      </c>
    </row>
    <row r="1732" spans="3:15">
      <c r="C1732" s="1799" t="s">
        <v>6222</v>
      </c>
      <c r="D1732" s="1796">
        <v>1</v>
      </c>
      <c r="E1732" s="1796">
        <v>1</v>
      </c>
      <c r="F1732" s="1797">
        <v>2</v>
      </c>
      <c r="G1732" s="1999" t="s">
        <v>6222</v>
      </c>
      <c r="H1732" s="1794">
        <v>1</v>
      </c>
      <c r="I1732" s="1794">
        <v>1</v>
      </c>
      <c r="J1732" s="2000">
        <v>2</v>
      </c>
      <c r="K1732" s="1798"/>
      <c r="L1732" s="1792">
        <v>13153021113</v>
      </c>
      <c r="M1732" s="1793">
        <v>1</v>
      </c>
      <c r="N1732" s="1793">
        <v>1</v>
      </c>
      <c r="O1732" s="1794">
        <v>2</v>
      </c>
    </row>
    <row r="1733" spans="3:15">
      <c r="C1733" s="1799" t="s">
        <v>6223</v>
      </c>
      <c r="D1733" s="1796">
        <v>1</v>
      </c>
      <c r="E1733" s="1796">
        <v>1</v>
      </c>
      <c r="F1733" s="1797">
        <v>2</v>
      </c>
      <c r="G1733" s="1999" t="s">
        <v>6223</v>
      </c>
      <c r="H1733" s="1794">
        <v>1</v>
      </c>
      <c r="I1733" s="1794">
        <v>1</v>
      </c>
      <c r="J1733" s="2000">
        <v>2</v>
      </c>
      <c r="K1733" s="1798"/>
      <c r="L1733" s="1792">
        <v>13153021201</v>
      </c>
      <c r="M1733" s="1793">
        <v>1</v>
      </c>
      <c r="N1733" s="1793">
        <v>1</v>
      </c>
      <c r="O1733" s="1794">
        <v>2</v>
      </c>
    </row>
    <row r="1734" spans="3:15">
      <c r="C1734" s="1799" t="s">
        <v>6224</v>
      </c>
      <c r="D1734" s="1796">
        <v>0</v>
      </c>
      <c r="E1734" s="1796">
        <v>1</v>
      </c>
      <c r="F1734" s="1797">
        <v>1</v>
      </c>
      <c r="G1734" s="1999" t="s">
        <v>6224</v>
      </c>
      <c r="H1734" s="1794">
        <v>0</v>
      </c>
      <c r="I1734" s="1794">
        <v>1</v>
      </c>
      <c r="J1734" s="2000">
        <v>1</v>
      </c>
      <c r="K1734" s="1798"/>
      <c r="L1734" s="1792">
        <v>13153021202</v>
      </c>
      <c r="M1734" s="1793">
        <v>0</v>
      </c>
      <c r="N1734" s="1793">
        <v>1</v>
      </c>
      <c r="O1734" s="1794">
        <v>1</v>
      </c>
    </row>
    <row r="1735" spans="3:15">
      <c r="C1735" s="1799" t="s">
        <v>6225</v>
      </c>
      <c r="D1735" s="1796">
        <v>0</v>
      </c>
      <c r="E1735" s="1796">
        <v>0</v>
      </c>
      <c r="F1735" s="1797">
        <v>0</v>
      </c>
      <c r="G1735" s="1999" t="s">
        <v>6225</v>
      </c>
      <c r="H1735" s="1794">
        <v>0</v>
      </c>
      <c r="I1735" s="1794">
        <v>0</v>
      </c>
      <c r="J1735" s="2000">
        <v>0</v>
      </c>
      <c r="K1735" s="1798"/>
      <c r="L1735" s="1792">
        <v>13153021300</v>
      </c>
      <c r="M1735" s="1793">
        <v>0</v>
      </c>
      <c r="N1735" s="1793">
        <v>0</v>
      </c>
      <c r="O1735" s="1794">
        <v>0</v>
      </c>
    </row>
    <row r="1736" spans="3:15">
      <c r="C1736" s="1799" t="s">
        <v>6226</v>
      </c>
      <c r="D1736" s="1796">
        <v>0</v>
      </c>
      <c r="E1736" s="1796">
        <v>1</v>
      </c>
      <c r="F1736" s="1797">
        <v>1</v>
      </c>
      <c r="G1736" s="1999" t="s">
        <v>6226</v>
      </c>
      <c r="H1736" s="1794">
        <v>0</v>
      </c>
      <c r="I1736" s="1794">
        <v>1</v>
      </c>
      <c r="J1736" s="2000">
        <v>1</v>
      </c>
      <c r="K1736" s="1798"/>
      <c r="L1736" s="1792">
        <v>13153021400</v>
      </c>
      <c r="M1736" s="1793">
        <v>0</v>
      </c>
      <c r="N1736" s="1793">
        <v>1</v>
      </c>
      <c r="O1736" s="1794">
        <v>1</v>
      </c>
    </row>
    <row r="1737" spans="3:15">
      <c r="C1737" s="1799" t="s">
        <v>6227</v>
      </c>
      <c r="D1737" s="1796">
        <v>1</v>
      </c>
      <c r="E1737" s="1796">
        <v>1</v>
      </c>
      <c r="F1737" s="1797">
        <v>2</v>
      </c>
      <c r="G1737" s="1999" t="s">
        <v>6227</v>
      </c>
      <c r="H1737" s="1794">
        <v>1</v>
      </c>
      <c r="I1737" s="1794">
        <v>1</v>
      </c>
      <c r="J1737" s="2000">
        <v>2</v>
      </c>
      <c r="K1737" s="1798"/>
      <c r="L1737" s="1792">
        <v>13153021500</v>
      </c>
      <c r="M1737" s="1793">
        <v>1</v>
      </c>
      <c r="N1737" s="1793">
        <v>1</v>
      </c>
      <c r="O1737" s="1794">
        <v>2</v>
      </c>
    </row>
    <row r="1738" spans="3:15">
      <c r="C1738" s="1799" t="s">
        <v>6228</v>
      </c>
      <c r="D1738" s="1796">
        <v>0</v>
      </c>
      <c r="E1738" s="1796">
        <v>0</v>
      </c>
      <c r="F1738" s="1797">
        <v>0</v>
      </c>
      <c r="G1738" s="1999" t="s">
        <v>6228</v>
      </c>
      <c r="H1738" s="1794">
        <v>0</v>
      </c>
      <c r="I1738" s="1794">
        <v>0</v>
      </c>
      <c r="J1738" s="2000">
        <v>0</v>
      </c>
      <c r="K1738" s="1798"/>
      <c r="L1738" s="1792">
        <v>13155950100</v>
      </c>
      <c r="M1738" s="1793">
        <v>0</v>
      </c>
      <c r="N1738" s="1793">
        <v>0</v>
      </c>
      <c r="O1738" s="1794">
        <v>0</v>
      </c>
    </row>
    <row r="1739" spans="3:15">
      <c r="C1739" s="1799" t="s">
        <v>6229</v>
      </c>
      <c r="D1739" s="1796">
        <v>0</v>
      </c>
      <c r="E1739" s="1796">
        <v>0</v>
      </c>
      <c r="F1739" s="1797">
        <v>0</v>
      </c>
      <c r="G1739" s="1999" t="s">
        <v>6229</v>
      </c>
      <c r="H1739" s="1794">
        <v>0</v>
      </c>
      <c r="I1739" s="1794">
        <v>0</v>
      </c>
      <c r="J1739" s="2000">
        <v>0</v>
      </c>
      <c r="K1739" s="1798"/>
      <c r="L1739" s="1792">
        <v>13155950200</v>
      </c>
      <c r="M1739" s="1793">
        <v>0</v>
      </c>
      <c r="N1739" s="1793">
        <v>0</v>
      </c>
      <c r="O1739" s="1794">
        <v>0</v>
      </c>
    </row>
    <row r="1740" spans="3:15">
      <c r="C1740" s="1799" t="s">
        <v>6230</v>
      </c>
      <c r="D1740" s="1796">
        <v>1</v>
      </c>
      <c r="E1740" s="1796">
        <v>1</v>
      </c>
      <c r="F1740" s="1797">
        <v>2</v>
      </c>
      <c r="G1740" s="1999" t="s">
        <v>6230</v>
      </c>
      <c r="H1740" s="1794">
        <v>1</v>
      </c>
      <c r="I1740" s="1794">
        <v>1</v>
      </c>
      <c r="J1740" s="2000">
        <v>1</v>
      </c>
      <c r="K1740" s="1798"/>
      <c r="L1740" s="1792">
        <v>13157010101</v>
      </c>
      <c r="M1740" s="1793">
        <v>1</v>
      </c>
      <c r="N1740" s="1793">
        <v>1</v>
      </c>
      <c r="O1740" s="1794">
        <v>2</v>
      </c>
    </row>
    <row r="1741" spans="3:15">
      <c r="C1741" s="1799" t="s">
        <v>6231</v>
      </c>
      <c r="D1741" s="1796">
        <v>1</v>
      </c>
      <c r="E1741" s="1796">
        <v>1</v>
      </c>
      <c r="F1741" s="1797">
        <v>2</v>
      </c>
      <c r="G1741" s="1999" t="s">
        <v>6231</v>
      </c>
      <c r="H1741" s="1794">
        <v>1</v>
      </c>
      <c r="I1741" s="1794">
        <v>1</v>
      </c>
      <c r="J1741" s="2000">
        <v>2</v>
      </c>
      <c r="K1741" s="1798"/>
      <c r="L1741" s="1792">
        <v>13157010102</v>
      </c>
      <c r="M1741" s="1793">
        <v>1</v>
      </c>
      <c r="N1741" s="1793">
        <v>1</v>
      </c>
      <c r="O1741" s="1794">
        <v>2</v>
      </c>
    </row>
    <row r="1742" spans="3:15">
      <c r="C1742" s="1799" t="s">
        <v>6232</v>
      </c>
      <c r="D1742" s="1796">
        <v>1</v>
      </c>
      <c r="E1742" s="1796">
        <v>1</v>
      </c>
      <c r="F1742" s="1797">
        <v>2</v>
      </c>
      <c r="G1742" s="1999" t="s">
        <v>6232</v>
      </c>
      <c r="H1742" s="1794">
        <v>0</v>
      </c>
      <c r="I1742" s="1794">
        <v>1</v>
      </c>
      <c r="J1742" s="2000">
        <v>1</v>
      </c>
      <c r="K1742" s="1798"/>
      <c r="L1742" s="1792">
        <v>13157010103</v>
      </c>
      <c r="M1742" s="1793">
        <v>1</v>
      </c>
      <c r="N1742" s="1793">
        <v>1</v>
      </c>
      <c r="O1742" s="1794">
        <v>2</v>
      </c>
    </row>
    <row r="1743" spans="3:15">
      <c r="C1743" s="1799" t="s">
        <v>6233</v>
      </c>
      <c r="D1743" s="1796">
        <v>0</v>
      </c>
      <c r="E1743" s="1796">
        <v>0</v>
      </c>
      <c r="F1743" s="1797">
        <v>0</v>
      </c>
      <c r="G1743" s="1999" t="s">
        <v>6233</v>
      </c>
      <c r="H1743" s="1794">
        <v>0</v>
      </c>
      <c r="I1743" s="1794">
        <v>0</v>
      </c>
      <c r="J1743" s="2000">
        <v>0</v>
      </c>
      <c r="K1743" s="1798"/>
      <c r="L1743" s="1792">
        <v>13157010200</v>
      </c>
      <c r="M1743" s="1793">
        <v>0</v>
      </c>
      <c r="N1743" s="1793">
        <v>0</v>
      </c>
      <c r="O1743" s="1794">
        <v>0</v>
      </c>
    </row>
    <row r="1744" spans="3:15">
      <c r="C1744" s="1799" t="s">
        <v>6234</v>
      </c>
      <c r="D1744" s="1796">
        <v>0</v>
      </c>
      <c r="E1744" s="1796">
        <v>0</v>
      </c>
      <c r="F1744" s="1797">
        <v>0</v>
      </c>
      <c r="G1744" s="1999" t="s">
        <v>6234</v>
      </c>
      <c r="H1744" s="1794">
        <v>0</v>
      </c>
      <c r="I1744" s="1794">
        <v>0</v>
      </c>
      <c r="J1744" s="2000">
        <v>0</v>
      </c>
      <c r="K1744" s="1798"/>
      <c r="L1744" s="1792">
        <v>13157010300</v>
      </c>
      <c r="M1744" s="1793">
        <v>0</v>
      </c>
      <c r="N1744" s="1793">
        <v>0</v>
      </c>
      <c r="O1744" s="1794">
        <v>0</v>
      </c>
    </row>
    <row r="1745" spans="3:15">
      <c r="C1745" s="1799" t="s">
        <v>6235</v>
      </c>
      <c r="D1745" s="1796">
        <v>0</v>
      </c>
      <c r="E1745" s="1796">
        <v>0</v>
      </c>
      <c r="F1745" s="1797">
        <v>0</v>
      </c>
      <c r="G1745" s="1999" t="s">
        <v>6235</v>
      </c>
      <c r="H1745" s="1794">
        <v>0</v>
      </c>
      <c r="I1745" s="1794">
        <v>0</v>
      </c>
      <c r="J1745" s="2000">
        <v>0</v>
      </c>
      <c r="K1745" s="1798"/>
      <c r="L1745" s="1792">
        <v>13157010400</v>
      </c>
      <c r="M1745" s="1793">
        <v>0</v>
      </c>
      <c r="N1745" s="1793">
        <v>0</v>
      </c>
      <c r="O1745" s="1794">
        <v>0</v>
      </c>
    </row>
    <row r="1746" spans="3:15">
      <c r="C1746" s="1799" t="s">
        <v>6236</v>
      </c>
      <c r="D1746" s="1796">
        <v>0</v>
      </c>
      <c r="E1746" s="1796">
        <v>0</v>
      </c>
      <c r="F1746" s="1797">
        <v>0</v>
      </c>
      <c r="G1746" s="1999" t="s">
        <v>6236</v>
      </c>
      <c r="H1746" s="1794">
        <v>0</v>
      </c>
      <c r="I1746" s="1794">
        <v>0</v>
      </c>
      <c r="J1746" s="2000">
        <v>0</v>
      </c>
      <c r="K1746" s="1798"/>
      <c r="L1746" s="1792">
        <v>13157010500</v>
      </c>
      <c r="M1746" s="1793">
        <v>0</v>
      </c>
      <c r="N1746" s="1793">
        <v>0</v>
      </c>
      <c r="O1746" s="1794">
        <v>0</v>
      </c>
    </row>
    <row r="1747" spans="3:15">
      <c r="C1747" s="1799" t="s">
        <v>6237</v>
      </c>
      <c r="D1747" s="1796">
        <v>0</v>
      </c>
      <c r="E1747" s="1796">
        <v>0</v>
      </c>
      <c r="F1747" s="1797">
        <v>0</v>
      </c>
      <c r="G1747" s="1999" t="s">
        <v>6237</v>
      </c>
      <c r="H1747" s="1794">
        <v>1</v>
      </c>
      <c r="I1747" s="1794">
        <v>0</v>
      </c>
      <c r="J1747" s="2000">
        <v>1</v>
      </c>
      <c r="K1747" s="1798"/>
      <c r="L1747" s="1792">
        <v>13157010600</v>
      </c>
      <c r="M1747" s="1793">
        <v>1</v>
      </c>
      <c r="N1747" s="1793">
        <v>0</v>
      </c>
      <c r="O1747" s="1794">
        <v>1</v>
      </c>
    </row>
    <row r="1748" spans="3:15">
      <c r="C1748" s="1799" t="s">
        <v>6238</v>
      </c>
      <c r="D1748" s="1796">
        <v>0</v>
      </c>
      <c r="E1748" s="1796">
        <v>1</v>
      </c>
      <c r="F1748" s="1797">
        <v>1</v>
      </c>
      <c r="G1748" s="1999" t="s">
        <v>6238</v>
      </c>
      <c r="H1748" s="1794">
        <v>1</v>
      </c>
      <c r="I1748" s="1794">
        <v>1</v>
      </c>
      <c r="J1748" s="2000">
        <v>1</v>
      </c>
      <c r="K1748" s="1798"/>
      <c r="L1748" s="1792">
        <v>13157010701</v>
      </c>
      <c r="M1748" s="1793">
        <v>1</v>
      </c>
      <c r="N1748" s="1793">
        <v>1</v>
      </c>
      <c r="O1748" s="1794">
        <v>1</v>
      </c>
    </row>
    <row r="1749" spans="3:15">
      <c r="C1749" s="1799" t="s">
        <v>6239</v>
      </c>
      <c r="D1749" s="1796">
        <v>1</v>
      </c>
      <c r="E1749" s="1796">
        <v>1</v>
      </c>
      <c r="F1749" s="1797">
        <v>2</v>
      </c>
      <c r="G1749" s="1999" t="s">
        <v>6239</v>
      </c>
      <c r="H1749" s="1794">
        <v>1</v>
      </c>
      <c r="I1749" s="1794">
        <v>1</v>
      </c>
      <c r="J1749" s="2000">
        <v>2</v>
      </c>
      <c r="K1749" s="1798"/>
      <c r="L1749" s="1792">
        <v>13157010702</v>
      </c>
      <c r="M1749" s="1793">
        <v>1</v>
      </c>
      <c r="N1749" s="1793">
        <v>1</v>
      </c>
      <c r="O1749" s="1794">
        <v>2</v>
      </c>
    </row>
    <row r="1750" spans="3:15">
      <c r="C1750" s="1799" t="s">
        <v>6240</v>
      </c>
      <c r="D1750" s="1796">
        <v>1</v>
      </c>
      <c r="E1750" s="1796">
        <v>1</v>
      </c>
      <c r="F1750" s="1797">
        <v>2</v>
      </c>
      <c r="G1750" s="1999" t="s">
        <v>6240</v>
      </c>
      <c r="H1750" s="1794">
        <v>1</v>
      </c>
      <c r="I1750" s="1794">
        <v>1</v>
      </c>
      <c r="J1750" s="2000">
        <v>2</v>
      </c>
      <c r="K1750" s="1798"/>
      <c r="L1750" s="1792">
        <v>13157010703</v>
      </c>
      <c r="M1750" s="1793">
        <v>1</v>
      </c>
      <c r="N1750" s="1793">
        <v>1</v>
      </c>
      <c r="O1750" s="1794">
        <v>2</v>
      </c>
    </row>
    <row r="1751" spans="3:15">
      <c r="C1751" s="1799" t="s">
        <v>6241</v>
      </c>
      <c r="D1751" s="1796">
        <v>0</v>
      </c>
      <c r="E1751" s="1796">
        <v>0</v>
      </c>
      <c r="F1751" s="1797">
        <v>0</v>
      </c>
      <c r="G1751" s="1999" t="s">
        <v>6241</v>
      </c>
      <c r="H1751" s="1794">
        <v>0</v>
      </c>
      <c r="I1751" s="1794">
        <v>0</v>
      </c>
      <c r="J1751" s="2000">
        <v>0</v>
      </c>
      <c r="K1751" s="1798"/>
      <c r="L1751" s="1792">
        <v>13159010100</v>
      </c>
      <c r="M1751" s="1793">
        <v>0</v>
      </c>
      <c r="N1751" s="1793">
        <v>0</v>
      </c>
      <c r="O1751" s="1794">
        <v>0</v>
      </c>
    </row>
    <row r="1752" spans="3:15">
      <c r="C1752" s="1799" t="s">
        <v>6242</v>
      </c>
      <c r="D1752" s="1796">
        <v>1</v>
      </c>
      <c r="E1752" s="1796">
        <v>1</v>
      </c>
      <c r="F1752" s="1797">
        <v>2</v>
      </c>
      <c r="G1752" s="1999" t="s">
        <v>6242</v>
      </c>
      <c r="H1752" s="1794">
        <v>0</v>
      </c>
      <c r="I1752" s="1794">
        <v>0</v>
      </c>
      <c r="J1752" s="2000">
        <v>0</v>
      </c>
      <c r="K1752" s="1798"/>
      <c r="L1752" s="1792">
        <v>13159010200</v>
      </c>
      <c r="M1752" s="1793">
        <v>1</v>
      </c>
      <c r="N1752" s="1793">
        <v>1</v>
      </c>
      <c r="O1752" s="1794">
        <v>2</v>
      </c>
    </row>
    <row r="1753" spans="3:15">
      <c r="C1753" s="1799" t="s">
        <v>6243</v>
      </c>
      <c r="D1753" s="1796">
        <v>0</v>
      </c>
      <c r="E1753" s="1796">
        <v>0</v>
      </c>
      <c r="F1753" s="1797">
        <v>0</v>
      </c>
      <c r="G1753" s="1999" t="s">
        <v>6243</v>
      </c>
      <c r="H1753" s="1794">
        <v>0</v>
      </c>
      <c r="I1753" s="1794">
        <v>0</v>
      </c>
      <c r="J1753" s="2000">
        <v>0</v>
      </c>
      <c r="K1753" s="1798"/>
      <c r="L1753" s="1792">
        <v>13159010500</v>
      </c>
      <c r="M1753" s="1793">
        <v>0</v>
      </c>
      <c r="N1753" s="1793">
        <v>0</v>
      </c>
      <c r="O1753" s="1794">
        <v>0</v>
      </c>
    </row>
    <row r="1754" spans="3:15">
      <c r="C1754" s="1799" t="s">
        <v>6244</v>
      </c>
      <c r="D1754" s="1796">
        <v>0</v>
      </c>
      <c r="E1754" s="1796">
        <v>0</v>
      </c>
      <c r="F1754" s="1797">
        <v>0</v>
      </c>
      <c r="G1754" s="1999" t="s">
        <v>6244</v>
      </c>
      <c r="H1754" s="1794">
        <v>0</v>
      </c>
      <c r="I1754" s="1794">
        <v>0</v>
      </c>
      <c r="J1754" s="2000">
        <v>0</v>
      </c>
      <c r="K1754" s="1798"/>
      <c r="L1754" s="1792">
        <v>13161960100</v>
      </c>
      <c r="M1754" s="1793">
        <v>0</v>
      </c>
      <c r="N1754" s="1793">
        <v>0</v>
      </c>
      <c r="O1754" s="1794">
        <v>0</v>
      </c>
    </row>
    <row r="1755" spans="3:15">
      <c r="C1755" s="1799" t="s">
        <v>6245</v>
      </c>
      <c r="D1755" s="1796">
        <v>0</v>
      </c>
      <c r="E1755" s="1796">
        <v>0</v>
      </c>
      <c r="F1755" s="1797">
        <v>0</v>
      </c>
      <c r="G1755" s="1999" t="s">
        <v>6245</v>
      </c>
      <c r="H1755" s="1794">
        <v>0</v>
      </c>
      <c r="I1755" s="1794">
        <v>0</v>
      </c>
      <c r="J1755" s="2000">
        <v>0</v>
      </c>
      <c r="K1755" s="1798"/>
      <c r="L1755" s="1792">
        <v>13161960200</v>
      </c>
      <c r="M1755" s="1793">
        <v>0</v>
      </c>
      <c r="N1755" s="1793">
        <v>0</v>
      </c>
      <c r="O1755" s="1794">
        <v>0</v>
      </c>
    </row>
    <row r="1756" spans="3:15">
      <c r="C1756" s="1799" t="s">
        <v>6246</v>
      </c>
      <c r="D1756" s="1796">
        <v>0</v>
      </c>
      <c r="E1756" s="1796">
        <v>0</v>
      </c>
      <c r="F1756" s="1797">
        <v>0</v>
      </c>
      <c r="G1756" s="1999" t="s">
        <v>6246</v>
      </c>
      <c r="H1756" s="1794">
        <v>0</v>
      </c>
      <c r="I1756" s="1794">
        <v>0</v>
      </c>
      <c r="J1756" s="2000">
        <v>0</v>
      </c>
      <c r="K1756" s="1798"/>
      <c r="L1756" s="1792">
        <v>13161960300</v>
      </c>
      <c r="M1756" s="1793">
        <v>0</v>
      </c>
      <c r="N1756" s="1793">
        <v>0</v>
      </c>
      <c r="O1756" s="1794">
        <v>0</v>
      </c>
    </row>
    <row r="1757" spans="3:15">
      <c r="C1757" s="1799" t="s">
        <v>6247</v>
      </c>
      <c r="D1757" s="1796">
        <v>0</v>
      </c>
      <c r="E1757" s="1796">
        <v>0</v>
      </c>
      <c r="F1757" s="1797">
        <v>0</v>
      </c>
      <c r="G1757" s="1999" t="s">
        <v>6247</v>
      </c>
      <c r="H1757" s="1794">
        <v>0</v>
      </c>
      <c r="I1757" s="1794">
        <v>0</v>
      </c>
      <c r="J1757" s="2000">
        <v>0</v>
      </c>
      <c r="K1757" s="1798"/>
      <c r="L1757" s="1792">
        <v>13163960100</v>
      </c>
      <c r="M1757" s="1793">
        <v>0</v>
      </c>
      <c r="N1757" s="1793">
        <v>0</v>
      </c>
      <c r="O1757" s="1794">
        <v>0</v>
      </c>
    </row>
    <row r="1758" spans="3:15">
      <c r="C1758" s="1799" t="s">
        <v>6248</v>
      </c>
      <c r="D1758" s="1796">
        <v>0</v>
      </c>
      <c r="E1758" s="1796">
        <v>0</v>
      </c>
      <c r="F1758" s="1797">
        <v>0</v>
      </c>
      <c r="G1758" s="1999" t="s">
        <v>6248</v>
      </c>
      <c r="H1758" s="1794">
        <v>0</v>
      </c>
      <c r="I1758" s="1794">
        <v>0</v>
      </c>
      <c r="J1758" s="2000">
        <v>0</v>
      </c>
      <c r="K1758" s="1798"/>
      <c r="L1758" s="1792">
        <v>13163960200</v>
      </c>
      <c r="M1758" s="1793">
        <v>0</v>
      </c>
      <c r="N1758" s="1793">
        <v>0</v>
      </c>
      <c r="O1758" s="1794">
        <v>0</v>
      </c>
    </row>
    <row r="1759" spans="3:15">
      <c r="C1759" s="1799" t="s">
        <v>6249</v>
      </c>
      <c r="D1759" s="1796">
        <v>0</v>
      </c>
      <c r="E1759" s="1796">
        <v>0</v>
      </c>
      <c r="F1759" s="1797">
        <v>0</v>
      </c>
      <c r="G1759" s="1999" t="s">
        <v>6249</v>
      </c>
      <c r="H1759" s="1794">
        <v>0</v>
      </c>
      <c r="I1759" s="1794">
        <v>0</v>
      </c>
      <c r="J1759" s="2000">
        <v>0</v>
      </c>
      <c r="K1759" s="1798"/>
      <c r="L1759" s="1792">
        <v>13163960300</v>
      </c>
      <c r="M1759" s="1793">
        <v>0</v>
      </c>
      <c r="N1759" s="1793">
        <v>0</v>
      </c>
      <c r="O1759" s="1794">
        <v>0</v>
      </c>
    </row>
    <row r="1760" spans="3:15">
      <c r="C1760" s="1799" t="s">
        <v>6250</v>
      </c>
      <c r="D1760" s="1796">
        <v>0</v>
      </c>
      <c r="E1760" s="1796">
        <v>0</v>
      </c>
      <c r="F1760" s="1797">
        <v>0</v>
      </c>
      <c r="G1760" s="1999" t="s">
        <v>6250</v>
      </c>
      <c r="H1760" s="1794">
        <v>0</v>
      </c>
      <c r="I1760" s="1794" t="s">
        <v>4485</v>
      </c>
      <c r="J1760" s="2000">
        <v>0</v>
      </c>
      <c r="K1760" s="1798"/>
      <c r="L1760" s="1792">
        <v>13163960400</v>
      </c>
      <c r="M1760" s="1793">
        <v>0</v>
      </c>
      <c r="N1760" s="1793">
        <v>0</v>
      </c>
      <c r="O1760" s="1794">
        <v>0</v>
      </c>
    </row>
    <row r="1761" spans="3:15">
      <c r="C1761" s="1799" t="s">
        <v>6251</v>
      </c>
      <c r="D1761" s="1796">
        <v>0</v>
      </c>
      <c r="E1761" s="1796">
        <v>0</v>
      </c>
      <c r="F1761" s="1797">
        <v>0</v>
      </c>
      <c r="G1761" s="1999" t="s">
        <v>6251</v>
      </c>
      <c r="H1761" s="1794">
        <v>0</v>
      </c>
      <c r="I1761" s="1794">
        <v>0</v>
      </c>
      <c r="J1761" s="2000">
        <v>0</v>
      </c>
      <c r="K1761" s="1798"/>
      <c r="L1761" s="1792">
        <v>13165960100</v>
      </c>
      <c r="M1761" s="1793">
        <v>0</v>
      </c>
      <c r="N1761" s="1793">
        <v>0</v>
      </c>
      <c r="O1761" s="1794">
        <v>0</v>
      </c>
    </row>
    <row r="1762" spans="3:15">
      <c r="C1762" s="1799" t="s">
        <v>6252</v>
      </c>
      <c r="D1762" s="1796">
        <v>0</v>
      </c>
      <c r="E1762" s="1796">
        <v>0</v>
      </c>
      <c r="F1762" s="1797">
        <v>0</v>
      </c>
      <c r="G1762" s="1999" t="s">
        <v>6252</v>
      </c>
      <c r="H1762" s="1794">
        <v>0</v>
      </c>
      <c r="I1762" s="1794">
        <v>0</v>
      </c>
      <c r="J1762" s="2000">
        <v>0</v>
      </c>
      <c r="K1762" s="1798"/>
      <c r="L1762" s="1792">
        <v>13165960200</v>
      </c>
      <c r="M1762" s="1793">
        <v>0</v>
      </c>
      <c r="N1762" s="1793">
        <v>0</v>
      </c>
      <c r="O1762" s="1794">
        <v>0</v>
      </c>
    </row>
    <row r="1763" spans="3:15">
      <c r="C1763" s="1799" t="s">
        <v>6253</v>
      </c>
      <c r="D1763" s="1796">
        <v>0</v>
      </c>
      <c r="E1763" s="1796">
        <v>0</v>
      </c>
      <c r="F1763" s="1797">
        <v>0</v>
      </c>
      <c r="G1763" s="1999" t="s">
        <v>6253</v>
      </c>
      <c r="H1763" s="1794">
        <v>0</v>
      </c>
      <c r="I1763" s="1794">
        <v>1</v>
      </c>
      <c r="J1763" s="2000">
        <v>0</v>
      </c>
      <c r="K1763" s="1798"/>
      <c r="L1763" s="1792">
        <v>13167960100</v>
      </c>
      <c r="M1763" s="1793">
        <v>0</v>
      </c>
      <c r="N1763" s="1793">
        <v>1</v>
      </c>
      <c r="O1763" s="1794">
        <v>0</v>
      </c>
    </row>
    <row r="1764" spans="3:15">
      <c r="C1764" s="1799" t="s">
        <v>6254</v>
      </c>
      <c r="D1764" s="1796">
        <v>0</v>
      </c>
      <c r="E1764" s="1796">
        <v>0</v>
      </c>
      <c r="F1764" s="1797">
        <v>0</v>
      </c>
      <c r="G1764" s="1999" t="s">
        <v>6254</v>
      </c>
      <c r="H1764" s="1794">
        <v>0</v>
      </c>
      <c r="I1764" s="1794">
        <v>0</v>
      </c>
      <c r="J1764" s="2000">
        <v>0</v>
      </c>
      <c r="K1764" s="1798"/>
      <c r="L1764" s="1792">
        <v>13167960200</v>
      </c>
      <c r="M1764" s="1793">
        <v>0</v>
      </c>
      <c r="N1764" s="1793">
        <v>0</v>
      </c>
      <c r="O1764" s="1794">
        <v>0</v>
      </c>
    </row>
    <row r="1765" spans="3:15">
      <c r="C1765" s="1799" t="s">
        <v>6255</v>
      </c>
      <c r="D1765" s="1796">
        <v>0</v>
      </c>
      <c r="E1765" s="1796">
        <v>0</v>
      </c>
      <c r="F1765" s="1797">
        <v>0</v>
      </c>
      <c r="G1765" s="1999" t="s">
        <v>6255</v>
      </c>
      <c r="H1765" s="1794">
        <v>1</v>
      </c>
      <c r="I1765" s="1794">
        <v>1</v>
      </c>
      <c r="J1765" s="2000">
        <v>2</v>
      </c>
      <c r="K1765" s="1798"/>
      <c r="L1765" s="1792">
        <v>13167960300</v>
      </c>
      <c r="M1765" s="1793">
        <v>1</v>
      </c>
      <c r="N1765" s="1793">
        <v>1</v>
      </c>
      <c r="O1765" s="1794">
        <v>2</v>
      </c>
    </row>
    <row r="1766" spans="3:15">
      <c r="C1766" s="1799" t="s">
        <v>6256</v>
      </c>
      <c r="D1766" s="1796">
        <v>1</v>
      </c>
      <c r="E1766" s="1796">
        <v>1</v>
      </c>
      <c r="F1766" s="1797">
        <v>2</v>
      </c>
      <c r="G1766" s="1999" t="s">
        <v>6256</v>
      </c>
      <c r="H1766" s="1794">
        <v>1</v>
      </c>
      <c r="I1766" s="1794">
        <v>1</v>
      </c>
      <c r="J1766" s="2000">
        <v>2</v>
      </c>
      <c r="K1766" s="1798"/>
      <c r="L1766" s="1792">
        <v>13169030101</v>
      </c>
      <c r="M1766" s="1793">
        <v>1</v>
      </c>
      <c r="N1766" s="1793">
        <v>1</v>
      </c>
      <c r="O1766" s="1794">
        <v>2</v>
      </c>
    </row>
    <row r="1767" spans="3:15">
      <c r="C1767" s="1799" t="s">
        <v>6257</v>
      </c>
      <c r="D1767" s="1796">
        <v>1</v>
      </c>
      <c r="E1767" s="1796">
        <v>1</v>
      </c>
      <c r="F1767" s="1797">
        <v>2</v>
      </c>
      <c r="G1767" s="1999" t="s">
        <v>6257</v>
      </c>
      <c r="H1767" s="1794">
        <v>1</v>
      </c>
      <c r="I1767" s="1794">
        <v>0</v>
      </c>
      <c r="J1767" s="2000">
        <v>1</v>
      </c>
      <c r="K1767" s="1798"/>
      <c r="L1767" s="1792">
        <v>13169030103</v>
      </c>
      <c r="M1767" s="1793">
        <v>1</v>
      </c>
      <c r="N1767" s="1793">
        <v>1</v>
      </c>
      <c r="O1767" s="1794">
        <v>2</v>
      </c>
    </row>
    <row r="1768" spans="3:15">
      <c r="C1768" s="1799" t="s">
        <v>6258</v>
      </c>
      <c r="D1768" s="1796">
        <v>0</v>
      </c>
      <c r="E1768" s="1796">
        <v>0</v>
      </c>
      <c r="F1768" s="1797">
        <v>0</v>
      </c>
      <c r="G1768" s="1999" t="s">
        <v>6258</v>
      </c>
      <c r="H1768" s="1794">
        <v>0</v>
      </c>
      <c r="I1768" s="1794">
        <v>0</v>
      </c>
      <c r="J1768" s="2000">
        <v>0</v>
      </c>
      <c r="K1768" s="1798"/>
      <c r="L1768" s="1792">
        <v>13169030104</v>
      </c>
      <c r="M1768" s="1793">
        <v>0</v>
      </c>
      <c r="N1768" s="1793">
        <v>0</v>
      </c>
      <c r="O1768" s="1794">
        <v>0</v>
      </c>
    </row>
    <row r="1769" spans="3:15">
      <c r="C1769" s="1799" t="s">
        <v>6259</v>
      </c>
      <c r="D1769" s="1796">
        <v>0</v>
      </c>
      <c r="E1769" s="1796">
        <v>0</v>
      </c>
      <c r="F1769" s="1797">
        <v>0</v>
      </c>
      <c r="G1769" s="1999" t="s">
        <v>6259</v>
      </c>
      <c r="H1769" s="1794">
        <v>0</v>
      </c>
      <c r="I1769" s="1794">
        <v>0</v>
      </c>
      <c r="J1769" s="2000">
        <v>0</v>
      </c>
      <c r="K1769" s="1798"/>
      <c r="L1769" s="1792">
        <v>13169030200</v>
      </c>
      <c r="M1769" s="1793">
        <v>0</v>
      </c>
      <c r="N1769" s="1793">
        <v>0</v>
      </c>
      <c r="O1769" s="1794">
        <v>0</v>
      </c>
    </row>
    <row r="1770" spans="3:15">
      <c r="C1770" s="1799" t="s">
        <v>6260</v>
      </c>
      <c r="D1770" s="1796">
        <v>1</v>
      </c>
      <c r="E1770" s="1796">
        <v>1</v>
      </c>
      <c r="F1770" s="1797">
        <v>2</v>
      </c>
      <c r="G1770" s="1999" t="s">
        <v>6260</v>
      </c>
      <c r="H1770" s="1794">
        <v>1</v>
      </c>
      <c r="I1770" s="1794">
        <v>1</v>
      </c>
      <c r="J1770" s="2000">
        <v>2</v>
      </c>
      <c r="K1770" s="1798"/>
      <c r="L1770" s="1792">
        <v>13169030301</v>
      </c>
      <c r="M1770" s="1793">
        <v>1</v>
      </c>
      <c r="N1770" s="1793">
        <v>1</v>
      </c>
      <c r="O1770" s="1794">
        <v>2</v>
      </c>
    </row>
    <row r="1771" spans="3:15">
      <c r="C1771" s="1799" t="s">
        <v>6261</v>
      </c>
      <c r="D1771" s="1796">
        <v>0</v>
      </c>
      <c r="E1771" s="1796">
        <v>1</v>
      </c>
      <c r="F1771" s="1797">
        <v>1</v>
      </c>
      <c r="G1771" s="1999" t="s">
        <v>6261</v>
      </c>
      <c r="H1771" s="1794">
        <v>0</v>
      </c>
      <c r="I1771" s="1794">
        <v>0</v>
      </c>
      <c r="J1771" s="2000">
        <v>0</v>
      </c>
      <c r="K1771" s="1798"/>
      <c r="L1771" s="1792">
        <v>13169030302</v>
      </c>
      <c r="M1771" s="1793">
        <v>0</v>
      </c>
      <c r="N1771" s="1793">
        <v>1</v>
      </c>
      <c r="O1771" s="1794">
        <v>1</v>
      </c>
    </row>
    <row r="1772" spans="3:15">
      <c r="C1772" s="1799" t="s">
        <v>6262</v>
      </c>
      <c r="D1772" s="1796">
        <v>0</v>
      </c>
      <c r="E1772" s="1796">
        <v>0</v>
      </c>
      <c r="F1772" s="1797">
        <v>0</v>
      </c>
      <c r="G1772" s="1999" t="s">
        <v>6262</v>
      </c>
      <c r="H1772" s="1794">
        <v>0</v>
      </c>
      <c r="I1772" s="1794">
        <v>0</v>
      </c>
      <c r="J1772" s="2000">
        <v>0</v>
      </c>
      <c r="K1772" s="1798"/>
      <c r="L1772" s="1792">
        <v>13171970100</v>
      </c>
      <c r="M1772" s="1793">
        <v>0</v>
      </c>
      <c r="N1772" s="1793">
        <v>0</v>
      </c>
      <c r="O1772" s="1794">
        <v>0</v>
      </c>
    </row>
    <row r="1773" spans="3:15">
      <c r="C1773" s="1799" t="s">
        <v>6263</v>
      </c>
      <c r="D1773" s="1796">
        <v>0</v>
      </c>
      <c r="E1773" s="1796">
        <v>0</v>
      </c>
      <c r="F1773" s="1797">
        <v>0</v>
      </c>
      <c r="G1773" s="1999" t="s">
        <v>6263</v>
      </c>
      <c r="H1773" s="1794">
        <v>0</v>
      </c>
      <c r="I1773" s="1794">
        <v>0</v>
      </c>
      <c r="J1773" s="2000">
        <v>0</v>
      </c>
      <c r="K1773" s="1798"/>
      <c r="L1773" s="1792">
        <v>13171970200</v>
      </c>
      <c r="M1773" s="1793">
        <v>0</v>
      </c>
      <c r="N1773" s="1793">
        <v>0</v>
      </c>
      <c r="O1773" s="1794">
        <v>0</v>
      </c>
    </row>
    <row r="1774" spans="3:15">
      <c r="C1774" s="1799" t="s">
        <v>6264</v>
      </c>
      <c r="D1774" s="1796">
        <v>0</v>
      </c>
      <c r="E1774" s="1796">
        <v>0</v>
      </c>
      <c r="F1774" s="1797">
        <v>0</v>
      </c>
      <c r="G1774" s="1999" t="s">
        <v>6264</v>
      </c>
      <c r="H1774" s="1794">
        <v>0</v>
      </c>
      <c r="I1774" s="1794">
        <v>0</v>
      </c>
      <c r="J1774" s="2000">
        <v>0</v>
      </c>
      <c r="K1774" s="1798"/>
      <c r="L1774" s="1792">
        <v>13171970300</v>
      </c>
      <c r="M1774" s="1793">
        <v>0</v>
      </c>
      <c r="N1774" s="1793">
        <v>0</v>
      </c>
      <c r="O1774" s="1794">
        <v>0</v>
      </c>
    </row>
    <row r="1775" spans="3:15">
      <c r="C1775" s="1799" t="s">
        <v>6265</v>
      </c>
      <c r="D1775" s="1796">
        <v>0</v>
      </c>
      <c r="E1775" s="1796">
        <v>0</v>
      </c>
      <c r="F1775" s="1797">
        <v>0</v>
      </c>
      <c r="G1775" s="1999" t="s">
        <v>6265</v>
      </c>
      <c r="H1775" s="1794">
        <v>0</v>
      </c>
      <c r="I1775" s="1794">
        <v>0</v>
      </c>
      <c r="J1775" s="2000">
        <v>0</v>
      </c>
      <c r="K1775" s="1798"/>
      <c r="L1775" s="1792">
        <v>13173950100</v>
      </c>
      <c r="M1775" s="1793">
        <v>0</v>
      </c>
      <c r="N1775" s="1793">
        <v>0</v>
      </c>
      <c r="O1775" s="1794">
        <v>0</v>
      </c>
    </row>
    <row r="1776" spans="3:15">
      <c r="C1776" s="1799" t="s">
        <v>6266</v>
      </c>
      <c r="D1776" s="1796">
        <v>0</v>
      </c>
      <c r="E1776" s="1796">
        <v>0</v>
      </c>
      <c r="F1776" s="1797">
        <v>0</v>
      </c>
      <c r="G1776" s="1999" t="s">
        <v>6266</v>
      </c>
      <c r="H1776" s="1794">
        <v>0</v>
      </c>
      <c r="I1776" s="1794">
        <v>0</v>
      </c>
      <c r="J1776" s="2000">
        <v>0</v>
      </c>
      <c r="K1776" s="1798"/>
      <c r="L1776" s="1792">
        <v>13173950200</v>
      </c>
      <c r="M1776" s="1793">
        <v>0</v>
      </c>
      <c r="N1776" s="1793">
        <v>0</v>
      </c>
      <c r="O1776" s="1794">
        <v>0</v>
      </c>
    </row>
    <row r="1777" spans="3:15">
      <c r="C1777" s="1799" t="s">
        <v>6267</v>
      </c>
      <c r="D1777" s="1796">
        <v>0</v>
      </c>
      <c r="E1777" s="1796">
        <v>0</v>
      </c>
      <c r="F1777" s="1797">
        <v>0</v>
      </c>
      <c r="G1777" s="1999" t="s">
        <v>6267</v>
      </c>
      <c r="H1777" s="1794">
        <v>0</v>
      </c>
      <c r="I1777" s="1794">
        <v>0</v>
      </c>
      <c r="J1777" s="2000">
        <v>0</v>
      </c>
      <c r="K1777" s="1798"/>
      <c r="L1777" s="1792">
        <v>13175950100</v>
      </c>
      <c r="M1777" s="1793">
        <v>0</v>
      </c>
      <c r="N1777" s="1793">
        <v>0</v>
      </c>
      <c r="O1777" s="1794">
        <v>0</v>
      </c>
    </row>
    <row r="1778" spans="3:15">
      <c r="C1778" s="1799" t="s">
        <v>6268</v>
      </c>
      <c r="D1778" s="1796">
        <v>0</v>
      </c>
      <c r="E1778" s="1796">
        <v>1</v>
      </c>
      <c r="F1778" s="1797">
        <v>1</v>
      </c>
      <c r="G1778" s="1999" t="s">
        <v>6268</v>
      </c>
      <c r="H1778" s="1794">
        <v>1</v>
      </c>
      <c r="I1778" s="1794">
        <v>1</v>
      </c>
      <c r="J1778" s="2000">
        <v>2</v>
      </c>
      <c r="K1778" s="1798"/>
      <c r="L1778" s="1792">
        <v>13175950201</v>
      </c>
      <c r="M1778" s="1793">
        <v>1</v>
      </c>
      <c r="N1778" s="1793">
        <v>1</v>
      </c>
      <c r="O1778" s="1794">
        <v>2</v>
      </c>
    </row>
    <row r="1779" spans="3:15">
      <c r="C1779" s="1799" t="s">
        <v>6269</v>
      </c>
      <c r="D1779" s="1796">
        <v>1</v>
      </c>
      <c r="E1779" s="1796">
        <v>1</v>
      </c>
      <c r="F1779" s="1797">
        <v>2</v>
      </c>
      <c r="G1779" s="1999" t="s">
        <v>6269</v>
      </c>
      <c r="H1779" s="1794">
        <v>1</v>
      </c>
      <c r="I1779" s="1794">
        <v>1</v>
      </c>
      <c r="J1779" s="2000">
        <v>2</v>
      </c>
      <c r="K1779" s="1798"/>
      <c r="L1779" s="1792">
        <v>13175950202</v>
      </c>
      <c r="M1779" s="1793">
        <v>1</v>
      </c>
      <c r="N1779" s="1793">
        <v>1</v>
      </c>
      <c r="O1779" s="1794">
        <v>2</v>
      </c>
    </row>
    <row r="1780" spans="3:15">
      <c r="C1780" s="1799" t="s">
        <v>6270</v>
      </c>
      <c r="D1780" s="1796">
        <v>0</v>
      </c>
      <c r="E1780" s="1796">
        <v>0</v>
      </c>
      <c r="F1780" s="1797">
        <v>0</v>
      </c>
      <c r="G1780" s="1999" t="s">
        <v>6270</v>
      </c>
      <c r="H1780" s="1794">
        <v>0</v>
      </c>
      <c r="I1780" s="1794">
        <v>0</v>
      </c>
      <c r="J1780" s="2000">
        <v>0</v>
      </c>
      <c r="K1780" s="1798"/>
      <c r="L1780" s="1792">
        <v>13175950300</v>
      </c>
      <c r="M1780" s="1793">
        <v>0</v>
      </c>
      <c r="N1780" s="1793">
        <v>0</v>
      </c>
      <c r="O1780" s="1794">
        <v>0</v>
      </c>
    </row>
    <row r="1781" spans="3:15">
      <c r="C1781" s="1799" t="s">
        <v>6271</v>
      </c>
      <c r="D1781" s="1796">
        <v>0</v>
      </c>
      <c r="E1781" s="1796">
        <v>0</v>
      </c>
      <c r="F1781" s="1797">
        <v>0</v>
      </c>
      <c r="G1781" s="1999" t="s">
        <v>6271</v>
      </c>
      <c r="H1781" s="1794">
        <v>0</v>
      </c>
      <c r="I1781" s="1794">
        <v>0</v>
      </c>
      <c r="J1781" s="2000">
        <v>0</v>
      </c>
      <c r="K1781" s="1798"/>
      <c r="L1781" s="1792">
        <v>13175950400</v>
      </c>
      <c r="M1781" s="1793">
        <v>0</v>
      </c>
      <c r="N1781" s="1793">
        <v>0</v>
      </c>
      <c r="O1781" s="1794">
        <v>0</v>
      </c>
    </row>
    <row r="1782" spans="3:15">
      <c r="C1782" s="1799" t="s">
        <v>6272</v>
      </c>
      <c r="D1782" s="1796">
        <v>0</v>
      </c>
      <c r="E1782" s="1796">
        <v>0</v>
      </c>
      <c r="F1782" s="1797">
        <v>0</v>
      </c>
      <c r="G1782" s="1999" t="s">
        <v>6272</v>
      </c>
      <c r="H1782" s="1794">
        <v>0</v>
      </c>
      <c r="I1782" s="1794">
        <v>0</v>
      </c>
      <c r="J1782" s="2000">
        <v>0</v>
      </c>
      <c r="K1782" s="1798"/>
      <c r="L1782" s="1792">
        <v>13175950500</v>
      </c>
      <c r="M1782" s="1793">
        <v>0</v>
      </c>
      <c r="N1782" s="1793">
        <v>0</v>
      </c>
      <c r="O1782" s="1794">
        <v>0</v>
      </c>
    </row>
    <row r="1783" spans="3:15">
      <c r="C1783" s="1799" t="s">
        <v>6273</v>
      </c>
      <c r="D1783" s="1796">
        <v>1</v>
      </c>
      <c r="E1783" s="1796">
        <v>0</v>
      </c>
      <c r="F1783" s="1797">
        <v>1</v>
      </c>
      <c r="G1783" s="1999" t="s">
        <v>6273</v>
      </c>
      <c r="H1783" s="1794">
        <v>0</v>
      </c>
      <c r="I1783" s="1794">
        <v>1</v>
      </c>
      <c r="J1783" s="2000">
        <v>1</v>
      </c>
      <c r="K1783" s="1798"/>
      <c r="L1783" s="1792">
        <v>13175950600</v>
      </c>
      <c r="M1783" s="1793">
        <v>1</v>
      </c>
      <c r="N1783" s="1793">
        <v>1</v>
      </c>
      <c r="O1783" s="1794">
        <v>1</v>
      </c>
    </row>
    <row r="1784" spans="3:15">
      <c r="C1784" s="1799" t="s">
        <v>6274</v>
      </c>
      <c r="D1784" s="1796">
        <v>0</v>
      </c>
      <c r="E1784" s="1796">
        <v>0</v>
      </c>
      <c r="F1784" s="1797">
        <v>0</v>
      </c>
      <c r="G1784" s="1999" t="s">
        <v>6274</v>
      </c>
      <c r="H1784" s="1794">
        <v>0</v>
      </c>
      <c r="I1784" s="1794">
        <v>1</v>
      </c>
      <c r="J1784" s="2000">
        <v>1</v>
      </c>
      <c r="K1784" s="1798"/>
      <c r="L1784" s="1792">
        <v>13175950700</v>
      </c>
      <c r="M1784" s="1793">
        <v>0</v>
      </c>
      <c r="N1784" s="1793">
        <v>1</v>
      </c>
      <c r="O1784" s="1794">
        <v>1</v>
      </c>
    </row>
    <row r="1785" spans="3:15">
      <c r="C1785" s="1799" t="s">
        <v>6275</v>
      </c>
      <c r="D1785" s="1796">
        <v>0</v>
      </c>
      <c r="E1785" s="1796">
        <v>0</v>
      </c>
      <c r="F1785" s="1797">
        <v>0</v>
      </c>
      <c r="G1785" s="1999" t="s">
        <v>6275</v>
      </c>
      <c r="H1785" s="1794">
        <v>0</v>
      </c>
      <c r="I1785" s="1794">
        <v>0</v>
      </c>
      <c r="J1785" s="2000">
        <v>0</v>
      </c>
      <c r="K1785" s="1798"/>
      <c r="L1785" s="1792">
        <v>13175950800</v>
      </c>
      <c r="M1785" s="1793">
        <v>0</v>
      </c>
      <c r="N1785" s="1793">
        <v>0</v>
      </c>
      <c r="O1785" s="1794">
        <v>0</v>
      </c>
    </row>
    <row r="1786" spans="3:15">
      <c r="C1786" s="1799" t="s">
        <v>6276</v>
      </c>
      <c r="D1786" s="1796">
        <v>0</v>
      </c>
      <c r="E1786" s="1796">
        <v>0</v>
      </c>
      <c r="F1786" s="1797">
        <v>0</v>
      </c>
      <c r="G1786" s="1999" t="s">
        <v>6276</v>
      </c>
      <c r="H1786" s="1794">
        <v>0</v>
      </c>
      <c r="I1786" s="1794">
        <v>0</v>
      </c>
      <c r="J1786" s="2000">
        <v>0</v>
      </c>
      <c r="K1786" s="1798"/>
      <c r="L1786" s="1792">
        <v>13175950900</v>
      </c>
      <c r="M1786" s="1793">
        <v>0</v>
      </c>
      <c r="N1786" s="1793">
        <v>0</v>
      </c>
      <c r="O1786" s="1794">
        <v>0</v>
      </c>
    </row>
    <row r="1787" spans="3:15">
      <c r="C1787" s="1799" t="s">
        <v>6277</v>
      </c>
      <c r="D1787" s="1796">
        <v>0</v>
      </c>
      <c r="E1787" s="1796">
        <v>0</v>
      </c>
      <c r="F1787" s="1797">
        <v>0</v>
      </c>
      <c r="G1787" s="1999" t="s">
        <v>6277</v>
      </c>
      <c r="H1787" s="1794">
        <v>0</v>
      </c>
      <c r="I1787" s="1794">
        <v>0</v>
      </c>
      <c r="J1787" s="2000">
        <v>0</v>
      </c>
      <c r="K1787" s="1798"/>
      <c r="L1787" s="1792">
        <v>13175951000</v>
      </c>
      <c r="M1787" s="1793">
        <v>0</v>
      </c>
      <c r="N1787" s="1793">
        <v>0</v>
      </c>
      <c r="O1787" s="1794">
        <v>0</v>
      </c>
    </row>
    <row r="1788" spans="3:15">
      <c r="C1788" s="1799" t="s">
        <v>6278</v>
      </c>
      <c r="D1788" s="1796">
        <v>0</v>
      </c>
      <c r="E1788" s="1796">
        <v>0</v>
      </c>
      <c r="F1788" s="1797">
        <v>0</v>
      </c>
      <c r="G1788" s="1999" t="s">
        <v>6278</v>
      </c>
      <c r="H1788" s="1794">
        <v>0</v>
      </c>
      <c r="I1788" s="1794">
        <v>0</v>
      </c>
      <c r="J1788" s="2000">
        <v>0</v>
      </c>
      <c r="K1788" s="1798"/>
      <c r="L1788" s="1792">
        <v>13175951100</v>
      </c>
      <c r="M1788" s="1793">
        <v>0</v>
      </c>
      <c r="N1788" s="1793">
        <v>0</v>
      </c>
      <c r="O1788" s="1794">
        <v>0</v>
      </c>
    </row>
    <row r="1789" spans="3:15">
      <c r="C1789" s="1799" t="s">
        <v>6279</v>
      </c>
      <c r="D1789" s="1796">
        <v>0</v>
      </c>
      <c r="E1789" s="1796">
        <v>0</v>
      </c>
      <c r="F1789" s="1797">
        <v>0</v>
      </c>
      <c r="G1789" s="1999" t="s">
        <v>6279</v>
      </c>
      <c r="H1789" s="1794">
        <v>0</v>
      </c>
      <c r="I1789" s="1794" t="s">
        <v>4485</v>
      </c>
      <c r="J1789" s="2000">
        <v>0</v>
      </c>
      <c r="K1789" s="1798"/>
      <c r="L1789" s="1792">
        <v>13175951400</v>
      </c>
      <c r="M1789" s="1793">
        <v>0</v>
      </c>
      <c r="N1789" s="1793">
        <v>0</v>
      </c>
      <c r="O1789" s="1794">
        <v>0</v>
      </c>
    </row>
    <row r="1790" spans="3:15">
      <c r="C1790" s="1799" t="s">
        <v>6280</v>
      </c>
      <c r="D1790" s="1796">
        <v>1</v>
      </c>
      <c r="E1790" s="1796">
        <v>1</v>
      </c>
      <c r="F1790" s="1797">
        <v>2</v>
      </c>
      <c r="G1790" s="1999" t="s">
        <v>6280</v>
      </c>
      <c r="H1790" s="1794">
        <v>0</v>
      </c>
      <c r="I1790" s="1794">
        <v>1</v>
      </c>
      <c r="J1790" s="2000">
        <v>1</v>
      </c>
      <c r="K1790" s="1798"/>
      <c r="L1790" s="1792">
        <v>13177020100</v>
      </c>
      <c r="M1790" s="1793">
        <v>1</v>
      </c>
      <c r="N1790" s="1793">
        <v>1</v>
      </c>
      <c r="O1790" s="1794">
        <v>2</v>
      </c>
    </row>
    <row r="1791" spans="3:15">
      <c r="C1791" s="1799" t="s">
        <v>6281</v>
      </c>
      <c r="D1791" s="1796">
        <v>0</v>
      </c>
      <c r="E1791" s="1796">
        <v>0</v>
      </c>
      <c r="F1791" s="1797">
        <v>0</v>
      </c>
      <c r="G1791" s="1999" t="s">
        <v>6281</v>
      </c>
      <c r="H1791" s="1794">
        <v>0</v>
      </c>
      <c r="I1791" s="1794" t="s">
        <v>4485</v>
      </c>
      <c r="J1791" s="2000">
        <v>0</v>
      </c>
      <c r="K1791" s="1798"/>
      <c r="L1791" s="1792">
        <v>13177020200</v>
      </c>
      <c r="M1791" s="1793">
        <v>0</v>
      </c>
      <c r="N1791" s="1793">
        <v>0</v>
      </c>
      <c r="O1791" s="1794">
        <v>0</v>
      </c>
    </row>
    <row r="1792" spans="3:15">
      <c r="C1792" s="1799" t="s">
        <v>6282</v>
      </c>
      <c r="D1792" s="1796">
        <v>0</v>
      </c>
      <c r="E1792" s="1796">
        <v>1</v>
      </c>
      <c r="F1792" s="1797">
        <v>1</v>
      </c>
      <c r="G1792" s="1999" t="s">
        <v>6282</v>
      </c>
      <c r="H1792" s="1794">
        <v>0</v>
      </c>
      <c r="I1792" s="1794">
        <v>0</v>
      </c>
      <c r="J1792" s="2000">
        <v>0</v>
      </c>
      <c r="K1792" s="1798"/>
      <c r="L1792" s="1792">
        <v>13177020300</v>
      </c>
      <c r="M1792" s="1793">
        <v>0</v>
      </c>
      <c r="N1792" s="1793">
        <v>1</v>
      </c>
      <c r="O1792" s="1794">
        <v>1</v>
      </c>
    </row>
    <row r="1793" spans="3:15">
      <c r="C1793" s="1799" t="s">
        <v>6283</v>
      </c>
      <c r="D1793" s="1796">
        <v>1</v>
      </c>
      <c r="E1793" s="1796">
        <v>1</v>
      </c>
      <c r="F1793" s="1797">
        <v>2</v>
      </c>
      <c r="G1793" s="1999" t="s">
        <v>6283</v>
      </c>
      <c r="H1793" s="1794">
        <v>1</v>
      </c>
      <c r="I1793" s="1794">
        <v>0</v>
      </c>
      <c r="J1793" s="2000">
        <v>1</v>
      </c>
      <c r="K1793" s="1798"/>
      <c r="L1793" s="1792">
        <v>13177020402</v>
      </c>
      <c r="M1793" s="1793">
        <v>1</v>
      </c>
      <c r="N1793" s="1793">
        <v>1</v>
      </c>
      <c r="O1793" s="1794">
        <v>2</v>
      </c>
    </row>
    <row r="1794" spans="3:15">
      <c r="C1794" s="1799" t="s">
        <v>6284</v>
      </c>
      <c r="D1794" s="1796">
        <v>1</v>
      </c>
      <c r="E1794" s="1796">
        <v>1</v>
      </c>
      <c r="F1794" s="1797">
        <v>2</v>
      </c>
      <c r="G1794" s="1999" t="s">
        <v>6284</v>
      </c>
      <c r="H1794" s="1794">
        <v>1</v>
      </c>
      <c r="I1794" s="1794">
        <v>1</v>
      </c>
      <c r="J1794" s="2000">
        <v>2</v>
      </c>
      <c r="K1794" s="1798"/>
      <c r="L1794" s="1792">
        <v>13177020403</v>
      </c>
      <c r="M1794" s="1793">
        <v>1</v>
      </c>
      <c r="N1794" s="1793">
        <v>1</v>
      </c>
      <c r="O1794" s="1794">
        <v>2</v>
      </c>
    </row>
    <row r="1795" spans="3:15">
      <c r="C1795" s="1799" t="s">
        <v>6285</v>
      </c>
      <c r="D1795" s="1796">
        <v>0</v>
      </c>
      <c r="E1795" s="1796">
        <v>1</v>
      </c>
      <c r="F1795" s="1797">
        <v>1</v>
      </c>
      <c r="G1795" s="1999" t="s">
        <v>6285</v>
      </c>
      <c r="H1795" s="1794">
        <v>0</v>
      </c>
      <c r="I1795" s="1794" t="s">
        <v>4485</v>
      </c>
      <c r="J1795" s="2000">
        <v>0</v>
      </c>
      <c r="K1795" s="1798"/>
      <c r="L1795" s="1792">
        <v>13179010101</v>
      </c>
      <c r="M1795" s="1793">
        <v>0</v>
      </c>
      <c r="N1795" s="1793">
        <v>1</v>
      </c>
      <c r="O1795" s="1794">
        <v>1</v>
      </c>
    </row>
    <row r="1796" spans="3:15">
      <c r="C1796" s="1799" t="s">
        <v>6286</v>
      </c>
      <c r="D1796" s="1796">
        <v>1</v>
      </c>
      <c r="E1796" s="1796">
        <v>1</v>
      </c>
      <c r="F1796" s="1797">
        <v>2</v>
      </c>
      <c r="G1796" s="1999" t="s">
        <v>6286</v>
      </c>
      <c r="H1796" s="1794">
        <v>1</v>
      </c>
      <c r="I1796" s="1794" t="s">
        <v>4485</v>
      </c>
      <c r="J1796" s="2000">
        <v>1</v>
      </c>
      <c r="K1796" s="1798"/>
      <c r="L1796" s="1792">
        <v>13179010102</v>
      </c>
      <c r="M1796" s="1793">
        <v>1</v>
      </c>
      <c r="N1796" s="1793">
        <v>1</v>
      </c>
      <c r="O1796" s="1794">
        <v>2</v>
      </c>
    </row>
    <row r="1797" spans="3:15">
      <c r="C1797" s="1799" t="s">
        <v>6287</v>
      </c>
      <c r="D1797" s="1796">
        <v>0</v>
      </c>
      <c r="E1797" s="1796">
        <v>1</v>
      </c>
      <c r="F1797" s="1797">
        <v>1</v>
      </c>
      <c r="G1797" s="1999" t="s">
        <v>6287</v>
      </c>
      <c r="H1797" s="1794">
        <v>0</v>
      </c>
      <c r="I1797" s="1794" t="s">
        <v>4485</v>
      </c>
      <c r="J1797" s="2000">
        <v>0</v>
      </c>
      <c r="K1797" s="1798"/>
      <c r="L1797" s="1792">
        <v>13179010103</v>
      </c>
      <c r="M1797" s="1793">
        <v>0</v>
      </c>
      <c r="N1797" s="1793">
        <v>1</v>
      </c>
      <c r="O1797" s="1794">
        <v>1</v>
      </c>
    </row>
    <row r="1798" spans="3:15">
      <c r="C1798" s="1799" t="s">
        <v>6288</v>
      </c>
      <c r="D1798" s="1796">
        <v>0</v>
      </c>
      <c r="E1798" s="1796">
        <v>1</v>
      </c>
      <c r="F1798" s="1797">
        <v>1</v>
      </c>
      <c r="G1798" s="1999" t="s">
        <v>6288</v>
      </c>
      <c r="H1798" s="1794">
        <v>0</v>
      </c>
      <c r="I1798" s="1794">
        <v>1</v>
      </c>
      <c r="J1798" s="2000">
        <v>1</v>
      </c>
      <c r="K1798" s="1798"/>
      <c r="L1798" s="1792">
        <v>13179010202</v>
      </c>
      <c r="M1798" s="1793">
        <v>0</v>
      </c>
      <c r="N1798" s="1793">
        <v>1</v>
      </c>
      <c r="O1798" s="1794">
        <v>1</v>
      </c>
    </row>
    <row r="1799" spans="3:15">
      <c r="C1799" s="1799" t="s">
        <v>6289</v>
      </c>
      <c r="D1799" s="1796">
        <v>0</v>
      </c>
      <c r="E1799" s="1796">
        <v>0</v>
      </c>
      <c r="F1799" s="1797">
        <v>0</v>
      </c>
      <c r="G1799" s="1999" t="s">
        <v>6289</v>
      </c>
      <c r="H1799" s="1794">
        <v>0</v>
      </c>
      <c r="I1799" s="1794">
        <v>0</v>
      </c>
      <c r="J1799" s="2000">
        <v>0</v>
      </c>
      <c r="K1799" s="1798"/>
      <c r="L1799" s="1792">
        <v>13179010204</v>
      </c>
      <c r="M1799" s="1793">
        <v>0</v>
      </c>
      <c r="N1799" s="1793">
        <v>0</v>
      </c>
      <c r="O1799" s="1794">
        <v>0</v>
      </c>
    </row>
    <row r="1800" spans="3:15">
      <c r="C1800" s="1799" t="s">
        <v>6290</v>
      </c>
      <c r="D1800" s="1796">
        <v>0</v>
      </c>
      <c r="E1800" s="1796">
        <v>1</v>
      </c>
      <c r="F1800" s="1797">
        <v>1</v>
      </c>
      <c r="G1800" s="1999" t="s">
        <v>6290</v>
      </c>
      <c r="H1800" s="1794">
        <v>0</v>
      </c>
      <c r="I1800" s="1794">
        <v>0</v>
      </c>
      <c r="J1800" s="2000">
        <v>0</v>
      </c>
      <c r="K1800" s="1798"/>
      <c r="L1800" s="1792">
        <v>13179010205</v>
      </c>
      <c r="M1800" s="1793">
        <v>0</v>
      </c>
      <c r="N1800" s="1793">
        <v>1</v>
      </c>
      <c r="O1800" s="1794">
        <v>1</v>
      </c>
    </row>
    <row r="1801" spans="3:15">
      <c r="C1801" s="1799" t="s">
        <v>6291</v>
      </c>
      <c r="D1801" s="1796">
        <v>0</v>
      </c>
      <c r="E1801" s="1796">
        <v>1</v>
      </c>
      <c r="F1801" s="1797">
        <v>1</v>
      </c>
      <c r="G1801" s="1999" t="s">
        <v>6291</v>
      </c>
      <c r="H1801" s="1794">
        <v>0</v>
      </c>
      <c r="I1801" s="1794">
        <v>1</v>
      </c>
      <c r="J1801" s="2000">
        <v>1</v>
      </c>
      <c r="K1801" s="1798"/>
      <c r="L1801" s="1792">
        <v>13179010206</v>
      </c>
      <c r="M1801" s="1793">
        <v>0</v>
      </c>
      <c r="N1801" s="1793">
        <v>1</v>
      </c>
      <c r="O1801" s="1794">
        <v>1</v>
      </c>
    </row>
    <row r="1802" spans="3:15">
      <c r="C1802" s="1799" t="s">
        <v>6292</v>
      </c>
      <c r="D1802" s="1796">
        <v>0</v>
      </c>
      <c r="E1802" s="1796">
        <v>0</v>
      </c>
      <c r="F1802" s="1797">
        <v>0</v>
      </c>
      <c r="G1802" s="1999" t="s">
        <v>6292</v>
      </c>
      <c r="H1802" s="1794">
        <v>0</v>
      </c>
      <c r="I1802" s="1794">
        <v>0</v>
      </c>
      <c r="J1802" s="2000">
        <v>0</v>
      </c>
      <c r="K1802" s="1798"/>
      <c r="L1802" s="1792">
        <v>13179010207</v>
      </c>
      <c r="M1802" s="1793">
        <v>0</v>
      </c>
      <c r="N1802" s="1793">
        <v>0</v>
      </c>
      <c r="O1802" s="1794">
        <v>0</v>
      </c>
    </row>
    <row r="1803" spans="3:15">
      <c r="C1803" s="1799" t="s">
        <v>6293</v>
      </c>
      <c r="D1803" s="1796">
        <v>0</v>
      </c>
      <c r="E1803" s="1796">
        <v>1</v>
      </c>
      <c r="F1803" s="1797">
        <v>1</v>
      </c>
      <c r="G1803" s="1999" t="s">
        <v>6293</v>
      </c>
      <c r="H1803" s="1794">
        <v>0</v>
      </c>
      <c r="I1803" s="1794" t="s">
        <v>4485</v>
      </c>
      <c r="J1803" s="2000">
        <v>0</v>
      </c>
      <c r="K1803" s="1798"/>
      <c r="L1803" s="1792">
        <v>13179010208</v>
      </c>
      <c r="M1803" s="1793">
        <v>0</v>
      </c>
      <c r="N1803" s="1793">
        <v>1</v>
      </c>
      <c r="O1803" s="1794">
        <v>1</v>
      </c>
    </row>
    <row r="1804" spans="3:15">
      <c r="C1804" s="1799" t="s">
        <v>6294</v>
      </c>
      <c r="D1804" s="1796">
        <v>0</v>
      </c>
      <c r="E1804" s="1796">
        <v>1</v>
      </c>
      <c r="F1804" s="1797">
        <v>1</v>
      </c>
      <c r="G1804" s="1999" t="s">
        <v>6294</v>
      </c>
      <c r="H1804" s="1794">
        <v>0</v>
      </c>
      <c r="I1804" s="1794">
        <v>1</v>
      </c>
      <c r="J1804" s="2000">
        <v>1</v>
      </c>
      <c r="K1804" s="1798"/>
      <c r="L1804" s="1792">
        <v>13179010300</v>
      </c>
      <c r="M1804" s="1793">
        <v>0</v>
      </c>
      <c r="N1804" s="1793">
        <v>1</v>
      </c>
      <c r="O1804" s="1794">
        <v>1</v>
      </c>
    </row>
    <row r="1805" spans="3:15">
      <c r="C1805" s="1799" t="s">
        <v>6295</v>
      </c>
      <c r="D1805" s="1796">
        <v>0</v>
      </c>
      <c r="E1805" s="1796">
        <v>0</v>
      </c>
      <c r="F1805" s="1797">
        <v>0</v>
      </c>
      <c r="G1805" s="1999" t="s">
        <v>6295</v>
      </c>
      <c r="H1805" s="1794">
        <v>0</v>
      </c>
      <c r="I1805" s="1794">
        <v>0</v>
      </c>
      <c r="J1805" s="2000">
        <v>0</v>
      </c>
      <c r="K1805" s="1798"/>
      <c r="L1805" s="1792">
        <v>13179010400</v>
      </c>
      <c r="M1805" s="1793">
        <v>0</v>
      </c>
      <c r="N1805" s="1793">
        <v>0</v>
      </c>
      <c r="O1805" s="1794">
        <v>0</v>
      </c>
    </row>
    <row r="1806" spans="3:15">
      <c r="C1806" s="1799" t="s">
        <v>6296</v>
      </c>
      <c r="D1806" s="1796">
        <v>1</v>
      </c>
      <c r="E1806" s="1796">
        <v>1</v>
      </c>
      <c r="F1806" s="1797">
        <v>2</v>
      </c>
      <c r="G1806" s="1999" t="s">
        <v>6296</v>
      </c>
      <c r="H1806" s="1794">
        <v>0</v>
      </c>
      <c r="I1806" s="1794">
        <v>0</v>
      </c>
      <c r="J1806" s="2000">
        <v>0</v>
      </c>
      <c r="K1806" s="1798"/>
      <c r="L1806" s="1792">
        <v>13179010501</v>
      </c>
      <c r="M1806" s="1793">
        <v>1</v>
      </c>
      <c r="N1806" s="1793">
        <v>1</v>
      </c>
      <c r="O1806" s="1794">
        <v>2</v>
      </c>
    </row>
    <row r="1807" spans="3:15">
      <c r="C1807" s="1799" t="s">
        <v>6297</v>
      </c>
      <c r="D1807" s="1796">
        <v>0</v>
      </c>
      <c r="E1807" s="1796">
        <v>0</v>
      </c>
      <c r="F1807" s="1797">
        <v>0</v>
      </c>
      <c r="G1807" s="1999" t="s">
        <v>6297</v>
      </c>
      <c r="H1807" s="1794">
        <v>0</v>
      </c>
      <c r="I1807" s="1794">
        <v>0</v>
      </c>
      <c r="J1807" s="2000">
        <v>0</v>
      </c>
      <c r="K1807" s="1798"/>
      <c r="L1807" s="1792">
        <v>13179010502</v>
      </c>
      <c r="M1807" s="1793">
        <v>0</v>
      </c>
      <c r="N1807" s="1793">
        <v>0</v>
      </c>
      <c r="O1807" s="1794">
        <v>0</v>
      </c>
    </row>
    <row r="1808" spans="3:15">
      <c r="C1808" s="1799" t="s">
        <v>6298</v>
      </c>
      <c r="D1808" s="1796">
        <v>0</v>
      </c>
      <c r="E1808" s="1796">
        <v>0</v>
      </c>
      <c r="F1808" s="1797">
        <v>0</v>
      </c>
      <c r="G1808" s="1999" t="s">
        <v>6298</v>
      </c>
      <c r="H1808" s="1794">
        <v>0</v>
      </c>
      <c r="I1808" s="1794">
        <v>0</v>
      </c>
      <c r="J1808" s="2000">
        <v>0</v>
      </c>
      <c r="K1808" s="1798"/>
      <c r="L1808" s="1792">
        <v>13179010600</v>
      </c>
      <c r="M1808" s="1793">
        <v>0</v>
      </c>
      <c r="N1808" s="1793">
        <v>0</v>
      </c>
      <c r="O1808" s="1794">
        <v>0</v>
      </c>
    </row>
    <row r="1809" spans="3:15">
      <c r="C1809" s="1799" t="s">
        <v>6299</v>
      </c>
      <c r="D1809" s="1796" t="s">
        <v>4485</v>
      </c>
      <c r="E1809" s="1796" t="s">
        <v>4485</v>
      </c>
      <c r="F1809" s="1797">
        <v>0</v>
      </c>
      <c r="G1809" s="1999" t="s">
        <v>6299</v>
      </c>
      <c r="H1809" s="1794" t="s">
        <v>4485</v>
      </c>
      <c r="I1809" s="1794" t="s">
        <v>4485</v>
      </c>
      <c r="J1809" s="2000">
        <v>0</v>
      </c>
      <c r="K1809" s="1798"/>
      <c r="L1809" s="1792">
        <v>13179990000</v>
      </c>
      <c r="M1809" s="1793">
        <v>0</v>
      </c>
      <c r="N1809" s="1793">
        <v>0</v>
      </c>
      <c r="O1809" s="1794">
        <v>0</v>
      </c>
    </row>
    <row r="1810" spans="3:15">
      <c r="C1810" s="1799" t="s">
        <v>6300</v>
      </c>
      <c r="D1810" s="1796">
        <v>0</v>
      </c>
      <c r="E1810" s="1796">
        <v>0</v>
      </c>
      <c r="F1810" s="1797">
        <v>0</v>
      </c>
      <c r="G1810" s="1999" t="s">
        <v>6300</v>
      </c>
      <c r="H1810" s="1794">
        <v>0</v>
      </c>
      <c r="I1810" s="1794">
        <v>1</v>
      </c>
      <c r="J1810" s="2000">
        <v>1</v>
      </c>
      <c r="K1810" s="1798"/>
      <c r="L1810" s="1792">
        <v>13181970100</v>
      </c>
      <c r="M1810" s="1793">
        <v>0</v>
      </c>
      <c r="N1810" s="1793">
        <v>1</v>
      </c>
      <c r="O1810" s="1794">
        <v>1</v>
      </c>
    </row>
    <row r="1811" spans="3:15">
      <c r="C1811" s="1799" t="s">
        <v>6301</v>
      </c>
      <c r="D1811" s="1796">
        <v>0</v>
      </c>
      <c r="E1811" s="1796">
        <v>0</v>
      </c>
      <c r="F1811" s="1797">
        <v>0</v>
      </c>
      <c r="G1811" s="1999" t="s">
        <v>6301</v>
      </c>
      <c r="H1811" s="1794">
        <v>0</v>
      </c>
      <c r="I1811" s="1794">
        <v>0</v>
      </c>
      <c r="J1811" s="2000">
        <v>0</v>
      </c>
      <c r="K1811" s="1798"/>
      <c r="L1811" s="1792">
        <v>13181970200</v>
      </c>
      <c r="M1811" s="1793">
        <v>0</v>
      </c>
      <c r="N1811" s="1793">
        <v>0</v>
      </c>
      <c r="O1811" s="1794">
        <v>0</v>
      </c>
    </row>
    <row r="1812" spans="3:15">
      <c r="C1812" s="1799" t="s">
        <v>6302</v>
      </c>
      <c r="D1812" s="1796">
        <v>0</v>
      </c>
      <c r="E1812" s="1796">
        <v>0</v>
      </c>
      <c r="F1812" s="1797">
        <v>0</v>
      </c>
      <c r="G1812" s="1999" t="s">
        <v>6302</v>
      </c>
      <c r="H1812" s="1794">
        <v>0</v>
      </c>
      <c r="I1812" s="1794">
        <v>0</v>
      </c>
      <c r="J1812" s="2000">
        <v>0</v>
      </c>
      <c r="K1812" s="1798"/>
      <c r="L1812" s="1792">
        <v>13183970100</v>
      </c>
      <c r="M1812" s="1793">
        <v>0</v>
      </c>
      <c r="N1812" s="1793">
        <v>0</v>
      </c>
      <c r="O1812" s="1794">
        <v>0</v>
      </c>
    </row>
    <row r="1813" spans="3:15">
      <c r="C1813" s="1799" t="s">
        <v>6303</v>
      </c>
      <c r="D1813" s="1796">
        <v>0</v>
      </c>
      <c r="E1813" s="1796">
        <v>0</v>
      </c>
      <c r="F1813" s="1797">
        <v>0</v>
      </c>
      <c r="G1813" s="1999" t="s">
        <v>6303</v>
      </c>
      <c r="H1813" s="1794">
        <v>0</v>
      </c>
      <c r="I1813" s="1794">
        <v>1</v>
      </c>
      <c r="J1813" s="2000">
        <v>1</v>
      </c>
      <c r="K1813" s="1798"/>
      <c r="L1813" s="1792">
        <v>13183970200</v>
      </c>
      <c r="M1813" s="1793">
        <v>0</v>
      </c>
      <c r="N1813" s="1793">
        <v>1</v>
      </c>
      <c r="O1813" s="1794">
        <v>1</v>
      </c>
    </row>
    <row r="1814" spans="3:15">
      <c r="C1814" s="1799" t="s">
        <v>6304</v>
      </c>
      <c r="D1814" s="1796" t="s">
        <v>4485</v>
      </c>
      <c r="E1814" s="1796" t="s">
        <v>4485</v>
      </c>
      <c r="F1814" s="1797">
        <v>0</v>
      </c>
      <c r="G1814" s="1999" t="s">
        <v>6304</v>
      </c>
      <c r="H1814" s="1794" t="s">
        <v>4485</v>
      </c>
      <c r="I1814" s="1794" t="s">
        <v>4485</v>
      </c>
      <c r="J1814" s="2000">
        <v>0</v>
      </c>
      <c r="K1814" s="1798"/>
      <c r="L1814" s="1792">
        <v>13183980000</v>
      </c>
      <c r="M1814" s="1793">
        <v>0</v>
      </c>
      <c r="N1814" s="1793">
        <v>0</v>
      </c>
      <c r="O1814" s="1794">
        <v>0</v>
      </c>
    </row>
    <row r="1815" spans="3:15">
      <c r="C1815" s="1799" t="s">
        <v>6305</v>
      </c>
      <c r="D1815" s="1796">
        <v>0</v>
      </c>
      <c r="E1815" s="1796">
        <v>1</v>
      </c>
      <c r="F1815" s="1797">
        <v>1</v>
      </c>
      <c r="G1815" s="1999" t="s">
        <v>6305</v>
      </c>
      <c r="H1815" s="1794">
        <v>0</v>
      </c>
      <c r="I1815" s="1794">
        <v>0</v>
      </c>
      <c r="J1815" s="2000">
        <v>0</v>
      </c>
      <c r="K1815" s="1798"/>
      <c r="L1815" s="1792">
        <v>13185010101</v>
      </c>
      <c r="M1815" s="1793">
        <v>0</v>
      </c>
      <c r="N1815" s="1793">
        <v>1</v>
      </c>
      <c r="O1815" s="1794">
        <v>1</v>
      </c>
    </row>
    <row r="1816" spans="3:15">
      <c r="C1816" s="1799" t="s">
        <v>6306</v>
      </c>
      <c r="D1816" s="1796">
        <v>0</v>
      </c>
      <c r="E1816" s="1796">
        <v>1</v>
      </c>
      <c r="F1816" s="1797">
        <v>1</v>
      </c>
      <c r="G1816" s="1999" t="s">
        <v>6306</v>
      </c>
      <c r="H1816" s="1794">
        <v>0</v>
      </c>
      <c r="I1816" s="1794">
        <v>1</v>
      </c>
      <c r="J1816" s="2000">
        <v>1</v>
      </c>
      <c r="K1816" s="1798"/>
      <c r="L1816" s="1792">
        <v>13185010102</v>
      </c>
      <c r="M1816" s="1793">
        <v>0</v>
      </c>
      <c r="N1816" s="1793">
        <v>1</v>
      </c>
      <c r="O1816" s="1794">
        <v>1</v>
      </c>
    </row>
    <row r="1817" spans="3:15">
      <c r="C1817" s="1799" t="s">
        <v>6307</v>
      </c>
      <c r="D1817" s="1796">
        <v>1</v>
      </c>
      <c r="E1817" s="1796">
        <v>1</v>
      </c>
      <c r="F1817" s="1797">
        <v>2</v>
      </c>
      <c r="G1817" s="1999" t="s">
        <v>6307</v>
      </c>
      <c r="H1817" s="1794">
        <v>1</v>
      </c>
      <c r="I1817" s="1794">
        <v>1</v>
      </c>
      <c r="J1817" s="2000">
        <v>2</v>
      </c>
      <c r="K1817" s="1798"/>
      <c r="L1817" s="1792">
        <v>13185010103</v>
      </c>
      <c r="M1817" s="1793">
        <v>1</v>
      </c>
      <c r="N1817" s="1793">
        <v>1</v>
      </c>
      <c r="O1817" s="1794">
        <v>2</v>
      </c>
    </row>
    <row r="1818" spans="3:15">
      <c r="C1818" s="1799" t="s">
        <v>6308</v>
      </c>
      <c r="D1818" s="1796">
        <v>0</v>
      </c>
      <c r="E1818" s="1796">
        <v>1</v>
      </c>
      <c r="F1818" s="1797">
        <v>1</v>
      </c>
      <c r="G1818" s="1999" t="s">
        <v>6308</v>
      </c>
      <c r="H1818" s="1794">
        <v>0</v>
      </c>
      <c r="I1818" s="1794">
        <v>1</v>
      </c>
      <c r="J1818" s="2000">
        <v>1</v>
      </c>
      <c r="K1818" s="1798"/>
      <c r="L1818" s="1792">
        <v>13185010201</v>
      </c>
      <c r="M1818" s="1793">
        <v>0</v>
      </c>
      <c r="N1818" s="1793">
        <v>1</v>
      </c>
      <c r="O1818" s="1794">
        <v>1</v>
      </c>
    </row>
    <row r="1819" spans="3:15">
      <c r="C1819" s="1799" t="s">
        <v>6309</v>
      </c>
      <c r="D1819" s="1796">
        <v>1</v>
      </c>
      <c r="E1819" s="1796">
        <v>1</v>
      </c>
      <c r="F1819" s="1797">
        <v>2</v>
      </c>
      <c r="G1819" s="1999" t="s">
        <v>6309</v>
      </c>
      <c r="H1819" s="1794">
        <v>1</v>
      </c>
      <c r="I1819" s="1794">
        <v>1</v>
      </c>
      <c r="J1819" s="2000">
        <v>2</v>
      </c>
      <c r="K1819" s="1798"/>
      <c r="L1819" s="1792">
        <v>13185010202</v>
      </c>
      <c r="M1819" s="1793">
        <v>1</v>
      </c>
      <c r="N1819" s="1793">
        <v>1</v>
      </c>
      <c r="O1819" s="1794">
        <v>2</v>
      </c>
    </row>
    <row r="1820" spans="3:15">
      <c r="C1820" s="1799" t="s">
        <v>6310</v>
      </c>
      <c r="D1820" s="1796">
        <v>1</v>
      </c>
      <c r="E1820" s="1796">
        <v>1</v>
      </c>
      <c r="F1820" s="1797">
        <v>2</v>
      </c>
      <c r="G1820" s="1999" t="s">
        <v>6310</v>
      </c>
      <c r="H1820" s="1794">
        <v>1</v>
      </c>
      <c r="I1820" s="1794">
        <v>1</v>
      </c>
      <c r="J1820" s="2000">
        <v>2</v>
      </c>
      <c r="K1820" s="1798"/>
      <c r="L1820" s="1792">
        <v>13185010301</v>
      </c>
      <c r="M1820" s="1793">
        <v>1</v>
      </c>
      <c r="N1820" s="1793">
        <v>1</v>
      </c>
      <c r="O1820" s="1794">
        <v>2</v>
      </c>
    </row>
    <row r="1821" spans="3:15">
      <c r="C1821" s="1799" t="s">
        <v>6311</v>
      </c>
      <c r="D1821" s="1796">
        <v>1</v>
      </c>
      <c r="E1821" s="1796">
        <v>1</v>
      </c>
      <c r="F1821" s="1797">
        <v>2</v>
      </c>
      <c r="G1821" s="1999" t="s">
        <v>6311</v>
      </c>
      <c r="H1821" s="1794">
        <v>1</v>
      </c>
      <c r="I1821" s="1794">
        <v>1</v>
      </c>
      <c r="J1821" s="2000">
        <v>2</v>
      </c>
      <c r="K1821" s="1798"/>
      <c r="L1821" s="1792">
        <v>13185010302</v>
      </c>
      <c r="M1821" s="1793">
        <v>1</v>
      </c>
      <c r="N1821" s="1793">
        <v>1</v>
      </c>
      <c r="O1821" s="1794">
        <v>2</v>
      </c>
    </row>
    <row r="1822" spans="3:15">
      <c r="C1822" s="1799" t="s">
        <v>6312</v>
      </c>
      <c r="D1822" s="1796">
        <v>1</v>
      </c>
      <c r="E1822" s="1796">
        <v>1</v>
      </c>
      <c r="F1822" s="1797">
        <v>2</v>
      </c>
      <c r="G1822" s="1999" t="s">
        <v>6312</v>
      </c>
      <c r="H1822" s="1794">
        <v>1</v>
      </c>
      <c r="I1822" s="1794">
        <v>1</v>
      </c>
      <c r="J1822" s="2000">
        <v>2</v>
      </c>
      <c r="K1822" s="1798"/>
      <c r="L1822" s="1792">
        <v>13185010401</v>
      </c>
      <c r="M1822" s="1793">
        <v>1</v>
      </c>
      <c r="N1822" s="1793">
        <v>1</v>
      </c>
      <c r="O1822" s="1794">
        <v>2</v>
      </c>
    </row>
    <row r="1823" spans="3:15">
      <c r="C1823" s="1799" t="s">
        <v>6313</v>
      </c>
      <c r="D1823" s="1796">
        <v>0</v>
      </c>
      <c r="E1823" s="1796">
        <v>0</v>
      </c>
      <c r="F1823" s="1797">
        <v>0</v>
      </c>
      <c r="G1823" s="1999" t="s">
        <v>6313</v>
      </c>
      <c r="H1823" s="1794">
        <v>0</v>
      </c>
      <c r="I1823" s="1794">
        <v>0</v>
      </c>
      <c r="J1823" s="2000">
        <v>0</v>
      </c>
      <c r="K1823" s="1798"/>
      <c r="L1823" s="1792">
        <v>13185010402</v>
      </c>
      <c r="M1823" s="1793">
        <v>0</v>
      </c>
      <c r="N1823" s="1793">
        <v>0</v>
      </c>
      <c r="O1823" s="1794">
        <v>0</v>
      </c>
    </row>
    <row r="1824" spans="3:15">
      <c r="C1824" s="1799" t="s">
        <v>6314</v>
      </c>
      <c r="D1824" s="1796">
        <v>0</v>
      </c>
      <c r="E1824" s="1796">
        <v>0</v>
      </c>
      <c r="F1824" s="1797">
        <v>0</v>
      </c>
      <c r="G1824" s="1999" t="s">
        <v>6314</v>
      </c>
      <c r="H1824" s="1794">
        <v>0</v>
      </c>
      <c r="I1824" s="1794">
        <v>0</v>
      </c>
      <c r="J1824" s="2000">
        <v>0</v>
      </c>
      <c r="K1824" s="1798"/>
      <c r="L1824" s="1792">
        <v>13185010500</v>
      </c>
      <c r="M1824" s="1793">
        <v>0</v>
      </c>
      <c r="N1824" s="1793">
        <v>0</v>
      </c>
      <c r="O1824" s="1794">
        <v>0</v>
      </c>
    </row>
    <row r="1825" spans="3:15">
      <c r="C1825" s="1799" t="s">
        <v>6315</v>
      </c>
      <c r="D1825" s="1796">
        <v>0</v>
      </c>
      <c r="E1825" s="1796">
        <v>0</v>
      </c>
      <c r="F1825" s="1797">
        <v>0</v>
      </c>
      <c r="G1825" s="1999" t="s">
        <v>6315</v>
      </c>
      <c r="H1825" s="1794">
        <v>0</v>
      </c>
      <c r="I1825" s="1794">
        <v>1</v>
      </c>
      <c r="J1825" s="2000">
        <v>1</v>
      </c>
      <c r="K1825" s="1798"/>
      <c r="L1825" s="1792">
        <v>13185010601</v>
      </c>
      <c r="M1825" s="1793">
        <v>0</v>
      </c>
      <c r="N1825" s="1793">
        <v>1</v>
      </c>
      <c r="O1825" s="1794">
        <v>1</v>
      </c>
    </row>
    <row r="1826" spans="3:15">
      <c r="C1826" s="1799" t="s">
        <v>6316</v>
      </c>
      <c r="D1826" s="1796">
        <v>1</v>
      </c>
      <c r="E1826" s="1796">
        <v>1</v>
      </c>
      <c r="F1826" s="1797">
        <v>2</v>
      </c>
      <c r="G1826" s="1999" t="s">
        <v>6316</v>
      </c>
      <c r="H1826" s="1794">
        <v>1</v>
      </c>
      <c r="I1826" s="1794">
        <v>1</v>
      </c>
      <c r="J1826" s="2000">
        <v>2</v>
      </c>
      <c r="K1826" s="1798"/>
      <c r="L1826" s="1792">
        <v>13185010604</v>
      </c>
      <c r="M1826" s="1793">
        <v>1</v>
      </c>
      <c r="N1826" s="1793">
        <v>1</v>
      </c>
      <c r="O1826" s="1794">
        <v>2</v>
      </c>
    </row>
    <row r="1827" spans="3:15">
      <c r="C1827" s="1799" t="s">
        <v>6317</v>
      </c>
      <c r="D1827" s="1796">
        <v>0</v>
      </c>
      <c r="E1827" s="1796">
        <v>0</v>
      </c>
      <c r="F1827" s="1797">
        <v>0</v>
      </c>
      <c r="G1827" s="1999" t="s">
        <v>6317</v>
      </c>
      <c r="H1827" s="1794">
        <v>0</v>
      </c>
      <c r="I1827" s="1794">
        <v>0</v>
      </c>
      <c r="J1827" s="2000">
        <v>0</v>
      </c>
      <c r="K1827" s="1798"/>
      <c r="L1827" s="1792">
        <v>13185010700</v>
      </c>
      <c r="M1827" s="1793">
        <v>0</v>
      </c>
      <c r="N1827" s="1793">
        <v>0</v>
      </c>
      <c r="O1827" s="1794">
        <v>0</v>
      </c>
    </row>
    <row r="1828" spans="3:15">
      <c r="C1828" s="1799" t="s">
        <v>6318</v>
      </c>
      <c r="D1828" s="1796">
        <v>0</v>
      </c>
      <c r="E1828" s="1796">
        <v>0</v>
      </c>
      <c r="F1828" s="1797">
        <v>0</v>
      </c>
      <c r="G1828" s="1999" t="s">
        <v>6318</v>
      </c>
      <c r="H1828" s="1794">
        <v>0</v>
      </c>
      <c r="I1828" s="1794">
        <v>0</v>
      </c>
      <c r="J1828" s="2000">
        <v>0</v>
      </c>
      <c r="K1828" s="1798"/>
      <c r="L1828" s="1792">
        <v>13185010800</v>
      </c>
      <c r="M1828" s="1793">
        <v>0</v>
      </c>
      <c r="N1828" s="1793">
        <v>0</v>
      </c>
      <c r="O1828" s="1794">
        <v>0</v>
      </c>
    </row>
    <row r="1829" spans="3:15">
      <c r="C1829" s="1799" t="s">
        <v>6319</v>
      </c>
      <c r="D1829" s="1796">
        <v>0</v>
      </c>
      <c r="E1829" s="1796">
        <v>0</v>
      </c>
      <c r="F1829" s="1797">
        <v>0</v>
      </c>
      <c r="G1829" s="1999" t="s">
        <v>6319</v>
      </c>
      <c r="H1829" s="1794">
        <v>0</v>
      </c>
      <c r="I1829" s="1794">
        <v>0</v>
      </c>
      <c r="J1829" s="2000">
        <v>0</v>
      </c>
      <c r="K1829" s="1798"/>
      <c r="L1829" s="1792">
        <v>13185010900</v>
      </c>
      <c r="M1829" s="1793">
        <v>0</v>
      </c>
      <c r="N1829" s="1793">
        <v>0</v>
      </c>
      <c r="O1829" s="1794">
        <v>0</v>
      </c>
    </row>
    <row r="1830" spans="3:15">
      <c r="C1830" s="1799" t="s">
        <v>6320</v>
      </c>
      <c r="D1830" s="1796">
        <v>0</v>
      </c>
      <c r="E1830" s="1796">
        <v>0</v>
      </c>
      <c r="F1830" s="1797">
        <v>0</v>
      </c>
      <c r="G1830" s="1999" t="s">
        <v>6320</v>
      </c>
      <c r="H1830" s="1794">
        <v>0</v>
      </c>
      <c r="I1830" s="1794">
        <v>0</v>
      </c>
      <c r="J1830" s="2000">
        <v>0</v>
      </c>
      <c r="K1830" s="1798"/>
      <c r="L1830" s="1792">
        <v>13185011000</v>
      </c>
      <c r="M1830" s="1793">
        <v>0</v>
      </c>
      <c r="N1830" s="1793">
        <v>0</v>
      </c>
      <c r="O1830" s="1794">
        <v>0</v>
      </c>
    </row>
    <row r="1831" spans="3:15">
      <c r="C1831" s="1799" t="s">
        <v>6321</v>
      </c>
      <c r="D1831" s="1796">
        <v>0</v>
      </c>
      <c r="E1831" s="1796">
        <v>0</v>
      </c>
      <c r="F1831" s="1797">
        <v>0</v>
      </c>
      <c r="G1831" s="1999" t="s">
        <v>6321</v>
      </c>
      <c r="H1831" s="1794">
        <v>0</v>
      </c>
      <c r="I1831" s="1794">
        <v>1</v>
      </c>
      <c r="J1831" s="2000">
        <v>1</v>
      </c>
      <c r="K1831" s="1798"/>
      <c r="L1831" s="1792">
        <v>13185011100</v>
      </c>
      <c r="M1831" s="1793">
        <v>0</v>
      </c>
      <c r="N1831" s="1793">
        <v>1</v>
      </c>
      <c r="O1831" s="1794">
        <v>1</v>
      </c>
    </row>
    <row r="1832" spans="3:15">
      <c r="C1832" s="1799" t="s">
        <v>6322</v>
      </c>
      <c r="D1832" s="1796">
        <v>0</v>
      </c>
      <c r="E1832" s="1796">
        <v>0</v>
      </c>
      <c r="F1832" s="1797">
        <v>0</v>
      </c>
      <c r="G1832" s="1999" t="s">
        <v>6322</v>
      </c>
      <c r="H1832" s="1794">
        <v>0</v>
      </c>
      <c r="I1832" s="1794">
        <v>0</v>
      </c>
      <c r="J1832" s="2000">
        <v>0</v>
      </c>
      <c r="K1832" s="1798"/>
      <c r="L1832" s="1792">
        <v>13185011200</v>
      </c>
      <c r="M1832" s="1793">
        <v>0</v>
      </c>
      <c r="N1832" s="1793">
        <v>0</v>
      </c>
      <c r="O1832" s="1794">
        <v>0</v>
      </c>
    </row>
    <row r="1833" spans="3:15">
      <c r="C1833" s="1799" t="s">
        <v>6323</v>
      </c>
      <c r="D1833" s="1796">
        <v>0</v>
      </c>
      <c r="E1833" s="1796">
        <v>0</v>
      </c>
      <c r="F1833" s="1797">
        <v>0</v>
      </c>
      <c r="G1833" s="1999" t="s">
        <v>6323</v>
      </c>
      <c r="H1833" s="1794">
        <v>0</v>
      </c>
      <c r="I1833" s="1794">
        <v>0</v>
      </c>
      <c r="J1833" s="2000">
        <v>0</v>
      </c>
      <c r="K1833" s="1798"/>
      <c r="L1833" s="1792">
        <v>13185011301</v>
      </c>
      <c r="M1833" s="1793">
        <v>0</v>
      </c>
      <c r="N1833" s="1793">
        <v>0</v>
      </c>
      <c r="O1833" s="1794">
        <v>0</v>
      </c>
    </row>
    <row r="1834" spans="3:15">
      <c r="C1834" s="1799" t="s">
        <v>6324</v>
      </c>
      <c r="D1834" s="1796">
        <v>0</v>
      </c>
      <c r="E1834" s="1796">
        <v>0</v>
      </c>
      <c r="F1834" s="1797">
        <v>0</v>
      </c>
      <c r="G1834" s="1999" t="s">
        <v>6324</v>
      </c>
      <c r="H1834" s="1794">
        <v>0</v>
      </c>
      <c r="I1834" s="1794">
        <v>0</v>
      </c>
      <c r="J1834" s="2000">
        <v>0</v>
      </c>
      <c r="K1834" s="1798"/>
      <c r="L1834" s="1792">
        <v>13185011302</v>
      </c>
      <c r="M1834" s="1793">
        <v>0</v>
      </c>
      <c r="N1834" s="1793">
        <v>0</v>
      </c>
      <c r="O1834" s="1794">
        <v>0</v>
      </c>
    </row>
    <row r="1835" spans="3:15">
      <c r="C1835" s="1799" t="s">
        <v>6325</v>
      </c>
      <c r="D1835" s="1796">
        <v>0</v>
      </c>
      <c r="E1835" s="1796">
        <v>0</v>
      </c>
      <c r="F1835" s="1797">
        <v>0</v>
      </c>
      <c r="G1835" s="1999" t="s">
        <v>6325</v>
      </c>
      <c r="H1835" s="1794">
        <v>0</v>
      </c>
      <c r="I1835" s="1794">
        <v>1</v>
      </c>
      <c r="J1835" s="2000">
        <v>1</v>
      </c>
      <c r="K1835" s="1798"/>
      <c r="L1835" s="1792">
        <v>13185011401</v>
      </c>
      <c r="M1835" s="1793">
        <v>0</v>
      </c>
      <c r="N1835" s="1793">
        <v>1</v>
      </c>
      <c r="O1835" s="1794">
        <v>1</v>
      </c>
    </row>
    <row r="1836" spans="3:15">
      <c r="C1836" s="1799" t="s">
        <v>6326</v>
      </c>
      <c r="D1836" s="1796">
        <v>0</v>
      </c>
      <c r="E1836" s="1796">
        <v>0</v>
      </c>
      <c r="F1836" s="1797">
        <v>0</v>
      </c>
      <c r="G1836" s="1999" t="s">
        <v>6326</v>
      </c>
      <c r="H1836" s="1794">
        <v>0</v>
      </c>
      <c r="I1836" s="1794">
        <v>0</v>
      </c>
      <c r="J1836" s="2000">
        <v>0</v>
      </c>
      <c r="K1836" s="1798"/>
      <c r="L1836" s="1792">
        <v>13185011402</v>
      </c>
      <c r="M1836" s="1793">
        <v>0</v>
      </c>
      <c r="N1836" s="1793">
        <v>0</v>
      </c>
      <c r="O1836" s="1794">
        <v>0</v>
      </c>
    </row>
    <row r="1837" spans="3:15">
      <c r="C1837" s="1799" t="s">
        <v>6327</v>
      </c>
      <c r="D1837" s="1796">
        <v>0</v>
      </c>
      <c r="E1837" s="1796">
        <v>0</v>
      </c>
      <c r="F1837" s="1797">
        <v>0</v>
      </c>
      <c r="G1837" s="1999" t="s">
        <v>6327</v>
      </c>
      <c r="H1837" s="1794">
        <v>0</v>
      </c>
      <c r="I1837" s="1794">
        <v>0</v>
      </c>
      <c r="J1837" s="2000">
        <v>0</v>
      </c>
      <c r="K1837" s="1798"/>
      <c r="L1837" s="1792">
        <v>13185011403</v>
      </c>
      <c r="M1837" s="1793">
        <v>0</v>
      </c>
      <c r="N1837" s="1793">
        <v>0</v>
      </c>
      <c r="O1837" s="1794">
        <v>0</v>
      </c>
    </row>
    <row r="1838" spans="3:15">
      <c r="C1838" s="1799" t="s">
        <v>6328</v>
      </c>
      <c r="D1838" s="1796">
        <v>0</v>
      </c>
      <c r="E1838" s="1796">
        <v>0</v>
      </c>
      <c r="F1838" s="1797">
        <v>0</v>
      </c>
      <c r="G1838" s="1999" t="s">
        <v>6328</v>
      </c>
      <c r="H1838" s="1794">
        <v>0</v>
      </c>
      <c r="I1838" s="1794">
        <v>0</v>
      </c>
      <c r="J1838" s="2000">
        <v>0</v>
      </c>
      <c r="K1838" s="1798"/>
      <c r="L1838" s="1792">
        <v>13185011500</v>
      </c>
      <c r="M1838" s="1793">
        <v>0</v>
      </c>
      <c r="N1838" s="1793">
        <v>0</v>
      </c>
      <c r="O1838" s="1794">
        <v>0</v>
      </c>
    </row>
    <row r="1839" spans="3:15">
      <c r="C1839" s="1799" t="s">
        <v>6329</v>
      </c>
      <c r="D1839" s="1796">
        <v>0</v>
      </c>
      <c r="E1839" s="1796">
        <v>1</v>
      </c>
      <c r="F1839" s="1797">
        <v>1</v>
      </c>
      <c r="G1839" s="1999" t="s">
        <v>6329</v>
      </c>
      <c r="H1839" s="1794">
        <v>0</v>
      </c>
      <c r="I1839" s="1794">
        <v>0</v>
      </c>
      <c r="J1839" s="2000">
        <v>0</v>
      </c>
      <c r="K1839" s="1798"/>
      <c r="L1839" s="1792">
        <v>13185011600</v>
      </c>
      <c r="M1839" s="1793">
        <v>0</v>
      </c>
      <c r="N1839" s="1793">
        <v>1</v>
      </c>
      <c r="O1839" s="1794">
        <v>1</v>
      </c>
    </row>
    <row r="1840" spans="3:15">
      <c r="C1840" s="1799" t="s">
        <v>6330</v>
      </c>
      <c r="D1840" s="1796">
        <v>0</v>
      </c>
      <c r="E1840" s="1796">
        <v>0</v>
      </c>
      <c r="F1840" s="1797">
        <v>0</v>
      </c>
      <c r="G1840" s="1999" t="s">
        <v>6330</v>
      </c>
      <c r="H1840" s="1794">
        <v>1</v>
      </c>
      <c r="I1840" s="1794">
        <v>0</v>
      </c>
      <c r="J1840" s="2000">
        <v>1</v>
      </c>
      <c r="K1840" s="1798"/>
      <c r="L1840" s="1792">
        <v>13187960101</v>
      </c>
      <c r="M1840" s="1793">
        <v>1</v>
      </c>
      <c r="N1840" s="1793">
        <v>0</v>
      </c>
      <c r="O1840" s="1794">
        <v>1</v>
      </c>
    </row>
    <row r="1841" spans="3:15">
      <c r="C1841" s="1799" t="s">
        <v>6331</v>
      </c>
      <c r="D1841" s="1796">
        <v>1</v>
      </c>
      <c r="E1841" s="1796">
        <v>1</v>
      </c>
      <c r="F1841" s="1797">
        <v>2</v>
      </c>
      <c r="G1841" s="1999" t="s">
        <v>6331</v>
      </c>
      <c r="H1841" s="1794">
        <v>1</v>
      </c>
      <c r="I1841" s="1794">
        <v>1</v>
      </c>
      <c r="J1841" s="2000">
        <v>2</v>
      </c>
      <c r="K1841" s="1798"/>
      <c r="L1841" s="1792">
        <v>13187960102</v>
      </c>
      <c r="M1841" s="1793">
        <v>1</v>
      </c>
      <c r="N1841" s="1793">
        <v>1</v>
      </c>
      <c r="O1841" s="1794">
        <v>2</v>
      </c>
    </row>
    <row r="1842" spans="3:15">
      <c r="C1842" s="1799" t="s">
        <v>6332</v>
      </c>
      <c r="D1842" s="1796">
        <v>0</v>
      </c>
      <c r="E1842" s="1796">
        <v>1</v>
      </c>
      <c r="F1842" s="1797">
        <v>1</v>
      </c>
      <c r="G1842" s="1999" t="s">
        <v>6332</v>
      </c>
      <c r="H1842" s="1794">
        <v>0</v>
      </c>
      <c r="I1842" s="1794">
        <v>1</v>
      </c>
      <c r="J1842" s="2000">
        <v>1</v>
      </c>
      <c r="K1842" s="1798"/>
      <c r="L1842" s="1792">
        <v>13187960201</v>
      </c>
      <c r="M1842" s="1793">
        <v>0</v>
      </c>
      <c r="N1842" s="1793">
        <v>1</v>
      </c>
      <c r="O1842" s="1794">
        <v>1</v>
      </c>
    </row>
    <row r="1843" spans="3:15">
      <c r="C1843" s="1799" t="s">
        <v>6333</v>
      </c>
      <c r="D1843" s="1796">
        <v>0</v>
      </c>
      <c r="E1843" s="1796">
        <v>0</v>
      </c>
      <c r="F1843" s="1797">
        <v>0</v>
      </c>
      <c r="G1843" s="1999" t="s">
        <v>6333</v>
      </c>
      <c r="H1843" s="1794">
        <v>0</v>
      </c>
      <c r="I1843" s="1794">
        <v>0</v>
      </c>
      <c r="J1843" s="2000">
        <v>0</v>
      </c>
      <c r="K1843" s="1798"/>
      <c r="L1843" s="1792">
        <v>13187960202</v>
      </c>
      <c r="M1843" s="1793">
        <v>0</v>
      </c>
      <c r="N1843" s="1793">
        <v>0</v>
      </c>
      <c r="O1843" s="1794">
        <v>0</v>
      </c>
    </row>
    <row r="1844" spans="3:15">
      <c r="C1844" s="1799" t="s">
        <v>6334</v>
      </c>
      <c r="D1844" s="1796">
        <v>1</v>
      </c>
      <c r="E1844" s="1796">
        <v>1</v>
      </c>
      <c r="F1844" s="1797">
        <v>2</v>
      </c>
      <c r="G1844" s="1999" t="s">
        <v>6334</v>
      </c>
      <c r="H1844" s="1794">
        <v>1</v>
      </c>
      <c r="I1844" s="1794">
        <v>0</v>
      </c>
      <c r="J1844" s="2000">
        <v>1</v>
      </c>
      <c r="K1844" s="1798"/>
      <c r="L1844" s="1792">
        <v>13189950100</v>
      </c>
      <c r="M1844" s="1793">
        <v>1</v>
      </c>
      <c r="N1844" s="1793">
        <v>1</v>
      </c>
      <c r="O1844" s="1794">
        <v>2</v>
      </c>
    </row>
    <row r="1845" spans="3:15">
      <c r="C1845" s="1799" t="s">
        <v>6335</v>
      </c>
      <c r="D1845" s="1796">
        <v>0</v>
      </c>
      <c r="E1845" s="1796">
        <v>0</v>
      </c>
      <c r="F1845" s="1797">
        <v>0</v>
      </c>
      <c r="G1845" s="1999" t="s">
        <v>6335</v>
      </c>
      <c r="H1845" s="1794">
        <v>0</v>
      </c>
      <c r="I1845" s="1794">
        <v>0</v>
      </c>
      <c r="J1845" s="2000">
        <v>0</v>
      </c>
      <c r="K1845" s="1798"/>
      <c r="L1845" s="1792">
        <v>13189950200</v>
      </c>
      <c r="M1845" s="1793">
        <v>0</v>
      </c>
      <c r="N1845" s="1793">
        <v>0</v>
      </c>
      <c r="O1845" s="1794">
        <v>0</v>
      </c>
    </row>
    <row r="1846" spans="3:15">
      <c r="C1846" s="1799" t="s">
        <v>6336</v>
      </c>
      <c r="D1846" s="1796">
        <v>0</v>
      </c>
      <c r="E1846" s="1796">
        <v>0</v>
      </c>
      <c r="F1846" s="1797">
        <v>0</v>
      </c>
      <c r="G1846" s="1999" t="s">
        <v>6336</v>
      </c>
      <c r="H1846" s="1794">
        <v>0</v>
      </c>
      <c r="I1846" s="1794">
        <v>0</v>
      </c>
      <c r="J1846" s="2000">
        <v>0</v>
      </c>
      <c r="K1846" s="1798"/>
      <c r="L1846" s="1792">
        <v>13189950300</v>
      </c>
      <c r="M1846" s="1793">
        <v>0</v>
      </c>
      <c r="N1846" s="1793">
        <v>0</v>
      </c>
      <c r="O1846" s="1794">
        <v>0</v>
      </c>
    </row>
    <row r="1847" spans="3:15">
      <c r="C1847" s="1799" t="s">
        <v>6337</v>
      </c>
      <c r="D1847" s="1796">
        <v>0</v>
      </c>
      <c r="E1847" s="1796">
        <v>0</v>
      </c>
      <c r="F1847" s="1797">
        <v>0</v>
      </c>
      <c r="G1847" s="1999" t="s">
        <v>6337</v>
      </c>
      <c r="H1847" s="1794">
        <v>0</v>
      </c>
      <c r="I1847" s="1794">
        <v>0</v>
      </c>
      <c r="J1847" s="2000">
        <v>0</v>
      </c>
      <c r="K1847" s="1798"/>
      <c r="L1847" s="1792">
        <v>13189950400</v>
      </c>
      <c r="M1847" s="1793">
        <v>0</v>
      </c>
      <c r="N1847" s="1793">
        <v>0</v>
      </c>
      <c r="O1847" s="1794">
        <v>0</v>
      </c>
    </row>
    <row r="1848" spans="3:15">
      <c r="C1848" s="1799" t="s">
        <v>6338</v>
      </c>
      <c r="D1848" s="1796">
        <v>0</v>
      </c>
      <c r="E1848" s="1796">
        <v>0</v>
      </c>
      <c r="F1848" s="1797">
        <v>0</v>
      </c>
      <c r="G1848" s="1999" t="s">
        <v>6338</v>
      </c>
      <c r="H1848" s="1794">
        <v>0</v>
      </c>
      <c r="I1848" s="1794">
        <v>0</v>
      </c>
      <c r="J1848" s="2000">
        <v>0</v>
      </c>
      <c r="K1848" s="1798"/>
      <c r="L1848" s="1792">
        <v>13189950500</v>
      </c>
      <c r="M1848" s="1793">
        <v>0</v>
      </c>
      <c r="N1848" s="1793">
        <v>0</v>
      </c>
      <c r="O1848" s="1794">
        <v>0</v>
      </c>
    </row>
    <row r="1849" spans="3:15">
      <c r="C1849" s="1799" t="s">
        <v>6339</v>
      </c>
      <c r="D1849" s="1796">
        <v>0</v>
      </c>
      <c r="E1849" s="1796">
        <v>0</v>
      </c>
      <c r="F1849" s="1797">
        <v>0</v>
      </c>
      <c r="G1849" s="1999" t="s">
        <v>6339</v>
      </c>
      <c r="H1849" s="1794">
        <v>0</v>
      </c>
      <c r="I1849" s="1794">
        <v>1</v>
      </c>
      <c r="J1849" s="2000">
        <v>1</v>
      </c>
      <c r="K1849" s="1798"/>
      <c r="L1849" s="1792">
        <v>13191110100</v>
      </c>
      <c r="M1849" s="1793">
        <v>0</v>
      </c>
      <c r="N1849" s="1793">
        <v>1</v>
      </c>
      <c r="O1849" s="1794">
        <v>1</v>
      </c>
    </row>
    <row r="1850" spans="3:15">
      <c r="C1850" s="1799" t="s">
        <v>6340</v>
      </c>
      <c r="D1850" s="1796">
        <v>0</v>
      </c>
      <c r="E1850" s="1796">
        <v>0</v>
      </c>
      <c r="F1850" s="1797">
        <v>0</v>
      </c>
      <c r="G1850" s="1999" t="s">
        <v>6340</v>
      </c>
      <c r="H1850" s="1794">
        <v>0</v>
      </c>
      <c r="I1850" s="1794">
        <v>0</v>
      </c>
      <c r="J1850" s="2000">
        <v>0</v>
      </c>
      <c r="K1850" s="1798"/>
      <c r="L1850" s="1792">
        <v>13191110200</v>
      </c>
      <c r="M1850" s="1793">
        <v>0</v>
      </c>
      <c r="N1850" s="1793">
        <v>0</v>
      </c>
      <c r="O1850" s="1794">
        <v>0</v>
      </c>
    </row>
    <row r="1851" spans="3:15">
      <c r="C1851" s="1799" t="s">
        <v>6341</v>
      </c>
      <c r="D1851" s="1796">
        <v>0</v>
      </c>
      <c r="E1851" s="1796">
        <v>0</v>
      </c>
      <c r="F1851" s="1797">
        <v>0</v>
      </c>
      <c r="G1851" s="1999" t="s">
        <v>6341</v>
      </c>
      <c r="H1851" s="1794">
        <v>0</v>
      </c>
      <c r="I1851" s="1794">
        <v>0</v>
      </c>
      <c r="J1851" s="2000">
        <v>0</v>
      </c>
      <c r="K1851" s="1798"/>
      <c r="L1851" s="1792">
        <v>13191110300</v>
      </c>
      <c r="M1851" s="1793">
        <v>0</v>
      </c>
      <c r="N1851" s="1793">
        <v>0</v>
      </c>
      <c r="O1851" s="1794">
        <v>0</v>
      </c>
    </row>
    <row r="1852" spans="3:15">
      <c r="C1852" s="1799" t="s">
        <v>6342</v>
      </c>
      <c r="D1852" s="1796" t="s">
        <v>4485</v>
      </c>
      <c r="E1852" s="1796" t="s">
        <v>4485</v>
      </c>
      <c r="F1852" s="1797">
        <v>0</v>
      </c>
      <c r="G1852" s="1999" t="s">
        <v>6342</v>
      </c>
      <c r="H1852" s="1794" t="s">
        <v>4485</v>
      </c>
      <c r="I1852" s="1794" t="s">
        <v>4485</v>
      </c>
      <c r="J1852" s="2000">
        <v>0</v>
      </c>
      <c r="K1852" s="1798"/>
      <c r="L1852" s="1792">
        <v>13191980000</v>
      </c>
      <c r="M1852" s="1793">
        <v>0</v>
      </c>
      <c r="N1852" s="1793">
        <v>0</v>
      </c>
      <c r="O1852" s="1794">
        <v>0</v>
      </c>
    </row>
    <row r="1853" spans="3:15">
      <c r="C1853" s="1799" t="s">
        <v>6343</v>
      </c>
      <c r="D1853" s="1796" t="s">
        <v>4485</v>
      </c>
      <c r="E1853" s="1796" t="s">
        <v>4485</v>
      </c>
      <c r="F1853" s="1797">
        <v>0</v>
      </c>
      <c r="G1853" s="1999" t="s">
        <v>6343</v>
      </c>
      <c r="H1853" s="1794" t="s">
        <v>4485</v>
      </c>
      <c r="I1853" s="1794" t="s">
        <v>4485</v>
      </c>
      <c r="J1853" s="2000">
        <v>0</v>
      </c>
      <c r="K1853" s="1798"/>
      <c r="L1853" s="1792">
        <v>13191990000</v>
      </c>
      <c r="M1853" s="1793">
        <v>0</v>
      </c>
      <c r="N1853" s="1793">
        <v>0</v>
      </c>
      <c r="O1853" s="1794">
        <v>0</v>
      </c>
    </row>
    <row r="1854" spans="3:15">
      <c r="C1854" s="1799" t="s">
        <v>6344</v>
      </c>
      <c r="D1854" s="1796">
        <v>0</v>
      </c>
      <c r="E1854" s="1796">
        <v>0</v>
      </c>
      <c r="F1854" s="1797">
        <v>0</v>
      </c>
      <c r="G1854" s="1999" t="s">
        <v>6344</v>
      </c>
      <c r="H1854" s="1794">
        <v>0</v>
      </c>
      <c r="I1854" s="1794" t="s">
        <v>4485</v>
      </c>
      <c r="J1854" s="2000">
        <v>0</v>
      </c>
      <c r="K1854" s="1798"/>
      <c r="L1854" s="1792">
        <v>13193000100</v>
      </c>
      <c r="M1854" s="1793">
        <v>0</v>
      </c>
      <c r="N1854" s="1793">
        <v>0</v>
      </c>
      <c r="O1854" s="1794">
        <v>0</v>
      </c>
    </row>
    <row r="1855" spans="3:15">
      <c r="C1855" s="1799" t="s">
        <v>6345</v>
      </c>
      <c r="D1855" s="1796">
        <v>0</v>
      </c>
      <c r="E1855" s="1796">
        <v>0</v>
      </c>
      <c r="F1855" s="1797">
        <v>0</v>
      </c>
      <c r="G1855" s="1999" t="s">
        <v>6345</v>
      </c>
      <c r="H1855" s="1794">
        <v>0</v>
      </c>
      <c r="I1855" s="1794">
        <v>0</v>
      </c>
      <c r="J1855" s="2000">
        <v>0</v>
      </c>
      <c r="K1855" s="1798"/>
      <c r="L1855" s="1792">
        <v>13193000200</v>
      </c>
      <c r="M1855" s="1793">
        <v>0</v>
      </c>
      <c r="N1855" s="1793">
        <v>0</v>
      </c>
      <c r="O1855" s="1794">
        <v>0</v>
      </c>
    </row>
    <row r="1856" spans="3:15">
      <c r="C1856" s="1799" t="s">
        <v>6346</v>
      </c>
      <c r="D1856" s="1796">
        <v>0</v>
      </c>
      <c r="E1856" s="1796">
        <v>0</v>
      </c>
      <c r="F1856" s="1797">
        <v>0</v>
      </c>
      <c r="G1856" s="1999" t="s">
        <v>6346</v>
      </c>
      <c r="H1856" s="1794">
        <v>0</v>
      </c>
      <c r="I1856" s="1794">
        <v>1</v>
      </c>
      <c r="J1856" s="2000">
        <v>1</v>
      </c>
      <c r="K1856" s="1798"/>
      <c r="L1856" s="1792">
        <v>13193000300</v>
      </c>
      <c r="M1856" s="1793">
        <v>0</v>
      </c>
      <c r="N1856" s="1793">
        <v>1</v>
      </c>
      <c r="O1856" s="1794">
        <v>1</v>
      </c>
    </row>
    <row r="1857" spans="3:15">
      <c r="C1857" s="1799" t="s">
        <v>6347</v>
      </c>
      <c r="D1857" s="1796">
        <v>0</v>
      </c>
      <c r="E1857" s="1796">
        <v>0</v>
      </c>
      <c r="F1857" s="1797">
        <v>0</v>
      </c>
      <c r="G1857" s="1999" t="s">
        <v>6347</v>
      </c>
      <c r="H1857" s="1794">
        <v>0</v>
      </c>
      <c r="I1857" s="1794">
        <v>0</v>
      </c>
      <c r="J1857" s="2000">
        <v>0</v>
      </c>
      <c r="K1857" s="1798"/>
      <c r="L1857" s="1792">
        <v>13193000400</v>
      </c>
      <c r="M1857" s="1793">
        <v>0</v>
      </c>
      <c r="N1857" s="1793">
        <v>0</v>
      </c>
      <c r="O1857" s="1794">
        <v>0</v>
      </c>
    </row>
    <row r="1858" spans="3:15">
      <c r="C1858" s="1799" t="s">
        <v>6348</v>
      </c>
      <c r="D1858" s="1796">
        <v>0</v>
      </c>
      <c r="E1858" s="1796">
        <v>0</v>
      </c>
      <c r="F1858" s="1797">
        <v>0</v>
      </c>
      <c r="G1858" s="1999" t="s">
        <v>6348</v>
      </c>
      <c r="H1858" s="1794">
        <v>0</v>
      </c>
      <c r="I1858" s="1794">
        <v>0</v>
      </c>
      <c r="J1858" s="2000">
        <v>0</v>
      </c>
      <c r="K1858" s="1798"/>
      <c r="L1858" s="1792">
        <v>13195020100</v>
      </c>
      <c r="M1858" s="1793">
        <v>0</v>
      </c>
      <c r="N1858" s="1793">
        <v>0</v>
      </c>
      <c r="O1858" s="1794">
        <v>0</v>
      </c>
    </row>
    <row r="1859" spans="3:15">
      <c r="C1859" s="1799" t="s">
        <v>6349</v>
      </c>
      <c r="D1859" s="1796">
        <v>0</v>
      </c>
      <c r="E1859" s="1796">
        <v>0</v>
      </c>
      <c r="F1859" s="1797">
        <v>0</v>
      </c>
      <c r="G1859" s="1999" t="s">
        <v>6349</v>
      </c>
      <c r="H1859" s="1794">
        <v>0</v>
      </c>
      <c r="I1859" s="1794">
        <v>0</v>
      </c>
      <c r="J1859" s="2000">
        <v>0</v>
      </c>
      <c r="K1859" s="1798"/>
      <c r="L1859" s="1792">
        <v>13195020200</v>
      </c>
      <c r="M1859" s="1793">
        <v>0</v>
      </c>
      <c r="N1859" s="1793">
        <v>0</v>
      </c>
      <c r="O1859" s="1794">
        <v>0</v>
      </c>
    </row>
    <row r="1860" spans="3:15">
      <c r="C1860" s="1799" t="s">
        <v>6350</v>
      </c>
      <c r="D1860" s="1796">
        <v>0</v>
      </c>
      <c r="E1860" s="1796">
        <v>0</v>
      </c>
      <c r="F1860" s="1797">
        <v>0</v>
      </c>
      <c r="G1860" s="1999" t="s">
        <v>6350</v>
      </c>
      <c r="H1860" s="1794">
        <v>0</v>
      </c>
      <c r="I1860" s="1794">
        <v>0</v>
      </c>
      <c r="J1860" s="2000">
        <v>0</v>
      </c>
      <c r="K1860" s="1798"/>
      <c r="L1860" s="1792">
        <v>13195020300</v>
      </c>
      <c r="M1860" s="1793">
        <v>0</v>
      </c>
      <c r="N1860" s="1793">
        <v>0</v>
      </c>
      <c r="O1860" s="1794">
        <v>0</v>
      </c>
    </row>
    <row r="1861" spans="3:15">
      <c r="C1861" s="1799" t="s">
        <v>6351</v>
      </c>
      <c r="D1861" s="1796">
        <v>1</v>
      </c>
      <c r="E1861" s="1796">
        <v>1</v>
      </c>
      <c r="F1861" s="1797">
        <v>2</v>
      </c>
      <c r="G1861" s="1999" t="s">
        <v>6351</v>
      </c>
      <c r="H1861" s="1794">
        <v>0</v>
      </c>
      <c r="I1861" s="1794">
        <v>0</v>
      </c>
      <c r="J1861" s="2000">
        <v>0</v>
      </c>
      <c r="K1861" s="1798"/>
      <c r="L1861" s="1792">
        <v>13195020400</v>
      </c>
      <c r="M1861" s="1793">
        <v>1</v>
      </c>
      <c r="N1861" s="1793">
        <v>1</v>
      </c>
      <c r="O1861" s="1794">
        <v>2</v>
      </c>
    </row>
    <row r="1862" spans="3:15">
      <c r="C1862" s="1799" t="s">
        <v>6352</v>
      </c>
      <c r="D1862" s="1796">
        <v>0</v>
      </c>
      <c r="E1862" s="1796">
        <v>1</v>
      </c>
      <c r="F1862" s="1797">
        <v>1</v>
      </c>
      <c r="G1862" s="1999" t="s">
        <v>6352</v>
      </c>
      <c r="H1862" s="1794">
        <v>0</v>
      </c>
      <c r="I1862" s="1794">
        <v>0</v>
      </c>
      <c r="J1862" s="2000">
        <v>0</v>
      </c>
      <c r="K1862" s="1798"/>
      <c r="L1862" s="1792">
        <v>13195020500</v>
      </c>
      <c r="M1862" s="1793">
        <v>0</v>
      </c>
      <c r="N1862" s="1793">
        <v>1</v>
      </c>
      <c r="O1862" s="1794">
        <v>1</v>
      </c>
    </row>
    <row r="1863" spans="3:15">
      <c r="C1863" s="1799" t="s">
        <v>6353</v>
      </c>
      <c r="D1863" s="1796">
        <v>1</v>
      </c>
      <c r="E1863" s="1796">
        <v>0</v>
      </c>
      <c r="F1863" s="1797">
        <v>1</v>
      </c>
      <c r="G1863" s="1999" t="s">
        <v>6353</v>
      </c>
      <c r="H1863" s="1794">
        <v>0</v>
      </c>
      <c r="I1863" s="1794">
        <v>0</v>
      </c>
      <c r="J1863" s="2000">
        <v>0</v>
      </c>
      <c r="K1863" s="1798"/>
      <c r="L1863" s="1792">
        <v>13195020600</v>
      </c>
      <c r="M1863" s="1793">
        <v>1</v>
      </c>
      <c r="N1863" s="1793">
        <v>0</v>
      </c>
      <c r="O1863" s="1794">
        <v>1</v>
      </c>
    </row>
    <row r="1864" spans="3:15">
      <c r="C1864" s="1799" t="s">
        <v>6354</v>
      </c>
      <c r="D1864" s="1796">
        <v>0</v>
      </c>
      <c r="E1864" s="1796">
        <v>0</v>
      </c>
      <c r="F1864" s="1797">
        <v>0</v>
      </c>
      <c r="G1864" s="1999" t="s">
        <v>6354</v>
      </c>
      <c r="H1864" s="1794">
        <v>0</v>
      </c>
      <c r="I1864" s="1794">
        <v>0</v>
      </c>
      <c r="J1864" s="2000">
        <v>0</v>
      </c>
      <c r="K1864" s="1798"/>
      <c r="L1864" s="1792">
        <v>13197920100</v>
      </c>
      <c r="M1864" s="1793">
        <v>0</v>
      </c>
      <c r="N1864" s="1793">
        <v>0</v>
      </c>
      <c r="O1864" s="1794">
        <v>0</v>
      </c>
    </row>
    <row r="1865" spans="3:15">
      <c r="C1865" s="1799" t="s">
        <v>6355</v>
      </c>
      <c r="D1865" s="1796">
        <v>0</v>
      </c>
      <c r="E1865" s="1796">
        <v>0</v>
      </c>
      <c r="F1865" s="1797">
        <v>0</v>
      </c>
      <c r="G1865" s="1999" t="s">
        <v>6355</v>
      </c>
      <c r="H1865" s="1794">
        <v>0</v>
      </c>
      <c r="I1865" s="1794">
        <v>0</v>
      </c>
      <c r="J1865" s="2000">
        <v>0</v>
      </c>
      <c r="K1865" s="1798"/>
      <c r="L1865" s="1792">
        <v>13197920200</v>
      </c>
      <c r="M1865" s="1793">
        <v>0</v>
      </c>
      <c r="N1865" s="1793">
        <v>0</v>
      </c>
      <c r="O1865" s="1794">
        <v>0</v>
      </c>
    </row>
    <row r="1866" spans="3:15">
      <c r="C1866" s="1799" t="s">
        <v>6356</v>
      </c>
      <c r="D1866" s="1796">
        <v>0</v>
      </c>
      <c r="E1866" s="1796">
        <v>0</v>
      </c>
      <c r="F1866" s="1797">
        <v>0</v>
      </c>
      <c r="G1866" s="1999" t="s">
        <v>6356</v>
      </c>
      <c r="H1866" s="1794">
        <v>0</v>
      </c>
      <c r="I1866" s="1794">
        <v>0</v>
      </c>
      <c r="J1866" s="2000">
        <v>0</v>
      </c>
      <c r="K1866" s="1798"/>
      <c r="L1866" s="1792">
        <v>13199970500</v>
      </c>
      <c r="M1866" s="1793">
        <v>0</v>
      </c>
      <c r="N1866" s="1793">
        <v>0</v>
      </c>
      <c r="O1866" s="1794">
        <v>0</v>
      </c>
    </row>
    <row r="1867" spans="3:15">
      <c r="C1867" s="1799" t="s">
        <v>6357</v>
      </c>
      <c r="D1867" s="1796">
        <v>0</v>
      </c>
      <c r="E1867" s="1796">
        <v>0</v>
      </c>
      <c r="F1867" s="1797">
        <v>0</v>
      </c>
      <c r="G1867" s="1999" t="s">
        <v>6357</v>
      </c>
      <c r="H1867" s="1794">
        <v>0</v>
      </c>
      <c r="I1867" s="1794">
        <v>0</v>
      </c>
      <c r="J1867" s="2000">
        <v>0</v>
      </c>
      <c r="K1867" s="1798"/>
      <c r="L1867" s="1792">
        <v>13199970600</v>
      </c>
      <c r="M1867" s="1793">
        <v>0</v>
      </c>
      <c r="N1867" s="1793">
        <v>0</v>
      </c>
      <c r="O1867" s="1794">
        <v>0</v>
      </c>
    </row>
    <row r="1868" spans="3:15">
      <c r="C1868" s="1799" t="s">
        <v>6358</v>
      </c>
      <c r="D1868" s="1796">
        <v>0</v>
      </c>
      <c r="E1868" s="1796">
        <v>0</v>
      </c>
      <c r="F1868" s="1797">
        <v>0</v>
      </c>
      <c r="G1868" s="1999" t="s">
        <v>6358</v>
      </c>
      <c r="H1868" s="1794">
        <v>0</v>
      </c>
      <c r="I1868" s="1794">
        <v>0</v>
      </c>
      <c r="J1868" s="2000">
        <v>0</v>
      </c>
      <c r="K1868" s="1798"/>
      <c r="L1868" s="1792">
        <v>13199970700</v>
      </c>
      <c r="M1868" s="1793">
        <v>0</v>
      </c>
      <c r="N1868" s="1793">
        <v>0</v>
      </c>
      <c r="O1868" s="1794">
        <v>0</v>
      </c>
    </row>
    <row r="1869" spans="3:15">
      <c r="C1869" s="1799" t="s">
        <v>6359</v>
      </c>
      <c r="D1869" s="1796">
        <v>0</v>
      </c>
      <c r="E1869" s="1796">
        <v>0</v>
      </c>
      <c r="F1869" s="1797">
        <v>0</v>
      </c>
      <c r="G1869" s="1999" t="s">
        <v>6359</v>
      </c>
      <c r="H1869" s="1794">
        <v>0</v>
      </c>
      <c r="I1869" s="1794">
        <v>0</v>
      </c>
      <c r="J1869" s="2000">
        <v>0</v>
      </c>
      <c r="K1869" s="1798"/>
      <c r="L1869" s="1792">
        <v>13199970800</v>
      </c>
      <c r="M1869" s="1793">
        <v>0</v>
      </c>
      <c r="N1869" s="1793">
        <v>0</v>
      </c>
      <c r="O1869" s="1794">
        <v>0</v>
      </c>
    </row>
    <row r="1870" spans="3:15">
      <c r="C1870" s="1799" t="s">
        <v>6360</v>
      </c>
      <c r="D1870" s="1796">
        <v>0</v>
      </c>
      <c r="E1870" s="1796">
        <v>0</v>
      </c>
      <c r="F1870" s="1797">
        <v>0</v>
      </c>
      <c r="G1870" s="1999" t="s">
        <v>6360</v>
      </c>
      <c r="H1870" s="1794">
        <v>0</v>
      </c>
      <c r="I1870" s="1794">
        <v>0</v>
      </c>
      <c r="J1870" s="2000">
        <v>0</v>
      </c>
      <c r="K1870" s="1798"/>
      <c r="L1870" s="1792">
        <v>13201950100</v>
      </c>
      <c r="M1870" s="1793">
        <v>0</v>
      </c>
      <c r="N1870" s="1793">
        <v>0</v>
      </c>
      <c r="O1870" s="1794">
        <v>0</v>
      </c>
    </row>
    <row r="1871" spans="3:15">
      <c r="C1871" s="1799" t="s">
        <v>6361</v>
      </c>
      <c r="D1871" s="1796">
        <v>0</v>
      </c>
      <c r="E1871" s="1796">
        <v>0</v>
      </c>
      <c r="F1871" s="1797">
        <v>0</v>
      </c>
      <c r="G1871" s="1999" t="s">
        <v>6361</v>
      </c>
      <c r="H1871" s="1794">
        <v>0</v>
      </c>
      <c r="I1871" s="1794">
        <v>0</v>
      </c>
      <c r="J1871" s="2000">
        <v>0</v>
      </c>
      <c r="K1871" s="1798"/>
      <c r="L1871" s="1792">
        <v>13201950200</v>
      </c>
      <c r="M1871" s="1793">
        <v>0</v>
      </c>
      <c r="N1871" s="1793">
        <v>0</v>
      </c>
      <c r="O1871" s="1794">
        <v>0</v>
      </c>
    </row>
    <row r="1872" spans="3:15">
      <c r="C1872" s="1799" t="s">
        <v>6362</v>
      </c>
      <c r="D1872" s="1796">
        <v>1</v>
      </c>
      <c r="E1872" s="1796">
        <v>0</v>
      </c>
      <c r="F1872" s="1797">
        <v>1</v>
      </c>
      <c r="G1872" s="1999" t="s">
        <v>6362</v>
      </c>
      <c r="H1872" s="1794">
        <v>1</v>
      </c>
      <c r="I1872" s="1794">
        <v>1</v>
      </c>
      <c r="J1872" s="2000">
        <v>2</v>
      </c>
      <c r="K1872" s="1798"/>
      <c r="L1872" s="1792">
        <v>13201950300</v>
      </c>
      <c r="M1872" s="1793">
        <v>1</v>
      </c>
      <c r="N1872" s="1793">
        <v>1</v>
      </c>
      <c r="O1872" s="1794">
        <v>2</v>
      </c>
    </row>
    <row r="1873" spans="3:15">
      <c r="C1873" s="1799" t="s">
        <v>6363</v>
      </c>
      <c r="D1873" s="1796">
        <v>0</v>
      </c>
      <c r="E1873" s="1796">
        <v>0</v>
      </c>
      <c r="F1873" s="1797">
        <v>0</v>
      </c>
      <c r="G1873" s="1999" t="s">
        <v>6363</v>
      </c>
      <c r="H1873" s="1794">
        <v>0</v>
      </c>
      <c r="I1873" s="1794">
        <v>0</v>
      </c>
      <c r="J1873" s="2000">
        <v>0</v>
      </c>
      <c r="K1873" s="1798"/>
      <c r="L1873" s="1792">
        <v>13205090100</v>
      </c>
      <c r="M1873" s="1793">
        <v>0</v>
      </c>
      <c r="N1873" s="1793">
        <v>0</v>
      </c>
      <c r="O1873" s="1794">
        <v>0</v>
      </c>
    </row>
    <row r="1874" spans="3:15">
      <c r="C1874" s="1799" t="s">
        <v>6364</v>
      </c>
      <c r="D1874" s="1796">
        <v>0</v>
      </c>
      <c r="E1874" s="1796">
        <v>0</v>
      </c>
      <c r="F1874" s="1797">
        <v>0</v>
      </c>
      <c r="G1874" s="1999" t="s">
        <v>6364</v>
      </c>
      <c r="H1874" s="1794">
        <v>0</v>
      </c>
      <c r="I1874" s="1794">
        <v>0</v>
      </c>
      <c r="J1874" s="2000">
        <v>0</v>
      </c>
      <c r="K1874" s="1798"/>
      <c r="L1874" s="1792">
        <v>13205090200</v>
      </c>
      <c r="M1874" s="1793">
        <v>0</v>
      </c>
      <c r="N1874" s="1793">
        <v>0</v>
      </c>
      <c r="O1874" s="1794">
        <v>0</v>
      </c>
    </row>
    <row r="1875" spans="3:15">
      <c r="C1875" s="1799" t="s">
        <v>6365</v>
      </c>
      <c r="D1875" s="1796">
        <v>0</v>
      </c>
      <c r="E1875" s="1796">
        <v>0</v>
      </c>
      <c r="F1875" s="1797">
        <v>0</v>
      </c>
      <c r="G1875" s="1999" t="s">
        <v>6365</v>
      </c>
      <c r="H1875" s="1794">
        <v>0</v>
      </c>
      <c r="I1875" s="1794">
        <v>0</v>
      </c>
      <c r="J1875" s="2000">
        <v>0</v>
      </c>
      <c r="K1875" s="1798"/>
      <c r="L1875" s="1792">
        <v>13205090300</v>
      </c>
      <c r="M1875" s="1793">
        <v>0</v>
      </c>
      <c r="N1875" s="1793">
        <v>0</v>
      </c>
      <c r="O1875" s="1794">
        <v>0</v>
      </c>
    </row>
    <row r="1876" spans="3:15">
      <c r="C1876" s="1799" t="s">
        <v>6366</v>
      </c>
      <c r="D1876" s="1796">
        <v>0</v>
      </c>
      <c r="E1876" s="1796">
        <v>0</v>
      </c>
      <c r="F1876" s="1797">
        <v>0</v>
      </c>
      <c r="G1876" s="1999" t="s">
        <v>6366</v>
      </c>
      <c r="H1876" s="1794">
        <v>0</v>
      </c>
      <c r="I1876" s="1794">
        <v>0</v>
      </c>
      <c r="J1876" s="2000">
        <v>0</v>
      </c>
      <c r="K1876" s="1798"/>
      <c r="L1876" s="1792">
        <v>13205090400</v>
      </c>
      <c r="M1876" s="1793">
        <v>0</v>
      </c>
      <c r="N1876" s="1793">
        <v>0</v>
      </c>
      <c r="O1876" s="1794">
        <v>0</v>
      </c>
    </row>
    <row r="1877" spans="3:15">
      <c r="C1877" s="1799" t="s">
        <v>6367</v>
      </c>
      <c r="D1877" s="1796">
        <v>0</v>
      </c>
      <c r="E1877" s="1796">
        <v>0</v>
      </c>
      <c r="F1877" s="1797">
        <v>0</v>
      </c>
      <c r="G1877" s="1999" t="s">
        <v>6367</v>
      </c>
      <c r="H1877" s="1794">
        <v>0</v>
      </c>
      <c r="I1877" s="1794">
        <v>0</v>
      </c>
      <c r="J1877" s="2000">
        <v>0</v>
      </c>
      <c r="K1877" s="1798"/>
      <c r="L1877" s="1792">
        <v>13205090500</v>
      </c>
      <c r="M1877" s="1793">
        <v>0</v>
      </c>
      <c r="N1877" s="1793">
        <v>0</v>
      </c>
      <c r="O1877" s="1794">
        <v>0</v>
      </c>
    </row>
    <row r="1878" spans="3:15">
      <c r="C1878" s="1799" t="s">
        <v>6368</v>
      </c>
      <c r="D1878" s="1796">
        <v>0</v>
      </c>
      <c r="E1878" s="1796">
        <v>0</v>
      </c>
      <c r="F1878" s="1797">
        <v>0</v>
      </c>
      <c r="G1878" s="1999" t="s">
        <v>6368</v>
      </c>
      <c r="H1878" s="1794">
        <v>0</v>
      </c>
      <c r="I1878" s="1794">
        <v>0</v>
      </c>
      <c r="J1878" s="2000">
        <v>0</v>
      </c>
      <c r="K1878" s="1798"/>
      <c r="L1878" s="1792">
        <v>13207050101</v>
      </c>
      <c r="M1878" s="1793">
        <v>0</v>
      </c>
      <c r="N1878" s="1793">
        <v>0</v>
      </c>
      <c r="O1878" s="1794">
        <v>0</v>
      </c>
    </row>
    <row r="1879" spans="3:15">
      <c r="C1879" s="1799" t="s">
        <v>6369</v>
      </c>
      <c r="D1879" s="1796">
        <v>0</v>
      </c>
      <c r="E1879" s="1796">
        <v>0</v>
      </c>
      <c r="F1879" s="1797">
        <v>0</v>
      </c>
      <c r="G1879" s="1999" t="s">
        <v>6369</v>
      </c>
      <c r="H1879" s="1794">
        <v>0</v>
      </c>
      <c r="I1879" s="1794">
        <v>0</v>
      </c>
      <c r="J1879" s="2000">
        <v>0</v>
      </c>
      <c r="K1879" s="1798"/>
      <c r="L1879" s="1792">
        <v>13207050102</v>
      </c>
      <c r="M1879" s="1793">
        <v>0</v>
      </c>
      <c r="N1879" s="1793">
        <v>0</v>
      </c>
      <c r="O1879" s="1794">
        <v>0</v>
      </c>
    </row>
    <row r="1880" spans="3:15">
      <c r="C1880" s="1799" t="s">
        <v>6370</v>
      </c>
      <c r="D1880" s="1796">
        <v>0</v>
      </c>
      <c r="E1880" s="1796">
        <v>0</v>
      </c>
      <c r="F1880" s="1797">
        <v>0</v>
      </c>
      <c r="G1880" s="1999" t="s">
        <v>6370</v>
      </c>
      <c r="H1880" s="1794">
        <v>0</v>
      </c>
      <c r="I1880" s="1794">
        <v>0</v>
      </c>
      <c r="J1880" s="2000">
        <v>0</v>
      </c>
      <c r="K1880" s="1798"/>
      <c r="L1880" s="1792">
        <v>13207050200</v>
      </c>
      <c r="M1880" s="1793">
        <v>0</v>
      </c>
      <c r="N1880" s="1793">
        <v>0</v>
      </c>
      <c r="O1880" s="1794">
        <v>0</v>
      </c>
    </row>
    <row r="1881" spans="3:15">
      <c r="C1881" s="1799" t="s">
        <v>6371</v>
      </c>
      <c r="D1881" s="1796">
        <v>0</v>
      </c>
      <c r="E1881" s="1796">
        <v>1</v>
      </c>
      <c r="F1881" s="1797">
        <v>1</v>
      </c>
      <c r="G1881" s="1999" t="s">
        <v>6371</v>
      </c>
      <c r="H1881" s="1794">
        <v>0</v>
      </c>
      <c r="I1881" s="1794">
        <v>1</v>
      </c>
      <c r="J1881" s="2000">
        <v>1</v>
      </c>
      <c r="K1881" s="1798"/>
      <c r="L1881" s="1792">
        <v>13207050301</v>
      </c>
      <c r="M1881" s="1793">
        <v>0</v>
      </c>
      <c r="N1881" s="1793">
        <v>1</v>
      </c>
      <c r="O1881" s="1794">
        <v>1</v>
      </c>
    </row>
    <row r="1882" spans="3:15">
      <c r="C1882" s="1799" t="s">
        <v>6372</v>
      </c>
      <c r="D1882" s="1796">
        <v>1</v>
      </c>
      <c r="E1882" s="1796">
        <v>1</v>
      </c>
      <c r="F1882" s="1797">
        <v>2</v>
      </c>
      <c r="G1882" s="1999" t="s">
        <v>6372</v>
      </c>
      <c r="H1882" s="1794">
        <v>1</v>
      </c>
      <c r="I1882" s="1794">
        <v>1</v>
      </c>
      <c r="J1882" s="2000">
        <v>2</v>
      </c>
      <c r="K1882" s="1798"/>
      <c r="L1882" s="1792">
        <v>13207050302</v>
      </c>
      <c r="M1882" s="1793">
        <v>1</v>
      </c>
      <c r="N1882" s="1793">
        <v>1</v>
      </c>
      <c r="O1882" s="1794">
        <v>2</v>
      </c>
    </row>
    <row r="1883" spans="3:15">
      <c r="C1883" s="1799" t="s">
        <v>6373</v>
      </c>
      <c r="D1883" s="1796">
        <v>0</v>
      </c>
      <c r="E1883" s="1796">
        <v>0</v>
      </c>
      <c r="F1883" s="1797">
        <v>0</v>
      </c>
      <c r="G1883" s="1999" t="s">
        <v>6373</v>
      </c>
      <c r="H1883" s="1794">
        <v>0</v>
      </c>
      <c r="I1883" s="1794">
        <v>0</v>
      </c>
      <c r="J1883" s="2000">
        <v>0</v>
      </c>
      <c r="K1883" s="1798"/>
      <c r="L1883" s="1792">
        <v>13209950100</v>
      </c>
      <c r="M1883" s="1793">
        <v>0</v>
      </c>
      <c r="N1883" s="1793">
        <v>0</v>
      </c>
      <c r="O1883" s="1794">
        <v>0</v>
      </c>
    </row>
    <row r="1884" spans="3:15">
      <c r="C1884" s="1799" t="s">
        <v>6374</v>
      </c>
      <c r="D1884" s="1796">
        <v>0</v>
      </c>
      <c r="E1884" s="1796">
        <v>0</v>
      </c>
      <c r="F1884" s="1797">
        <v>0</v>
      </c>
      <c r="G1884" s="1999" t="s">
        <v>6374</v>
      </c>
      <c r="H1884" s="1794">
        <v>0</v>
      </c>
      <c r="I1884" s="1794">
        <v>1</v>
      </c>
      <c r="J1884" s="2000">
        <v>1</v>
      </c>
      <c r="K1884" s="1798"/>
      <c r="L1884" s="1792">
        <v>13209950200</v>
      </c>
      <c r="M1884" s="1793">
        <v>0</v>
      </c>
      <c r="N1884" s="1793">
        <v>1</v>
      </c>
      <c r="O1884" s="1794">
        <v>1</v>
      </c>
    </row>
    <row r="1885" spans="3:15">
      <c r="C1885" s="1799" t="s">
        <v>6375</v>
      </c>
      <c r="D1885" s="1796">
        <v>0</v>
      </c>
      <c r="E1885" s="1796">
        <v>0</v>
      </c>
      <c r="F1885" s="1797">
        <v>0</v>
      </c>
      <c r="G1885" s="1999" t="s">
        <v>6375</v>
      </c>
      <c r="H1885" s="1794">
        <v>0</v>
      </c>
      <c r="I1885" s="1794">
        <v>0</v>
      </c>
      <c r="J1885" s="2000">
        <v>0</v>
      </c>
      <c r="K1885" s="1798"/>
      <c r="L1885" s="1792">
        <v>13209950300</v>
      </c>
      <c r="M1885" s="1793">
        <v>0</v>
      </c>
      <c r="N1885" s="1793">
        <v>0</v>
      </c>
      <c r="O1885" s="1794">
        <v>0</v>
      </c>
    </row>
    <row r="1886" spans="3:15">
      <c r="C1886" s="1799" t="s">
        <v>6376</v>
      </c>
      <c r="D1886" s="1796">
        <v>1</v>
      </c>
      <c r="E1886" s="1796">
        <v>1</v>
      </c>
      <c r="F1886" s="1797">
        <v>2</v>
      </c>
      <c r="G1886" s="1999" t="s">
        <v>6376</v>
      </c>
      <c r="H1886" s="1794">
        <v>1</v>
      </c>
      <c r="I1886" s="1794">
        <v>1</v>
      </c>
      <c r="J1886" s="2000">
        <v>2</v>
      </c>
      <c r="K1886" s="1798"/>
      <c r="L1886" s="1792">
        <v>13211010100</v>
      </c>
      <c r="M1886" s="1793">
        <v>1</v>
      </c>
      <c r="N1886" s="1793">
        <v>1</v>
      </c>
      <c r="O1886" s="1794">
        <v>2</v>
      </c>
    </row>
    <row r="1887" spans="3:15">
      <c r="C1887" s="1799" t="s">
        <v>6377</v>
      </c>
      <c r="D1887" s="1796">
        <v>0</v>
      </c>
      <c r="E1887" s="1796">
        <v>0</v>
      </c>
      <c r="F1887" s="1797">
        <v>0</v>
      </c>
      <c r="G1887" s="1999" t="s">
        <v>6377</v>
      </c>
      <c r="H1887" s="1794">
        <v>0</v>
      </c>
      <c r="I1887" s="1794">
        <v>0</v>
      </c>
      <c r="J1887" s="2000">
        <v>0</v>
      </c>
      <c r="K1887" s="1798"/>
      <c r="L1887" s="1792">
        <v>13211010200</v>
      </c>
      <c r="M1887" s="1793">
        <v>0</v>
      </c>
      <c r="N1887" s="1793">
        <v>0</v>
      </c>
      <c r="O1887" s="1794">
        <v>0</v>
      </c>
    </row>
    <row r="1888" spans="3:15">
      <c r="C1888" s="1799" t="s">
        <v>6378</v>
      </c>
      <c r="D1888" s="1796">
        <v>1</v>
      </c>
      <c r="E1888" s="1796">
        <v>1</v>
      </c>
      <c r="F1888" s="1797">
        <v>2</v>
      </c>
      <c r="G1888" s="1999" t="s">
        <v>6378</v>
      </c>
      <c r="H1888" s="1794">
        <v>0</v>
      </c>
      <c r="I1888" s="1794">
        <v>1</v>
      </c>
      <c r="J1888" s="2000">
        <v>1</v>
      </c>
      <c r="K1888" s="1798"/>
      <c r="L1888" s="1792">
        <v>13211010300</v>
      </c>
      <c r="M1888" s="1793">
        <v>1</v>
      </c>
      <c r="N1888" s="1793">
        <v>1</v>
      </c>
      <c r="O1888" s="1794">
        <v>2</v>
      </c>
    </row>
    <row r="1889" spans="3:15">
      <c r="C1889" s="1799" t="s">
        <v>6379</v>
      </c>
      <c r="D1889" s="1796">
        <v>1</v>
      </c>
      <c r="E1889" s="1796">
        <v>0</v>
      </c>
      <c r="F1889" s="1797">
        <v>1</v>
      </c>
      <c r="G1889" s="1999" t="s">
        <v>6379</v>
      </c>
      <c r="H1889" s="1794">
        <v>1</v>
      </c>
      <c r="I1889" s="1794">
        <v>0</v>
      </c>
      <c r="J1889" s="2000">
        <v>1</v>
      </c>
      <c r="K1889" s="1798"/>
      <c r="L1889" s="1792">
        <v>13211010400</v>
      </c>
      <c r="M1889" s="1793">
        <v>1</v>
      </c>
      <c r="N1889" s="1793">
        <v>0</v>
      </c>
      <c r="O1889" s="1794">
        <v>1</v>
      </c>
    </row>
    <row r="1890" spans="3:15">
      <c r="C1890" s="1799" t="s">
        <v>6380</v>
      </c>
      <c r="D1890" s="1796">
        <v>1</v>
      </c>
      <c r="E1890" s="1796">
        <v>1</v>
      </c>
      <c r="F1890" s="1797">
        <v>2</v>
      </c>
      <c r="G1890" s="1999" t="s">
        <v>6380</v>
      </c>
      <c r="H1890" s="1794">
        <v>1</v>
      </c>
      <c r="I1890" s="1794">
        <v>0</v>
      </c>
      <c r="J1890" s="2000">
        <v>1</v>
      </c>
      <c r="K1890" s="1798"/>
      <c r="L1890" s="1792">
        <v>13211010500</v>
      </c>
      <c r="M1890" s="1793">
        <v>1</v>
      </c>
      <c r="N1890" s="1793">
        <v>1</v>
      </c>
      <c r="O1890" s="1794">
        <v>2</v>
      </c>
    </row>
    <row r="1891" spans="3:15">
      <c r="C1891" s="1799" t="s">
        <v>6381</v>
      </c>
      <c r="D1891" s="1796">
        <v>0</v>
      </c>
      <c r="E1891" s="1796">
        <v>0</v>
      </c>
      <c r="F1891" s="1797">
        <v>0</v>
      </c>
      <c r="G1891" s="1999" t="s">
        <v>6381</v>
      </c>
      <c r="H1891" s="1794">
        <v>0</v>
      </c>
      <c r="I1891" s="1794">
        <v>0</v>
      </c>
      <c r="J1891" s="2000">
        <v>0</v>
      </c>
      <c r="K1891" s="1798"/>
      <c r="L1891" s="1792">
        <v>13213010100</v>
      </c>
      <c r="M1891" s="1793">
        <v>0</v>
      </c>
      <c r="N1891" s="1793">
        <v>0</v>
      </c>
      <c r="O1891" s="1794">
        <v>0</v>
      </c>
    </row>
    <row r="1892" spans="3:15">
      <c r="C1892" s="1799" t="s">
        <v>6382</v>
      </c>
      <c r="D1892" s="1796">
        <v>0</v>
      </c>
      <c r="E1892" s="1796">
        <v>0</v>
      </c>
      <c r="F1892" s="1797">
        <v>0</v>
      </c>
      <c r="G1892" s="1999" t="s">
        <v>6382</v>
      </c>
      <c r="H1892" s="1794">
        <v>0</v>
      </c>
      <c r="I1892" s="1794">
        <v>0</v>
      </c>
      <c r="J1892" s="2000">
        <v>0</v>
      </c>
      <c r="K1892" s="1798"/>
      <c r="L1892" s="1792">
        <v>13213010201</v>
      </c>
      <c r="M1892" s="1793">
        <v>0</v>
      </c>
      <c r="N1892" s="1793">
        <v>0</v>
      </c>
      <c r="O1892" s="1794">
        <v>0</v>
      </c>
    </row>
    <row r="1893" spans="3:15">
      <c r="C1893" s="1799" t="s">
        <v>6383</v>
      </c>
      <c r="D1893" s="1796">
        <v>0</v>
      </c>
      <c r="E1893" s="1796">
        <v>0</v>
      </c>
      <c r="F1893" s="1797">
        <v>0</v>
      </c>
      <c r="G1893" s="1999" t="s">
        <v>6383</v>
      </c>
      <c r="H1893" s="1794">
        <v>0</v>
      </c>
      <c r="I1893" s="1794">
        <v>0</v>
      </c>
      <c r="J1893" s="2000">
        <v>0</v>
      </c>
      <c r="K1893" s="1798"/>
      <c r="L1893" s="1792">
        <v>13213010202</v>
      </c>
      <c r="M1893" s="1793">
        <v>0</v>
      </c>
      <c r="N1893" s="1793">
        <v>0</v>
      </c>
      <c r="O1893" s="1794">
        <v>0</v>
      </c>
    </row>
    <row r="1894" spans="3:15">
      <c r="C1894" s="1799" t="s">
        <v>6384</v>
      </c>
      <c r="D1894" s="1796">
        <v>0</v>
      </c>
      <c r="E1894" s="1796">
        <v>0</v>
      </c>
      <c r="F1894" s="1797">
        <v>0</v>
      </c>
      <c r="G1894" s="1999" t="s">
        <v>6384</v>
      </c>
      <c r="H1894" s="1794">
        <v>0</v>
      </c>
      <c r="I1894" s="1794">
        <v>0</v>
      </c>
      <c r="J1894" s="2000">
        <v>0</v>
      </c>
      <c r="K1894" s="1798"/>
      <c r="L1894" s="1792">
        <v>13213010300</v>
      </c>
      <c r="M1894" s="1793">
        <v>0</v>
      </c>
      <c r="N1894" s="1793">
        <v>0</v>
      </c>
      <c r="O1894" s="1794">
        <v>0</v>
      </c>
    </row>
    <row r="1895" spans="3:15">
      <c r="C1895" s="1799" t="s">
        <v>6385</v>
      </c>
      <c r="D1895" s="1796">
        <v>0</v>
      </c>
      <c r="E1895" s="1796">
        <v>0</v>
      </c>
      <c r="F1895" s="1797">
        <v>0</v>
      </c>
      <c r="G1895" s="1999" t="s">
        <v>6385</v>
      </c>
      <c r="H1895" s="1794">
        <v>0</v>
      </c>
      <c r="I1895" s="1794">
        <v>0</v>
      </c>
      <c r="J1895" s="2000">
        <v>0</v>
      </c>
      <c r="K1895" s="1798"/>
      <c r="L1895" s="1792">
        <v>13213010400</v>
      </c>
      <c r="M1895" s="1793">
        <v>0</v>
      </c>
      <c r="N1895" s="1793">
        <v>0</v>
      </c>
      <c r="O1895" s="1794">
        <v>0</v>
      </c>
    </row>
    <row r="1896" spans="3:15">
      <c r="C1896" s="1799" t="s">
        <v>6386</v>
      </c>
      <c r="D1896" s="1796">
        <v>0</v>
      </c>
      <c r="E1896" s="1796">
        <v>0</v>
      </c>
      <c r="F1896" s="1797">
        <v>0</v>
      </c>
      <c r="G1896" s="1999" t="s">
        <v>6386</v>
      </c>
      <c r="H1896" s="1794">
        <v>0</v>
      </c>
      <c r="I1896" s="1794">
        <v>0</v>
      </c>
      <c r="J1896" s="2000">
        <v>0</v>
      </c>
      <c r="K1896" s="1798"/>
      <c r="L1896" s="1792">
        <v>13213010500</v>
      </c>
      <c r="M1896" s="1793">
        <v>0</v>
      </c>
      <c r="N1896" s="1793">
        <v>0</v>
      </c>
      <c r="O1896" s="1794">
        <v>0</v>
      </c>
    </row>
    <row r="1897" spans="3:15">
      <c r="C1897" s="1799" t="s">
        <v>6387</v>
      </c>
      <c r="D1897" s="1796">
        <v>0</v>
      </c>
      <c r="E1897" s="1796">
        <v>0</v>
      </c>
      <c r="F1897" s="1797">
        <v>0</v>
      </c>
      <c r="G1897" s="1999" t="s">
        <v>6387</v>
      </c>
      <c r="H1897" s="1794">
        <v>0</v>
      </c>
      <c r="I1897" s="1794">
        <v>0</v>
      </c>
      <c r="J1897" s="2000">
        <v>0</v>
      </c>
      <c r="K1897" s="1798"/>
      <c r="L1897" s="1792">
        <v>13213010600</v>
      </c>
      <c r="M1897" s="1793">
        <v>0</v>
      </c>
      <c r="N1897" s="1793">
        <v>0</v>
      </c>
      <c r="O1897" s="1794">
        <v>0</v>
      </c>
    </row>
    <row r="1898" spans="3:15">
      <c r="C1898" s="1799" t="s">
        <v>6388</v>
      </c>
      <c r="D1898" s="1796">
        <v>0</v>
      </c>
      <c r="E1898" s="1796">
        <v>0</v>
      </c>
      <c r="F1898" s="1797">
        <v>0</v>
      </c>
      <c r="G1898" s="1999" t="s">
        <v>6388</v>
      </c>
      <c r="H1898" s="1794">
        <v>0</v>
      </c>
      <c r="I1898" s="1794">
        <v>0</v>
      </c>
      <c r="J1898" s="2000">
        <v>0</v>
      </c>
      <c r="K1898" s="1798"/>
      <c r="L1898" s="1792">
        <v>13213010700</v>
      </c>
      <c r="M1898" s="1793">
        <v>0</v>
      </c>
      <c r="N1898" s="1793">
        <v>0</v>
      </c>
      <c r="O1898" s="1794">
        <v>0</v>
      </c>
    </row>
    <row r="1899" spans="3:15">
      <c r="C1899" s="1799" t="s">
        <v>6389</v>
      </c>
      <c r="D1899" s="1796">
        <v>0</v>
      </c>
      <c r="E1899" s="1796">
        <v>1</v>
      </c>
      <c r="F1899" s="1797">
        <v>1</v>
      </c>
      <c r="G1899" s="1999" t="s">
        <v>6389</v>
      </c>
      <c r="H1899" s="1794">
        <v>0</v>
      </c>
      <c r="I1899" s="1794">
        <v>1</v>
      </c>
      <c r="J1899" s="2000">
        <v>1</v>
      </c>
      <c r="K1899" s="1798"/>
      <c r="L1899" s="1792">
        <v>13215000200</v>
      </c>
      <c r="M1899" s="1793">
        <v>0</v>
      </c>
      <c r="N1899" s="1793">
        <v>1</v>
      </c>
      <c r="O1899" s="1794">
        <v>1</v>
      </c>
    </row>
    <row r="1900" spans="3:15">
      <c r="C1900" s="1799" t="s">
        <v>6390</v>
      </c>
      <c r="D1900" s="1796">
        <v>0</v>
      </c>
      <c r="E1900" s="1796">
        <v>0</v>
      </c>
      <c r="F1900" s="1797">
        <v>0</v>
      </c>
      <c r="G1900" s="1999" t="s">
        <v>6390</v>
      </c>
      <c r="H1900" s="1794">
        <v>0</v>
      </c>
      <c r="I1900" s="1794">
        <v>0</v>
      </c>
      <c r="J1900" s="2000">
        <v>0</v>
      </c>
      <c r="K1900" s="1798"/>
      <c r="L1900" s="1792">
        <v>13215000300</v>
      </c>
      <c r="M1900" s="1793">
        <v>0</v>
      </c>
      <c r="N1900" s="1793">
        <v>0</v>
      </c>
      <c r="O1900" s="1794">
        <v>0</v>
      </c>
    </row>
    <row r="1901" spans="3:15">
      <c r="C1901" s="1799" t="s">
        <v>6391</v>
      </c>
      <c r="D1901" s="1796">
        <v>0</v>
      </c>
      <c r="E1901" s="1796">
        <v>0</v>
      </c>
      <c r="F1901" s="1797">
        <v>0</v>
      </c>
      <c r="G1901" s="1999" t="s">
        <v>6391</v>
      </c>
      <c r="H1901" s="1794">
        <v>0</v>
      </c>
      <c r="I1901" s="1794">
        <v>0</v>
      </c>
      <c r="J1901" s="2000">
        <v>0</v>
      </c>
      <c r="K1901" s="1798"/>
      <c r="L1901" s="1792">
        <v>13215000400</v>
      </c>
      <c r="M1901" s="1793">
        <v>0</v>
      </c>
      <c r="N1901" s="1793">
        <v>0</v>
      </c>
      <c r="O1901" s="1794">
        <v>0</v>
      </c>
    </row>
    <row r="1902" spans="3:15">
      <c r="C1902" s="1799" t="s">
        <v>6392</v>
      </c>
      <c r="D1902" s="1796">
        <v>0</v>
      </c>
      <c r="E1902" s="1796">
        <v>0</v>
      </c>
      <c r="F1902" s="1797">
        <v>0</v>
      </c>
      <c r="G1902" s="1999" t="s">
        <v>6392</v>
      </c>
      <c r="H1902" s="1794">
        <v>0</v>
      </c>
      <c r="I1902" s="1794">
        <v>0</v>
      </c>
      <c r="J1902" s="2000">
        <v>0</v>
      </c>
      <c r="K1902" s="1798"/>
      <c r="L1902" s="1792">
        <v>13215000800</v>
      </c>
      <c r="M1902" s="1793">
        <v>0</v>
      </c>
      <c r="N1902" s="1793">
        <v>0</v>
      </c>
      <c r="O1902" s="1794">
        <v>0</v>
      </c>
    </row>
    <row r="1903" spans="3:15">
      <c r="C1903" s="1799" t="s">
        <v>6393</v>
      </c>
      <c r="D1903" s="1796">
        <v>0</v>
      </c>
      <c r="E1903" s="1796">
        <v>0</v>
      </c>
      <c r="F1903" s="1797">
        <v>0</v>
      </c>
      <c r="G1903" s="1999" t="s">
        <v>6393</v>
      </c>
      <c r="H1903" s="1794">
        <v>0</v>
      </c>
      <c r="I1903" s="1794">
        <v>0</v>
      </c>
      <c r="J1903" s="2000">
        <v>0</v>
      </c>
      <c r="K1903" s="1798"/>
      <c r="L1903" s="1792">
        <v>13215000900</v>
      </c>
      <c r="M1903" s="1793">
        <v>0</v>
      </c>
      <c r="N1903" s="1793">
        <v>0</v>
      </c>
      <c r="O1903" s="1794">
        <v>0</v>
      </c>
    </row>
    <row r="1904" spans="3:15">
      <c r="C1904" s="1799" t="s">
        <v>6394</v>
      </c>
      <c r="D1904" s="1796">
        <v>0</v>
      </c>
      <c r="E1904" s="1796">
        <v>0</v>
      </c>
      <c r="F1904" s="1797">
        <v>0</v>
      </c>
      <c r="G1904" s="1999" t="s">
        <v>6394</v>
      </c>
      <c r="H1904" s="1794">
        <v>0</v>
      </c>
      <c r="I1904" s="1794">
        <v>0</v>
      </c>
      <c r="J1904" s="2000">
        <v>0</v>
      </c>
      <c r="K1904" s="1798"/>
      <c r="L1904" s="1792">
        <v>13215001000</v>
      </c>
      <c r="M1904" s="1793">
        <v>0</v>
      </c>
      <c r="N1904" s="1793">
        <v>0</v>
      </c>
      <c r="O1904" s="1794">
        <v>0</v>
      </c>
    </row>
    <row r="1905" spans="3:15">
      <c r="C1905" s="1799" t="s">
        <v>6395</v>
      </c>
      <c r="D1905" s="1796">
        <v>1</v>
      </c>
      <c r="E1905" s="1796">
        <v>1</v>
      </c>
      <c r="F1905" s="1797">
        <v>2</v>
      </c>
      <c r="G1905" s="1999" t="s">
        <v>6395</v>
      </c>
      <c r="H1905" s="1794">
        <v>1</v>
      </c>
      <c r="I1905" s="1794">
        <v>1</v>
      </c>
      <c r="J1905" s="2000">
        <v>2</v>
      </c>
      <c r="K1905" s="1798"/>
      <c r="L1905" s="1792">
        <v>13215001100</v>
      </c>
      <c r="M1905" s="1793">
        <v>1</v>
      </c>
      <c r="N1905" s="1793">
        <v>1</v>
      </c>
      <c r="O1905" s="1794">
        <v>2</v>
      </c>
    </row>
    <row r="1906" spans="3:15">
      <c r="C1906" s="1799" t="s">
        <v>6396</v>
      </c>
      <c r="D1906" s="1796">
        <v>1</v>
      </c>
      <c r="E1906" s="1796">
        <v>1</v>
      </c>
      <c r="F1906" s="1797">
        <v>2</v>
      </c>
      <c r="G1906" s="1999" t="s">
        <v>6396</v>
      </c>
      <c r="H1906" s="1794">
        <v>1</v>
      </c>
      <c r="I1906" s="1794">
        <v>1</v>
      </c>
      <c r="J1906" s="2000">
        <v>2</v>
      </c>
      <c r="K1906" s="1798"/>
      <c r="L1906" s="1792">
        <v>13215001200</v>
      </c>
      <c r="M1906" s="1793">
        <v>1</v>
      </c>
      <c r="N1906" s="1793">
        <v>1</v>
      </c>
      <c r="O1906" s="1794">
        <v>2</v>
      </c>
    </row>
    <row r="1907" spans="3:15">
      <c r="C1907" s="1799" t="s">
        <v>6397</v>
      </c>
      <c r="D1907" s="1796">
        <v>0</v>
      </c>
      <c r="E1907" s="1796">
        <v>0</v>
      </c>
      <c r="F1907" s="1797">
        <v>0</v>
      </c>
      <c r="G1907" s="1999" t="s">
        <v>6397</v>
      </c>
      <c r="H1907" s="1794">
        <v>0</v>
      </c>
      <c r="I1907" s="1794">
        <v>0</v>
      </c>
      <c r="J1907" s="2000">
        <v>0</v>
      </c>
      <c r="K1907" s="1798"/>
      <c r="L1907" s="1792">
        <v>13215001400</v>
      </c>
      <c r="M1907" s="1793">
        <v>0</v>
      </c>
      <c r="N1907" s="1793">
        <v>0</v>
      </c>
      <c r="O1907" s="1794">
        <v>0</v>
      </c>
    </row>
    <row r="1908" spans="3:15">
      <c r="C1908" s="1799" t="s">
        <v>6398</v>
      </c>
      <c r="D1908" s="1796">
        <v>0</v>
      </c>
      <c r="E1908" s="1796">
        <v>0</v>
      </c>
      <c r="F1908" s="1797">
        <v>0</v>
      </c>
      <c r="G1908" s="1999" t="s">
        <v>6398</v>
      </c>
      <c r="H1908" s="1794">
        <v>0</v>
      </c>
      <c r="I1908" s="1794" t="s">
        <v>4485</v>
      </c>
      <c r="J1908" s="2000">
        <v>0</v>
      </c>
      <c r="K1908" s="1798"/>
      <c r="L1908" s="1792">
        <v>13215001600</v>
      </c>
      <c r="M1908" s="1793">
        <v>0</v>
      </c>
      <c r="N1908" s="1793">
        <v>0</v>
      </c>
      <c r="O1908" s="1794">
        <v>0</v>
      </c>
    </row>
    <row r="1909" spans="3:15">
      <c r="C1909" s="1799" t="s">
        <v>6399</v>
      </c>
      <c r="D1909" s="1796">
        <v>0</v>
      </c>
      <c r="E1909" s="1796">
        <v>0</v>
      </c>
      <c r="F1909" s="1797">
        <v>0</v>
      </c>
      <c r="G1909" s="1999" t="s">
        <v>6399</v>
      </c>
      <c r="H1909" s="1794">
        <v>0</v>
      </c>
      <c r="I1909" s="1794">
        <v>0</v>
      </c>
      <c r="J1909" s="2000">
        <v>0</v>
      </c>
      <c r="K1909" s="1798"/>
      <c r="L1909" s="1792">
        <v>13215001800</v>
      </c>
      <c r="M1909" s="1793">
        <v>0</v>
      </c>
      <c r="N1909" s="1793">
        <v>0</v>
      </c>
      <c r="O1909" s="1794">
        <v>0</v>
      </c>
    </row>
    <row r="1910" spans="3:15">
      <c r="C1910" s="1799" t="s">
        <v>6400</v>
      </c>
      <c r="D1910" s="1796">
        <v>0</v>
      </c>
      <c r="E1910" s="1796">
        <v>0</v>
      </c>
      <c r="F1910" s="1797">
        <v>0</v>
      </c>
      <c r="G1910" s="1999" t="s">
        <v>6400</v>
      </c>
      <c r="H1910" s="1794">
        <v>0</v>
      </c>
      <c r="I1910" s="1794">
        <v>0</v>
      </c>
      <c r="J1910" s="2000">
        <v>0</v>
      </c>
      <c r="K1910" s="1798"/>
      <c r="L1910" s="1792">
        <v>13215002000</v>
      </c>
      <c r="M1910" s="1793">
        <v>0</v>
      </c>
      <c r="N1910" s="1793">
        <v>0</v>
      </c>
      <c r="O1910" s="1794">
        <v>0</v>
      </c>
    </row>
    <row r="1911" spans="3:15">
      <c r="C1911" s="1799" t="s">
        <v>6401</v>
      </c>
      <c r="D1911" s="1796">
        <v>0</v>
      </c>
      <c r="E1911" s="1796">
        <v>0</v>
      </c>
      <c r="F1911" s="1797">
        <v>0</v>
      </c>
      <c r="G1911" s="1999" t="s">
        <v>6401</v>
      </c>
      <c r="H1911" s="1794">
        <v>0</v>
      </c>
      <c r="I1911" s="1794">
        <v>0</v>
      </c>
      <c r="J1911" s="2000">
        <v>0</v>
      </c>
      <c r="K1911" s="1798"/>
      <c r="L1911" s="1792">
        <v>13215002100</v>
      </c>
      <c r="M1911" s="1793">
        <v>0</v>
      </c>
      <c r="N1911" s="1793">
        <v>0</v>
      </c>
      <c r="O1911" s="1794">
        <v>0</v>
      </c>
    </row>
    <row r="1912" spans="3:15">
      <c r="C1912" s="1799" t="s">
        <v>6402</v>
      </c>
      <c r="D1912" s="1796">
        <v>0</v>
      </c>
      <c r="E1912" s="1796">
        <v>0</v>
      </c>
      <c r="F1912" s="1797">
        <v>0</v>
      </c>
      <c r="G1912" s="1999" t="s">
        <v>6402</v>
      </c>
      <c r="H1912" s="1794">
        <v>0</v>
      </c>
      <c r="I1912" s="1794">
        <v>0</v>
      </c>
      <c r="J1912" s="2000">
        <v>0</v>
      </c>
      <c r="K1912" s="1798"/>
      <c r="L1912" s="1792">
        <v>13215002200</v>
      </c>
      <c r="M1912" s="1793">
        <v>0</v>
      </c>
      <c r="N1912" s="1793">
        <v>0</v>
      </c>
      <c r="O1912" s="1794">
        <v>0</v>
      </c>
    </row>
    <row r="1913" spans="3:15">
      <c r="C1913" s="1799" t="s">
        <v>6403</v>
      </c>
      <c r="D1913" s="1796">
        <v>0</v>
      </c>
      <c r="E1913" s="1796">
        <v>0</v>
      </c>
      <c r="F1913" s="1797">
        <v>0</v>
      </c>
      <c r="G1913" s="1999" t="s">
        <v>6403</v>
      </c>
      <c r="H1913" s="1794">
        <v>0</v>
      </c>
      <c r="I1913" s="1794">
        <v>0</v>
      </c>
      <c r="J1913" s="2000">
        <v>0</v>
      </c>
      <c r="K1913" s="1798"/>
      <c r="L1913" s="1792">
        <v>13215002300</v>
      </c>
      <c r="M1913" s="1793">
        <v>0</v>
      </c>
      <c r="N1913" s="1793">
        <v>0</v>
      </c>
      <c r="O1913" s="1794">
        <v>0</v>
      </c>
    </row>
    <row r="1914" spans="3:15">
      <c r="C1914" s="1799" t="s">
        <v>6404</v>
      </c>
      <c r="D1914" s="1796">
        <v>0</v>
      </c>
      <c r="E1914" s="1796">
        <v>0</v>
      </c>
      <c r="F1914" s="1797">
        <v>0</v>
      </c>
      <c r="G1914" s="1999" t="s">
        <v>6404</v>
      </c>
      <c r="H1914" s="1794">
        <v>0</v>
      </c>
      <c r="I1914" s="1794">
        <v>0</v>
      </c>
      <c r="J1914" s="2000">
        <v>0</v>
      </c>
      <c r="K1914" s="1798"/>
      <c r="L1914" s="1792">
        <v>13215002400</v>
      </c>
      <c r="M1914" s="1793">
        <v>0</v>
      </c>
      <c r="N1914" s="1793">
        <v>0</v>
      </c>
      <c r="O1914" s="1794">
        <v>0</v>
      </c>
    </row>
    <row r="1915" spans="3:15">
      <c r="C1915" s="1799" t="s">
        <v>6405</v>
      </c>
      <c r="D1915" s="1796">
        <v>0</v>
      </c>
      <c r="E1915" s="1796">
        <v>0</v>
      </c>
      <c r="F1915" s="1797">
        <v>0</v>
      </c>
      <c r="G1915" s="1999" t="s">
        <v>6405</v>
      </c>
      <c r="H1915" s="1794">
        <v>0</v>
      </c>
      <c r="I1915" s="1794">
        <v>0</v>
      </c>
      <c r="J1915" s="2000">
        <v>0</v>
      </c>
      <c r="K1915" s="1798"/>
      <c r="L1915" s="1792">
        <v>13215002500</v>
      </c>
      <c r="M1915" s="1793">
        <v>0</v>
      </c>
      <c r="N1915" s="1793">
        <v>0</v>
      </c>
      <c r="O1915" s="1794">
        <v>0</v>
      </c>
    </row>
    <row r="1916" spans="3:15">
      <c r="C1916" s="1799" t="s">
        <v>6406</v>
      </c>
      <c r="D1916" s="1796">
        <v>0</v>
      </c>
      <c r="E1916" s="1796">
        <v>0</v>
      </c>
      <c r="F1916" s="1797">
        <v>0</v>
      </c>
      <c r="G1916" s="1999" t="s">
        <v>6406</v>
      </c>
      <c r="H1916" s="1794">
        <v>0</v>
      </c>
      <c r="I1916" s="1794">
        <v>0</v>
      </c>
      <c r="J1916" s="2000">
        <v>0</v>
      </c>
      <c r="K1916" s="1798"/>
      <c r="L1916" s="1792">
        <v>13215002700</v>
      </c>
      <c r="M1916" s="1793">
        <v>0</v>
      </c>
      <c r="N1916" s="1793">
        <v>0</v>
      </c>
      <c r="O1916" s="1794">
        <v>0</v>
      </c>
    </row>
    <row r="1917" spans="3:15">
      <c r="C1917" s="1799" t="s">
        <v>6407</v>
      </c>
      <c r="D1917" s="1796">
        <v>0</v>
      </c>
      <c r="E1917" s="1796">
        <v>0</v>
      </c>
      <c r="F1917" s="1797">
        <v>0</v>
      </c>
      <c r="G1917" s="1999" t="s">
        <v>6407</v>
      </c>
      <c r="H1917" s="1794">
        <v>0</v>
      </c>
      <c r="I1917" s="1794">
        <v>0</v>
      </c>
      <c r="J1917" s="2000">
        <v>0</v>
      </c>
      <c r="K1917" s="1798"/>
      <c r="L1917" s="1792">
        <v>13215002800</v>
      </c>
      <c r="M1917" s="1793">
        <v>0</v>
      </c>
      <c r="N1917" s="1793">
        <v>0</v>
      </c>
      <c r="O1917" s="1794">
        <v>0</v>
      </c>
    </row>
    <row r="1918" spans="3:15">
      <c r="C1918" s="1799" t="s">
        <v>6408</v>
      </c>
      <c r="D1918" s="1796">
        <v>0</v>
      </c>
      <c r="E1918" s="1796">
        <v>0</v>
      </c>
      <c r="F1918" s="1797">
        <v>0</v>
      </c>
      <c r="G1918" s="1999" t="s">
        <v>6408</v>
      </c>
      <c r="H1918" s="1794">
        <v>0</v>
      </c>
      <c r="I1918" s="1794">
        <v>0</v>
      </c>
      <c r="J1918" s="2000">
        <v>0</v>
      </c>
      <c r="K1918" s="1798"/>
      <c r="L1918" s="1792">
        <v>13215002901</v>
      </c>
      <c r="M1918" s="1793">
        <v>0</v>
      </c>
      <c r="N1918" s="1793">
        <v>0</v>
      </c>
      <c r="O1918" s="1794">
        <v>0</v>
      </c>
    </row>
    <row r="1919" spans="3:15">
      <c r="C1919" s="1799" t="s">
        <v>6409</v>
      </c>
      <c r="D1919" s="1796">
        <v>0</v>
      </c>
      <c r="E1919" s="1796">
        <v>0</v>
      </c>
      <c r="F1919" s="1797">
        <v>0</v>
      </c>
      <c r="G1919" s="1999" t="s">
        <v>6409</v>
      </c>
      <c r="H1919" s="1794">
        <v>0</v>
      </c>
      <c r="I1919" s="1794">
        <v>0</v>
      </c>
      <c r="J1919" s="2000">
        <v>0</v>
      </c>
      <c r="K1919" s="1798"/>
      <c r="L1919" s="1792">
        <v>13215002902</v>
      </c>
      <c r="M1919" s="1793">
        <v>0</v>
      </c>
      <c r="N1919" s="1793">
        <v>0</v>
      </c>
      <c r="O1919" s="1794">
        <v>0</v>
      </c>
    </row>
    <row r="1920" spans="3:15">
      <c r="C1920" s="1799" t="s">
        <v>6410</v>
      </c>
      <c r="D1920" s="1796">
        <v>0</v>
      </c>
      <c r="E1920" s="1796">
        <v>0</v>
      </c>
      <c r="F1920" s="1797">
        <v>0</v>
      </c>
      <c r="G1920" s="1999" t="s">
        <v>6410</v>
      </c>
      <c r="H1920" s="1794">
        <v>0</v>
      </c>
      <c r="I1920" s="1794" t="s">
        <v>4485</v>
      </c>
      <c r="J1920" s="2000">
        <v>0</v>
      </c>
      <c r="K1920" s="1798"/>
      <c r="L1920" s="1792">
        <v>13215003000</v>
      </c>
      <c r="M1920" s="1793">
        <v>0</v>
      </c>
      <c r="N1920" s="1793">
        <v>0</v>
      </c>
      <c r="O1920" s="1794">
        <v>0</v>
      </c>
    </row>
    <row r="1921" spans="3:15">
      <c r="C1921" s="1799" t="s">
        <v>6411</v>
      </c>
      <c r="D1921" s="1796">
        <v>0</v>
      </c>
      <c r="E1921" s="1796">
        <v>0</v>
      </c>
      <c r="F1921" s="1797">
        <v>0</v>
      </c>
      <c r="G1921" s="1999" t="s">
        <v>6411</v>
      </c>
      <c r="H1921" s="1794">
        <v>0</v>
      </c>
      <c r="I1921" s="1794">
        <v>0</v>
      </c>
      <c r="J1921" s="2000">
        <v>0</v>
      </c>
      <c r="K1921" s="1798"/>
      <c r="L1921" s="1792">
        <v>13215003200</v>
      </c>
      <c r="M1921" s="1793">
        <v>0</v>
      </c>
      <c r="N1921" s="1793">
        <v>0</v>
      </c>
      <c r="O1921" s="1794">
        <v>0</v>
      </c>
    </row>
    <row r="1922" spans="3:15">
      <c r="C1922" s="1799" t="s">
        <v>6412</v>
      </c>
      <c r="D1922" s="1796">
        <v>0</v>
      </c>
      <c r="E1922" s="1796">
        <v>0</v>
      </c>
      <c r="F1922" s="1797">
        <v>0</v>
      </c>
      <c r="G1922" s="1999" t="s">
        <v>6412</v>
      </c>
      <c r="H1922" s="1794">
        <v>0</v>
      </c>
      <c r="I1922" s="1794">
        <v>0</v>
      </c>
      <c r="J1922" s="2000">
        <v>0</v>
      </c>
      <c r="K1922" s="1798"/>
      <c r="L1922" s="1792">
        <v>13215003301</v>
      </c>
      <c r="M1922" s="1793">
        <v>0</v>
      </c>
      <c r="N1922" s="1793">
        <v>0</v>
      </c>
      <c r="O1922" s="1794">
        <v>0</v>
      </c>
    </row>
    <row r="1923" spans="3:15">
      <c r="C1923" s="1799" t="s">
        <v>6413</v>
      </c>
      <c r="D1923" s="1796">
        <v>0</v>
      </c>
      <c r="E1923" s="1796">
        <v>0</v>
      </c>
      <c r="F1923" s="1797">
        <v>0</v>
      </c>
      <c r="G1923" s="1999" t="s">
        <v>6413</v>
      </c>
      <c r="H1923" s="1794">
        <v>0</v>
      </c>
      <c r="I1923" s="1794">
        <v>0</v>
      </c>
      <c r="J1923" s="2000">
        <v>0</v>
      </c>
      <c r="K1923" s="1798"/>
      <c r="L1923" s="1792">
        <v>13215003302</v>
      </c>
      <c r="M1923" s="1793">
        <v>0</v>
      </c>
      <c r="N1923" s="1793">
        <v>0</v>
      </c>
      <c r="O1923" s="1794">
        <v>0</v>
      </c>
    </row>
    <row r="1924" spans="3:15">
      <c r="C1924" s="1799" t="s">
        <v>6414</v>
      </c>
      <c r="D1924" s="1796">
        <v>0</v>
      </c>
      <c r="E1924" s="1796">
        <v>0</v>
      </c>
      <c r="F1924" s="1797">
        <v>0</v>
      </c>
      <c r="G1924" s="1999" t="s">
        <v>6414</v>
      </c>
      <c r="H1924" s="1794">
        <v>0</v>
      </c>
      <c r="I1924" s="1794">
        <v>0</v>
      </c>
      <c r="J1924" s="2000">
        <v>0</v>
      </c>
      <c r="K1924" s="1798"/>
      <c r="L1924" s="1792">
        <v>13215003400</v>
      </c>
      <c r="M1924" s="1793">
        <v>0</v>
      </c>
      <c r="N1924" s="1793">
        <v>0</v>
      </c>
      <c r="O1924" s="1794">
        <v>0</v>
      </c>
    </row>
    <row r="1925" spans="3:15">
      <c r="C1925" s="1799" t="s">
        <v>6415</v>
      </c>
      <c r="D1925" s="1796">
        <v>1</v>
      </c>
      <c r="E1925" s="1796">
        <v>1</v>
      </c>
      <c r="F1925" s="1797">
        <v>2</v>
      </c>
      <c r="G1925" s="1999" t="s">
        <v>6415</v>
      </c>
      <c r="H1925" s="1794">
        <v>1</v>
      </c>
      <c r="I1925" s="1794">
        <v>1</v>
      </c>
      <c r="J1925" s="2000">
        <v>2</v>
      </c>
      <c r="K1925" s="1798"/>
      <c r="L1925" s="1792">
        <v>13215010104</v>
      </c>
      <c r="M1925" s="1793">
        <v>1</v>
      </c>
      <c r="N1925" s="1793">
        <v>1</v>
      </c>
      <c r="O1925" s="1794">
        <v>2</v>
      </c>
    </row>
    <row r="1926" spans="3:15">
      <c r="C1926" s="1799" t="s">
        <v>6416</v>
      </c>
      <c r="D1926" s="1796">
        <v>0</v>
      </c>
      <c r="E1926" s="1796">
        <v>1</v>
      </c>
      <c r="F1926" s="1797">
        <v>1</v>
      </c>
      <c r="G1926" s="1999" t="s">
        <v>6416</v>
      </c>
      <c r="H1926" s="1794">
        <v>0</v>
      </c>
      <c r="I1926" s="1794">
        <v>1</v>
      </c>
      <c r="J1926" s="2000">
        <v>1</v>
      </c>
      <c r="K1926" s="1798"/>
      <c r="L1926" s="1792">
        <v>13215010106</v>
      </c>
      <c r="M1926" s="1793">
        <v>0</v>
      </c>
      <c r="N1926" s="1793">
        <v>1</v>
      </c>
      <c r="O1926" s="1794">
        <v>1</v>
      </c>
    </row>
    <row r="1927" spans="3:15">
      <c r="C1927" s="1799" t="s">
        <v>6417</v>
      </c>
      <c r="D1927" s="1796">
        <v>1</v>
      </c>
      <c r="E1927" s="1796">
        <v>1</v>
      </c>
      <c r="F1927" s="1797">
        <v>2</v>
      </c>
      <c r="G1927" s="1999" t="s">
        <v>6417</v>
      </c>
      <c r="H1927" s="1794">
        <v>1</v>
      </c>
      <c r="I1927" s="1794">
        <v>1</v>
      </c>
      <c r="J1927" s="2000">
        <v>2</v>
      </c>
      <c r="K1927" s="1798"/>
      <c r="L1927" s="1792">
        <v>13215010107</v>
      </c>
      <c r="M1927" s="1793">
        <v>1</v>
      </c>
      <c r="N1927" s="1793">
        <v>1</v>
      </c>
      <c r="O1927" s="1794">
        <v>2</v>
      </c>
    </row>
    <row r="1928" spans="3:15">
      <c r="C1928" s="1799" t="s">
        <v>6418</v>
      </c>
      <c r="D1928" s="1796">
        <v>1</v>
      </c>
      <c r="E1928" s="1796">
        <v>1</v>
      </c>
      <c r="F1928" s="1797">
        <v>2</v>
      </c>
      <c r="G1928" s="1999" t="s">
        <v>6418</v>
      </c>
      <c r="H1928" s="1794">
        <v>1</v>
      </c>
      <c r="I1928" s="1794">
        <v>1</v>
      </c>
      <c r="J1928" s="2000">
        <v>2</v>
      </c>
      <c r="K1928" s="1798"/>
      <c r="L1928" s="1792">
        <v>13215010201</v>
      </c>
      <c r="M1928" s="1793">
        <v>1</v>
      </c>
      <c r="N1928" s="1793">
        <v>1</v>
      </c>
      <c r="O1928" s="1794">
        <v>2</v>
      </c>
    </row>
    <row r="1929" spans="3:15">
      <c r="C1929" s="1799" t="s">
        <v>6419</v>
      </c>
      <c r="D1929" s="1796">
        <v>1</v>
      </c>
      <c r="E1929" s="1796">
        <v>1</v>
      </c>
      <c r="F1929" s="1797">
        <v>2</v>
      </c>
      <c r="G1929" s="1999" t="s">
        <v>6419</v>
      </c>
      <c r="H1929" s="1794">
        <v>1</v>
      </c>
      <c r="I1929" s="1794">
        <v>1</v>
      </c>
      <c r="J1929" s="2000">
        <v>2</v>
      </c>
      <c r="K1929" s="1798"/>
      <c r="L1929" s="1792">
        <v>13215010203</v>
      </c>
      <c r="M1929" s="1793">
        <v>1</v>
      </c>
      <c r="N1929" s="1793">
        <v>1</v>
      </c>
      <c r="O1929" s="1794">
        <v>2</v>
      </c>
    </row>
    <row r="1930" spans="3:15">
      <c r="C1930" s="1799" t="s">
        <v>6420</v>
      </c>
      <c r="D1930" s="1796">
        <v>1</v>
      </c>
      <c r="E1930" s="1796">
        <v>1</v>
      </c>
      <c r="F1930" s="1797">
        <v>2</v>
      </c>
      <c r="G1930" s="1999" t="s">
        <v>6420</v>
      </c>
      <c r="H1930" s="1794">
        <v>1</v>
      </c>
      <c r="I1930" s="1794">
        <v>1</v>
      </c>
      <c r="J1930" s="2000">
        <v>2</v>
      </c>
      <c r="K1930" s="1798"/>
      <c r="L1930" s="1792">
        <v>13215010204</v>
      </c>
      <c r="M1930" s="1793">
        <v>1</v>
      </c>
      <c r="N1930" s="1793">
        <v>1</v>
      </c>
      <c r="O1930" s="1794">
        <v>2</v>
      </c>
    </row>
    <row r="1931" spans="3:15">
      <c r="C1931" s="1799" t="s">
        <v>6421</v>
      </c>
      <c r="D1931" s="1796">
        <v>1</v>
      </c>
      <c r="E1931" s="1796">
        <v>1</v>
      </c>
      <c r="F1931" s="1797">
        <v>2</v>
      </c>
      <c r="G1931" s="1999" t="s">
        <v>6421</v>
      </c>
      <c r="H1931" s="1794">
        <v>1</v>
      </c>
      <c r="I1931" s="1794">
        <v>1</v>
      </c>
      <c r="J1931" s="2000">
        <v>2</v>
      </c>
      <c r="K1931" s="1798"/>
      <c r="L1931" s="1792">
        <v>13215010205</v>
      </c>
      <c r="M1931" s="1793">
        <v>1</v>
      </c>
      <c r="N1931" s="1793">
        <v>1</v>
      </c>
      <c r="O1931" s="1794">
        <v>2</v>
      </c>
    </row>
    <row r="1932" spans="3:15">
      <c r="C1932" s="1799" t="s">
        <v>6422</v>
      </c>
      <c r="D1932" s="1796">
        <v>1</v>
      </c>
      <c r="E1932" s="1796">
        <v>1</v>
      </c>
      <c r="F1932" s="1797">
        <v>2</v>
      </c>
      <c r="G1932" s="1999" t="s">
        <v>6422</v>
      </c>
      <c r="H1932" s="1794">
        <v>1</v>
      </c>
      <c r="I1932" s="1794">
        <v>1</v>
      </c>
      <c r="J1932" s="2000">
        <v>2</v>
      </c>
      <c r="K1932" s="1798"/>
      <c r="L1932" s="1792">
        <v>13215010301</v>
      </c>
      <c r="M1932" s="1793">
        <v>1</v>
      </c>
      <c r="N1932" s="1793">
        <v>1</v>
      </c>
      <c r="O1932" s="1794">
        <v>2</v>
      </c>
    </row>
    <row r="1933" spans="3:15">
      <c r="C1933" s="1799" t="s">
        <v>6423</v>
      </c>
      <c r="D1933" s="1796">
        <v>1</v>
      </c>
      <c r="E1933" s="1796">
        <v>1</v>
      </c>
      <c r="F1933" s="1797">
        <v>2</v>
      </c>
      <c r="G1933" s="1999" t="s">
        <v>6423</v>
      </c>
      <c r="H1933" s="1794">
        <v>1</v>
      </c>
      <c r="I1933" s="1794">
        <v>1</v>
      </c>
      <c r="J1933" s="2000">
        <v>2</v>
      </c>
      <c r="K1933" s="1798"/>
      <c r="L1933" s="1792">
        <v>13215010302</v>
      </c>
      <c r="M1933" s="1793">
        <v>1</v>
      </c>
      <c r="N1933" s="1793">
        <v>1</v>
      </c>
      <c r="O1933" s="1794">
        <v>2</v>
      </c>
    </row>
    <row r="1934" spans="3:15">
      <c r="C1934" s="1799" t="s">
        <v>6424</v>
      </c>
      <c r="D1934" s="1796">
        <v>1</v>
      </c>
      <c r="E1934" s="1796">
        <v>1</v>
      </c>
      <c r="F1934" s="1797">
        <v>2</v>
      </c>
      <c r="G1934" s="1999" t="s">
        <v>6424</v>
      </c>
      <c r="H1934" s="1794">
        <v>1</v>
      </c>
      <c r="I1934" s="1794">
        <v>1</v>
      </c>
      <c r="J1934" s="2000">
        <v>2</v>
      </c>
      <c r="K1934" s="1798"/>
      <c r="L1934" s="1792">
        <v>13215010401</v>
      </c>
      <c r="M1934" s="1793">
        <v>1</v>
      </c>
      <c r="N1934" s="1793">
        <v>1</v>
      </c>
      <c r="O1934" s="1794">
        <v>2</v>
      </c>
    </row>
    <row r="1935" spans="3:15">
      <c r="C1935" s="1799" t="s">
        <v>6425</v>
      </c>
      <c r="D1935" s="1796">
        <v>1</v>
      </c>
      <c r="E1935" s="1796">
        <v>0</v>
      </c>
      <c r="F1935" s="1797">
        <v>1</v>
      </c>
      <c r="G1935" s="1999" t="s">
        <v>6425</v>
      </c>
      <c r="H1935" s="1794">
        <v>1</v>
      </c>
      <c r="I1935" s="1794">
        <v>0</v>
      </c>
      <c r="J1935" s="2000">
        <v>0</v>
      </c>
      <c r="K1935" s="1798"/>
      <c r="L1935" s="1792">
        <v>13215010402</v>
      </c>
      <c r="M1935" s="1793">
        <v>1</v>
      </c>
      <c r="N1935" s="1793">
        <v>0</v>
      </c>
      <c r="O1935" s="1794">
        <v>1</v>
      </c>
    </row>
    <row r="1936" spans="3:15">
      <c r="C1936" s="1799" t="s">
        <v>6426</v>
      </c>
      <c r="D1936" s="1796">
        <v>1</v>
      </c>
      <c r="E1936" s="1796">
        <v>0</v>
      </c>
      <c r="F1936" s="1797">
        <v>1</v>
      </c>
      <c r="G1936" s="1999" t="s">
        <v>6426</v>
      </c>
      <c r="H1936" s="1794">
        <v>0</v>
      </c>
      <c r="I1936" s="1794">
        <v>1</v>
      </c>
      <c r="J1936" s="2000">
        <v>1</v>
      </c>
      <c r="K1936" s="1798"/>
      <c r="L1936" s="1792">
        <v>13215010501</v>
      </c>
      <c r="M1936" s="1793">
        <v>1</v>
      </c>
      <c r="N1936" s="1793">
        <v>1</v>
      </c>
      <c r="O1936" s="1794">
        <v>1</v>
      </c>
    </row>
    <row r="1937" spans="3:15">
      <c r="C1937" s="1799" t="s">
        <v>6427</v>
      </c>
      <c r="D1937" s="1796">
        <v>0</v>
      </c>
      <c r="E1937" s="1796">
        <v>0</v>
      </c>
      <c r="F1937" s="1797">
        <v>0</v>
      </c>
      <c r="G1937" s="1999" t="s">
        <v>6427</v>
      </c>
      <c r="H1937" s="1794">
        <v>0</v>
      </c>
      <c r="I1937" s="1794">
        <v>0</v>
      </c>
      <c r="J1937" s="2000">
        <v>0</v>
      </c>
      <c r="K1937" s="1798"/>
      <c r="L1937" s="1792">
        <v>13215010502</v>
      </c>
      <c r="M1937" s="1793">
        <v>0</v>
      </c>
      <c r="N1937" s="1793">
        <v>0</v>
      </c>
      <c r="O1937" s="1794">
        <v>0</v>
      </c>
    </row>
    <row r="1938" spans="3:15">
      <c r="C1938" s="1799" t="s">
        <v>6428</v>
      </c>
      <c r="D1938" s="1796">
        <v>0</v>
      </c>
      <c r="E1938" s="1796">
        <v>0</v>
      </c>
      <c r="F1938" s="1797">
        <v>0</v>
      </c>
      <c r="G1938" s="1999" t="s">
        <v>6428</v>
      </c>
      <c r="H1938" s="1794">
        <v>0</v>
      </c>
      <c r="I1938" s="1794">
        <v>0</v>
      </c>
      <c r="J1938" s="2000">
        <v>0</v>
      </c>
      <c r="K1938" s="1798"/>
      <c r="L1938" s="1792">
        <v>13215010602</v>
      </c>
      <c r="M1938" s="1793">
        <v>0</v>
      </c>
      <c r="N1938" s="1793">
        <v>0</v>
      </c>
      <c r="O1938" s="1794">
        <v>0</v>
      </c>
    </row>
    <row r="1939" spans="3:15">
      <c r="C1939" s="1799" t="s">
        <v>6429</v>
      </c>
      <c r="D1939" s="1796">
        <v>0</v>
      </c>
      <c r="E1939" s="1796">
        <v>0</v>
      </c>
      <c r="F1939" s="1797">
        <v>0</v>
      </c>
      <c r="G1939" s="1999" t="s">
        <v>6429</v>
      </c>
      <c r="H1939" s="1794">
        <v>0</v>
      </c>
      <c r="I1939" s="1794">
        <v>1</v>
      </c>
      <c r="J1939" s="2000">
        <v>1</v>
      </c>
      <c r="K1939" s="1798"/>
      <c r="L1939" s="1792">
        <v>13215010605</v>
      </c>
      <c r="M1939" s="1793">
        <v>0</v>
      </c>
      <c r="N1939" s="1793">
        <v>1</v>
      </c>
      <c r="O1939" s="1794">
        <v>1</v>
      </c>
    </row>
    <row r="1940" spans="3:15">
      <c r="C1940" s="1799" t="s">
        <v>6430</v>
      </c>
      <c r="D1940" s="1796" t="s">
        <v>4485</v>
      </c>
      <c r="E1940" s="1796">
        <v>0</v>
      </c>
      <c r="F1940" s="1797">
        <v>0</v>
      </c>
      <c r="G1940" s="1999" t="s">
        <v>6430</v>
      </c>
      <c r="H1940" s="1794" t="s">
        <v>4485</v>
      </c>
      <c r="I1940" s="1794" t="s">
        <v>4485</v>
      </c>
      <c r="J1940" s="2000">
        <v>0</v>
      </c>
      <c r="K1940" s="1798"/>
      <c r="L1940" s="1792">
        <v>13215010606</v>
      </c>
      <c r="M1940" s="1793">
        <v>0</v>
      </c>
      <c r="N1940" s="1793">
        <v>0</v>
      </c>
      <c r="O1940" s="1794">
        <v>0</v>
      </c>
    </row>
    <row r="1941" spans="3:15">
      <c r="C1941" s="1799" t="s">
        <v>6431</v>
      </c>
      <c r="D1941" s="1796">
        <v>0</v>
      </c>
      <c r="E1941" s="1796">
        <v>0</v>
      </c>
      <c r="F1941" s="1797">
        <v>0</v>
      </c>
      <c r="G1941" s="1999" t="s">
        <v>6431</v>
      </c>
      <c r="H1941" s="1794">
        <v>0</v>
      </c>
      <c r="I1941" s="1794">
        <v>0</v>
      </c>
      <c r="J1941" s="2000">
        <v>0</v>
      </c>
      <c r="K1941" s="1798"/>
      <c r="L1941" s="1792">
        <v>13215010607</v>
      </c>
      <c r="M1941" s="1793">
        <v>0</v>
      </c>
      <c r="N1941" s="1793">
        <v>0</v>
      </c>
      <c r="O1941" s="1794">
        <v>0</v>
      </c>
    </row>
    <row r="1942" spans="3:15">
      <c r="C1942" s="1799" t="s">
        <v>6432</v>
      </c>
      <c r="D1942" s="1796">
        <v>0</v>
      </c>
      <c r="E1942" s="1796">
        <v>0</v>
      </c>
      <c r="F1942" s="1797">
        <v>0</v>
      </c>
      <c r="G1942" s="1999" t="s">
        <v>6432</v>
      </c>
      <c r="H1942" s="1794">
        <v>0</v>
      </c>
      <c r="I1942" s="1794">
        <v>0</v>
      </c>
      <c r="J1942" s="2000">
        <v>0</v>
      </c>
      <c r="K1942" s="1798"/>
      <c r="L1942" s="1792">
        <v>13215010608</v>
      </c>
      <c r="M1942" s="1793">
        <v>0</v>
      </c>
      <c r="N1942" s="1793">
        <v>0</v>
      </c>
      <c r="O1942" s="1794">
        <v>0</v>
      </c>
    </row>
    <row r="1943" spans="3:15">
      <c r="C1943" s="1799" t="s">
        <v>6433</v>
      </c>
      <c r="D1943" s="1796">
        <v>0</v>
      </c>
      <c r="E1943" s="1796">
        <v>0</v>
      </c>
      <c r="F1943" s="1797">
        <v>0</v>
      </c>
      <c r="G1943" s="1999" t="s">
        <v>6433</v>
      </c>
      <c r="H1943" s="1794">
        <v>0</v>
      </c>
      <c r="I1943" s="1794">
        <v>0</v>
      </c>
      <c r="J1943" s="2000">
        <v>0</v>
      </c>
      <c r="K1943" s="1798"/>
      <c r="L1943" s="1792">
        <v>13215010701</v>
      </c>
      <c r="M1943" s="1793">
        <v>0</v>
      </c>
      <c r="N1943" s="1793">
        <v>0</v>
      </c>
      <c r="O1943" s="1794">
        <v>0</v>
      </c>
    </row>
    <row r="1944" spans="3:15">
      <c r="C1944" s="1799" t="s">
        <v>6434</v>
      </c>
      <c r="D1944" s="1796">
        <v>0</v>
      </c>
      <c r="E1944" s="1796">
        <v>0</v>
      </c>
      <c r="F1944" s="1797">
        <v>0</v>
      </c>
      <c r="G1944" s="1999" t="s">
        <v>6434</v>
      </c>
      <c r="H1944" s="1794">
        <v>1</v>
      </c>
      <c r="I1944" s="1794">
        <v>0</v>
      </c>
      <c r="J1944" s="2000">
        <v>0</v>
      </c>
      <c r="K1944" s="1798"/>
      <c r="L1944" s="1792">
        <v>13215010702</v>
      </c>
      <c r="M1944" s="1793">
        <v>1</v>
      </c>
      <c r="N1944" s="1793">
        <v>0</v>
      </c>
      <c r="O1944" s="1794">
        <v>0</v>
      </c>
    </row>
    <row r="1945" spans="3:15">
      <c r="C1945" s="1799" t="s">
        <v>6435</v>
      </c>
      <c r="D1945" s="1796">
        <v>0</v>
      </c>
      <c r="E1945" s="1796">
        <v>0</v>
      </c>
      <c r="F1945" s="1797">
        <v>0</v>
      </c>
      <c r="G1945" s="1999" t="s">
        <v>6435</v>
      </c>
      <c r="H1945" s="1794">
        <v>0</v>
      </c>
      <c r="I1945" s="1794">
        <v>0</v>
      </c>
      <c r="J1945" s="2000">
        <v>0</v>
      </c>
      <c r="K1945" s="1798"/>
      <c r="L1945" s="1792">
        <v>13215010703</v>
      </c>
      <c r="M1945" s="1793">
        <v>0</v>
      </c>
      <c r="N1945" s="1793">
        <v>0</v>
      </c>
      <c r="O1945" s="1794">
        <v>0</v>
      </c>
    </row>
    <row r="1946" spans="3:15">
      <c r="C1946" s="1799" t="s">
        <v>6436</v>
      </c>
      <c r="D1946" s="1796">
        <v>0</v>
      </c>
      <c r="E1946" s="1796">
        <v>1</v>
      </c>
      <c r="F1946" s="1797">
        <v>1</v>
      </c>
      <c r="G1946" s="1999" t="s">
        <v>6436</v>
      </c>
      <c r="H1946" s="1794">
        <v>0</v>
      </c>
      <c r="I1946" s="1794" t="s">
        <v>4485</v>
      </c>
      <c r="J1946" s="2000">
        <v>0</v>
      </c>
      <c r="K1946" s="1798"/>
      <c r="L1946" s="1792">
        <v>13215010801</v>
      </c>
      <c r="M1946" s="1793">
        <v>0</v>
      </c>
      <c r="N1946" s="1793">
        <v>1</v>
      </c>
      <c r="O1946" s="1794">
        <v>1</v>
      </c>
    </row>
    <row r="1947" spans="3:15">
      <c r="C1947" s="1799" t="s">
        <v>6437</v>
      </c>
      <c r="D1947" s="1796">
        <v>0</v>
      </c>
      <c r="E1947" s="1796">
        <v>1</v>
      </c>
      <c r="F1947" s="1797">
        <v>1</v>
      </c>
      <c r="G1947" s="1999" t="s">
        <v>6437</v>
      </c>
      <c r="H1947" s="1794">
        <v>1</v>
      </c>
      <c r="I1947" s="1794" t="s">
        <v>4485</v>
      </c>
      <c r="J1947" s="2000">
        <v>1</v>
      </c>
      <c r="K1947" s="1798"/>
      <c r="L1947" s="1792">
        <v>13215010802</v>
      </c>
      <c r="M1947" s="1793">
        <v>1</v>
      </c>
      <c r="N1947" s="1793">
        <v>1</v>
      </c>
      <c r="O1947" s="1794">
        <v>1</v>
      </c>
    </row>
    <row r="1948" spans="3:15">
      <c r="C1948" s="1799" t="s">
        <v>6438</v>
      </c>
      <c r="D1948" s="1796">
        <v>0</v>
      </c>
      <c r="E1948" s="1796">
        <v>0</v>
      </c>
      <c r="F1948" s="1797">
        <v>0</v>
      </c>
      <c r="G1948" s="1999" t="s">
        <v>6438</v>
      </c>
      <c r="H1948" s="1794">
        <v>0</v>
      </c>
      <c r="I1948" s="1794">
        <v>0</v>
      </c>
      <c r="J1948" s="2000">
        <v>0</v>
      </c>
      <c r="K1948" s="1798"/>
      <c r="L1948" s="1792">
        <v>13215011100</v>
      </c>
      <c r="M1948" s="1793">
        <v>0</v>
      </c>
      <c r="N1948" s="1793">
        <v>0</v>
      </c>
      <c r="O1948" s="1794">
        <v>0</v>
      </c>
    </row>
    <row r="1949" spans="3:15">
      <c r="C1949" s="1799" t="s">
        <v>6439</v>
      </c>
      <c r="D1949" s="1796">
        <v>0</v>
      </c>
      <c r="E1949" s="1796">
        <v>0</v>
      </c>
      <c r="F1949" s="1797">
        <v>0</v>
      </c>
      <c r="G1949" s="1999" t="s">
        <v>6439</v>
      </c>
      <c r="H1949" s="1794">
        <v>0</v>
      </c>
      <c r="I1949" s="1794">
        <v>0</v>
      </c>
      <c r="J1949" s="2000">
        <v>0</v>
      </c>
      <c r="K1949" s="1798"/>
      <c r="L1949" s="1792">
        <v>13215011200</v>
      </c>
      <c r="M1949" s="1793">
        <v>0</v>
      </c>
      <c r="N1949" s="1793">
        <v>0</v>
      </c>
      <c r="O1949" s="1794">
        <v>0</v>
      </c>
    </row>
    <row r="1950" spans="3:15">
      <c r="C1950" s="1799" t="s">
        <v>6440</v>
      </c>
      <c r="D1950" s="1796">
        <v>0</v>
      </c>
      <c r="E1950" s="1796">
        <v>0</v>
      </c>
      <c r="F1950" s="1797">
        <v>0</v>
      </c>
      <c r="G1950" s="1999" t="s">
        <v>6440</v>
      </c>
      <c r="H1950" s="1794">
        <v>0</v>
      </c>
      <c r="I1950" s="1794">
        <v>0</v>
      </c>
      <c r="J1950" s="2000">
        <v>0</v>
      </c>
      <c r="K1950" s="1798"/>
      <c r="L1950" s="1792">
        <v>13215011400</v>
      </c>
      <c r="M1950" s="1793">
        <v>0</v>
      </c>
      <c r="N1950" s="1793">
        <v>0</v>
      </c>
      <c r="O1950" s="1794">
        <v>0</v>
      </c>
    </row>
    <row r="1951" spans="3:15">
      <c r="C1951" s="1799" t="s">
        <v>6441</v>
      </c>
      <c r="D1951" s="1796">
        <v>0</v>
      </c>
      <c r="E1951" s="1796">
        <v>0</v>
      </c>
      <c r="F1951" s="1797">
        <v>0</v>
      </c>
      <c r="G1951" s="1999" t="s">
        <v>6441</v>
      </c>
      <c r="H1951" s="1794">
        <v>0</v>
      </c>
      <c r="I1951" s="1794">
        <v>0</v>
      </c>
      <c r="J1951" s="2000">
        <v>0</v>
      </c>
      <c r="K1951" s="1798"/>
      <c r="L1951" s="1792">
        <v>13215011500</v>
      </c>
      <c r="M1951" s="1793">
        <v>0</v>
      </c>
      <c r="N1951" s="1793">
        <v>0</v>
      </c>
      <c r="O1951" s="1794">
        <v>0</v>
      </c>
    </row>
    <row r="1952" spans="3:15">
      <c r="C1952" s="1799" t="s">
        <v>6442</v>
      </c>
      <c r="D1952" s="1796">
        <v>0</v>
      </c>
      <c r="E1952" s="1796">
        <v>1</v>
      </c>
      <c r="F1952" s="1797">
        <v>1</v>
      </c>
      <c r="G1952" s="1999" t="s">
        <v>6442</v>
      </c>
      <c r="H1952" s="1794">
        <v>0</v>
      </c>
      <c r="I1952" s="1794">
        <v>1</v>
      </c>
      <c r="J1952" s="2000">
        <v>1</v>
      </c>
      <c r="K1952" s="1798"/>
      <c r="L1952" s="1792">
        <v>13217100100</v>
      </c>
      <c r="M1952" s="1793">
        <v>0</v>
      </c>
      <c r="N1952" s="1793">
        <v>1</v>
      </c>
      <c r="O1952" s="1794">
        <v>1</v>
      </c>
    </row>
    <row r="1953" spans="3:15">
      <c r="C1953" s="1799" t="s">
        <v>6443</v>
      </c>
      <c r="D1953" s="1796">
        <v>1</v>
      </c>
      <c r="E1953" s="1796">
        <v>1</v>
      </c>
      <c r="F1953" s="1797">
        <v>2</v>
      </c>
      <c r="G1953" s="1999" t="s">
        <v>6443</v>
      </c>
      <c r="H1953" s="1794">
        <v>1</v>
      </c>
      <c r="I1953" s="1794">
        <v>1</v>
      </c>
      <c r="J1953" s="2000">
        <v>2</v>
      </c>
      <c r="K1953" s="1798"/>
      <c r="L1953" s="1792">
        <v>13217100201</v>
      </c>
      <c r="M1953" s="1793">
        <v>1</v>
      </c>
      <c r="N1953" s="1793">
        <v>1</v>
      </c>
      <c r="O1953" s="1794">
        <v>2</v>
      </c>
    </row>
    <row r="1954" spans="3:15">
      <c r="C1954" s="1799" t="s">
        <v>6444</v>
      </c>
      <c r="D1954" s="1796">
        <v>1</v>
      </c>
      <c r="E1954" s="1796">
        <v>1</v>
      </c>
      <c r="F1954" s="1797">
        <v>2</v>
      </c>
      <c r="G1954" s="1999" t="s">
        <v>6444</v>
      </c>
      <c r="H1954" s="1794">
        <v>1</v>
      </c>
      <c r="I1954" s="1794">
        <v>1</v>
      </c>
      <c r="J1954" s="2000">
        <v>2</v>
      </c>
      <c r="K1954" s="1798"/>
      <c r="L1954" s="1792">
        <v>13217100202</v>
      </c>
      <c r="M1954" s="1793">
        <v>1</v>
      </c>
      <c r="N1954" s="1793">
        <v>1</v>
      </c>
      <c r="O1954" s="1794">
        <v>2</v>
      </c>
    </row>
    <row r="1955" spans="3:15">
      <c r="C1955" s="1799" t="s">
        <v>6445</v>
      </c>
      <c r="D1955" s="1796">
        <v>0</v>
      </c>
      <c r="E1955" s="1796">
        <v>0</v>
      </c>
      <c r="F1955" s="1797">
        <v>0</v>
      </c>
      <c r="G1955" s="1999" t="s">
        <v>6445</v>
      </c>
      <c r="H1955" s="1794">
        <v>0</v>
      </c>
      <c r="I1955" s="1794">
        <v>1</v>
      </c>
      <c r="J1955" s="2000">
        <v>1</v>
      </c>
      <c r="K1955" s="1798"/>
      <c r="L1955" s="1792">
        <v>13217100300</v>
      </c>
      <c r="M1955" s="1793">
        <v>0</v>
      </c>
      <c r="N1955" s="1793">
        <v>1</v>
      </c>
      <c r="O1955" s="1794">
        <v>1</v>
      </c>
    </row>
    <row r="1956" spans="3:15">
      <c r="C1956" s="1799" t="s">
        <v>6446</v>
      </c>
      <c r="D1956" s="1796">
        <v>0</v>
      </c>
      <c r="E1956" s="1796">
        <v>0</v>
      </c>
      <c r="F1956" s="1797">
        <v>0</v>
      </c>
      <c r="G1956" s="1999" t="s">
        <v>6446</v>
      </c>
      <c r="H1956" s="1794">
        <v>0</v>
      </c>
      <c r="I1956" s="1794">
        <v>0</v>
      </c>
      <c r="J1956" s="2000">
        <v>0</v>
      </c>
      <c r="K1956" s="1798"/>
      <c r="L1956" s="1792">
        <v>13217100400</v>
      </c>
      <c r="M1956" s="1793">
        <v>0</v>
      </c>
      <c r="N1956" s="1793">
        <v>0</v>
      </c>
      <c r="O1956" s="1794">
        <v>0</v>
      </c>
    </row>
    <row r="1957" spans="3:15">
      <c r="C1957" s="1799" t="s">
        <v>6447</v>
      </c>
      <c r="D1957" s="1796">
        <v>0</v>
      </c>
      <c r="E1957" s="1796">
        <v>0</v>
      </c>
      <c r="F1957" s="1797">
        <v>0</v>
      </c>
      <c r="G1957" s="1999" t="s">
        <v>6447</v>
      </c>
      <c r="H1957" s="1794">
        <v>0</v>
      </c>
      <c r="I1957" s="1794">
        <v>1</v>
      </c>
      <c r="J1957" s="2000">
        <v>1</v>
      </c>
      <c r="K1957" s="1798"/>
      <c r="L1957" s="1792">
        <v>13217100501</v>
      </c>
      <c r="M1957" s="1793">
        <v>0</v>
      </c>
      <c r="N1957" s="1793">
        <v>1</v>
      </c>
      <c r="O1957" s="1794">
        <v>1</v>
      </c>
    </row>
    <row r="1958" spans="3:15">
      <c r="C1958" s="1799" t="s">
        <v>6448</v>
      </c>
      <c r="D1958" s="1796">
        <v>0</v>
      </c>
      <c r="E1958" s="1796">
        <v>0</v>
      </c>
      <c r="F1958" s="1797">
        <v>0</v>
      </c>
      <c r="G1958" s="1999" t="s">
        <v>6448</v>
      </c>
      <c r="H1958" s="1794">
        <v>0</v>
      </c>
      <c r="I1958" s="1794">
        <v>0</v>
      </c>
      <c r="J1958" s="2000">
        <v>0</v>
      </c>
      <c r="K1958" s="1798"/>
      <c r="L1958" s="1792">
        <v>13217100502</v>
      </c>
      <c r="M1958" s="1793">
        <v>0</v>
      </c>
      <c r="N1958" s="1793">
        <v>0</v>
      </c>
      <c r="O1958" s="1794">
        <v>0</v>
      </c>
    </row>
    <row r="1959" spans="3:15">
      <c r="C1959" s="1799" t="s">
        <v>6449</v>
      </c>
      <c r="D1959" s="1796">
        <v>0</v>
      </c>
      <c r="E1959" s="1796">
        <v>0</v>
      </c>
      <c r="F1959" s="1797">
        <v>0</v>
      </c>
      <c r="G1959" s="1999" t="s">
        <v>6449</v>
      </c>
      <c r="H1959" s="1794">
        <v>0</v>
      </c>
      <c r="I1959" s="1794">
        <v>0</v>
      </c>
      <c r="J1959" s="2000">
        <v>0</v>
      </c>
      <c r="K1959" s="1798"/>
      <c r="L1959" s="1792">
        <v>13217100600</v>
      </c>
      <c r="M1959" s="1793">
        <v>0</v>
      </c>
      <c r="N1959" s="1793">
        <v>0</v>
      </c>
      <c r="O1959" s="1794">
        <v>0</v>
      </c>
    </row>
    <row r="1960" spans="3:15">
      <c r="C1960" s="1799" t="s">
        <v>6450</v>
      </c>
      <c r="D1960" s="1796">
        <v>0</v>
      </c>
      <c r="E1960" s="1796">
        <v>0</v>
      </c>
      <c r="F1960" s="1797">
        <v>0</v>
      </c>
      <c r="G1960" s="1999" t="s">
        <v>6450</v>
      </c>
      <c r="H1960" s="1794">
        <v>0</v>
      </c>
      <c r="I1960" s="1794">
        <v>0</v>
      </c>
      <c r="J1960" s="2000">
        <v>0</v>
      </c>
      <c r="K1960" s="1798"/>
      <c r="L1960" s="1792">
        <v>13217100700</v>
      </c>
      <c r="M1960" s="1793">
        <v>0</v>
      </c>
      <c r="N1960" s="1793">
        <v>0</v>
      </c>
      <c r="O1960" s="1794">
        <v>0</v>
      </c>
    </row>
    <row r="1961" spans="3:15">
      <c r="C1961" s="1799" t="s">
        <v>6451</v>
      </c>
      <c r="D1961" s="1796">
        <v>0</v>
      </c>
      <c r="E1961" s="1796">
        <v>1</v>
      </c>
      <c r="F1961" s="1797">
        <v>1</v>
      </c>
      <c r="G1961" s="1999" t="s">
        <v>6451</v>
      </c>
      <c r="H1961" s="1794">
        <v>0</v>
      </c>
      <c r="I1961" s="1794">
        <v>0</v>
      </c>
      <c r="J1961" s="2000">
        <v>0</v>
      </c>
      <c r="K1961" s="1798"/>
      <c r="L1961" s="1792">
        <v>13217100800</v>
      </c>
      <c r="M1961" s="1793">
        <v>0</v>
      </c>
      <c r="N1961" s="1793">
        <v>1</v>
      </c>
      <c r="O1961" s="1794">
        <v>1</v>
      </c>
    </row>
    <row r="1962" spans="3:15">
      <c r="C1962" s="1799" t="s">
        <v>6452</v>
      </c>
      <c r="D1962" s="1796">
        <v>0</v>
      </c>
      <c r="E1962" s="1796">
        <v>1</v>
      </c>
      <c r="F1962" s="1797">
        <v>1</v>
      </c>
      <c r="G1962" s="1999" t="s">
        <v>6452</v>
      </c>
      <c r="H1962" s="1794">
        <v>0</v>
      </c>
      <c r="I1962" s="1794">
        <v>1</v>
      </c>
      <c r="J1962" s="2000">
        <v>1</v>
      </c>
      <c r="K1962" s="1798"/>
      <c r="L1962" s="1792">
        <v>13217100901</v>
      </c>
      <c r="M1962" s="1793">
        <v>0</v>
      </c>
      <c r="N1962" s="1793">
        <v>1</v>
      </c>
      <c r="O1962" s="1794">
        <v>1</v>
      </c>
    </row>
    <row r="1963" spans="3:15">
      <c r="C1963" s="1799" t="s">
        <v>6453</v>
      </c>
      <c r="D1963" s="1796">
        <v>0</v>
      </c>
      <c r="E1963" s="1796">
        <v>0</v>
      </c>
      <c r="F1963" s="1797">
        <v>0</v>
      </c>
      <c r="G1963" s="1999" t="s">
        <v>6453</v>
      </c>
      <c r="H1963" s="1794">
        <v>0</v>
      </c>
      <c r="I1963" s="1794">
        <v>0</v>
      </c>
      <c r="J1963" s="2000">
        <v>0</v>
      </c>
      <c r="K1963" s="1798"/>
      <c r="L1963" s="1792">
        <v>13217100902</v>
      </c>
      <c r="M1963" s="1793">
        <v>0</v>
      </c>
      <c r="N1963" s="1793">
        <v>0</v>
      </c>
      <c r="O1963" s="1794">
        <v>0</v>
      </c>
    </row>
    <row r="1964" spans="3:15">
      <c r="C1964" s="1799" t="s">
        <v>6454</v>
      </c>
      <c r="D1964" s="1796">
        <v>0</v>
      </c>
      <c r="E1964" s="1796">
        <v>0</v>
      </c>
      <c r="F1964" s="1797">
        <v>0</v>
      </c>
      <c r="G1964" s="1999" t="s">
        <v>6454</v>
      </c>
      <c r="H1964" s="1794">
        <v>0</v>
      </c>
      <c r="I1964" s="1794">
        <v>0</v>
      </c>
      <c r="J1964" s="2000">
        <v>0</v>
      </c>
      <c r="K1964" s="1798"/>
      <c r="L1964" s="1792">
        <v>13217100903</v>
      </c>
      <c r="M1964" s="1793">
        <v>0</v>
      </c>
      <c r="N1964" s="1793">
        <v>0</v>
      </c>
      <c r="O1964" s="1794">
        <v>0</v>
      </c>
    </row>
    <row r="1965" spans="3:15">
      <c r="C1965" s="1799" t="s">
        <v>6455</v>
      </c>
      <c r="D1965" s="1796">
        <v>1</v>
      </c>
      <c r="E1965" s="1796">
        <v>1</v>
      </c>
      <c r="F1965" s="1797">
        <v>2</v>
      </c>
      <c r="G1965" s="1999" t="s">
        <v>6455</v>
      </c>
      <c r="H1965" s="1794">
        <v>1</v>
      </c>
      <c r="I1965" s="1794">
        <v>1</v>
      </c>
      <c r="J1965" s="2000">
        <v>2</v>
      </c>
      <c r="K1965" s="1798"/>
      <c r="L1965" s="1792">
        <v>13219030100</v>
      </c>
      <c r="M1965" s="1793">
        <v>1</v>
      </c>
      <c r="N1965" s="1793">
        <v>1</v>
      </c>
      <c r="O1965" s="1794">
        <v>2</v>
      </c>
    </row>
    <row r="1966" spans="3:15">
      <c r="C1966" s="1799" t="s">
        <v>6456</v>
      </c>
      <c r="D1966" s="1796">
        <v>1</v>
      </c>
      <c r="E1966" s="1796">
        <v>1</v>
      </c>
      <c r="F1966" s="1797">
        <v>2</v>
      </c>
      <c r="G1966" s="1999" t="s">
        <v>6456</v>
      </c>
      <c r="H1966" s="1794">
        <v>1</v>
      </c>
      <c r="I1966" s="1794">
        <v>1</v>
      </c>
      <c r="J1966" s="2000">
        <v>2</v>
      </c>
      <c r="K1966" s="1798"/>
      <c r="L1966" s="1792">
        <v>13219030200</v>
      </c>
      <c r="M1966" s="1793">
        <v>1</v>
      </c>
      <c r="N1966" s="1793">
        <v>1</v>
      </c>
      <c r="O1966" s="1794">
        <v>2</v>
      </c>
    </row>
    <row r="1967" spans="3:15">
      <c r="C1967" s="1799" t="s">
        <v>6457</v>
      </c>
      <c r="D1967" s="1796">
        <v>1</v>
      </c>
      <c r="E1967" s="1796">
        <v>1</v>
      </c>
      <c r="F1967" s="1797">
        <v>2</v>
      </c>
      <c r="G1967" s="1999" t="s">
        <v>6457</v>
      </c>
      <c r="H1967" s="1794">
        <v>1</v>
      </c>
      <c r="I1967" s="1794">
        <v>1</v>
      </c>
      <c r="J1967" s="2000">
        <v>2</v>
      </c>
      <c r="K1967" s="1798"/>
      <c r="L1967" s="1792">
        <v>13219030300</v>
      </c>
      <c r="M1967" s="1793">
        <v>1</v>
      </c>
      <c r="N1967" s="1793">
        <v>1</v>
      </c>
      <c r="O1967" s="1794">
        <v>2</v>
      </c>
    </row>
    <row r="1968" spans="3:15">
      <c r="C1968" s="1799" t="s">
        <v>6458</v>
      </c>
      <c r="D1968" s="1796">
        <v>1</v>
      </c>
      <c r="E1968" s="1796">
        <v>1</v>
      </c>
      <c r="F1968" s="1797">
        <v>2</v>
      </c>
      <c r="G1968" s="1999" t="s">
        <v>6458</v>
      </c>
      <c r="H1968" s="1794">
        <v>1</v>
      </c>
      <c r="I1968" s="1794">
        <v>1</v>
      </c>
      <c r="J1968" s="2000">
        <v>2</v>
      </c>
      <c r="K1968" s="1798"/>
      <c r="L1968" s="1792">
        <v>13219030400</v>
      </c>
      <c r="M1968" s="1793">
        <v>1</v>
      </c>
      <c r="N1968" s="1793">
        <v>1</v>
      </c>
      <c r="O1968" s="1794">
        <v>2</v>
      </c>
    </row>
    <row r="1969" spans="3:15">
      <c r="C1969" s="1799" t="s">
        <v>6459</v>
      </c>
      <c r="D1969" s="1796">
        <v>1</v>
      </c>
      <c r="E1969" s="1796">
        <v>1</v>
      </c>
      <c r="F1969" s="1797">
        <v>2</v>
      </c>
      <c r="G1969" s="1999" t="s">
        <v>6459</v>
      </c>
      <c r="H1969" s="1794">
        <v>1</v>
      </c>
      <c r="I1969" s="1794">
        <v>1</v>
      </c>
      <c r="J1969" s="2000">
        <v>2</v>
      </c>
      <c r="K1969" s="1798"/>
      <c r="L1969" s="1792">
        <v>13219030500</v>
      </c>
      <c r="M1969" s="1793">
        <v>1</v>
      </c>
      <c r="N1969" s="1793">
        <v>1</v>
      </c>
      <c r="O1969" s="1794">
        <v>2</v>
      </c>
    </row>
    <row r="1970" spans="3:15">
      <c r="C1970" s="1799" t="s">
        <v>6460</v>
      </c>
      <c r="D1970" s="1796">
        <v>1</v>
      </c>
      <c r="E1970" s="1796">
        <v>1</v>
      </c>
      <c r="F1970" s="1797">
        <v>2</v>
      </c>
      <c r="G1970" s="1999" t="s">
        <v>6460</v>
      </c>
      <c r="H1970" s="1794">
        <v>1</v>
      </c>
      <c r="I1970" s="1794">
        <v>1</v>
      </c>
      <c r="J1970" s="2000">
        <v>2</v>
      </c>
      <c r="K1970" s="1798"/>
      <c r="L1970" s="1792">
        <v>13219030600</v>
      </c>
      <c r="M1970" s="1793">
        <v>1</v>
      </c>
      <c r="N1970" s="1793">
        <v>1</v>
      </c>
      <c r="O1970" s="1794">
        <v>2</v>
      </c>
    </row>
    <row r="1971" spans="3:15">
      <c r="C1971" s="1799" t="s">
        <v>6461</v>
      </c>
      <c r="D1971" s="1796">
        <v>0</v>
      </c>
      <c r="E1971" s="1796">
        <v>0</v>
      </c>
      <c r="F1971" s="1797">
        <v>0</v>
      </c>
      <c r="G1971" s="1999" t="s">
        <v>6461</v>
      </c>
      <c r="H1971" s="1794">
        <v>0</v>
      </c>
      <c r="I1971" s="1794">
        <v>0</v>
      </c>
      <c r="J1971" s="2000">
        <v>0</v>
      </c>
      <c r="K1971" s="1798"/>
      <c r="L1971" s="1792">
        <v>13221960100</v>
      </c>
      <c r="M1971" s="1793">
        <v>0</v>
      </c>
      <c r="N1971" s="1793">
        <v>0</v>
      </c>
      <c r="O1971" s="1794">
        <v>0</v>
      </c>
    </row>
    <row r="1972" spans="3:15">
      <c r="C1972" s="1799" t="s">
        <v>6462</v>
      </c>
      <c r="D1972" s="1796">
        <v>1</v>
      </c>
      <c r="E1972" s="1796">
        <v>1</v>
      </c>
      <c r="F1972" s="1797">
        <v>2</v>
      </c>
      <c r="G1972" s="1999" t="s">
        <v>6462</v>
      </c>
      <c r="H1972" s="1794">
        <v>1</v>
      </c>
      <c r="I1972" s="1794">
        <v>1</v>
      </c>
      <c r="J1972" s="2000">
        <v>2</v>
      </c>
      <c r="K1972" s="1798"/>
      <c r="L1972" s="1792">
        <v>13221960201</v>
      </c>
      <c r="M1972" s="1793">
        <v>1</v>
      </c>
      <c r="N1972" s="1793">
        <v>1</v>
      </c>
      <c r="O1972" s="1794">
        <v>2</v>
      </c>
    </row>
    <row r="1973" spans="3:15">
      <c r="C1973" s="1799" t="s">
        <v>6463</v>
      </c>
      <c r="D1973" s="1796">
        <v>0</v>
      </c>
      <c r="E1973" s="1796">
        <v>0</v>
      </c>
      <c r="F1973" s="1797">
        <v>0</v>
      </c>
      <c r="G1973" s="1999" t="s">
        <v>6463</v>
      </c>
      <c r="H1973" s="1794">
        <v>0</v>
      </c>
      <c r="I1973" s="1794">
        <v>1</v>
      </c>
      <c r="J1973" s="2000">
        <v>1</v>
      </c>
      <c r="K1973" s="1798"/>
      <c r="L1973" s="1792">
        <v>13221960202</v>
      </c>
      <c r="M1973" s="1793">
        <v>0</v>
      </c>
      <c r="N1973" s="1793">
        <v>1</v>
      </c>
      <c r="O1973" s="1794">
        <v>1</v>
      </c>
    </row>
    <row r="1974" spans="3:15">
      <c r="C1974" s="1799" t="s">
        <v>6464</v>
      </c>
      <c r="D1974" s="1796">
        <v>0</v>
      </c>
      <c r="E1974" s="1796">
        <v>0</v>
      </c>
      <c r="F1974" s="1797">
        <v>0</v>
      </c>
      <c r="G1974" s="1999" t="s">
        <v>6464</v>
      </c>
      <c r="H1974" s="1794">
        <v>0</v>
      </c>
      <c r="I1974" s="1794">
        <v>0</v>
      </c>
      <c r="J1974" s="2000">
        <v>0</v>
      </c>
      <c r="K1974" s="1798"/>
      <c r="L1974" s="1792">
        <v>13221960300</v>
      </c>
      <c r="M1974" s="1793">
        <v>0</v>
      </c>
      <c r="N1974" s="1793">
        <v>0</v>
      </c>
      <c r="O1974" s="1794">
        <v>0</v>
      </c>
    </row>
    <row r="1975" spans="3:15">
      <c r="C1975" s="1799" t="s">
        <v>6465</v>
      </c>
      <c r="D1975" s="1796">
        <v>1</v>
      </c>
      <c r="E1975" s="1796">
        <v>1</v>
      </c>
      <c r="F1975" s="1797">
        <v>2</v>
      </c>
      <c r="G1975" s="1999" t="s">
        <v>6465</v>
      </c>
      <c r="H1975" s="1794">
        <v>1</v>
      </c>
      <c r="I1975" s="1794">
        <v>1</v>
      </c>
      <c r="J1975" s="2000">
        <v>2</v>
      </c>
      <c r="K1975" s="1798"/>
      <c r="L1975" s="1792">
        <v>13223120101</v>
      </c>
      <c r="M1975" s="1793">
        <v>1</v>
      </c>
      <c r="N1975" s="1793">
        <v>1</v>
      </c>
      <c r="O1975" s="1794">
        <v>2</v>
      </c>
    </row>
    <row r="1976" spans="3:15">
      <c r="C1976" s="1799" t="s">
        <v>6466</v>
      </c>
      <c r="D1976" s="1796">
        <v>1</v>
      </c>
      <c r="E1976" s="1796">
        <v>1</v>
      </c>
      <c r="F1976" s="1797">
        <v>2</v>
      </c>
      <c r="G1976" s="1999" t="s">
        <v>6466</v>
      </c>
      <c r="H1976" s="1794">
        <v>1</v>
      </c>
      <c r="I1976" s="1794">
        <v>1</v>
      </c>
      <c r="J1976" s="2000">
        <v>2</v>
      </c>
      <c r="K1976" s="1798"/>
      <c r="L1976" s="1792">
        <v>13223120102</v>
      </c>
      <c r="M1976" s="1793">
        <v>1</v>
      </c>
      <c r="N1976" s="1793">
        <v>1</v>
      </c>
      <c r="O1976" s="1794">
        <v>2</v>
      </c>
    </row>
    <row r="1977" spans="3:15">
      <c r="C1977" s="1799" t="s">
        <v>6467</v>
      </c>
      <c r="D1977" s="1796">
        <v>1</v>
      </c>
      <c r="E1977" s="1796">
        <v>1</v>
      </c>
      <c r="F1977" s="1797">
        <v>2</v>
      </c>
      <c r="G1977" s="1999" t="s">
        <v>6467</v>
      </c>
      <c r="H1977" s="1794">
        <v>1</v>
      </c>
      <c r="I1977" s="1794" t="s">
        <v>4485</v>
      </c>
      <c r="J1977" s="2000">
        <v>1</v>
      </c>
      <c r="K1977" s="1798"/>
      <c r="L1977" s="1792">
        <v>13223120103</v>
      </c>
      <c r="M1977" s="1793">
        <v>1</v>
      </c>
      <c r="N1977" s="1793">
        <v>1</v>
      </c>
      <c r="O1977" s="1794">
        <v>2</v>
      </c>
    </row>
    <row r="1978" spans="3:15">
      <c r="C1978" s="1799" t="s">
        <v>6468</v>
      </c>
      <c r="D1978" s="1796">
        <v>1</v>
      </c>
      <c r="E1978" s="1796">
        <v>1</v>
      </c>
      <c r="F1978" s="1797">
        <v>2</v>
      </c>
      <c r="G1978" s="1999" t="s">
        <v>6468</v>
      </c>
      <c r="H1978" s="1794">
        <v>1</v>
      </c>
      <c r="I1978" s="1794" t="s">
        <v>4485</v>
      </c>
      <c r="J1978" s="2000">
        <v>1</v>
      </c>
      <c r="K1978" s="1798"/>
      <c r="L1978" s="1792">
        <v>13223120104</v>
      </c>
      <c r="M1978" s="1793">
        <v>1</v>
      </c>
      <c r="N1978" s="1793">
        <v>1</v>
      </c>
      <c r="O1978" s="1794">
        <v>2</v>
      </c>
    </row>
    <row r="1979" spans="3:15">
      <c r="C1979" s="1799" t="s">
        <v>6469</v>
      </c>
      <c r="D1979" s="1796">
        <v>1</v>
      </c>
      <c r="E1979" s="1796">
        <v>1</v>
      </c>
      <c r="F1979" s="1797">
        <v>2</v>
      </c>
      <c r="G1979" s="1999" t="s">
        <v>6469</v>
      </c>
      <c r="H1979" s="1794">
        <v>1</v>
      </c>
      <c r="I1979" s="1794">
        <v>1</v>
      </c>
      <c r="J1979" s="2000">
        <v>2</v>
      </c>
      <c r="K1979" s="1798"/>
      <c r="L1979" s="1792">
        <v>13223120202</v>
      </c>
      <c r="M1979" s="1793">
        <v>1</v>
      </c>
      <c r="N1979" s="1793">
        <v>1</v>
      </c>
      <c r="O1979" s="1794">
        <v>2</v>
      </c>
    </row>
    <row r="1980" spans="3:15">
      <c r="C1980" s="1799" t="s">
        <v>6470</v>
      </c>
      <c r="D1980" s="1796">
        <v>1</v>
      </c>
      <c r="E1980" s="1796">
        <v>1</v>
      </c>
      <c r="F1980" s="1797">
        <v>2</v>
      </c>
      <c r="G1980" s="1999" t="s">
        <v>6470</v>
      </c>
      <c r="H1980" s="1794">
        <v>1</v>
      </c>
      <c r="I1980" s="1794">
        <v>1</v>
      </c>
      <c r="J1980" s="2000">
        <v>2</v>
      </c>
      <c r="K1980" s="1798"/>
      <c r="L1980" s="1792">
        <v>13223120203</v>
      </c>
      <c r="M1980" s="1793">
        <v>1</v>
      </c>
      <c r="N1980" s="1793">
        <v>1</v>
      </c>
      <c r="O1980" s="1794">
        <v>2</v>
      </c>
    </row>
    <row r="1981" spans="3:15">
      <c r="C1981" s="1799" t="s">
        <v>6471</v>
      </c>
      <c r="D1981" s="1796">
        <v>1</v>
      </c>
      <c r="E1981" s="1796">
        <v>1</v>
      </c>
      <c r="F1981" s="1797">
        <v>2</v>
      </c>
      <c r="G1981" s="1999" t="s">
        <v>6471</v>
      </c>
      <c r="H1981" s="1794">
        <v>1</v>
      </c>
      <c r="I1981" s="1794">
        <v>1</v>
      </c>
      <c r="J1981" s="2000">
        <v>2</v>
      </c>
      <c r="K1981" s="1798"/>
      <c r="L1981" s="1792">
        <v>13223120204</v>
      </c>
      <c r="M1981" s="1793">
        <v>1</v>
      </c>
      <c r="N1981" s="1793">
        <v>1</v>
      </c>
      <c r="O1981" s="1794">
        <v>2</v>
      </c>
    </row>
    <row r="1982" spans="3:15">
      <c r="C1982" s="1799" t="s">
        <v>6472</v>
      </c>
      <c r="D1982" s="1796">
        <v>1</v>
      </c>
      <c r="E1982" s="1796">
        <v>0</v>
      </c>
      <c r="F1982" s="1797">
        <v>1</v>
      </c>
      <c r="G1982" s="1999" t="s">
        <v>6472</v>
      </c>
      <c r="H1982" s="1794">
        <v>1</v>
      </c>
      <c r="I1982" s="1794">
        <v>1</v>
      </c>
      <c r="J1982" s="2000">
        <v>2</v>
      </c>
      <c r="K1982" s="1798"/>
      <c r="L1982" s="1792">
        <v>13223120301</v>
      </c>
      <c r="M1982" s="1793">
        <v>1</v>
      </c>
      <c r="N1982" s="1793">
        <v>1</v>
      </c>
      <c r="O1982" s="1794">
        <v>2</v>
      </c>
    </row>
    <row r="1983" spans="3:15">
      <c r="C1983" s="1799" t="s">
        <v>6473</v>
      </c>
      <c r="D1983" s="1796">
        <v>1</v>
      </c>
      <c r="E1983" s="1796">
        <v>0</v>
      </c>
      <c r="F1983" s="1797">
        <v>1</v>
      </c>
      <c r="G1983" s="1999" t="s">
        <v>6473</v>
      </c>
      <c r="H1983" s="1794">
        <v>1</v>
      </c>
      <c r="I1983" s="1794">
        <v>0</v>
      </c>
      <c r="J1983" s="2000">
        <v>1</v>
      </c>
      <c r="K1983" s="1798"/>
      <c r="L1983" s="1792">
        <v>13223120302</v>
      </c>
      <c r="M1983" s="1793">
        <v>1</v>
      </c>
      <c r="N1983" s="1793">
        <v>0</v>
      </c>
      <c r="O1983" s="1794">
        <v>1</v>
      </c>
    </row>
    <row r="1984" spans="3:15">
      <c r="C1984" s="1799" t="s">
        <v>6474</v>
      </c>
      <c r="D1984" s="1796">
        <v>1</v>
      </c>
      <c r="E1984" s="1796">
        <v>1</v>
      </c>
      <c r="F1984" s="1797">
        <v>2</v>
      </c>
      <c r="G1984" s="1999" t="s">
        <v>6474</v>
      </c>
      <c r="H1984" s="1794">
        <v>0</v>
      </c>
      <c r="I1984" s="1794">
        <v>0</v>
      </c>
      <c r="J1984" s="2000">
        <v>0</v>
      </c>
      <c r="K1984" s="1798"/>
      <c r="L1984" s="1792">
        <v>13223120303</v>
      </c>
      <c r="M1984" s="1793">
        <v>1</v>
      </c>
      <c r="N1984" s="1793">
        <v>1</v>
      </c>
      <c r="O1984" s="1794">
        <v>2</v>
      </c>
    </row>
    <row r="1985" spans="3:15">
      <c r="C1985" s="1799" t="s">
        <v>6475</v>
      </c>
      <c r="D1985" s="1796">
        <v>0</v>
      </c>
      <c r="E1985" s="1796">
        <v>1</v>
      </c>
      <c r="F1985" s="1797">
        <v>1</v>
      </c>
      <c r="G1985" s="1999" t="s">
        <v>6475</v>
      </c>
      <c r="H1985" s="1794">
        <v>1</v>
      </c>
      <c r="I1985" s="1794">
        <v>1</v>
      </c>
      <c r="J1985" s="2000">
        <v>2</v>
      </c>
      <c r="K1985" s="1798"/>
      <c r="L1985" s="1792">
        <v>13223120400</v>
      </c>
      <c r="M1985" s="1793">
        <v>1</v>
      </c>
      <c r="N1985" s="1793">
        <v>1</v>
      </c>
      <c r="O1985" s="1794">
        <v>2</v>
      </c>
    </row>
    <row r="1986" spans="3:15">
      <c r="C1986" s="1799" t="s">
        <v>6476</v>
      </c>
      <c r="D1986" s="1796">
        <v>1</v>
      </c>
      <c r="E1986" s="1796">
        <v>1</v>
      </c>
      <c r="F1986" s="1797">
        <v>2</v>
      </c>
      <c r="G1986" s="1999" t="s">
        <v>6476</v>
      </c>
      <c r="H1986" s="1794">
        <v>1</v>
      </c>
      <c r="I1986" s="1794">
        <v>1</v>
      </c>
      <c r="J1986" s="2000">
        <v>1</v>
      </c>
      <c r="K1986" s="1798"/>
      <c r="L1986" s="1792">
        <v>13223120501</v>
      </c>
      <c r="M1986" s="1793">
        <v>1</v>
      </c>
      <c r="N1986" s="1793">
        <v>1</v>
      </c>
      <c r="O1986" s="1794">
        <v>2</v>
      </c>
    </row>
    <row r="1987" spans="3:15">
      <c r="C1987" s="1799" t="s">
        <v>6477</v>
      </c>
      <c r="D1987" s="1796">
        <v>1</v>
      </c>
      <c r="E1987" s="1796">
        <v>1</v>
      </c>
      <c r="F1987" s="1797">
        <v>2</v>
      </c>
      <c r="G1987" s="1999" t="s">
        <v>6477</v>
      </c>
      <c r="H1987" s="1794">
        <v>1</v>
      </c>
      <c r="I1987" s="1794">
        <v>0</v>
      </c>
      <c r="J1987" s="2000">
        <v>1</v>
      </c>
      <c r="K1987" s="1798"/>
      <c r="L1987" s="1792">
        <v>13223120502</v>
      </c>
      <c r="M1987" s="1793">
        <v>1</v>
      </c>
      <c r="N1987" s="1793">
        <v>1</v>
      </c>
      <c r="O1987" s="1794">
        <v>2</v>
      </c>
    </row>
    <row r="1988" spans="3:15">
      <c r="C1988" s="1799" t="s">
        <v>6478</v>
      </c>
      <c r="D1988" s="1796">
        <v>1</v>
      </c>
      <c r="E1988" s="1796">
        <v>1</v>
      </c>
      <c r="F1988" s="1797">
        <v>2</v>
      </c>
      <c r="G1988" s="1999" t="s">
        <v>6478</v>
      </c>
      <c r="H1988" s="1794">
        <v>0</v>
      </c>
      <c r="I1988" s="1794">
        <v>1</v>
      </c>
      <c r="J1988" s="2000">
        <v>1</v>
      </c>
      <c r="K1988" s="1798"/>
      <c r="L1988" s="1792">
        <v>13223120503</v>
      </c>
      <c r="M1988" s="1793">
        <v>1</v>
      </c>
      <c r="N1988" s="1793">
        <v>1</v>
      </c>
      <c r="O1988" s="1794">
        <v>2</v>
      </c>
    </row>
    <row r="1989" spans="3:15">
      <c r="C1989" s="1799" t="s">
        <v>6479</v>
      </c>
      <c r="D1989" s="1796">
        <v>1</v>
      </c>
      <c r="E1989" s="1796">
        <v>1</v>
      </c>
      <c r="F1989" s="1797">
        <v>2</v>
      </c>
      <c r="G1989" s="1999" t="s">
        <v>6479</v>
      </c>
      <c r="H1989" s="1794">
        <v>1</v>
      </c>
      <c r="I1989" s="1794">
        <v>0</v>
      </c>
      <c r="J1989" s="2000">
        <v>1</v>
      </c>
      <c r="K1989" s="1798"/>
      <c r="L1989" s="1792">
        <v>13223120601</v>
      </c>
      <c r="M1989" s="1793">
        <v>1</v>
      </c>
      <c r="N1989" s="1793">
        <v>1</v>
      </c>
      <c r="O1989" s="1794">
        <v>2</v>
      </c>
    </row>
    <row r="1990" spans="3:15">
      <c r="C1990" s="1799" t="s">
        <v>6480</v>
      </c>
      <c r="D1990" s="1796">
        <v>1</v>
      </c>
      <c r="E1990" s="1796">
        <v>1</v>
      </c>
      <c r="F1990" s="1797">
        <v>2</v>
      </c>
      <c r="G1990" s="1999" t="s">
        <v>6480</v>
      </c>
      <c r="H1990" s="1794">
        <v>1</v>
      </c>
      <c r="I1990" s="1794" t="s">
        <v>4485</v>
      </c>
      <c r="J1990" s="2000">
        <v>1</v>
      </c>
      <c r="K1990" s="1798"/>
      <c r="L1990" s="1792">
        <v>13223120602</v>
      </c>
      <c r="M1990" s="1793">
        <v>1</v>
      </c>
      <c r="N1990" s="1793">
        <v>1</v>
      </c>
      <c r="O1990" s="1794">
        <v>2</v>
      </c>
    </row>
    <row r="1991" spans="3:15">
      <c r="C1991" s="1799" t="s">
        <v>6481</v>
      </c>
      <c r="D1991" s="1796">
        <v>1</v>
      </c>
      <c r="E1991" s="1796">
        <v>1</v>
      </c>
      <c r="F1991" s="1797">
        <v>2</v>
      </c>
      <c r="G1991" s="1999" t="s">
        <v>6481</v>
      </c>
      <c r="H1991" s="1794">
        <v>0</v>
      </c>
      <c r="I1991" s="1794">
        <v>1</v>
      </c>
      <c r="J1991" s="2000">
        <v>1</v>
      </c>
      <c r="K1991" s="1798"/>
      <c r="L1991" s="1792">
        <v>13223120603</v>
      </c>
      <c r="M1991" s="1793">
        <v>1</v>
      </c>
      <c r="N1991" s="1793">
        <v>1</v>
      </c>
      <c r="O1991" s="1794">
        <v>2</v>
      </c>
    </row>
    <row r="1992" spans="3:15">
      <c r="C1992" s="1799" t="s">
        <v>6482</v>
      </c>
      <c r="D1992" s="1796">
        <v>1</v>
      </c>
      <c r="E1992" s="1796">
        <v>1</v>
      </c>
      <c r="F1992" s="1797">
        <v>2</v>
      </c>
      <c r="G1992" s="1999" t="s">
        <v>6482</v>
      </c>
      <c r="H1992" s="1794">
        <v>1</v>
      </c>
      <c r="I1992" s="1794">
        <v>1</v>
      </c>
      <c r="J1992" s="2000">
        <v>2</v>
      </c>
      <c r="K1992" s="1798"/>
      <c r="L1992" s="1792">
        <v>13223120604</v>
      </c>
      <c r="M1992" s="1793">
        <v>1</v>
      </c>
      <c r="N1992" s="1793">
        <v>1</v>
      </c>
      <c r="O1992" s="1794">
        <v>2</v>
      </c>
    </row>
    <row r="1993" spans="3:15">
      <c r="C1993" s="1799" t="s">
        <v>6483</v>
      </c>
      <c r="D1993" s="1796">
        <v>1</v>
      </c>
      <c r="E1993" s="1796">
        <v>1</v>
      </c>
      <c r="F1993" s="1797">
        <v>2</v>
      </c>
      <c r="G1993" s="1999" t="s">
        <v>6483</v>
      </c>
      <c r="H1993" s="1794">
        <v>1</v>
      </c>
      <c r="I1993" s="1794">
        <v>0</v>
      </c>
      <c r="J1993" s="2000">
        <v>1</v>
      </c>
      <c r="K1993" s="1798"/>
      <c r="L1993" s="1792">
        <v>13223120605</v>
      </c>
      <c r="M1993" s="1793">
        <v>1</v>
      </c>
      <c r="N1993" s="1793">
        <v>1</v>
      </c>
      <c r="O1993" s="1794">
        <v>2</v>
      </c>
    </row>
    <row r="1994" spans="3:15">
      <c r="C1994" s="1799" t="s">
        <v>6484</v>
      </c>
      <c r="D1994" s="1796">
        <v>1</v>
      </c>
      <c r="E1994" s="1796">
        <v>1</v>
      </c>
      <c r="F1994" s="1797">
        <v>2</v>
      </c>
      <c r="G1994" s="1999" t="s">
        <v>6484</v>
      </c>
      <c r="H1994" s="1794">
        <v>1</v>
      </c>
      <c r="I1994" s="1794">
        <v>1</v>
      </c>
      <c r="J1994" s="2000">
        <v>2</v>
      </c>
      <c r="K1994" s="1798"/>
      <c r="L1994" s="1792">
        <v>13225040101</v>
      </c>
      <c r="M1994" s="1793">
        <v>1</v>
      </c>
      <c r="N1994" s="1793">
        <v>1</v>
      </c>
      <c r="O1994" s="1794">
        <v>2</v>
      </c>
    </row>
    <row r="1995" spans="3:15">
      <c r="C1995" s="1799" t="s">
        <v>6485</v>
      </c>
      <c r="D1995" s="1796">
        <v>1</v>
      </c>
      <c r="E1995" s="1796">
        <v>1</v>
      </c>
      <c r="F1995" s="1797">
        <v>2</v>
      </c>
      <c r="G1995" s="1999" t="s">
        <v>6485</v>
      </c>
      <c r="H1995" s="1794">
        <v>0</v>
      </c>
      <c r="I1995" s="1794">
        <v>1</v>
      </c>
      <c r="J1995" s="2000">
        <v>1</v>
      </c>
      <c r="K1995" s="1798"/>
      <c r="L1995" s="1792">
        <v>13225040102</v>
      </c>
      <c r="M1995" s="1793">
        <v>1</v>
      </c>
      <c r="N1995" s="1793">
        <v>1</v>
      </c>
      <c r="O1995" s="1794">
        <v>2</v>
      </c>
    </row>
    <row r="1996" spans="3:15">
      <c r="C1996" s="1799" t="s">
        <v>6486</v>
      </c>
      <c r="D1996" s="1796">
        <v>0</v>
      </c>
      <c r="E1996" s="1796">
        <v>0</v>
      </c>
      <c r="F1996" s="1797">
        <v>0</v>
      </c>
      <c r="G1996" s="1999" t="s">
        <v>6486</v>
      </c>
      <c r="H1996" s="1794">
        <v>0</v>
      </c>
      <c r="I1996" s="1794">
        <v>0</v>
      </c>
      <c r="J1996" s="2000">
        <v>0</v>
      </c>
      <c r="K1996" s="1798"/>
      <c r="L1996" s="1792">
        <v>13225040200</v>
      </c>
      <c r="M1996" s="1793">
        <v>0</v>
      </c>
      <c r="N1996" s="1793">
        <v>0</v>
      </c>
      <c r="O1996" s="1794">
        <v>0</v>
      </c>
    </row>
    <row r="1997" spans="3:15">
      <c r="C1997" s="1799" t="s">
        <v>6487</v>
      </c>
      <c r="D1997" s="1796">
        <v>1</v>
      </c>
      <c r="E1997" s="1796">
        <v>0</v>
      </c>
      <c r="F1997" s="1797">
        <v>1</v>
      </c>
      <c r="G1997" s="1999" t="s">
        <v>6487</v>
      </c>
      <c r="H1997" s="1794">
        <v>0</v>
      </c>
      <c r="I1997" s="1794">
        <v>0</v>
      </c>
      <c r="J1997" s="2000">
        <v>0</v>
      </c>
      <c r="K1997" s="1798"/>
      <c r="L1997" s="1792">
        <v>13225040301</v>
      </c>
      <c r="M1997" s="1793">
        <v>1</v>
      </c>
      <c r="N1997" s="1793">
        <v>0</v>
      </c>
      <c r="O1997" s="1794">
        <v>1</v>
      </c>
    </row>
    <row r="1998" spans="3:15">
      <c r="C1998" s="1799" t="s">
        <v>6488</v>
      </c>
      <c r="D1998" s="1796">
        <v>0</v>
      </c>
      <c r="E1998" s="1796">
        <v>0</v>
      </c>
      <c r="F1998" s="1797">
        <v>0</v>
      </c>
      <c r="G1998" s="1999" t="s">
        <v>6488</v>
      </c>
      <c r="H1998" s="1794">
        <v>0</v>
      </c>
      <c r="I1998" s="1794">
        <v>0</v>
      </c>
      <c r="J1998" s="2000">
        <v>0</v>
      </c>
      <c r="K1998" s="1798"/>
      <c r="L1998" s="1792">
        <v>13225040302</v>
      </c>
      <c r="M1998" s="1793">
        <v>0</v>
      </c>
      <c r="N1998" s="1793">
        <v>0</v>
      </c>
      <c r="O1998" s="1794">
        <v>0</v>
      </c>
    </row>
    <row r="1999" spans="3:15">
      <c r="C1999" s="1799" t="s">
        <v>6489</v>
      </c>
      <c r="D1999" s="1796">
        <v>0</v>
      </c>
      <c r="E1999" s="1796">
        <v>0</v>
      </c>
      <c r="F1999" s="1797">
        <v>0</v>
      </c>
      <c r="G1999" s="1999" t="s">
        <v>6489</v>
      </c>
      <c r="H1999" s="1794">
        <v>0</v>
      </c>
      <c r="I1999" s="1794" t="s">
        <v>4485</v>
      </c>
      <c r="J1999" s="2000">
        <v>0</v>
      </c>
      <c r="K1999" s="1798"/>
      <c r="L1999" s="1792">
        <v>13225040400</v>
      </c>
      <c r="M1999" s="1793">
        <v>0</v>
      </c>
      <c r="N1999" s="1793">
        <v>0</v>
      </c>
      <c r="O1999" s="1794">
        <v>0</v>
      </c>
    </row>
    <row r="2000" spans="3:15">
      <c r="C2000" s="1799" t="s">
        <v>6490</v>
      </c>
      <c r="D2000" s="1796">
        <v>1</v>
      </c>
      <c r="E2000" s="1796">
        <v>1</v>
      </c>
      <c r="F2000" s="1797">
        <v>2</v>
      </c>
      <c r="G2000" s="1999" t="s">
        <v>6490</v>
      </c>
      <c r="H2000" s="1794">
        <v>1</v>
      </c>
      <c r="I2000" s="1794">
        <v>1</v>
      </c>
      <c r="J2000" s="2000">
        <v>2</v>
      </c>
      <c r="K2000" s="1798"/>
      <c r="L2000" s="1792">
        <v>13227050100</v>
      </c>
      <c r="M2000" s="1793">
        <v>1</v>
      </c>
      <c r="N2000" s="1793">
        <v>1</v>
      </c>
      <c r="O2000" s="1794">
        <v>2</v>
      </c>
    </row>
    <row r="2001" spans="3:15">
      <c r="C2001" s="1799" t="s">
        <v>6491</v>
      </c>
      <c r="D2001" s="1796">
        <v>0</v>
      </c>
      <c r="E2001" s="1796">
        <v>0</v>
      </c>
      <c r="F2001" s="1797">
        <v>0</v>
      </c>
      <c r="G2001" s="1999" t="s">
        <v>6491</v>
      </c>
      <c r="H2001" s="1794">
        <v>0</v>
      </c>
      <c r="I2001" s="1794">
        <v>0</v>
      </c>
      <c r="J2001" s="2000">
        <v>0</v>
      </c>
      <c r="K2001" s="1798"/>
      <c r="L2001" s="1792">
        <v>13227050200</v>
      </c>
      <c r="M2001" s="1793">
        <v>0</v>
      </c>
      <c r="N2001" s="1793">
        <v>0</v>
      </c>
      <c r="O2001" s="1794">
        <v>0</v>
      </c>
    </row>
    <row r="2002" spans="3:15">
      <c r="C2002" s="1799" t="s">
        <v>6492</v>
      </c>
      <c r="D2002" s="1796">
        <v>0</v>
      </c>
      <c r="E2002" s="1796">
        <v>1</v>
      </c>
      <c r="F2002" s="1797">
        <v>1</v>
      </c>
      <c r="G2002" s="1999" t="s">
        <v>6492</v>
      </c>
      <c r="H2002" s="1794">
        <v>0</v>
      </c>
      <c r="I2002" s="1794">
        <v>0</v>
      </c>
      <c r="J2002" s="2000">
        <v>0</v>
      </c>
      <c r="K2002" s="1798"/>
      <c r="L2002" s="1792">
        <v>13227050300</v>
      </c>
      <c r="M2002" s="1793">
        <v>0</v>
      </c>
      <c r="N2002" s="1793">
        <v>1</v>
      </c>
      <c r="O2002" s="1794">
        <v>1</v>
      </c>
    </row>
    <row r="2003" spans="3:15">
      <c r="C2003" s="1799" t="s">
        <v>6493</v>
      </c>
      <c r="D2003" s="1796">
        <v>0</v>
      </c>
      <c r="E2003" s="1796">
        <v>0</v>
      </c>
      <c r="F2003" s="1797">
        <v>0</v>
      </c>
      <c r="G2003" s="1999" t="s">
        <v>6493</v>
      </c>
      <c r="H2003" s="1794">
        <v>0</v>
      </c>
      <c r="I2003" s="1794">
        <v>1</v>
      </c>
      <c r="J2003" s="2000">
        <v>1</v>
      </c>
      <c r="K2003" s="1798"/>
      <c r="L2003" s="1792">
        <v>13227050400</v>
      </c>
      <c r="M2003" s="1793">
        <v>0</v>
      </c>
      <c r="N2003" s="1793">
        <v>1</v>
      </c>
      <c r="O2003" s="1794">
        <v>1</v>
      </c>
    </row>
    <row r="2004" spans="3:15">
      <c r="C2004" s="1799" t="s">
        <v>6494</v>
      </c>
      <c r="D2004" s="1796">
        <v>1</v>
      </c>
      <c r="E2004" s="1796">
        <v>1</v>
      </c>
      <c r="F2004" s="1797">
        <v>2</v>
      </c>
      <c r="G2004" s="1999" t="s">
        <v>6494</v>
      </c>
      <c r="H2004" s="1794">
        <v>0</v>
      </c>
      <c r="I2004" s="1794">
        <v>0</v>
      </c>
      <c r="J2004" s="2000">
        <v>0</v>
      </c>
      <c r="K2004" s="1798"/>
      <c r="L2004" s="1792">
        <v>13227050500</v>
      </c>
      <c r="M2004" s="1793">
        <v>1</v>
      </c>
      <c r="N2004" s="1793">
        <v>1</v>
      </c>
      <c r="O2004" s="1794">
        <v>2</v>
      </c>
    </row>
    <row r="2005" spans="3:15">
      <c r="C2005" s="1799" t="s">
        <v>6495</v>
      </c>
      <c r="D2005" s="1796">
        <v>1</v>
      </c>
      <c r="E2005" s="1796">
        <v>1</v>
      </c>
      <c r="F2005" s="1797">
        <v>2</v>
      </c>
      <c r="G2005" s="1999" t="s">
        <v>6495</v>
      </c>
      <c r="H2005" s="1794">
        <v>1</v>
      </c>
      <c r="I2005" s="1794">
        <v>1</v>
      </c>
      <c r="J2005" s="2000">
        <v>2</v>
      </c>
      <c r="K2005" s="1798"/>
      <c r="L2005" s="1792">
        <v>13227050600</v>
      </c>
      <c r="M2005" s="1793">
        <v>1</v>
      </c>
      <c r="N2005" s="1793">
        <v>1</v>
      </c>
      <c r="O2005" s="1794">
        <v>2</v>
      </c>
    </row>
    <row r="2006" spans="3:15">
      <c r="C2006" s="1799" t="s">
        <v>6496</v>
      </c>
      <c r="D2006" s="1796">
        <v>0</v>
      </c>
      <c r="E2006" s="1796">
        <v>0</v>
      </c>
      <c r="F2006" s="1797">
        <v>0</v>
      </c>
      <c r="G2006" s="1999" t="s">
        <v>6496</v>
      </c>
      <c r="H2006" s="1794">
        <v>0</v>
      </c>
      <c r="I2006" s="1794">
        <v>0</v>
      </c>
      <c r="J2006" s="2000">
        <v>0</v>
      </c>
      <c r="K2006" s="1798"/>
      <c r="L2006" s="1792">
        <v>13229960100</v>
      </c>
      <c r="M2006" s="1793">
        <v>0</v>
      </c>
      <c r="N2006" s="1793">
        <v>0</v>
      </c>
      <c r="O2006" s="1794">
        <v>0</v>
      </c>
    </row>
    <row r="2007" spans="3:15">
      <c r="C2007" s="1799" t="s">
        <v>6497</v>
      </c>
      <c r="D2007" s="1796">
        <v>0</v>
      </c>
      <c r="E2007" s="1796">
        <v>0</v>
      </c>
      <c r="F2007" s="1797">
        <v>0</v>
      </c>
      <c r="G2007" s="1999" t="s">
        <v>6497</v>
      </c>
      <c r="H2007" s="1794">
        <v>0</v>
      </c>
      <c r="I2007" s="1794">
        <v>0</v>
      </c>
      <c r="J2007" s="2000">
        <v>0</v>
      </c>
      <c r="K2007" s="1798"/>
      <c r="L2007" s="1792">
        <v>13229960200</v>
      </c>
      <c r="M2007" s="1793">
        <v>0</v>
      </c>
      <c r="N2007" s="1793">
        <v>0</v>
      </c>
      <c r="O2007" s="1794">
        <v>0</v>
      </c>
    </row>
    <row r="2008" spans="3:15">
      <c r="C2008" s="1799" t="s">
        <v>6498</v>
      </c>
      <c r="D2008" s="1796">
        <v>0</v>
      </c>
      <c r="E2008" s="1796">
        <v>0</v>
      </c>
      <c r="F2008" s="1797">
        <v>0</v>
      </c>
      <c r="G2008" s="1999" t="s">
        <v>6498</v>
      </c>
      <c r="H2008" s="1794">
        <v>0</v>
      </c>
      <c r="I2008" s="1794">
        <v>0</v>
      </c>
      <c r="J2008" s="2000">
        <v>0</v>
      </c>
      <c r="K2008" s="1798"/>
      <c r="L2008" s="1792">
        <v>13229960300</v>
      </c>
      <c r="M2008" s="1793">
        <v>0</v>
      </c>
      <c r="N2008" s="1793">
        <v>0</v>
      </c>
      <c r="O2008" s="1794">
        <v>0</v>
      </c>
    </row>
    <row r="2009" spans="3:15">
      <c r="C2009" s="1799" t="s">
        <v>6499</v>
      </c>
      <c r="D2009" s="1796">
        <v>0</v>
      </c>
      <c r="E2009" s="1796">
        <v>1</v>
      </c>
      <c r="F2009" s="1797">
        <v>1</v>
      </c>
      <c r="G2009" s="1999" t="s">
        <v>6499</v>
      </c>
      <c r="H2009" s="1794">
        <v>0</v>
      </c>
      <c r="I2009" s="1794">
        <v>0</v>
      </c>
      <c r="J2009" s="2000">
        <v>0</v>
      </c>
      <c r="K2009" s="1798"/>
      <c r="L2009" s="1792">
        <v>13229960400</v>
      </c>
      <c r="M2009" s="1793">
        <v>0</v>
      </c>
      <c r="N2009" s="1793">
        <v>1</v>
      </c>
      <c r="O2009" s="1794">
        <v>1</v>
      </c>
    </row>
    <row r="2010" spans="3:15">
      <c r="C2010" s="1799" t="s">
        <v>6500</v>
      </c>
      <c r="D2010" s="1796">
        <v>0</v>
      </c>
      <c r="E2010" s="1796">
        <v>1</v>
      </c>
      <c r="F2010" s="1797">
        <v>1</v>
      </c>
      <c r="G2010" s="1999" t="s">
        <v>6500</v>
      </c>
      <c r="H2010" s="1794">
        <v>0</v>
      </c>
      <c r="I2010" s="1794">
        <v>1</v>
      </c>
      <c r="J2010" s="2000">
        <v>1</v>
      </c>
      <c r="K2010" s="1798"/>
      <c r="L2010" s="1792">
        <v>13231010100</v>
      </c>
      <c r="M2010" s="1793">
        <v>0</v>
      </c>
      <c r="N2010" s="1793">
        <v>1</v>
      </c>
      <c r="O2010" s="1794">
        <v>1</v>
      </c>
    </row>
    <row r="2011" spans="3:15">
      <c r="C2011" s="1799" t="s">
        <v>6501</v>
      </c>
      <c r="D2011" s="1796">
        <v>1</v>
      </c>
      <c r="E2011" s="1796">
        <v>1</v>
      </c>
      <c r="F2011" s="1797">
        <v>2</v>
      </c>
      <c r="G2011" s="1999" t="s">
        <v>6501</v>
      </c>
      <c r="H2011" s="1794">
        <v>1</v>
      </c>
      <c r="I2011" s="1794">
        <v>1</v>
      </c>
      <c r="J2011" s="2000">
        <v>2</v>
      </c>
      <c r="K2011" s="1798"/>
      <c r="L2011" s="1792">
        <v>13231010200</v>
      </c>
      <c r="M2011" s="1793">
        <v>1</v>
      </c>
      <c r="N2011" s="1793">
        <v>1</v>
      </c>
      <c r="O2011" s="1794">
        <v>2</v>
      </c>
    </row>
    <row r="2012" spans="3:15">
      <c r="C2012" s="1799" t="s">
        <v>6502</v>
      </c>
      <c r="D2012" s="1796">
        <v>0</v>
      </c>
      <c r="E2012" s="1796">
        <v>1</v>
      </c>
      <c r="F2012" s="1797">
        <v>1</v>
      </c>
      <c r="G2012" s="1999" t="s">
        <v>6502</v>
      </c>
      <c r="H2012" s="1794">
        <v>0</v>
      </c>
      <c r="I2012" s="1794">
        <v>0</v>
      </c>
      <c r="J2012" s="2000">
        <v>0</v>
      </c>
      <c r="K2012" s="1798"/>
      <c r="L2012" s="1792">
        <v>13231010300</v>
      </c>
      <c r="M2012" s="1793">
        <v>0</v>
      </c>
      <c r="N2012" s="1793">
        <v>1</v>
      </c>
      <c r="O2012" s="1794">
        <v>1</v>
      </c>
    </row>
    <row r="2013" spans="3:15">
      <c r="C2013" s="1799" t="s">
        <v>6503</v>
      </c>
      <c r="D2013" s="1796">
        <v>0</v>
      </c>
      <c r="E2013" s="1796">
        <v>1</v>
      </c>
      <c r="F2013" s="1797">
        <v>1</v>
      </c>
      <c r="G2013" s="1999" t="s">
        <v>6503</v>
      </c>
      <c r="H2013" s="1794">
        <v>0</v>
      </c>
      <c r="I2013" s="1794">
        <v>0</v>
      </c>
      <c r="J2013" s="2000">
        <v>0</v>
      </c>
      <c r="K2013" s="1798"/>
      <c r="L2013" s="1792">
        <v>13231010400</v>
      </c>
      <c r="M2013" s="1793">
        <v>0</v>
      </c>
      <c r="N2013" s="1793">
        <v>1</v>
      </c>
      <c r="O2013" s="1794">
        <v>1</v>
      </c>
    </row>
    <row r="2014" spans="3:15">
      <c r="C2014" s="1799" t="s">
        <v>6504</v>
      </c>
      <c r="D2014" s="1796">
        <v>0</v>
      </c>
      <c r="E2014" s="1796">
        <v>0</v>
      </c>
      <c r="F2014" s="1797">
        <v>0</v>
      </c>
      <c r="G2014" s="1999" t="s">
        <v>6504</v>
      </c>
      <c r="H2014" s="1794">
        <v>0</v>
      </c>
      <c r="I2014" s="1794">
        <v>0</v>
      </c>
      <c r="J2014" s="2000">
        <v>0</v>
      </c>
      <c r="K2014" s="1798"/>
      <c r="L2014" s="1792">
        <v>13233010100</v>
      </c>
      <c r="M2014" s="1793">
        <v>0</v>
      </c>
      <c r="N2014" s="1793">
        <v>0</v>
      </c>
      <c r="O2014" s="1794">
        <v>0</v>
      </c>
    </row>
    <row r="2015" spans="3:15">
      <c r="C2015" s="1799" t="s">
        <v>6505</v>
      </c>
      <c r="D2015" s="1796">
        <v>0</v>
      </c>
      <c r="E2015" s="1796">
        <v>0</v>
      </c>
      <c r="F2015" s="1797">
        <v>0</v>
      </c>
      <c r="G2015" s="1999" t="s">
        <v>6505</v>
      </c>
      <c r="H2015" s="1794">
        <v>0</v>
      </c>
      <c r="I2015" s="1794">
        <v>1</v>
      </c>
      <c r="J2015" s="2000">
        <v>1</v>
      </c>
      <c r="K2015" s="1798"/>
      <c r="L2015" s="1792">
        <v>13233010200</v>
      </c>
      <c r="M2015" s="1793">
        <v>0</v>
      </c>
      <c r="N2015" s="1793">
        <v>1</v>
      </c>
      <c r="O2015" s="1794">
        <v>1</v>
      </c>
    </row>
    <row r="2016" spans="3:15">
      <c r="C2016" s="1799" t="s">
        <v>6506</v>
      </c>
      <c r="D2016" s="1796">
        <v>0</v>
      </c>
      <c r="E2016" s="1796">
        <v>0</v>
      </c>
      <c r="F2016" s="1797">
        <v>0</v>
      </c>
      <c r="G2016" s="1999" t="s">
        <v>6506</v>
      </c>
      <c r="H2016" s="1794">
        <v>0</v>
      </c>
      <c r="I2016" s="1794">
        <v>0</v>
      </c>
      <c r="J2016" s="2000">
        <v>0</v>
      </c>
      <c r="K2016" s="1798"/>
      <c r="L2016" s="1792">
        <v>13233010300</v>
      </c>
      <c r="M2016" s="1793">
        <v>0</v>
      </c>
      <c r="N2016" s="1793">
        <v>0</v>
      </c>
      <c r="O2016" s="1794">
        <v>0</v>
      </c>
    </row>
    <row r="2017" spans="3:15">
      <c r="C2017" s="1799" t="s">
        <v>6507</v>
      </c>
      <c r="D2017" s="1796">
        <v>0</v>
      </c>
      <c r="E2017" s="1796">
        <v>0</v>
      </c>
      <c r="F2017" s="1797">
        <v>0</v>
      </c>
      <c r="G2017" s="1999" t="s">
        <v>6507</v>
      </c>
      <c r="H2017" s="1794">
        <v>0</v>
      </c>
      <c r="I2017" s="1794">
        <v>0</v>
      </c>
      <c r="J2017" s="2000">
        <v>0</v>
      </c>
      <c r="K2017" s="1798"/>
      <c r="L2017" s="1792">
        <v>13233010400</v>
      </c>
      <c r="M2017" s="1793">
        <v>0</v>
      </c>
      <c r="N2017" s="1793">
        <v>0</v>
      </c>
      <c r="O2017" s="1794">
        <v>0</v>
      </c>
    </row>
    <row r="2018" spans="3:15">
      <c r="C2018" s="1799" t="s">
        <v>6508</v>
      </c>
      <c r="D2018" s="1796">
        <v>0</v>
      </c>
      <c r="E2018" s="1796">
        <v>0</v>
      </c>
      <c r="F2018" s="1797">
        <v>0</v>
      </c>
      <c r="G2018" s="1999" t="s">
        <v>6508</v>
      </c>
      <c r="H2018" s="1794">
        <v>0</v>
      </c>
      <c r="I2018" s="1794">
        <v>0</v>
      </c>
      <c r="J2018" s="2000">
        <v>0</v>
      </c>
      <c r="K2018" s="1798"/>
      <c r="L2018" s="1792">
        <v>13233010500</v>
      </c>
      <c r="M2018" s="1793">
        <v>0</v>
      </c>
      <c r="N2018" s="1793">
        <v>0</v>
      </c>
      <c r="O2018" s="1794">
        <v>0</v>
      </c>
    </row>
    <row r="2019" spans="3:15">
      <c r="C2019" s="1799" t="s">
        <v>6509</v>
      </c>
      <c r="D2019" s="1796">
        <v>0</v>
      </c>
      <c r="E2019" s="1796">
        <v>0</v>
      </c>
      <c r="F2019" s="1797">
        <v>0</v>
      </c>
      <c r="G2019" s="1999" t="s">
        <v>6509</v>
      </c>
      <c r="H2019" s="1794">
        <v>0</v>
      </c>
      <c r="I2019" s="1794">
        <v>1</v>
      </c>
      <c r="J2019" s="2000">
        <v>1</v>
      </c>
      <c r="K2019" s="1798"/>
      <c r="L2019" s="1792">
        <v>13233010600</v>
      </c>
      <c r="M2019" s="1793">
        <v>0</v>
      </c>
      <c r="N2019" s="1793">
        <v>1</v>
      </c>
      <c r="O2019" s="1794">
        <v>1</v>
      </c>
    </row>
    <row r="2020" spans="3:15">
      <c r="C2020" s="1799" t="s">
        <v>6510</v>
      </c>
      <c r="D2020" s="1796">
        <v>0</v>
      </c>
      <c r="E2020" s="1796">
        <v>0</v>
      </c>
      <c r="F2020" s="1797">
        <v>0</v>
      </c>
      <c r="G2020" s="1999" t="s">
        <v>6510</v>
      </c>
      <c r="H2020" s="1794">
        <v>0</v>
      </c>
      <c r="I2020" s="1794">
        <v>0</v>
      </c>
      <c r="J2020" s="2000">
        <v>0</v>
      </c>
      <c r="K2020" s="1798"/>
      <c r="L2020" s="1792">
        <v>13233010700</v>
      </c>
      <c r="M2020" s="1793">
        <v>0</v>
      </c>
      <c r="N2020" s="1793">
        <v>0</v>
      </c>
      <c r="O2020" s="1794">
        <v>0</v>
      </c>
    </row>
    <row r="2021" spans="3:15">
      <c r="C2021" s="1799" t="s">
        <v>6511</v>
      </c>
      <c r="D2021" s="1796">
        <v>0</v>
      </c>
      <c r="E2021" s="1796">
        <v>0</v>
      </c>
      <c r="F2021" s="1797">
        <v>0</v>
      </c>
      <c r="G2021" s="1999" t="s">
        <v>6511</v>
      </c>
      <c r="H2021" s="1794">
        <v>0</v>
      </c>
      <c r="I2021" s="1794">
        <v>0</v>
      </c>
      <c r="J2021" s="2000">
        <v>0</v>
      </c>
      <c r="K2021" s="1798"/>
      <c r="L2021" s="1792">
        <v>13235950100</v>
      </c>
      <c r="M2021" s="1793">
        <v>0</v>
      </c>
      <c r="N2021" s="1793">
        <v>0</v>
      </c>
      <c r="O2021" s="1794">
        <v>0</v>
      </c>
    </row>
    <row r="2022" spans="3:15">
      <c r="C2022" s="1799" t="s">
        <v>6512</v>
      </c>
      <c r="D2022" s="1796">
        <v>0</v>
      </c>
      <c r="E2022" s="1796">
        <v>0</v>
      </c>
      <c r="F2022" s="1797">
        <v>0</v>
      </c>
      <c r="G2022" s="1999" t="s">
        <v>6512</v>
      </c>
      <c r="H2022" s="1794">
        <v>0</v>
      </c>
      <c r="I2022" s="1794">
        <v>1</v>
      </c>
      <c r="J2022" s="2000">
        <v>1</v>
      </c>
      <c r="K2022" s="1798"/>
      <c r="L2022" s="1792">
        <v>13235950200</v>
      </c>
      <c r="M2022" s="1793">
        <v>0</v>
      </c>
      <c r="N2022" s="1793">
        <v>1</v>
      </c>
      <c r="O2022" s="1794">
        <v>1</v>
      </c>
    </row>
    <row r="2023" spans="3:15">
      <c r="C2023" s="1799" t="s">
        <v>6513</v>
      </c>
      <c r="D2023" s="1796">
        <v>0</v>
      </c>
      <c r="E2023" s="1796">
        <v>0</v>
      </c>
      <c r="F2023" s="1797">
        <v>0</v>
      </c>
      <c r="G2023" s="1999" t="s">
        <v>6513</v>
      </c>
      <c r="H2023" s="1794">
        <v>0</v>
      </c>
      <c r="I2023" s="1794">
        <v>0</v>
      </c>
      <c r="J2023" s="2000">
        <v>0</v>
      </c>
      <c r="K2023" s="1798"/>
      <c r="L2023" s="1792">
        <v>13235950300</v>
      </c>
      <c r="M2023" s="1793">
        <v>0</v>
      </c>
      <c r="N2023" s="1793">
        <v>0</v>
      </c>
      <c r="O2023" s="1794">
        <v>0</v>
      </c>
    </row>
    <row r="2024" spans="3:15">
      <c r="C2024" s="1799" t="s">
        <v>6514</v>
      </c>
      <c r="D2024" s="1796">
        <v>0</v>
      </c>
      <c r="E2024" s="1796">
        <v>0</v>
      </c>
      <c r="F2024" s="1797">
        <v>0</v>
      </c>
      <c r="G2024" s="1999" t="s">
        <v>6514</v>
      </c>
      <c r="H2024" s="1794">
        <v>0</v>
      </c>
      <c r="I2024" s="1794">
        <v>1</v>
      </c>
      <c r="J2024" s="2000">
        <v>1</v>
      </c>
      <c r="K2024" s="1798"/>
      <c r="L2024" s="1792">
        <v>13237960101</v>
      </c>
      <c r="M2024" s="1793">
        <v>0</v>
      </c>
      <c r="N2024" s="1793">
        <v>1</v>
      </c>
      <c r="O2024" s="1794">
        <v>1</v>
      </c>
    </row>
    <row r="2025" spans="3:15">
      <c r="C2025" s="1799" t="s">
        <v>6515</v>
      </c>
      <c r="D2025" s="1796">
        <v>1</v>
      </c>
      <c r="E2025" s="1796">
        <v>1</v>
      </c>
      <c r="F2025" s="1797">
        <v>2</v>
      </c>
      <c r="G2025" s="1999" t="s">
        <v>6515</v>
      </c>
      <c r="H2025" s="1794">
        <v>1</v>
      </c>
      <c r="I2025" s="1794" t="s">
        <v>4485</v>
      </c>
      <c r="J2025" s="2000">
        <v>1</v>
      </c>
      <c r="K2025" s="1798"/>
      <c r="L2025" s="1792">
        <v>13237960102</v>
      </c>
      <c r="M2025" s="1793">
        <v>1</v>
      </c>
      <c r="N2025" s="1793">
        <v>1</v>
      </c>
      <c r="O2025" s="1794">
        <v>2</v>
      </c>
    </row>
    <row r="2026" spans="3:15">
      <c r="C2026" s="1799" t="s">
        <v>6516</v>
      </c>
      <c r="D2026" s="1796">
        <v>0</v>
      </c>
      <c r="E2026" s="1796">
        <v>0</v>
      </c>
      <c r="F2026" s="1797">
        <v>0</v>
      </c>
      <c r="G2026" s="1999" t="s">
        <v>6516</v>
      </c>
      <c r="H2026" s="1794">
        <v>0</v>
      </c>
      <c r="I2026" s="1794" t="s">
        <v>4485</v>
      </c>
      <c r="J2026" s="2000">
        <v>0</v>
      </c>
      <c r="K2026" s="1798"/>
      <c r="L2026" s="1792">
        <v>13237960201</v>
      </c>
      <c r="M2026" s="1793">
        <v>0</v>
      </c>
      <c r="N2026" s="1793">
        <v>0</v>
      </c>
      <c r="O2026" s="1794">
        <v>0</v>
      </c>
    </row>
    <row r="2027" spans="3:15">
      <c r="C2027" s="1799" t="s">
        <v>6517</v>
      </c>
      <c r="D2027" s="1796">
        <v>0</v>
      </c>
      <c r="E2027" s="1796">
        <v>0</v>
      </c>
      <c r="F2027" s="1797">
        <v>0</v>
      </c>
      <c r="G2027" s="1999" t="s">
        <v>6517</v>
      </c>
      <c r="H2027" s="1794">
        <v>0</v>
      </c>
      <c r="I2027" s="1794">
        <v>0</v>
      </c>
      <c r="J2027" s="2000">
        <v>0</v>
      </c>
      <c r="K2027" s="1798"/>
      <c r="L2027" s="1792">
        <v>13237960202</v>
      </c>
      <c r="M2027" s="1793">
        <v>0</v>
      </c>
      <c r="N2027" s="1793">
        <v>0</v>
      </c>
      <c r="O2027" s="1794">
        <v>0</v>
      </c>
    </row>
    <row r="2028" spans="3:15">
      <c r="C2028" s="1799" t="s">
        <v>6518</v>
      </c>
      <c r="D2028" s="1796">
        <v>0</v>
      </c>
      <c r="E2028" s="1796">
        <v>1</v>
      </c>
      <c r="F2028" s="1797">
        <v>1</v>
      </c>
      <c r="G2028" s="1999" t="s">
        <v>6518</v>
      </c>
      <c r="H2028" s="1794">
        <v>0</v>
      </c>
      <c r="I2028" s="1794">
        <v>0</v>
      </c>
      <c r="J2028" s="2000">
        <v>0</v>
      </c>
      <c r="K2028" s="1798"/>
      <c r="L2028" s="1792">
        <v>13237960300</v>
      </c>
      <c r="M2028" s="1793">
        <v>0</v>
      </c>
      <c r="N2028" s="1793">
        <v>1</v>
      </c>
      <c r="O2028" s="1794">
        <v>1</v>
      </c>
    </row>
    <row r="2029" spans="3:15">
      <c r="C2029" s="1799" t="s">
        <v>6519</v>
      </c>
      <c r="D2029" s="1796">
        <v>0</v>
      </c>
      <c r="E2029" s="1796">
        <v>0</v>
      </c>
      <c r="F2029" s="1797">
        <v>0</v>
      </c>
      <c r="G2029" s="1999" t="s">
        <v>6519</v>
      </c>
      <c r="H2029" s="1794">
        <v>0</v>
      </c>
      <c r="I2029" s="1794">
        <v>0</v>
      </c>
      <c r="J2029" s="2000">
        <v>0</v>
      </c>
      <c r="K2029" s="1798"/>
      <c r="L2029" s="1792">
        <v>13239960300</v>
      </c>
      <c r="M2029" s="1793">
        <v>0</v>
      </c>
      <c r="N2029" s="1793">
        <v>0</v>
      </c>
      <c r="O2029" s="1794">
        <v>0</v>
      </c>
    </row>
    <row r="2030" spans="3:15">
      <c r="C2030" s="1799" t="s">
        <v>6520</v>
      </c>
      <c r="D2030" s="1796">
        <v>0</v>
      </c>
      <c r="E2030" s="1796">
        <v>0</v>
      </c>
      <c r="F2030" s="1797">
        <v>0</v>
      </c>
      <c r="G2030" s="1999" t="s">
        <v>6520</v>
      </c>
      <c r="H2030" s="1794">
        <v>0</v>
      </c>
      <c r="I2030" s="1794">
        <v>1</v>
      </c>
      <c r="J2030" s="2000">
        <v>1</v>
      </c>
      <c r="K2030" s="1798"/>
      <c r="L2030" s="1792">
        <v>13241970100</v>
      </c>
      <c r="M2030" s="1793">
        <v>0</v>
      </c>
      <c r="N2030" s="1793">
        <v>1</v>
      </c>
      <c r="O2030" s="1794">
        <v>1</v>
      </c>
    </row>
    <row r="2031" spans="3:15">
      <c r="C2031" s="1799" t="s">
        <v>6521</v>
      </c>
      <c r="D2031" s="1796">
        <v>0</v>
      </c>
      <c r="E2031" s="1796">
        <v>0</v>
      </c>
      <c r="F2031" s="1797">
        <v>0</v>
      </c>
      <c r="G2031" s="1999" t="s">
        <v>6521</v>
      </c>
      <c r="H2031" s="1794">
        <v>0</v>
      </c>
      <c r="I2031" s="1794">
        <v>0</v>
      </c>
      <c r="J2031" s="2000">
        <v>0</v>
      </c>
      <c r="K2031" s="1798"/>
      <c r="L2031" s="1792">
        <v>13241970201</v>
      </c>
      <c r="M2031" s="1793">
        <v>0</v>
      </c>
      <c r="N2031" s="1793">
        <v>0</v>
      </c>
      <c r="O2031" s="1794">
        <v>0</v>
      </c>
    </row>
    <row r="2032" spans="3:15">
      <c r="C2032" s="1799" t="s">
        <v>6522</v>
      </c>
      <c r="D2032" s="1796">
        <v>0</v>
      </c>
      <c r="E2032" s="1796">
        <v>0</v>
      </c>
      <c r="F2032" s="1797">
        <v>0</v>
      </c>
      <c r="G2032" s="1999" t="s">
        <v>6522</v>
      </c>
      <c r="H2032" s="1794">
        <v>0</v>
      </c>
      <c r="I2032" s="1794">
        <v>0</v>
      </c>
      <c r="J2032" s="2000">
        <v>0</v>
      </c>
      <c r="K2032" s="1798"/>
      <c r="L2032" s="1792">
        <v>13241970202</v>
      </c>
      <c r="M2032" s="1793">
        <v>0</v>
      </c>
      <c r="N2032" s="1793">
        <v>0</v>
      </c>
      <c r="O2032" s="1794">
        <v>0</v>
      </c>
    </row>
    <row r="2033" spans="3:15">
      <c r="C2033" s="1799" t="s">
        <v>6523</v>
      </c>
      <c r="D2033" s="1796">
        <v>0</v>
      </c>
      <c r="E2033" s="1796">
        <v>0</v>
      </c>
      <c r="F2033" s="1797">
        <v>0</v>
      </c>
      <c r="G2033" s="1999" t="s">
        <v>6523</v>
      </c>
      <c r="H2033" s="1794">
        <v>0</v>
      </c>
      <c r="I2033" s="1794">
        <v>1</v>
      </c>
      <c r="J2033" s="2000">
        <v>1</v>
      </c>
      <c r="K2033" s="1798"/>
      <c r="L2033" s="1792">
        <v>13241970301</v>
      </c>
      <c r="M2033" s="1793">
        <v>0</v>
      </c>
      <c r="N2033" s="1793">
        <v>1</v>
      </c>
      <c r="O2033" s="1794">
        <v>1</v>
      </c>
    </row>
    <row r="2034" spans="3:15">
      <c r="C2034" s="1799" t="s">
        <v>6524</v>
      </c>
      <c r="D2034" s="1796">
        <v>0</v>
      </c>
      <c r="E2034" s="1796">
        <v>0</v>
      </c>
      <c r="F2034" s="1797">
        <v>0</v>
      </c>
      <c r="G2034" s="1999" t="s">
        <v>6524</v>
      </c>
      <c r="H2034" s="1794">
        <v>0</v>
      </c>
      <c r="I2034" s="1794">
        <v>0</v>
      </c>
      <c r="J2034" s="2000">
        <v>0</v>
      </c>
      <c r="K2034" s="1798"/>
      <c r="L2034" s="1792">
        <v>13241970302</v>
      </c>
      <c r="M2034" s="1793">
        <v>0</v>
      </c>
      <c r="N2034" s="1793">
        <v>0</v>
      </c>
      <c r="O2034" s="1794">
        <v>0</v>
      </c>
    </row>
    <row r="2035" spans="3:15">
      <c r="C2035" s="1799" t="s">
        <v>6525</v>
      </c>
      <c r="D2035" s="1796">
        <v>0</v>
      </c>
      <c r="E2035" s="1796">
        <v>0</v>
      </c>
      <c r="F2035" s="1797">
        <v>0</v>
      </c>
      <c r="G2035" s="1999" t="s">
        <v>6525</v>
      </c>
      <c r="H2035" s="1794">
        <v>0</v>
      </c>
      <c r="I2035" s="1794">
        <v>0</v>
      </c>
      <c r="J2035" s="2000">
        <v>0</v>
      </c>
      <c r="K2035" s="1798"/>
      <c r="L2035" s="1792">
        <v>13243790100</v>
      </c>
      <c r="M2035" s="1793">
        <v>0</v>
      </c>
      <c r="N2035" s="1793">
        <v>0</v>
      </c>
      <c r="O2035" s="1794">
        <v>0</v>
      </c>
    </row>
    <row r="2036" spans="3:15">
      <c r="C2036" s="1799" t="s">
        <v>6526</v>
      </c>
      <c r="D2036" s="1796">
        <v>0</v>
      </c>
      <c r="E2036" s="1796">
        <v>0</v>
      </c>
      <c r="F2036" s="1797">
        <v>0</v>
      </c>
      <c r="G2036" s="1999" t="s">
        <v>6526</v>
      </c>
      <c r="H2036" s="1794">
        <v>0</v>
      </c>
      <c r="I2036" s="1794">
        <v>0</v>
      </c>
      <c r="J2036" s="2000">
        <v>0</v>
      </c>
      <c r="K2036" s="1798"/>
      <c r="L2036" s="1792">
        <v>13243790200</v>
      </c>
      <c r="M2036" s="1793">
        <v>0</v>
      </c>
      <c r="N2036" s="1793">
        <v>0</v>
      </c>
      <c r="O2036" s="1794">
        <v>0</v>
      </c>
    </row>
    <row r="2037" spans="3:15">
      <c r="C2037" s="1799" t="s">
        <v>6527</v>
      </c>
      <c r="D2037" s="1796">
        <v>0</v>
      </c>
      <c r="E2037" s="1796">
        <v>0</v>
      </c>
      <c r="F2037" s="1797">
        <v>0</v>
      </c>
      <c r="G2037" s="1999" t="s">
        <v>6527</v>
      </c>
      <c r="H2037" s="1794">
        <v>0</v>
      </c>
      <c r="I2037" s="1794">
        <v>0</v>
      </c>
      <c r="J2037" s="2000">
        <v>0</v>
      </c>
      <c r="K2037" s="1798"/>
      <c r="L2037" s="1792">
        <v>13245000100</v>
      </c>
      <c r="M2037" s="1793">
        <v>0</v>
      </c>
      <c r="N2037" s="1793">
        <v>0</v>
      </c>
      <c r="O2037" s="1794">
        <v>0</v>
      </c>
    </row>
    <row r="2038" spans="3:15">
      <c r="C2038" s="1799" t="s">
        <v>6528</v>
      </c>
      <c r="D2038" s="1796">
        <v>0</v>
      </c>
      <c r="E2038" s="1796">
        <v>0</v>
      </c>
      <c r="F2038" s="1797">
        <v>0</v>
      </c>
      <c r="G2038" s="1999" t="s">
        <v>6528</v>
      </c>
      <c r="H2038" s="1794">
        <v>0</v>
      </c>
      <c r="I2038" s="1794">
        <v>0</v>
      </c>
      <c r="J2038" s="2000">
        <v>0</v>
      </c>
      <c r="K2038" s="1798"/>
      <c r="L2038" s="1792">
        <v>13245000200</v>
      </c>
      <c r="M2038" s="1793">
        <v>0</v>
      </c>
      <c r="N2038" s="1793">
        <v>0</v>
      </c>
      <c r="O2038" s="1794">
        <v>0</v>
      </c>
    </row>
    <row r="2039" spans="3:15">
      <c r="C2039" s="1799" t="s">
        <v>6529</v>
      </c>
      <c r="D2039" s="1796">
        <v>0</v>
      </c>
      <c r="E2039" s="1796">
        <v>0</v>
      </c>
      <c r="F2039" s="1797">
        <v>0</v>
      </c>
      <c r="G2039" s="1999" t="s">
        <v>6529</v>
      </c>
      <c r="H2039" s="1794">
        <v>0</v>
      </c>
      <c r="I2039" s="1794">
        <v>0</v>
      </c>
      <c r="J2039" s="2000">
        <v>0</v>
      </c>
      <c r="K2039" s="1798"/>
      <c r="L2039" s="1792">
        <v>13245000300</v>
      </c>
      <c r="M2039" s="1793">
        <v>0</v>
      </c>
      <c r="N2039" s="1793">
        <v>0</v>
      </c>
      <c r="O2039" s="1794">
        <v>0</v>
      </c>
    </row>
    <row r="2040" spans="3:15">
      <c r="C2040" s="1799" t="s">
        <v>6530</v>
      </c>
      <c r="D2040" s="1796">
        <v>0</v>
      </c>
      <c r="E2040" s="1796">
        <v>0</v>
      </c>
      <c r="F2040" s="1797">
        <v>0</v>
      </c>
      <c r="G2040" s="1999" t="s">
        <v>6530</v>
      </c>
      <c r="H2040" s="1794">
        <v>0</v>
      </c>
      <c r="I2040" s="1794" t="s">
        <v>4485</v>
      </c>
      <c r="J2040" s="2000">
        <v>0</v>
      </c>
      <c r="K2040" s="1798"/>
      <c r="L2040" s="1792">
        <v>13245000600</v>
      </c>
      <c r="M2040" s="1793">
        <v>0</v>
      </c>
      <c r="N2040" s="1793">
        <v>0</v>
      </c>
      <c r="O2040" s="1794">
        <v>0</v>
      </c>
    </row>
    <row r="2041" spans="3:15">
      <c r="C2041" s="1799" t="s">
        <v>6531</v>
      </c>
      <c r="D2041" s="1796">
        <v>0</v>
      </c>
      <c r="E2041" s="1796">
        <v>0</v>
      </c>
      <c r="F2041" s="1797">
        <v>0</v>
      </c>
      <c r="G2041" s="1999" t="s">
        <v>6531</v>
      </c>
      <c r="H2041" s="1794">
        <v>0</v>
      </c>
      <c r="I2041" s="1794">
        <v>0</v>
      </c>
      <c r="J2041" s="2000">
        <v>0</v>
      </c>
      <c r="K2041" s="1798"/>
      <c r="L2041" s="1792">
        <v>13245000700</v>
      </c>
      <c r="M2041" s="1793">
        <v>0</v>
      </c>
      <c r="N2041" s="1793">
        <v>0</v>
      </c>
      <c r="O2041" s="1794">
        <v>0</v>
      </c>
    </row>
    <row r="2042" spans="3:15">
      <c r="C2042" s="1799" t="s">
        <v>6532</v>
      </c>
      <c r="D2042" s="1796">
        <v>0</v>
      </c>
      <c r="E2042" s="1796">
        <v>0</v>
      </c>
      <c r="F2042" s="1797">
        <v>0</v>
      </c>
      <c r="G2042" s="1999" t="s">
        <v>6532</v>
      </c>
      <c r="H2042" s="1794">
        <v>0</v>
      </c>
      <c r="I2042" s="1794">
        <v>0</v>
      </c>
      <c r="J2042" s="2000">
        <v>0</v>
      </c>
      <c r="K2042" s="1798"/>
      <c r="L2042" s="1792">
        <v>13245000900</v>
      </c>
      <c r="M2042" s="1793">
        <v>0</v>
      </c>
      <c r="N2042" s="1793">
        <v>0</v>
      </c>
      <c r="O2042" s="1794">
        <v>0</v>
      </c>
    </row>
    <row r="2043" spans="3:15">
      <c r="C2043" s="1799" t="s">
        <v>6533</v>
      </c>
      <c r="D2043" s="1796">
        <v>0</v>
      </c>
      <c r="E2043" s="1796">
        <v>0</v>
      </c>
      <c r="F2043" s="1797">
        <v>0</v>
      </c>
      <c r="G2043" s="1999" t="s">
        <v>6533</v>
      </c>
      <c r="H2043" s="1794">
        <v>0</v>
      </c>
      <c r="I2043" s="1794">
        <v>0</v>
      </c>
      <c r="J2043" s="2000">
        <v>0</v>
      </c>
      <c r="K2043" s="1798"/>
      <c r="L2043" s="1792">
        <v>13245001000</v>
      </c>
      <c r="M2043" s="1793">
        <v>0</v>
      </c>
      <c r="N2043" s="1793">
        <v>0</v>
      </c>
      <c r="O2043" s="1794">
        <v>0</v>
      </c>
    </row>
    <row r="2044" spans="3:15">
      <c r="C2044" s="1799" t="s">
        <v>6534</v>
      </c>
      <c r="D2044" s="1796">
        <v>1</v>
      </c>
      <c r="E2044" s="1796">
        <v>1</v>
      </c>
      <c r="F2044" s="1797">
        <v>2</v>
      </c>
      <c r="G2044" s="1999" t="s">
        <v>6534</v>
      </c>
      <c r="H2044" s="1794">
        <v>1</v>
      </c>
      <c r="I2044" s="1794" t="s">
        <v>4485</v>
      </c>
      <c r="J2044" s="2000">
        <v>1</v>
      </c>
      <c r="K2044" s="1798"/>
      <c r="L2044" s="1792">
        <v>13245001100</v>
      </c>
      <c r="M2044" s="1793">
        <v>1</v>
      </c>
      <c r="N2044" s="1793">
        <v>1</v>
      </c>
      <c r="O2044" s="1794">
        <v>2</v>
      </c>
    </row>
    <row r="2045" spans="3:15">
      <c r="C2045" s="1799" t="s">
        <v>6535</v>
      </c>
      <c r="D2045" s="1796">
        <v>0</v>
      </c>
      <c r="E2045" s="1796">
        <v>0</v>
      </c>
      <c r="F2045" s="1797">
        <v>0</v>
      </c>
      <c r="G2045" s="1999" t="s">
        <v>6535</v>
      </c>
      <c r="H2045" s="1794">
        <v>0</v>
      </c>
      <c r="I2045" s="1794">
        <v>0</v>
      </c>
      <c r="J2045" s="2000">
        <v>0</v>
      </c>
      <c r="K2045" s="1798"/>
      <c r="L2045" s="1792">
        <v>13245001200</v>
      </c>
      <c r="M2045" s="1793">
        <v>0</v>
      </c>
      <c r="N2045" s="1793">
        <v>0</v>
      </c>
      <c r="O2045" s="1794">
        <v>0</v>
      </c>
    </row>
    <row r="2046" spans="3:15">
      <c r="C2046" s="1799" t="s">
        <v>6536</v>
      </c>
      <c r="D2046" s="1796">
        <v>0</v>
      </c>
      <c r="E2046" s="1796">
        <v>0</v>
      </c>
      <c r="F2046" s="1797">
        <v>0</v>
      </c>
      <c r="G2046" s="1999" t="s">
        <v>6536</v>
      </c>
      <c r="H2046" s="1794">
        <v>0</v>
      </c>
      <c r="I2046" s="1794">
        <v>0</v>
      </c>
      <c r="J2046" s="2000">
        <v>0</v>
      </c>
      <c r="K2046" s="1798"/>
      <c r="L2046" s="1792">
        <v>13245001300</v>
      </c>
      <c r="M2046" s="1793">
        <v>0</v>
      </c>
      <c r="N2046" s="1793">
        <v>0</v>
      </c>
      <c r="O2046" s="1794">
        <v>0</v>
      </c>
    </row>
    <row r="2047" spans="3:15">
      <c r="C2047" s="1799" t="s">
        <v>6537</v>
      </c>
      <c r="D2047" s="1796">
        <v>0</v>
      </c>
      <c r="E2047" s="1796">
        <v>0</v>
      </c>
      <c r="F2047" s="1797">
        <v>0</v>
      </c>
      <c r="G2047" s="1999" t="s">
        <v>6537</v>
      </c>
      <c r="H2047" s="1794">
        <v>0</v>
      </c>
      <c r="I2047" s="1794">
        <v>0</v>
      </c>
      <c r="J2047" s="2000">
        <v>0</v>
      </c>
      <c r="K2047" s="1798"/>
      <c r="L2047" s="1792">
        <v>13245001400</v>
      </c>
      <c r="M2047" s="1793">
        <v>0</v>
      </c>
      <c r="N2047" s="1793">
        <v>0</v>
      </c>
      <c r="O2047" s="1794">
        <v>0</v>
      </c>
    </row>
    <row r="2048" spans="3:15">
      <c r="C2048" s="1799" t="s">
        <v>6538</v>
      </c>
      <c r="D2048" s="1796">
        <v>0</v>
      </c>
      <c r="E2048" s="1796">
        <v>0</v>
      </c>
      <c r="F2048" s="1797">
        <v>0</v>
      </c>
      <c r="G2048" s="1999" t="s">
        <v>6538</v>
      </c>
      <c r="H2048" s="1794">
        <v>0</v>
      </c>
      <c r="I2048" s="1794" t="s">
        <v>4485</v>
      </c>
      <c r="J2048" s="2000">
        <v>0</v>
      </c>
      <c r="K2048" s="1798"/>
      <c r="L2048" s="1792">
        <v>13245001500</v>
      </c>
      <c r="M2048" s="1793">
        <v>0</v>
      </c>
      <c r="N2048" s="1793">
        <v>0</v>
      </c>
      <c r="O2048" s="1794">
        <v>0</v>
      </c>
    </row>
    <row r="2049" spans="3:15">
      <c r="C2049" s="1799" t="s">
        <v>6539</v>
      </c>
      <c r="D2049" s="1796">
        <v>0</v>
      </c>
      <c r="E2049" s="1796">
        <v>0</v>
      </c>
      <c r="F2049" s="1797">
        <v>0</v>
      </c>
      <c r="G2049" s="1999" t="s">
        <v>6539</v>
      </c>
      <c r="H2049" s="1794">
        <v>0</v>
      </c>
      <c r="I2049" s="1794">
        <v>0</v>
      </c>
      <c r="J2049" s="2000">
        <v>0</v>
      </c>
      <c r="K2049" s="1798"/>
      <c r="L2049" s="1792">
        <v>13245001601</v>
      </c>
      <c r="M2049" s="1793">
        <v>0</v>
      </c>
      <c r="N2049" s="1793">
        <v>0</v>
      </c>
      <c r="O2049" s="1794">
        <v>0</v>
      </c>
    </row>
    <row r="2050" spans="3:15">
      <c r="C2050" s="1799" t="s">
        <v>6540</v>
      </c>
      <c r="D2050" s="1796">
        <v>1</v>
      </c>
      <c r="E2050" s="1796">
        <v>1</v>
      </c>
      <c r="F2050" s="1797">
        <v>2</v>
      </c>
      <c r="G2050" s="1999" t="s">
        <v>6540</v>
      </c>
      <c r="H2050" s="1794">
        <v>1</v>
      </c>
      <c r="I2050" s="1794">
        <v>1</v>
      </c>
      <c r="J2050" s="2000">
        <v>2</v>
      </c>
      <c r="K2050" s="1798"/>
      <c r="L2050" s="1792">
        <v>13245001602</v>
      </c>
      <c r="M2050" s="1793">
        <v>1</v>
      </c>
      <c r="N2050" s="1793">
        <v>1</v>
      </c>
      <c r="O2050" s="1794">
        <v>2</v>
      </c>
    </row>
    <row r="2051" spans="3:15">
      <c r="C2051" s="1799" t="s">
        <v>6541</v>
      </c>
      <c r="D2051" s="1796">
        <v>0</v>
      </c>
      <c r="E2051" s="1796">
        <v>0</v>
      </c>
      <c r="F2051" s="1797">
        <v>0</v>
      </c>
      <c r="G2051" s="1999" t="s">
        <v>6541</v>
      </c>
      <c r="H2051" s="1794">
        <v>1</v>
      </c>
      <c r="I2051" s="1794">
        <v>0</v>
      </c>
      <c r="J2051" s="2000">
        <v>1</v>
      </c>
      <c r="K2051" s="1798"/>
      <c r="L2051" s="1792">
        <v>13245010101</v>
      </c>
      <c r="M2051" s="1793">
        <v>1</v>
      </c>
      <c r="N2051" s="1793">
        <v>0</v>
      </c>
      <c r="O2051" s="1794">
        <v>1</v>
      </c>
    </row>
    <row r="2052" spans="3:15">
      <c r="C2052" s="1799" t="s">
        <v>6542</v>
      </c>
      <c r="D2052" s="1796">
        <v>1</v>
      </c>
      <c r="E2052" s="1796">
        <v>1</v>
      </c>
      <c r="F2052" s="1797">
        <v>2</v>
      </c>
      <c r="G2052" s="1999" t="s">
        <v>6542</v>
      </c>
      <c r="H2052" s="1794">
        <v>1</v>
      </c>
      <c r="I2052" s="1794">
        <v>0</v>
      </c>
      <c r="J2052" s="2000">
        <v>1</v>
      </c>
      <c r="K2052" s="1798"/>
      <c r="L2052" s="1792">
        <v>13245010104</v>
      </c>
      <c r="M2052" s="1793">
        <v>1</v>
      </c>
      <c r="N2052" s="1793">
        <v>1</v>
      </c>
      <c r="O2052" s="1794">
        <v>2</v>
      </c>
    </row>
    <row r="2053" spans="3:15">
      <c r="C2053" s="1799" t="s">
        <v>6543</v>
      </c>
      <c r="D2053" s="1796">
        <v>0</v>
      </c>
      <c r="E2053" s="1796">
        <v>0</v>
      </c>
      <c r="F2053" s="1797">
        <v>0</v>
      </c>
      <c r="G2053" s="1999" t="s">
        <v>6543</v>
      </c>
      <c r="H2053" s="1794">
        <v>0</v>
      </c>
      <c r="I2053" s="1794">
        <v>0</v>
      </c>
      <c r="J2053" s="2000">
        <v>0</v>
      </c>
      <c r="K2053" s="1798"/>
      <c r="L2053" s="1792">
        <v>13245010105</v>
      </c>
      <c r="M2053" s="1793">
        <v>0</v>
      </c>
      <c r="N2053" s="1793">
        <v>0</v>
      </c>
      <c r="O2053" s="1794">
        <v>0</v>
      </c>
    </row>
    <row r="2054" spans="3:15">
      <c r="C2054" s="1799" t="s">
        <v>6544</v>
      </c>
      <c r="D2054" s="1796">
        <v>1</v>
      </c>
      <c r="E2054" s="1796">
        <v>0</v>
      </c>
      <c r="F2054" s="1797">
        <v>1</v>
      </c>
      <c r="G2054" s="1999" t="s">
        <v>6544</v>
      </c>
      <c r="H2054" s="1794">
        <v>1</v>
      </c>
      <c r="I2054" s="1794">
        <v>1</v>
      </c>
      <c r="J2054" s="2000">
        <v>2</v>
      </c>
      <c r="K2054" s="1798"/>
      <c r="L2054" s="1792">
        <v>13245010106</v>
      </c>
      <c r="M2054" s="1793">
        <v>1</v>
      </c>
      <c r="N2054" s="1793">
        <v>1</v>
      </c>
      <c r="O2054" s="1794">
        <v>2</v>
      </c>
    </row>
    <row r="2055" spans="3:15">
      <c r="C2055" s="1799" t="s">
        <v>6545</v>
      </c>
      <c r="D2055" s="1796">
        <v>1</v>
      </c>
      <c r="E2055" s="1796">
        <v>0</v>
      </c>
      <c r="F2055" s="1797">
        <v>1</v>
      </c>
      <c r="G2055" s="1999" t="s">
        <v>6545</v>
      </c>
      <c r="H2055" s="1794">
        <v>1</v>
      </c>
      <c r="I2055" s="1794">
        <v>1</v>
      </c>
      <c r="J2055" s="2000">
        <v>2</v>
      </c>
      <c r="K2055" s="1798"/>
      <c r="L2055" s="1792">
        <v>13245010107</v>
      </c>
      <c r="M2055" s="1793">
        <v>1</v>
      </c>
      <c r="N2055" s="1793">
        <v>1</v>
      </c>
      <c r="O2055" s="1794">
        <v>2</v>
      </c>
    </row>
    <row r="2056" spans="3:15">
      <c r="C2056" s="1799" t="s">
        <v>6546</v>
      </c>
      <c r="D2056" s="1796">
        <v>1</v>
      </c>
      <c r="E2056" s="1796">
        <v>1</v>
      </c>
      <c r="F2056" s="1797">
        <v>2</v>
      </c>
      <c r="G2056" s="1999" t="s">
        <v>6546</v>
      </c>
      <c r="H2056" s="1794">
        <v>1</v>
      </c>
      <c r="I2056" s="1794">
        <v>1</v>
      </c>
      <c r="J2056" s="2000">
        <v>2</v>
      </c>
      <c r="K2056" s="1798"/>
      <c r="L2056" s="1792">
        <v>13245010201</v>
      </c>
      <c r="M2056" s="1793">
        <v>1</v>
      </c>
      <c r="N2056" s="1793">
        <v>1</v>
      </c>
      <c r="O2056" s="1794">
        <v>2</v>
      </c>
    </row>
    <row r="2057" spans="3:15">
      <c r="C2057" s="1799" t="s">
        <v>6547</v>
      </c>
      <c r="D2057" s="1796">
        <v>0</v>
      </c>
      <c r="E2057" s="1796">
        <v>0</v>
      </c>
      <c r="F2057" s="1797">
        <v>0</v>
      </c>
      <c r="G2057" s="1999" t="s">
        <v>6547</v>
      </c>
      <c r="H2057" s="1794">
        <v>0</v>
      </c>
      <c r="I2057" s="1794">
        <v>0</v>
      </c>
      <c r="J2057" s="2000">
        <v>0</v>
      </c>
      <c r="K2057" s="1798"/>
      <c r="L2057" s="1792">
        <v>13245010203</v>
      </c>
      <c r="M2057" s="1793">
        <v>0</v>
      </c>
      <c r="N2057" s="1793">
        <v>0</v>
      </c>
      <c r="O2057" s="1794">
        <v>0</v>
      </c>
    </row>
    <row r="2058" spans="3:15">
      <c r="C2058" s="1799" t="s">
        <v>6548</v>
      </c>
      <c r="D2058" s="1796">
        <v>0</v>
      </c>
      <c r="E2058" s="1796">
        <v>0</v>
      </c>
      <c r="F2058" s="1797">
        <v>0</v>
      </c>
      <c r="G2058" s="1999" t="s">
        <v>6548</v>
      </c>
      <c r="H2058" s="1794">
        <v>0</v>
      </c>
      <c r="I2058" s="1794">
        <v>0</v>
      </c>
      <c r="J2058" s="2000">
        <v>0</v>
      </c>
      <c r="K2058" s="1798"/>
      <c r="L2058" s="1792">
        <v>13245010204</v>
      </c>
      <c r="M2058" s="1793">
        <v>0</v>
      </c>
      <c r="N2058" s="1793">
        <v>0</v>
      </c>
      <c r="O2058" s="1794">
        <v>0</v>
      </c>
    </row>
    <row r="2059" spans="3:15">
      <c r="C2059" s="1799" t="s">
        <v>6549</v>
      </c>
      <c r="D2059" s="1796">
        <v>0</v>
      </c>
      <c r="E2059" s="1796">
        <v>0</v>
      </c>
      <c r="F2059" s="1797">
        <v>0</v>
      </c>
      <c r="G2059" s="1999" t="s">
        <v>6549</v>
      </c>
      <c r="H2059" s="1794">
        <v>0</v>
      </c>
      <c r="I2059" s="1794">
        <v>0</v>
      </c>
      <c r="J2059" s="2000">
        <v>0</v>
      </c>
      <c r="K2059" s="1798"/>
      <c r="L2059" s="1792">
        <v>13245010300</v>
      </c>
      <c r="M2059" s="1793">
        <v>0</v>
      </c>
      <c r="N2059" s="1793">
        <v>0</v>
      </c>
      <c r="O2059" s="1794">
        <v>0</v>
      </c>
    </row>
    <row r="2060" spans="3:15">
      <c r="C2060" s="1799" t="s">
        <v>6550</v>
      </c>
      <c r="D2060" s="1796">
        <v>0</v>
      </c>
      <c r="E2060" s="1796">
        <v>0</v>
      </c>
      <c r="F2060" s="1797">
        <v>0</v>
      </c>
      <c r="G2060" s="1999" t="s">
        <v>6550</v>
      </c>
      <c r="H2060" s="1794">
        <v>0</v>
      </c>
      <c r="I2060" s="1794">
        <v>0</v>
      </c>
      <c r="J2060" s="2000">
        <v>0</v>
      </c>
      <c r="K2060" s="1798"/>
      <c r="L2060" s="1792">
        <v>13245010400</v>
      </c>
      <c r="M2060" s="1793">
        <v>0</v>
      </c>
      <c r="N2060" s="1793">
        <v>0</v>
      </c>
      <c r="O2060" s="1794">
        <v>0</v>
      </c>
    </row>
    <row r="2061" spans="3:15">
      <c r="C2061" s="1799" t="s">
        <v>6551</v>
      </c>
      <c r="D2061" s="1796">
        <v>0</v>
      </c>
      <c r="E2061" s="1796">
        <v>0</v>
      </c>
      <c r="F2061" s="1797">
        <v>0</v>
      </c>
      <c r="G2061" s="1999" t="s">
        <v>6551</v>
      </c>
      <c r="H2061" s="1794">
        <v>0</v>
      </c>
      <c r="I2061" s="1794">
        <v>0</v>
      </c>
      <c r="J2061" s="2000">
        <v>0</v>
      </c>
      <c r="K2061" s="1798"/>
      <c r="L2061" s="1792">
        <v>13245010504</v>
      </c>
      <c r="M2061" s="1793">
        <v>0</v>
      </c>
      <c r="N2061" s="1793">
        <v>0</v>
      </c>
      <c r="O2061" s="1794">
        <v>0</v>
      </c>
    </row>
    <row r="2062" spans="3:15">
      <c r="C2062" s="1799" t="s">
        <v>6552</v>
      </c>
      <c r="D2062" s="1796">
        <v>0</v>
      </c>
      <c r="E2062" s="1796">
        <v>0</v>
      </c>
      <c r="F2062" s="1797">
        <v>0</v>
      </c>
      <c r="G2062" s="1999" t="s">
        <v>6552</v>
      </c>
      <c r="H2062" s="1794">
        <v>0</v>
      </c>
      <c r="I2062" s="1794">
        <v>1</v>
      </c>
      <c r="J2062" s="2000">
        <v>1</v>
      </c>
      <c r="K2062" s="1798"/>
      <c r="L2062" s="1792">
        <v>13245010506</v>
      </c>
      <c r="M2062" s="1793">
        <v>0</v>
      </c>
      <c r="N2062" s="1793">
        <v>1</v>
      </c>
      <c r="O2062" s="1794">
        <v>1</v>
      </c>
    </row>
    <row r="2063" spans="3:15">
      <c r="C2063" s="1799" t="s">
        <v>6553</v>
      </c>
      <c r="D2063" s="1796">
        <v>0</v>
      </c>
      <c r="E2063" s="1796">
        <v>0</v>
      </c>
      <c r="F2063" s="1797">
        <v>0</v>
      </c>
      <c r="G2063" s="1999" t="s">
        <v>6553</v>
      </c>
      <c r="H2063" s="1794">
        <v>0</v>
      </c>
      <c r="I2063" s="1794">
        <v>0</v>
      </c>
      <c r="J2063" s="2000">
        <v>0</v>
      </c>
      <c r="K2063" s="1798"/>
      <c r="L2063" s="1792">
        <v>13245010507</v>
      </c>
      <c r="M2063" s="1793">
        <v>0</v>
      </c>
      <c r="N2063" s="1793">
        <v>0</v>
      </c>
      <c r="O2063" s="1794">
        <v>0</v>
      </c>
    </row>
    <row r="2064" spans="3:15">
      <c r="C2064" s="1799" t="s">
        <v>6554</v>
      </c>
      <c r="D2064" s="1796">
        <v>0</v>
      </c>
      <c r="E2064" s="1796">
        <v>0</v>
      </c>
      <c r="F2064" s="1797">
        <v>0</v>
      </c>
      <c r="G2064" s="1999" t="s">
        <v>6554</v>
      </c>
      <c r="H2064" s="1794">
        <v>0</v>
      </c>
      <c r="I2064" s="1794">
        <v>0</v>
      </c>
      <c r="J2064" s="2000">
        <v>0</v>
      </c>
      <c r="K2064" s="1798"/>
      <c r="L2064" s="1792">
        <v>13245010508</v>
      </c>
      <c r="M2064" s="1793">
        <v>0</v>
      </c>
      <c r="N2064" s="1793">
        <v>0</v>
      </c>
      <c r="O2064" s="1794">
        <v>0</v>
      </c>
    </row>
    <row r="2065" spans="3:15">
      <c r="C2065" s="1799" t="s">
        <v>6555</v>
      </c>
      <c r="D2065" s="1796">
        <v>0</v>
      </c>
      <c r="E2065" s="1796">
        <v>0</v>
      </c>
      <c r="F2065" s="1797">
        <v>0</v>
      </c>
      <c r="G2065" s="1999" t="s">
        <v>6555</v>
      </c>
      <c r="H2065" s="1794">
        <v>0</v>
      </c>
      <c r="I2065" s="1794">
        <v>0</v>
      </c>
      <c r="J2065" s="2000">
        <v>0</v>
      </c>
      <c r="K2065" s="1798"/>
      <c r="L2065" s="1792">
        <v>13245010509</v>
      </c>
      <c r="M2065" s="1793">
        <v>0</v>
      </c>
      <c r="N2065" s="1793">
        <v>0</v>
      </c>
      <c r="O2065" s="1794">
        <v>0</v>
      </c>
    </row>
    <row r="2066" spans="3:15">
      <c r="C2066" s="1799" t="s">
        <v>6556</v>
      </c>
      <c r="D2066" s="1796">
        <v>0</v>
      </c>
      <c r="E2066" s="1796">
        <v>0</v>
      </c>
      <c r="F2066" s="1797">
        <v>0</v>
      </c>
      <c r="G2066" s="1999" t="s">
        <v>6556</v>
      </c>
      <c r="H2066" s="1794">
        <v>0</v>
      </c>
      <c r="I2066" s="1794">
        <v>0</v>
      </c>
      <c r="J2066" s="2000">
        <v>0</v>
      </c>
      <c r="K2066" s="1798"/>
      <c r="L2066" s="1792">
        <v>13245010510</v>
      </c>
      <c r="M2066" s="1793">
        <v>0</v>
      </c>
      <c r="N2066" s="1793">
        <v>0</v>
      </c>
      <c r="O2066" s="1794">
        <v>0</v>
      </c>
    </row>
    <row r="2067" spans="3:15">
      <c r="C2067" s="1799" t="s">
        <v>6557</v>
      </c>
      <c r="D2067" s="1796">
        <v>0</v>
      </c>
      <c r="E2067" s="1796">
        <v>0</v>
      </c>
      <c r="F2067" s="1797">
        <v>0</v>
      </c>
      <c r="G2067" s="1999" t="s">
        <v>6557</v>
      </c>
      <c r="H2067" s="1794">
        <v>0</v>
      </c>
      <c r="I2067" s="1794">
        <v>0</v>
      </c>
      <c r="J2067" s="2000">
        <v>0</v>
      </c>
      <c r="K2067" s="1798"/>
      <c r="L2067" s="1792">
        <v>13245010511</v>
      </c>
      <c r="M2067" s="1793">
        <v>0</v>
      </c>
      <c r="N2067" s="1793">
        <v>0</v>
      </c>
      <c r="O2067" s="1794">
        <v>0</v>
      </c>
    </row>
    <row r="2068" spans="3:15">
      <c r="C2068" s="1799" t="s">
        <v>6558</v>
      </c>
      <c r="D2068" s="1796">
        <v>0</v>
      </c>
      <c r="E2068" s="1796">
        <v>0</v>
      </c>
      <c r="F2068" s="1797">
        <v>0</v>
      </c>
      <c r="G2068" s="1999" t="s">
        <v>6558</v>
      </c>
      <c r="H2068" s="1794">
        <v>0</v>
      </c>
      <c r="I2068" s="1794">
        <v>0</v>
      </c>
      <c r="J2068" s="2000">
        <v>0</v>
      </c>
      <c r="K2068" s="1798"/>
      <c r="L2068" s="1792">
        <v>13245010512</v>
      </c>
      <c r="M2068" s="1793">
        <v>0</v>
      </c>
      <c r="N2068" s="1793">
        <v>0</v>
      </c>
      <c r="O2068" s="1794">
        <v>0</v>
      </c>
    </row>
    <row r="2069" spans="3:15">
      <c r="C2069" s="1799" t="s">
        <v>6559</v>
      </c>
      <c r="D2069" s="1796">
        <v>0</v>
      </c>
      <c r="E2069" s="1796">
        <v>0</v>
      </c>
      <c r="F2069" s="1797">
        <v>0</v>
      </c>
      <c r="G2069" s="1999" t="s">
        <v>6559</v>
      </c>
      <c r="H2069" s="1794">
        <v>0</v>
      </c>
      <c r="I2069" s="1794" t="s">
        <v>4485</v>
      </c>
      <c r="J2069" s="2000">
        <v>0</v>
      </c>
      <c r="K2069" s="1798"/>
      <c r="L2069" s="1792">
        <v>13245010513</v>
      </c>
      <c r="M2069" s="1793">
        <v>0</v>
      </c>
      <c r="N2069" s="1793">
        <v>0</v>
      </c>
      <c r="O2069" s="1794">
        <v>0</v>
      </c>
    </row>
    <row r="2070" spans="3:15">
      <c r="C2070" s="1799" t="s">
        <v>6560</v>
      </c>
      <c r="D2070" s="1796">
        <v>0</v>
      </c>
      <c r="E2070" s="1796">
        <v>0</v>
      </c>
      <c r="F2070" s="1797">
        <v>0</v>
      </c>
      <c r="G2070" s="1999" t="s">
        <v>6560</v>
      </c>
      <c r="H2070" s="1794">
        <v>0</v>
      </c>
      <c r="I2070" s="1794">
        <v>0</v>
      </c>
      <c r="J2070" s="2000">
        <v>0</v>
      </c>
      <c r="K2070" s="1798"/>
      <c r="L2070" s="1792">
        <v>13245010600</v>
      </c>
      <c r="M2070" s="1793">
        <v>0</v>
      </c>
      <c r="N2070" s="1793">
        <v>0</v>
      </c>
      <c r="O2070" s="1794">
        <v>0</v>
      </c>
    </row>
    <row r="2071" spans="3:15">
      <c r="C2071" s="1799" t="s">
        <v>6561</v>
      </c>
      <c r="D2071" s="1796">
        <v>0</v>
      </c>
      <c r="E2071" s="1796">
        <v>0</v>
      </c>
      <c r="F2071" s="1797">
        <v>0</v>
      </c>
      <c r="G2071" s="1999" t="s">
        <v>6561</v>
      </c>
      <c r="H2071" s="1794">
        <v>0</v>
      </c>
      <c r="I2071" s="1794">
        <v>0</v>
      </c>
      <c r="J2071" s="2000">
        <v>0</v>
      </c>
      <c r="K2071" s="1798"/>
      <c r="L2071" s="1792">
        <v>13245010706</v>
      </c>
      <c r="M2071" s="1793">
        <v>0</v>
      </c>
      <c r="N2071" s="1793">
        <v>0</v>
      </c>
      <c r="O2071" s="1794">
        <v>0</v>
      </c>
    </row>
    <row r="2072" spans="3:15">
      <c r="C2072" s="1799" t="s">
        <v>6562</v>
      </c>
      <c r="D2072" s="1796">
        <v>0</v>
      </c>
      <c r="E2072" s="1796">
        <v>0</v>
      </c>
      <c r="F2072" s="1797">
        <v>0</v>
      </c>
      <c r="G2072" s="1999" t="s">
        <v>6562</v>
      </c>
      <c r="H2072" s="1794">
        <v>0</v>
      </c>
      <c r="I2072" s="1794">
        <v>0</v>
      </c>
      <c r="J2072" s="2000">
        <v>0</v>
      </c>
      <c r="K2072" s="1798"/>
      <c r="L2072" s="1792">
        <v>13245010707</v>
      </c>
      <c r="M2072" s="1793">
        <v>0</v>
      </c>
      <c r="N2072" s="1793">
        <v>0</v>
      </c>
      <c r="O2072" s="1794">
        <v>0</v>
      </c>
    </row>
    <row r="2073" spans="3:15">
      <c r="C2073" s="1799" t="s">
        <v>6563</v>
      </c>
      <c r="D2073" s="1796">
        <v>0</v>
      </c>
      <c r="E2073" s="1796">
        <v>0</v>
      </c>
      <c r="F2073" s="1797">
        <v>0</v>
      </c>
      <c r="G2073" s="1999" t="s">
        <v>6563</v>
      </c>
      <c r="H2073" s="1794">
        <v>0</v>
      </c>
      <c r="I2073" s="1794">
        <v>1</v>
      </c>
      <c r="J2073" s="2000">
        <v>1</v>
      </c>
      <c r="K2073" s="1798"/>
      <c r="L2073" s="1792">
        <v>13245010708</v>
      </c>
      <c r="M2073" s="1793">
        <v>0</v>
      </c>
      <c r="N2073" s="1793">
        <v>1</v>
      </c>
      <c r="O2073" s="1794">
        <v>1</v>
      </c>
    </row>
    <row r="2074" spans="3:15">
      <c r="C2074" s="1799" t="s">
        <v>6564</v>
      </c>
      <c r="D2074" s="1796">
        <v>1</v>
      </c>
      <c r="E2074" s="1796">
        <v>0</v>
      </c>
      <c r="F2074" s="1797">
        <v>1</v>
      </c>
      <c r="G2074" s="1999" t="s">
        <v>6564</v>
      </c>
      <c r="H2074" s="1794">
        <v>1</v>
      </c>
      <c r="I2074" s="1794">
        <v>1</v>
      </c>
      <c r="J2074" s="2000">
        <v>2</v>
      </c>
      <c r="K2074" s="1798"/>
      <c r="L2074" s="1792">
        <v>13245010709</v>
      </c>
      <c r="M2074" s="1793">
        <v>1</v>
      </c>
      <c r="N2074" s="1793">
        <v>1</v>
      </c>
      <c r="O2074" s="1794">
        <v>2</v>
      </c>
    </row>
    <row r="2075" spans="3:15">
      <c r="C2075" s="1799" t="s">
        <v>6565</v>
      </c>
      <c r="D2075" s="1796">
        <v>0</v>
      </c>
      <c r="E2075" s="1796">
        <v>0</v>
      </c>
      <c r="F2075" s="1797">
        <v>0</v>
      </c>
      <c r="G2075" s="1999" t="s">
        <v>6565</v>
      </c>
      <c r="H2075" s="1794">
        <v>0</v>
      </c>
      <c r="I2075" s="1794" t="s">
        <v>4485</v>
      </c>
      <c r="J2075" s="2000">
        <v>0</v>
      </c>
      <c r="K2075" s="1798"/>
      <c r="L2075" s="1792">
        <v>13245010710</v>
      </c>
      <c r="M2075" s="1793">
        <v>0</v>
      </c>
      <c r="N2075" s="1793">
        <v>0</v>
      </c>
      <c r="O2075" s="1794">
        <v>0</v>
      </c>
    </row>
    <row r="2076" spans="3:15">
      <c r="C2076" s="1799" t="s">
        <v>6566</v>
      </c>
      <c r="D2076" s="1796">
        <v>0</v>
      </c>
      <c r="E2076" s="1796">
        <v>0</v>
      </c>
      <c r="F2076" s="1797">
        <v>0</v>
      </c>
      <c r="G2076" s="1999" t="s">
        <v>6566</v>
      </c>
      <c r="H2076" s="1794">
        <v>0</v>
      </c>
      <c r="I2076" s="1794">
        <v>0</v>
      </c>
      <c r="J2076" s="2000">
        <v>0</v>
      </c>
      <c r="K2076" s="1798"/>
      <c r="L2076" s="1792">
        <v>13245010711</v>
      </c>
      <c r="M2076" s="1793">
        <v>0</v>
      </c>
      <c r="N2076" s="1793">
        <v>0</v>
      </c>
      <c r="O2076" s="1794">
        <v>0</v>
      </c>
    </row>
    <row r="2077" spans="3:15">
      <c r="C2077" s="1799" t="s">
        <v>6567</v>
      </c>
      <c r="D2077" s="1796">
        <v>0</v>
      </c>
      <c r="E2077" s="1796">
        <v>0</v>
      </c>
      <c r="F2077" s="1797">
        <v>0</v>
      </c>
      <c r="G2077" s="1999" t="s">
        <v>6567</v>
      </c>
      <c r="H2077" s="1794">
        <v>0</v>
      </c>
      <c r="I2077" s="1794">
        <v>0</v>
      </c>
      <c r="J2077" s="2000">
        <v>0</v>
      </c>
      <c r="K2077" s="1798"/>
      <c r="L2077" s="1792">
        <v>13245010712</v>
      </c>
      <c r="M2077" s="1793">
        <v>0</v>
      </c>
      <c r="N2077" s="1793">
        <v>0</v>
      </c>
      <c r="O2077" s="1794">
        <v>0</v>
      </c>
    </row>
    <row r="2078" spans="3:15">
      <c r="C2078" s="1799" t="s">
        <v>6568</v>
      </c>
      <c r="D2078" s="1796">
        <v>0</v>
      </c>
      <c r="E2078" s="1796">
        <v>1</v>
      </c>
      <c r="F2078" s="1797">
        <v>1</v>
      </c>
      <c r="G2078" s="1999" t="s">
        <v>6568</v>
      </c>
      <c r="H2078" s="1794">
        <v>0</v>
      </c>
      <c r="I2078" s="1794" t="s">
        <v>4485</v>
      </c>
      <c r="J2078" s="2000">
        <v>0</v>
      </c>
      <c r="K2078" s="1798"/>
      <c r="L2078" s="1792">
        <v>13245010800</v>
      </c>
      <c r="M2078" s="1793">
        <v>0</v>
      </c>
      <c r="N2078" s="1793">
        <v>1</v>
      </c>
      <c r="O2078" s="1794">
        <v>1</v>
      </c>
    </row>
    <row r="2079" spans="3:15">
      <c r="C2079" s="1799" t="s">
        <v>6569</v>
      </c>
      <c r="D2079" s="1796">
        <v>0</v>
      </c>
      <c r="E2079" s="1796">
        <v>0</v>
      </c>
      <c r="F2079" s="1797">
        <v>0</v>
      </c>
      <c r="G2079" s="1999" t="s">
        <v>6569</v>
      </c>
      <c r="H2079" s="1794">
        <v>0</v>
      </c>
      <c r="I2079" s="1794">
        <v>0</v>
      </c>
      <c r="J2079" s="2000">
        <v>0</v>
      </c>
      <c r="K2079" s="1798"/>
      <c r="L2079" s="1792">
        <v>13245010903</v>
      </c>
      <c r="M2079" s="1793">
        <v>0</v>
      </c>
      <c r="N2079" s="1793">
        <v>0</v>
      </c>
      <c r="O2079" s="1794">
        <v>0</v>
      </c>
    </row>
    <row r="2080" spans="3:15">
      <c r="C2080" s="1799" t="s">
        <v>6570</v>
      </c>
      <c r="D2080" s="1796">
        <v>0</v>
      </c>
      <c r="E2080" s="1796">
        <v>0</v>
      </c>
      <c r="F2080" s="1797">
        <v>0</v>
      </c>
      <c r="G2080" s="1999" t="s">
        <v>6570</v>
      </c>
      <c r="H2080" s="1794">
        <v>0</v>
      </c>
      <c r="I2080" s="1794">
        <v>0</v>
      </c>
      <c r="J2080" s="2000">
        <v>0</v>
      </c>
      <c r="K2080" s="1798"/>
      <c r="L2080" s="1792">
        <v>13245010904</v>
      </c>
      <c r="M2080" s="1793">
        <v>0</v>
      </c>
      <c r="N2080" s="1793">
        <v>0</v>
      </c>
      <c r="O2080" s="1794">
        <v>0</v>
      </c>
    </row>
    <row r="2081" spans="3:15">
      <c r="C2081" s="1799" t="s">
        <v>6571</v>
      </c>
      <c r="D2081" s="1796">
        <v>0</v>
      </c>
      <c r="E2081" s="1796">
        <v>0</v>
      </c>
      <c r="F2081" s="1797">
        <v>0</v>
      </c>
      <c r="G2081" s="1999" t="s">
        <v>6571</v>
      </c>
      <c r="H2081" s="1794">
        <v>0</v>
      </c>
      <c r="I2081" s="1794">
        <v>0</v>
      </c>
      <c r="J2081" s="2000">
        <v>0</v>
      </c>
      <c r="K2081" s="1798"/>
      <c r="L2081" s="1792">
        <v>13245010905</v>
      </c>
      <c r="M2081" s="1793">
        <v>0</v>
      </c>
      <c r="N2081" s="1793">
        <v>0</v>
      </c>
      <c r="O2081" s="1794">
        <v>0</v>
      </c>
    </row>
    <row r="2082" spans="3:15">
      <c r="C2082" s="1799" t="s">
        <v>6572</v>
      </c>
      <c r="D2082" s="1796">
        <v>0</v>
      </c>
      <c r="E2082" s="1796">
        <v>1</v>
      </c>
      <c r="F2082" s="1797">
        <v>1</v>
      </c>
      <c r="G2082" s="1999" t="s">
        <v>6572</v>
      </c>
      <c r="H2082" s="1794">
        <v>0</v>
      </c>
      <c r="I2082" s="1794">
        <v>1</v>
      </c>
      <c r="J2082" s="2000">
        <v>1</v>
      </c>
      <c r="K2082" s="1798"/>
      <c r="L2082" s="1792">
        <v>13245010906</v>
      </c>
      <c r="M2082" s="1793">
        <v>0</v>
      </c>
      <c r="N2082" s="1793">
        <v>1</v>
      </c>
      <c r="O2082" s="1794">
        <v>1</v>
      </c>
    </row>
    <row r="2083" spans="3:15">
      <c r="C2083" s="1799" t="s">
        <v>6573</v>
      </c>
      <c r="D2083" s="1796">
        <v>0</v>
      </c>
      <c r="E2083" s="1796">
        <v>0</v>
      </c>
      <c r="F2083" s="1797">
        <v>0</v>
      </c>
      <c r="G2083" s="1999" t="s">
        <v>6573</v>
      </c>
      <c r="H2083" s="1794">
        <v>0</v>
      </c>
      <c r="I2083" s="1794">
        <v>0</v>
      </c>
      <c r="J2083" s="2000">
        <v>0</v>
      </c>
      <c r="K2083" s="1798"/>
      <c r="L2083" s="1792">
        <v>13245011000</v>
      </c>
      <c r="M2083" s="1793">
        <v>0</v>
      </c>
      <c r="N2083" s="1793">
        <v>0</v>
      </c>
      <c r="O2083" s="1794">
        <v>0</v>
      </c>
    </row>
    <row r="2084" spans="3:15">
      <c r="C2084" s="1799" t="s">
        <v>6574</v>
      </c>
      <c r="D2084" s="1796">
        <v>0</v>
      </c>
      <c r="E2084" s="1796">
        <v>1</v>
      </c>
      <c r="F2084" s="1797">
        <v>1</v>
      </c>
      <c r="G2084" s="1999" t="s">
        <v>6574</v>
      </c>
      <c r="H2084" s="1794">
        <v>1</v>
      </c>
      <c r="I2084" s="1794">
        <v>1</v>
      </c>
      <c r="J2084" s="2000">
        <v>2</v>
      </c>
      <c r="K2084" s="1798"/>
      <c r="L2084" s="1792">
        <v>13247060101</v>
      </c>
      <c r="M2084" s="1793">
        <v>1</v>
      </c>
      <c r="N2084" s="1793">
        <v>1</v>
      </c>
      <c r="O2084" s="1794">
        <v>2</v>
      </c>
    </row>
    <row r="2085" spans="3:15">
      <c r="C2085" s="1799" t="s">
        <v>6575</v>
      </c>
      <c r="D2085" s="1796">
        <v>0</v>
      </c>
      <c r="E2085" s="1796">
        <v>1</v>
      </c>
      <c r="F2085" s="1797">
        <v>1</v>
      </c>
      <c r="G2085" s="1999" t="s">
        <v>6575</v>
      </c>
      <c r="H2085" s="1794">
        <v>1</v>
      </c>
      <c r="I2085" s="1794">
        <v>1</v>
      </c>
      <c r="J2085" s="2000">
        <v>2</v>
      </c>
      <c r="K2085" s="1798"/>
      <c r="L2085" s="1792">
        <v>13247060102</v>
      </c>
      <c r="M2085" s="1793">
        <v>1</v>
      </c>
      <c r="N2085" s="1793">
        <v>1</v>
      </c>
      <c r="O2085" s="1794">
        <v>2</v>
      </c>
    </row>
    <row r="2086" spans="3:15">
      <c r="C2086" s="1799" t="s">
        <v>6576</v>
      </c>
      <c r="D2086" s="1796">
        <v>0</v>
      </c>
      <c r="E2086" s="1796">
        <v>0</v>
      </c>
      <c r="F2086" s="1797">
        <v>0</v>
      </c>
      <c r="G2086" s="1999" t="s">
        <v>6576</v>
      </c>
      <c r="H2086" s="1794">
        <v>0</v>
      </c>
      <c r="I2086" s="1794">
        <v>0</v>
      </c>
      <c r="J2086" s="2000">
        <v>0</v>
      </c>
      <c r="K2086" s="1798"/>
      <c r="L2086" s="1792">
        <v>13247060201</v>
      </c>
      <c r="M2086" s="1793">
        <v>0</v>
      </c>
      <c r="N2086" s="1793">
        <v>0</v>
      </c>
      <c r="O2086" s="1794">
        <v>0</v>
      </c>
    </row>
    <row r="2087" spans="3:15">
      <c r="C2087" s="1799" t="s">
        <v>6577</v>
      </c>
      <c r="D2087" s="1796">
        <v>1</v>
      </c>
      <c r="E2087" s="1796">
        <v>1</v>
      </c>
      <c r="F2087" s="1797">
        <v>2</v>
      </c>
      <c r="G2087" s="1999" t="s">
        <v>6577</v>
      </c>
      <c r="H2087" s="1794">
        <v>1</v>
      </c>
      <c r="I2087" s="1794">
        <v>1</v>
      </c>
      <c r="J2087" s="2000">
        <v>2</v>
      </c>
      <c r="K2087" s="1798"/>
      <c r="L2087" s="1792">
        <v>13247060202</v>
      </c>
      <c r="M2087" s="1793">
        <v>1</v>
      </c>
      <c r="N2087" s="1793">
        <v>1</v>
      </c>
      <c r="O2087" s="1794">
        <v>2</v>
      </c>
    </row>
    <row r="2088" spans="3:15">
      <c r="C2088" s="1799" t="s">
        <v>6578</v>
      </c>
      <c r="D2088" s="1796">
        <v>0</v>
      </c>
      <c r="E2088" s="1796">
        <v>0</v>
      </c>
      <c r="F2088" s="1797">
        <v>0</v>
      </c>
      <c r="G2088" s="1999" t="s">
        <v>6578</v>
      </c>
      <c r="H2088" s="1794">
        <v>0</v>
      </c>
      <c r="I2088" s="1794">
        <v>0</v>
      </c>
      <c r="J2088" s="2000">
        <v>0</v>
      </c>
      <c r="K2088" s="1798"/>
      <c r="L2088" s="1792">
        <v>13247060304</v>
      </c>
      <c r="M2088" s="1793">
        <v>0</v>
      </c>
      <c r="N2088" s="1793">
        <v>0</v>
      </c>
      <c r="O2088" s="1794">
        <v>0</v>
      </c>
    </row>
    <row r="2089" spans="3:15">
      <c r="C2089" s="1799" t="s">
        <v>6579</v>
      </c>
      <c r="D2089" s="1796">
        <v>0</v>
      </c>
      <c r="E2089" s="1796">
        <v>0</v>
      </c>
      <c r="F2089" s="1797">
        <v>0</v>
      </c>
      <c r="G2089" s="1999" t="s">
        <v>6579</v>
      </c>
      <c r="H2089" s="1794">
        <v>0</v>
      </c>
      <c r="I2089" s="1794">
        <v>0</v>
      </c>
      <c r="J2089" s="2000">
        <v>0</v>
      </c>
      <c r="K2089" s="1798"/>
      <c r="L2089" s="1792">
        <v>13247060305</v>
      </c>
      <c r="M2089" s="1793">
        <v>0</v>
      </c>
      <c r="N2089" s="1793">
        <v>0</v>
      </c>
      <c r="O2089" s="1794">
        <v>0</v>
      </c>
    </row>
    <row r="2090" spans="3:15">
      <c r="C2090" s="1799" t="s">
        <v>6580</v>
      </c>
      <c r="D2090" s="1796">
        <v>1</v>
      </c>
      <c r="E2090" s="1796">
        <v>1</v>
      </c>
      <c r="F2090" s="1797">
        <v>2</v>
      </c>
      <c r="G2090" s="1999" t="s">
        <v>6580</v>
      </c>
      <c r="H2090" s="1794">
        <v>1</v>
      </c>
      <c r="I2090" s="1794">
        <v>1</v>
      </c>
      <c r="J2090" s="2000">
        <v>2</v>
      </c>
      <c r="K2090" s="1798"/>
      <c r="L2090" s="1792">
        <v>13247060306</v>
      </c>
      <c r="M2090" s="1793">
        <v>1</v>
      </c>
      <c r="N2090" s="1793">
        <v>1</v>
      </c>
      <c r="O2090" s="1794">
        <v>2</v>
      </c>
    </row>
    <row r="2091" spans="3:15">
      <c r="C2091" s="1799" t="s">
        <v>6581</v>
      </c>
      <c r="D2091" s="1796">
        <v>0</v>
      </c>
      <c r="E2091" s="1796">
        <v>1</v>
      </c>
      <c r="F2091" s="1797">
        <v>1</v>
      </c>
      <c r="G2091" s="1999" t="s">
        <v>6581</v>
      </c>
      <c r="H2091" s="1794">
        <v>0</v>
      </c>
      <c r="I2091" s="1794">
        <v>1</v>
      </c>
      <c r="J2091" s="2000">
        <v>1</v>
      </c>
      <c r="K2091" s="1798"/>
      <c r="L2091" s="1792">
        <v>13247060307</v>
      </c>
      <c r="M2091" s="1793">
        <v>0</v>
      </c>
      <c r="N2091" s="1793">
        <v>1</v>
      </c>
      <c r="O2091" s="1794">
        <v>1</v>
      </c>
    </row>
    <row r="2092" spans="3:15">
      <c r="C2092" s="1799" t="s">
        <v>6582</v>
      </c>
      <c r="D2092" s="1796">
        <v>0</v>
      </c>
      <c r="E2092" s="1796">
        <v>0</v>
      </c>
      <c r="F2092" s="1797">
        <v>0</v>
      </c>
      <c r="G2092" s="1999" t="s">
        <v>6582</v>
      </c>
      <c r="H2092" s="1794">
        <v>0</v>
      </c>
      <c r="I2092" s="1794">
        <v>0</v>
      </c>
      <c r="J2092" s="2000">
        <v>0</v>
      </c>
      <c r="K2092" s="1798"/>
      <c r="L2092" s="1792">
        <v>13247060308</v>
      </c>
      <c r="M2092" s="1793">
        <v>0</v>
      </c>
      <c r="N2092" s="1793">
        <v>0</v>
      </c>
      <c r="O2092" s="1794">
        <v>0</v>
      </c>
    </row>
    <row r="2093" spans="3:15">
      <c r="C2093" s="1799" t="s">
        <v>6583</v>
      </c>
      <c r="D2093" s="1796">
        <v>0</v>
      </c>
      <c r="E2093" s="1796">
        <v>0</v>
      </c>
      <c r="F2093" s="1797">
        <v>0</v>
      </c>
      <c r="G2093" s="1999" t="s">
        <v>6583</v>
      </c>
      <c r="H2093" s="1794">
        <v>0</v>
      </c>
      <c r="I2093" s="1794">
        <v>0</v>
      </c>
      <c r="J2093" s="2000">
        <v>0</v>
      </c>
      <c r="K2093" s="1798"/>
      <c r="L2093" s="1792">
        <v>13247060309</v>
      </c>
      <c r="M2093" s="1793">
        <v>0</v>
      </c>
      <c r="N2093" s="1793">
        <v>0</v>
      </c>
      <c r="O2093" s="1794">
        <v>0</v>
      </c>
    </row>
    <row r="2094" spans="3:15">
      <c r="C2094" s="1799" t="s">
        <v>6584</v>
      </c>
      <c r="D2094" s="1796">
        <v>1</v>
      </c>
      <c r="E2094" s="1796">
        <v>1</v>
      </c>
      <c r="F2094" s="1797">
        <v>2</v>
      </c>
      <c r="G2094" s="1999" t="s">
        <v>6584</v>
      </c>
      <c r="H2094" s="1794">
        <v>1</v>
      </c>
      <c r="I2094" s="1794">
        <v>0</v>
      </c>
      <c r="J2094" s="2000">
        <v>1</v>
      </c>
      <c r="K2094" s="1798"/>
      <c r="L2094" s="1792">
        <v>13247060403</v>
      </c>
      <c r="M2094" s="1793">
        <v>1</v>
      </c>
      <c r="N2094" s="1793">
        <v>1</v>
      </c>
      <c r="O2094" s="1794">
        <v>2</v>
      </c>
    </row>
    <row r="2095" spans="3:15">
      <c r="C2095" s="1799" t="s">
        <v>6585</v>
      </c>
      <c r="D2095" s="1796">
        <v>1</v>
      </c>
      <c r="E2095" s="1796">
        <v>1</v>
      </c>
      <c r="F2095" s="1797">
        <v>2</v>
      </c>
      <c r="G2095" s="1999" t="s">
        <v>6585</v>
      </c>
      <c r="H2095" s="1794">
        <v>1</v>
      </c>
      <c r="I2095" s="1794">
        <v>1</v>
      </c>
      <c r="J2095" s="2000">
        <v>2</v>
      </c>
      <c r="K2095" s="1798"/>
      <c r="L2095" s="1792">
        <v>13247060404</v>
      </c>
      <c r="M2095" s="1793">
        <v>1</v>
      </c>
      <c r="N2095" s="1793">
        <v>1</v>
      </c>
      <c r="O2095" s="1794">
        <v>2</v>
      </c>
    </row>
    <row r="2096" spans="3:15">
      <c r="C2096" s="1799" t="s">
        <v>6586</v>
      </c>
      <c r="D2096" s="1796">
        <v>1</v>
      </c>
      <c r="E2096" s="1796">
        <v>1</v>
      </c>
      <c r="F2096" s="1797">
        <v>2</v>
      </c>
      <c r="G2096" s="1999" t="s">
        <v>6586</v>
      </c>
      <c r="H2096" s="1794">
        <v>0</v>
      </c>
      <c r="I2096" s="1794">
        <v>1</v>
      </c>
      <c r="J2096" s="2000">
        <v>1</v>
      </c>
      <c r="K2096" s="1798"/>
      <c r="L2096" s="1792">
        <v>13247060405</v>
      </c>
      <c r="M2096" s="1793">
        <v>1</v>
      </c>
      <c r="N2096" s="1793">
        <v>1</v>
      </c>
      <c r="O2096" s="1794">
        <v>2</v>
      </c>
    </row>
    <row r="2097" spans="3:15">
      <c r="C2097" s="1799" t="s">
        <v>6587</v>
      </c>
      <c r="D2097" s="1796">
        <v>1</v>
      </c>
      <c r="E2097" s="1796">
        <v>1</v>
      </c>
      <c r="F2097" s="1797">
        <v>2</v>
      </c>
      <c r="G2097" s="1999" t="s">
        <v>6587</v>
      </c>
      <c r="H2097" s="1794">
        <v>1</v>
      </c>
      <c r="I2097" s="1794">
        <v>1</v>
      </c>
      <c r="J2097" s="2000">
        <v>2</v>
      </c>
      <c r="K2097" s="1798"/>
      <c r="L2097" s="1792">
        <v>13247060406</v>
      </c>
      <c r="M2097" s="1793">
        <v>1</v>
      </c>
      <c r="N2097" s="1793">
        <v>1</v>
      </c>
      <c r="O2097" s="1794">
        <v>2</v>
      </c>
    </row>
    <row r="2098" spans="3:15">
      <c r="C2098" s="1799" t="s">
        <v>6588</v>
      </c>
      <c r="D2098" s="1796">
        <v>0</v>
      </c>
      <c r="E2098" s="1796">
        <v>1</v>
      </c>
      <c r="F2098" s="1797">
        <v>1</v>
      </c>
      <c r="G2098" s="1999" t="s">
        <v>6588</v>
      </c>
      <c r="H2098" s="1794">
        <v>0</v>
      </c>
      <c r="I2098" s="1794">
        <v>1</v>
      </c>
      <c r="J2098" s="2000">
        <v>1</v>
      </c>
      <c r="K2098" s="1798"/>
      <c r="L2098" s="1792">
        <v>13247060407</v>
      </c>
      <c r="M2098" s="1793">
        <v>0</v>
      </c>
      <c r="N2098" s="1793">
        <v>1</v>
      </c>
      <c r="O2098" s="1794">
        <v>1</v>
      </c>
    </row>
    <row r="2099" spans="3:15">
      <c r="C2099" s="1799" t="s">
        <v>6589</v>
      </c>
      <c r="D2099" s="1796">
        <v>0</v>
      </c>
      <c r="E2099" s="1796">
        <v>0</v>
      </c>
      <c r="F2099" s="1797">
        <v>0</v>
      </c>
      <c r="G2099" s="1999" t="s">
        <v>6589</v>
      </c>
      <c r="H2099" s="1794">
        <v>0</v>
      </c>
      <c r="I2099" s="1794">
        <v>1</v>
      </c>
      <c r="J2099" s="2000">
        <v>1</v>
      </c>
      <c r="K2099" s="1798"/>
      <c r="L2099" s="1792">
        <v>13249960100</v>
      </c>
      <c r="M2099" s="1793">
        <v>0</v>
      </c>
      <c r="N2099" s="1793">
        <v>1</v>
      </c>
      <c r="O2099" s="1794">
        <v>1</v>
      </c>
    </row>
    <row r="2100" spans="3:15">
      <c r="C2100" s="1799" t="s">
        <v>6590</v>
      </c>
      <c r="D2100" s="1796">
        <v>0</v>
      </c>
      <c r="E2100" s="1796">
        <v>0</v>
      </c>
      <c r="F2100" s="1797">
        <v>0</v>
      </c>
      <c r="G2100" s="1999" t="s">
        <v>6590</v>
      </c>
      <c r="H2100" s="1794">
        <v>0</v>
      </c>
      <c r="I2100" s="1794">
        <v>0</v>
      </c>
      <c r="J2100" s="2000">
        <v>0</v>
      </c>
      <c r="K2100" s="1798"/>
      <c r="L2100" s="1792">
        <v>13249960200</v>
      </c>
      <c r="M2100" s="1793">
        <v>0</v>
      </c>
      <c r="N2100" s="1793">
        <v>0</v>
      </c>
      <c r="O2100" s="1794">
        <v>0</v>
      </c>
    </row>
    <row r="2101" spans="3:15">
      <c r="C2101" s="1799" t="s">
        <v>6591</v>
      </c>
      <c r="D2101" s="1796">
        <v>0</v>
      </c>
      <c r="E2101" s="1796">
        <v>0</v>
      </c>
      <c r="F2101" s="1797">
        <v>0</v>
      </c>
      <c r="G2101" s="1999" t="s">
        <v>6591</v>
      </c>
      <c r="H2101" s="1794">
        <v>0</v>
      </c>
      <c r="I2101" s="1794">
        <v>0</v>
      </c>
      <c r="J2101" s="2000">
        <v>0</v>
      </c>
      <c r="K2101" s="1798"/>
      <c r="L2101" s="1792">
        <v>13251970200</v>
      </c>
      <c r="M2101" s="1793">
        <v>0</v>
      </c>
      <c r="N2101" s="1793">
        <v>0</v>
      </c>
      <c r="O2101" s="1794">
        <v>0</v>
      </c>
    </row>
    <row r="2102" spans="3:15">
      <c r="C2102" s="1799" t="s">
        <v>6592</v>
      </c>
      <c r="D2102" s="1796">
        <v>0</v>
      </c>
      <c r="E2102" s="1796">
        <v>0</v>
      </c>
      <c r="F2102" s="1797">
        <v>0</v>
      </c>
      <c r="G2102" s="1999" t="s">
        <v>6592</v>
      </c>
      <c r="H2102" s="1794">
        <v>0</v>
      </c>
      <c r="I2102" s="1794">
        <v>0</v>
      </c>
      <c r="J2102" s="2000">
        <v>0</v>
      </c>
      <c r="K2102" s="1798"/>
      <c r="L2102" s="1792">
        <v>13251970300</v>
      </c>
      <c r="M2102" s="1793">
        <v>0</v>
      </c>
      <c r="N2102" s="1793">
        <v>0</v>
      </c>
      <c r="O2102" s="1794">
        <v>0</v>
      </c>
    </row>
    <row r="2103" spans="3:15">
      <c r="C2103" s="1799" t="s">
        <v>6593</v>
      </c>
      <c r="D2103" s="1796">
        <v>0</v>
      </c>
      <c r="E2103" s="1796">
        <v>0</v>
      </c>
      <c r="F2103" s="1797">
        <v>0</v>
      </c>
      <c r="G2103" s="1999" t="s">
        <v>6593</v>
      </c>
      <c r="H2103" s="1794">
        <v>0</v>
      </c>
      <c r="I2103" s="1794">
        <v>0</v>
      </c>
      <c r="J2103" s="2000">
        <v>0</v>
      </c>
      <c r="K2103" s="1798"/>
      <c r="L2103" s="1792">
        <v>13251970400</v>
      </c>
      <c r="M2103" s="1793">
        <v>0</v>
      </c>
      <c r="N2103" s="1793">
        <v>0</v>
      </c>
      <c r="O2103" s="1794">
        <v>0</v>
      </c>
    </row>
    <row r="2104" spans="3:15">
      <c r="C2104" s="1799" t="s">
        <v>6594</v>
      </c>
      <c r="D2104" s="1796">
        <v>0</v>
      </c>
      <c r="E2104" s="1796">
        <v>0</v>
      </c>
      <c r="F2104" s="1797">
        <v>0</v>
      </c>
      <c r="G2104" s="1999" t="s">
        <v>6594</v>
      </c>
      <c r="H2104" s="1794">
        <v>0</v>
      </c>
      <c r="I2104" s="1794">
        <v>0</v>
      </c>
      <c r="J2104" s="2000">
        <v>0</v>
      </c>
      <c r="K2104" s="1798"/>
      <c r="L2104" s="1792">
        <v>13251970500</v>
      </c>
      <c r="M2104" s="1793">
        <v>0</v>
      </c>
      <c r="N2104" s="1793">
        <v>0</v>
      </c>
      <c r="O2104" s="1794">
        <v>0</v>
      </c>
    </row>
    <row r="2105" spans="3:15">
      <c r="C2105" s="1799" t="s">
        <v>6595</v>
      </c>
      <c r="D2105" s="1796">
        <v>0</v>
      </c>
      <c r="E2105" s="1796">
        <v>0</v>
      </c>
      <c r="F2105" s="1797">
        <v>0</v>
      </c>
      <c r="G2105" s="1999" t="s">
        <v>6595</v>
      </c>
      <c r="H2105" s="1794">
        <v>0</v>
      </c>
      <c r="I2105" s="1794">
        <v>0</v>
      </c>
      <c r="J2105" s="2000">
        <v>0</v>
      </c>
      <c r="K2105" s="1798"/>
      <c r="L2105" s="1792">
        <v>13251970600</v>
      </c>
      <c r="M2105" s="1793">
        <v>0</v>
      </c>
      <c r="N2105" s="1793">
        <v>0</v>
      </c>
      <c r="O2105" s="1794">
        <v>0</v>
      </c>
    </row>
    <row r="2106" spans="3:15">
      <c r="C2106" s="1799" t="s">
        <v>6596</v>
      </c>
      <c r="D2106" s="1796">
        <v>0</v>
      </c>
      <c r="E2106" s="1796">
        <v>0</v>
      </c>
      <c r="F2106" s="1797">
        <v>0</v>
      </c>
      <c r="G2106" s="1999" t="s">
        <v>6596</v>
      </c>
      <c r="H2106" s="1794">
        <v>0</v>
      </c>
      <c r="I2106" s="1794">
        <v>0</v>
      </c>
      <c r="J2106" s="2000">
        <v>0</v>
      </c>
      <c r="K2106" s="1798"/>
      <c r="L2106" s="1792">
        <v>13253200100</v>
      </c>
      <c r="M2106" s="1793">
        <v>0</v>
      </c>
      <c r="N2106" s="1793">
        <v>0</v>
      </c>
      <c r="O2106" s="1794">
        <v>0</v>
      </c>
    </row>
    <row r="2107" spans="3:15">
      <c r="C2107" s="1799" t="s">
        <v>6597</v>
      </c>
      <c r="D2107" s="1796">
        <v>0</v>
      </c>
      <c r="E2107" s="1796">
        <v>0</v>
      </c>
      <c r="F2107" s="1797">
        <v>0</v>
      </c>
      <c r="G2107" s="1999" t="s">
        <v>6597</v>
      </c>
      <c r="H2107" s="1794">
        <v>0</v>
      </c>
      <c r="I2107" s="1794">
        <v>0</v>
      </c>
      <c r="J2107" s="2000">
        <v>0</v>
      </c>
      <c r="K2107" s="1798"/>
      <c r="L2107" s="1792">
        <v>13253200200</v>
      </c>
      <c r="M2107" s="1793">
        <v>0</v>
      </c>
      <c r="N2107" s="1793">
        <v>0</v>
      </c>
      <c r="O2107" s="1794">
        <v>0</v>
      </c>
    </row>
    <row r="2108" spans="3:15">
      <c r="C2108" s="1799" t="s">
        <v>6598</v>
      </c>
      <c r="D2108" s="1796">
        <v>0</v>
      </c>
      <c r="E2108" s="1796">
        <v>0</v>
      </c>
      <c r="F2108" s="1797">
        <v>0</v>
      </c>
      <c r="G2108" s="1999" t="s">
        <v>6598</v>
      </c>
      <c r="H2108" s="1794">
        <v>0</v>
      </c>
      <c r="I2108" s="1794">
        <v>0</v>
      </c>
      <c r="J2108" s="2000">
        <v>0</v>
      </c>
      <c r="K2108" s="1798"/>
      <c r="L2108" s="1792">
        <v>13253200300</v>
      </c>
      <c r="M2108" s="1793">
        <v>0</v>
      </c>
      <c r="N2108" s="1793">
        <v>0</v>
      </c>
      <c r="O2108" s="1794">
        <v>0</v>
      </c>
    </row>
    <row r="2109" spans="3:15">
      <c r="C2109" s="1799" t="s">
        <v>6599</v>
      </c>
      <c r="D2109" s="1796">
        <v>0</v>
      </c>
      <c r="E2109" s="1796">
        <v>1</v>
      </c>
      <c r="F2109" s="1797">
        <v>1</v>
      </c>
      <c r="G2109" s="1999" t="s">
        <v>6599</v>
      </c>
      <c r="H2109" s="1794">
        <v>0</v>
      </c>
      <c r="I2109" s="1794">
        <v>0</v>
      </c>
      <c r="J2109" s="2000">
        <v>0</v>
      </c>
      <c r="K2109" s="1798"/>
      <c r="L2109" s="1792">
        <v>13255160100</v>
      </c>
      <c r="M2109" s="1793">
        <v>0</v>
      </c>
      <c r="N2109" s="1793">
        <v>1</v>
      </c>
      <c r="O2109" s="1794">
        <v>1</v>
      </c>
    </row>
    <row r="2110" spans="3:15">
      <c r="C2110" s="1799" t="s">
        <v>6600</v>
      </c>
      <c r="D2110" s="1796">
        <v>0</v>
      </c>
      <c r="E2110" s="1796">
        <v>0</v>
      </c>
      <c r="F2110" s="1797">
        <v>0</v>
      </c>
      <c r="G2110" s="1999" t="s">
        <v>6600</v>
      </c>
      <c r="H2110" s="1794">
        <v>0</v>
      </c>
      <c r="I2110" s="1794">
        <v>0</v>
      </c>
      <c r="J2110" s="2000">
        <v>0</v>
      </c>
      <c r="K2110" s="1798"/>
      <c r="L2110" s="1792">
        <v>13255160200</v>
      </c>
      <c r="M2110" s="1793">
        <v>0</v>
      </c>
      <c r="N2110" s="1793">
        <v>0</v>
      </c>
      <c r="O2110" s="1794">
        <v>0</v>
      </c>
    </row>
    <row r="2111" spans="3:15">
      <c r="C2111" s="1799" t="s">
        <v>6601</v>
      </c>
      <c r="D2111" s="1796">
        <v>0</v>
      </c>
      <c r="E2111" s="1796">
        <v>0</v>
      </c>
      <c r="F2111" s="1797">
        <v>0</v>
      </c>
      <c r="G2111" s="1999" t="s">
        <v>6601</v>
      </c>
      <c r="H2111" s="1794">
        <v>0</v>
      </c>
      <c r="I2111" s="1794">
        <v>0</v>
      </c>
      <c r="J2111" s="2000">
        <v>0</v>
      </c>
      <c r="K2111" s="1798"/>
      <c r="L2111" s="1792">
        <v>13255160300</v>
      </c>
      <c r="M2111" s="1793">
        <v>0</v>
      </c>
      <c r="N2111" s="1793">
        <v>0</v>
      </c>
      <c r="O2111" s="1794">
        <v>0</v>
      </c>
    </row>
    <row r="2112" spans="3:15">
      <c r="C2112" s="1799" t="s">
        <v>6602</v>
      </c>
      <c r="D2112" s="1796">
        <v>0</v>
      </c>
      <c r="E2112" s="1796">
        <v>0</v>
      </c>
      <c r="F2112" s="1797">
        <v>0</v>
      </c>
      <c r="G2112" s="1999" t="s">
        <v>6602</v>
      </c>
      <c r="H2112" s="1794">
        <v>0</v>
      </c>
      <c r="I2112" s="1794">
        <v>0</v>
      </c>
      <c r="J2112" s="2000">
        <v>0</v>
      </c>
      <c r="K2112" s="1798"/>
      <c r="L2112" s="1792">
        <v>13255160400</v>
      </c>
      <c r="M2112" s="1793">
        <v>0</v>
      </c>
      <c r="N2112" s="1793">
        <v>0</v>
      </c>
      <c r="O2112" s="1794">
        <v>0</v>
      </c>
    </row>
    <row r="2113" spans="3:15">
      <c r="C2113" s="1799" t="s">
        <v>6603</v>
      </c>
      <c r="D2113" s="1796">
        <v>0</v>
      </c>
      <c r="E2113" s="1796">
        <v>0</v>
      </c>
      <c r="F2113" s="1797">
        <v>0</v>
      </c>
      <c r="G2113" s="1999" t="s">
        <v>6603</v>
      </c>
      <c r="H2113" s="1794">
        <v>0</v>
      </c>
      <c r="I2113" s="1794">
        <v>0</v>
      </c>
      <c r="J2113" s="2000">
        <v>0</v>
      </c>
      <c r="K2113" s="1798"/>
      <c r="L2113" s="1792">
        <v>13255160500</v>
      </c>
      <c r="M2113" s="1793">
        <v>0</v>
      </c>
      <c r="N2113" s="1793">
        <v>0</v>
      </c>
      <c r="O2113" s="1794">
        <v>0</v>
      </c>
    </row>
    <row r="2114" spans="3:15">
      <c r="C2114" s="1799" t="s">
        <v>6604</v>
      </c>
      <c r="D2114" s="1796">
        <v>1</v>
      </c>
      <c r="E2114" s="1796">
        <v>1</v>
      </c>
      <c r="F2114" s="1797">
        <v>2</v>
      </c>
      <c r="G2114" s="1999" t="s">
        <v>6604</v>
      </c>
      <c r="H2114" s="1794">
        <v>0</v>
      </c>
      <c r="I2114" s="1794">
        <v>0</v>
      </c>
      <c r="J2114" s="2000">
        <v>0</v>
      </c>
      <c r="K2114" s="1798"/>
      <c r="L2114" s="1792">
        <v>13255160600</v>
      </c>
      <c r="M2114" s="1793">
        <v>1</v>
      </c>
      <c r="N2114" s="1793">
        <v>1</v>
      </c>
      <c r="O2114" s="1794">
        <v>2</v>
      </c>
    </row>
    <row r="2115" spans="3:15">
      <c r="C2115" s="1799" t="s">
        <v>6605</v>
      </c>
      <c r="D2115" s="1796">
        <v>0</v>
      </c>
      <c r="E2115" s="1796">
        <v>0</v>
      </c>
      <c r="F2115" s="1797">
        <v>0</v>
      </c>
      <c r="G2115" s="1999" t="s">
        <v>6605</v>
      </c>
      <c r="H2115" s="1794">
        <v>0</v>
      </c>
      <c r="I2115" s="1794">
        <v>0</v>
      </c>
      <c r="J2115" s="2000">
        <v>0</v>
      </c>
      <c r="K2115" s="1798"/>
      <c r="L2115" s="1792">
        <v>13255160700</v>
      </c>
      <c r="M2115" s="1793">
        <v>0</v>
      </c>
      <c r="N2115" s="1793">
        <v>0</v>
      </c>
      <c r="O2115" s="1794">
        <v>0</v>
      </c>
    </row>
    <row r="2116" spans="3:15">
      <c r="C2116" s="1799" t="s">
        <v>6606</v>
      </c>
      <c r="D2116" s="1796">
        <v>0</v>
      </c>
      <c r="E2116" s="1796">
        <v>0</v>
      </c>
      <c r="F2116" s="1797">
        <v>0</v>
      </c>
      <c r="G2116" s="1999" t="s">
        <v>6606</v>
      </c>
      <c r="H2116" s="1794">
        <v>0</v>
      </c>
      <c r="I2116" s="1794">
        <v>0</v>
      </c>
      <c r="J2116" s="2000">
        <v>0</v>
      </c>
      <c r="K2116" s="1798"/>
      <c r="L2116" s="1792">
        <v>13255160800</v>
      </c>
      <c r="M2116" s="1793">
        <v>0</v>
      </c>
      <c r="N2116" s="1793">
        <v>0</v>
      </c>
      <c r="O2116" s="1794">
        <v>0</v>
      </c>
    </row>
    <row r="2117" spans="3:15">
      <c r="C2117" s="1799" t="s">
        <v>6607</v>
      </c>
      <c r="D2117" s="1796">
        <v>0</v>
      </c>
      <c r="E2117" s="1796">
        <v>0</v>
      </c>
      <c r="F2117" s="1797">
        <v>0</v>
      </c>
      <c r="G2117" s="1999" t="s">
        <v>6607</v>
      </c>
      <c r="H2117" s="1794">
        <v>0</v>
      </c>
      <c r="I2117" s="1794">
        <v>0</v>
      </c>
      <c r="J2117" s="2000">
        <v>0</v>
      </c>
      <c r="K2117" s="1798"/>
      <c r="L2117" s="1792">
        <v>13255160900</v>
      </c>
      <c r="M2117" s="1793">
        <v>0</v>
      </c>
      <c r="N2117" s="1793">
        <v>0</v>
      </c>
      <c r="O2117" s="1794">
        <v>0</v>
      </c>
    </row>
    <row r="2118" spans="3:15">
      <c r="C2118" s="1799" t="s">
        <v>6608</v>
      </c>
      <c r="D2118" s="1796">
        <v>0</v>
      </c>
      <c r="E2118" s="1796">
        <v>1</v>
      </c>
      <c r="F2118" s="1797">
        <v>1</v>
      </c>
      <c r="G2118" s="1999" t="s">
        <v>6608</v>
      </c>
      <c r="H2118" s="1794">
        <v>0</v>
      </c>
      <c r="I2118" s="1794">
        <v>0</v>
      </c>
      <c r="J2118" s="2000">
        <v>0</v>
      </c>
      <c r="K2118" s="1798"/>
      <c r="L2118" s="1792">
        <v>13255161000</v>
      </c>
      <c r="M2118" s="1793">
        <v>0</v>
      </c>
      <c r="N2118" s="1793">
        <v>1</v>
      </c>
      <c r="O2118" s="1794">
        <v>1</v>
      </c>
    </row>
    <row r="2119" spans="3:15">
      <c r="C2119" s="1799" t="s">
        <v>6609</v>
      </c>
      <c r="D2119" s="1796">
        <v>1</v>
      </c>
      <c r="E2119" s="1796">
        <v>1</v>
      </c>
      <c r="F2119" s="1797">
        <v>2</v>
      </c>
      <c r="G2119" s="1999" t="s">
        <v>6609</v>
      </c>
      <c r="H2119" s="1794">
        <v>1</v>
      </c>
      <c r="I2119" s="1794">
        <v>1</v>
      </c>
      <c r="J2119" s="2000">
        <v>2</v>
      </c>
      <c r="K2119" s="1798"/>
      <c r="L2119" s="1792">
        <v>13255161100</v>
      </c>
      <c r="M2119" s="1793">
        <v>1</v>
      </c>
      <c r="N2119" s="1793">
        <v>1</v>
      </c>
      <c r="O2119" s="1794">
        <v>2</v>
      </c>
    </row>
    <row r="2120" spans="3:15">
      <c r="C2120" s="1799" t="s">
        <v>6610</v>
      </c>
      <c r="D2120" s="1796">
        <v>0</v>
      </c>
      <c r="E2120" s="1796">
        <v>0</v>
      </c>
      <c r="F2120" s="1797">
        <v>0</v>
      </c>
      <c r="G2120" s="1999" t="s">
        <v>6610</v>
      </c>
      <c r="H2120" s="1794">
        <v>0</v>
      </c>
      <c r="I2120" s="1794">
        <v>1</v>
      </c>
      <c r="J2120" s="2000">
        <v>1</v>
      </c>
      <c r="K2120" s="1798"/>
      <c r="L2120" s="1792">
        <v>13255161200</v>
      </c>
      <c r="M2120" s="1793">
        <v>0</v>
      </c>
      <c r="N2120" s="1793">
        <v>1</v>
      </c>
      <c r="O2120" s="1794">
        <v>1</v>
      </c>
    </row>
    <row r="2121" spans="3:15">
      <c r="C2121" s="1799" t="s">
        <v>6611</v>
      </c>
      <c r="D2121" s="1796">
        <v>0</v>
      </c>
      <c r="E2121" s="1796">
        <v>0</v>
      </c>
      <c r="F2121" s="1797">
        <v>0</v>
      </c>
      <c r="G2121" s="1999" t="s">
        <v>6611</v>
      </c>
      <c r="H2121" s="1794">
        <v>0</v>
      </c>
      <c r="I2121" s="1794">
        <v>0</v>
      </c>
      <c r="J2121" s="2000">
        <v>0</v>
      </c>
      <c r="K2121" s="1798"/>
      <c r="L2121" s="1792">
        <v>13257970100</v>
      </c>
      <c r="M2121" s="1793">
        <v>0</v>
      </c>
      <c r="N2121" s="1793">
        <v>0</v>
      </c>
      <c r="O2121" s="1794">
        <v>0</v>
      </c>
    </row>
    <row r="2122" spans="3:15">
      <c r="C2122" s="1799" t="s">
        <v>6612</v>
      </c>
      <c r="D2122" s="1796">
        <v>0</v>
      </c>
      <c r="E2122" s="1796">
        <v>0</v>
      </c>
      <c r="F2122" s="1797">
        <v>0</v>
      </c>
      <c r="G2122" s="1999" t="s">
        <v>6612</v>
      </c>
      <c r="H2122" s="1794">
        <v>0</v>
      </c>
      <c r="I2122" s="1794">
        <v>0</v>
      </c>
      <c r="J2122" s="2000">
        <v>0</v>
      </c>
      <c r="K2122" s="1798"/>
      <c r="L2122" s="1792">
        <v>13257970200</v>
      </c>
      <c r="M2122" s="1793">
        <v>0</v>
      </c>
      <c r="N2122" s="1793">
        <v>0</v>
      </c>
      <c r="O2122" s="1794">
        <v>0</v>
      </c>
    </row>
    <row r="2123" spans="3:15">
      <c r="C2123" s="1799" t="s">
        <v>6613</v>
      </c>
      <c r="D2123" s="1796">
        <v>0</v>
      </c>
      <c r="E2123" s="1796">
        <v>0</v>
      </c>
      <c r="F2123" s="1797">
        <v>0</v>
      </c>
      <c r="G2123" s="1999" t="s">
        <v>6613</v>
      </c>
      <c r="H2123" s="1794">
        <v>0</v>
      </c>
      <c r="I2123" s="1794">
        <v>0</v>
      </c>
      <c r="J2123" s="2000">
        <v>0</v>
      </c>
      <c r="K2123" s="1798"/>
      <c r="L2123" s="1792">
        <v>13257970301</v>
      </c>
      <c r="M2123" s="1793">
        <v>0</v>
      </c>
      <c r="N2123" s="1793">
        <v>0</v>
      </c>
      <c r="O2123" s="1794">
        <v>0</v>
      </c>
    </row>
    <row r="2124" spans="3:15">
      <c r="C2124" s="1799" t="s">
        <v>6614</v>
      </c>
      <c r="D2124" s="1796">
        <v>0</v>
      </c>
      <c r="E2124" s="1796">
        <v>0</v>
      </c>
      <c r="F2124" s="1797">
        <v>0</v>
      </c>
      <c r="G2124" s="1999" t="s">
        <v>6614</v>
      </c>
      <c r="H2124" s="1794">
        <v>0</v>
      </c>
      <c r="I2124" s="1794">
        <v>0</v>
      </c>
      <c r="J2124" s="2000">
        <v>0</v>
      </c>
      <c r="K2124" s="1798"/>
      <c r="L2124" s="1792">
        <v>13257970302</v>
      </c>
      <c r="M2124" s="1793">
        <v>0</v>
      </c>
      <c r="N2124" s="1793">
        <v>0</v>
      </c>
      <c r="O2124" s="1794">
        <v>0</v>
      </c>
    </row>
    <row r="2125" spans="3:15">
      <c r="C2125" s="1799" t="s">
        <v>6615</v>
      </c>
      <c r="D2125" s="1796">
        <v>0</v>
      </c>
      <c r="E2125" s="1796">
        <v>0</v>
      </c>
      <c r="F2125" s="1797">
        <v>0</v>
      </c>
      <c r="G2125" s="1999" t="s">
        <v>6615</v>
      </c>
      <c r="H2125" s="1794">
        <v>0</v>
      </c>
      <c r="I2125" s="1794">
        <v>0</v>
      </c>
      <c r="J2125" s="2000">
        <v>0</v>
      </c>
      <c r="K2125" s="1798"/>
      <c r="L2125" s="1792">
        <v>13257970400</v>
      </c>
      <c r="M2125" s="1793">
        <v>0</v>
      </c>
      <c r="N2125" s="1793">
        <v>0</v>
      </c>
      <c r="O2125" s="1794">
        <v>0</v>
      </c>
    </row>
    <row r="2126" spans="3:15">
      <c r="C2126" s="1799" t="s">
        <v>6616</v>
      </c>
      <c r="D2126" s="1796">
        <v>0</v>
      </c>
      <c r="E2126" s="1796">
        <v>0</v>
      </c>
      <c r="F2126" s="1797">
        <v>0</v>
      </c>
      <c r="G2126" s="1999" t="s">
        <v>6616</v>
      </c>
      <c r="H2126" s="1794">
        <v>0</v>
      </c>
      <c r="I2126" s="1794">
        <v>0</v>
      </c>
      <c r="J2126" s="2000">
        <v>0</v>
      </c>
      <c r="K2126" s="1798"/>
      <c r="L2126" s="1792">
        <v>13259950100</v>
      </c>
      <c r="M2126" s="1793">
        <v>0</v>
      </c>
      <c r="N2126" s="1793">
        <v>0</v>
      </c>
      <c r="O2126" s="1794">
        <v>0</v>
      </c>
    </row>
    <row r="2127" spans="3:15">
      <c r="C2127" s="1799" t="s">
        <v>6617</v>
      </c>
      <c r="D2127" s="1796">
        <v>0</v>
      </c>
      <c r="E2127" s="1796">
        <v>0</v>
      </c>
      <c r="F2127" s="1797">
        <v>0</v>
      </c>
      <c r="G2127" s="1999" t="s">
        <v>6617</v>
      </c>
      <c r="H2127" s="1794">
        <v>0</v>
      </c>
      <c r="I2127" s="1794">
        <v>0</v>
      </c>
      <c r="J2127" s="2000">
        <v>0</v>
      </c>
      <c r="K2127" s="1798"/>
      <c r="L2127" s="1792">
        <v>13259950400</v>
      </c>
      <c r="M2127" s="1793">
        <v>0</v>
      </c>
      <c r="N2127" s="1793">
        <v>0</v>
      </c>
      <c r="O2127" s="1794">
        <v>0</v>
      </c>
    </row>
    <row r="2128" spans="3:15">
      <c r="C2128" s="1799" t="s">
        <v>6618</v>
      </c>
      <c r="D2128" s="1796">
        <v>0</v>
      </c>
      <c r="E2128" s="1796">
        <v>0</v>
      </c>
      <c r="F2128" s="1797">
        <v>0</v>
      </c>
      <c r="G2128" s="1999" t="s">
        <v>6618</v>
      </c>
      <c r="H2128" s="1794">
        <v>0</v>
      </c>
      <c r="I2128" s="1794">
        <v>0</v>
      </c>
      <c r="J2128" s="2000">
        <v>0</v>
      </c>
      <c r="K2128" s="1798"/>
      <c r="L2128" s="1792">
        <v>13261950100</v>
      </c>
      <c r="M2128" s="1793">
        <v>0</v>
      </c>
      <c r="N2128" s="1793">
        <v>0</v>
      </c>
      <c r="O2128" s="1794">
        <v>0</v>
      </c>
    </row>
    <row r="2129" spans="3:15">
      <c r="C2129" s="1799" t="s">
        <v>6619</v>
      </c>
      <c r="D2129" s="1796">
        <v>0</v>
      </c>
      <c r="E2129" s="1796">
        <v>0</v>
      </c>
      <c r="F2129" s="1797">
        <v>0</v>
      </c>
      <c r="G2129" s="1999" t="s">
        <v>6619</v>
      </c>
      <c r="H2129" s="1794">
        <v>0</v>
      </c>
      <c r="I2129" s="1794">
        <v>0</v>
      </c>
      <c r="J2129" s="2000">
        <v>0</v>
      </c>
      <c r="K2129" s="1798"/>
      <c r="L2129" s="1792">
        <v>13261950200</v>
      </c>
      <c r="M2129" s="1793">
        <v>0</v>
      </c>
      <c r="N2129" s="1793">
        <v>0</v>
      </c>
      <c r="O2129" s="1794">
        <v>0</v>
      </c>
    </row>
    <row r="2130" spans="3:15">
      <c r="C2130" s="1799" t="s">
        <v>6620</v>
      </c>
      <c r="D2130" s="1796">
        <v>0</v>
      </c>
      <c r="E2130" s="1796">
        <v>0</v>
      </c>
      <c r="F2130" s="1797">
        <v>0</v>
      </c>
      <c r="G2130" s="1999" t="s">
        <v>6620</v>
      </c>
      <c r="H2130" s="1794">
        <v>0</v>
      </c>
      <c r="I2130" s="1794">
        <v>1</v>
      </c>
      <c r="J2130" s="2000">
        <v>1</v>
      </c>
      <c r="K2130" s="1798"/>
      <c r="L2130" s="1792">
        <v>13261950300</v>
      </c>
      <c r="M2130" s="1793">
        <v>0</v>
      </c>
      <c r="N2130" s="1793">
        <v>1</v>
      </c>
      <c r="O2130" s="1794">
        <v>1</v>
      </c>
    </row>
    <row r="2131" spans="3:15">
      <c r="C2131" s="1799" t="s">
        <v>6621</v>
      </c>
      <c r="D2131" s="1796">
        <v>0</v>
      </c>
      <c r="E2131" s="1796">
        <v>0</v>
      </c>
      <c r="F2131" s="1797">
        <v>0</v>
      </c>
      <c r="G2131" s="1999" t="s">
        <v>6621</v>
      </c>
      <c r="H2131" s="1794">
        <v>0</v>
      </c>
      <c r="I2131" s="1794">
        <v>0</v>
      </c>
      <c r="J2131" s="2000">
        <v>0</v>
      </c>
      <c r="K2131" s="1798"/>
      <c r="L2131" s="1792">
        <v>13261950400</v>
      </c>
      <c r="M2131" s="1793">
        <v>0</v>
      </c>
      <c r="N2131" s="1793">
        <v>0</v>
      </c>
      <c r="O2131" s="1794">
        <v>0</v>
      </c>
    </row>
    <row r="2132" spans="3:15">
      <c r="C2132" s="1799" t="s">
        <v>6622</v>
      </c>
      <c r="D2132" s="1796">
        <v>0</v>
      </c>
      <c r="E2132" s="1796">
        <v>0</v>
      </c>
      <c r="F2132" s="1797">
        <v>0</v>
      </c>
      <c r="G2132" s="1999" t="s">
        <v>6622</v>
      </c>
      <c r="H2132" s="1794">
        <v>0</v>
      </c>
      <c r="I2132" s="1794">
        <v>0</v>
      </c>
      <c r="J2132" s="2000">
        <v>0</v>
      </c>
      <c r="K2132" s="1798"/>
      <c r="L2132" s="1792">
        <v>13261950500</v>
      </c>
      <c r="M2132" s="1793">
        <v>0</v>
      </c>
      <c r="N2132" s="1793">
        <v>0</v>
      </c>
      <c r="O2132" s="1794">
        <v>0</v>
      </c>
    </row>
    <row r="2133" spans="3:15">
      <c r="C2133" s="1799" t="s">
        <v>6623</v>
      </c>
      <c r="D2133" s="1796">
        <v>0</v>
      </c>
      <c r="E2133" s="1796">
        <v>0</v>
      </c>
      <c r="F2133" s="1797">
        <v>0</v>
      </c>
      <c r="G2133" s="1999" t="s">
        <v>6623</v>
      </c>
      <c r="H2133" s="1794">
        <v>0</v>
      </c>
      <c r="I2133" s="1794">
        <v>0</v>
      </c>
      <c r="J2133" s="2000">
        <v>0</v>
      </c>
      <c r="K2133" s="1798"/>
      <c r="L2133" s="1792">
        <v>13261950600</v>
      </c>
      <c r="M2133" s="1793">
        <v>0</v>
      </c>
      <c r="N2133" s="1793">
        <v>0</v>
      </c>
      <c r="O2133" s="1794">
        <v>0</v>
      </c>
    </row>
    <row r="2134" spans="3:15">
      <c r="C2134" s="1799" t="s">
        <v>6624</v>
      </c>
      <c r="D2134" s="1796">
        <v>0</v>
      </c>
      <c r="E2134" s="1796">
        <v>0</v>
      </c>
      <c r="F2134" s="1797">
        <v>0</v>
      </c>
      <c r="G2134" s="1999" t="s">
        <v>6624</v>
      </c>
      <c r="H2134" s="1794">
        <v>0</v>
      </c>
      <c r="I2134" s="1794">
        <v>1</v>
      </c>
      <c r="J2134" s="2000">
        <v>1</v>
      </c>
      <c r="K2134" s="1798"/>
      <c r="L2134" s="1792">
        <v>13261950700</v>
      </c>
      <c r="M2134" s="1793">
        <v>0</v>
      </c>
      <c r="N2134" s="1793">
        <v>1</v>
      </c>
      <c r="O2134" s="1794">
        <v>1</v>
      </c>
    </row>
    <row r="2135" spans="3:15">
      <c r="C2135" s="1799" t="s">
        <v>6625</v>
      </c>
      <c r="D2135" s="1796">
        <v>0</v>
      </c>
      <c r="E2135" s="1796">
        <v>0</v>
      </c>
      <c r="F2135" s="1797">
        <v>0</v>
      </c>
      <c r="G2135" s="1999" t="s">
        <v>6625</v>
      </c>
      <c r="H2135" s="1794">
        <v>0</v>
      </c>
      <c r="I2135" s="1794">
        <v>1</v>
      </c>
      <c r="J2135" s="2000">
        <v>1</v>
      </c>
      <c r="K2135" s="1798"/>
      <c r="L2135" s="1792">
        <v>13261950800</v>
      </c>
      <c r="M2135" s="1793">
        <v>0</v>
      </c>
      <c r="N2135" s="1793">
        <v>1</v>
      </c>
      <c r="O2135" s="1794">
        <v>1</v>
      </c>
    </row>
    <row r="2136" spans="3:15">
      <c r="C2136" s="1799" t="s">
        <v>6626</v>
      </c>
      <c r="D2136" s="1796">
        <v>1</v>
      </c>
      <c r="E2136" s="1796">
        <v>0</v>
      </c>
      <c r="F2136" s="1797">
        <v>1</v>
      </c>
      <c r="G2136" s="1999" t="s">
        <v>6626</v>
      </c>
      <c r="H2136" s="1794">
        <v>0</v>
      </c>
      <c r="I2136" s="1794" t="s">
        <v>4485</v>
      </c>
      <c r="J2136" s="2000">
        <v>0</v>
      </c>
      <c r="K2136" s="1798"/>
      <c r="L2136" s="1792">
        <v>13263960100</v>
      </c>
      <c r="M2136" s="1793">
        <v>1</v>
      </c>
      <c r="N2136" s="1793">
        <v>0</v>
      </c>
      <c r="O2136" s="1794">
        <v>1</v>
      </c>
    </row>
    <row r="2137" spans="3:15">
      <c r="C2137" s="1799" t="s">
        <v>6627</v>
      </c>
      <c r="D2137" s="1796">
        <v>0</v>
      </c>
      <c r="E2137" s="1796">
        <v>0</v>
      </c>
      <c r="F2137" s="1797">
        <v>0</v>
      </c>
      <c r="G2137" s="1999" t="s">
        <v>6627</v>
      </c>
      <c r="H2137" s="1794">
        <v>0</v>
      </c>
      <c r="I2137" s="1794">
        <v>0</v>
      </c>
      <c r="J2137" s="2000">
        <v>0</v>
      </c>
      <c r="K2137" s="1798"/>
      <c r="L2137" s="1792">
        <v>13263960200</v>
      </c>
      <c r="M2137" s="1793">
        <v>0</v>
      </c>
      <c r="N2137" s="1793">
        <v>0</v>
      </c>
      <c r="O2137" s="1794">
        <v>0</v>
      </c>
    </row>
    <row r="2138" spans="3:15">
      <c r="C2138" s="1799" t="s">
        <v>6628</v>
      </c>
      <c r="D2138" s="1796">
        <v>0</v>
      </c>
      <c r="E2138" s="1796">
        <v>0</v>
      </c>
      <c r="F2138" s="1797">
        <v>0</v>
      </c>
      <c r="G2138" s="1999" t="s">
        <v>6628</v>
      </c>
      <c r="H2138" s="1794">
        <v>0</v>
      </c>
      <c r="I2138" s="1794">
        <v>0</v>
      </c>
      <c r="J2138" s="2000">
        <v>0</v>
      </c>
      <c r="K2138" s="1798"/>
      <c r="L2138" s="1792">
        <v>13263960300</v>
      </c>
      <c r="M2138" s="1793">
        <v>0</v>
      </c>
      <c r="N2138" s="1793">
        <v>0</v>
      </c>
      <c r="O2138" s="1794">
        <v>0</v>
      </c>
    </row>
    <row r="2139" spans="3:15">
      <c r="C2139" s="1799" t="s">
        <v>6629</v>
      </c>
      <c r="D2139" s="1796">
        <v>0</v>
      </c>
      <c r="E2139" s="1796">
        <v>0</v>
      </c>
      <c r="F2139" s="1797">
        <v>0</v>
      </c>
      <c r="G2139" s="1999" t="s">
        <v>6629</v>
      </c>
      <c r="H2139" s="1794">
        <v>0</v>
      </c>
      <c r="I2139" s="1794">
        <v>0</v>
      </c>
      <c r="J2139" s="2000">
        <v>0</v>
      </c>
      <c r="K2139" s="1798"/>
      <c r="L2139" s="1792">
        <v>13265010200</v>
      </c>
      <c r="M2139" s="1793">
        <v>0</v>
      </c>
      <c r="N2139" s="1793">
        <v>0</v>
      </c>
      <c r="O2139" s="1794">
        <v>0</v>
      </c>
    </row>
    <row r="2140" spans="3:15">
      <c r="C2140" s="1799" t="s">
        <v>6630</v>
      </c>
      <c r="D2140" s="1796">
        <v>0</v>
      </c>
      <c r="E2140" s="1796">
        <v>0</v>
      </c>
      <c r="F2140" s="1797">
        <v>0</v>
      </c>
      <c r="G2140" s="1999" t="s">
        <v>6630</v>
      </c>
      <c r="H2140" s="1794">
        <v>0</v>
      </c>
      <c r="I2140" s="1794">
        <v>0</v>
      </c>
      <c r="J2140" s="2000">
        <v>0</v>
      </c>
      <c r="K2140" s="1798"/>
      <c r="L2140" s="1792">
        <v>13267950100</v>
      </c>
      <c r="M2140" s="1793">
        <v>0</v>
      </c>
      <c r="N2140" s="1793">
        <v>0</v>
      </c>
      <c r="O2140" s="1794">
        <v>0</v>
      </c>
    </row>
    <row r="2141" spans="3:15">
      <c r="C2141" s="1799" t="s">
        <v>6631</v>
      </c>
      <c r="D2141" s="1796">
        <v>0</v>
      </c>
      <c r="E2141" s="1796">
        <v>0</v>
      </c>
      <c r="F2141" s="1797">
        <v>0</v>
      </c>
      <c r="G2141" s="1999" t="s">
        <v>6631</v>
      </c>
      <c r="H2141" s="1794">
        <v>0</v>
      </c>
      <c r="I2141" s="1794">
        <v>0</v>
      </c>
      <c r="J2141" s="2000">
        <v>0</v>
      </c>
      <c r="K2141" s="1798"/>
      <c r="L2141" s="1792">
        <v>13267950201</v>
      </c>
      <c r="M2141" s="1793">
        <v>0</v>
      </c>
      <c r="N2141" s="1793">
        <v>0</v>
      </c>
      <c r="O2141" s="1794">
        <v>0</v>
      </c>
    </row>
    <row r="2142" spans="3:15">
      <c r="C2142" s="1799" t="s">
        <v>6632</v>
      </c>
      <c r="D2142" s="1796">
        <v>0</v>
      </c>
      <c r="E2142" s="1796">
        <v>0</v>
      </c>
      <c r="F2142" s="1797">
        <v>0</v>
      </c>
      <c r="G2142" s="1999" t="s">
        <v>6632</v>
      </c>
      <c r="H2142" s="1794">
        <v>0</v>
      </c>
      <c r="I2142" s="1794">
        <v>0</v>
      </c>
      <c r="J2142" s="2000">
        <v>0</v>
      </c>
      <c r="K2142" s="1798"/>
      <c r="L2142" s="1792">
        <v>13267950202</v>
      </c>
      <c r="M2142" s="1793">
        <v>0</v>
      </c>
      <c r="N2142" s="1793">
        <v>0</v>
      </c>
      <c r="O2142" s="1794">
        <v>0</v>
      </c>
    </row>
    <row r="2143" spans="3:15">
      <c r="C2143" s="1799" t="s">
        <v>6633</v>
      </c>
      <c r="D2143" s="1796">
        <v>0</v>
      </c>
      <c r="E2143" s="1796">
        <v>0</v>
      </c>
      <c r="F2143" s="1797">
        <v>0</v>
      </c>
      <c r="G2143" s="1999" t="s">
        <v>6633</v>
      </c>
      <c r="H2143" s="1794">
        <v>0</v>
      </c>
      <c r="I2143" s="1794">
        <v>0</v>
      </c>
      <c r="J2143" s="2000">
        <v>0</v>
      </c>
      <c r="K2143" s="1798"/>
      <c r="L2143" s="1792">
        <v>13267950300</v>
      </c>
      <c r="M2143" s="1793">
        <v>0</v>
      </c>
      <c r="N2143" s="1793">
        <v>0</v>
      </c>
      <c r="O2143" s="1794">
        <v>0</v>
      </c>
    </row>
    <row r="2144" spans="3:15">
      <c r="C2144" s="1799" t="s">
        <v>6634</v>
      </c>
      <c r="D2144" s="1796">
        <v>0</v>
      </c>
      <c r="E2144" s="1796">
        <v>0</v>
      </c>
      <c r="F2144" s="1797">
        <v>0</v>
      </c>
      <c r="G2144" s="1999" t="s">
        <v>6634</v>
      </c>
      <c r="H2144" s="1794">
        <v>0</v>
      </c>
      <c r="I2144" s="1794">
        <v>0</v>
      </c>
      <c r="J2144" s="2000">
        <v>0</v>
      </c>
      <c r="K2144" s="1798"/>
      <c r="L2144" s="1792">
        <v>13267950400</v>
      </c>
      <c r="M2144" s="1793">
        <v>0</v>
      </c>
      <c r="N2144" s="1793">
        <v>0</v>
      </c>
      <c r="O2144" s="1794">
        <v>0</v>
      </c>
    </row>
    <row r="2145" spans="3:15">
      <c r="C2145" s="1799" t="s">
        <v>6635</v>
      </c>
      <c r="D2145" s="1796">
        <v>0</v>
      </c>
      <c r="E2145" s="1796">
        <v>0</v>
      </c>
      <c r="F2145" s="1797">
        <v>0</v>
      </c>
      <c r="G2145" s="1999" t="s">
        <v>6635</v>
      </c>
      <c r="H2145" s="1794">
        <v>0</v>
      </c>
      <c r="I2145" s="1794">
        <v>0</v>
      </c>
      <c r="J2145" s="2000">
        <v>0</v>
      </c>
      <c r="K2145" s="1798"/>
      <c r="L2145" s="1792">
        <v>13269950100</v>
      </c>
      <c r="M2145" s="1793">
        <v>0</v>
      </c>
      <c r="N2145" s="1793">
        <v>0</v>
      </c>
      <c r="O2145" s="1794">
        <v>0</v>
      </c>
    </row>
    <row r="2146" spans="3:15">
      <c r="C2146" s="1799" t="s">
        <v>6636</v>
      </c>
      <c r="D2146" s="1796">
        <v>0</v>
      </c>
      <c r="E2146" s="1796">
        <v>0</v>
      </c>
      <c r="F2146" s="1797">
        <v>0</v>
      </c>
      <c r="G2146" s="1999" t="s">
        <v>6636</v>
      </c>
      <c r="H2146" s="1794">
        <v>0</v>
      </c>
      <c r="I2146" s="1794">
        <v>0</v>
      </c>
      <c r="J2146" s="2000">
        <v>0</v>
      </c>
      <c r="K2146" s="1798"/>
      <c r="L2146" s="1792">
        <v>13269950200</v>
      </c>
      <c r="M2146" s="1793">
        <v>0</v>
      </c>
      <c r="N2146" s="1793">
        <v>0</v>
      </c>
      <c r="O2146" s="1794">
        <v>0</v>
      </c>
    </row>
    <row r="2147" spans="3:15">
      <c r="C2147" s="1799" t="s">
        <v>6637</v>
      </c>
      <c r="D2147" s="1796">
        <v>0</v>
      </c>
      <c r="E2147" s="1796">
        <v>0</v>
      </c>
      <c r="F2147" s="1797">
        <v>0</v>
      </c>
      <c r="G2147" s="1999" t="s">
        <v>6637</v>
      </c>
      <c r="H2147" s="1794">
        <v>0</v>
      </c>
      <c r="I2147" s="1794">
        <v>0</v>
      </c>
      <c r="J2147" s="2000">
        <v>0</v>
      </c>
      <c r="K2147" s="1798"/>
      <c r="L2147" s="1792">
        <v>13269950300</v>
      </c>
      <c r="M2147" s="1793">
        <v>0</v>
      </c>
      <c r="N2147" s="1793">
        <v>0</v>
      </c>
      <c r="O2147" s="1794">
        <v>0</v>
      </c>
    </row>
    <row r="2148" spans="3:15">
      <c r="C2148" s="1799" t="s">
        <v>6638</v>
      </c>
      <c r="D2148" s="1796">
        <v>0</v>
      </c>
      <c r="E2148" s="1796">
        <v>0</v>
      </c>
      <c r="F2148" s="1797">
        <v>0</v>
      </c>
      <c r="G2148" s="1999" t="s">
        <v>6638</v>
      </c>
      <c r="H2148" s="1794">
        <v>0</v>
      </c>
      <c r="I2148" s="1794">
        <v>1</v>
      </c>
      <c r="J2148" s="2000">
        <v>1</v>
      </c>
      <c r="K2148" s="1798"/>
      <c r="L2148" s="1792">
        <v>13271950100</v>
      </c>
      <c r="M2148" s="1793">
        <v>0</v>
      </c>
      <c r="N2148" s="1793">
        <v>1</v>
      </c>
      <c r="O2148" s="1794">
        <v>1</v>
      </c>
    </row>
    <row r="2149" spans="3:15">
      <c r="C2149" s="1799" t="s">
        <v>6639</v>
      </c>
      <c r="D2149" s="1796">
        <v>0</v>
      </c>
      <c r="E2149" s="1796">
        <v>0</v>
      </c>
      <c r="F2149" s="1797">
        <v>0</v>
      </c>
      <c r="G2149" s="1999" t="s">
        <v>6639</v>
      </c>
      <c r="H2149" s="1794">
        <v>0</v>
      </c>
      <c r="I2149" s="1794">
        <v>1</v>
      </c>
      <c r="J2149" s="2000">
        <v>1</v>
      </c>
      <c r="K2149" s="1798"/>
      <c r="L2149" s="1792">
        <v>13271950200</v>
      </c>
      <c r="M2149" s="1793">
        <v>0</v>
      </c>
      <c r="N2149" s="1793">
        <v>1</v>
      </c>
      <c r="O2149" s="1794">
        <v>1</v>
      </c>
    </row>
    <row r="2150" spans="3:15">
      <c r="C2150" s="1799" t="s">
        <v>6640</v>
      </c>
      <c r="D2150" s="1796">
        <v>0</v>
      </c>
      <c r="E2150" s="1796">
        <v>0</v>
      </c>
      <c r="F2150" s="1797">
        <v>0</v>
      </c>
      <c r="G2150" s="1999" t="s">
        <v>6640</v>
      </c>
      <c r="H2150" s="1794">
        <v>0</v>
      </c>
      <c r="I2150" s="1794">
        <v>0</v>
      </c>
      <c r="J2150" s="2000">
        <v>0</v>
      </c>
      <c r="K2150" s="1798"/>
      <c r="L2150" s="1792">
        <v>13271950500</v>
      </c>
      <c r="M2150" s="1793">
        <v>0</v>
      </c>
      <c r="N2150" s="1793">
        <v>0</v>
      </c>
      <c r="O2150" s="1794">
        <v>0</v>
      </c>
    </row>
    <row r="2151" spans="3:15">
      <c r="C2151" s="1799" t="s">
        <v>6641</v>
      </c>
      <c r="D2151" s="1796">
        <v>0</v>
      </c>
      <c r="E2151" s="1796">
        <v>0</v>
      </c>
      <c r="F2151" s="1797">
        <v>0</v>
      </c>
      <c r="G2151" s="1999" t="s">
        <v>6641</v>
      </c>
      <c r="H2151" s="1794">
        <v>0</v>
      </c>
      <c r="I2151" s="1794">
        <v>0</v>
      </c>
      <c r="J2151" s="2000">
        <v>0</v>
      </c>
      <c r="K2151" s="1798"/>
      <c r="L2151" s="1792">
        <v>13273120200</v>
      </c>
      <c r="M2151" s="1793">
        <v>0</v>
      </c>
      <c r="N2151" s="1793">
        <v>0</v>
      </c>
      <c r="O2151" s="1794">
        <v>0</v>
      </c>
    </row>
    <row r="2152" spans="3:15">
      <c r="C2152" s="1799" t="s">
        <v>6642</v>
      </c>
      <c r="D2152" s="1796">
        <v>0</v>
      </c>
      <c r="E2152" s="1796">
        <v>0</v>
      </c>
      <c r="F2152" s="1797">
        <v>0</v>
      </c>
      <c r="G2152" s="1999" t="s">
        <v>6642</v>
      </c>
      <c r="H2152" s="1794">
        <v>0</v>
      </c>
      <c r="I2152" s="1794">
        <v>0</v>
      </c>
      <c r="J2152" s="2000">
        <v>0</v>
      </c>
      <c r="K2152" s="1798"/>
      <c r="L2152" s="1792">
        <v>13273120300</v>
      </c>
      <c r="M2152" s="1793">
        <v>0</v>
      </c>
      <c r="N2152" s="1793">
        <v>0</v>
      </c>
      <c r="O2152" s="1794">
        <v>0</v>
      </c>
    </row>
    <row r="2153" spans="3:15">
      <c r="C2153" s="1799" t="s">
        <v>6643</v>
      </c>
      <c r="D2153" s="1796">
        <v>0</v>
      </c>
      <c r="E2153" s="1796">
        <v>0</v>
      </c>
      <c r="F2153" s="1797">
        <v>0</v>
      </c>
      <c r="G2153" s="1999" t="s">
        <v>6643</v>
      </c>
      <c r="H2153" s="1794">
        <v>0</v>
      </c>
      <c r="I2153" s="1794">
        <v>0</v>
      </c>
      <c r="J2153" s="2000">
        <v>0</v>
      </c>
      <c r="K2153" s="1798"/>
      <c r="L2153" s="1792">
        <v>13273120400</v>
      </c>
      <c r="M2153" s="1793">
        <v>0</v>
      </c>
      <c r="N2153" s="1793">
        <v>0</v>
      </c>
      <c r="O2153" s="1794">
        <v>0</v>
      </c>
    </row>
    <row r="2154" spans="3:15">
      <c r="C2154" s="1799" t="s">
        <v>6644</v>
      </c>
      <c r="D2154" s="1796">
        <v>0</v>
      </c>
      <c r="E2154" s="1796">
        <v>0</v>
      </c>
      <c r="F2154" s="1797">
        <v>0</v>
      </c>
      <c r="G2154" s="1999" t="s">
        <v>6644</v>
      </c>
      <c r="H2154" s="1794">
        <v>0</v>
      </c>
      <c r="I2154" s="1794">
        <v>0</v>
      </c>
      <c r="J2154" s="2000">
        <v>0</v>
      </c>
      <c r="K2154" s="1798"/>
      <c r="L2154" s="1792">
        <v>13273120500</v>
      </c>
      <c r="M2154" s="1793">
        <v>0</v>
      </c>
      <c r="N2154" s="1793">
        <v>0</v>
      </c>
      <c r="O2154" s="1794">
        <v>0</v>
      </c>
    </row>
    <row r="2155" spans="3:15">
      <c r="C2155" s="1799" t="s">
        <v>6645</v>
      </c>
      <c r="D2155" s="1796">
        <v>0</v>
      </c>
      <c r="E2155" s="1796">
        <v>0</v>
      </c>
      <c r="F2155" s="1797">
        <v>0</v>
      </c>
      <c r="G2155" s="1999" t="s">
        <v>6645</v>
      </c>
      <c r="H2155" s="1794">
        <v>0</v>
      </c>
      <c r="I2155" s="1794">
        <v>0</v>
      </c>
      <c r="J2155" s="2000">
        <v>0</v>
      </c>
      <c r="K2155" s="1798"/>
      <c r="L2155" s="1792">
        <v>13275960100</v>
      </c>
      <c r="M2155" s="1793">
        <v>0</v>
      </c>
      <c r="N2155" s="1793">
        <v>0</v>
      </c>
      <c r="O2155" s="1794">
        <v>0</v>
      </c>
    </row>
    <row r="2156" spans="3:15">
      <c r="C2156" s="1799" t="s">
        <v>6646</v>
      </c>
      <c r="D2156" s="1796">
        <v>0</v>
      </c>
      <c r="E2156" s="1796">
        <v>0</v>
      </c>
      <c r="F2156" s="1797">
        <v>0</v>
      </c>
      <c r="G2156" s="1999" t="s">
        <v>6646</v>
      </c>
      <c r="H2156" s="1794">
        <v>0</v>
      </c>
      <c r="I2156" s="1794">
        <v>0</v>
      </c>
      <c r="J2156" s="2000">
        <v>0</v>
      </c>
      <c r="K2156" s="1798"/>
      <c r="L2156" s="1792">
        <v>13275960200</v>
      </c>
      <c r="M2156" s="1793">
        <v>0</v>
      </c>
      <c r="N2156" s="1793">
        <v>0</v>
      </c>
      <c r="O2156" s="1794">
        <v>0</v>
      </c>
    </row>
    <row r="2157" spans="3:15">
      <c r="C2157" s="1799" t="s">
        <v>6647</v>
      </c>
      <c r="D2157" s="1796">
        <v>0</v>
      </c>
      <c r="E2157" s="1796">
        <v>0</v>
      </c>
      <c r="F2157" s="1797">
        <v>0</v>
      </c>
      <c r="G2157" s="1999" t="s">
        <v>6647</v>
      </c>
      <c r="H2157" s="1794">
        <v>0</v>
      </c>
      <c r="I2157" s="1794">
        <v>0</v>
      </c>
      <c r="J2157" s="2000">
        <v>0</v>
      </c>
      <c r="K2157" s="1798"/>
      <c r="L2157" s="1792">
        <v>13275960300</v>
      </c>
      <c r="M2157" s="1793">
        <v>0</v>
      </c>
      <c r="N2157" s="1793">
        <v>0</v>
      </c>
      <c r="O2157" s="1794">
        <v>0</v>
      </c>
    </row>
    <row r="2158" spans="3:15">
      <c r="C2158" s="1799" t="s">
        <v>6648</v>
      </c>
      <c r="D2158" s="1796">
        <v>0</v>
      </c>
      <c r="E2158" s="1796">
        <v>0</v>
      </c>
      <c r="F2158" s="1797">
        <v>0</v>
      </c>
      <c r="G2158" s="1999" t="s">
        <v>6648</v>
      </c>
      <c r="H2158" s="1794">
        <v>0</v>
      </c>
      <c r="I2158" s="1794">
        <v>0</v>
      </c>
      <c r="J2158" s="2000">
        <v>0</v>
      </c>
      <c r="K2158" s="1798"/>
      <c r="L2158" s="1792">
        <v>13275960400</v>
      </c>
      <c r="M2158" s="1793">
        <v>0</v>
      </c>
      <c r="N2158" s="1793">
        <v>0</v>
      </c>
      <c r="O2158" s="1794">
        <v>0</v>
      </c>
    </row>
    <row r="2159" spans="3:15">
      <c r="C2159" s="1799" t="s">
        <v>6649</v>
      </c>
      <c r="D2159" s="1796">
        <v>0</v>
      </c>
      <c r="E2159" s="1796">
        <v>0</v>
      </c>
      <c r="F2159" s="1797">
        <v>0</v>
      </c>
      <c r="G2159" s="1999" t="s">
        <v>6649</v>
      </c>
      <c r="H2159" s="1794">
        <v>0</v>
      </c>
      <c r="I2159" s="1794">
        <v>0</v>
      </c>
      <c r="J2159" s="2000">
        <v>0</v>
      </c>
      <c r="K2159" s="1798"/>
      <c r="L2159" s="1792">
        <v>13275960500</v>
      </c>
      <c r="M2159" s="1793">
        <v>0</v>
      </c>
      <c r="N2159" s="1793">
        <v>0</v>
      </c>
      <c r="O2159" s="1794">
        <v>0</v>
      </c>
    </row>
    <row r="2160" spans="3:15">
      <c r="C2160" s="1799" t="s">
        <v>6650</v>
      </c>
      <c r="D2160" s="1796">
        <v>1</v>
      </c>
      <c r="E2160" s="1796">
        <v>0</v>
      </c>
      <c r="F2160" s="1797">
        <v>1</v>
      </c>
      <c r="G2160" s="1999" t="s">
        <v>6650</v>
      </c>
      <c r="H2160" s="1794">
        <v>0</v>
      </c>
      <c r="I2160" s="1794">
        <v>0</v>
      </c>
      <c r="J2160" s="2000">
        <v>0</v>
      </c>
      <c r="K2160" s="1798"/>
      <c r="L2160" s="1792">
        <v>13275960600</v>
      </c>
      <c r="M2160" s="1793">
        <v>1</v>
      </c>
      <c r="N2160" s="1793">
        <v>0</v>
      </c>
      <c r="O2160" s="1794">
        <v>1</v>
      </c>
    </row>
    <row r="2161" spans="3:15">
      <c r="C2161" s="1799" t="s">
        <v>6651</v>
      </c>
      <c r="D2161" s="1796">
        <v>0</v>
      </c>
      <c r="E2161" s="1796">
        <v>0</v>
      </c>
      <c r="F2161" s="1797">
        <v>0</v>
      </c>
      <c r="G2161" s="1999" t="s">
        <v>6651</v>
      </c>
      <c r="H2161" s="1794">
        <v>0</v>
      </c>
      <c r="I2161" s="1794">
        <v>0</v>
      </c>
      <c r="J2161" s="2000">
        <v>0</v>
      </c>
      <c r="K2161" s="1798"/>
      <c r="L2161" s="1792">
        <v>13275960700</v>
      </c>
      <c r="M2161" s="1793">
        <v>0</v>
      </c>
      <c r="N2161" s="1793">
        <v>0</v>
      </c>
      <c r="O2161" s="1794">
        <v>0</v>
      </c>
    </row>
    <row r="2162" spans="3:15">
      <c r="C2162" s="1799" t="s">
        <v>6652</v>
      </c>
      <c r="D2162" s="1796">
        <v>0</v>
      </c>
      <c r="E2162" s="1796">
        <v>0</v>
      </c>
      <c r="F2162" s="1797">
        <v>0</v>
      </c>
      <c r="G2162" s="1999" t="s">
        <v>6652</v>
      </c>
      <c r="H2162" s="1794">
        <v>0</v>
      </c>
      <c r="I2162" s="1794">
        <v>0</v>
      </c>
      <c r="J2162" s="2000">
        <v>0</v>
      </c>
      <c r="K2162" s="1798"/>
      <c r="L2162" s="1792">
        <v>13275960800</v>
      </c>
      <c r="M2162" s="1793">
        <v>0</v>
      </c>
      <c r="N2162" s="1793">
        <v>0</v>
      </c>
      <c r="O2162" s="1794">
        <v>0</v>
      </c>
    </row>
    <row r="2163" spans="3:15">
      <c r="C2163" s="1799" t="s">
        <v>6653</v>
      </c>
      <c r="D2163" s="1796">
        <v>0</v>
      </c>
      <c r="E2163" s="1796">
        <v>0</v>
      </c>
      <c r="F2163" s="1797">
        <v>0</v>
      </c>
      <c r="G2163" s="1999" t="s">
        <v>6653</v>
      </c>
      <c r="H2163" s="1794">
        <v>0</v>
      </c>
      <c r="I2163" s="1794">
        <v>0</v>
      </c>
      <c r="J2163" s="2000">
        <v>0</v>
      </c>
      <c r="K2163" s="1798"/>
      <c r="L2163" s="1792">
        <v>13275960900</v>
      </c>
      <c r="M2163" s="1793">
        <v>0</v>
      </c>
      <c r="N2163" s="1793">
        <v>0</v>
      </c>
      <c r="O2163" s="1794">
        <v>0</v>
      </c>
    </row>
    <row r="2164" spans="3:15">
      <c r="C2164" s="1799" t="s">
        <v>6654</v>
      </c>
      <c r="D2164" s="1796">
        <v>0</v>
      </c>
      <c r="E2164" s="1796">
        <v>0</v>
      </c>
      <c r="F2164" s="1797">
        <v>0</v>
      </c>
      <c r="G2164" s="1999" t="s">
        <v>6654</v>
      </c>
      <c r="H2164" s="1794">
        <v>1</v>
      </c>
      <c r="I2164" s="1794">
        <v>1</v>
      </c>
      <c r="J2164" s="2000">
        <v>2</v>
      </c>
      <c r="K2164" s="1798"/>
      <c r="L2164" s="1792">
        <v>13275961000</v>
      </c>
      <c r="M2164" s="1793">
        <v>1</v>
      </c>
      <c r="N2164" s="1793">
        <v>1</v>
      </c>
      <c r="O2164" s="1794">
        <v>2</v>
      </c>
    </row>
    <row r="2165" spans="3:15">
      <c r="C2165" s="1799" t="s">
        <v>6655</v>
      </c>
      <c r="D2165" s="1796">
        <v>0</v>
      </c>
      <c r="E2165" s="1796">
        <v>0</v>
      </c>
      <c r="F2165" s="1797">
        <v>0</v>
      </c>
      <c r="G2165" s="1999" t="s">
        <v>6655</v>
      </c>
      <c r="H2165" s="1794">
        <v>0</v>
      </c>
      <c r="I2165" s="1794">
        <v>1</v>
      </c>
      <c r="J2165" s="2000">
        <v>1</v>
      </c>
      <c r="K2165" s="1798"/>
      <c r="L2165" s="1792">
        <v>13275961100</v>
      </c>
      <c r="M2165" s="1793">
        <v>0</v>
      </c>
      <c r="N2165" s="1793">
        <v>1</v>
      </c>
      <c r="O2165" s="1794">
        <v>1</v>
      </c>
    </row>
    <row r="2166" spans="3:15">
      <c r="C2166" s="1799" t="s">
        <v>6656</v>
      </c>
      <c r="D2166" s="1796">
        <v>1</v>
      </c>
      <c r="E2166" s="1796">
        <v>1</v>
      </c>
      <c r="F2166" s="1797">
        <v>2</v>
      </c>
      <c r="G2166" s="1999" t="s">
        <v>6656</v>
      </c>
      <c r="H2166" s="1794">
        <v>1</v>
      </c>
      <c r="I2166" s="1794">
        <v>0</v>
      </c>
      <c r="J2166" s="2000">
        <v>1</v>
      </c>
      <c r="K2166" s="1798"/>
      <c r="L2166" s="1792">
        <v>13277960100</v>
      </c>
      <c r="M2166" s="1793">
        <v>1</v>
      </c>
      <c r="N2166" s="1793">
        <v>1</v>
      </c>
      <c r="O2166" s="1794">
        <v>2</v>
      </c>
    </row>
    <row r="2167" spans="3:15">
      <c r="C2167" s="1799" t="s">
        <v>6657</v>
      </c>
      <c r="D2167" s="1796">
        <v>1</v>
      </c>
      <c r="E2167" s="1796">
        <v>0</v>
      </c>
      <c r="F2167" s="1797">
        <v>1</v>
      </c>
      <c r="G2167" s="1999" t="s">
        <v>6657</v>
      </c>
      <c r="H2167" s="1794">
        <v>0</v>
      </c>
      <c r="I2167" s="1794">
        <v>0</v>
      </c>
      <c r="J2167" s="2000">
        <v>0</v>
      </c>
      <c r="K2167" s="1798"/>
      <c r="L2167" s="1792">
        <v>13277960200</v>
      </c>
      <c r="M2167" s="1793">
        <v>1</v>
      </c>
      <c r="N2167" s="1793">
        <v>0</v>
      </c>
      <c r="O2167" s="1794">
        <v>1</v>
      </c>
    </row>
    <row r="2168" spans="3:15">
      <c r="C2168" s="1799" t="s">
        <v>6658</v>
      </c>
      <c r="D2168" s="1796">
        <v>0</v>
      </c>
      <c r="E2168" s="1796">
        <v>0</v>
      </c>
      <c r="F2168" s="1797">
        <v>0</v>
      </c>
      <c r="G2168" s="1999" t="s">
        <v>6658</v>
      </c>
      <c r="H2168" s="1794">
        <v>1</v>
      </c>
      <c r="I2168" s="1794">
        <v>0</v>
      </c>
      <c r="J2168" s="2000">
        <v>1</v>
      </c>
      <c r="K2168" s="1798"/>
      <c r="L2168" s="1792">
        <v>13277960300</v>
      </c>
      <c r="M2168" s="1793">
        <v>1</v>
      </c>
      <c r="N2168" s="1793">
        <v>0</v>
      </c>
      <c r="O2168" s="1794">
        <v>1</v>
      </c>
    </row>
    <row r="2169" spans="3:15">
      <c r="C2169" s="1799" t="s">
        <v>6659</v>
      </c>
      <c r="D2169" s="1796">
        <v>0</v>
      </c>
      <c r="E2169" s="1796">
        <v>0</v>
      </c>
      <c r="F2169" s="1797">
        <v>0</v>
      </c>
      <c r="G2169" s="1999" t="s">
        <v>6659</v>
      </c>
      <c r="H2169" s="1794">
        <v>0</v>
      </c>
      <c r="I2169" s="1794">
        <v>0</v>
      </c>
      <c r="J2169" s="2000">
        <v>0</v>
      </c>
      <c r="K2169" s="1798"/>
      <c r="L2169" s="1792">
        <v>13277960400</v>
      </c>
      <c r="M2169" s="1793">
        <v>0</v>
      </c>
      <c r="N2169" s="1793">
        <v>0</v>
      </c>
      <c r="O2169" s="1794">
        <v>0</v>
      </c>
    </row>
    <row r="2170" spans="3:15">
      <c r="C2170" s="1799" t="s">
        <v>6660</v>
      </c>
      <c r="D2170" s="1796">
        <v>1</v>
      </c>
      <c r="E2170" s="1796">
        <v>0</v>
      </c>
      <c r="F2170" s="1797">
        <v>1</v>
      </c>
      <c r="G2170" s="1999" t="s">
        <v>6660</v>
      </c>
      <c r="H2170" s="1794">
        <v>1</v>
      </c>
      <c r="I2170" s="1794">
        <v>1</v>
      </c>
      <c r="J2170" s="2000">
        <v>2</v>
      </c>
      <c r="K2170" s="1798"/>
      <c r="L2170" s="1792">
        <v>13277960500</v>
      </c>
      <c r="M2170" s="1793">
        <v>1</v>
      </c>
      <c r="N2170" s="1793">
        <v>1</v>
      </c>
      <c r="O2170" s="1794">
        <v>2</v>
      </c>
    </row>
    <row r="2171" spans="3:15">
      <c r="C2171" s="1799" t="s">
        <v>6661</v>
      </c>
      <c r="D2171" s="1796">
        <v>0</v>
      </c>
      <c r="E2171" s="1796">
        <v>0</v>
      </c>
      <c r="F2171" s="1797">
        <v>0</v>
      </c>
      <c r="G2171" s="1999" t="s">
        <v>6661</v>
      </c>
      <c r="H2171" s="1794">
        <v>0</v>
      </c>
      <c r="I2171" s="1794">
        <v>0</v>
      </c>
      <c r="J2171" s="2000">
        <v>0</v>
      </c>
      <c r="K2171" s="1798"/>
      <c r="L2171" s="1792">
        <v>13277960600</v>
      </c>
      <c r="M2171" s="1793">
        <v>0</v>
      </c>
      <c r="N2171" s="1793">
        <v>0</v>
      </c>
      <c r="O2171" s="1794">
        <v>0</v>
      </c>
    </row>
    <row r="2172" spans="3:15">
      <c r="C2172" s="1799" t="s">
        <v>6662</v>
      </c>
      <c r="D2172" s="1796">
        <v>0</v>
      </c>
      <c r="E2172" s="1796">
        <v>0</v>
      </c>
      <c r="F2172" s="1797">
        <v>0</v>
      </c>
      <c r="G2172" s="1999" t="s">
        <v>6662</v>
      </c>
      <c r="H2172" s="1794">
        <v>0</v>
      </c>
      <c r="I2172" s="1794">
        <v>0</v>
      </c>
      <c r="J2172" s="2000">
        <v>0</v>
      </c>
      <c r="K2172" s="1798"/>
      <c r="L2172" s="1792">
        <v>13277960700</v>
      </c>
      <c r="M2172" s="1793">
        <v>0</v>
      </c>
      <c r="N2172" s="1793">
        <v>0</v>
      </c>
      <c r="O2172" s="1794">
        <v>0</v>
      </c>
    </row>
    <row r="2173" spans="3:15">
      <c r="C2173" s="1799" t="s">
        <v>6663</v>
      </c>
      <c r="D2173" s="1796">
        <v>0</v>
      </c>
      <c r="E2173" s="1796">
        <v>0</v>
      </c>
      <c r="F2173" s="1797">
        <v>0</v>
      </c>
      <c r="G2173" s="1999" t="s">
        <v>6663</v>
      </c>
      <c r="H2173" s="1794">
        <v>0</v>
      </c>
      <c r="I2173" s="1794">
        <v>0</v>
      </c>
      <c r="J2173" s="2000">
        <v>0</v>
      </c>
      <c r="K2173" s="1798"/>
      <c r="L2173" s="1792">
        <v>13277960800</v>
      </c>
      <c r="M2173" s="1793">
        <v>0</v>
      </c>
      <c r="N2173" s="1793">
        <v>0</v>
      </c>
      <c r="O2173" s="1794">
        <v>0</v>
      </c>
    </row>
    <row r="2174" spans="3:15">
      <c r="C2174" s="1799" t="s">
        <v>6664</v>
      </c>
      <c r="D2174" s="1796">
        <v>0</v>
      </c>
      <c r="E2174" s="1796">
        <v>0</v>
      </c>
      <c r="F2174" s="1797">
        <v>0</v>
      </c>
      <c r="G2174" s="1999" t="s">
        <v>6664</v>
      </c>
      <c r="H2174" s="1794">
        <v>0</v>
      </c>
      <c r="I2174" s="1794">
        <v>0</v>
      </c>
      <c r="J2174" s="2000">
        <v>0</v>
      </c>
      <c r="K2174" s="1798"/>
      <c r="L2174" s="1792">
        <v>13277960900</v>
      </c>
      <c r="M2174" s="1793">
        <v>0</v>
      </c>
      <c r="N2174" s="1793">
        <v>0</v>
      </c>
      <c r="O2174" s="1794">
        <v>0</v>
      </c>
    </row>
    <row r="2175" spans="3:15">
      <c r="C2175" s="1799" t="s">
        <v>6665</v>
      </c>
      <c r="D2175" s="1796">
        <v>0</v>
      </c>
      <c r="E2175" s="1796">
        <v>0</v>
      </c>
      <c r="F2175" s="1797">
        <v>0</v>
      </c>
      <c r="G2175" s="1999" t="s">
        <v>6665</v>
      </c>
      <c r="H2175" s="1794">
        <v>0</v>
      </c>
      <c r="I2175" s="1794">
        <v>0</v>
      </c>
      <c r="J2175" s="2000">
        <v>0</v>
      </c>
      <c r="K2175" s="1798"/>
      <c r="L2175" s="1792">
        <v>13279970100</v>
      </c>
      <c r="M2175" s="1793">
        <v>0</v>
      </c>
      <c r="N2175" s="1793">
        <v>0</v>
      </c>
      <c r="O2175" s="1794">
        <v>0</v>
      </c>
    </row>
    <row r="2176" spans="3:15">
      <c r="C2176" s="1799" t="s">
        <v>6666</v>
      </c>
      <c r="D2176" s="1796">
        <v>0</v>
      </c>
      <c r="E2176" s="1796">
        <v>0</v>
      </c>
      <c r="F2176" s="1797">
        <v>0</v>
      </c>
      <c r="G2176" s="1999" t="s">
        <v>6666</v>
      </c>
      <c r="H2176" s="1794">
        <v>0</v>
      </c>
      <c r="I2176" s="1794">
        <v>0</v>
      </c>
      <c r="J2176" s="2000">
        <v>0</v>
      </c>
      <c r="K2176" s="1798"/>
      <c r="L2176" s="1792">
        <v>13279970200</v>
      </c>
      <c r="M2176" s="1793">
        <v>0</v>
      </c>
      <c r="N2176" s="1793">
        <v>0</v>
      </c>
      <c r="O2176" s="1794">
        <v>0</v>
      </c>
    </row>
    <row r="2177" spans="3:15">
      <c r="C2177" s="1799" t="s">
        <v>6667</v>
      </c>
      <c r="D2177" s="1796">
        <v>0</v>
      </c>
      <c r="E2177" s="1796">
        <v>0</v>
      </c>
      <c r="F2177" s="1797">
        <v>0</v>
      </c>
      <c r="G2177" s="1999" t="s">
        <v>6667</v>
      </c>
      <c r="H2177" s="1794">
        <v>0</v>
      </c>
      <c r="I2177" s="1794">
        <v>0</v>
      </c>
      <c r="J2177" s="2000">
        <v>0</v>
      </c>
      <c r="K2177" s="1798"/>
      <c r="L2177" s="1792">
        <v>13279970300</v>
      </c>
      <c r="M2177" s="1793">
        <v>0</v>
      </c>
      <c r="N2177" s="1793">
        <v>0</v>
      </c>
      <c r="O2177" s="1794">
        <v>0</v>
      </c>
    </row>
    <row r="2178" spans="3:15">
      <c r="C2178" s="1799" t="s">
        <v>6668</v>
      </c>
      <c r="D2178" s="1796">
        <v>0</v>
      </c>
      <c r="E2178" s="1796">
        <v>0</v>
      </c>
      <c r="F2178" s="1797">
        <v>0</v>
      </c>
      <c r="G2178" s="1999" t="s">
        <v>6668</v>
      </c>
      <c r="H2178" s="1794">
        <v>0</v>
      </c>
      <c r="I2178" s="1794">
        <v>0</v>
      </c>
      <c r="J2178" s="2000">
        <v>0</v>
      </c>
      <c r="K2178" s="1798"/>
      <c r="L2178" s="1792">
        <v>13279970400</v>
      </c>
      <c r="M2178" s="1793">
        <v>0</v>
      </c>
      <c r="N2178" s="1793">
        <v>0</v>
      </c>
      <c r="O2178" s="1794">
        <v>0</v>
      </c>
    </row>
    <row r="2179" spans="3:15">
      <c r="C2179" s="1799" t="s">
        <v>6669</v>
      </c>
      <c r="D2179" s="1796">
        <v>0</v>
      </c>
      <c r="E2179" s="1796">
        <v>0</v>
      </c>
      <c r="F2179" s="1797">
        <v>0</v>
      </c>
      <c r="G2179" s="1999" t="s">
        <v>6669</v>
      </c>
      <c r="H2179" s="1794">
        <v>0</v>
      </c>
      <c r="I2179" s="1794">
        <v>0</v>
      </c>
      <c r="J2179" s="2000">
        <v>0</v>
      </c>
      <c r="K2179" s="1798"/>
      <c r="L2179" s="1792">
        <v>13279970500</v>
      </c>
      <c r="M2179" s="1793">
        <v>0</v>
      </c>
      <c r="N2179" s="1793">
        <v>0</v>
      </c>
      <c r="O2179" s="1794">
        <v>0</v>
      </c>
    </row>
    <row r="2180" spans="3:15">
      <c r="C2180" s="1799" t="s">
        <v>6670</v>
      </c>
      <c r="D2180" s="1796">
        <v>0</v>
      </c>
      <c r="E2180" s="1796">
        <v>0</v>
      </c>
      <c r="F2180" s="1797">
        <v>0</v>
      </c>
      <c r="G2180" s="1999" t="s">
        <v>6670</v>
      </c>
      <c r="H2180" s="1794">
        <v>0</v>
      </c>
      <c r="I2180" s="1794">
        <v>0</v>
      </c>
      <c r="J2180" s="2000">
        <v>0</v>
      </c>
      <c r="K2180" s="1798"/>
      <c r="L2180" s="1792">
        <v>13279970600</v>
      </c>
      <c r="M2180" s="1793">
        <v>0</v>
      </c>
      <c r="N2180" s="1793">
        <v>0</v>
      </c>
      <c r="O2180" s="1794">
        <v>0</v>
      </c>
    </row>
    <row r="2181" spans="3:15">
      <c r="C2181" s="1799" t="s">
        <v>6671</v>
      </c>
      <c r="D2181" s="1796">
        <v>0</v>
      </c>
      <c r="E2181" s="1796">
        <v>0</v>
      </c>
      <c r="F2181" s="1797">
        <v>0</v>
      </c>
      <c r="G2181" s="1999" t="s">
        <v>6671</v>
      </c>
      <c r="H2181" s="1794">
        <v>0</v>
      </c>
      <c r="I2181" s="1794">
        <v>1</v>
      </c>
      <c r="J2181" s="2000">
        <v>1</v>
      </c>
      <c r="K2181" s="1798"/>
      <c r="L2181" s="1792">
        <v>13281960100</v>
      </c>
      <c r="M2181" s="1793">
        <v>0</v>
      </c>
      <c r="N2181" s="1793">
        <v>1</v>
      </c>
      <c r="O2181" s="1794">
        <v>1</v>
      </c>
    </row>
    <row r="2182" spans="3:15">
      <c r="C2182" s="1799" t="s">
        <v>6672</v>
      </c>
      <c r="D2182" s="1796">
        <v>1</v>
      </c>
      <c r="E2182" s="1796">
        <v>1</v>
      </c>
      <c r="F2182" s="1797">
        <v>2</v>
      </c>
      <c r="G2182" s="1999" t="s">
        <v>6672</v>
      </c>
      <c r="H2182" s="1794">
        <v>0</v>
      </c>
      <c r="I2182" s="1794">
        <v>1</v>
      </c>
      <c r="J2182" s="2000">
        <v>1</v>
      </c>
      <c r="K2182" s="1798"/>
      <c r="L2182" s="1792">
        <v>13281960200</v>
      </c>
      <c r="M2182" s="1793">
        <v>1</v>
      </c>
      <c r="N2182" s="1793">
        <v>1</v>
      </c>
      <c r="O2182" s="1794">
        <v>2</v>
      </c>
    </row>
    <row r="2183" spans="3:15">
      <c r="C2183" s="1799" t="s">
        <v>6673</v>
      </c>
      <c r="D2183" s="1796">
        <v>0</v>
      </c>
      <c r="E2183" s="1796">
        <v>0</v>
      </c>
      <c r="F2183" s="1797">
        <v>0</v>
      </c>
      <c r="G2183" s="1999" t="s">
        <v>6673</v>
      </c>
      <c r="H2183" s="1794">
        <v>0</v>
      </c>
      <c r="I2183" s="1794">
        <v>0</v>
      </c>
      <c r="J2183" s="2000">
        <v>0</v>
      </c>
      <c r="K2183" s="1798"/>
      <c r="L2183" s="1792">
        <v>13281960300</v>
      </c>
      <c r="M2183" s="1793">
        <v>0</v>
      </c>
      <c r="N2183" s="1793">
        <v>0</v>
      </c>
      <c r="O2183" s="1794">
        <v>0</v>
      </c>
    </row>
    <row r="2184" spans="3:15">
      <c r="C2184" s="1799" t="s">
        <v>6674</v>
      </c>
      <c r="D2184" s="1796">
        <v>0</v>
      </c>
      <c r="E2184" s="1796">
        <v>0</v>
      </c>
      <c r="F2184" s="1797">
        <v>0</v>
      </c>
      <c r="G2184" s="1999" t="s">
        <v>6674</v>
      </c>
      <c r="H2184" s="1794">
        <v>0</v>
      </c>
      <c r="I2184" s="1794">
        <v>0</v>
      </c>
      <c r="J2184" s="2000">
        <v>0</v>
      </c>
      <c r="K2184" s="1798"/>
      <c r="L2184" s="1792">
        <v>13283960100</v>
      </c>
      <c r="M2184" s="1793">
        <v>0</v>
      </c>
      <c r="N2184" s="1793">
        <v>0</v>
      </c>
      <c r="O2184" s="1794">
        <v>0</v>
      </c>
    </row>
    <row r="2185" spans="3:15">
      <c r="C2185" s="1799" t="s">
        <v>6675</v>
      </c>
      <c r="D2185" s="1796">
        <v>0</v>
      </c>
      <c r="E2185" s="1796">
        <v>0</v>
      </c>
      <c r="F2185" s="1797">
        <v>0</v>
      </c>
      <c r="G2185" s="1999" t="s">
        <v>6675</v>
      </c>
      <c r="H2185" s="1794">
        <v>0</v>
      </c>
      <c r="I2185" s="1794">
        <v>0</v>
      </c>
      <c r="J2185" s="2000">
        <v>0</v>
      </c>
      <c r="K2185" s="1798"/>
      <c r="L2185" s="1792">
        <v>13283960200</v>
      </c>
      <c r="M2185" s="1793">
        <v>0</v>
      </c>
      <c r="N2185" s="1793">
        <v>0</v>
      </c>
      <c r="O2185" s="1794">
        <v>0</v>
      </c>
    </row>
    <row r="2186" spans="3:15">
      <c r="C2186" s="1799" t="s">
        <v>6676</v>
      </c>
      <c r="D2186" s="1796">
        <v>0</v>
      </c>
      <c r="E2186" s="1796">
        <v>0</v>
      </c>
      <c r="F2186" s="1797">
        <v>0</v>
      </c>
      <c r="G2186" s="1999" t="s">
        <v>6676</v>
      </c>
      <c r="H2186" s="1794">
        <v>0</v>
      </c>
      <c r="I2186" s="1794">
        <v>0</v>
      </c>
      <c r="J2186" s="2000">
        <v>0</v>
      </c>
      <c r="K2186" s="1798"/>
      <c r="L2186" s="1792">
        <v>13285960100</v>
      </c>
      <c r="M2186" s="1793">
        <v>0</v>
      </c>
      <c r="N2186" s="1793">
        <v>0</v>
      </c>
      <c r="O2186" s="1794">
        <v>0</v>
      </c>
    </row>
    <row r="2187" spans="3:15">
      <c r="C2187" s="1799" t="s">
        <v>6677</v>
      </c>
      <c r="D2187" s="1796">
        <v>1</v>
      </c>
      <c r="E2187" s="1796">
        <v>1</v>
      </c>
      <c r="F2187" s="1797">
        <v>2</v>
      </c>
      <c r="G2187" s="1999" t="s">
        <v>6677</v>
      </c>
      <c r="H2187" s="1794">
        <v>1</v>
      </c>
      <c r="I2187" s="1794">
        <v>1</v>
      </c>
      <c r="J2187" s="2000">
        <v>2</v>
      </c>
      <c r="K2187" s="1798"/>
      <c r="L2187" s="1792">
        <v>13285960201</v>
      </c>
      <c r="M2187" s="1793">
        <v>1</v>
      </c>
      <c r="N2187" s="1793">
        <v>1</v>
      </c>
      <c r="O2187" s="1794">
        <v>2</v>
      </c>
    </row>
    <row r="2188" spans="3:15">
      <c r="C2188" s="1799" t="s">
        <v>6678</v>
      </c>
      <c r="D2188" s="1796">
        <v>1</v>
      </c>
      <c r="E2188" s="1796">
        <v>1</v>
      </c>
      <c r="F2188" s="1797">
        <v>2</v>
      </c>
      <c r="G2188" s="1999" t="s">
        <v>6678</v>
      </c>
      <c r="H2188" s="1794">
        <v>1</v>
      </c>
      <c r="I2188" s="1794">
        <v>1</v>
      </c>
      <c r="J2188" s="2000">
        <v>2</v>
      </c>
      <c r="K2188" s="1798"/>
      <c r="L2188" s="1792">
        <v>13285960202</v>
      </c>
      <c r="M2188" s="1793">
        <v>1</v>
      </c>
      <c r="N2188" s="1793">
        <v>1</v>
      </c>
      <c r="O2188" s="1794">
        <v>2</v>
      </c>
    </row>
    <row r="2189" spans="3:15">
      <c r="C2189" s="1799" t="s">
        <v>6679</v>
      </c>
      <c r="D2189" s="1796">
        <v>1</v>
      </c>
      <c r="E2189" s="1796">
        <v>1</v>
      </c>
      <c r="F2189" s="1797">
        <v>2</v>
      </c>
      <c r="G2189" s="1999" t="s">
        <v>6679</v>
      </c>
      <c r="H2189" s="1794">
        <v>1</v>
      </c>
      <c r="I2189" s="1794">
        <v>1</v>
      </c>
      <c r="J2189" s="2000">
        <v>2</v>
      </c>
      <c r="K2189" s="1798"/>
      <c r="L2189" s="1792">
        <v>13285960300</v>
      </c>
      <c r="M2189" s="1793">
        <v>1</v>
      </c>
      <c r="N2189" s="1793">
        <v>1</v>
      </c>
      <c r="O2189" s="1794">
        <v>2</v>
      </c>
    </row>
    <row r="2190" spans="3:15">
      <c r="C2190" s="1799" t="s">
        <v>6680</v>
      </c>
      <c r="D2190" s="1796">
        <v>0</v>
      </c>
      <c r="E2190" s="1796">
        <v>0</v>
      </c>
      <c r="F2190" s="1797">
        <v>0</v>
      </c>
      <c r="G2190" s="1999" t="s">
        <v>6680</v>
      </c>
      <c r="H2190" s="1794">
        <v>0</v>
      </c>
      <c r="I2190" s="1794">
        <v>0</v>
      </c>
      <c r="J2190" s="2000">
        <v>0</v>
      </c>
      <c r="K2190" s="1798"/>
      <c r="L2190" s="1792">
        <v>13285960400</v>
      </c>
      <c r="M2190" s="1793">
        <v>0</v>
      </c>
      <c r="N2190" s="1793">
        <v>0</v>
      </c>
      <c r="O2190" s="1794">
        <v>0</v>
      </c>
    </row>
    <row r="2191" spans="3:15">
      <c r="C2191" s="1799" t="s">
        <v>6681</v>
      </c>
      <c r="D2191" s="1796">
        <v>0</v>
      </c>
      <c r="E2191" s="1796">
        <v>0</v>
      </c>
      <c r="F2191" s="1797">
        <v>0</v>
      </c>
      <c r="G2191" s="1999" t="s">
        <v>6681</v>
      </c>
      <c r="H2191" s="1794">
        <v>0</v>
      </c>
      <c r="I2191" s="1794">
        <v>0</v>
      </c>
      <c r="J2191" s="2000">
        <v>0</v>
      </c>
      <c r="K2191" s="1798"/>
      <c r="L2191" s="1792">
        <v>13285960501</v>
      </c>
      <c r="M2191" s="1793">
        <v>0</v>
      </c>
      <c r="N2191" s="1793">
        <v>0</v>
      </c>
      <c r="O2191" s="1794">
        <v>0</v>
      </c>
    </row>
    <row r="2192" spans="3:15">
      <c r="C2192" s="1799" t="s">
        <v>6682</v>
      </c>
      <c r="D2192" s="1796">
        <v>0</v>
      </c>
      <c r="E2192" s="1796">
        <v>0</v>
      </c>
      <c r="F2192" s="1797">
        <v>0</v>
      </c>
      <c r="G2192" s="1999" t="s">
        <v>6682</v>
      </c>
      <c r="H2192" s="1794">
        <v>0</v>
      </c>
      <c r="I2192" s="1794">
        <v>1</v>
      </c>
      <c r="J2192" s="2000">
        <v>1</v>
      </c>
      <c r="K2192" s="1798"/>
      <c r="L2192" s="1792">
        <v>13285960502</v>
      </c>
      <c r="M2192" s="1793">
        <v>0</v>
      </c>
      <c r="N2192" s="1793">
        <v>1</v>
      </c>
      <c r="O2192" s="1794">
        <v>1</v>
      </c>
    </row>
    <row r="2193" spans="3:15">
      <c r="C2193" s="1799" t="s">
        <v>6683</v>
      </c>
      <c r="D2193" s="1796">
        <v>0</v>
      </c>
      <c r="E2193" s="1796">
        <v>0</v>
      </c>
      <c r="F2193" s="1797">
        <v>0</v>
      </c>
      <c r="G2193" s="1999" t="s">
        <v>6683</v>
      </c>
      <c r="H2193" s="1794">
        <v>0</v>
      </c>
      <c r="I2193" s="1794">
        <v>0</v>
      </c>
      <c r="J2193" s="2000">
        <v>0</v>
      </c>
      <c r="K2193" s="1798"/>
      <c r="L2193" s="1792">
        <v>13285960600</v>
      </c>
      <c r="M2193" s="1793">
        <v>0</v>
      </c>
      <c r="N2193" s="1793">
        <v>0</v>
      </c>
      <c r="O2193" s="1794">
        <v>0</v>
      </c>
    </row>
    <row r="2194" spans="3:15">
      <c r="C2194" s="1799" t="s">
        <v>6684</v>
      </c>
      <c r="D2194" s="1796">
        <v>0</v>
      </c>
      <c r="E2194" s="1796">
        <v>0</v>
      </c>
      <c r="F2194" s="1797">
        <v>0</v>
      </c>
      <c r="G2194" s="1999" t="s">
        <v>6684</v>
      </c>
      <c r="H2194" s="1794">
        <v>0</v>
      </c>
      <c r="I2194" s="1794">
        <v>1</v>
      </c>
      <c r="J2194" s="2000">
        <v>1</v>
      </c>
      <c r="K2194" s="1798"/>
      <c r="L2194" s="1792">
        <v>13285960700</v>
      </c>
      <c r="M2194" s="1793">
        <v>0</v>
      </c>
      <c r="N2194" s="1793">
        <v>1</v>
      </c>
      <c r="O2194" s="1794">
        <v>1</v>
      </c>
    </row>
    <row r="2195" spans="3:15">
      <c r="C2195" s="1799" t="s">
        <v>6685</v>
      </c>
      <c r="D2195" s="1796">
        <v>0</v>
      </c>
      <c r="E2195" s="1796">
        <v>0</v>
      </c>
      <c r="F2195" s="1797">
        <v>0</v>
      </c>
      <c r="G2195" s="1999" t="s">
        <v>6685</v>
      </c>
      <c r="H2195" s="1794">
        <v>0</v>
      </c>
      <c r="I2195" s="1794">
        <v>0</v>
      </c>
      <c r="J2195" s="2000">
        <v>0</v>
      </c>
      <c r="K2195" s="1798"/>
      <c r="L2195" s="1792">
        <v>13285960800</v>
      </c>
      <c r="M2195" s="1793">
        <v>0</v>
      </c>
      <c r="N2195" s="1793">
        <v>0</v>
      </c>
      <c r="O2195" s="1794">
        <v>0</v>
      </c>
    </row>
    <row r="2196" spans="3:15">
      <c r="C2196" s="1799" t="s">
        <v>6686</v>
      </c>
      <c r="D2196" s="1796">
        <v>0</v>
      </c>
      <c r="E2196" s="1796">
        <v>0</v>
      </c>
      <c r="F2196" s="1797">
        <v>0</v>
      </c>
      <c r="G2196" s="1999" t="s">
        <v>6686</v>
      </c>
      <c r="H2196" s="1794">
        <v>0</v>
      </c>
      <c r="I2196" s="1794">
        <v>0</v>
      </c>
      <c r="J2196" s="2000">
        <v>0</v>
      </c>
      <c r="K2196" s="1798"/>
      <c r="L2196" s="1792">
        <v>13285960901</v>
      </c>
      <c r="M2196" s="1793">
        <v>0</v>
      </c>
      <c r="N2196" s="1793">
        <v>0</v>
      </c>
      <c r="O2196" s="1794">
        <v>0</v>
      </c>
    </row>
    <row r="2197" spans="3:15">
      <c r="C2197" s="1799" t="s">
        <v>6687</v>
      </c>
      <c r="D2197" s="1796">
        <v>1</v>
      </c>
      <c r="E2197" s="1796">
        <v>1</v>
      </c>
      <c r="F2197" s="1797">
        <v>2</v>
      </c>
      <c r="G2197" s="1999" t="s">
        <v>6687</v>
      </c>
      <c r="H2197" s="1794">
        <v>0</v>
      </c>
      <c r="I2197" s="1794">
        <v>0</v>
      </c>
      <c r="J2197" s="2000">
        <v>0</v>
      </c>
      <c r="K2197" s="1798"/>
      <c r="L2197" s="1792">
        <v>13285960902</v>
      </c>
      <c r="M2197" s="1793">
        <v>1</v>
      </c>
      <c r="N2197" s="1793">
        <v>1</v>
      </c>
      <c r="O2197" s="1794">
        <v>2</v>
      </c>
    </row>
    <row r="2198" spans="3:15">
      <c r="C2198" s="1799" t="s">
        <v>6688</v>
      </c>
      <c r="D2198" s="1796">
        <v>0</v>
      </c>
      <c r="E2198" s="1796">
        <v>0</v>
      </c>
      <c r="F2198" s="1797">
        <v>0</v>
      </c>
      <c r="G2198" s="1999" t="s">
        <v>6688</v>
      </c>
      <c r="H2198" s="1794">
        <v>0</v>
      </c>
      <c r="I2198" s="1794">
        <v>0</v>
      </c>
      <c r="J2198" s="2000">
        <v>0</v>
      </c>
      <c r="K2198" s="1798"/>
      <c r="L2198" s="1792">
        <v>13285961000</v>
      </c>
      <c r="M2198" s="1793">
        <v>0</v>
      </c>
      <c r="N2198" s="1793">
        <v>0</v>
      </c>
      <c r="O2198" s="1794">
        <v>0</v>
      </c>
    </row>
    <row r="2199" spans="3:15">
      <c r="C2199" s="1799" t="s">
        <v>6689</v>
      </c>
      <c r="D2199" s="1796">
        <v>1</v>
      </c>
      <c r="E2199" s="1796">
        <v>0</v>
      </c>
      <c r="F2199" s="1797">
        <v>1</v>
      </c>
      <c r="G2199" s="1999" t="s">
        <v>6689</v>
      </c>
      <c r="H2199" s="1794">
        <v>0</v>
      </c>
      <c r="I2199" s="1794">
        <v>1</v>
      </c>
      <c r="J2199" s="2000">
        <v>1</v>
      </c>
      <c r="K2199" s="1798"/>
      <c r="L2199" s="1792">
        <v>13285961100</v>
      </c>
      <c r="M2199" s="1793">
        <v>1</v>
      </c>
      <c r="N2199" s="1793">
        <v>1</v>
      </c>
      <c r="O2199" s="1794">
        <v>1</v>
      </c>
    </row>
    <row r="2200" spans="3:15">
      <c r="C2200" s="1799" t="s">
        <v>6690</v>
      </c>
      <c r="D2200" s="1796">
        <v>0</v>
      </c>
      <c r="E2200" s="1796">
        <v>0</v>
      </c>
      <c r="F2200" s="1797">
        <v>0</v>
      </c>
      <c r="G2200" s="1999" t="s">
        <v>6690</v>
      </c>
      <c r="H2200" s="1794">
        <v>0</v>
      </c>
      <c r="I2200" s="1794">
        <v>0</v>
      </c>
      <c r="J2200" s="2000">
        <v>0</v>
      </c>
      <c r="K2200" s="1798"/>
      <c r="L2200" s="1792">
        <v>13287970200</v>
      </c>
      <c r="M2200" s="1793">
        <v>0</v>
      </c>
      <c r="N2200" s="1793">
        <v>0</v>
      </c>
      <c r="O2200" s="1794">
        <v>0</v>
      </c>
    </row>
    <row r="2201" spans="3:15">
      <c r="C2201" s="1799" t="s">
        <v>6691</v>
      </c>
      <c r="D2201" s="1796">
        <v>0</v>
      </c>
      <c r="E2201" s="1796">
        <v>1</v>
      </c>
      <c r="F2201" s="1797">
        <v>1</v>
      </c>
      <c r="G2201" s="1999" t="s">
        <v>6691</v>
      </c>
      <c r="H2201" s="1794">
        <v>0</v>
      </c>
      <c r="I2201" s="1794">
        <v>0</v>
      </c>
      <c r="J2201" s="2000">
        <v>0</v>
      </c>
      <c r="K2201" s="1798"/>
      <c r="L2201" s="1792">
        <v>13287970300</v>
      </c>
      <c r="M2201" s="1793">
        <v>0</v>
      </c>
      <c r="N2201" s="1793">
        <v>1</v>
      </c>
      <c r="O2201" s="1794">
        <v>1</v>
      </c>
    </row>
    <row r="2202" spans="3:15">
      <c r="C2202" s="1799" t="s">
        <v>6692</v>
      </c>
      <c r="D2202" s="1796">
        <v>0</v>
      </c>
      <c r="E2202" s="1796">
        <v>0</v>
      </c>
      <c r="F2202" s="1797">
        <v>0</v>
      </c>
      <c r="G2202" s="1999" t="s">
        <v>6692</v>
      </c>
      <c r="H2202" s="1794">
        <v>0</v>
      </c>
      <c r="I2202" s="1794">
        <v>0</v>
      </c>
      <c r="J2202" s="2000">
        <v>0</v>
      </c>
      <c r="K2202" s="1798"/>
      <c r="L2202" s="1792">
        <v>13289060100</v>
      </c>
      <c r="M2202" s="1793">
        <v>0</v>
      </c>
      <c r="N2202" s="1793">
        <v>0</v>
      </c>
      <c r="O2202" s="1794">
        <v>0</v>
      </c>
    </row>
    <row r="2203" spans="3:15">
      <c r="C2203" s="1799" t="s">
        <v>6693</v>
      </c>
      <c r="D2203" s="1796">
        <v>0</v>
      </c>
      <c r="E2203" s="1796">
        <v>0</v>
      </c>
      <c r="F2203" s="1797">
        <v>0</v>
      </c>
      <c r="G2203" s="1999" t="s">
        <v>6693</v>
      </c>
      <c r="H2203" s="1794">
        <v>0</v>
      </c>
      <c r="I2203" s="1794">
        <v>0</v>
      </c>
      <c r="J2203" s="2000">
        <v>0</v>
      </c>
      <c r="K2203" s="1798"/>
      <c r="L2203" s="1792">
        <v>13289060200</v>
      </c>
      <c r="M2203" s="1793">
        <v>0</v>
      </c>
      <c r="N2203" s="1793">
        <v>0</v>
      </c>
      <c r="O2203" s="1794">
        <v>0</v>
      </c>
    </row>
    <row r="2204" spans="3:15">
      <c r="C2204" s="1799" t="s">
        <v>6694</v>
      </c>
      <c r="D2204" s="1796">
        <v>0</v>
      </c>
      <c r="E2204" s="1796">
        <v>0</v>
      </c>
      <c r="F2204" s="1797">
        <v>0</v>
      </c>
      <c r="G2204" s="1999" t="s">
        <v>6694</v>
      </c>
      <c r="H2204" s="1794">
        <v>0</v>
      </c>
      <c r="I2204" s="1794">
        <v>0</v>
      </c>
      <c r="J2204" s="2000">
        <v>0</v>
      </c>
      <c r="K2204" s="1798"/>
      <c r="L2204" s="1792">
        <v>13291000101</v>
      </c>
      <c r="M2204" s="1793">
        <v>0</v>
      </c>
      <c r="N2204" s="1793">
        <v>0</v>
      </c>
      <c r="O2204" s="1794">
        <v>0</v>
      </c>
    </row>
    <row r="2205" spans="3:15">
      <c r="C2205" s="1799" t="s">
        <v>6695</v>
      </c>
      <c r="D2205" s="1796">
        <v>0</v>
      </c>
      <c r="E2205" s="1796">
        <v>1</v>
      </c>
      <c r="F2205" s="1797">
        <v>1</v>
      </c>
      <c r="G2205" s="1999" t="s">
        <v>6695</v>
      </c>
      <c r="H2205" s="1794">
        <v>0</v>
      </c>
      <c r="I2205" s="1794" t="s">
        <v>4485</v>
      </c>
      <c r="J2205" s="2000">
        <v>0</v>
      </c>
      <c r="K2205" s="1798"/>
      <c r="L2205" s="1792">
        <v>13291000102</v>
      </c>
      <c r="M2205" s="1793">
        <v>0</v>
      </c>
      <c r="N2205" s="1793">
        <v>1</v>
      </c>
      <c r="O2205" s="1794">
        <v>1</v>
      </c>
    </row>
    <row r="2206" spans="3:15">
      <c r="C2206" s="1799" t="s">
        <v>6696</v>
      </c>
      <c r="D2206" s="1796">
        <v>1</v>
      </c>
      <c r="E2206" s="1796">
        <v>1</v>
      </c>
      <c r="F2206" s="1797">
        <v>2</v>
      </c>
      <c r="G2206" s="1999" t="s">
        <v>6696</v>
      </c>
      <c r="H2206" s="1794">
        <v>0</v>
      </c>
      <c r="I2206" s="1794">
        <v>1</v>
      </c>
      <c r="J2206" s="2000">
        <v>1</v>
      </c>
      <c r="K2206" s="1798"/>
      <c r="L2206" s="1792">
        <v>13291000201</v>
      </c>
      <c r="M2206" s="1793">
        <v>1</v>
      </c>
      <c r="N2206" s="1793">
        <v>1</v>
      </c>
      <c r="O2206" s="1794">
        <v>2</v>
      </c>
    </row>
    <row r="2207" spans="3:15">
      <c r="C2207" s="1799" t="s">
        <v>6697</v>
      </c>
      <c r="D2207" s="1796">
        <v>0</v>
      </c>
      <c r="E2207" s="1796">
        <v>1</v>
      </c>
      <c r="F2207" s="1797">
        <v>1</v>
      </c>
      <c r="G2207" s="1999" t="s">
        <v>6697</v>
      </c>
      <c r="H2207" s="1794">
        <v>0</v>
      </c>
      <c r="I2207" s="1794" t="s">
        <v>4485</v>
      </c>
      <c r="J2207" s="2000">
        <v>0</v>
      </c>
      <c r="K2207" s="1798"/>
      <c r="L2207" s="1792">
        <v>13291000203</v>
      </c>
      <c r="M2207" s="1793">
        <v>0</v>
      </c>
      <c r="N2207" s="1793">
        <v>1</v>
      </c>
      <c r="O2207" s="1794">
        <v>1</v>
      </c>
    </row>
    <row r="2208" spans="3:15">
      <c r="C2208" s="1799" t="s">
        <v>6698</v>
      </c>
      <c r="D2208" s="1796">
        <v>0</v>
      </c>
      <c r="E2208" s="1796">
        <v>0</v>
      </c>
      <c r="F2208" s="1797">
        <v>0</v>
      </c>
      <c r="G2208" s="1999" t="s">
        <v>6698</v>
      </c>
      <c r="H2208" s="1794">
        <v>1</v>
      </c>
      <c r="I2208" s="1794">
        <v>0</v>
      </c>
      <c r="J2208" s="2000">
        <v>1</v>
      </c>
      <c r="K2208" s="1798"/>
      <c r="L2208" s="1792">
        <v>13291000204</v>
      </c>
      <c r="M2208" s="1793">
        <v>1</v>
      </c>
      <c r="N2208" s="1793">
        <v>0</v>
      </c>
      <c r="O2208" s="1794">
        <v>1</v>
      </c>
    </row>
    <row r="2209" spans="3:15">
      <c r="C2209" s="1799" t="s">
        <v>6699</v>
      </c>
      <c r="D2209" s="1796">
        <v>0</v>
      </c>
      <c r="E2209" s="1796">
        <v>0</v>
      </c>
      <c r="F2209" s="1797">
        <v>0</v>
      </c>
      <c r="G2209" s="1999" t="s">
        <v>6699</v>
      </c>
      <c r="H2209" s="1794">
        <v>1</v>
      </c>
      <c r="I2209" s="1794">
        <v>0</v>
      </c>
      <c r="J2209" s="2000">
        <v>1</v>
      </c>
      <c r="K2209" s="1798"/>
      <c r="L2209" s="1792">
        <v>13291000205</v>
      </c>
      <c r="M2209" s="1793">
        <v>1</v>
      </c>
      <c r="N2209" s="1793">
        <v>0</v>
      </c>
      <c r="O2209" s="1794">
        <v>1</v>
      </c>
    </row>
    <row r="2210" spans="3:15">
      <c r="C2210" s="1799" t="s">
        <v>6700</v>
      </c>
      <c r="D2210" s="1796">
        <v>0</v>
      </c>
      <c r="E2210" s="1796">
        <v>0</v>
      </c>
      <c r="F2210" s="1797">
        <v>0</v>
      </c>
      <c r="G2210" s="1999" t="s">
        <v>6700</v>
      </c>
      <c r="H2210" s="1794">
        <v>0</v>
      </c>
      <c r="I2210" s="1794">
        <v>0</v>
      </c>
      <c r="J2210" s="2000">
        <v>0</v>
      </c>
      <c r="K2210" s="1798"/>
      <c r="L2210" s="1792">
        <v>13293010100</v>
      </c>
      <c r="M2210" s="1793">
        <v>0</v>
      </c>
      <c r="N2210" s="1793">
        <v>0</v>
      </c>
      <c r="O2210" s="1794">
        <v>0</v>
      </c>
    </row>
    <row r="2211" spans="3:15">
      <c r="C2211" s="1799" t="s">
        <v>6701</v>
      </c>
      <c r="D2211" s="1796">
        <v>0</v>
      </c>
      <c r="E2211" s="1796">
        <v>0</v>
      </c>
      <c r="F2211" s="1797">
        <v>0</v>
      </c>
      <c r="G2211" s="1999" t="s">
        <v>6701</v>
      </c>
      <c r="H2211" s="1794">
        <v>0</v>
      </c>
      <c r="I2211" s="1794">
        <v>0</v>
      </c>
      <c r="J2211" s="2000">
        <v>0</v>
      </c>
      <c r="K2211" s="1798"/>
      <c r="L2211" s="1792">
        <v>13293010201</v>
      </c>
      <c r="M2211" s="1793">
        <v>0</v>
      </c>
      <c r="N2211" s="1793">
        <v>0</v>
      </c>
      <c r="O2211" s="1794">
        <v>0</v>
      </c>
    </row>
    <row r="2212" spans="3:15">
      <c r="C2212" s="1799" t="s">
        <v>6702</v>
      </c>
      <c r="D2212" s="1796">
        <v>0</v>
      </c>
      <c r="E2212" s="1796">
        <v>0</v>
      </c>
      <c r="F2212" s="1797">
        <v>0</v>
      </c>
      <c r="G2212" s="1999" t="s">
        <v>6702</v>
      </c>
      <c r="H2212" s="1794">
        <v>0</v>
      </c>
      <c r="I2212" s="1794">
        <v>1</v>
      </c>
      <c r="J2212" s="2000">
        <v>1</v>
      </c>
      <c r="K2212" s="1798"/>
      <c r="L2212" s="1792">
        <v>13293010202</v>
      </c>
      <c r="M2212" s="1793">
        <v>0</v>
      </c>
      <c r="N2212" s="1793">
        <v>1</v>
      </c>
      <c r="O2212" s="1794">
        <v>1</v>
      </c>
    </row>
    <row r="2213" spans="3:15">
      <c r="C2213" s="1799" t="s">
        <v>6703</v>
      </c>
      <c r="D2213" s="1796">
        <v>0</v>
      </c>
      <c r="E2213" s="1796">
        <v>1</v>
      </c>
      <c r="F2213" s="1797">
        <v>1</v>
      </c>
      <c r="G2213" s="1999" t="s">
        <v>6703</v>
      </c>
      <c r="H2213" s="1794">
        <v>0</v>
      </c>
      <c r="I2213" s="1794">
        <v>0</v>
      </c>
      <c r="J2213" s="2000">
        <v>0</v>
      </c>
      <c r="K2213" s="1798"/>
      <c r="L2213" s="1792">
        <v>13293010300</v>
      </c>
      <c r="M2213" s="1793">
        <v>0</v>
      </c>
      <c r="N2213" s="1793">
        <v>1</v>
      </c>
      <c r="O2213" s="1794">
        <v>1</v>
      </c>
    </row>
    <row r="2214" spans="3:15">
      <c r="C2214" s="1799" t="s">
        <v>6704</v>
      </c>
      <c r="D2214" s="1796">
        <v>0</v>
      </c>
      <c r="E2214" s="1796">
        <v>0</v>
      </c>
      <c r="F2214" s="1797">
        <v>0</v>
      </c>
      <c r="G2214" s="1999" t="s">
        <v>6704</v>
      </c>
      <c r="H2214" s="1794">
        <v>0</v>
      </c>
      <c r="I2214" s="1794">
        <v>0</v>
      </c>
      <c r="J2214" s="2000">
        <v>0</v>
      </c>
      <c r="K2214" s="1798"/>
      <c r="L2214" s="1792">
        <v>13293010400</v>
      </c>
      <c r="M2214" s="1793">
        <v>0</v>
      </c>
      <c r="N2214" s="1793">
        <v>0</v>
      </c>
      <c r="O2214" s="1794">
        <v>0</v>
      </c>
    </row>
    <row r="2215" spans="3:15">
      <c r="C2215" s="1799" t="s">
        <v>6705</v>
      </c>
      <c r="D2215" s="1796">
        <v>0</v>
      </c>
      <c r="E2215" s="1796">
        <v>0</v>
      </c>
      <c r="F2215" s="1797">
        <v>0</v>
      </c>
      <c r="G2215" s="1999" t="s">
        <v>6705</v>
      </c>
      <c r="H2215" s="1794">
        <v>0</v>
      </c>
      <c r="I2215" s="1794">
        <v>0</v>
      </c>
      <c r="J2215" s="2000">
        <v>0</v>
      </c>
      <c r="K2215" s="1798"/>
      <c r="L2215" s="1792">
        <v>13293010500</v>
      </c>
      <c r="M2215" s="1793">
        <v>0</v>
      </c>
      <c r="N2215" s="1793">
        <v>0</v>
      </c>
      <c r="O2215" s="1794">
        <v>0</v>
      </c>
    </row>
    <row r="2216" spans="3:15">
      <c r="C2216" s="1799" t="s">
        <v>6706</v>
      </c>
      <c r="D2216" s="1796">
        <v>0</v>
      </c>
      <c r="E2216" s="1796">
        <v>0</v>
      </c>
      <c r="F2216" s="1797">
        <v>0</v>
      </c>
      <c r="G2216" s="1999" t="s">
        <v>6706</v>
      </c>
      <c r="H2216" s="1794">
        <v>0</v>
      </c>
      <c r="I2216" s="1794">
        <v>0</v>
      </c>
      <c r="J2216" s="2000">
        <v>0</v>
      </c>
      <c r="K2216" s="1798"/>
      <c r="L2216" s="1792">
        <v>13293010600</v>
      </c>
      <c r="M2216" s="1793">
        <v>0</v>
      </c>
      <c r="N2216" s="1793">
        <v>0</v>
      </c>
      <c r="O2216" s="1794">
        <v>0</v>
      </c>
    </row>
    <row r="2217" spans="3:15">
      <c r="C2217" s="1799" t="s">
        <v>6707</v>
      </c>
      <c r="D2217" s="1796">
        <v>0</v>
      </c>
      <c r="E2217" s="1796">
        <v>0</v>
      </c>
      <c r="F2217" s="1797">
        <v>0</v>
      </c>
      <c r="G2217" s="1999" t="s">
        <v>6707</v>
      </c>
      <c r="H2217" s="1794">
        <v>0</v>
      </c>
      <c r="I2217" s="1794">
        <v>0</v>
      </c>
      <c r="J2217" s="2000">
        <v>0</v>
      </c>
      <c r="K2217" s="1798"/>
      <c r="L2217" s="1792">
        <v>13295020100</v>
      </c>
      <c r="M2217" s="1793">
        <v>0</v>
      </c>
      <c r="N2217" s="1793">
        <v>0</v>
      </c>
      <c r="O2217" s="1794">
        <v>0</v>
      </c>
    </row>
    <row r="2218" spans="3:15">
      <c r="C2218" s="1799" t="s">
        <v>6708</v>
      </c>
      <c r="D2218" s="1796">
        <v>0</v>
      </c>
      <c r="E2218" s="1796">
        <v>0</v>
      </c>
      <c r="F2218" s="1797">
        <v>0</v>
      </c>
      <c r="G2218" s="1999" t="s">
        <v>6708</v>
      </c>
      <c r="H2218" s="1794">
        <v>0</v>
      </c>
      <c r="I2218" s="1794">
        <v>0</v>
      </c>
      <c r="J2218" s="2000">
        <v>0</v>
      </c>
      <c r="K2218" s="1798"/>
      <c r="L2218" s="1792">
        <v>13295020200</v>
      </c>
      <c r="M2218" s="1793">
        <v>0</v>
      </c>
      <c r="N2218" s="1793">
        <v>0</v>
      </c>
      <c r="O2218" s="1794">
        <v>0</v>
      </c>
    </row>
    <row r="2219" spans="3:15">
      <c r="C2219" s="1799" t="s">
        <v>6709</v>
      </c>
      <c r="D2219" s="1796">
        <v>0</v>
      </c>
      <c r="E2219" s="1796">
        <v>0</v>
      </c>
      <c r="F2219" s="1797">
        <v>0</v>
      </c>
      <c r="G2219" s="1999" t="s">
        <v>6709</v>
      </c>
      <c r="H2219" s="1794">
        <v>0</v>
      </c>
      <c r="I2219" s="1794">
        <v>0</v>
      </c>
      <c r="J2219" s="2000">
        <v>0</v>
      </c>
      <c r="K2219" s="1798"/>
      <c r="L2219" s="1792">
        <v>13295020301</v>
      </c>
      <c r="M2219" s="1793">
        <v>0</v>
      </c>
      <c r="N2219" s="1793">
        <v>0</v>
      </c>
      <c r="O2219" s="1794">
        <v>0</v>
      </c>
    </row>
    <row r="2220" spans="3:15">
      <c r="C2220" s="1799" t="s">
        <v>6710</v>
      </c>
      <c r="D2220" s="1796">
        <v>0</v>
      </c>
      <c r="E2220" s="1796">
        <v>0</v>
      </c>
      <c r="F2220" s="1797">
        <v>0</v>
      </c>
      <c r="G2220" s="1999" t="s">
        <v>6710</v>
      </c>
      <c r="H2220" s="1794">
        <v>0</v>
      </c>
      <c r="I2220" s="1794">
        <v>0</v>
      </c>
      <c r="J2220" s="2000">
        <v>0</v>
      </c>
      <c r="K2220" s="1798"/>
      <c r="L2220" s="1792">
        <v>13295020302</v>
      </c>
      <c r="M2220" s="1793">
        <v>0</v>
      </c>
      <c r="N2220" s="1793">
        <v>0</v>
      </c>
      <c r="O2220" s="1794">
        <v>0</v>
      </c>
    </row>
    <row r="2221" spans="3:15">
      <c r="C2221" s="1799" t="s">
        <v>6711</v>
      </c>
      <c r="D2221" s="1796">
        <v>1</v>
      </c>
      <c r="E2221" s="1796">
        <v>1</v>
      </c>
      <c r="F2221" s="1797">
        <v>2</v>
      </c>
      <c r="G2221" s="1999" t="s">
        <v>6711</v>
      </c>
      <c r="H2221" s="1794">
        <v>1</v>
      </c>
      <c r="I2221" s="1794">
        <v>1</v>
      </c>
      <c r="J2221" s="2000">
        <v>2</v>
      </c>
      <c r="K2221" s="1798"/>
      <c r="L2221" s="1792">
        <v>13295020400</v>
      </c>
      <c r="M2221" s="1793">
        <v>1</v>
      </c>
      <c r="N2221" s="1793">
        <v>1</v>
      </c>
      <c r="O2221" s="1794">
        <v>2</v>
      </c>
    </row>
    <row r="2222" spans="3:15">
      <c r="C2222" s="1799" t="s">
        <v>6712</v>
      </c>
      <c r="D2222" s="1796">
        <v>1</v>
      </c>
      <c r="E2222" s="1796">
        <v>0</v>
      </c>
      <c r="F2222" s="1797">
        <v>1</v>
      </c>
      <c r="G2222" s="1999" t="s">
        <v>6712</v>
      </c>
      <c r="H2222" s="1794">
        <v>0</v>
      </c>
      <c r="I2222" s="1794">
        <v>0</v>
      </c>
      <c r="J2222" s="2000">
        <v>0</v>
      </c>
      <c r="K2222" s="1798"/>
      <c r="L2222" s="1792">
        <v>13295020501</v>
      </c>
      <c r="M2222" s="1793">
        <v>1</v>
      </c>
      <c r="N2222" s="1793">
        <v>0</v>
      </c>
      <c r="O2222" s="1794">
        <v>1</v>
      </c>
    </row>
    <row r="2223" spans="3:15">
      <c r="C2223" s="1799" t="s">
        <v>6713</v>
      </c>
      <c r="D2223" s="1796">
        <v>0</v>
      </c>
      <c r="E2223" s="1796">
        <v>1</v>
      </c>
      <c r="F2223" s="1797">
        <v>1</v>
      </c>
      <c r="G2223" s="1999" t="s">
        <v>6713</v>
      </c>
      <c r="H2223" s="1794">
        <v>1</v>
      </c>
      <c r="I2223" s="1794">
        <v>1</v>
      </c>
      <c r="J2223" s="2000">
        <v>2</v>
      </c>
      <c r="K2223" s="1798"/>
      <c r="L2223" s="1792">
        <v>13295020502</v>
      </c>
      <c r="M2223" s="1793">
        <v>1</v>
      </c>
      <c r="N2223" s="1793">
        <v>1</v>
      </c>
      <c r="O2223" s="1794">
        <v>2</v>
      </c>
    </row>
    <row r="2224" spans="3:15">
      <c r="C2224" s="1799" t="s">
        <v>6714</v>
      </c>
      <c r="D2224" s="1796">
        <v>0</v>
      </c>
      <c r="E2224" s="1796">
        <v>1</v>
      </c>
      <c r="F2224" s="1797">
        <v>1</v>
      </c>
      <c r="G2224" s="1999" t="s">
        <v>6714</v>
      </c>
      <c r="H2224" s="1794">
        <v>0</v>
      </c>
      <c r="I2224" s="1794">
        <v>1</v>
      </c>
      <c r="J2224" s="2000">
        <v>1</v>
      </c>
      <c r="K2224" s="1798"/>
      <c r="L2224" s="1792">
        <v>13295020601</v>
      </c>
      <c r="M2224" s="1793">
        <v>0</v>
      </c>
      <c r="N2224" s="1793">
        <v>1</v>
      </c>
      <c r="O2224" s="1794">
        <v>1</v>
      </c>
    </row>
    <row r="2225" spans="3:15">
      <c r="C2225" s="1799" t="s">
        <v>6715</v>
      </c>
      <c r="D2225" s="1796">
        <v>0</v>
      </c>
      <c r="E2225" s="1796">
        <v>0</v>
      </c>
      <c r="F2225" s="1797">
        <v>0</v>
      </c>
      <c r="G2225" s="1999" t="s">
        <v>6715</v>
      </c>
      <c r="H2225" s="1794">
        <v>0</v>
      </c>
      <c r="I2225" s="1794">
        <v>0</v>
      </c>
      <c r="J2225" s="2000">
        <v>0</v>
      </c>
      <c r="K2225" s="1798"/>
      <c r="L2225" s="1792">
        <v>13295020602</v>
      </c>
      <c r="M2225" s="1793">
        <v>0</v>
      </c>
      <c r="N2225" s="1793">
        <v>0</v>
      </c>
      <c r="O2225" s="1794">
        <v>0</v>
      </c>
    </row>
    <row r="2226" spans="3:15">
      <c r="C2226" s="1799" t="s">
        <v>6716</v>
      </c>
      <c r="D2226" s="1796">
        <v>0</v>
      </c>
      <c r="E2226" s="1796">
        <v>0</v>
      </c>
      <c r="F2226" s="1797">
        <v>0</v>
      </c>
      <c r="G2226" s="1999" t="s">
        <v>6716</v>
      </c>
      <c r="H2226" s="1794">
        <v>0</v>
      </c>
      <c r="I2226" s="1794">
        <v>0</v>
      </c>
      <c r="J2226" s="2000">
        <v>0</v>
      </c>
      <c r="K2226" s="1798"/>
      <c r="L2226" s="1792">
        <v>13295020700</v>
      </c>
      <c r="M2226" s="1793">
        <v>0</v>
      </c>
      <c r="N2226" s="1793">
        <v>0</v>
      </c>
      <c r="O2226" s="1794">
        <v>0</v>
      </c>
    </row>
    <row r="2227" spans="3:15">
      <c r="C2227" s="1799" t="s">
        <v>6717</v>
      </c>
      <c r="D2227" s="1796">
        <v>0</v>
      </c>
      <c r="E2227" s="1796">
        <v>0</v>
      </c>
      <c r="F2227" s="1797">
        <v>0</v>
      </c>
      <c r="G2227" s="1999" t="s">
        <v>6717</v>
      </c>
      <c r="H2227" s="1794">
        <v>0</v>
      </c>
      <c r="I2227" s="1794">
        <v>0</v>
      </c>
      <c r="J2227" s="2000">
        <v>0</v>
      </c>
      <c r="K2227" s="1798"/>
      <c r="L2227" s="1792">
        <v>13295020800</v>
      </c>
      <c r="M2227" s="1793">
        <v>0</v>
      </c>
      <c r="N2227" s="1793">
        <v>0</v>
      </c>
      <c r="O2227" s="1794">
        <v>0</v>
      </c>
    </row>
    <row r="2228" spans="3:15">
      <c r="C2228" s="1799" t="s">
        <v>6718</v>
      </c>
      <c r="D2228" s="1796">
        <v>0</v>
      </c>
      <c r="E2228" s="1796">
        <v>0</v>
      </c>
      <c r="F2228" s="1797">
        <v>0</v>
      </c>
      <c r="G2228" s="1999" t="s">
        <v>6718</v>
      </c>
      <c r="H2228" s="1794">
        <v>1</v>
      </c>
      <c r="I2228" s="1794">
        <v>1</v>
      </c>
      <c r="J2228" s="2000">
        <v>2</v>
      </c>
      <c r="K2228" s="1798"/>
      <c r="L2228" s="1792">
        <v>13295020901</v>
      </c>
      <c r="M2228" s="1793">
        <v>1</v>
      </c>
      <c r="N2228" s="1793">
        <v>1</v>
      </c>
      <c r="O2228" s="1794">
        <v>2</v>
      </c>
    </row>
    <row r="2229" spans="3:15">
      <c r="C2229" s="1799" t="s">
        <v>6719</v>
      </c>
      <c r="D2229" s="1796">
        <v>0</v>
      </c>
      <c r="E2229" s="1796">
        <v>0</v>
      </c>
      <c r="F2229" s="1797">
        <v>0</v>
      </c>
      <c r="G2229" s="1999" t="s">
        <v>6719</v>
      </c>
      <c r="H2229" s="1794">
        <v>0</v>
      </c>
      <c r="I2229" s="1794">
        <v>1</v>
      </c>
      <c r="J2229" s="2000">
        <v>1</v>
      </c>
      <c r="K2229" s="1798"/>
      <c r="L2229" s="1792">
        <v>13295020902</v>
      </c>
      <c r="M2229" s="1793">
        <v>0</v>
      </c>
      <c r="N2229" s="1793">
        <v>1</v>
      </c>
      <c r="O2229" s="1794">
        <v>1</v>
      </c>
    </row>
    <row r="2230" spans="3:15">
      <c r="C2230" s="1799" t="s">
        <v>6720</v>
      </c>
      <c r="D2230" s="1796">
        <v>1</v>
      </c>
      <c r="E2230" s="1796">
        <v>1</v>
      </c>
      <c r="F2230" s="1797">
        <v>2</v>
      </c>
      <c r="G2230" s="1999" t="s">
        <v>6720</v>
      </c>
      <c r="H2230" s="1794">
        <v>1</v>
      </c>
      <c r="I2230" s="1794">
        <v>1</v>
      </c>
      <c r="J2230" s="2000">
        <v>2</v>
      </c>
      <c r="K2230" s="1798"/>
      <c r="L2230" s="1792">
        <v>13297110100</v>
      </c>
      <c r="M2230" s="1793">
        <v>1</v>
      </c>
      <c r="N2230" s="1793">
        <v>1</v>
      </c>
      <c r="O2230" s="1794">
        <v>2</v>
      </c>
    </row>
    <row r="2231" spans="3:15">
      <c r="C2231" s="1799" t="s">
        <v>6721</v>
      </c>
      <c r="D2231" s="1796">
        <v>1</v>
      </c>
      <c r="E2231" s="1796">
        <v>1</v>
      </c>
      <c r="F2231" s="1797">
        <v>2</v>
      </c>
      <c r="G2231" s="1999" t="s">
        <v>6721</v>
      </c>
      <c r="H2231" s="1794">
        <v>1</v>
      </c>
      <c r="I2231" s="1794">
        <v>0</v>
      </c>
      <c r="J2231" s="2000">
        <v>1</v>
      </c>
      <c r="K2231" s="1798"/>
      <c r="L2231" s="1792">
        <v>13297110200</v>
      </c>
      <c r="M2231" s="1793">
        <v>1</v>
      </c>
      <c r="N2231" s="1793">
        <v>1</v>
      </c>
      <c r="O2231" s="1794">
        <v>2</v>
      </c>
    </row>
    <row r="2232" spans="3:15">
      <c r="C2232" s="1799" t="s">
        <v>6722</v>
      </c>
      <c r="D2232" s="1796">
        <v>0</v>
      </c>
      <c r="E2232" s="1796">
        <v>0</v>
      </c>
      <c r="F2232" s="1797">
        <v>0</v>
      </c>
      <c r="G2232" s="1999" t="s">
        <v>6722</v>
      </c>
      <c r="H2232" s="1794">
        <v>0</v>
      </c>
      <c r="I2232" s="1794">
        <v>0</v>
      </c>
      <c r="J2232" s="2000">
        <v>0</v>
      </c>
      <c r="K2232" s="1798"/>
      <c r="L2232" s="1792">
        <v>13297110300</v>
      </c>
      <c r="M2232" s="1793">
        <v>0</v>
      </c>
      <c r="N2232" s="1793">
        <v>0</v>
      </c>
      <c r="O2232" s="1794">
        <v>0</v>
      </c>
    </row>
    <row r="2233" spans="3:15">
      <c r="C2233" s="1799" t="s">
        <v>6723</v>
      </c>
      <c r="D2233" s="1796">
        <v>0</v>
      </c>
      <c r="E2233" s="1796">
        <v>0</v>
      </c>
      <c r="F2233" s="1797">
        <v>0</v>
      </c>
      <c r="G2233" s="1999" t="s">
        <v>6723</v>
      </c>
      <c r="H2233" s="1794">
        <v>0</v>
      </c>
      <c r="I2233" s="1794">
        <v>0</v>
      </c>
      <c r="J2233" s="2000">
        <v>0</v>
      </c>
      <c r="K2233" s="1798"/>
      <c r="L2233" s="1792">
        <v>13297110400</v>
      </c>
      <c r="M2233" s="1793">
        <v>0</v>
      </c>
      <c r="N2233" s="1793">
        <v>0</v>
      </c>
      <c r="O2233" s="1794">
        <v>0</v>
      </c>
    </row>
    <row r="2234" spans="3:15">
      <c r="C2234" s="1799" t="s">
        <v>6724</v>
      </c>
      <c r="D2234" s="1796">
        <v>1</v>
      </c>
      <c r="E2234" s="1796">
        <v>1</v>
      </c>
      <c r="F2234" s="1797">
        <v>2</v>
      </c>
      <c r="G2234" s="1999" t="s">
        <v>6724</v>
      </c>
      <c r="H2234" s="1794">
        <v>1</v>
      </c>
      <c r="I2234" s="1794">
        <v>1</v>
      </c>
      <c r="J2234" s="2000">
        <v>2</v>
      </c>
      <c r="K2234" s="1798"/>
      <c r="L2234" s="1792">
        <v>13297110503</v>
      </c>
      <c r="M2234" s="1793">
        <v>1</v>
      </c>
      <c r="N2234" s="1793">
        <v>1</v>
      </c>
      <c r="O2234" s="1794">
        <v>2</v>
      </c>
    </row>
    <row r="2235" spans="3:15">
      <c r="C2235" s="1799" t="s">
        <v>6725</v>
      </c>
      <c r="D2235" s="1796">
        <v>1</v>
      </c>
      <c r="E2235" s="1796">
        <v>1</v>
      </c>
      <c r="F2235" s="1797">
        <v>2</v>
      </c>
      <c r="G2235" s="1999" t="s">
        <v>6725</v>
      </c>
      <c r="H2235" s="1794">
        <v>1</v>
      </c>
      <c r="I2235" s="1794">
        <v>1</v>
      </c>
      <c r="J2235" s="2000">
        <v>2</v>
      </c>
      <c r="K2235" s="1798"/>
      <c r="L2235" s="1792">
        <v>13297110504</v>
      </c>
      <c r="M2235" s="1793">
        <v>1</v>
      </c>
      <c r="N2235" s="1793">
        <v>1</v>
      </c>
      <c r="O2235" s="1794">
        <v>2</v>
      </c>
    </row>
    <row r="2236" spans="3:15">
      <c r="C2236" s="1799" t="s">
        <v>6726</v>
      </c>
      <c r="D2236" s="1796">
        <v>1</v>
      </c>
      <c r="E2236" s="1796">
        <v>1</v>
      </c>
      <c r="F2236" s="1797">
        <v>2</v>
      </c>
      <c r="G2236" s="1999" t="s">
        <v>6726</v>
      </c>
      <c r="H2236" s="1794">
        <v>1</v>
      </c>
      <c r="I2236" s="1794">
        <v>0</v>
      </c>
      <c r="J2236" s="2000">
        <v>1</v>
      </c>
      <c r="K2236" s="1798"/>
      <c r="L2236" s="1792">
        <v>13297110505</v>
      </c>
      <c r="M2236" s="1793">
        <v>1</v>
      </c>
      <c r="N2236" s="1793">
        <v>1</v>
      </c>
      <c r="O2236" s="1794">
        <v>2</v>
      </c>
    </row>
    <row r="2237" spans="3:15">
      <c r="C2237" s="1799" t="s">
        <v>6727</v>
      </c>
      <c r="D2237" s="1796">
        <v>1</v>
      </c>
      <c r="E2237" s="1796">
        <v>1</v>
      </c>
      <c r="F2237" s="1797">
        <v>2</v>
      </c>
      <c r="G2237" s="1999" t="s">
        <v>6727</v>
      </c>
      <c r="H2237" s="1794">
        <v>1</v>
      </c>
      <c r="I2237" s="1794">
        <v>1</v>
      </c>
      <c r="J2237" s="2000">
        <v>2</v>
      </c>
      <c r="K2237" s="1798"/>
      <c r="L2237" s="1792">
        <v>13297110506</v>
      </c>
      <c r="M2237" s="1793">
        <v>1</v>
      </c>
      <c r="N2237" s="1793">
        <v>1</v>
      </c>
      <c r="O2237" s="1794">
        <v>2</v>
      </c>
    </row>
    <row r="2238" spans="3:15">
      <c r="C2238" s="1799" t="s">
        <v>6728</v>
      </c>
      <c r="D2238" s="1796">
        <v>1</v>
      </c>
      <c r="E2238" s="1796">
        <v>1</v>
      </c>
      <c r="F2238" s="1797">
        <v>2</v>
      </c>
      <c r="G2238" s="1999" t="s">
        <v>6728</v>
      </c>
      <c r="H2238" s="1794">
        <v>1</v>
      </c>
      <c r="I2238" s="1794">
        <v>1</v>
      </c>
      <c r="J2238" s="2000">
        <v>2</v>
      </c>
      <c r="K2238" s="1798"/>
      <c r="L2238" s="1792">
        <v>13297110507</v>
      </c>
      <c r="M2238" s="1793">
        <v>1</v>
      </c>
      <c r="N2238" s="1793">
        <v>1</v>
      </c>
      <c r="O2238" s="1794">
        <v>2</v>
      </c>
    </row>
    <row r="2239" spans="3:15">
      <c r="C2239" s="1799" t="s">
        <v>6729</v>
      </c>
      <c r="D2239" s="1796">
        <v>1</v>
      </c>
      <c r="E2239" s="1796">
        <v>1</v>
      </c>
      <c r="F2239" s="1797">
        <v>2</v>
      </c>
      <c r="G2239" s="1999" t="s">
        <v>6729</v>
      </c>
      <c r="H2239" s="1794">
        <v>0</v>
      </c>
      <c r="I2239" s="1794">
        <v>1</v>
      </c>
      <c r="J2239" s="2000">
        <v>1</v>
      </c>
      <c r="K2239" s="1798"/>
      <c r="L2239" s="1792">
        <v>13297110508</v>
      </c>
      <c r="M2239" s="1793">
        <v>1</v>
      </c>
      <c r="N2239" s="1793">
        <v>1</v>
      </c>
      <c r="O2239" s="1794">
        <v>2</v>
      </c>
    </row>
    <row r="2240" spans="3:15">
      <c r="C2240" s="1799" t="s">
        <v>6730</v>
      </c>
      <c r="D2240" s="1796">
        <v>1</v>
      </c>
      <c r="E2240" s="1796">
        <v>1</v>
      </c>
      <c r="F2240" s="1797">
        <v>2</v>
      </c>
      <c r="G2240" s="1999" t="s">
        <v>6730</v>
      </c>
      <c r="H2240" s="1794">
        <v>1</v>
      </c>
      <c r="I2240" s="1794">
        <v>1</v>
      </c>
      <c r="J2240" s="2000">
        <v>2</v>
      </c>
      <c r="K2240" s="1798"/>
      <c r="L2240" s="1792">
        <v>13297110601</v>
      </c>
      <c r="M2240" s="1793">
        <v>1</v>
      </c>
      <c r="N2240" s="1793">
        <v>1</v>
      </c>
      <c r="O2240" s="1794">
        <v>2</v>
      </c>
    </row>
    <row r="2241" spans="3:15">
      <c r="C2241" s="1799" t="s">
        <v>6731</v>
      </c>
      <c r="D2241" s="1796">
        <v>1</v>
      </c>
      <c r="E2241" s="1796">
        <v>1</v>
      </c>
      <c r="F2241" s="1797">
        <v>2</v>
      </c>
      <c r="G2241" s="1999" t="s">
        <v>6731</v>
      </c>
      <c r="H2241" s="1794">
        <v>1</v>
      </c>
      <c r="I2241" s="1794">
        <v>1</v>
      </c>
      <c r="J2241" s="2000">
        <v>2</v>
      </c>
      <c r="K2241" s="1798"/>
      <c r="L2241" s="1792">
        <v>13297110602</v>
      </c>
      <c r="M2241" s="1793">
        <v>1</v>
      </c>
      <c r="N2241" s="1793">
        <v>1</v>
      </c>
      <c r="O2241" s="1794">
        <v>2</v>
      </c>
    </row>
    <row r="2242" spans="3:15">
      <c r="C2242" s="1799" t="s">
        <v>6732</v>
      </c>
      <c r="D2242" s="1796">
        <v>0</v>
      </c>
      <c r="E2242" s="1796">
        <v>1</v>
      </c>
      <c r="F2242" s="1797">
        <v>1</v>
      </c>
      <c r="G2242" s="1999" t="s">
        <v>6732</v>
      </c>
      <c r="H2242" s="1794">
        <v>0</v>
      </c>
      <c r="I2242" s="1794">
        <v>0</v>
      </c>
      <c r="J2242" s="2000">
        <v>0</v>
      </c>
      <c r="K2242" s="1798"/>
      <c r="L2242" s="1792">
        <v>13297110603</v>
      </c>
      <c r="M2242" s="1793">
        <v>0</v>
      </c>
      <c r="N2242" s="1793">
        <v>1</v>
      </c>
      <c r="O2242" s="1794">
        <v>1</v>
      </c>
    </row>
    <row r="2243" spans="3:15">
      <c r="C2243" s="1799" t="s">
        <v>6733</v>
      </c>
      <c r="D2243" s="1796">
        <v>0</v>
      </c>
      <c r="E2243" s="1796">
        <v>0</v>
      </c>
      <c r="F2243" s="1797">
        <v>0</v>
      </c>
      <c r="G2243" s="1999" t="s">
        <v>6733</v>
      </c>
      <c r="H2243" s="1794">
        <v>0</v>
      </c>
      <c r="I2243" s="1794">
        <v>0</v>
      </c>
      <c r="J2243" s="2000">
        <v>0</v>
      </c>
      <c r="K2243" s="1798"/>
      <c r="L2243" s="1792">
        <v>13297110700</v>
      </c>
      <c r="M2243" s="1793">
        <v>0</v>
      </c>
      <c r="N2243" s="1793">
        <v>0</v>
      </c>
      <c r="O2243" s="1794">
        <v>0</v>
      </c>
    </row>
    <row r="2244" spans="3:15">
      <c r="C2244" s="1799" t="s">
        <v>6734</v>
      </c>
      <c r="D2244" s="1796">
        <v>1</v>
      </c>
      <c r="E2244" s="1796">
        <v>0</v>
      </c>
      <c r="F2244" s="1797">
        <v>1</v>
      </c>
      <c r="G2244" s="1999" t="s">
        <v>6734</v>
      </c>
      <c r="H2244" s="1794">
        <v>1</v>
      </c>
      <c r="I2244" s="1794">
        <v>0</v>
      </c>
      <c r="J2244" s="2000">
        <v>1</v>
      </c>
      <c r="K2244" s="1798"/>
      <c r="L2244" s="1792">
        <v>13297110800</v>
      </c>
      <c r="M2244" s="1793">
        <v>1</v>
      </c>
      <c r="N2244" s="1793">
        <v>0</v>
      </c>
      <c r="O2244" s="1794">
        <v>1</v>
      </c>
    </row>
    <row r="2245" spans="3:15">
      <c r="C2245" s="1799" t="s">
        <v>6735</v>
      </c>
      <c r="D2245" s="1796">
        <v>1</v>
      </c>
      <c r="E2245" s="1796">
        <v>0</v>
      </c>
      <c r="F2245" s="1797">
        <v>1</v>
      </c>
      <c r="G2245" s="1999" t="s">
        <v>6735</v>
      </c>
      <c r="H2245" s="1794">
        <v>0</v>
      </c>
      <c r="I2245" s="1794">
        <v>0</v>
      </c>
      <c r="J2245" s="2000">
        <v>0</v>
      </c>
      <c r="K2245" s="1798"/>
      <c r="L2245" s="1792">
        <v>13299950100</v>
      </c>
      <c r="M2245" s="1793">
        <v>1</v>
      </c>
      <c r="N2245" s="1793">
        <v>0</v>
      </c>
      <c r="O2245" s="1794">
        <v>1</v>
      </c>
    </row>
    <row r="2246" spans="3:15">
      <c r="C2246" s="1799" t="s">
        <v>6736</v>
      </c>
      <c r="D2246" s="1796">
        <v>0</v>
      </c>
      <c r="E2246" s="1796">
        <v>0</v>
      </c>
      <c r="F2246" s="1797">
        <v>0</v>
      </c>
      <c r="G2246" s="1999" t="s">
        <v>6736</v>
      </c>
      <c r="H2246" s="1794">
        <v>0</v>
      </c>
      <c r="I2246" s="1794">
        <v>0</v>
      </c>
      <c r="J2246" s="2000">
        <v>0</v>
      </c>
      <c r="K2246" s="1798"/>
      <c r="L2246" s="1792">
        <v>13299950200</v>
      </c>
      <c r="M2246" s="1793">
        <v>0</v>
      </c>
      <c r="N2246" s="1793">
        <v>0</v>
      </c>
      <c r="O2246" s="1794">
        <v>0</v>
      </c>
    </row>
    <row r="2247" spans="3:15">
      <c r="C2247" s="1799" t="s">
        <v>6737</v>
      </c>
      <c r="D2247" s="1796">
        <v>0</v>
      </c>
      <c r="E2247" s="1796">
        <v>0</v>
      </c>
      <c r="F2247" s="1797">
        <v>0</v>
      </c>
      <c r="G2247" s="1999" t="s">
        <v>6737</v>
      </c>
      <c r="H2247" s="1794">
        <v>0</v>
      </c>
      <c r="I2247" s="1794">
        <v>0</v>
      </c>
      <c r="J2247" s="2000">
        <v>0</v>
      </c>
      <c r="K2247" s="1798"/>
      <c r="L2247" s="1792">
        <v>13299950300</v>
      </c>
      <c r="M2247" s="1793">
        <v>0</v>
      </c>
      <c r="N2247" s="1793">
        <v>0</v>
      </c>
      <c r="O2247" s="1794">
        <v>0</v>
      </c>
    </row>
    <row r="2248" spans="3:15">
      <c r="C2248" s="1799" t="s">
        <v>6738</v>
      </c>
      <c r="D2248" s="1796">
        <v>0</v>
      </c>
      <c r="E2248" s="1796">
        <v>0</v>
      </c>
      <c r="F2248" s="1797">
        <v>0</v>
      </c>
      <c r="G2248" s="1999" t="s">
        <v>6738</v>
      </c>
      <c r="H2248" s="1794">
        <v>0</v>
      </c>
      <c r="I2248" s="1794">
        <v>0</v>
      </c>
      <c r="J2248" s="2000">
        <v>0</v>
      </c>
      <c r="K2248" s="1798"/>
      <c r="L2248" s="1792">
        <v>13299950400</v>
      </c>
      <c r="M2248" s="1793">
        <v>0</v>
      </c>
      <c r="N2248" s="1793">
        <v>0</v>
      </c>
      <c r="O2248" s="1794">
        <v>0</v>
      </c>
    </row>
    <row r="2249" spans="3:15">
      <c r="C2249" s="1799" t="s">
        <v>6739</v>
      </c>
      <c r="D2249" s="1796">
        <v>1</v>
      </c>
      <c r="E2249" s="1796">
        <v>0</v>
      </c>
      <c r="F2249" s="1797">
        <v>1</v>
      </c>
      <c r="G2249" s="1999" t="s">
        <v>6739</v>
      </c>
      <c r="H2249" s="1794">
        <v>1</v>
      </c>
      <c r="I2249" s="1794">
        <v>0</v>
      </c>
      <c r="J2249" s="2000">
        <v>1</v>
      </c>
      <c r="K2249" s="1798"/>
      <c r="L2249" s="1792">
        <v>13299950500</v>
      </c>
      <c r="M2249" s="1793">
        <v>1</v>
      </c>
      <c r="N2249" s="1793">
        <v>0</v>
      </c>
      <c r="O2249" s="1794">
        <v>1</v>
      </c>
    </row>
    <row r="2250" spans="3:15">
      <c r="C2250" s="1799" t="s">
        <v>6740</v>
      </c>
      <c r="D2250" s="1796">
        <v>1</v>
      </c>
      <c r="E2250" s="1796">
        <v>0</v>
      </c>
      <c r="F2250" s="1797">
        <v>1</v>
      </c>
      <c r="G2250" s="1999" t="s">
        <v>6740</v>
      </c>
      <c r="H2250" s="1794">
        <v>1</v>
      </c>
      <c r="I2250" s="1794">
        <v>0</v>
      </c>
      <c r="J2250" s="2000">
        <v>1</v>
      </c>
      <c r="K2250" s="1798"/>
      <c r="L2250" s="1792">
        <v>13299950600</v>
      </c>
      <c r="M2250" s="1793">
        <v>1</v>
      </c>
      <c r="N2250" s="1793">
        <v>0</v>
      </c>
      <c r="O2250" s="1794">
        <v>1</v>
      </c>
    </row>
    <row r="2251" spans="3:15">
      <c r="C2251" s="1799" t="s">
        <v>6741</v>
      </c>
      <c r="D2251" s="1796">
        <v>0</v>
      </c>
      <c r="E2251" s="1796">
        <v>0</v>
      </c>
      <c r="F2251" s="1797">
        <v>0</v>
      </c>
      <c r="G2251" s="1999" t="s">
        <v>6741</v>
      </c>
      <c r="H2251" s="1794">
        <v>0</v>
      </c>
      <c r="I2251" s="1794">
        <v>0</v>
      </c>
      <c r="J2251" s="2000">
        <v>0</v>
      </c>
      <c r="K2251" s="1798"/>
      <c r="L2251" s="1792">
        <v>13299950700</v>
      </c>
      <c r="M2251" s="1793">
        <v>0</v>
      </c>
      <c r="N2251" s="1793">
        <v>0</v>
      </c>
      <c r="O2251" s="1794">
        <v>0</v>
      </c>
    </row>
    <row r="2252" spans="3:15">
      <c r="C2252" s="1799" t="s">
        <v>6742</v>
      </c>
      <c r="D2252" s="1796">
        <v>0</v>
      </c>
      <c r="E2252" s="1796">
        <v>0</v>
      </c>
      <c r="F2252" s="1797">
        <v>0</v>
      </c>
      <c r="G2252" s="1999" t="s">
        <v>6742</v>
      </c>
      <c r="H2252" s="1794">
        <v>0</v>
      </c>
      <c r="I2252" s="1794">
        <v>0</v>
      </c>
      <c r="J2252" s="2000">
        <v>0</v>
      </c>
      <c r="K2252" s="1798"/>
      <c r="L2252" s="1792">
        <v>13299950800</v>
      </c>
      <c r="M2252" s="1793">
        <v>0</v>
      </c>
      <c r="N2252" s="1793">
        <v>0</v>
      </c>
      <c r="O2252" s="1794">
        <v>0</v>
      </c>
    </row>
    <row r="2253" spans="3:15">
      <c r="C2253" s="1799" t="s">
        <v>6743</v>
      </c>
      <c r="D2253" s="1796">
        <v>0</v>
      </c>
      <c r="E2253" s="1796">
        <v>0</v>
      </c>
      <c r="F2253" s="1797">
        <v>0</v>
      </c>
      <c r="G2253" s="1999" t="s">
        <v>6743</v>
      </c>
      <c r="H2253" s="1794">
        <v>0</v>
      </c>
      <c r="I2253" s="1794">
        <v>0</v>
      </c>
      <c r="J2253" s="2000">
        <v>0</v>
      </c>
      <c r="K2253" s="1798"/>
      <c r="L2253" s="1792">
        <v>13299950900</v>
      </c>
      <c r="M2253" s="1793">
        <v>0</v>
      </c>
      <c r="N2253" s="1793">
        <v>0</v>
      </c>
      <c r="O2253" s="1794">
        <v>0</v>
      </c>
    </row>
    <row r="2254" spans="3:15">
      <c r="C2254" s="1799" t="s">
        <v>6744</v>
      </c>
      <c r="D2254" s="1796">
        <v>0</v>
      </c>
      <c r="E2254" s="1796">
        <v>0</v>
      </c>
      <c r="F2254" s="1797">
        <v>0</v>
      </c>
      <c r="G2254" s="1999" t="s">
        <v>6744</v>
      </c>
      <c r="H2254" s="1794">
        <v>0</v>
      </c>
      <c r="I2254" s="1794">
        <v>0</v>
      </c>
      <c r="J2254" s="2000">
        <v>0</v>
      </c>
      <c r="K2254" s="1798"/>
      <c r="L2254" s="1792">
        <v>13301970400</v>
      </c>
      <c r="M2254" s="1793">
        <v>0</v>
      </c>
      <c r="N2254" s="1793">
        <v>0</v>
      </c>
      <c r="O2254" s="1794">
        <v>0</v>
      </c>
    </row>
    <row r="2255" spans="3:15">
      <c r="C2255" s="1799" t="s">
        <v>6745</v>
      </c>
      <c r="D2255" s="1796">
        <v>0</v>
      </c>
      <c r="E2255" s="1796">
        <v>0</v>
      </c>
      <c r="F2255" s="1797">
        <v>0</v>
      </c>
      <c r="G2255" s="1999" t="s">
        <v>6745</v>
      </c>
      <c r="H2255" s="1794">
        <v>0</v>
      </c>
      <c r="I2255" s="1794">
        <v>0</v>
      </c>
      <c r="J2255" s="2000">
        <v>0</v>
      </c>
      <c r="K2255" s="1798"/>
      <c r="L2255" s="1792">
        <v>13301970500</v>
      </c>
      <c r="M2255" s="1793">
        <v>0</v>
      </c>
      <c r="N2255" s="1793">
        <v>0</v>
      </c>
      <c r="O2255" s="1794">
        <v>0</v>
      </c>
    </row>
    <row r="2256" spans="3:15">
      <c r="C2256" s="1799" t="s">
        <v>6746</v>
      </c>
      <c r="D2256" s="1796">
        <v>0</v>
      </c>
      <c r="E2256" s="1796">
        <v>0</v>
      </c>
      <c r="F2256" s="1797">
        <v>0</v>
      </c>
      <c r="G2256" s="1999" t="s">
        <v>6746</v>
      </c>
      <c r="H2256" s="1794">
        <v>0</v>
      </c>
      <c r="I2256" s="1794">
        <v>1</v>
      </c>
      <c r="J2256" s="2000">
        <v>1</v>
      </c>
      <c r="K2256" s="1798"/>
      <c r="L2256" s="1792">
        <v>13303950100</v>
      </c>
      <c r="M2256" s="1793">
        <v>0</v>
      </c>
      <c r="N2256" s="1793">
        <v>1</v>
      </c>
      <c r="O2256" s="1794">
        <v>1</v>
      </c>
    </row>
    <row r="2257" spans="3:15">
      <c r="C2257" s="1799" t="s">
        <v>6747</v>
      </c>
      <c r="D2257" s="1796">
        <v>0</v>
      </c>
      <c r="E2257" s="1796">
        <v>0</v>
      </c>
      <c r="F2257" s="1797">
        <v>0</v>
      </c>
      <c r="G2257" s="1999" t="s">
        <v>6747</v>
      </c>
      <c r="H2257" s="1794">
        <v>0</v>
      </c>
      <c r="I2257" s="1794">
        <v>0</v>
      </c>
      <c r="J2257" s="2000">
        <v>0</v>
      </c>
      <c r="K2257" s="1798"/>
      <c r="L2257" s="1792">
        <v>13303950300</v>
      </c>
      <c r="M2257" s="1793">
        <v>0</v>
      </c>
      <c r="N2257" s="1793">
        <v>0</v>
      </c>
      <c r="O2257" s="1794">
        <v>0</v>
      </c>
    </row>
    <row r="2258" spans="3:15">
      <c r="C2258" s="1799" t="s">
        <v>6748</v>
      </c>
      <c r="D2258" s="1796">
        <v>0</v>
      </c>
      <c r="E2258" s="1796">
        <v>0</v>
      </c>
      <c r="F2258" s="1797">
        <v>0</v>
      </c>
      <c r="G2258" s="1999" t="s">
        <v>6748</v>
      </c>
      <c r="H2258" s="1794">
        <v>0</v>
      </c>
      <c r="I2258" s="1794">
        <v>0</v>
      </c>
      <c r="J2258" s="2000">
        <v>0</v>
      </c>
      <c r="K2258" s="1798"/>
      <c r="L2258" s="1792">
        <v>13303950400</v>
      </c>
      <c r="M2258" s="1793">
        <v>0</v>
      </c>
      <c r="N2258" s="1793">
        <v>0</v>
      </c>
      <c r="O2258" s="1794">
        <v>0</v>
      </c>
    </row>
    <row r="2259" spans="3:15">
      <c r="C2259" s="1799" t="s">
        <v>6749</v>
      </c>
      <c r="D2259" s="1796">
        <v>0</v>
      </c>
      <c r="E2259" s="1796">
        <v>0</v>
      </c>
      <c r="F2259" s="1797">
        <v>0</v>
      </c>
      <c r="G2259" s="1999" t="s">
        <v>6749</v>
      </c>
      <c r="H2259" s="1794">
        <v>0</v>
      </c>
      <c r="I2259" s="1794">
        <v>0</v>
      </c>
      <c r="J2259" s="2000">
        <v>0</v>
      </c>
      <c r="K2259" s="1798"/>
      <c r="L2259" s="1792">
        <v>13303950500</v>
      </c>
      <c r="M2259" s="1793">
        <v>0</v>
      </c>
      <c r="N2259" s="1793">
        <v>0</v>
      </c>
      <c r="O2259" s="1794">
        <v>0</v>
      </c>
    </row>
    <row r="2260" spans="3:15">
      <c r="C2260" s="1799" t="s">
        <v>6750</v>
      </c>
      <c r="D2260" s="1796">
        <v>0</v>
      </c>
      <c r="E2260" s="1796">
        <v>0</v>
      </c>
      <c r="F2260" s="1797">
        <v>0</v>
      </c>
      <c r="G2260" s="1999" t="s">
        <v>6750</v>
      </c>
      <c r="H2260" s="1794">
        <v>0</v>
      </c>
      <c r="I2260" s="1794">
        <v>1</v>
      </c>
      <c r="J2260" s="2000">
        <v>1</v>
      </c>
      <c r="K2260" s="1798"/>
      <c r="L2260" s="1792">
        <v>13303950700</v>
      </c>
      <c r="M2260" s="1793">
        <v>0</v>
      </c>
      <c r="N2260" s="1793">
        <v>1</v>
      </c>
      <c r="O2260" s="1794">
        <v>1</v>
      </c>
    </row>
    <row r="2261" spans="3:15">
      <c r="C2261" s="1799" t="s">
        <v>6751</v>
      </c>
      <c r="D2261" s="1796">
        <v>0</v>
      </c>
      <c r="E2261" s="1796">
        <v>0</v>
      </c>
      <c r="F2261" s="1797">
        <v>0</v>
      </c>
      <c r="G2261" s="1999" t="s">
        <v>6751</v>
      </c>
      <c r="H2261" s="1794">
        <v>0</v>
      </c>
      <c r="I2261" s="1794">
        <v>0</v>
      </c>
      <c r="J2261" s="2000">
        <v>0</v>
      </c>
      <c r="K2261" s="1798"/>
      <c r="L2261" s="1792">
        <v>13305970100</v>
      </c>
      <c r="M2261" s="1793">
        <v>0</v>
      </c>
      <c r="N2261" s="1793">
        <v>0</v>
      </c>
      <c r="O2261" s="1794">
        <v>0</v>
      </c>
    </row>
    <row r="2262" spans="3:15">
      <c r="C2262" s="1799" t="s">
        <v>6752</v>
      </c>
      <c r="D2262" s="1796">
        <v>0</v>
      </c>
      <c r="E2262" s="1796">
        <v>0</v>
      </c>
      <c r="F2262" s="1797">
        <v>0</v>
      </c>
      <c r="G2262" s="1999" t="s">
        <v>6752</v>
      </c>
      <c r="H2262" s="1794">
        <v>0</v>
      </c>
      <c r="I2262" s="1794">
        <v>0</v>
      </c>
      <c r="J2262" s="2000">
        <v>0</v>
      </c>
      <c r="K2262" s="1798"/>
      <c r="L2262" s="1792">
        <v>13305970200</v>
      </c>
      <c r="M2262" s="1793">
        <v>0</v>
      </c>
      <c r="N2262" s="1793">
        <v>0</v>
      </c>
      <c r="O2262" s="1794">
        <v>0</v>
      </c>
    </row>
    <row r="2263" spans="3:15">
      <c r="C2263" s="1799" t="s">
        <v>6753</v>
      </c>
      <c r="D2263" s="1796">
        <v>0</v>
      </c>
      <c r="E2263" s="1796">
        <v>0</v>
      </c>
      <c r="F2263" s="1797">
        <v>0</v>
      </c>
      <c r="G2263" s="1999" t="s">
        <v>6753</v>
      </c>
      <c r="H2263" s="1794">
        <v>0</v>
      </c>
      <c r="I2263" s="1794">
        <v>0</v>
      </c>
      <c r="J2263" s="2000">
        <v>0</v>
      </c>
      <c r="K2263" s="1798"/>
      <c r="L2263" s="1792">
        <v>13305970300</v>
      </c>
      <c r="M2263" s="1793">
        <v>0</v>
      </c>
      <c r="N2263" s="1793">
        <v>0</v>
      </c>
      <c r="O2263" s="1794">
        <v>0</v>
      </c>
    </row>
    <row r="2264" spans="3:15">
      <c r="C2264" s="1799" t="s">
        <v>6754</v>
      </c>
      <c r="D2264" s="1796">
        <v>0</v>
      </c>
      <c r="E2264" s="1796">
        <v>0</v>
      </c>
      <c r="F2264" s="1797">
        <v>0</v>
      </c>
      <c r="G2264" s="1999" t="s">
        <v>6754</v>
      </c>
      <c r="H2264" s="1794">
        <v>0</v>
      </c>
      <c r="I2264" s="1794">
        <v>0</v>
      </c>
      <c r="J2264" s="2000">
        <v>0</v>
      </c>
      <c r="K2264" s="1798"/>
      <c r="L2264" s="1792">
        <v>13305970400</v>
      </c>
      <c r="M2264" s="1793">
        <v>0</v>
      </c>
      <c r="N2264" s="1793">
        <v>0</v>
      </c>
      <c r="O2264" s="1794">
        <v>0</v>
      </c>
    </row>
    <row r="2265" spans="3:15">
      <c r="C2265" s="1799" t="s">
        <v>6755</v>
      </c>
      <c r="D2265" s="1796">
        <v>0</v>
      </c>
      <c r="E2265" s="1796">
        <v>0</v>
      </c>
      <c r="F2265" s="1797">
        <v>0</v>
      </c>
      <c r="G2265" s="1999" t="s">
        <v>6755</v>
      </c>
      <c r="H2265" s="1794">
        <v>0</v>
      </c>
      <c r="I2265" s="1794">
        <v>0</v>
      </c>
      <c r="J2265" s="2000">
        <v>0</v>
      </c>
      <c r="K2265" s="1798"/>
      <c r="L2265" s="1792">
        <v>13305970500</v>
      </c>
      <c r="M2265" s="1793">
        <v>0</v>
      </c>
      <c r="N2265" s="1793">
        <v>0</v>
      </c>
      <c r="O2265" s="1794">
        <v>0</v>
      </c>
    </row>
    <row r="2266" spans="3:15">
      <c r="C2266" s="1799" t="s">
        <v>6756</v>
      </c>
      <c r="D2266" s="1796">
        <v>0</v>
      </c>
      <c r="E2266" s="1796">
        <v>0</v>
      </c>
      <c r="F2266" s="1797">
        <v>0</v>
      </c>
      <c r="G2266" s="1999" t="s">
        <v>6756</v>
      </c>
      <c r="H2266" s="1794">
        <v>0</v>
      </c>
      <c r="I2266" s="1794">
        <v>0</v>
      </c>
      <c r="J2266" s="2000">
        <v>0</v>
      </c>
      <c r="K2266" s="1798"/>
      <c r="L2266" s="1792">
        <v>13305970600</v>
      </c>
      <c r="M2266" s="1793">
        <v>0</v>
      </c>
      <c r="N2266" s="1793">
        <v>0</v>
      </c>
      <c r="O2266" s="1794">
        <v>0</v>
      </c>
    </row>
    <row r="2267" spans="3:15">
      <c r="C2267" s="1799" t="s">
        <v>6757</v>
      </c>
      <c r="D2267" s="1796">
        <v>0</v>
      </c>
      <c r="E2267" s="1796">
        <v>0</v>
      </c>
      <c r="F2267" s="1797">
        <v>0</v>
      </c>
      <c r="G2267" s="1999" t="s">
        <v>6757</v>
      </c>
      <c r="H2267" s="1794">
        <v>0</v>
      </c>
      <c r="I2267" s="1794">
        <v>1</v>
      </c>
      <c r="J2267" s="2000">
        <v>1</v>
      </c>
      <c r="K2267" s="1798"/>
      <c r="L2267" s="1792">
        <v>13307960100</v>
      </c>
      <c r="M2267" s="1793">
        <v>0</v>
      </c>
      <c r="N2267" s="1793">
        <v>1</v>
      </c>
      <c r="O2267" s="1794">
        <v>1</v>
      </c>
    </row>
    <row r="2268" spans="3:15">
      <c r="C2268" s="1799" t="s">
        <v>6758</v>
      </c>
      <c r="D2268" s="1796">
        <v>0</v>
      </c>
      <c r="E2268" s="1796">
        <v>0</v>
      </c>
      <c r="F2268" s="1797">
        <v>0</v>
      </c>
      <c r="G2268" s="1999" t="s">
        <v>6758</v>
      </c>
      <c r="H2268" s="1794">
        <v>0</v>
      </c>
      <c r="I2268" s="1794">
        <v>0</v>
      </c>
      <c r="J2268" s="2000">
        <v>0</v>
      </c>
      <c r="K2268" s="1798"/>
      <c r="L2268" s="1792">
        <v>13307960200</v>
      </c>
      <c r="M2268" s="1793">
        <v>0</v>
      </c>
      <c r="N2268" s="1793">
        <v>0</v>
      </c>
      <c r="O2268" s="1794">
        <v>0</v>
      </c>
    </row>
    <row r="2269" spans="3:15">
      <c r="C2269" s="1799" t="s">
        <v>6759</v>
      </c>
      <c r="D2269" s="1796">
        <v>0</v>
      </c>
      <c r="E2269" s="1796">
        <v>0</v>
      </c>
      <c r="F2269" s="1797">
        <v>0</v>
      </c>
      <c r="G2269" s="1999" t="s">
        <v>6759</v>
      </c>
      <c r="H2269" s="1794">
        <v>0</v>
      </c>
      <c r="I2269" s="1794">
        <v>0</v>
      </c>
      <c r="J2269" s="2000">
        <v>0</v>
      </c>
      <c r="K2269" s="1798"/>
      <c r="L2269" s="1792">
        <v>13309780100</v>
      </c>
      <c r="M2269" s="1793">
        <v>0</v>
      </c>
      <c r="N2269" s="1793">
        <v>0</v>
      </c>
      <c r="O2269" s="1794">
        <v>0</v>
      </c>
    </row>
    <row r="2270" spans="3:15">
      <c r="C2270" s="1799" t="s">
        <v>6760</v>
      </c>
      <c r="D2270" s="1796">
        <v>0</v>
      </c>
      <c r="E2270" s="1796">
        <v>0</v>
      </c>
      <c r="F2270" s="1797">
        <v>0</v>
      </c>
      <c r="G2270" s="1999" t="s">
        <v>6760</v>
      </c>
      <c r="H2270" s="1794">
        <v>0</v>
      </c>
      <c r="I2270" s="1794">
        <v>1</v>
      </c>
      <c r="J2270" s="2000">
        <v>1</v>
      </c>
      <c r="K2270" s="1798"/>
      <c r="L2270" s="1792">
        <v>13309780200</v>
      </c>
      <c r="M2270" s="1793">
        <v>0</v>
      </c>
      <c r="N2270" s="1793">
        <v>1</v>
      </c>
      <c r="O2270" s="1794">
        <v>1</v>
      </c>
    </row>
    <row r="2271" spans="3:15">
      <c r="C2271" s="1799" t="s">
        <v>6761</v>
      </c>
      <c r="D2271" s="1796">
        <v>1</v>
      </c>
      <c r="E2271" s="1796">
        <v>0</v>
      </c>
      <c r="F2271" s="1797">
        <v>1</v>
      </c>
      <c r="G2271" s="1999" t="s">
        <v>6761</v>
      </c>
      <c r="H2271" s="1794">
        <v>1</v>
      </c>
      <c r="I2271" s="1794">
        <v>0</v>
      </c>
      <c r="J2271" s="2000">
        <v>1</v>
      </c>
      <c r="K2271" s="1798"/>
      <c r="L2271" s="1792">
        <v>13311950100</v>
      </c>
      <c r="M2271" s="1793">
        <v>1</v>
      </c>
      <c r="N2271" s="1793">
        <v>0</v>
      </c>
      <c r="O2271" s="1794">
        <v>1</v>
      </c>
    </row>
    <row r="2272" spans="3:15">
      <c r="C2272" s="1799" t="s">
        <v>6762</v>
      </c>
      <c r="D2272" s="1796">
        <v>0</v>
      </c>
      <c r="E2272" s="1796">
        <v>0</v>
      </c>
      <c r="F2272" s="1797">
        <v>0</v>
      </c>
      <c r="G2272" s="1999" t="s">
        <v>6762</v>
      </c>
      <c r="H2272" s="1794">
        <v>0</v>
      </c>
      <c r="I2272" s="1794">
        <v>0</v>
      </c>
      <c r="J2272" s="2000">
        <v>0</v>
      </c>
      <c r="K2272" s="1798"/>
      <c r="L2272" s="1792">
        <v>13311950201</v>
      </c>
      <c r="M2272" s="1793">
        <v>0</v>
      </c>
      <c r="N2272" s="1793">
        <v>0</v>
      </c>
      <c r="O2272" s="1794">
        <v>0</v>
      </c>
    </row>
    <row r="2273" spans="3:15">
      <c r="C2273" s="1799" t="s">
        <v>6763</v>
      </c>
      <c r="D2273" s="1796">
        <v>1</v>
      </c>
      <c r="E2273" s="1796">
        <v>1</v>
      </c>
      <c r="F2273" s="1797">
        <v>2</v>
      </c>
      <c r="G2273" s="1999" t="s">
        <v>6763</v>
      </c>
      <c r="H2273" s="1794">
        <v>0</v>
      </c>
      <c r="I2273" s="1794">
        <v>1</v>
      </c>
      <c r="J2273" s="2000">
        <v>1</v>
      </c>
      <c r="K2273" s="1798"/>
      <c r="L2273" s="1792">
        <v>13311950202</v>
      </c>
      <c r="M2273" s="1793">
        <v>1</v>
      </c>
      <c r="N2273" s="1793">
        <v>1</v>
      </c>
      <c r="O2273" s="1794">
        <v>2</v>
      </c>
    </row>
    <row r="2274" spans="3:15">
      <c r="C2274" s="1799" t="s">
        <v>6764</v>
      </c>
      <c r="D2274" s="1796">
        <v>1</v>
      </c>
      <c r="E2274" s="1796">
        <v>0</v>
      </c>
      <c r="F2274" s="1797">
        <v>1</v>
      </c>
      <c r="G2274" s="1999" t="s">
        <v>6764</v>
      </c>
      <c r="H2274" s="1794">
        <v>0</v>
      </c>
      <c r="I2274" s="1794">
        <v>1</v>
      </c>
      <c r="J2274" s="2000">
        <v>1</v>
      </c>
      <c r="K2274" s="1798"/>
      <c r="L2274" s="1792">
        <v>13311950203</v>
      </c>
      <c r="M2274" s="1793">
        <v>1</v>
      </c>
      <c r="N2274" s="1793">
        <v>1</v>
      </c>
      <c r="O2274" s="1794">
        <v>1</v>
      </c>
    </row>
    <row r="2275" spans="3:15">
      <c r="C2275" s="1799" t="s">
        <v>6765</v>
      </c>
      <c r="D2275" s="1796">
        <v>0</v>
      </c>
      <c r="E2275" s="1796">
        <v>1</v>
      </c>
      <c r="F2275" s="1797">
        <v>1</v>
      </c>
      <c r="G2275" s="1999" t="s">
        <v>6765</v>
      </c>
      <c r="H2275" s="1794">
        <v>0</v>
      </c>
      <c r="I2275" s="1794">
        <v>1</v>
      </c>
      <c r="J2275" s="2000">
        <v>1</v>
      </c>
      <c r="K2275" s="1798"/>
      <c r="L2275" s="1792">
        <v>13311950300</v>
      </c>
      <c r="M2275" s="1793">
        <v>0</v>
      </c>
      <c r="N2275" s="1793">
        <v>1</v>
      </c>
      <c r="O2275" s="1794">
        <v>1</v>
      </c>
    </row>
    <row r="2276" spans="3:15">
      <c r="C2276" s="1799" t="s">
        <v>6766</v>
      </c>
      <c r="D2276" s="1796">
        <v>0</v>
      </c>
      <c r="E2276" s="1796">
        <v>0</v>
      </c>
      <c r="F2276" s="1797">
        <v>0</v>
      </c>
      <c r="G2276" s="1999" t="s">
        <v>6766</v>
      </c>
      <c r="H2276" s="1794">
        <v>0</v>
      </c>
      <c r="I2276" s="1794">
        <v>1</v>
      </c>
      <c r="J2276" s="2000">
        <v>1</v>
      </c>
      <c r="K2276" s="1798"/>
      <c r="L2276" s="1792">
        <v>13313000101</v>
      </c>
      <c r="M2276" s="1793">
        <v>0</v>
      </c>
      <c r="N2276" s="1793">
        <v>1</v>
      </c>
      <c r="O2276" s="1794">
        <v>1</v>
      </c>
    </row>
    <row r="2277" spans="3:15">
      <c r="C2277" s="1799" t="s">
        <v>6767</v>
      </c>
      <c r="D2277" s="1796">
        <v>0</v>
      </c>
      <c r="E2277" s="1796">
        <v>1</v>
      </c>
      <c r="F2277" s="1797">
        <v>1</v>
      </c>
      <c r="G2277" s="1999" t="s">
        <v>6767</v>
      </c>
      <c r="H2277" s="1794">
        <v>0</v>
      </c>
      <c r="I2277" s="1794">
        <v>0</v>
      </c>
      <c r="J2277" s="2000">
        <v>0</v>
      </c>
      <c r="K2277" s="1798"/>
      <c r="L2277" s="1792">
        <v>13313000102</v>
      </c>
      <c r="M2277" s="1793">
        <v>0</v>
      </c>
      <c r="N2277" s="1793">
        <v>1</v>
      </c>
      <c r="O2277" s="1794">
        <v>1</v>
      </c>
    </row>
    <row r="2278" spans="3:15">
      <c r="C2278" s="1799" t="s">
        <v>6768</v>
      </c>
      <c r="D2278" s="1796">
        <v>0</v>
      </c>
      <c r="E2278" s="1796">
        <v>1</v>
      </c>
      <c r="F2278" s="1797">
        <v>1</v>
      </c>
      <c r="G2278" s="1999" t="s">
        <v>6768</v>
      </c>
      <c r="H2278" s="1794">
        <v>0</v>
      </c>
      <c r="I2278" s="1794">
        <v>1</v>
      </c>
      <c r="J2278" s="2000">
        <v>1</v>
      </c>
      <c r="K2278" s="1798"/>
      <c r="L2278" s="1792">
        <v>13313000200</v>
      </c>
      <c r="M2278" s="1793">
        <v>0</v>
      </c>
      <c r="N2278" s="1793">
        <v>1</v>
      </c>
      <c r="O2278" s="1794">
        <v>1</v>
      </c>
    </row>
    <row r="2279" spans="3:15">
      <c r="C2279" s="1799" t="s">
        <v>6769</v>
      </c>
      <c r="D2279" s="1796">
        <v>0</v>
      </c>
      <c r="E2279" s="1796">
        <v>0</v>
      </c>
      <c r="F2279" s="1797">
        <v>0</v>
      </c>
      <c r="G2279" s="1999" t="s">
        <v>6769</v>
      </c>
      <c r="H2279" s="1794">
        <v>0</v>
      </c>
      <c r="I2279" s="1794">
        <v>0</v>
      </c>
      <c r="J2279" s="2000">
        <v>0</v>
      </c>
      <c r="K2279" s="1798"/>
      <c r="L2279" s="1792">
        <v>13313000301</v>
      </c>
      <c r="M2279" s="1793">
        <v>0</v>
      </c>
      <c r="N2279" s="1793">
        <v>0</v>
      </c>
      <c r="O2279" s="1794">
        <v>0</v>
      </c>
    </row>
    <row r="2280" spans="3:15">
      <c r="C2280" s="1799" t="s">
        <v>6770</v>
      </c>
      <c r="D2280" s="1796">
        <v>0</v>
      </c>
      <c r="E2280" s="1796">
        <v>1</v>
      </c>
      <c r="F2280" s="1797">
        <v>1</v>
      </c>
      <c r="G2280" s="1999" t="s">
        <v>6770</v>
      </c>
      <c r="H2280" s="1794">
        <v>1</v>
      </c>
      <c r="I2280" s="1794">
        <v>1</v>
      </c>
      <c r="J2280" s="2000">
        <v>2</v>
      </c>
      <c r="K2280" s="1798"/>
      <c r="L2280" s="1792">
        <v>13313000302</v>
      </c>
      <c r="M2280" s="1793">
        <v>1</v>
      </c>
      <c r="N2280" s="1793">
        <v>1</v>
      </c>
      <c r="O2280" s="1794">
        <v>2</v>
      </c>
    </row>
    <row r="2281" spans="3:15">
      <c r="C2281" s="1799" t="s">
        <v>6771</v>
      </c>
      <c r="D2281" s="1796">
        <v>0</v>
      </c>
      <c r="E2281" s="1796">
        <v>0</v>
      </c>
      <c r="F2281" s="1797">
        <v>0</v>
      </c>
      <c r="G2281" s="1999" t="s">
        <v>6771</v>
      </c>
      <c r="H2281" s="1794">
        <v>0</v>
      </c>
      <c r="I2281" s="1794">
        <v>0</v>
      </c>
      <c r="J2281" s="2000">
        <v>0</v>
      </c>
      <c r="K2281" s="1798"/>
      <c r="L2281" s="1792">
        <v>13313000400</v>
      </c>
      <c r="M2281" s="1793">
        <v>0</v>
      </c>
      <c r="N2281" s="1793">
        <v>0</v>
      </c>
      <c r="O2281" s="1794">
        <v>0</v>
      </c>
    </row>
    <row r="2282" spans="3:15">
      <c r="C2282" s="1799" t="s">
        <v>6772</v>
      </c>
      <c r="D2282" s="1796">
        <v>1</v>
      </c>
      <c r="E2282" s="1796">
        <v>0</v>
      </c>
      <c r="F2282" s="1797">
        <v>1</v>
      </c>
      <c r="G2282" s="1999" t="s">
        <v>6772</v>
      </c>
      <c r="H2282" s="1794">
        <v>1</v>
      </c>
      <c r="I2282" s="1794">
        <v>1</v>
      </c>
      <c r="J2282" s="2000">
        <v>2</v>
      </c>
      <c r="K2282" s="1798"/>
      <c r="L2282" s="1792">
        <v>13313000501</v>
      </c>
      <c r="M2282" s="1793">
        <v>1</v>
      </c>
      <c r="N2282" s="1793">
        <v>1</v>
      </c>
      <c r="O2282" s="1794">
        <v>2</v>
      </c>
    </row>
    <row r="2283" spans="3:15">
      <c r="C2283" s="1799" t="s">
        <v>6773</v>
      </c>
      <c r="D2283" s="1796">
        <v>0</v>
      </c>
      <c r="E2283" s="1796">
        <v>0</v>
      </c>
      <c r="F2283" s="1797">
        <v>0</v>
      </c>
      <c r="G2283" s="1999" t="s">
        <v>6773</v>
      </c>
      <c r="H2283" s="1794">
        <v>0</v>
      </c>
      <c r="I2283" s="1794">
        <v>0</v>
      </c>
      <c r="J2283" s="2000">
        <v>0</v>
      </c>
      <c r="K2283" s="1798"/>
      <c r="L2283" s="1792">
        <v>13313000502</v>
      </c>
      <c r="M2283" s="1793">
        <v>0</v>
      </c>
      <c r="N2283" s="1793">
        <v>0</v>
      </c>
      <c r="O2283" s="1794">
        <v>0</v>
      </c>
    </row>
    <row r="2284" spans="3:15">
      <c r="C2284" s="1799" t="s">
        <v>6774</v>
      </c>
      <c r="D2284" s="1796">
        <v>0</v>
      </c>
      <c r="E2284" s="1796">
        <v>1</v>
      </c>
      <c r="F2284" s="1797">
        <v>1</v>
      </c>
      <c r="G2284" s="1999" t="s">
        <v>6774</v>
      </c>
      <c r="H2284" s="1794">
        <v>0</v>
      </c>
      <c r="I2284" s="1794">
        <v>0</v>
      </c>
      <c r="J2284" s="2000">
        <v>0</v>
      </c>
      <c r="K2284" s="1798"/>
      <c r="L2284" s="1792">
        <v>13313000600</v>
      </c>
      <c r="M2284" s="1793">
        <v>0</v>
      </c>
      <c r="N2284" s="1793">
        <v>1</v>
      </c>
      <c r="O2284" s="1794">
        <v>1</v>
      </c>
    </row>
    <row r="2285" spans="3:15">
      <c r="C2285" s="1799" t="s">
        <v>6775</v>
      </c>
      <c r="D2285" s="1796">
        <v>0</v>
      </c>
      <c r="E2285" s="1796">
        <v>1</v>
      </c>
      <c r="F2285" s="1797">
        <v>1</v>
      </c>
      <c r="G2285" s="1999" t="s">
        <v>6775</v>
      </c>
      <c r="H2285" s="1794">
        <v>0</v>
      </c>
      <c r="I2285" s="1794">
        <v>1</v>
      </c>
      <c r="J2285" s="2000">
        <v>1</v>
      </c>
      <c r="K2285" s="1798"/>
      <c r="L2285" s="1792">
        <v>13313000700</v>
      </c>
      <c r="M2285" s="1793">
        <v>0</v>
      </c>
      <c r="N2285" s="1793">
        <v>1</v>
      </c>
      <c r="O2285" s="1794">
        <v>1</v>
      </c>
    </row>
    <row r="2286" spans="3:15">
      <c r="C2286" s="1799" t="s">
        <v>6776</v>
      </c>
      <c r="D2286" s="1796">
        <v>1</v>
      </c>
      <c r="E2286" s="1796">
        <v>0</v>
      </c>
      <c r="F2286" s="1797">
        <v>1</v>
      </c>
      <c r="G2286" s="1999" t="s">
        <v>6776</v>
      </c>
      <c r="H2286" s="1794">
        <v>1</v>
      </c>
      <c r="I2286" s="1794">
        <v>0</v>
      </c>
      <c r="J2286" s="2000">
        <v>1</v>
      </c>
      <c r="K2286" s="1798"/>
      <c r="L2286" s="1792">
        <v>13313000800</v>
      </c>
      <c r="M2286" s="1793">
        <v>1</v>
      </c>
      <c r="N2286" s="1793">
        <v>0</v>
      </c>
      <c r="O2286" s="1794">
        <v>1</v>
      </c>
    </row>
    <row r="2287" spans="3:15">
      <c r="C2287" s="1799" t="s">
        <v>6777</v>
      </c>
      <c r="D2287" s="1796">
        <v>1</v>
      </c>
      <c r="E2287" s="1796">
        <v>1</v>
      </c>
      <c r="F2287" s="1797">
        <v>2</v>
      </c>
      <c r="G2287" s="1999" t="s">
        <v>6777</v>
      </c>
      <c r="H2287" s="1794">
        <v>1</v>
      </c>
      <c r="I2287" s="1794">
        <v>1</v>
      </c>
      <c r="J2287" s="2000">
        <v>2</v>
      </c>
      <c r="K2287" s="1798"/>
      <c r="L2287" s="1792">
        <v>13313000900</v>
      </c>
      <c r="M2287" s="1793">
        <v>1</v>
      </c>
      <c r="N2287" s="1793">
        <v>1</v>
      </c>
      <c r="O2287" s="1794">
        <v>2</v>
      </c>
    </row>
    <row r="2288" spans="3:15">
      <c r="C2288" s="1799" t="s">
        <v>6778</v>
      </c>
      <c r="D2288" s="1796">
        <v>0</v>
      </c>
      <c r="E2288" s="1796">
        <v>0</v>
      </c>
      <c r="F2288" s="1797">
        <v>0</v>
      </c>
      <c r="G2288" s="1999" t="s">
        <v>6778</v>
      </c>
      <c r="H2288" s="1794">
        <v>1</v>
      </c>
      <c r="I2288" s="1794">
        <v>0</v>
      </c>
      <c r="J2288" s="2000">
        <v>0</v>
      </c>
      <c r="K2288" s="1798"/>
      <c r="L2288" s="1792">
        <v>13313001000</v>
      </c>
      <c r="M2288" s="1793">
        <v>1</v>
      </c>
      <c r="N2288" s="1793">
        <v>0</v>
      </c>
      <c r="O2288" s="1794">
        <v>0</v>
      </c>
    </row>
    <row r="2289" spans="3:15">
      <c r="C2289" s="1799" t="s">
        <v>6779</v>
      </c>
      <c r="D2289" s="1796">
        <v>0</v>
      </c>
      <c r="E2289" s="1796">
        <v>0</v>
      </c>
      <c r="F2289" s="1797">
        <v>0</v>
      </c>
      <c r="G2289" s="1999" t="s">
        <v>6779</v>
      </c>
      <c r="H2289" s="1794">
        <v>0</v>
      </c>
      <c r="I2289" s="1794">
        <v>0</v>
      </c>
      <c r="J2289" s="2000">
        <v>0</v>
      </c>
      <c r="K2289" s="1798"/>
      <c r="L2289" s="1792">
        <v>13313001100</v>
      </c>
      <c r="M2289" s="1793">
        <v>0</v>
      </c>
      <c r="N2289" s="1793">
        <v>0</v>
      </c>
      <c r="O2289" s="1794">
        <v>0</v>
      </c>
    </row>
    <row r="2290" spans="3:15">
      <c r="C2290" s="1799" t="s">
        <v>6780</v>
      </c>
      <c r="D2290" s="1796">
        <v>0</v>
      </c>
      <c r="E2290" s="1796">
        <v>0</v>
      </c>
      <c r="F2290" s="1797">
        <v>0</v>
      </c>
      <c r="G2290" s="1999" t="s">
        <v>6780</v>
      </c>
      <c r="H2290" s="1794">
        <v>0</v>
      </c>
      <c r="I2290" s="1794">
        <v>0</v>
      </c>
      <c r="J2290" s="2000">
        <v>0</v>
      </c>
      <c r="K2290" s="1798"/>
      <c r="L2290" s="1792">
        <v>13313001200</v>
      </c>
      <c r="M2290" s="1793">
        <v>0</v>
      </c>
      <c r="N2290" s="1793">
        <v>0</v>
      </c>
      <c r="O2290" s="1794">
        <v>0</v>
      </c>
    </row>
    <row r="2291" spans="3:15">
      <c r="C2291" s="1799" t="s">
        <v>6781</v>
      </c>
      <c r="D2291" s="1796">
        <v>0</v>
      </c>
      <c r="E2291" s="1796">
        <v>0</v>
      </c>
      <c r="F2291" s="1797">
        <v>0</v>
      </c>
      <c r="G2291" s="1999" t="s">
        <v>6781</v>
      </c>
      <c r="H2291" s="1794">
        <v>0</v>
      </c>
      <c r="I2291" s="1794">
        <v>0</v>
      </c>
      <c r="J2291" s="2000">
        <v>0</v>
      </c>
      <c r="K2291" s="1798"/>
      <c r="L2291" s="1792">
        <v>13313001300</v>
      </c>
      <c r="M2291" s="1793">
        <v>0</v>
      </c>
      <c r="N2291" s="1793">
        <v>0</v>
      </c>
      <c r="O2291" s="1794">
        <v>0</v>
      </c>
    </row>
    <row r="2292" spans="3:15">
      <c r="C2292" s="1799" t="s">
        <v>6782</v>
      </c>
      <c r="D2292" s="1796">
        <v>0</v>
      </c>
      <c r="E2292" s="1796">
        <v>0</v>
      </c>
      <c r="F2292" s="1797">
        <v>0</v>
      </c>
      <c r="G2292" s="1999" t="s">
        <v>6782</v>
      </c>
      <c r="H2292" s="1794">
        <v>0</v>
      </c>
      <c r="I2292" s="1794">
        <v>0</v>
      </c>
      <c r="J2292" s="2000">
        <v>0</v>
      </c>
      <c r="K2292" s="1798"/>
      <c r="L2292" s="1792">
        <v>13313001400</v>
      </c>
      <c r="M2292" s="1793">
        <v>0</v>
      </c>
      <c r="N2292" s="1793">
        <v>0</v>
      </c>
      <c r="O2292" s="1794">
        <v>0</v>
      </c>
    </row>
    <row r="2293" spans="3:15">
      <c r="C2293" s="1799" t="s">
        <v>6783</v>
      </c>
      <c r="D2293" s="1796">
        <v>1</v>
      </c>
      <c r="E2293" s="1796">
        <v>0</v>
      </c>
      <c r="F2293" s="1797">
        <v>1</v>
      </c>
      <c r="G2293" s="1999" t="s">
        <v>6783</v>
      </c>
      <c r="H2293" s="1794">
        <v>0</v>
      </c>
      <c r="I2293" s="1794">
        <v>0</v>
      </c>
      <c r="J2293" s="2000">
        <v>0</v>
      </c>
      <c r="K2293" s="1798"/>
      <c r="L2293" s="1792">
        <v>13313001500</v>
      </c>
      <c r="M2293" s="1793">
        <v>1</v>
      </c>
      <c r="N2293" s="1793">
        <v>0</v>
      </c>
      <c r="O2293" s="1794">
        <v>1</v>
      </c>
    </row>
    <row r="2294" spans="3:15">
      <c r="C2294" s="1799" t="s">
        <v>6784</v>
      </c>
      <c r="D2294" s="1796">
        <v>0</v>
      </c>
      <c r="E2294" s="1796">
        <v>0</v>
      </c>
      <c r="F2294" s="1797">
        <v>0</v>
      </c>
      <c r="G2294" s="1999" t="s">
        <v>6784</v>
      </c>
      <c r="H2294" s="1794">
        <v>0</v>
      </c>
      <c r="I2294" s="1794">
        <v>0</v>
      </c>
      <c r="J2294" s="2000">
        <v>0</v>
      </c>
      <c r="K2294" s="1798"/>
      <c r="L2294" s="1792">
        <v>13315960100</v>
      </c>
      <c r="M2294" s="1793">
        <v>0</v>
      </c>
      <c r="N2294" s="1793">
        <v>0</v>
      </c>
      <c r="O2294" s="1794">
        <v>0</v>
      </c>
    </row>
    <row r="2295" spans="3:15">
      <c r="C2295" s="1799" t="s">
        <v>6785</v>
      </c>
      <c r="D2295" s="1796">
        <v>0</v>
      </c>
      <c r="E2295" s="1796">
        <v>0</v>
      </c>
      <c r="F2295" s="1797">
        <v>0</v>
      </c>
      <c r="G2295" s="1999" t="s">
        <v>6785</v>
      </c>
      <c r="H2295" s="1794">
        <v>0</v>
      </c>
      <c r="I2295" s="1794">
        <v>0</v>
      </c>
      <c r="J2295" s="2000">
        <v>0</v>
      </c>
      <c r="K2295" s="1798"/>
      <c r="L2295" s="1792">
        <v>13315960200</v>
      </c>
      <c r="M2295" s="1793">
        <v>0</v>
      </c>
      <c r="N2295" s="1793">
        <v>0</v>
      </c>
      <c r="O2295" s="1794">
        <v>0</v>
      </c>
    </row>
    <row r="2296" spans="3:15">
      <c r="C2296" s="1799" t="s">
        <v>6786</v>
      </c>
      <c r="D2296" s="1796">
        <v>0</v>
      </c>
      <c r="E2296" s="1796">
        <v>0</v>
      </c>
      <c r="F2296" s="1797">
        <v>0</v>
      </c>
      <c r="G2296" s="1999" t="s">
        <v>6786</v>
      </c>
      <c r="H2296" s="1794">
        <v>0</v>
      </c>
      <c r="I2296" s="1794">
        <v>0</v>
      </c>
      <c r="J2296" s="2000">
        <v>0</v>
      </c>
      <c r="K2296" s="1798"/>
      <c r="L2296" s="1792">
        <v>13315960300</v>
      </c>
      <c r="M2296" s="1793">
        <v>0</v>
      </c>
      <c r="N2296" s="1793">
        <v>0</v>
      </c>
      <c r="O2296" s="1794">
        <v>0</v>
      </c>
    </row>
    <row r="2297" spans="3:15">
      <c r="C2297" s="1799" t="s">
        <v>6787</v>
      </c>
      <c r="D2297" s="1796">
        <v>0</v>
      </c>
      <c r="E2297" s="1796">
        <v>0</v>
      </c>
      <c r="F2297" s="1797">
        <v>0</v>
      </c>
      <c r="G2297" s="1999" t="s">
        <v>6787</v>
      </c>
      <c r="H2297" s="1794">
        <v>0</v>
      </c>
      <c r="I2297" s="1794">
        <v>0</v>
      </c>
      <c r="J2297" s="2000">
        <v>0</v>
      </c>
      <c r="K2297" s="1798"/>
      <c r="L2297" s="1792">
        <v>13315960400</v>
      </c>
      <c r="M2297" s="1793">
        <v>0</v>
      </c>
      <c r="N2297" s="1793">
        <v>0</v>
      </c>
      <c r="O2297" s="1794">
        <v>0</v>
      </c>
    </row>
    <row r="2298" spans="3:15">
      <c r="C2298" s="1799" t="s">
        <v>6788</v>
      </c>
      <c r="D2298" s="1796">
        <v>0</v>
      </c>
      <c r="E2298" s="1796">
        <v>0</v>
      </c>
      <c r="F2298" s="1797">
        <v>0</v>
      </c>
      <c r="G2298" s="1999" t="s">
        <v>6788</v>
      </c>
      <c r="H2298" s="1794">
        <v>0</v>
      </c>
      <c r="I2298" s="1794">
        <v>1</v>
      </c>
      <c r="J2298" s="2000">
        <v>1</v>
      </c>
      <c r="K2298" s="1798"/>
      <c r="L2298" s="1792">
        <v>13317010101</v>
      </c>
      <c r="M2298" s="1793">
        <v>0</v>
      </c>
      <c r="N2298" s="1793">
        <v>1</v>
      </c>
      <c r="O2298" s="1794">
        <v>1</v>
      </c>
    </row>
    <row r="2299" spans="3:15">
      <c r="C2299" s="1799" t="s">
        <v>6789</v>
      </c>
      <c r="D2299" s="1796">
        <v>0</v>
      </c>
      <c r="E2299" s="1796">
        <v>0</v>
      </c>
      <c r="F2299" s="1797">
        <v>0</v>
      </c>
      <c r="G2299" s="1999" t="s">
        <v>6789</v>
      </c>
      <c r="H2299" s="1794">
        <v>0</v>
      </c>
      <c r="I2299" s="1794">
        <v>0</v>
      </c>
      <c r="J2299" s="2000">
        <v>0</v>
      </c>
      <c r="K2299" s="1798"/>
      <c r="L2299" s="1792">
        <v>13317010102</v>
      </c>
      <c r="M2299" s="1793">
        <v>0</v>
      </c>
      <c r="N2299" s="1793">
        <v>0</v>
      </c>
      <c r="O2299" s="1794">
        <v>0</v>
      </c>
    </row>
    <row r="2300" spans="3:15">
      <c r="C2300" s="1799" t="s">
        <v>6790</v>
      </c>
      <c r="D2300" s="1796">
        <v>1</v>
      </c>
      <c r="E2300" s="1796">
        <v>0</v>
      </c>
      <c r="F2300" s="1797">
        <v>1</v>
      </c>
      <c r="G2300" s="1999" t="s">
        <v>6790</v>
      </c>
      <c r="H2300" s="1794">
        <v>0</v>
      </c>
      <c r="I2300" s="1794">
        <v>0</v>
      </c>
      <c r="J2300" s="2000">
        <v>0</v>
      </c>
      <c r="K2300" s="1798"/>
      <c r="L2300" s="1792">
        <v>13317010301</v>
      </c>
      <c r="M2300" s="1793">
        <v>1</v>
      </c>
      <c r="N2300" s="1793">
        <v>0</v>
      </c>
      <c r="O2300" s="1794">
        <v>1</v>
      </c>
    </row>
    <row r="2301" spans="3:15">
      <c r="C2301" s="1799" t="s">
        <v>6791</v>
      </c>
      <c r="D2301" s="1796">
        <v>0</v>
      </c>
      <c r="E2301" s="1796">
        <v>0</v>
      </c>
      <c r="F2301" s="1797">
        <v>0</v>
      </c>
      <c r="G2301" s="1999" t="s">
        <v>6791</v>
      </c>
      <c r="H2301" s="1794">
        <v>0</v>
      </c>
      <c r="I2301" s="1794">
        <v>0</v>
      </c>
      <c r="J2301" s="2000">
        <v>0</v>
      </c>
      <c r="K2301" s="1798"/>
      <c r="L2301" s="1792">
        <v>13317010302</v>
      </c>
      <c r="M2301" s="1793">
        <v>0</v>
      </c>
      <c r="N2301" s="1793">
        <v>0</v>
      </c>
      <c r="O2301" s="1794">
        <v>0</v>
      </c>
    </row>
    <row r="2302" spans="3:15">
      <c r="C2302" s="1799" t="s">
        <v>6792</v>
      </c>
      <c r="D2302" s="1796">
        <v>0</v>
      </c>
      <c r="E2302" s="1796">
        <v>0</v>
      </c>
      <c r="F2302" s="1797">
        <v>0</v>
      </c>
      <c r="G2302" s="1999" t="s">
        <v>6792</v>
      </c>
      <c r="H2302" s="1794">
        <v>0</v>
      </c>
      <c r="I2302" s="1794">
        <v>0</v>
      </c>
      <c r="J2302" s="2000">
        <v>0</v>
      </c>
      <c r="K2302" s="1798"/>
      <c r="L2302" s="1792">
        <v>13319960200</v>
      </c>
      <c r="M2302" s="1793">
        <v>0</v>
      </c>
      <c r="N2302" s="1793">
        <v>0</v>
      </c>
      <c r="O2302" s="1794">
        <v>0</v>
      </c>
    </row>
    <row r="2303" spans="3:15">
      <c r="C2303" s="1799" t="s">
        <v>6793</v>
      </c>
      <c r="D2303" s="1796">
        <v>0</v>
      </c>
      <c r="E2303" s="1796">
        <v>0</v>
      </c>
      <c r="F2303" s="1797">
        <v>0</v>
      </c>
      <c r="G2303" s="1999" t="s">
        <v>6793</v>
      </c>
      <c r="H2303" s="1794">
        <v>0</v>
      </c>
      <c r="I2303" s="1794">
        <v>1</v>
      </c>
      <c r="J2303" s="2000">
        <v>1</v>
      </c>
      <c r="K2303" s="1798"/>
      <c r="L2303" s="1792">
        <v>13319960300</v>
      </c>
      <c r="M2303" s="1793">
        <v>0</v>
      </c>
      <c r="N2303" s="1793">
        <v>1</v>
      </c>
      <c r="O2303" s="1794">
        <v>1</v>
      </c>
    </row>
    <row r="2304" spans="3:15">
      <c r="C2304" s="1799" t="s">
        <v>6794</v>
      </c>
      <c r="D2304" s="1796">
        <v>0</v>
      </c>
      <c r="E2304" s="1796">
        <v>0</v>
      </c>
      <c r="F2304" s="1797">
        <v>0</v>
      </c>
      <c r="G2304" s="1999" t="s">
        <v>6794</v>
      </c>
      <c r="H2304" s="1794">
        <v>0</v>
      </c>
      <c r="I2304" s="1794">
        <v>0</v>
      </c>
      <c r="J2304" s="2000">
        <v>0</v>
      </c>
      <c r="K2304" s="1798"/>
      <c r="L2304" s="1792">
        <v>13319960400</v>
      </c>
      <c r="M2304" s="1793">
        <v>0</v>
      </c>
      <c r="N2304" s="1793">
        <v>0</v>
      </c>
      <c r="O2304" s="1794">
        <v>0</v>
      </c>
    </row>
    <row r="2305" spans="3:15">
      <c r="C2305" s="1799" t="s">
        <v>6795</v>
      </c>
      <c r="D2305" s="1796">
        <v>0</v>
      </c>
      <c r="E2305" s="1796">
        <v>0</v>
      </c>
      <c r="F2305" s="1797">
        <v>0</v>
      </c>
      <c r="G2305" s="1999" t="s">
        <v>6795</v>
      </c>
      <c r="H2305" s="1794">
        <v>0</v>
      </c>
      <c r="I2305" s="1794">
        <v>0</v>
      </c>
      <c r="J2305" s="2000">
        <v>0</v>
      </c>
      <c r="K2305" s="1798"/>
      <c r="L2305" s="1792">
        <v>13321950100</v>
      </c>
      <c r="M2305" s="1793">
        <v>0</v>
      </c>
      <c r="N2305" s="1793">
        <v>0</v>
      </c>
      <c r="O2305" s="1794">
        <v>0</v>
      </c>
    </row>
    <row r="2306" spans="3:15">
      <c r="C2306" s="1799" t="s">
        <v>6796</v>
      </c>
      <c r="D2306" s="1796">
        <v>0</v>
      </c>
      <c r="E2306" s="1796">
        <v>0</v>
      </c>
      <c r="F2306" s="1797">
        <v>0</v>
      </c>
      <c r="G2306" s="1999" t="s">
        <v>6796</v>
      </c>
      <c r="H2306" s="1794">
        <v>0</v>
      </c>
      <c r="I2306" s="1794">
        <v>0</v>
      </c>
      <c r="J2306" s="2000">
        <v>0</v>
      </c>
      <c r="K2306" s="1798"/>
      <c r="L2306" s="1792">
        <v>13321950200</v>
      </c>
      <c r="M2306" s="1793">
        <v>0</v>
      </c>
      <c r="N2306" s="1793">
        <v>0</v>
      </c>
      <c r="O2306" s="1794">
        <v>0</v>
      </c>
    </row>
    <row r="2307" spans="3:15">
      <c r="C2307" s="1799" t="s">
        <v>6797</v>
      </c>
      <c r="D2307" s="1796">
        <v>0</v>
      </c>
      <c r="E2307" s="1796">
        <v>0</v>
      </c>
      <c r="F2307" s="1797">
        <v>0</v>
      </c>
      <c r="G2307" s="1999" t="s">
        <v>6797</v>
      </c>
      <c r="H2307" s="1794">
        <v>0</v>
      </c>
      <c r="I2307" s="1794">
        <v>0</v>
      </c>
      <c r="J2307" s="2000">
        <v>0</v>
      </c>
      <c r="K2307" s="1798"/>
      <c r="L2307" s="1792">
        <v>13321950400</v>
      </c>
      <c r="M2307" s="1793">
        <v>0</v>
      </c>
      <c r="N2307" s="1793">
        <v>0</v>
      </c>
      <c r="O2307" s="1794">
        <v>0</v>
      </c>
    </row>
    <row r="2308" spans="3:15">
      <c r="C2308" s="1799" t="s">
        <v>6798</v>
      </c>
      <c r="D2308" s="1796">
        <v>0</v>
      </c>
      <c r="E2308" s="1796">
        <v>0</v>
      </c>
      <c r="F2308" s="1797">
        <v>0</v>
      </c>
      <c r="G2308" s="1999" t="s">
        <v>6798</v>
      </c>
      <c r="H2308" s="1794">
        <v>0</v>
      </c>
      <c r="I2308" s="1794">
        <v>0</v>
      </c>
      <c r="J2308" s="2000">
        <v>0</v>
      </c>
      <c r="K2308" s="1798"/>
      <c r="L2308" s="1792">
        <v>13321950500</v>
      </c>
      <c r="M2308" s="1793">
        <v>0</v>
      </c>
      <c r="N2308" s="1793">
        <v>0</v>
      </c>
      <c r="O2308" s="1794">
        <v>0</v>
      </c>
    </row>
    <row r="2309" spans="3:15">
      <c r="C2309" s="1800" t="s">
        <v>6799</v>
      </c>
      <c r="D2309" s="1801">
        <v>0</v>
      </c>
      <c r="E2309" s="1801">
        <v>0</v>
      </c>
      <c r="F2309" s="1802">
        <v>0</v>
      </c>
      <c r="G2309" s="2001" t="s">
        <v>6799</v>
      </c>
      <c r="H2309" s="2002">
        <v>1</v>
      </c>
      <c r="I2309" s="2002">
        <v>0</v>
      </c>
      <c r="J2309" s="2003">
        <v>1</v>
      </c>
      <c r="K2309" s="1798"/>
      <c r="L2309" s="1792">
        <v>13321950600</v>
      </c>
      <c r="M2309" s="1793">
        <v>1</v>
      </c>
      <c r="N2309" s="1793">
        <v>0</v>
      </c>
      <c r="O2309" s="1794">
        <v>1</v>
      </c>
    </row>
  </sheetData>
  <sheetProtection algorithmName="SHA-512" hashValue="Dyttl33LSgtaw7TVfrl6XTphcRu4nVLqYRNp9989ci5PHV9/fbV3U3xD/b3nIlKZQKJ/kiqsDMyjqdDZ9AEtDw==" saltValue="YGBYR/x8NmpAJV6QbIMs0g==" spinCount="100000" sheet="1" objects="1" scenarios="1" selectLockedCells="1" selectUnlockedCells="1"/>
  <sortState xmlns:xlrd2="http://schemas.microsoft.com/office/spreadsheetml/2017/richdata2" ref="I341:L2309">
    <sortCondition ref="I341:I2309"/>
  </sortState>
  <mergeCells count="75">
    <mergeCell ref="Q12:R12"/>
    <mergeCell ref="C169:C171"/>
    <mergeCell ref="Q146:R146"/>
    <mergeCell ref="Q93:R93"/>
    <mergeCell ref="A2:R2"/>
    <mergeCell ref="F20:J20"/>
    <mergeCell ref="N20:R20"/>
    <mergeCell ref="Q87:R87"/>
    <mergeCell ref="Q88:R88"/>
    <mergeCell ref="Q89:R89"/>
    <mergeCell ref="Q81:R81"/>
    <mergeCell ref="Q82:R82"/>
    <mergeCell ref="Q92:R92"/>
    <mergeCell ref="Q91:R91"/>
    <mergeCell ref="Q83:R83"/>
    <mergeCell ref="Q84:R84"/>
    <mergeCell ref="Q85:R85"/>
    <mergeCell ref="Q86:R86"/>
    <mergeCell ref="Q122:R122"/>
    <mergeCell ref="Q94:R94"/>
    <mergeCell ref="Q95:R95"/>
    <mergeCell ref="Q102:R102"/>
    <mergeCell ref="Q115:R115"/>
    <mergeCell ref="Q116:R116"/>
    <mergeCell ref="Q117:R117"/>
    <mergeCell ref="Q118:R118"/>
    <mergeCell ref="Q119:R119"/>
    <mergeCell ref="Q120:R120"/>
    <mergeCell ref="Q121:R121"/>
    <mergeCell ref="Q99:R99"/>
    <mergeCell ref="Q109:R109"/>
    <mergeCell ref="Q155:R155"/>
    <mergeCell ref="Q156:R156"/>
    <mergeCell ref="Q154:R154"/>
    <mergeCell ref="Q128:R128"/>
    <mergeCell ref="Q136:R136"/>
    <mergeCell ref="Q137:R137"/>
    <mergeCell ref="Q138:R138"/>
    <mergeCell ref="Q139:R139"/>
    <mergeCell ref="Q140:R140"/>
    <mergeCell ref="Q141:R141"/>
    <mergeCell ref="Q143:R143"/>
    <mergeCell ref="Q145:R145"/>
    <mergeCell ref="Q151:R151"/>
    <mergeCell ref="Q152:R152"/>
    <mergeCell ref="Q144:R144"/>
    <mergeCell ref="Q148:R148"/>
    <mergeCell ref="Q147:R147"/>
    <mergeCell ref="Q90:R90"/>
    <mergeCell ref="Q96:R96"/>
    <mergeCell ref="Q97:R97"/>
    <mergeCell ref="Q98:R98"/>
    <mergeCell ref="Q101:R101"/>
    <mergeCell ref="Q108:R108"/>
    <mergeCell ref="Q107:R107"/>
    <mergeCell ref="Q106:R106"/>
    <mergeCell ref="Q105:R105"/>
    <mergeCell ref="Q104:R104"/>
    <mergeCell ref="Q113:R113"/>
    <mergeCell ref="Q112:R112"/>
    <mergeCell ref="C334:F334"/>
    <mergeCell ref="G334:J334"/>
    <mergeCell ref="L334:O334"/>
    <mergeCell ref="C335:C340"/>
    <mergeCell ref="D335:D340"/>
    <mergeCell ref="E335:E340"/>
    <mergeCell ref="F335:F340"/>
    <mergeCell ref="G335:G340"/>
    <mergeCell ref="H335:H340"/>
    <mergeCell ref="M335:M340"/>
    <mergeCell ref="N335:N340"/>
    <mergeCell ref="O335:O340"/>
    <mergeCell ref="L335:L340"/>
    <mergeCell ref="J335:J340"/>
    <mergeCell ref="I335:I340"/>
  </mergeCells>
  <printOptions horizontalCentered="1"/>
  <pageMargins left="0.25" right="0.25" top="0.25" bottom="0.25" header="0.05" footer="0.05"/>
  <pageSetup scale="70" fitToHeight="0" orientation="portrait" horizontalDpi="1200" verticalDpi="1200"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14"/>
  <dimension ref="A1:BFO2104"/>
  <sheetViews>
    <sheetView showGridLines="0" workbookViewId="0">
      <selection activeCell="A1243" sqref="A1:XFD1048576"/>
    </sheetView>
  </sheetViews>
  <sheetFormatPr defaultColWidth="8.88671875" defaultRowHeight="13.2"/>
  <cols>
    <col min="1" max="5" width="9" style="1995" bestFit="1" customWidth="1"/>
    <col min="6" max="7" width="9.33203125" style="1995" bestFit="1" customWidth="1"/>
    <col min="8" max="8" width="12.33203125" style="1995" bestFit="1" customWidth="1"/>
    <col min="9" max="9" width="14.44140625" style="1995" bestFit="1" customWidth="1"/>
    <col min="10" max="10" width="9.33203125" style="1995" bestFit="1" customWidth="1"/>
    <col min="11" max="11" width="11.6640625" style="1995" bestFit="1" customWidth="1"/>
    <col min="12" max="12" width="9.33203125" style="1995" bestFit="1" customWidth="1"/>
    <col min="13" max="14" width="9" style="1995" bestFit="1" customWidth="1"/>
    <col min="15" max="15" width="12.33203125" style="1995" bestFit="1" customWidth="1"/>
    <col min="16" max="22" width="9" style="1995" bestFit="1" customWidth="1"/>
    <col min="23" max="23" width="8.88671875" style="1995"/>
    <col min="24" max="369" width="9" style="1995" bestFit="1" customWidth="1"/>
    <col min="370" max="16384" width="8.88671875" style="1995"/>
  </cols>
  <sheetData>
    <row r="1" spans="1:6" ht="15.6">
      <c r="A1" s="2060" t="s">
        <v>957</v>
      </c>
    </row>
    <row r="2" spans="1:6" ht="13.8">
      <c r="A2" s="1818" t="str">
        <f>'Part I-Project Information'!F34</f>
        <v>Harper Woods II</v>
      </c>
    </row>
    <row r="3" spans="1:6" ht="13.8">
      <c r="A3" s="1818" t="str">
        <f>CONCATENATE('Part I-Project Information'!F38,", ", 'Part I-Project Information'!J39," County")</f>
        <v>Columbus, Muscogee County</v>
      </c>
    </row>
    <row r="5" spans="1:6" ht="13.2" customHeight="1">
      <c r="A5" s="1844" t="str">
        <f>'Project Narrative'!A5</f>
        <v xml:space="preserve"> Harper Woods Phase II is a proposed 72-unit senior 55 and older development to be located in the City of Columbus. The development will include one building with  a comminuty room. The community will be located off of Warm Springs Road and within walking distance of public transportation, a day care, schools, and a park. The site is located in census tract 101.06, but is across the street from census tract 101.07 which is considered upper income and below 5% poverty level. This development will sit on approximately 3.0 acres of land. The site is adjacent to Harper Woods Phase I, single family residential homes, a public park, and townhomes. 
Harper Woods II will be a successful community within its market area and have sufficient demand to be competitive in the rental market. Harper Woods II is estimated to reach a stabilized occupancy of 93% within six months. The overall affordability demand capture rate is well within DCA's guidelines.  Harper Woods II will not have a negative impact on existing communities within the market area.
Harper Woods II will provide a mix of unit choices, and will appeal to a variety of individuals 55 and older. The project will include 20 one-bedroom units and 52 two-bedroom units.  There will be  an equal spread of units that will be marketed to those earning at the 40%, 60% and 80% AMI levels.  Residents will enjoy an computer center, an onsite laundry facility, and share all amenities offered at Harper Woods Phase I. The site will also have plenty of green space for our residents to enjoy and be in close proximity to public transportation. This project will be an active community with regularly scheduled social events.
There will be a healthy housing initiative called Healthy Way and a healthy eating initiative incorporated into the Harper Woods II community.  Beyond answering the demand for affordable housing, Harper Woods II will serve as a platform for community change to improve the health and well-being of our residents through education and regular health screenings.  By locating this initiative at our development, we can literally meet people where they are and work with them to facilitate better health outcomes for themselves and their families.  Healthy Way will utilize Piedmont Columbus Regional’s Mobile Health Unit for monthly visits to the Harper Woods II community. The 40-foot vehicle, which serves as a mobile clinic, consists of a waiting area, well-equipped exam rooms, and a lab. The Unit team consists of a RN (Mobile Unit Coordinator), physicians, and a pharmacist. The Mobile Unit will not only ensure privacy, but it will also have all necessary equipment for blood pressure tests. Additionally, Harper Woods II will provide a free, monthly healthy eating newsletter to its residents.  This newsletter will cover a wide variety of topics that will include a variety of topics including the benefits of fresh fruits and vegetables, dangers of fast food, healthy ways to lose weight and how food directly affects one’s physical well-being.  
TBG Development Services, Inc. is the legal development entity for this project and is 100% owned by Kevin Buckner.  TBG Residential is the marketing name for the developer, and is used in place of the developer in various locations throughout the application.  In places where TBG Residential is seen, it should be understood that it represents TBG Development Services, Inc.
The total development cost for Harper Woods is estimated to be approximately $12,452,350. Sources of funds for construction and permanent financing include federal and state credit equity along with conventional financing. Harper Woods II has recieved a HOME Loan from the City of Columbus for $625,000.
</v>
      </c>
      <c r="B5" s="1973" t="s">
        <v>4458</v>
      </c>
      <c r="C5" s="1973"/>
      <c r="D5" s="1973"/>
      <c r="E5" s="1973"/>
      <c r="F5" s="1973"/>
    </row>
    <row r="6" spans="1:6" ht="13.2" customHeight="1">
      <c r="A6" s="1844"/>
      <c r="B6" s="1973"/>
      <c r="C6" s="1973"/>
      <c r="D6" s="1973"/>
      <c r="E6" s="1973"/>
      <c r="F6" s="1973"/>
    </row>
    <row r="7" spans="1:6" ht="13.2" customHeight="1">
      <c r="A7" s="1844"/>
      <c r="B7" s="1973"/>
      <c r="C7" s="1973"/>
      <c r="D7" s="1973"/>
      <c r="E7" s="1973"/>
      <c r="F7" s="1973"/>
    </row>
    <row r="8" spans="1:6" ht="13.2" customHeight="1">
      <c r="A8" s="1844"/>
    </row>
    <row r="9" spans="1:6" ht="13.2" customHeight="1">
      <c r="A9" s="1844"/>
    </row>
    <row r="10" spans="1:6" ht="13.2" customHeight="1">
      <c r="A10" s="1844"/>
    </row>
    <row r="11" spans="1:6" ht="13.2" customHeight="1">
      <c r="A11" s="1844"/>
    </row>
    <row r="12" spans="1:6" ht="13.2" customHeight="1">
      <c r="A12" s="1844"/>
    </row>
    <row r="13" spans="1:6" ht="13.2" customHeight="1">
      <c r="A13" s="1844"/>
    </row>
    <row r="14" spans="1:6" ht="13.2" customHeight="1">
      <c r="A14" s="1844"/>
    </row>
    <row r="15" spans="1:6" ht="13.2" customHeight="1">
      <c r="A15" s="1844"/>
    </row>
    <row r="16" spans="1:6" ht="13.2" customHeight="1">
      <c r="A16" s="1844"/>
    </row>
    <row r="17" spans="1:21" ht="13.2" customHeight="1">
      <c r="A17" s="1844"/>
    </row>
    <row r="18" spans="1:21" ht="13.2" customHeight="1">
      <c r="A18" s="1844"/>
    </row>
    <row r="19" spans="1:21" ht="13.2" customHeight="1">
      <c r="A19" s="1844"/>
    </row>
    <row r="20" spans="1:21" ht="13.2" customHeight="1">
      <c r="A20" s="1844"/>
    </row>
    <row r="21" spans="1:21" ht="13.2" customHeight="1">
      <c r="A21" s="1844"/>
    </row>
    <row r="22" spans="1:21" ht="13.2" customHeight="1">
      <c r="A22" s="1844"/>
    </row>
    <row r="23" spans="1:21" ht="13.2" customHeight="1">
      <c r="A23" s="1844"/>
    </row>
    <row r="26" spans="1:21" ht="13.8">
      <c r="A26" s="1819" t="str">
        <f>CONCATENATE("PART ONE - PROJECT INFORMATION"," - ",$O$6," ",$F$34,", ",'Part I-Project Information'!F63,", ",'Part I-Project Information'!J64," County")</f>
        <v>PART ONE - PROJECT INFORMATION -  LIHTC (auto-filled from later entries), ,  County</v>
      </c>
      <c r="B26" s="1819"/>
      <c r="C26" s="1819"/>
      <c r="D26" s="1819"/>
      <c r="E26" s="1819"/>
      <c r="F26" s="1819"/>
      <c r="G26" s="1819"/>
      <c r="H26" s="1819"/>
      <c r="I26" s="1819"/>
      <c r="J26" s="1819"/>
      <c r="K26" s="1819"/>
      <c r="L26" s="1819"/>
      <c r="M26" s="1819"/>
      <c r="N26" s="1819"/>
      <c r="O26" s="1819"/>
      <c r="P26" s="1819"/>
      <c r="Q26" s="1819"/>
      <c r="R26" s="1819"/>
      <c r="S26" s="1819"/>
      <c r="T26" s="1819"/>
      <c r="U26" s="1819"/>
    </row>
    <row r="27" spans="1:21" ht="13.8">
      <c r="A27" s="1821"/>
      <c r="B27" s="1821"/>
      <c r="C27" s="1821"/>
      <c r="D27" s="1821"/>
      <c r="E27" s="1821"/>
      <c r="F27" s="1821"/>
      <c r="G27" s="1821"/>
      <c r="H27" s="1821"/>
      <c r="I27" s="1821"/>
      <c r="J27" s="1821"/>
      <c r="K27" s="1821"/>
      <c r="L27" s="1821"/>
      <c r="M27" s="1821"/>
      <c r="N27" s="1821"/>
      <c r="O27" s="1821"/>
      <c r="P27" s="1821"/>
      <c r="Q27" s="1819"/>
      <c r="R27" s="1819"/>
      <c r="S27" s="1819"/>
      <c r="T27" s="1819"/>
      <c r="U27" s="1819"/>
    </row>
    <row r="28" spans="1:21" ht="13.95" customHeight="1">
      <c r="A28" s="1819" t="s">
        <v>4095</v>
      </c>
      <c r="B28" s="1819"/>
      <c r="C28" s="1819"/>
      <c r="D28" s="1819"/>
      <c r="E28" s="1819"/>
      <c r="F28" s="1819"/>
      <c r="G28" s="1819"/>
      <c r="H28" s="1819"/>
      <c r="I28" s="1819"/>
      <c r="J28" s="1819"/>
      <c r="K28" s="1819"/>
      <c r="L28" s="1819"/>
      <c r="M28" s="1819"/>
      <c r="N28" s="1819"/>
      <c r="O28" s="1819"/>
      <c r="P28" s="1819"/>
      <c r="Q28" s="1819"/>
      <c r="R28" s="1819"/>
      <c r="S28" s="1819"/>
      <c r="T28" s="1819"/>
      <c r="U28" s="1819"/>
    </row>
    <row r="29" spans="1:21" ht="13.8">
      <c r="A29" s="1821"/>
      <c r="B29" s="1821"/>
      <c r="C29" s="1821"/>
      <c r="D29" s="1821"/>
      <c r="E29" s="1821"/>
      <c r="F29" s="1821"/>
      <c r="G29" s="1821"/>
      <c r="H29" s="1821"/>
      <c r="I29" s="1821"/>
      <c r="J29" s="1821"/>
      <c r="K29" s="1821"/>
      <c r="L29" s="1821"/>
      <c r="M29" s="1821"/>
      <c r="N29" s="1821"/>
      <c r="O29" s="1821"/>
      <c r="P29" s="1821"/>
      <c r="Q29" s="1819"/>
      <c r="R29" s="1819"/>
      <c r="S29" s="1819"/>
      <c r="T29" s="1819"/>
      <c r="U29" s="1819"/>
    </row>
    <row r="30" spans="1:21" ht="13.8">
      <c r="A30" s="1819"/>
      <c r="B30" s="1823" t="s">
        <v>2304</v>
      </c>
      <c r="C30" s="1819"/>
      <c r="D30" s="1819"/>
      <c r="E30" s="1819"/>
      <c r="F30" s="1821"/>
      <c r="G30" s="1820" t="s">
        <v>6918</v>
      </c>
      <c r="H30" s="1819"/>
      <c r="I30" s="1819"/>
      <c r="J30" s="1819"/>
      <c r="K30" s="1819"/>
      <c r="L30" s="1821"/>
      <c r="M30" s="1819"/>
      <c r="N30" s="1819"/>
      <c r="O30" s="1819"/>
      <c r="P30" s="1826" t="s">
        <v>3648</v>
      </c>
      <c r="Q30" s="1819"/>
      <c r="R30" s="1819"/>
      <c r="S30" s="1819"/>
      <c r="T30" s="1819"/>
      <c r="U30" s="1819"/>
    </row>
    <row r="31" spans="1:21" ht="13.95" customHeight="1">
      <c r="A31" s="1819"/>
      <c r="B31" s="2061" t="str">
        <f>'Part I-Project Information'!B6</f>
        <v>May 26, 2020 Version</v>
      </c>
      <c r="C31" s="2062"/>
      <c r="D31" s="2062"/>
      <c r="E31" s="1815"/>
      <c r="F31" s="1821"/>
      <c r="G31" s="1820" t="s">
        <v>6919</v>
      </c>
      <c r="H31" s="1821"/>
      <c r="I31" s="1821"/>
      <c r="J31" s="1821"/>
      <c r="K31" s="1819"/>
      <c r="L31" s="1819"/>
      <c r="M31" s="1819"/>
      <c r="N31" s="1819"/>
      <c r="O31" s="1819" t="str">
        <f>'Part I-Project Information'!O6</f>
        <v>2020-074</v>
      </c>
      <c r="P31" s="1819"/>
      <c r="Q31" s="1819"/>
      <c r="R31" s="1819"/>
      <c r="S31" s="1819"/>
      <c r="T31" s="1819"/>
      <c r="U31" s="1819"/>
    </row>
    <row r="32" spans="1:21" ht="13.95" customHeight="1">
      <c r="A32" s="1819"/>
      <c r="B32" s="2062"/>
      <c r="C32" s="2062"/>
      <c r="D32" s="2062"/>
      <c r="E32" s="1815"/>
      <c r="F32" s="1819"/>
      <c r="G32" s="1822" t="s">
        <v>3213</v>
      </c>
      <c r="H32" s="1821"/>
      <c r="I32" s="1821"/>
      <c r="J32" s="1821"/>
      <c r="K32" s="1819"/>
      <c r="L32" s="1819"/>
      <c r="M32" s="1819"/>
      <c r="N32" s="1819"/>
      <c r="O32" s="1819"/>
      <c r="P32" s="1819"/>
      <c r="Q32" s="1819"/>
      <c r="R32" s="1819"/>
      <c r="S32" s="1819"/>
      <c r="T32" s="1819"/>
      <c r="U32" s="1819"/>
    </row>
    <row r="33" spans="1:21" ht="13.95" customHeight="1">
      <c r="A33" s="1821"/>
      <c r="B33" s="2062"/>
      <c r="C33" s="2062"/>
      <c r="D33" s="2062"/>
      <c r="E33" s="1821"/>
      <c r="F33" s="1819"/>
      <c r="G33" s="1819"/>
      <c r="H33" s="1821"/>
      <c r="I33" s="1821"/>
      <c r="J33" s="1819"/>
      <c r="K33" s="1819"/>
      <c r="L33" s="1819"/>
      <c r="M33" s="1821"/>
      <c r="N33" s="1819"/>
      <c r="O33" s="1819"/>
      <c r="P33" s="1819"/>
      <c r="Q33" s="1819"/>
      <c r="R33" s="1819"/>
      <c r="S33" s="1819"/>
      <c r="T33" s="1819"/>
      <c r="U33" s="1819"/>
    </row>
    <row r="34" spans="1:21" ht="13.8">
      <c r="A34" s="1819" t="s">
        <v>598</v>
      </c>
      <c r="B34" s="1819" t="s">
        <v>2315</v>
      </c>
      <c r="C34" s="1819"/>
      <c r="D34" s="1827"/>
      <c r="E34" s="1821"/>
      <c r="F34" s="1823" t="s">
        <v>3603</v>
      </c>
      <c r="G34" s="1819"/>
      <c r="H34" s="1819"/>
      <c r="I34" s="1824">
        <f>'Part IV-A-Uses of Funds'!$J$184</f>
        <v>844755</v>
      </c>
      <c r="J34" s="1824"/>
      <c r="K34" s="1819"/>
      <c r="L34" s="1819" t="s">
        <v>3604</v>
      </c>
      <c r="M34" s="1819"/>
      <c r="N34" s="1819"/>
      <c r="O34" s="1825">
        <f>'Part III-Sources of Funds'!$H$5</f>
        <v>0</v>
      </c>
      <c r="P34" s="1825"/>
      <c r="Q34" s="1819"/>
      <c r="R34" s="1819"/>
      <c r="S34" s="1819"/>
      <c r="T34" s="1819"/>
      <c r="U34" s="1819"/>
    </row>
    <row r="35" spans="1:21" ht="13.8">
      <c r="A35" s="1819"/>
      <c r="B35" s="1819"/>
      <c r="C35" s="1819"/>
      <c r="D35" s="1827"/>
      <c r="E35" s="1821"/>
      <c r="F35" s="1821"/>
      <c r="G35" s="1819"/>
      <c r="H35" s="1819"/>
      <c r="I35" s="1823"/>
      <c r="J35" s="1819"/>
      <c r="K35" s="1819"/>
      <c r="L35" s="1819"/>
      <c r="M35" s="1819"/>
      <c r="N35" s="1826"/>
      <c r="O35" s="1819"/>
      <c r="P35" s="1819"/>
      <c r="Q35" s="1819"/>
      <c r="R35" s="1819"/>
      <c r="S35" s="1819"/>
      <c r="T35" s="1819"/>
      <c r="U35" s="1819"/>
    </row>
    <row r="36" spans="1:21" ht="13.8">
      <c r="A36" s="1823" t="s">
        <v>722</v>
      </c>
      <c r="B36" s="1819" t="s">
        <v>1992</v>
      </c>
      <c r="C36" s="1819"/>
      <c r="D36" s="1819"/>
      <c r="E36" s="1819"/>
      <c r="F36" s="1849" t="str">
        <f>'Part I-Project Information'!F11</f>
        <v>9% Credit Competitive Round only</v>
      </c>
      <c r="G36" s="1849"/>
      <c r="H36" s="1849"/>
      <c r="I36" s="2186" t="s">
        <v>3534</v>
      </c>
      <c r="J36" s="1819" t="s">
        <v>6964</v>
      </c>
      <c r="K36" s="1819"/>
      <c r="L36" s="1821"/>
      <c r="M36" s="1819"/>
      <c r="N36" s="1819"/>
      <c r="O36" s="1819" t="str">
        <f>'Part I-Project Information'!O11</f>
        <v>2020PA-005</v>
      </c>
      <c r="P36" s="1819"/>
      <c r="Q36" s="1819"/>
      <c r="R36" s="1819"/>
      <c r="S36" s="1819"/>
      <c r="T36" s="1819"/>
      <c r="U36" s="1819"/>
    </row>
    <row r="37" spans="1:21" ht="13.8">
      <c r="A37" s="1821"/>
      <c r="B37" s="1827"/>
      <c r="C37" s="1827"/>
      <c r="D37" s="1827"/>
      <c r="E37" s="1827"/>
      <c r="F37" s="1819"/>
      <c r="G37" s="1819"/>
      <c r="H37" s="1821"/>
      <c r="I37" s="1819"/>
      <c r="J37" s="1820" t="s">
        <v>6849</v>
      </c>
      <c r="K37" s="1823"/>
      <c r="L37" s="1819"/>
      <c r="M37" s="1821"/>
      <c r="N37" s="1819"/>
      <c r="O37" s="1849" t="str">
        <f>'Part I-Project Information'!O12</f>
        <v>No</v>
      </c>
      <c r="P37" s="1849"/>
      <c r="Q37" s="1819"/>
      <c r="R37" s="1819"/>
      <c r="S37" s="1819"/>
      <c r="T37" s="1819"/>
      <c r="U37" s="1819"/>
    </row>
    <row r="38" spans="1:21" ht="13.8">
      <c r="A38" s="1821"/>
      <c r="B38" s="1827"/>
      <c r="C38" s="1827"/>
      <c r="D38" s="1827"/>
      <c r="E38" s="1827"/>
      <c r="F38" s="1819"/>
      <c r="G38" s="1819"/>
      <c r="H38" s="1821"/>
      <c r="I38" s="1819"/>
      <c r="J38" s="1823"/>
      <c r="K38" s="1823"/>
      <c r="L38" s="1819"/>
      <c r="M38" s="1821"/>
      <c r="N38" s="1819"/>
      <c r="O38" s="1819"/>
      <c r="P38" s="1819"/>
      <c r="Q38" s="1819"/>
      <c r="R38" s="1819"/>
      <c r="S38" s="1819"/>
      <c r="T38" s="1819"/>
      <c r="U38" s="1819"/>
    </row>
    <row r="39" spans="1:21" ht="13.8">
      <c r="A39" s="1821"/>
      <c r="B39" s="1827" t="s">
        <v>4817</v>
      </c>
      <c r="C39" s="1827"/>
      <c r="D39" s="1827"/>
      <c r="E39" s="1827"/>
      <c r="F39" s="1861" t="str">
        <f>'Part I-Project Information'!F14</f>
        <v>No</v>
      </c>
      <c r="G39" s="1823" t="s">
        <v>4818</v>
      </c>
      <c r="H39" s="1819"/>
      <c r="I39" s="1819"/>
      <c r="J39" s="1819"/>
      <c r="K39" s="1819"/>
      <c r="L39" s="1819"/>
      <c r="M39" s="1819"/>
      <c r="N39" s="1849" t="str">
        <f>'Part I-Project Information'!N14</f>
        <v>&lt;&lt;Select previous Application Type&gt;&gt;</v>
      </c>
      <c r="O39" s="1849"/>
      <c r="P39" s="1849"/>
      <c r="Q39" s="1819"/>
      <c r="R39" s="1819"/>
      <c r="S39" s="1819"/>
      <c r="T39" s="1819"/>
      <c r="U39" s="1819"/>
    </row>
    <row r="40" spans="1:21" ht="13.8">
      <c r="A40" s="1821"/>
      <c r="B40" s="1819" t="s">
        <v>4800</v>
      </c>
      <c r="C40" s="1819"/>
      <c r="D40" s="1819"/>
      <c r="E40" s="1819"/>
      <c r="F40" s="1965">
        <f>'Part I-Project Information'!F15</f>
        <v>0</v>
      </c>
      <c r="G40" s="1965"/>
      <c r="H40" s="1965"/>
      <c r="I40" s="1965"/>
      <c r="J40" s="1819" t="s">
        <v>4514</v>
      </c>
      <c r="K40" s="1819"/>
      <c r="L40" s="1819">
        <f>'Part I-Project Information'!L15</f>
        <v>0</v>
      </c>
      <c r="M40" s="1819"/>
      <c r="N40" s="1819" t="s">
        <v>4513</v>
      </c>
      <c r="O40" s="1819"/>
      <c r="P40" s="1832">
        <f>'Part I-Project Information'!P15</f>
        <v>0</v>
      </c>
      <c r="Q40" s="1819"/>
      <c r="R40" s="1819"/>
      <c r="S40" s="1819"/>
      <c r="T40" s="1819"/>
      <c r="U40" s="1819"/>
    </row>
    <row r="41" spans="1:21" ht="13.8">
      <c r="A41" s="1821"/>
      <c r="B41" s="1819" t="s">
        <v>3602</v>
      </c>
      <c r="C41" s="1819"/>
      <c r="D41" s="1819"/>
      <c r="E41" s="1819"/>
      <c r="F41" s="1861" t="str">
        <f>'Part I-Project Information'!F16</f>
        <v>No</v>
      </c>
      <c r="G41" s="1819" t="s">
        <v>4451</v>
      </c>
      <c r="H41" s="1821"/>
      <c r="I41" s="1822"/>
      <c r="J41" s="1823"/>
      <c r="K41" s="1819"/>
      <c r="L41" s="1819"/>
      <c r="M41" s="1819"/>
      <c r="N41" s="1849" t="str">
        <f>'Part I-Project Information'!N16</f>
        <v>Qualified w/out Conditions</v>
      </c>
      <c r="O41" s="1849"/>
      <c r="P41" s="1849"/>
      <c r="Q41" s="1819"/>
      <c r="R41" s="1819"/>
      <c r="S41" s="1819"/>
      <c r="T41" s="1819"/>
      <c r="U41" s="1819"/>
    </row>
    <row r="42" spans="1:21" ht="13.8">
      <c r="A42" s="1819"/>
      <c r="B42" s="1819"/>
      <c r="C42" s="1819"/>
      <c r="D42" s="1819"/>
      <c r="E42" s="1819"/>
      <c r="F42" s="1819"/>
      <c r="G42" s="1819"/>
      <c r="H42" s="1819"/>
      <c r="I42" s="1827"/>
      <c r="J42" s="1827"/>
      <c r="K42" s="1827"/>
      <c r="L42" s="1827"/>
      <c r="M42" s="1827"/>
      <c r="N42" s="1827"/>
      <c r="O42" s="1827"/>
      <c r="P42" s="1827"/>
      <c r="Q42" s="1819"/>
      <c r="R42" s="1819"/>
      <c r="S42" s="1819"/>
      <c r="T42" s="1819"/>
      <c r="U42" s="1819"/>
    </row>
    <row r="43" spans="1:21" ht="13.8">
      <c r="A43" s="1823" t="s">
        <v>724</v>
      </c>
      <c r="B43" s="1819" t="s">
        <v>4114</v>
      </c>
      <c r="C43" s="1819"/>
      <c r="D43" s="1823"/>
      <c r="E43" s="1821"/>
      <c r="F43" s="1819"/>
      <c r="G43" s="1821"/>
      <c r="H43" s="1821"/>
      <c r="I43" s="1821"/>
      <c r="J43" s="1819"/>
      <c r="K43" s="1819"/>
      <c r="L43" s="1826"/>
      <c r="M43" s="1819"/>
      <c r="N43" s="1819"/>
      <c r="O43" s="1819"/>
      <c r="P43" s="1819"/>
      <c r="Q43" s="1819"/>
      <c r="R43" s="1819"/>
      <c r="S43" s="1819"/>
      <c r="T43" s="1819"/>
      <c r="U43" s="1819"/>
    </row>
    <row r="44" spans="1:21" ht="13.8">
      <c r="A44" s="1823"/>
      <c r="B44" s="1821"/>
      <c r="C44" s="1819"/>
      <c r="D44" s="1823"/>
      <c r="E44" s="1821"/>
      <c r="F44" s="1819"/>
      <c r="G44" s="1821"/>
      <c r="H44" s="1821"/>
      <c r="I44" s="1821"/>
      <c r="J44" s="1819"/>
      <c r="K44" s="1826"/>
      <c r="L44" s="1826"/>
      <c r="M44" s="1819"/>
      <c r="N44" s="1819"/>
      <c r="O44" s="1821"/>
      <c r="P44" s="1819"/>
      <c r="Q44" s="1819"/>
      <c r="R44" s="1819"/>
      <c r="S44" s="1819"/>
      <c r="T44" s="1819"/>
      <c r="U44" s="1819"/>
    </row>
    <row r="45" spans="1:21" ht="13.8">
      <c r="A45" s="1819"/>
      <c r="B45" s="1819" t="s">
        <v>3655</v>
      </c>
      <c r="C45" s="1819"/>
      <c r="D45" s="1819"/>
      <c r="E45" s="1819"/>
      <c r="F45" s="1819" t="str">
        <f>'Part I-Project Information'!F20</f>
        <v xml:space="preserve">TBG Development Services, Inc. </v>
      </c>
      <c r="G45" s="1819"/>
      <c r="H45" s="1819"/>
      <c r="I45" s="1819" t="s">
        <v>1753</v>
      </c>
      <c r="J45" s="1819" t="str">
        <f>'Part I-Project Information'!J20</f>
        <v>Kevin Buckner</v>
      </c>
      <c r="K45" s="1819"/>
      <c r="L45" s="1819"/>
      <c r="M45" s="1823" t="s">
        <v>1933</v>
      </c>
      <c r="N45" s="1819" t="str">
        <f>'Part I-Project Information'!N20</f>
        <v>President</v>
      </c>
      <c r="O45" s="1819"/>
      <c r="P45" s="1819"/>
      <c r="Q45" s="1819"/>
      <c r="R45" s="1819"/>
      <c r="S45" s="1819"/>
      <c r="T45" s="1819"/>
      <c r="U45" s="1819"/>
    </row>
    <row r="46" spans="1:21" ht="13.95" customHeight="1">
      <c r="A46" s="1819"/>
      <c r="B46" s="1823" t="s">
        <v>1934</v>
      </c>
      <c r="C46" s="1819"/>
      <c r="D46" s="1819"/>
      <c r="E46" s="1819"/>
      <c r="F46" s="1819" t="str">
        <f>'Part I-Project Information'!F21</f>
        <v>3825 Paces Walk SE, Suite 100</v>
      </c>
      <c r="G46" s="1819"/>
      <c r="H46" s="1819"/>
      <c r="I46" s="1819"/>
      <c r="J46" s="1819"/>
      <c r="K46" s="1819"/>
      <c r="L46" s="1819"/>
      <c r="M46" s="1849" t="s">
        <v>3654</v>
      </c>
      <c r="N46" s="1849"/>
      <c r="O46" s="1849"/>
      <c r="P46" s="1849"/>
      <c r="Q46" s="1819"/>
      <c r="R46" s="1819"/>
      <c r="S46" s="1819"/>
      <c r="T46" s="1819"/>
      <c r="U46" s="1819"/>
    </row>
    <row r="47" spans="1:21" ht="13.8">
      <c r="A47" s="1819"/>
      <c r="B47" s="1823" t="s">
        <v>600</v>
      </c>
      <c r="C47" s="1819"/>
      <c r="D47" s="1819"/>
      <c r="E47" s="1819"/>
      <c r="F47" s="1819" t="str">
        <f>'Part I-Project Information'!F22</f>
        <v>Atlanta</v>
      </c>
      <c r="G47" s="1819"/>
      <c r="H47" s="1819"/>
      <c r="I47" s="1823" t="s">
        <v>1754</v>
      </c>
      <c r="J47" s="1838" t="str">
        <f>'Part I-Project Information'!J22</f>
        <v>GA</v>
      </c>
      <c r="K47" s="1819"/>
      <c r="L47" s="1819"/>
      <c r="M47" s="1849"/>
      <c r="N47" s="1849"/>
      <c r="O47" s="1849"/>
      <c r="P47" s="1849"/>
      <c r="Q47" s="1819"/>
      <c r="R47" s="1819"/>
      <c r="S47" s="1819"/>
      <c r="T47" s="1819"/>
      <c r="U47" s="1819"/>
    </row>
    <row r="48" spans="1:21" ht="13.8">
      <c r="A48" s="1819"/>
      <c r="B48" s="1823" t="s">
        <v>2173</v>
      </c>
      <c r="C48" s="1819"/>
      <c r="D48" s="1819"/>
      <c r="E48" s="1819"/>
      <c r="F48" s="2187">
        <f>'Part I-Project Information'!F23</f>
        <v>303394002</v>
      </c>
      <c r="G48" s="2187"/>
      <c r="H48" s="2187"/>
      <c r="I48" s="1823" t="s">
        <v>1678</v>
      </c>
      <c r="J48" s="2188">
        <f>'Part I-Project Information'!J23</f>
        <v>6783245540</v>
      </c>
      <c r="K48" s="2188"/>
      <c r="L48" s="1821" t="s">
        <v>1677</v>
      </c>
      <c r="M48" s="1821">
        <f>'Part I-Project Information'!M23</f>
        <v>101</v>
      </c>
      <c r="N48" s="1823" t="s">
        <v>1679</v>
      </c>
      <c r="O48" s="2188">
        <f>'Part I-Project Information'!O23</f>
        <v>6783245550</v>
      </c>
      <c r="P48" s="2188"/>
      <c r="Q48" s="1819"/>
      <c r="R48" s="1819"/>
      <c r="S48" s="1819"/>
      <c r="T48" s="1819"/>
      <c r="U48" s="1819"/>
    </row>
    <row r="49" spans="1:21" ht="13.8">
      <c r="A49" s="1819"/>
      <c r="B49" s="1823" t="s">
        <v>1937</v>
      </c>
      <c r="C49" s="1819"/>
      <c r="D49" s="1819"/>
      <c r="E49" s="1819"/>
      <c r="F49" s="1819" t="str">
        <f>'Part I-Project Information'!F24</f>
        <v xml:space="preserve">kbuckner@tbgresidential.com </v>
      </c>
      <c r="G49" s="1819"/>
      <c r="H49" s="1819"/>
      <c r="I49" s="1819"/>
      <c r="J49" s="1819"/>
      <c r="K49" s="1819"/>
      <c r="L49" s="1819"/>
      <c r="M49" s="1819"/>
      <c r="N49" s="1823" t="s">
        <v>1932</v>
      </c>
      <c r="O49" s="2188">
        <f>'Part I-Project Information'!O24</f>
        <v>7708627333</v>
      </c>
      <c r="P49" s="2188"/>
      <c r="Q49" s="1819"/>
      <c r="R49" s="1819"/>
      <c r="S49" s="1819"/>
      <c r="T49" s="1819"/>
      <c r="U49" s="1819"/>
    </row>
    <row r="50" spans="1:21" ht="13.8">
      <c r="A50" s="1821"/>
      <c r="B50" s="1819" t="s">
        <v>4113</v>
      </c>
      <c r="C50" s="1827"/>
      <c r="D50" s="1819"/>
      <c r="E50" s="1819"/>
      <c r="F50" s="1819"/>
      <c r="G50" s="1819"/>
      <c r="H50" s="1821"/>
      <c r="I50" s="1819"/>
      <c r="J50" s="1827"/>
      <c r="K50" s="1819"/>
      <c r="L50" s="1819"/>
      <c r="M50" s="1819"/>
      <c r="N50" s="1819"/>
      <c r="O50" s="1819"/>
      <c r="P50" s="1828"/>
      <c r="Q50" s="1819"/>
      <c r="R50" s="1819"/>
      <c r="S50" s="1819"/>
      <c r="T50" s="1819"/>
      <c r="U50" s="1819"/>
    </row>
    <row r="51" spans="1:21" ht="13.8">
      <c r="A51" s="1819"/>
      <c r="B51" s="1819" t="s">
        <v>3655</v>
      </c>
      <c r="C51" s="1819"/>
      <c r="D51" s="1819"/>
      <c r="E51" s="1819"/>
      <c r="F51" s="1819" t="str">
        <f>'Part I-Project Information'!F26</f>
        <v>TBG Residential</v>
      </c>
      <c r="G51" s="1819"/>
      <c r="H51" s="1819"/>
      <c r="I51" s="1819" t="s">
        <v>1753</v>
      </c>
      <c r="J51" s="1819" t="str">
        <f>'Part I-Project Information'!J26</f>
        <v xml:space="preserve">Amelia Johnson </v>
      </c>
      <c r="K51" s="1819"/>
      <c r="L51" s="1819"/>
      <c r="M51" s="1823" t="s">
        <v>1933</v>
      </c>
      <c r="N51" s="1819" t="str">
        <f>'Part I-Project Information'!N26</f>
        <v xml:space="preserve">VP of Development </v>
      </c>
      <c r="O51" s="1819"/>
      <c r="P51" s="1819"/>
      <c r="Q51" s="1819"/>
      <c r="R51" s="1819"/>
      <c r="S51" s="1819"/>
      <c r="T51" s="1819"/>
      <c r="U51" s="1819"/>
    </row>
    <row r="52" spans="1:21" ht="13.95" customHeight="1">
      <c r="A52" s="1819"/>
      <c r="B52" s="1823" t="s">
        <v>1934</v>
      </c>
      <c r="C52" s="1819"/>
      <c r="D52" s="1819"/>
      <c r="E52" s="1819"/>
      <c r="F52" s="1819" t="str">
        <f>'Part I-Project Information'!F27</f>
        <v>3825 Paces Walk SE, Suite 100</v>
      </c>
      <c r="G52" s="1819"/>
      <c r="H52" s="1819"/>
      <c r="I52" s="1819"/>
      <c r="J52" s="1819"/>
      <c r="K52" s="1819"/>
      <c r="L52" s="1819"/>
      <c r="M52" s="1849" t="s">
        <v>3654</v>
      </c>
      <c r="N52" s="1849"/>
      <c r="O52" s="1849"/>
      <c r="P52" s="1849"/>
      <c r="Q52" s="1819"/>
      <c r="R52" s="1819"/>
      <c r="S52" s="1819"/>
      <c r="T52" s="1819"/>
      <c r="U52" s="1819"/>
    </row>
    <row r="53" spans="1:21" ht="13.8">
      <c r="A53" s="1819"/>
      <c r="B53" s="1823" t="s">
        <v>600</v>
      </c>
      <c r="C53" s="1819"/>
      <c r="D53" s="1819"/>
      <c r="E53" s="1819"/>
      <c r="F53" s="1819" t="str">
        <f>'Part I-Project Information'!F28</f>
        <v xml:space="preserve">Atlanta </v>
      </c>
      <c r="G53" s="1819"/>
      <c r="H53" s="1819"/>
      <c r="I53" s="1823" t="s">
        <v>1754</v>
      </c>
      <c r="J53" s="1838" t="str">
        <f>'Part I-Project Information'!J28</f>
        <v>GA</v>
      </c>
      <c r="K53" s="1819"/>
      <c r="L53" s="1819"/>
      <c r="M53" s="1849"/>
      <c r="N53" s="1849"/>
      <c r="O53" s="1849"/>
      <c r="P53" s="1849"/>
      <c r="Q53" s="1819"/>
      <c r="R53" s="1819"/>
      <c r="S53" s="1819"/>
      <c r="T53" s="1819"/>
      <c r="U53" s="1819"/>
    </row>
    <row r="54" spans="1:21" ht="13.8">
      <c r="A54" s="1819"/>
      <c r="B54" s="1823" t="s">
        <v>2173</v>
      </c>
      <c r="C54" s="1819"/>
      <c r="D54" s="1819"/>
      <c r="E54" s="1819"/>
      <c r="F54" s="2187">
        <f>'Part I-Project Information'!F29</f>
        <v>303394002</v>
      </c>
      <c r="G54" s="2187"/>
      <c r="H54" s="2187"/>
      <c r="I54" s="1823" t="s">
        <v>1678</v>
      </c>
      <c r="J54" s="2188">
        <f>'Part I-Project Information'!J29</f>
        <v>6783245540</v>
      </c>
      <c r="K54" s="2188"/>
      <c r="L54" s="1821" t="s">
        <v>1677</v>
      </c>
      <c r="M54" s="1821">
        <f>'Part I-Project Information'!M29</f>
        <v>107</v>
      </c>
      <c r="N54" s="1823" t="s">
        <v>1679</v>
      </c>
      <c r="O54" s="2188">
        <f>'Part I-Project Information'!O29</f>
        <v>6783245556</v>
      </c>
      <c r="P54" s="2188"/>
      <c r="Q54" s="1819"/>
      <c r="R54" s="1819"/>
      <c r="S54" s="1819"/>
      <c r="T54" s="1819"/>
      <c r="U54" s="1819"/>
    </row>
    <row r="55" spans="1:21" ht="13.8">
      <c r="A55" s="1819"/>
      <c r="B55" s="1823" t="s">
        <v>1937</v>
      </c>
      <c r="C55" s="1819"/>
      <c r="D55" s="1819"/>
      <c r="E55" s="1819"/>
      <c r="F55" s="1819" t="str">
        <f>'Part I-Project Information'!F30</f>
        <v xml:space="preserve">ajohnson@tbgresidential.com </v>
      </c>
      <c r="G55" s="1819"/>
      <c r="H55" s="1819"/>
      <c r="I55" s="1819"/>
      <c r="J55" s="1819"/>
      <c r="K55" s="1819"/>
      <c r="L55" s="1819"/>
      <c r="M55" s="1819"/>
      <c r="N55" s="1823" t="s">
        <v>1932</v>
      </c>
      <c r="O55" s="2188">
        <f>'Part I-Project Information'!O30</f>
        <v>4045435337</v>
      </c>
      <c r="P55" s="2188"/>
      <c r="Q55" s="1819"/>
      <c r="R55" s="1819"/>
      <c r="S55" s="1819"/>
      <c r="T55" s="1819"/>
      <c r="U55" s="1819"/>
    </row>
    <row r="56" spans="1:21" ht="13.8">
      <c r="A56" s="1821"/>
      <c r="B56" s="1821"/>
      <c r="C56" s="1827"/>
      <c r="D56" s="1819"/>
      <c r="E56" s="1819"/>
      <c r="F56" s="1819"/>
      <c r="G56" s="1819"/>
      <c r="H56" s="1821"/>
      <c r="I56" s="1819"/>
      <c r="J56" s="1827"/>
      <c r="K56" s="1819"/>
      <c r="L56" s="1819"/>
      <c r="M56" s="1819"/>
      <c r="N56" s="1819"/>
      <c r="O56" s="1819"/>
      <c r="P56" s="1828"/>
      <c r="Q56" s="1819"/>
      <c r="R56" s="1819"/>
      <c r="S56" s="1819"/>
      <c r="T56" s="1819"/>
      <c r="U56" s="1819"/>
    </row>
    <row r="57" spans="1:21" ht="13.8">
      <c r="A57" s="1823" t="s">
        <v>1748</v>
      </c>
      <c r="B57" s="1819" t="s">
        <v>1443</v>
      </c>
      <c r="C57" s="1819"/>
      <c r="D57" s="1827"/>
      <c r="E57" s="1821"/>
      <c r="F57" s="1821"/>
      <c r="G57" s="1823"/>
      <c r="H57" s="1821"/>
      <c r="I57" s="1821"/>
      <c r="J57" s="1821"/>
      <c r="K57" s="1819"/>
      <c r="L57" s="1826"/>
      <c r="M57" s="1826"/>
      <c r="N57" s="1819"/>
      <c r="O57" s="1819"/>
      <c r="P57" s="1819"/>
      <c r="Q57" s="1819"/>
      <c r="R57" s="1819"/>
      <c r="S57" s="1819"/>
      <c r="T57" s="1819"/>
      <c r="U57" s="1819"/>
    </row>
    <row r="58" spans="1:21" ht="13.8">
      <c r="A58" s="1823"/>
      <c r="B58" s="1819"/>
      <c r="C58" s="1819"/>
      <c r="D58" s="1827"/>
      <c r="E58" s="1821"/>
      <c r="F58" s="1821"/>
      <c r="G58" s="1823"/>
      <c r="H58" s="1821"/>
      <c r="I58" s="1821"/>
      <c r="J58" s="1821"/>
      <c r="K58" s="1819"/>
      <c r="L58" s="1826"/>
      <c r="M58" s="1819"/>
      <c r="N58" s="1819"/>
      <c r="O58" s="1819"/>
      <c r="P58" s="1819"/>
      <c r="Q58" s="1819"/>
      <c r="R58" s="1819"/>
      <c r="S58" s="1819"/>
      <c r="T58" s="1819"/>
      <c r="U58" s="1819"/>
    </row>
    <row r="59" spans="1:21" ht="13.8">
      <c r="A59" s="1819"/>
      <c r="B59" s="1819" t="s">
        <v>599</v>
      </c>
      <c r="C59" s="1819"/>
      <c r="D59" s="1819"/>
      <c r="E59" s="1819"/>
      <c r="F59" s="1965" t="str">
        <f>'Part I-Project Information'!F34</f>
        <v>Harper Woods II</v>
      </c>
      <c r="G59" s="1965"/>
      <c r="H59" s="1965"/>
      <c r="I59" s="1965"/>
      <c r="J59" s="1965"/>
      <c r="K59" s="1965"/>
      <c r="L59" s="1823" t="s">
        <v>2142</v>
      </c>
      <c r="M59" s="1819"/>
      <c r="N59" s="1819"/>
      <c r="O59" s="1819" t="str">
        <f>'Part I-Project Information'!O34</f>
        <v>Yes- w/Master Plan</v>
      </c>
      <c r="P59" s="1819"/>
      <c r="Q59" s="1819"/>
      <c r="R59" s="1819"/>
      <c r="S59" s="1819"/>
      <c r="T59" s="1819"/>
      <c r="U59" s="1819"/>
    </row>
    <row r="60" spans="1:21" ht="13.8">
      <c r="A60" s="1826"/>
      <c r="B60" s="1819" t="s">
        <v>2620</v>
      </c>
      <c r="C60" s="1819"/>
      <c r="D60" s="1826"/>
      <c r="E60" s="1819"/>
      <c r="F60" s="1965" t="str">
        <f>'Part I-Project Information'!F35</f>
        <v xml:space="preserve">6000 Warm Springs Road </v>
      </c>
      <c r="G60" s="1965"/>
      <c r="H60" s="1965"/>
      <c r="I60" s="1965"/>
      <c r="J60" s="1965"/>
      <c r="K60" s="1965"/>
      <c r="L60" s="1819" t="s">
        <v>3506</v>
      </c>
      <c r="M60" s="1819"/>
      <c r="N60" s="1819"/>
      <c r="O60" s="1819" t="str">
        <f>'Part I-Project Information'!O35</f>
        <v>2019-006</v>
      </c>
      <c r="P60" s="1819"/>
      <c r="Q60" s="1819"/>
      <c r="R60" s="1819"/>
      <c r="S60" s="1819"/>
      <c r="T60" s="1819"/>
      <c r="U60" s="1819"/>
    </row>
    <row r="61" spans="1:21" ht="13.8">
      <c r="A61" s="1826"/>
      <c r="B61" s="1819" t="s">
        <v>6850</v>
      </c>
      <c r="C61" s="1819"/>
      <c r="D61" s="1826"/>
      <c r="E61" s="1819"/>
      <c r="F61" s="1965">
        <f>'Part I-Project Information'!F36</f>
        <v>0</v>
      </c>
      <c r="G61" s="1965"/>
      <c r="H61" s="1965"/>
      <c r="I61" s="1965"/>
      <c r="J61" s="1965"/>
      <c r="K61" s="1965"/>
      <c r="L61" s="1823" t="s">
        <v>2002</v>
      </c>
      <c r="M61" s="1819"/>
      <c r="N61" s="1821" t="str">
        <f>'Part I-Project Information'!N36</f>
        <v>No</v>
      </c>
      <c r="O61" s="1821" t="s">
        <v>3505</v>
      </c>
      <c r="P61" s="1821">
        <f>'Part I-Project Information'!P36</f>
        <v>1</v>
      </c>
      <c r="Q61" s="1819"/>
      <c r="R61" s="1819"/>
      <c r="S61" s="1819"/>
      <c r="T61" s="1819"/>
      <c r="U61" s="1819"/>
    </row>
    <row r="62" spans="1:21" ht="13.8">
      <c r="A62" s="1826"/>
      <c r="B62" s="1819" t="s">
        <v>3552</v>
      </c>
      <c r="C62" s="1819"/>
      <c r="D62" s="1826"/>
      <c r="E62" s="1819"/>
      <c r="F62" s="1819" t="s">
        <v>3535</v>
      </c>
      <c r="G62" s="2189">
        <f>'Part I-Project Information'!G37</f>
        <v>32.547725999999997</v>
      </c>
      <c r="H62" s="2189"/>
      <c r="I62" s="1821" t="s">
        <v>3536</v>
      </c>
      <c r="J62" s="2189">
        <f>'Part I-Project Information'!J37</f>
        <v>-84.888351</v>
      </c>
      <c r="K62" s="2189"/>
      <c r="L62" s="1823" t="s">
        <v>2225</v>
      </c>
      <c r="M62" s="1819"/>
      <c r="N62" s="1819"/>
      <c r="O62" s="2190">
        <f>'Part I-Project Information'!O37</f>
        <v>2.9340000000000002</v>
      </c>
      <c r="P62" s="2190"/>
      <c r="Q62" s="1819"/>
      <c r="R62" s="1819"/>
      <c r="S62" s="1819"/>
      <c r="T62" s="1819"/>
      <c r="U62" s="1819"/>
    </row>
    <row r="63" spans="1:21" ht="14.4">
      <c r="A63" s="1821"/>
      <c r="B63" s="1819" t="s">
        <v>600</v>
      </c>
      <c r="C63" s="1819"/>
      <c r="D63" s="1819"/>
      <c r="E63" s="1819"/>
      <c r="F63" s="1819" t="str">
        <f>'Part I-Project Information'!F38</f>
        <v>Columbus</v>
      </c>
      <c r="G63" s="1819"/>
      <c r="H63" s="1819"/>
      <c r="I63" s="1829" t="s">
        <v>6965</v>
      </c>
      <c r="J63" s="2187">
        <f>'Part I-Project Information'!J38</f>
        <v>319094312</v>
      </c>
      <c r="K63" s="2187"/>
      <c r="L63" s="1819" t="str">
        <f>IF(AND(NOT(F59=""),NOT(F63="Select from list"),J63=""),"Enter Zip!","")</f>
        <v/>
      </c>
      <c r="M63" s="1830" t="s">
        <v>2803</v>
      </c>
      <c r="N63" s="1819"/>
      <c r="O63" s="2067" t="str">
        <f>'Part I-Project Information'!O38</f>
        <v>101.06</v>
      </c>
      <c r="P63" s="1965"/>
      <c r="Q63" s="1819"/>
      <c r="R63" s="1819"/>
      <c r="S63" s="1819"/>
      <c r="T63" s="1819"/>
      <c r="U63" s="1819"/>
    </row>
    <row r="64" spans="1:21" ht="13.8">
      <c r="A64" s="1821"/>
      <c r="B64" s="1819" t="s">
        <v>4489</v>
      </c>
      <c r="C64" s="1819"/>
      <c r="D64" s="1819"/>
      <c r="E64" s="1819"/>
      <c r="F64" s="1819" t="str">
        <f>'Part I-Project Information'!F39</f>
        <v>Consolidated Government</v>
      </c>
      <c r="G64" s="1819"/>
      <c r="H64" s="1819"/>
      <c r="I64" s="1831" t="s">
        <v>601</v>
      </c>
      <c r="J64" s="1965" t="str">
        <f>'Part I-Project Information'!J39</f>
        <v>Muscogee</v>
      </c>
      <c r="K64" s="1965"/>
      <c r="L64" s="1819"/>
      <c r="M64" s="1823" t="s">
        <v>442</v>
      </c>
      <c r="N64" s="1832" t="str">
        <f>'Part I-Project Information'!N39</f>
        <v>No</v>
      </c>
      <c r="O64" s="1821" t="s">
        <v>443</v>
      </c>
      <c r="P64" s="1832" t="str">
        <f>'Part I-Project Information'!P39</f>
        <v>No</v>
      </c>
      <c r="Q64" s="1819"/>
      <c r="R64" s="1819"/>
      <c r="S64" s="1819"/>
      <c r="T64" s="1819"/>
      <c r="U64" s="1819"/>
    </row>
    <row r="65" spans="1:21" ht="13.8">
      <c r="A65" s="1821"/>
      <c r="B65" s="1819"/>
      <c r="C65" s="1819" t="s">
        <v>1525</v>
      </c>
      <c r="D65" s="1819"/>
      <c r="E65" s="1819"/>
      <c r="F65" s="1823" t="str">
        <f>'Part I-Project Information'!F40</f>
        <v>No</v>
      </c>
      <c r="G65" s="1819" t="s">
        <v>2690</v>
      </c>
      <c r="H65" s="1819"/>
      <c r="I65" s="1821" t="str">
        <f>'Part I-Project Information'!I40</f>
        <v>No</v>
      </c>
      <c r="J65" s="1821" t="s">
        <v>2708</v>
      </c>
      <c r="K65" s="1821" t="str">
        <f>'Part I-Project Information'!K40</f>
        <v>Urban</v>
      </c>
      <c r="L65" s="1819"/>
      <c r="M65" s="1823" t="s">
        <v>2544</v>
      </c>
      <c r="N65" s="1821" t="str">
        <f>'Part I-Project Information'!N40</f>
        <v>MSA</v>
      </c>
      <c r="O65" s="1819" t="str">
        <f>'Part I-Project Information'!O40</f>
        <v>Columbus</v>
      </c>
      <c r="P65" s="1819"/>
      <c r="Q65" s="1819"/>
      <c r="R65" s="1819"/>
      <c r="S65" s="1819"/>
      <c r="T65" s="1819"/>
      <c r="U65" s="1819"/>
    </row>
    <row r="66" spans="1:21" ht="13.8">
      <c r="A66" s="1821"/>
      <c r="B66" s="1819"/>
      <c r="C66" s="1819"/>
      <c r="D66" s="1819"/>
      <c r="E66" s="1819"/>
      <c r="F66" s="1819"/>
      <c r="G66" s="1819"/>
      <c r="H66" s="1819"/>
      <c r="I66" s="1823"/>
      <c r="J66" s="1819"/>
      <c r="K66" s="1819"/>
      <c r="L66" s="1832"/>
      <c r="M66" s="1832"/>
      <c r="N66" s="1832"/>
      <c r="O66" s="1832"/>
      <c r="P66" s="1832"/>
      <c r="Q66" s="1819"/>
      <c r="R66" s="1819"/>
      <c r="S66" s="1819"/>
      <c r="T66" s="1819"/>
      <c r="U66" s="1819"/>
    </row>
    <row r="67" spans="1:21" ht="13.8">
      <c r="A67" s="1821"/>
      <c r="B67" s="1819"/>
      <c r="C67" s="1819" t="s">
        <v>6966</v>
      </c>
      <c r="D67" s="1819"/>
      <c r="E67" s="1819"/>
      <c r="F67" s="1827" t="s">
        <v>2673</v>
      </c>
      <c r="G67" s="1827"/>
      <c r="H67" s="1819" t="s">
        <v>718</v>
      </c>
      <c r="I67" s="1819"/>
      <c r="J67" s="1819" t="s">
        <v>719</v>
      </c>
      <c r="K67" s="1819"/>
      <c r="L67" s="1887" t="s">
        <v>6967</v>
      </c>
      <c r="M67" s="1819"/>
      <c r="N67" s="1819"/>
      <c r="O67" s="1819"/>
      <c r="P67" s="1819"/>
      <c r="Q67" s="1819"/>
      <c r="R67" s="1819"/>
      <c r="S67" s="1819"/>
      <c r="T67" s="1819"/>
      <c r="U67" s="1819"/>
    </row>
    <row r="68" spans="1:21" ht="13.8">
      <c r="A68" s="1821"/>
      <c r="B68" s="1819" t="s">
        <v>6851</v>
      </c>
      <c r="C68" s="1819"/>
      <c r="D68" s="1819"/>
      <c r="E68" s="1819"/>
      <c r="F68" s="2191">
        <f>'Part I-Project Information'!F43</f>
        <v>2</v>
      </c>
      <c r="G68" s="2191"/>
      <c r="H68" s="2191">
        <f>'Part I-Project Information'!H43</f>
        <v>29</v>
      </c>
      <c r="I68" s="2191"/>
      <c r="J68" s="2191">
        <f>'Part I-Project Information'!J43</f>
        <v>136</v>
      </c>
      <c r="K68" s="2191"/>
      <c r="L68" s="1822" t="s">
        <v>1257</v>
      </c>
      <c r="M68" s="1819"/>
      <c r="N68" s="2063" t="s">
        <v>1258</v>
      </c>
      <c r="O68" s="2063"/>
      <c r="P68" s="2063"/>
      <c r="Q68" s="1819"/>
      <c r="R68" s="1819"/>
      <c r="S68" s="1819"/>
      <c r="T68" s="1819"/>
      <c r="U68" s="1819"/>
    </row>
    <row r="69" spans="1:21" ht="13.8">
      <c r="A69" s="1821"/>
      <c r="B69" s="1823" t="s">
        <v>720</v>
      </c>
      <c r="C69" s="1819"/>
      <c r="D69" s="1819"/>
      <c r="E69" s="1819"/>
      <c r="F69" s="2191">
        <f>'Part I-Project Information'!F44</f>
        <v>0</v>
      </c>
      <c r="G69" s="2191"/>
      <c r="H69" s="2191">
        <f>'Part I-Project Information'!H44</f>
        <v>0</v>
      </c>
      <c r="I69" s="2191"/>
      <c r="J69" s="2191">
        <f>'Part I-Project Information'!J44</f>
        <v>0</v>
      </c>
      <c r="K69" s="2191"/>
      <c r="L69" s="1822" t="s">
        <v>2671</v>
      </c>
      <c r="M69" s="1819"/>
      <c r="N69" s="2064" t="s">
        <v>2670</v>
      </c>
      <c r="O69" s="2064"/>
      <c r="P69" s="1819"/>
      <c r="Q69" s="1819"/>
      <c r="R69" s="1819"/>
      <c r="S69" s="1819"/>
      <c r="T69" s="1819"/>
      <c r="U69" s="1819"/>
    </row>
    <row r="70" spans="1:21" ht="13.8">
      <c r="A70" s="1821"/>
      <c r="B70" s="1819"/>
      <c r="C70" s="1819"/>
      <c r="D70" s="1819"/>
      <c r="E70" s="1819"/>
      <c r="F70" s="1819"/>
      <c r="G70" s="1819"/>
      <c r="H70" s="1819"/>
      <c r="I70" s="1832"/>
      <c r="J70" s="1832"/>
      <c r="K70" s="1832"/>
      <c r="L70" s="1819"/>
      <c r="M70" s="1819"/>
      <c r="N70" s="1819"/>
      <c r="O70" s="1819"/>
      <c r="P70" s="1819"/>
      <c r="Q70" s="1819"/>
      <c r="R70" s="1819"/>
      <c r="S70" s="1819"/>
      <c r="T70" s="1819"/>
      <c r="U70" s="1819"/>
    </row>
    <row r="71" spans="1:21" ht="13.8">
      <c r="A71" s="1821"/>
      <c r="B71" s="1819" t="s">
        <v>619</v>
      </c>
      <c r="C71" s="1819"/>
      <c r="D71" s="1819"/>
      <c r="E71" s="1819"/>
      <c r="F71" s="1882" t="str">
        <f>'Part I-Project Information'!F46</f>
        <v>Columbus Consolidated Government</v>
      </c>
      <c r="G71" s="1882"/>
      <c r="H71" s="1882"/>
      <c r="I71" s="1882"/>
      <c r="J71" s="1882"/>
      <c r="K71" s="1882"/>
      <c r="L71" s="1833" t="s">
        <v>2625</v>
      </c>
      <c r="M71" s="1819" t="str">
        <f>'Part I-Project Information'!M46</f>
        <v>www.columbusga.gov</v>
      </c>
      <c r="N71" s="1819"/>
      <c r="O71" s="1819"/>
      <c r="P71" s="1819"/>
      <c r="Q71" s="1819"/>
      <c r="R71" s="1819"/>
      <c r="S71" s="1819"/>
      <c r="T71" s="1819"/>
      <c r="U71" s="1819"/>
    </row>
    <row r="72" spans="1:21" ht="13.8">
      <c r="A72" s="1821"/>
      <c r="B72" s="1819" t="s">
        <v>620</v>
      </c>
      <c r="C72" s="1819"/>
      <c r="D72" s="1819"/>
      <c r="E72" s="1819"/>
      <c r="F72" s="1882" t="str">
        <f>'Part I-Project Information'!F47</f>
        <v>B.H. "Skip" Henderson III</v>
      </c>
      <c r="G72" s="1882"/>
      <c r="H72" s="1882"/>
      <c r="I72" s="1821" t="s">
        <v>1933</v>
      </c>
      <c r="J72" s="1819" t="str">
        <f>'Part I-Project Information'!J47</f>
        <v xml:space="preserve">Mayor </v>
      </c>
      <c r="K72" s="1819"/>
      <c r="L72" s="1833"/>
      <c r="M72" s="1819"/>
      <c r="N72" s="1819"/>
      <c r="O72" s="1819"/>
      <c r="P72" s="1819"/>
      <c r="Q72" s="1819"/>
      <c r="R72" s="1819"/>
      <c r="S72" s="1819"/>
      <c r="T72" s="1819"/>
      <c r="U72" s="1819"/>
    </row>
    <row r="73" spans="1:21" ht="13.8">
      <c r="A73" s="1821"/>
      <c r="B73" s="1819" t="s">
        <v>1934</v>
      </c>
      <c r="C73" s="1819"/>
      <c r="D73" s="1819"/>
      <c r="E73" s="1819"/>
      <c r="F73" s="1882" t="str">
        <f>'Part I-Project Information'!F48</f>
        <v>100 10th Street, 6th Floor, Government Town Center</v>
      </c>
      <c r="G73" s="1882"/>
      <c r="H73" s="1882"/>
      <c r="I73" s="1882"/>
      <c r="J73" s="1882"/>
      <c r="K73" s="1882"/>
      <c r="L73" s="1823" t="s">
        <v>600</v>
      </c>
      <c r="M73" s="1882" t="str">
        <f>'Part I-Project Information'!M48</f>
        <v>Columbus</v>
      </c>
      <c r="N73" s="1882"/>
      <c r="O73" s="1882"/>
      <c r="P73" s="1882"/>
      <c r="Q73" s="1819"/>
      <c r="R73" s="1819"/>
      <c r="S73" s="1819"/>
      <c r="T73" s="1819"/>
      <c r="U73" s="1819"/>
    </row>
    <row r="74" spans="1:21" ht="13.8">
      <c r="A74" s="1821"/>
      <c r="B74" s="1823" t="s">
        <v>2173</v>
      </c>
      <c r="C74" s="1819"/>
      <c r="D74" s="1819"/>
      <c r="E74" s="1819"/>
      <c r="F74" s="2187">
        <f>'Part I-Project Information'!F49</f>
        <v>319012736</v>
      </c>
      <c r="G74" s="2187"/>
      <c r="H74" s="1821" t="s">
        <v>1935</v>
      </c>
      <c r="I74" s="2188">
        <f>'Part I-Project Information'!I49</f>
        <v>7062254712</v>
      </c>
      <c r="J74" s="2188"/>
      <c r="K74" s="2188"/>
      <c r="L74" s="1823" t="s">
        <v>1755</v>
      </c>
      <c r="M74" s="1882" t="str">
        <f>'Part I-Project Information'!M49</f>
        <v xml:space="preserve">SkipHenderson@columbusga.org </v>
      </c>
      <c r="N74" s="1882"/>
      <c r="O74" s="1882"/>
      <c r="P74" s="1882"/>
      <c r="Q74" s="1819"/>
      <c r="R74" s="1819"/>
      <c r="S74" s="1819"/>
      <c r="T74" s="1819"/>
      <c r="U74" s="1819"/>
    </row>
    <row r="75" spans="1:21" ht="13.8">
      <c r="A75" s="1821"/>
      <c r="B75" s="1821"/>
      <c r="C75" s="1829"/>
      <c r="D75" s="1829"/>
      <c r="E75" s="1829"/>
      <c r="F75" s="1821"/>
      <c r="G75" s="1821"/>
      <c r="H75" s="1821"/>
      <c r="I75" s="1821"/>
      <c r="J75" s="1829"/>
      <c r="K75" s="1821"/>
      <c r="L75" s="1821"/>
      <c r="M75" s="1819"/>
      <c r="N75" s="1819"/>
      <c r="O75" s="1819"/>
      <c r="P75" s="1828"/>
      <c r="Q75" s="1819"/>
      <c r="R75" s="1819"/>
      <c r="S75" s="1819"/>
      <c r="T75" s="1819"/>
      <c r="U75" s="1819"/>
    </row>
    <row r="76" spans="1:21" ht="13.8">
      <c r="A76" s="1823" t="s">
        <v>1750</v>
      </c>
      <c r="B76" s="1819" t="s">
        <v>1444</v>
      </c>
      <c r="C76" s="1819"/>
      <c r="D76" s="1819"/>
      <c r="E76" s="1819"/>
      <c r="F76" s="1822"/>
      <c r="G76" s="1819"/>
      <c r="H76" s="1819"/>
      <c r="I76" s="1823"/>
      <c r="J76" s="1819"/>
      <c r="K76" s="1819"/>
      <c r="L76" s="1819"/>
      <c r="M76" s="1819"/>
      <c r="N76" s="1819"/>
      <c r="O76" s="1819"/>
      <c r="P76" s="1819"/>
      <c r="Q76" s="1819"/>
      <c r="R76" s="1819"/>
      <c r="S76" s="1819"/>
      <c r="T76" s="1819"/>
      <c r="U76" s="1819"/>
    </row>
    <row r="77" spans="1:21" ht="13.8">
      <c r="A77" s="1821"/>
      <c r="B77" s="1819"/>
      <c r="C77" s="1819"/>
      <c r="D77" s="1819"/>
      <c r="E77" s="1819"/>
      <c r="F77" s="1819"/>
      <c r="G77" s="1819"/>
      <c r="H77" s="1819"/>
      <c r="I77" s="1823"/>
      <c r="J77" s="1819"/>
      <c r="K77" s="1819"/>
      <c r="L77" s="1819"/>
      <c r="M77" s="1819"/>
      <c r="N77" s="1819"/>
      <c r="O77" s="1819"/>
      <c r="P77" s="1819"/>
      <c r="Q77" s="1819"/>
      <c r="R77" s="1819"/>
      <c r="S77" s="1819"/>
      <c r="T77" s="1819"/>
      <c r="U77" s="1819"/>
    </row>
    <row r="78" spans="1:21" ht="13.8">
      <c r="A78" s="1821"/>
      <c r="B78" s="1821" t="s">
        <v>1936</v>
      </c>
      <c r="C78" s="1819" t="s">
        <v>6852</v>
      </c>
      <c r="D78" s="1819"/>
      <c r="E78" s="1819"/>
      <c r="F78" s="1819"/>
      <c r="G78" s="1819"/>
      <c r="H78" s="1819"/>
      <c r="I78" s="1819"/>
      <c r="J78" s="1819"/>
      <c r="K78" s="1822"/>
      <c r="L78" s="1819"/>
      <c r="M78" s="2063"/>
      <c r="N78" s="2063"/>
      <c r="O78" s="2063"/>
      <c r="P78" s="2063"/>
      <c r="Q78" s="1821"/>
      <c r="R78" s="1819"/>
      <c r="S78" s="1819"/>
      <c r="T78" s="1819"/>
      <c r="U78" s="1819"/>
    </row>
    <row r="79" spans="1:21" ht="13.8">
      <c r="A79" s="1827"/>
      <c r="B79" s="1821"/>
      <c r="C79" s="1819" t="s">
        <v>2237</v>
      </c>
      <c r="D79" s="1819"/>
      <c r="E79" s="1819"/>
      <c r="F79" s="1827"/>
      <c r="G79" s="1827"/>
      <c r="H79" s="1834">
        <f>'Part I-Project Information'!H54</f>
        <v>72</v>
      </c>
      <c r="I79" s="1827"/>
      <c r="J79" s="1827"/>
      <c r="K79" s="1823" t="s">
        <v>3498</v>
      </c>
      <c r="L79" s="1819"/>
      <c r="M79" s="1955" t="s">
        <v>3497</v>
      </c>
      <c r="N79" s="1834">
        <f>'Part I-Project Information'!N54</f>
        <v>0</v>
      </c>
      <c r="O79" s="1868" t="s">
        <v>3251</v>
      </c>
      <c r="P79" s="1834">
        <f>'Part I-Project Information'!P54</f>
        <v>0</v>
      </c>
      <c r="Q79" s="1821"/>
      <c r="R79" s="1827"/>
      <c r="S79" s="1827"/>
      <c r="T79" s="1827"/>
      <c r="U79" s="1827"/>
    </row>
    <row r="80" spans="1:21" ht="13.8">
      <c r="A80" s="1821"/>
      <c r="B80" s="1821"/>
      <c r="C80" s="1835" t="s">
        <v>342</v>
      </c>
      <c r="D80" s="1819"/>
      <c r="E80" s="1819"/>
      <c r="F80" s="1819"/>
      <c r="G80" s="1819"/>
      <c r="H80" s="1834">
        <f>'Part I-Project Information'!H55</f>
        <v>0</v>
      </c>
      <c r="I80" s="1819"/>
      <c r="J80" s="1819"/>
      <c r="K80" s="1835" t="s">
        <v>360</v>
      </c>
      <c r="L80" s="1819"/>
      <c r="M80" s="1819"/>
      <c r="N80" s="1819"/>
      <c r="O80" s="1819"/>
      <c r="P80" s="1834">
        <f>'Part I-Project Information'!P55</f>
        <v>0</v>
      </c>
      <c r="Q80" s="1819"/>
      <c r="R80" s="1819"/>
      <c r="S80" s="1819"/>
      <c r="T80" s="1819"/>
      <c r="U80" s="1819"/>
    </row>
    <row r="81" spans="1:21" ht="13.8">
      <c r="A81" s="1819"/>
      <c r="B81" s="1821"/>
      <c r="C81" s="1823" t="s">
        <v>341</v>
      </c>
      <c r="D81" s="1819"/>
      <c r="E81" s="1819"/>
      <c r="F81" s="1819"/>
      <c r="G81" s="1819"/>
      <c r="H81" s="1834">
        <f>'Part I-Project Information'!H56</f>
        <v>0</v>
      </c>
      <c r="I81" s="1836" t="s">
        <v>2807</v>
      </c>
      <c r="J81" s="1819"/>
      <c r="K81" s="1819" t="s">
        <v>343</v>
      </c>
      <c r="L81" s="1819"/>
      <c r="M81" s="1819"/>
      <c r="N81" s="1819"/>
      <c r="O81" s="1819"/>
      <c r="P81" s="2192">
        <f>'Part I-Project Information'!P56</f>
        <v>0</v>
      </c>
      <c r="Q81" s="1821"/>
      <c r="R81" s="1819"/>
      <c r="S81" s="1819"/>
      <c r="T81" s="1819"/>
      <c r="U81" s="1819"/>
    </row>
    <row r="82" spans="1:21" ht="13.8">
      <c r="A82" s="1821"/>
      <c r="B82" s="1819"/>
      <c r="C82" s="1819"/>
      <c r="D82" s="1819"/>
      <c r="E82" s="1819"/>
      <c r="F82" s="1819"/>
      <c r="G82" s="1819"/>
      <c r="H82" s="1819"/>
      <c r="I82" s="1819"/>
      <c r="J82" s="1819"/>
      <c r="K82" s="1819"/>
      <c r="L82" s="1819"/>
      <c r="M82" s="1819"/>
      <c r="N82" s="1819"/>
      <c r="O82" s="1819"/>
      <c r="P82" s="1819"/>
      <c r="Q82" s="1819"/>
      <c r="R82" s="1819"/>
      <c r="S82" s="1819"/>
      <c r="T82" s="1819"/>
      <c r="U82" s="1819"/>
    </row>
    <row r="83" spans="1:21" ht="13.8">
      <c r="A83" s="1821"/>
      <c r="B83" s="1821" t="s">
        <v>1938</v>
      </c>
      <c r="C83" s="1819" t="s">
        <v>2238</v>
      </c>
      <c r="D83" s="1819"/>
      <c r="E83" s="1819"/>
      <c r="F83" s="1819"/>
      <c r="G83" s="1819"/>
      <c r="H83" s="1821" t="str">
        <f>'Part I-Project Information'!H58</f>
        <v>No</v>
      </c>
      <c r="I83" s="1819"/>
      <c r="J83" s="1819"/>
      <c r="K83" s="1819"/>
      <c r="L83" s="1819"/>
      <c r="M83" s="1819"/>
      <c r="N83" s="1819"/>
      <c r="O83" s="2063"/>
      <c r="P83" s="1822"/>
      <c r="Q83" s="1819"/>
      <c r="R83" s="1819"/>
      <c r="S83" s="1819"/>
      <c r="T83" s="1819"/>
      <c r="U83" s="1819"/>
    </row>
    <row r="84" spans="1:21" ht="13.8">
      <c r="A84" s="1821"/>
      <c r="B84" s="1819"/>
      <c r="C84" s="1819"/>
      <c r="D84" s="1819"/>
      <c r="E84" s="1819"/>
      <c r="F84" s="1819"/>
      <c r="G84" s="1819"/>
      <c r="H84" s="1819"/>
      <c r="I84" s="1819"/>
      <c r="J84" s="1822"/>
      <c r="K84" s="1837"/>
      <c r="L84" s="1822"/>
      <c r="M84" s="1837"/>
      <c r="N84" s="1837"/>
      <c r="O84" s="1837"/>
      <c r="P84" s="1837"/>
      <c r="Q84" s="1819"/>
      <c r="R84" s="1819"/>
      <c r="S84" s="1819"/>
      <c r="T84" s="1819"/>
      <c r="U84" s="1819"/>
    </row>
    <row r="85" spans="1:21" ht="13.8">
      <c r="A85" s="1821"/>
      <c r="B85" s="1826" t="s">
        <v>731</v>
      </c>
      <c r="C85" s="1819" t="s">
        <v>2218</v>
      </c>
      <c r="D85" s="1819"/>
      <c r="E85" s="1819"/>
      <c r="F85" s="1819"/>
      <c r="G85" s="1819"/>
      <c r="H85" s="1819"/>
      <c r="I85" s="1829" t="s">
        <v>3432</v>
      </c>
      <c r="J85" s="1826" t="s">
        <v>2065</v>
      </c>
      <c r="K85" s="1827" t="s">
        <v>2243</v>
      </c>
      <c r="L85" s="1819"/>
      <c r="M85" s="1819"/>
      <c r="N85" s="1819"/>
      <c r="O85" s="1819"/>
      <c r="P85" s="1821"/>
      <c r="Q85" s="1821"/>
      <c r="R85" s="1821"/>
      <c r="S85" s="1819"/>
      <c r="T85" s="1819"/>
      <c r="U85" s="1819"/>
    </row>
    <row r="86" spans="1:21" ht="13.8">
      <c r="A86" s="1821"/>
      <c r="B86" s="1838"/>
      <c r="C86" s="1827" t="s">
        <v>2219</v>
      </c>
      <c r="D86" s="1819"/>
      <c r="E86" s="1819"/>
      <c r="F86" s="1819"/>
      <c r="G86" s="1819"/>
      <c r="H86" s="1839">
        <f>SUM(H87:H93)</f>
        <v>72</v>
      </c>
      <c r="I86" s="1839">
        <f>SUM(I87:I93)</f>
        <v>0</v>
      </c>
      <c r="J86" s="1821"/>
      <c r="K86" s="1827" t="s">
        <v>2682</v>
      </c>
      <c r="L86" s="1819"/>
      <c r="M86" s="1819"/>
      <c r="N86" s="1819"/>
      <c r="O86" s="1819"/>
      <c r="P86" s="1839">
        <f>SUM(P87:P93)</f>
        <v>68000</v>
      </c>
      <c r="Q86" s="1819"/>
      <c r="R86" s="1819"/>
      <c r="S86" s="1819"/>
      <c r="T86" s="1819"/>
      <c r="U86" s="1819"/>
    </row>
    <row r="87" spans="1:21" ht="13.8">
      <c r="A87" s="1821"/>
      <c r="B87" s="1838"/>
      <c r="C87" s="1827"/>
      <c r="D87" s="1827" t="s">
        <v>4215</v>
      </c>
      <c r="E87" s="1819"/>
      <c r="F87" s="1819"/>
      <c r="G87" s="1819"/>
      <c r="H87" s="1834">
        <f>'Part I-Project Information'!H62</f>
        <v>14</v>
      </c>
      <c r="I87" s="1834">
        <f>'Part I-Project Information'!I62</f>
        <v>0</v>
      </c>
      <c r="J87" s="1821"/>
      <c r="K87" s="1827"/>
      <c r="L87" s="1827" t="s">
        <v>4215</v>
      </c>
      <c r="M87" s="1819"/>
      <c r="N87" s="1819"/>
      <c r="O87" s="1819"/>
      <c r="P87" s="1834">
        <f>'Part I-Project Information'!P62</f>
        <v>13000</v>
      </c>
      <c r="Q87" s="1819"/>
      <c r="R87" s="1819"/>
      <c r="S87" s="1819"/>
      <c r="T87" s="1819"/>
      <c r="U87" s="1819"/>
    </row>
    <row r="88" spans="1:21" ht="13.8">
      <c r="A88" s="1821"/>
      <c r="B88" s="1838"/>
      <c r="C88" s="1827"/>
      <c r="D88" s="1827" t="s">
        <v>4216</v>
      </c>
      <c r="E88" s="1819"/>
      <c r="F88" s="1819"/>
      <c r="G88" s="1819"/>
      <c r="H88" s="1834">
        <f>'Part I-Project Information'!H63</f>
        <v>0</v>
      </c>
      <c r="I88" s="1834">
        <f>'Part I-Project Information'!I63</f>
        <v>0</v>
      </c>
      <c r="J88" s="1821"/>
      <c r="K88" s="1827"/>
      <c r="L88" s="1827" t="s">
        <v>4216</v>
      </c>
      <c r="M88" s="1819"/>
      <c r="N88" s="1819"/>
      <c r="O88" s="1819"/>
      <c r="P88" s="1834">
        <f>'Part I-Project Information'!P63</f>
        <v>0</v>
      </c>
      <c r="Q88" s="1819"/>
      <c r="R88" s="1819"/>
      <c r="S88" s="1819"/>
      <c r="T88" s="1819"/>
      <c r="U88" s="1819"/>
    </row>
    <row r="89" spans="1:21" ht="13.8">
      <c r="A89" s="1821"/>
      <c r="B89" s="1827"/>
      <c r="C89" s="1819"/>
      <c r="D89" s="1827" t="s">
        <v>4213</v>
      </c>
      <c r="E89" s="1827"/>
      <c r="F89" s="1819"/>
      <c r="G89" s="1819"/>
      <c r="H89" s="1834">
        <f>'Part I-Project Information'!H64</f>
        <v>34</v>
      </c>
      <c r="I89" s="1834">
        <f>'Part I-Project Information'!I64</f>
        <v>0</v>
      </c>
      <c r="J89" s="1819"/>
      <c r="K89" s="1819"/>
      <c r="L89" s="1827" t="s">
        <v>4213</v>
      </c>
      <c r="M89" s="1819"/>
      <c r="N89" s="1819"/>
      <c r="O89" s="1819"/>
      <c r="P89" s="1834">
        <f>'Part I-Project Information'!P64</f>
        <v>32200</v>
      </c>
      <c r="Q89" s="1819"/>
      <c r="R89" s="1819"/>
      <c r="S89" s="1819"/>
      <c r="T89" s="1819"/>
      <c r="U89" s="1819"/>
    </row>
    <row r="90" spans="1:21" ht="13.8">
      <c r="A90" s="1821"/>
      <c r="B90" s="1819"/>
      <c r="C90" s="1819"/>
      <c r="D90" s="1827" t="s">
        <v>4214</v>
      </c>
      <c r="E90" s="1819"/>
      <c r="F90" s="1819"/>
      <c r="G90" s="1819"/>
      <c r="H90" s="1834">
        <f>'Part I-Project Information'!H65</f>
        <v>0</v>
      </c>
      <c r="I90" s="1834">
        <f>'Part I-Project Information'!I65</f>
        <v>0</v>
      </c>
      <c r="J90" s="1819"/>
      <c r="K90" s="1819"/>
      <c r="L90" s="1827" t="s">
        <v>4214</v>
      </c>
      <c r="M90" s="1819"/>
      <c r="N90" s="1819"/>
      <c r="O90" s="1819"/>
      <c r="P90" s="1834">
        <f>'Part I-Project Information'!P65</f>
        <v>0</v>
      </c>
      <c r="Q90" s="1819"/>
      <c r="R90" s="1819"/>
      <c r="S90" s="1819"/>
      <c r="T90" s="1819"/>
      <c r="U90" s="1819"/>
    </row>
    <row r="91" spans="1:21" ht="13.8">
      <c r="A91" s="1821"/>
      <c r="B91" s="1819"/>
      <c r="C91" s="1819"/>
      <c r="D91" s="1827" t="s">
        <v>4217</v>
      </c>
      <c r="E91" s="1827"/>
      <c r="F91" s="1819"/>
      <c r="G91" s="1819"/>
      <c r="H91" s="1834">
        <f>'Part I-Project Information'!H66</f>
        <v>24</v>
      </c>
      <c r="I91" s="1834">
        <f>'Part I-Project Information'!I66</f>
        <v>0</v>
      </c>
      <c r="J91" s="1819"/>
      <c r="K91" s="1819"/>
      <c r="L91" s="1827" t="s">
        <v>4217</v>
      </c>
      <c r="M91" s="1819"/>
      <c r="N91" s="1819"/>
      <c r="O91" s="1819"/>
      <c r="P91" s="1834">
        <f>'Part I-Project Information'!P66</f>
        <v>22800</v>
      </c>
      <c r="Q91" s="1819"/>
      <c r="R91" s="1819"/>
      <c r="S91" s="1819"/>
      <c r="T91" s="1819"/>
      <c r="U91" s="1819"/>
    </row>
    <row r="92" spans="1:21" ht="13.8">
      <c r="A92" s="1821"/>
      <c r="B92" s="1819"/>
      <c r="C92" s="1819"/>
      <c r="D92" s="1827" t="s">
        <v>4218</v>
      </c>
      <c r="E92" s="1827"/>
      <c r="F92" s="1819"/>
      <c r="G92" s="1819"/>
      <c r="H92" s="1834">
        <f>'Part I-Project Information'!H67</f>
        <v>0</v>
      </c>
      <c r="I92" s="1834">
        <f>'Part I-Project Information'!I67</f>
        <v>0</v>
      </c>
      <c r="J92" s="1819"/>
      <c r="K92" s="1819"/>
      <c r="L92" s="1827" t="s">
        <v>4218</v>
      </c>
      <c r="M92" s="1819"/>
      <c r="N92" s="1819"/>
      <c r="O92" s="1819"/>
      <c r="P92" s="1834">
        <f>'Part I-Project Information'!P67</f>
        <v>0</v>
      </c>
      <c r="Q92" s="1819"/>
      <c r="R92" s="1819"/>
      <c r="S92" s="1819"/>
      <c r="T92" s="1819"/>
      <c r="U92" s="1819"/>
    </row>
    <row r="93" spans="1:21" ht="13.8">
      <c r="A93" s="1821"/>
      <c r="B93" s="1819"/>
      <c r="C93" s="1819"/>
      <c r="D93" s="1827" t="s">
        <v>4219</v>
      </c>
      <c r="E93" s="1827"/>
      <c r="F93" s="1819"/>
      <c r="G93" s="1819"/>
      <c r="H93" s="1834">
        <f>'Part I-Project Information'!H68</f>
        <v>0</v>
      </c>
      <c r="I93" s="1834">
        <f>'Part I-Project Information'!I68</f>
        <v>0</v>
      </c>
      <c r="J93" s="1819"/>
      <c r="K93" s="1819"/>
      <c r="L93" s="1827" t="s">
        <v>4219</v>
      </c>
      <c r="M93" s="1819"/>
      <c r="N93" s="1819"/>
      <c r="O93" s="1819"/>
      <c r="P93" s="1834">
        <f>'Part I-Project Information'!P68</f>
        <v>0</v>
      </c>
      <c r="Q93" s="1819"/>
      <c r="R93" s="1819"/>
      <c r="S93" s="1819"/>
      <c r="T93" s="1819"/>
      <c r="U93" s="1819"/>
    </row>
    <row r="94" spans="1:21" ht="13.8">
      <c r="A94" s="1821"/>
      <c r="B94" s="1819"/>
      <c r="C94" s="1827" t="s">
        <v>248</v>
      </c>
      <c r="D94" s="1819"/>
      <c r="E94" s="1819"/>
      <c r="F94" s="1819"/>
      <c r="G94" s="1819"/>
      <c r="H94" s="1839">
        <f>'Part VI-Revenues &amp; Expenses'!$P$64</f>
        <v>0</v>
      </c>
      <c r="I94" s="1819"/>
      <c r="J94" s="1821"/>
      <c r="K94" s="1827" t="s">
        <v>2683</v>
      </c>
      <c r="L94" s="1819"/>
      <c r="M94" s="1819"/>
      <c r="N94" s="1819"/>
      <c r="O94" s="1819"/>
      <c r="P94" s="1839">
        <f>'Part VI-Revenues &amp; Expenses'!$P$167</f>
        <v>0</v>
      </c>
      <c r="Q94" s="1819"/>
      <c r="R94" s="1819"/>
      <c r="S94" s="1819"/>
      <c r="T94" s="1819"/>
      <c r="U94" s="1819"/>
    </row>
    <row r="95" spans="1:21" ht="13.8">
      <c r="A95" s="1821"/>
      <c r="B95" s="1819"/>
      <c r="C95" s="1827" t="s">
        <v>2345</v>
      </c>
      <c r="D95" s="1819"/>
      <c r="E95" s="1819"/>
      <c r="F95" s="1819"/>
      <c r="G95" s="1819"/>
      <c r="H95" s="1839">
        <f>H86+H94</f>
        <v>72</v>
      </c>
      <c r="I95" s="1819"/>
      <c r="J95" s="1821"/>
      <c r="K95" s="1827" t="s">
        <v>2684</v>
      </c>
      <c r="L95" s="1819"/>
      <c r="M95" s="1819"/>
      <c r="N95" s="1819"/>
      <c r="O95" s="1819"/>
      <c r="P95" s="1839">
        <f>P86+P94</f>
        <v>68000</v>
      </c>
      <c r="Q95" s="1819"/>
      <c r="R95" s="1819"/>
      <c r="S95" s="1819"/>
      <c r="T95" s="1819"/>
      <c r="U95" s="1819"/>
    </row>
    <row r="96" spans="1:21" ht="13.8">
      <c r="A96" s="1821"/>
      <c r="B96" s="1819"/>
      <c r="C96" s="1827" t="s">
        <v>2346</v>
      </c>
      <c r="D96" s="1819"/>
      <c r="E96" s="1819"/>
      <c r="F96" s="1819"/>
      <c r="G96" s="1819"/>
      <c r="H96" s="1839">
        <f>'Part VI-Revenues &amp; Expenses'!$P$66</f>
        <v>0</v>
      </c>
      <c r="I96" s="1819"/>
      <c r="J96" s="1821"/>
      <c r="K96" s="1827" t="s">
        <v>2685</v>
      </c>
      <c r="L96" s="1819"/>
      <c r="M96" s="1819"/>
      <c r="N96" s="1819"/>
      <c r="O96" s="1819"/>
      <c r="P96" s="1839">
        <f>'Part VI-Revenues &amp; Expenses'!$P$169</f>
        <v>0</v>
      </c>
      <c r="Q96" s="1819"/>
      <c r="R96" s="1819"/>
      <c r="S96" s="1819"/>
      <c r="T96" s="1819"/>
      <c r="U96" s="1819"/>
    </row>
    <row r="97" spans="1:21" ht="13.8">
      <c r="A97" s="1821"/>
      <c r="B97" s="1819"/>
      <c r="C97" s="1827" t="s">
        <v>1749</v>
      </c>
      <c r="D97" s="1819"/>
      <c r="E97" s="1819"/>
      <c r="F97" s="1819"/>
      <c r="G97" s="1819"/>
      <c r="H97" s="1839">
        <f>+H95+H96</f>
        <v>72</v>
      </c>
      <c r="I97" s="1819"/>
      <c r="J97" s="1819"/>
      <c r="K97" s="1827" t="s">
        <v>1392</v>
      </c>
      <c r="L97" s="1819"/>
      <c r="M97" s="1819"/>
      <c r="N97" s="1819"/>
      <c r="O97" s="1819"/>
      <c r="P97" s="1839">
        <f>+P95+P96</f>
        <v>68000</v>
      </c>
      <c r="Q97" s="1819"/>
      <c r="R97" s="1819"/>
      <c r="S97" s="1819"/>
      <c r="T97" s="1819"/>
      <c r="U97" s="1819"/>
    </row>
    <row r="98" spans="1:21" ht="13.8">
      <c r="A98" s="1821"/>
      <c r="B98" s="1819"/>
      <c r="C98" s="1819"/>
      <c r="D98" s="1819"/>
      <c r="E98" s="1819"/>
      <c r="F98" s="1819"/>
      <c r="G98" s="1819"/>
      <c r="H98" s="1819"/>
      <c r="I98" s="1821"/>
      <c r="J98" s="1819"/>
      <c r="K98" s="1819"/>
      <c r="L98" s="1821"/>
      <c r="M98" s="1821"/>
      <c r="N98" s="1819"/>
      <c r="O98" s="1819"/>
      <c r="P98" s="1828"/>
      <c r="Q98" s="1819"/>
      <c r="R98" s="1819"/>
      <c r="S98" s="1819"/>
      <c r="T98" s="1819"/>
      <c r="U98" s="1819"/>
    </row>
    <row r="99" spans="1:21" ht="13.8">
      <c r="A99" s="1821"/>
      <c r="B99" s="1821" t="s">
        <v>1692</v>
      </c>
      <c r="C99" s="1819" t="s">
        <v>2239</v>
      </c>
      <c r="D99" s="1827" t="s">
        <v>1949</v>
      </c>
      <c r="E99" s="1819"/>
      <c r="F99" s="1819"/>
      <c r="G99" s="1819"/>
      <c r="H99" s="1839">
        <f>'Part I-Project Information'!H74</f>
        <v>1</v>
      </c>
      <c r="I99" s="1819"/>
      <c r="J99" s="1819"/>
      <c r="K99" s="1827" t="s">
        <v>6816</v>
      </c>
      <c r="L99" s="1819"/>
      <c r="M99" s="1819"/>
      <c r="N99" s="1819"/>
      <c r="O99" s="1819"/>
      <c r="P99" s="1839">
        <f>'Part I-Project Information'!P74</f>
        <v>2575</v>
      </c>
      <c r="Q99" s="1819"/>
      <c r="R99" s="1819"/>
      <c r="S99" s="1819"/>
      <c r="T99" s="1819"/>
      <c r="U99" s="1819"/>
    </row>
    <row r="100" spans="1:21" ht="13.8">
      <c r="A100" s="1821"/>
      <c r="B100" s="1821"/>
      <c r="C100" s="1819"/>
      <c r="D100" s="1838" t="s">
        <v>1950</v>
      </c>
      <c r="E100" s="1819"/>
      <c r="F100" s="1819"/>
      <c r="G100" s="1819"/>
      <c r="H100" s="1839">
        <f>'Part I-Project Information'!H75</f>
        <v>0</v>
      </c>
      <c r="I100" s="1819"/>
      <c r="J100" s="1819"/>
      <c r="K100" s="1827" t="s">
        <v>247</v>
      </c>
      <c r="L100" s="1819"/>
      <c r="M100" s="1819"/>
      <c r="N100" s="1819"/>
      <c r="O100" s="1819"/>
      <c r="P100" s="1839">
        <f>+P97+P99</f>
        <v>70575</v>
      </c>
      <c r="Q100" s="1819"/>
      <c r="R100" s="1819"/>
      <c r="S100" s="1819"/>
      <c r="T100" s="1819"/>
      <c r="U100" s="1819"/>
    </row>
    <row r="101" spans="1:21" ht="13.8">
      <c r="A101" s="1821"/>
      <c r="B101" s="1821"/>
      <c r="C101" s="1819"/>
      <c r="D101" s="1838" t="s">
        <v>1951</v>
      </c>
      <c r="E101" s="1819"/>
      <c r="F101" s="1819"/>
      <c r="G101" s="1819"/>
      <c r="H101" s="1839">
        <f>+H99+H100</f>
        <v>1</v>
      </c>
      <c r="I101" s="1819"/>
      <c r="J101" s="1819"/>
      <c r="K101" s="1819"/>
      <c r="L101" s="1819"/>
      <c r="M101" s="1819"/>
      <c r="N101" s="1819"/>
      <c r="O101" s="1819"/>
      <c r="P101" s="1819"/>
      <c r="Q101" s="1819"/>
      <c r="R101" s="1819"/>
      <c r="S101" s="1819"/>
      <c r="T101" s="1819"/>
      <c r="U101" s="1819"/>
    </row>
    <row r="102" spans="1:21" ht="13.8">
      <c r="A102" s="1821"/>
      <c r="B102" s="1821"/>
      <c r="C102" s="1819"/>
      <c r="D102" s="1819"/>
      <c r="E102" s="1819"/>
      <c r="F102" s="1819"/>
      <c r="G102" s="1821"/>
      <c r="H102" s="1819"/>
      <c r="I102" s="1827"/>
      <c r="J102" s="1819"/>
      <c r="K102" s="1819"/>
      <c r="L102" s="1819"/>
      <c r="M102" s="1819"/>
      <c r="N102" s="1819"/>
      <c r="O102" s="1819"/>
      <c r="P102" s="1828"/>
      <c r="Q102" s="1819"/>
      <c r="R102" s="1819"/>
      <c r="S102" s="1819"/>
      <c r="T102" s="1819"/>
      <c r="U102" s="1819"/>
    </row>
    <row r="103" spans="1:21" ht="13.95" customHeight="1">
      <c r="A103" s="1821"/>
      <c r="B103" s="1821" t="s">
        <v>1693</v>
      </c>
      <c r="C103" s="1819" t="s">
        <v>2743</v>
      </c>
      <c r="D103" s="1819"/>
      <c r="E103" s="1819"/>
      <c r="F103" s="1819"/>
      <c r="G103" s="1819"/>
      <c r="H103" s="1839">
        <f>'Part I-Project Information'!H78</f>
        <v>99</v>
      </c>
      <c r="I103" s="1819"/>
      <c r="J103" s="1819"/>
      <c r="K103" s="1844" t="s">
        <v>3635</v>
      </c>
      <c r="L103" s="1844"/>
      <c r="M103" s="1844"/>
      <c r="N103" s="1844"/>
      <c r="O103" s="1844"/>
      <c r="P103" s="1844"/>
      <c r="Q103" s="1819"/>
      <c r="R103" s="1819"/>
      <c r="S103" s="1819"/>
      <c r="T103" s="1819"/>
      <c r="U103" s="1819"/>
    </row>
    <row r="104" spans="1:21" ht="13.8">
      <c r="A104" s="1821"/>
      <c r="B104" s="1821"/>
      <c r="C104" s="1827"/>
      <c r="D104" s="1819"/>
      <c r="E104" s="1819"/>
      <c r="F104" s="1819"/>
      <c r="G104" s="1821"/>
      <c r="H104" s="1819"/>
      <c r="I104" s="1827"/>
      <c r="J104" s="1827"/>
      <c r="K104" s="1844"/>
      <c r="L104" s="1844"/>
      <c r="M104" s="1844"/>
      <c r="N104" s="1844"/>
      <c r="O104" s="1844"/>
      <c r="P104" s="1844"/>
      <c r="Q104" s="1819"/>
      <c r="R104" s="1819"/>
      <c r="S104" s="1819"/>
      <c r="T104" s="1819"/>
      <c r="U104" s="1819"/>
    </row>
    <row r="105" spans="1:21" ht="13.8">
      <c r="A105" s="1821" t="s">
        <v>516</v>
      </c>
      <c r="B105" s="1827" t="s">
        <v>1166</v>
      </c>
      <c r="C105" s="1819"/>
      <c r="D105" s="1827"/>
      <c r="E105" s="1827"/>
      <c r="F105" s="1819"/>
      <c r="G105" s="1821"/>
      <c r="H105" s="1819"/>
      <c r="I105" s="1819"/>
      <c r="J105" s="1819"/>
      <c r="K105" s="1844"/>
      <c r="L105" s="1844"/>
      <c r="M105" s="1844"/>
      <c r="N105" s="1844"/>
      <c r="O105" s="1844"/>
      <c r="P105" s="1844"/>
      <c r="Q105" s="1819"/>
      <c r="R105" s="1819"/>
      <c r="S105" s="1819"/>
      <c r="T105" s="1819"/>
      <c r="U105" s="1819"/>
    </row>
    <row r="106" spans="1:21" ht="13.8">
      <c r="A106" s="1821"/>
      <c r="B106" s="1819"/>
      <c r="C106" s="1838"/>
      <c r="D106" s="1838"/>
      <c r="E106" s="1838"/>
      <c r="F106" s="1819"/>
      <c r="G106" s="1821"/>
      <c r="H106" s="1819"/>
      <c r="I106" s="1819"/>
      <c r="J106" s="1819"/>
      <c r="K106" s="1819"/>
      <c r="L106" s="1819"/>
      <c r="M106" s="1819"/>
      <c r="N106" s="1819"/>
      <c r="O106" s="1819"/>
      <c r="P106" s="1828"/>
      <c r="Q106" s="1819"/>
      <c r="R106" s="1819"/>
      <c r="S106" s="1819"/>
      <c r="T106" s="1819"/>
      <c r="U106" s="1819"/>
    </row>
    <row r="107" spans="1:21" ht="13.8">
      <c r="A107" s="1821"/>
      <c r="B107" s="1821" t="s">
        <v>1936</v>
      </c>
      <c r="C107" s="1823" t="s">
        <v>6817</v>
      </c>
      <c r="D107" s="1838"/>
      <c r="E107" s="1838"/>
      <c r="F107" s="1819"/>
      <c r="G107" s="1821"/>
      <c r="H107" s="1819" t="str">
        <f>'Part I-Project Information'!H82</f>
        <v>HFOP</v>
      </c>
      <c r="I107" s="1819"/>
      <c r="J107" s="1819"/>
      <c r="K107" s="1819" t="s">
        <v>1728</v>
      </c>
      <c r="L107" s="1819"/>
      <c r="M107" s="1819">
        <f>'Part I-Project Information'!M82</f>
        <v>0</v>
      </c>
      <c r="N107" s="1819"/>
      <c r="O107" s="1819"/>
      <c r="P107" s="1819"/>
      <c r="Q107" s="1819"/>
      <c r="R107" s="1819"/>
      <c r="S107" s="1819"/>
      <c r="T107" s="1819"/>
      <c r="U107" s="1819"/>
    </row>
    <row r="108" spans="1:21" ht="13.8">
      <c r="A108" s="1821"/>
      <c r="B108" s="1821"/>
      <c r="C108" s="1819"/>
      <c r="D108" s="1838"/>
      <c r="E108" s="1838"/>
      <c r="F108" s="1838"/>
      <c r="G108" s="1838"/>
      <c r="H108" s="1819"/>
      <c r="I108" s="1821"/>
      <c r="J108" s="1819"/>
      <c r="K108" s="1823"/>
      <c r="L108" s="1823"/>
      <c r="M108" s="1821"/>
      <c r="N108" s="1819"/>
      <c r="O108" s="1819"/>
      <c r="P108" s="1828"/>
      <c r="Q108" s="1819"/>
      <c r="R108" s="1819"/>
      <c r="S108" s="1819"/>
      <c r="T108" s="1819"/>
      <c r="U108" s="1819"/>
    </row>
    <row r="109" spans="1:21" ht="13.95" customHeight="1">
      <c r="A109" s="1821"/>
      <c r="B109" s="1821"/>
      <c r="C109" s="1819"/>
      <c r="D109" s="1819"/>
      <c r="E109" s="1838"/>
      <c r="F109" s="1819"/>
      <c r="G109" s="1819"/>
      <c r="H109" s="1819"/>
      <c r="I109" s="1819"/>
      <c r="J109" s="1819"/>
      <c r="K109" s="1844" t="s">
        <v>4390</v>
      </c>
      <c r="L109" s="1840" t="s">
        <v>2808</v>
      </c>
      <c r="M109" s="1839">
        <f>'Part I-Project Information'!M84</f>
        <v>0</v>
      </c>
      <c r="N109" s="1840" t="s">
        <v>2809</v>
      </c>
      <c r="O109" s="1839">
        <f>'Part I-Project Information'!O84</f>
        <v>0</v>
      </c>
      <c r="P109" s="1823" t="s">
        <v>4389</v>
      </c>
      <c r="Q109" s="1819"/>
      <c r="R109" s="1819"/>
      <c r="S109" s="1819"/>
      <c r="T109" s="1819"/>
      <c r="U109" s="1819"/>
    </row>
    <row r="110" spans="1:21" ht="13.8">
      <c r="A110" s="1821"/>
      <c r="B110" s="1821"/>
      <c r="C110" s="1819"/>
      <c r="D110" s="1823"/>
      <c r="E110" s="1838"/>
      <c r="F110" s="1819"/>
      <c r="G110" s="1819"/>
      <c r="H110" s="1819"/>
      <c r="I110" s="1819"/>
      <c r="J110" s="1844"/>
      <c r="K110" s="1844"/>
      <c r="L110" s="1826" t="s">
        <v>2810</v>
      </c>
      <c r="M110" s="1839">
        <f>'Part I-Project Information'!M85</f>
        <v>72</v>
      </c>
      <c r="N110" s="1826" t="s">
        <v>3651</v>
      </c>
      <c r="O110" s="1839">
        <f>'Part I-Project Information'!O85</f>
        <v>0</v>
      </c>
      <c r="P110" s="1839">
        <f>'Part I-Project Information'!P85</f>
        <v>0</v>
      </c>
      <c r="Q110" s="1819"/>
      <c r="R110" s="1819"/>
      <c r="S110" s="1819"/>
      <c r="T110" s="1819"/>
      <c r="U110" s="1819"/>
    </row>
    <row r="111" spans="1:21" ht="13.8">
      <c r="A111" s="1821"/>
      <c r="B111" s="1821"/>
      <c r="C111" s="1819"/>
      <c r="D111" s="1838"/>
      <c r="E111" s="1838"/>
      <c r="F111" s="1838"/>
      <c r="G111" s="1838"/>
      <c r="H111" s="1819"/>
      <c r="I111" s="1821"/>
      <c r="J111" s="1819"/>
      <c r="K111" s="1823"/>
      <c r="L111" s="1823"/>
      <c r="M111" s="1821"/>
      <c r="N111" s="1819"/>
      <c r="O111" s="1819"/>
      <c r="P111" s="1828"/>
      <c r="Q111" s="1819"/>
      <c r="R111" s="1819"/>
      <c r="S111" s="1819"/>
      <c r="T111" s="1819"/>
      <c r="U111" s="1819"/>
    </row>
    <row r="112" spans="1:21" ht="13.8">
      <c r="A112" s="1821"/>
      <c r="B112" s="1821" t="s">
        <v>1938</v>
      </c>
      <c r="C112" s="1819" t="s">
        <v>1384</v>
      </c>
      <c r="D112" s="1819"/>
      <c r="E112" s="1827"/>
      <c r="F112" s="1838" t="s">
        <v>776</v>
      </c>
      <c r="G112" s="1819"/>
      <c r="H112" s="1834">
        <f>'Part I-Project Information'!H87</f>
        <v>4</v>
      </c>
      <c r="I112" s="1819"/>
      <c r="J112" s="1819"/>
      <c r="K112" s="1819" t="s">
        <v>506</v>
      </c>
      <c r="L112" s="1819"/>
      <c r="M112" s="1819"/>
      <c r="N112" s="1841">
        <f>'Part I-Project Information'!N87</f>
        <v>5.5555555555555552E-2</v>
      </c>
      <c r="O112" s="1826" t="s">
        <v>3517</v>
      </c>
      <c r="P112" s="1842">
        <f>'DCA Underwriting Assumptions'!$Q$154</f>
        <v>0.05</v>
      </c>
      <c r="Q112" s="1819"/>
      <c r="R112" s="1819"/>
      <c r="S112" s="1819"/>
      <c r="T112" s="1819"/>
      <c r="U112" s="1819"/>
    </row>
    <row r="113" spans="1:21" ht="13.8">
      <c r="A113" s="1821"/>
      <c r="B113" s="1821"/>
      <c r="C113" s="1819"/>
      <c r="D113" s="1838" t="s">
        <v>2741</v>
      </c>
      <c r="E113" s="1838"/>
      <c r="F113" s="1838" t="s">
        <v>776</v>
      </c>
      <c r="G113" s="1819"/>
      <c r="H113" s="1834">
        <f>'Part I-Project Information'!H88</f>
        <v>2</v>
      </c>
      <c r="I113" s="1819"/>
      <c r="J113" s="1819"/>
      <c r="K113" s="1819" t="s">
        <v>2742</v>
      </c>
      <c r="L113" s="1819"/>
      <c r="M113" s="1819"/>
      <c r="N113" s="1841">
        <f>'Part I-Project Information'!N88</f>
        <v>0.5</v>
      </c>
      <c r="O113" s="1826" t="s">
        <v>3517</v>
      </c>
      <c r="P113" s="1842">
        <f>'DCA Underwriting Assumptions'!$Q$155</f>
        <v>0.4</v>
      </c>
      <c r="Q113" s="1819"/>
      <c r="R113" s="1819"/>
      <c r="S113" s="1819"/>
      <c r="T113" s="1819"/>
      <c r="U113" s="1819"/>
    </row>
    <row r="114" spans="1:21" ht="13.8">
      <c r="A114" s="1821"/>
      <c r="B114" s="1821"/>
      <c r="C114" s="1819"/>
      <c r="D114" s="1838"/>
      <c r="E114" s="1838"/>
      <c r="F114" s="1838"/>
      <c r="G114" s="1819"/>
      <c r="H114" s="1819"/>
      <c r="I114" s="1821"/>
      <c r="J114" s="1819"/>
      <c r="K114" s="1823"/>
      <c r="L114" s="1823"/>
      <c r="M114" s="1821"/>
      <c r="N114" s="1821"/>
      <c r="O114" s="1819"/>
      <c r="P114" s="1821"/>
      <c r="Q114" s="1819"/>
      <c r="R114" s="1819"/>
      <c r="S114" s="1819"/>
      <c r="T114" s="1819"/>
      <c r="U114" s="1819"/>
    </row>
    <row r="115" spans="1:21" ht="13.8">
      <c r="A115" s="1821"/>
      <c r="B115" s="1821" t="s">
        <v>731</v>
      </c>
      <c r="C115" s="1819" t="s">
        <v>1798</v>
      </c>
      <c r="D115" s="1827"/>
      <c r="E115" s="1827"/>
      <c r="F115" s="1838" t="s">
        <v>776</v>
      </c>
      <c r="G115" s="1819"/>
      <c r="H115" s="1834">
        <f>'Part I-Project Information'!H90</f>
        <v>2</v>
      </c>
      <c r="I115" s="1819"/>
      <c r="J115" s="1819"/>
      <c r="K115" s="1819" t="s">
        <v>506</v>
      </c>
      <c r="L115" s="1819"/>
      <c r="M115" s="1819"/>
      <c r="N115" s="1841">
        <f>'Part I-Project Information'!N90</f>
        <v>2.7777777777777776E-2</v>
      </c>
      <c r="O115" s="1826" t="s">
        <v>3517</v>
      </c>
      <c r="P115" s="1842">
        <f>'DCA Underwriting Assumptions'!$Q$156</f>
        <v>0.02</v>
      </c>
      <c r="Q115" s="1819"/>
      <c r="R115" s="1819"/>
      <c r="S115" s="1819"/>
      <c r="T115" s="1819"/>
      <c r="U115" s="1819"/>
    </row>
    <row r="116" spans="1:21" ht="13.8">
      <c r="A116" s="1821"/>
      <c r="B116" s="1821"/>
      <c r="C116" s="1819"/>
      <c r="D116" s="1838"/>
      <c r="E116" s="1838"/>
      <c r="F116" s="1838"/>
      <c r="G116" s="1838"/>
      <c r="H116" s="1819"/>
      <c r="I116" s="1821"/>
      <c r="J116" s="1821"/>
      <c r="K116" s="1821"/>
      <c r="L116" s="1821"/>
      <c r="M116" s="1821"/>
      <c r="N116" s="1819"/>
      <c r="O116" s="1819"/>
      <c r="P116" s="1828"/>
      <c r="Q116" s="1819"/>
      <c r="R116" s="1819"/>
      <c r="S116" s="1819"/>
      <c r="T116" s="1819"/>
      <c r="U116" s="1819"/>
    </row>
    <row r="117" spans="1:21" ht="13.8">
      <c r="A117" s="1827" t="s">
        <v>754</v>
      </c>
      <c r="B117" s="1838" t="s">
        <v>4325</v>
      </c>
      <c r="C117" s="1819"/>
      <c r="D117" s="1838"/>
      <c r="E117" s="1838"/>
      <c r="F117" s="1838"/>
      <c r="G117" s="1838"/>
      <c r="H117" s="1838"/>
      <c r="I117" s="1821"/>
      <c r="J117" s="1819"/>
      <c r="K117" s="1819"/>
      <c r="L117" s="1819"/>
      <c r="M117" s="1821"/>
      <c r="N117" s="1819"/>
      <c r="O117" s="1819"/>
      <c r="P117" s="1828"/>
      <c r="Q117" s="1819"/>
      <c r="R117" s="1819"/>
      <c r="S117" s="1819"/>
      <c r="T117" s="1819"/>
      <c r="U117" s="1819"/>
    </row>
    <row r="118" spans="1:21" ht="13.8">
      <c r="A118" s="1821"/>
      <c r="B118" s="1821"/>
      <c r="C118" s="1838"/>
      <c r="D118" s="1838"/>
      <c r="E118" s="1838"/>
      <c r="F118" s="1838"/>
      <c r="G118" s="1819"/>
      <c r="H118" s="1819"/>
      <c r="I118" s="1819"/>
      <c r="J118" s="1819"/>
      <c r="K118" s="1819"/>
      <c r="L118" s="1821"/>
      <c r="M118" s="1821"/>
      <c r="N118" s="1819"/>
      <c r="O118" s="1819"/>
      <c r="P118" s="1819"/>
      <c r="Q118" s="1819"/>
      <c r="R118" s="1819"/>
      <c r="S118" s="1819"/>
      <c r="T118" s="1819"/>
      <c r="U118" s="1819"/>
    </row>
    <row r="119" spans="1:21" ht="13.8">
      <c r="A119" s="1821"/>
      <c r="B119" s="1821" t="s">
        <v>1936</v>
      </c>
      <c r="C119" s="1823" t="s">
        <v>2316</v>
      </c>
      <c r="D119" s="1838"/>
      <c r="E119" s="1819"/>
      <c r="F119" s="1823"/>
      <c r="G119" s="1819"/>
      <c r="H119" s="1819"/>
      <c r="I119" s="1819"/>
      <c r="J119" s="1819"/>
      <c r="K119" s="1819" t="str">
        <f>'Part I-Project Information'!K94</f>
        <v>Income Averaging</v>
      </c>
      <c r="L119" s="1819"/>
      <c r="M119" s="1819"/>
      <c r="N119" s="1819"/>
      <c r="O119" s="1819"/>
      <c r="P119" s="1819"/>
      <c r="Q119" s="1819"/>
      <c r="R119" s="1819"/>
      <c r="S119" s="1819"/>
      <c r="T119" s="1819"/>
      <c r="U119" s="1819"/>
    </row>
    <row r="120" spans="1:21" ht="13.8">
      <c r="A120" s="1821"/>
      <c r="B120" s="1821"/>
      <c r="C120" s="1819"/>
      <c r="D120" s="1838"/>
      <c r="E120" s="1819"/>
      <c r="F120" s="1838"/>
      <c r="G120" s="1838"/>
      <c r="H120" s="1836" t="s">
        <v>4485</v>
      </c>
      <c r="I120" s="1819"/>
      <c r="J120" s="1819"/>
      <c r="K120" s="1819"/>
      <c r="L120" s="1821"/>
      <c r="M120" s="1821"/>
      <c r="N120" s="1819"/>
      <c r="O120" s="1819"/>
      <c r="P120" s="1819"/>
      <c r="Q120" s="1819"/>
      <c r="R120" s="1819"/>
      <c r="S120" s="1819"/>
      <c r="T120" s="1819"/>
      <c r="U120" s="1819"/>
    </row>
    <row r="121" spans="1:21" ht="13.8">
      <c r="A121" s="1819"/>
      <c r="B121" s="1821" t="s">
        <v>1938</v>
      </c>
      <c r="C121" s="1819" t="s">
        <v>1502</v>
      </c>
      <c r="D121" s="1819"/>
      <c r="E121" s="1819"/>
      <c r="F121" s="1819"/>
      <c r="G121" s="1819"/>
      <c r="H121" s="1819"/>
      <c r="I121" s="1819"/>
      <c r="J121" s="1819"/>
      <c r="K121" s="1823" t="s">
        <v>4373</v>
      </c>
      <c r="L121" s="1819"/>
      <c r="M121" s="1819"/>
      <c r="N121" s="2065"/>
      <c r="O121" s="1819"/>
      <c r="P121" s="1821" t="str">
        <f>'Part I-Project Information'!P96</f>
        <v>N/a</v>
      </c>
      <c r="Q121" s="1819"/>
      <c r="R121" s="1819"/>
      <c r="S121" s="1819"/>
      <c r="T121" s="1819"/>
      <c r="U121" s="1819"/>
    </row>
    <row r="122" spans="1:21" ht="13.8">
      <c r="A122" s="1821"/>
      <c r="B122" s="1821"/>
      <c r="C122" s="1819"/>
      <c r="D122" s="1838"/>
      <c r="E122" s="1838"/>
      <c r="F122" s="1838"/>
      <c r="G122" s="1838"/>
      <c r="H122" s="1819"/>
      <c r="I122" s="1821"/>
      <c r="J122" s="1821"/>
      <c r="K122" s="1821"/>
      <c r="L122" s="1821"/>
      <c r="M122" s="1821"/>
      <c r="N122" s="1819"/>
      <c r="O122" s="1819"/>
      <c r="P122" s="1828"/>
      <c r="Q122" s="1819"/>
      <c r="R122" s="1819"/>
      <c r="S122" s="1819"/>
      <c r="T122" s="1819"/>
      <c r="U122" s="1819"/>
    </row>
    <row r="123" spans="1:21" ht="13.8">
      <c r="A123" s="1827" t="s">
        <v>287</v>
      </c>
      <c r="B123" s="1838" t="s">
        <v>1993</v>
      </c>
      <c r="C123" s="1819"/>
      <c r="D123" s="1838"/>
      <c r="E123" s="1819"/>
      <c r="F123" s="1819"/>
      <c r="G123" s="1819"/>
      <c r="H123" s="1819"/>
      <c r="I123" s="1819"/>
      <c r="J123" s="1819"/>
      <c r="K123" s="1819"/>
      <c r="L123" s="1819"/>
      <c r="M123" s="1819"/>
      <c r="N123" s="1819"/>
      <c r="O123" s="1819"/>
      <c r="P123" s="1819"/>
      <c r="Q123" s="1819"/>
      <c r="R123" s="1819"/>
      <c r="S123" s="1819"/>
      <c r="T123" s="1819"/>
      <c r="U123" s="1819"/>
    </row>
    <row r="124" spans="1:21" ht="13.8">
      <c r="A124" s="1821"/>
      <c r="B124" s="1821"/>
      <c r="C124" s="1819"/>
      <c r="D124" s="1838"/>
      <c r="E124" s="1819"/>
      <c r="F124" s="1819"/>
      <c r="G124" s="1819"/>
      <c r="H124" s="1819"/>
      <c r="I124" s="1819"/>
      <c r="J124" s="1819"/>
      <c r="K124" s="1819"/>
      <c r="L124" s="1819"/>
      <c r="M124" s="1819"/>
      <c r="N124" s="1819"/>
      <c r="O124" s="1819"/>
      <c r="P124" s="1828"/>
      <c r="Q124" s="1819"/>
      <c r="R124" s="1819"/>
      <c r="S124" s="1819"/>
      <c r="T124" s="1819"/>
      <c r="U124" s="1819"/>
    </row>
    <row r="125" spans="1:21" ht="13.8">
      <c r="A125" s="1827"/>
      <c r="B125" s="1821" t="s">
        <v>1936</v>
      </c>
      <c r="C125" s="1819" t="s">
        <v>2628</v>
      </c>
      <c r="D125" s="1819"/>
      <c r="E125" s="1819"/>
      <c r="F125" s="1827" t="s">
        <v>2533</v>
      </c>
      <c r="G125" s="1819"/>
      <c r="H125" s="1821" t="str">
        <f>'Part I-Project Information'!H100</f>
        <v>No</v>
      </c>
      <c r="I125" s="1819"/>
      <c r="J125" s="1819"/>
      <c r="K125" s="1823" t="s">
        <v>3664</v>
      </c>
      <c r="L125" s="1819"/>
      <c r="M125" s="1819"/>
      <c r="N125" s="1819"/>
      <c r="O125" s="1819"/>
      <c r="P125" s="1821" t="str">
        <f>'Part I-Project Information'!P100</f>
        <v>No</v>
      </c>
      <c r="Q125" s="1819"/>
      <c r="R125" s="1819"/>
      <c r="S125" s="1819"/>
      <c r="T125" s="1819"/>
      <c r="U125" s="1819"/>
    </row>
    <row r="126" spans="1:21" ht="13.8">
      <c r="A126" s="1827"/>
      <c r="B126" s="1821"/>
      <c r="C126" s="1819"/>
      <c r="D126" s="1819"/>
      <c r="E126" s="1819"/>
      <c r="F126" s="1838" t="s">
        <v>3668</v>
      </c>
      <c r="G126" s="1819"/>
      <c r="H126" s="1821" t="str">
        <f>'Part I-Project Information'!H101</f>
        <v>No</v>
      </c>
      <c r="I126" s="1819"/>
      <c r="J126" s="1819"/>
      <c r="K126" s="1823" t="s">
        <v>4228</v>
      </c>
      <c r="L126" s="1819"/>
      <c r="M126" s="1819"/>
      <c r="N126" s="1819"/>
      <c r="O126" s="1819"/>
      <c r="P126" s="1821" t="str">
        <f>'Part I-Project Information'!P101</f>
        <v>No</v>
      </c>
      <c r="Q126" s="1819"/>
      <c r="R126" s="1819"/>
      <c r="S126" s="1819"/>
      <c r="T126" s="1819"/>
      <c r="U126" s="1819"/>
    </row>
    <row r="127" spans="1:21" ht="13.8">
      <c r="A127" s="1821"/>
      <c r="B127" s="1821"/>
      <c r="C127" s="1838"/>
      <c r="D127" s="1819"/>
      <c r="E127" s="1819"/>
      <c r="F127" s="1838"/>
      <c r="G127" s="1819"/>
      <c r="H127" s="1838"/>
      <c r="I127" s="1819"/>
      <c r="J127" s="1821"/>
      <c r="K127" s="1821"/>
      <c r="L127" s="1821"/>
      <c r="M127" s="1821"/>
      <c r="N127" s="1821"/>
      <c r="O127" s="1819"/>
      <c r="P127" s="1828"/>
      <c r="Q127" s="1819"/>
      <c r="R127" s="1819"/>
      <c r="S127" s="1819"/>
      <c r="T127" s="1819"/>
      <c r="U127" s="1819"/>
    </row>
    <row r="128" spans="1:21" ht="13.8">
      <c r="A128" s="1827"/>
      <c r="B128" s="1821" t="s">
        <v>1938</v>
      </c>
      <c r="C128" s="1819" t="s">
        <v>2629</v>
      </c>
      <c r="D128" s="1819"/>
      <c r="E128" s="1819"/>
      <c r="F128" s="1823" t="s">
        <v>2603</v>
      </c>
      <c r="G128" s="1819"/>
      <c r="H128" s="1821" t="str">
        <f>'Part I-Project Information'!H103</f>
        <v>No</v>
      </c>
      <c r="I128" s="1819"/>
      <c r="J128" s="1821"/>
      <c r="K128" s="1843" t="s">
        <v>2630</v>
      </c>
      <c r="L128" s="1821"/>
      <c r="M128" s="1819"/>
      <c r="N128" s="1819"/>
      <c r="O128" s="1819"/>
      <c r="P128" s="1819"/>
      <c r="Q128" s="1819"/>
      <c r="R128" s="1819"/>
      <c r="S128" s="1819"/>
      <c r="T128" s="1819"/>
      <c r="U128" s="1819"/>
    </row>
    <row r="129" spans="1:21" ht="13.8">
      <c r="A129" s="1821"/>
      <c r="B129" s="1821"/>
      <c r="C129" s="1819"/>
      <c r="D129" s="1838"/>
      <c r="E129" s="1838"/>
      <c r="F129" s="1838"/>
      <c r="G129" s="1838"/>
      <c r="H129" s="1819"/>
      <c r="I129" s="1821"/>
      <c r="J129" s="1821"/>
      <c r="K129" s="1821"/>
      <c r="L129" s="1821"/>
      <c r="M129" s="1821"/>
      <c r="N129" s="1819"/>
      <c r="O129" s="1819"/>
      <c r="P129" s="1828"/>
      <c r="Q129" s="1819"/>
      <c r="R129" s="1819"/>
      <c r="S129" s="1819"/>
      <c r="T129" s="1819"/>
      <c r="U129" s="1819"/>
    </row>
    <row r="130" spans="1:21" ht="13.8">
      <c r="A130" s="1827" t="s">
        <v>418</v>
      </c>
      <c r="B130" s="1838" t="s">
        <v>2692</v>
      </c>
      <c r="C130" s="1819"/>
      <c r="D130" s="1838"/>
      <c r="E130" s="1819"/>
      <c r="F130" s="1819"/>
      <c r="G130" s="1819"/>
      <c r="H130" s="1819" t="str">
        <f>'Part I-Project Information'!H105</f>
        <v>Flexible</v>
      </c>
      <c r="I130" s="1819"/>
      <c r="J130" s="1821"/>
      <c r="K130" s="1819"/>
      <c r="L130" s="1819"/>
      <c r="M130" s="1819"/>
      <c r="N130" s="1819"/>
      <c r="O130" s="1819"/>
      <c r="P130" s="1819"/>
      <c r="Q130" s="1819"/>
      <c r="R130" s="1819"/>
      <c r="S130" s="1819"/>
      <c r="T130" s="1819"/>
      <c r="U130" s="1819"/>
    </row>
    <row r="131" spans="1:21" ht="13.8">
      <c r="A131" s="1821"/>
      <c r="B131" s="1819"/>
      <c r="C131" s="1819"/>
      <c r="D131" s="1829"/>
      <c r="E131" s="1819"/>
      <c r="F131" s="1819"/>
      <c r="G131" s="1819"/>
      <c r="H131" s="1819"/>
      <c r="I131" s="1829"/>
      <c r="J131" s="1827"/>
      <c r="K131" s="1819"/>
      <c r="L131" s="1819"/>
      <c r="M131" s="1819"/>
      <c r="N131" s="1819"/>
      <c r="O131" s="1819"/>
      <c r="P131" s="1828"/>
      <c r="Q131" s="1819"/>
      <c r="R131" s="1819"/>
      <c r="S131" s="1819"/>
      <c r="T131" s="1819"/>
      <c r="U131" s="1819"/>
    </row>
    <row r="132" spans="1:21" ht="13.8">
      <c r="A132" s="1827" t="s">
        <v>356</v>
      </c>
      <c r="B132" s="1827" t="s">
        <v>1164</v>
      </c>
      <c r="C132" s="1819"/>
      <c r="D132" s="1819"/>
      <c r="E132" s="1819"/>
      <c r="F132" s="1819"/>
      <c r="G132" s="1819"/>
      <c r="H132" s="1819"/>
      <c r="I132" s="1829"/>
      <c r="J132" s="1827"/>
      <c r="K132" s="1819"/>
      <c r="L132" s="1819"/>
      <c r="M132" s="1819"/>
      <c r="N132" s="1819"/>
      <c r="O132" s="1819"/>
      <c r="P132" s="1828"/>
      <c r="Q132" s="1819"/>
      <c r="R132" s="1819"/>
      <c r="S132" s="1819"/>
      <c r="T132" s="1819"/>
      <c r="U132" s="1819"/>
    </row>
    <row r="133" spans="1:21" ht="13.8">
      <c r="A133" s="1827"/>
      <c r="B133" s="1821"/>
      <c r="C133" s="1827"/>
      <c r="D133" s="1819"/>
      <c r="E133" s="1819"/>
      <c r="F133" s="1819"/>
      <c r="G133" s="1819"/>
      <c r="H133" s="1819"/>
      <c r="I133" s="1829"/>
      <c r="J133" s="1827"/>
      <c r="K133" s="1819"/>
      <c r="L133" s="1819"/>
      <c r="M133" s="1819"/>
      <c r="N133" s="1819"/>
      <c r="O133" s="1819"/>
      <c r="P133" s="1819"/>
      <c r="Q133" s="1819"/>
      <c r="R133" s="1819"/>
      <c r="S133" s="1819"/>
      <c r="T133" s="1819"/>
      <c r="U133" s="1819"/>
    </row>
    <row r="134" spans="1:21" ht="13.8">
      <c r="A134" s="1821"/>
      <c r="B134" s="1821"/>
      <c r="C134" s="1827" t="s">
        <v>536</v>
      </c>
      <c r="D134" s="1819"/>
      <c r="E134" s="1819">
        <f>'Part I-Project Information'!E109</f>
        <v>0</v>
      </c>
      <c r="F134" s="1819"/>
      <c r="G134" s="1819"/>
      <c r="H134" s="1819"/>
      <c r="I134" s="1819"/>
      <c r="J134" s="1819"/>
      <c r="K134" s="1819"/>
      <c r="L134" s="1819"/>
      <c r="M134" s="1827" t="s">
        <v>537</v>
      </c>
      <c r="N134" s="1827"/>
      <c r="O134" s="2193">
        <f>'Part I-Project Information'!O109</f>
        <v>0</v>
      </c>
      <c r="P134" s="2193"/>
      <c r="Q134" s="1819"/>
      <c r="R134" s="1819"/>
      <c r="S134" s="1819"/>
      <c r="T134" s="1819"/>
      <c r="U134" s="1819"/>
    </row>
    <row r="135" spans="1:21" ht="13.8">
      <c r="A135" s="1819"/>
      <c r="B135" s="1819"/>
      <c r="C135" s="1823" t="s">
        <v>999</v>
      </c>
      <c r="D135" s="1826"/>
      <c r="E135" s="1819">
        <f>'Part I-Project Information'!E110</f>
        <v>0</v>
      </c>
      <c r="F135" s="1819"/>
      <c r="G135" s="1819"/>
      <c r="H135" s="1819"/>
      <c r="I135" s="1819"/>
      <c r="J135" s="1819"/>
      <c r="K135" s="1819"/>
      <c r="L135" s="1819"/>
      <c r="M135" s="1827" t="s">
        <v>788</v>
      </c>
      <c r="N135" s="1827"/>
      <c r="O135" s="1965">
        <f>'Part I-Project Information'!O110</f>
        <v>0</v>
      </c>
      <c r="P135" s="1965"/>
      <c r="Q135" s="1819"/>
      <c r="R135" s="1819"/>
      <c r="S135" s="1819"/>
      <c r="T135" s="1819"/>
      <c r="U135" s="1819"/>
    </row>
    <row r="136" spans="1:21" ht="13.8">
      <c r="A136" s="1819"/>
      <c r="B136" s="1819"/>
      <c r="C136" s="1823" t="s">
        <v>600</v>
      </c>
      <c r="D136" s="1819"/>
      <c r="E136" s="1819">
        <f>'Part I-Project Information'!E111</f>
        <v>0</v>
      </c>
      <c r="F136" s="1819"/>
      <c r="G136" s="1819"/>
      <c r="H136" s="1821" t="s">
        <v>1754</v>
      </c>
      <c r="I136" s="1823">
        <f>'Part I-Project Information'!I111</f>
        <v>0</v>
      </c>
      <c r="J136" s="1821" t="s">
        <v>2173</v>
      </c>
      <c r="K136" s="2187">
        <f>'Part I-Project Information'!K111</f>
        <v>0</v>
      </c>
      <c r="L136" s="2187"/>
      <c r="M136" s="1827" t="s">
        <v>3488</v>
      </c>
      <c r="N136" s="1827"/>
      <c r="O136" s="1857">
        <f>'Part I-Project Information'!O111</f>
        <v>0</v>
      </c>
      <c r="P136" s="1857"/>
      <c r="Q136" s="1819"/>
      <c r="R136" s="1819"/>
      <c r="S136" s="1819"/>
      <c r="T136" s="1819"/>
      <c r="U136" s="1819"/>
    </row>
    <row r="137" spans="1:21" ht="13.8">
      <c r="A137" s="1819"/>
      <c r="B137" s="1819"/>
      <c r="C137" s="1819" t="s">
        <v>2144</v>
      </c>
      <c r="D137" s="1819"/>
      <c r="E137" s="1819">
        <f>'Part I-Project Information'!E112</f>
        <v>0</v>
      </c>
      <c r="F137" s="1819"/>
      <c r="G137" s="1819"/>
      <c r="H137" s="1821" t="s">
        <v>1933</v>
      </c>
      <c r="I137" s="1819">
        <f>'Part I-Project Information'!I112</f>
        <v>0</v>
      </c>
      <c r="J137" s="1819"/>
      <c r="K137" s="1819"/>
      <c r="L137" s="1821" t="s">
        <v>1937</v>
      </c>
      <c r="M137" s="1819">
        <f>'Part I-Project Information'!M112</f>
        <v>0</v>
      </c>
      <c r="N137" s="1819"/>
      <c r="O137" s="1819"/>
      <c r="P137" s="1819"/>
      <c r="Q137" s="1819"/>
      <c r="R137" s="1819"/>
      <c r="S137" s="1819"/>
      <c r="T137" s="1819"/>
      <c r="U137" s="1819"/>
    </row>
    <row r="138" spans="1:21" ht="13.8">
      <c r="A138" s="1819"/>
      <c r="B138" s="1819"/>
      <c r="C138" s="1823" t="s">
        <v>2143</v>
      </c>
      <c r="D138" s="1819"/>
      <c r="E138" s="2188">
        <f>'Part I-Project Information'!E113</f>
        <v>0</v>
      </c>
      <c r="F138" s="2188"/>
      <c r="G138" s="2188"/>
      <c r="H138" s="1821" t="s">
        <v>1756</v>
      </c>
      <c r="I138" s="2188">
        <f>'Part I-Project Information'!I113</f>
        <v>0</v>
      </c>
      <c r="J138" s="2188"/>
      <c r="K138" s="1821" t="s">
        <v>2625</v>
      </c>
      <c r="L138" s="1965">
        <f>'Part I-Project Information'!L113</f>
        <v>0</v>
      </c>
      <c r="M138" s="1965"/>
      <c r="N138" s="1965"/>
      <c r="O138" s="1965"/>
      <c r="P138" s="1965"/>
      <c r="Q138" s="1819"/>
      <c r="R138" s="1819"/>
      <c r="S138" s="1819"/>
      <c r="T138" s="1819"/>
      <c r="U138" s="1819"/>
    </row>
    <row r="139" spans="1:21" ht="13.8">
      <c r="A139" s="1821"/>
      <c r="B139" s="1821"/>
      <c r="C139" s="1819"/>
      <c r="D139" s="1819"/>
      <c r="E139" s="1819"/>
      <c r="F139" s="1819"/>
      <c r="G139" s="1829"/>
      <c r="H139" s="1821"/>
      <c r="I139" s="1821"/>
      <c r="J139" s="1819"/>
      <c r="K139" s="1819"/>
      <c r="L139" s="1819"/>
      <c r="M139" s="1828"/>
      <c r="N139" s="1819"/>
      <c r="O139" s="1819"/>
      <c r="P139" s="1819"/>
      <c r="Q139" s="1819"/>
      <c r="R139" s="1819"/>
      <c r="S139" s="1819"/>
      <c r="T139" s="1819"/>
      <c r="U139" s="1819"/>
    </row>
    <row r="140" spans="1:21" ht="13.8">
      <c r="A140" s="1827" t="s">
        <v>357</v>
      </c>
      <c r="B140" s="1838" t="s">
        <v>1630</v>
      </c>
      <c r="C140" s="1819"/>
      <c r="D140" s="1829"/>
      <c r="E140" s="1829"/>
      <c r="F140" s="1821"/>
      <c r="G140" s="1821"/>
      <c r="H140" s="1821"/>
      <c r="I140" s="1819"/>
      <c r="J140" s="1819"/>
      <c r="K140" s="1819"/>
      <c r="L140" s="1819"/>
      <c r="M140" s="1819"/>
      <c r="N140" s="1819"/>
      <c r="O140" s="1819"/>
      <c r="P140" s="1828"/>
      <c r="Q140" s="1819"/>
      <c r="R140" s="1819"/>
      <c r="S140" s="1819"/>
      <c r="T140" s="1819"/>
      <c r="U140" s="1819"/>
    </row>
    <row r="141" spans="1:21" ht="13.8">
      <c r="A141" s="1827"/>
      <c r="B141" s="1838"/>
      <c r="C141" s="1819"/>
      <c r="D141" s="1829"/>
      <c r="E141" s="1829"/>
      <c r="F141" s="1821"/>
      <c r="G141" s="1821"/>
      <c r="H141" s="1821"/>
      <c r="I141" s="1821"/>
      <c r="J141" s="1829"/>
      <c r="K141" s="1821"/>
      <c r="L141" s="1821"/>
      <c r="M141" s="1819"/>
      <c r="N141" s="1819"/>
      <c r="O141" s="1819"/>
      <c r="P141" s="1828"/>
      <c r="Q141" s="1819"/>
      <c r="R141" s="1819"/>
      <c r="S141" s="1819"/>
      <c r="T141" s="1819"/>
      <c r="U141" s="1819"/>
    </row>
    <row r="142" spans="1:21" ht="13.8">
      <c r="A142" s="1819"/>
      <c r="B142" s="1827" t="s">
        <v>2103</v>
      </c>
      <c r="C142" s="1819"/>
      <c r="D142" s="1827"/>
      <c r="E142" s="1827"/>
      <c r="F142" s="1827"/>
      <c r="G142" s="1827"/>
      <c r="H142" s="1827"/>
      <c r="I142" s="1827"/>
      <c r="J142" s="1827"/>
      <c r="K142" s="1827"/>
      <c r="L142" s="1827"/>
      <c r="M142" s="1827"/>
      <c r="N142" s="1827"/>
      <c r="O142" s="1827"/>
      <c r="P142" s="1827"/>
      <c r="Q142" s="1819"/>
      <c r="R142" s="1819"/>
      <c r="S142" s="1819"/>
      <c r="T142" s="1819"/>
      <c r="U142" s="1819"/>
    </row>
    <row r="143" spans="1:21" ht="13.8">
      <c r="A143" s="1821"/>
      <c r="B143" s="1821"/>
      <c r="C143" s="1838"/>
      <c r="D143" s="1838"/>
      <c r="E143" s="1838"/>
      <c r="F143" s="1838"/>
      <c r="G143" s="1838"/>
      <c r="H143" s="1838"/>
      <c r="I143" s="1838"/>
      <c r="J143" s="1838"/>
      <c r="K143" s="1838"/>
      <c r="L143" s="1838"/>
      <c r="M143" s="1838"/>
      <c r="N143" s="1838"/>
      <c r="O143" s="1838"/>
      <c r="P143" s="1838"/>
      <c r="Q143" s="1819"/>
      <c r="R143" s="1819"/>
      <c r="S143" s="1819"/>
      <c r="T143" s="1819"/>
      <c r="U143" s="1819"/>
    </row>
    <row r="144" spans="1:21" ht="13.8">
      <c r="A144" s="1821"/>
      <c r="B144" s="1821" t="s">
        <v>1936</v>
      </c>
      <c r="C144" s="1838" t="s">
        <v>1385</v>
      </c>
      <c r="D144" s="1838"/>
      <c r="E144" s="1838"/>
      <c r="F144" s="1821"/>
      <c r="G144" s="1821"/>
      <c r="H144" s="1829">
        <f>'Part I-Project Information'!H119</f>
        <v>2</v>
      </c>
      <c r="I144" s="1819"/>
      <c r="J144" s="1819"/>
      <c r="K144" s="1819"/>
      <c r="L144" s="1819"/>
      <c r="M144" s="1819"/>
      <c r="N144" s="1819"/>
      <c r="O144" s="1819"/>
      <c r="P144" s="1819"/>
      <c r="Q144" s="1819"/>
      <c r="R144" s="1819"/>
      <c r="S144" s="1819"/>
      <c r="T144" s="1819"/>
      <c r="U144" s="1819"/>
    </row>
    <row r="145" spans="1:21" ht="13.8">
      <c r="A145" s="1821"/>
      <c r="B145" s="1821"/>
      <c r="C145" s="1838"/>
      <c r="D145" s="1838"/>
      <c r="E145" s="1838"/>
      <c r="F145" s="1838"/>
      <c r="G145" s="1838"/>
      <c r="H145" s="1838"/>
      <c r="I145" s="1819"/>
      <c r="J145" s="1838"/>
      <c r="K145" s="1819"/>
      <c r="L145" s="1819"/>
      <c r="M145" s="1838"/>
      <c r="N145" s="1838"/>
      <c r="O145" s="1838"/>
      <c r="P145" s="1819"/>
      <c r="Q145" s="1819"/>
      <c r="R145" s="1819"/>
      <c r="S145" s="1819"/>
      <c r="T145" s="1819"/>
      <c r="U145" s="1819"/>
    </row>
    <row r="146" spans="1:21" ht="13.8">
      <c r="A146" s="1821"/>
      <c r="B146" s="1821" t="s">
        <v>1938</v>
      </c>
      <c r="C146" s="1838" t="s">
        <v>408</v>
      </c>
      <c r="D146" s="1838"/>
      <c r="E146" s="1838"/>
      <c r="F146" s="1821"/>
      <c r="G146" s="1821"/>
      <c r="H146" s="1829">
        <f>'Part I-Project Information'!H121</f>
        <v>1744755</v>
      </c>
      <c r="I146" s="1819"/>
      <c r="J146" s="1829"/>
      <c r="K146" s="1823"/>
      <c r="L146" s="1819"/>
      <c r="M146" s="1819"/>
      <c r="N146" s="1819"/>
      <c r="O146" s="1819"/>
      <c r="P146" s="1819"/>
      <c r="Q146" s="1819"/>
      <c r="R146" s="1819"/>
      <c r="S146" s="1819"/>
      <c r="T146" s="1819"/>
      <c r="U146" s="1819"/>
    </row>
    <row r="147" spans="1:21" ht="13.8">
      <c r="A147" s="1821"/>
      <c r="B147" s="1821"/>
      <c r="C147" s="1838"/>
      <c r="D147" s="1838"/>
      <c r="E147" s="1838"/>
      <c r="F147" s="1838"/>
      <c r="G147" s="1838"/>
      <c r="H147" s="1838"/>
      <c r="I147" s="1838"/>
      <c r="J147" s="1838"/>
      <c r="K147" s="1838"/>
      <c r="L147" s="1819"/>
      <c r="M147" s="1838"/>
      <c r="N147" s="1838"/>
      <c r="O147" s="1838"/>
      <c r="P147" s="1838"/>
      <c r="Q147" s="1819"/>
      <c r="R147" s="1819"/>
      <c r="S147" s="1819"/>
      <c r="T147" s="1819"/>
      <c r="U147" s="1819"/>
    </row>
    <row r="148" spans="1:21" ht="13.8">
      <c r="A148" s="1819"/>
      <c r="B148" s="1821" t="s">
        <v>731</v>
      </c>
      <c r="C148" s="1838" t="s">
        <v>297</v>
      </c>
      <c r="D148" s="1838"/>
      <c r="E148" s="1838"/>
      <c r="F148" s="1821"/>
      <c r="G148" s="1821"/>
      <c r="H148" s="1821"/>
      <c r="I148" s="1821"/>
      <c r="J148" s="1829"/>
      <c r="K148" s="1821"/>
      <c r="L148" s="1821"/>
      <c r="M148" s="1819"/>
      <c r="N148" s="1819"/>
      <c r="O148" s="1819"/>
      <c r="P148" s="1819"/>
      <c r="Q148" s="1819"/>
      <c r="R148" s="1819"/>
      <c r="S148" s="1819"/>
      <c r="T148" s="1819"/>
      <c r="U148" s="1819"/>
    </row>
    <row r="149" spans="1:21" ht="13.8">
      <c r="A149" s="1819"/>
      <c r="B149" s="1821"/>
      <c r="C149" s="1838" t="s">
        <v>2085</v>
      </c>
      <c r="D149" s="1838"/>
      <c r="E149" s="1819"/>
      <c r="F149" s="1838" t="s">
        <v>1112</v>
      </c>
      <c r="G149" s="1821"/>
      <c r="H149" s="1821"/>
      <c r="I149" s="1821" t="s">
        <v>1268</v>
      </c>
      <c r="J149" s="1838" t="s">
        <v>2085</v>
      </c>
      <c r="K149" s="1838"/>
      <c r="L149" s="1819"/>
      <c r="M149" s="1838" t="s">
        <v>1112</v>
      </c>
      <c r="N149" s="1821"/>
      <c r="O149" s="1821"/>
      <c r="P149" s="1821" t="s">
        <v>1268</v>
      </c>
      <c r="Q149" s="1819"/>
      <c r="R149" s="1819"/>
      <c r="S149" s="1819"/>
      <c r="T149" s="1819"/>
      <c r="U149" s="1819"/>
    </row>
    <row r="150" spans="1:21" ht="13.8">
      <c r="A150" s="1821"/>
      <c r="B150" s="1821"/>
      <c r="C150" s="1849" t="str">
        <f>'Part I-Project Information'!C125</f>
        <v>Kevin N. Buckner</v>
      </c>
      <c r="D150" s="1849"/>
      <c r="E150" s="1849"/>
      <c r="F150" s="1849" t="str">
        <f>'Part I-Project Information'!F125</f>
        <v>Harper Woods II</v>
      </c>
      <c r="G150" s="1849"/>
      <c r="H150" s="1849"/>
      <c r="I150" s="2074" t="str">
        <f>'Part I-Project Information'!I125</f>
        <v>Both</v>
      </c>
      <c r="J150" s="1849" t="str">
        <f>'Part I-Project Information'!J125</f>
        <v>Olivia B. Buckner</v>
      </c>
      <c r="K150" s="1849"/>
      <c r="L150" s="1849"/>
      <c r="M150" s="1849" t="str">
        <f>'Part I-Project Information'!M125</f>
        <v>Legion Park</v>
      </c>
      <c r="N150" s="1849"/>
      <c r="O150" s="1849"/>
      <c r="P150" s="2074" t="str">
        <f>'Part I-Project Information'!P125</f>
        <v>Direct</v>
      </c>
      <c r="Q150" s="1819"/>
      <c r="R150" s="1819"/>
      <c r="S150" s="1819"/>
      <c r="T150" s="1819"/>
      <c r="U150" s="1819"/>
    </row>
    <row r="151" spans="1:21" ht="13.8">
      <c r="A151" s="1821"/>
      <c r="B151" s="1821"/>
      <c r="C151" s="1849" t="str">
        <f>'Part I-Project Information'!C126</f>
        <v xml:space="preserve">Bradley K. Smith </v>
      </c>
      <c r="D151" s="1849"/>
      <c r="E151" s="1849"/>
      <c r="F151" s="1849" t="str">
        <f>'Part I-Project Information'!F126</f>
        <v>Harper Woods II</v>
      </c>
      <c r="G151" s="1849"/>
      <c r="H151" s="1849"/>
      <c r="I151" s="2074" t="str">
        <f>'Part I-Project Information'!I126</f>
        <v>Direct</v>
      </c>
      <c r="J151" s="1849" t="str">
        <f>'Part I-Project Information'!J126</f>
        <v>Sarah C. Buckner</v>
      </c>
      <c r="K151" s="1849"/>
      <c r="L151" s="1849"/>
      <c r="M151" s="1849" t="str">
        <f>'Part I-Project Information'!M126</f>
        <v>Legion Park</v>
      </c>
      <c r="N151" s="1849"/>
      <c r="O151" s="1849"/>
      <c r="P151" s="2074" t="str">
        <f>'Part I-Project Information'!P126</f>
        <v>Direct</v>
      </c>
      <c r="Q151" s="1819"/>
      <c r="R151" s="1819"/>
      <c r="S151" s="1819"/>
      <c r="T151" s="1819"/>
      <c r="U151" s="1819"/>
    </row>
    <row r="152" spans="1:21" ht="13.8">
      <c r="A152" s="1821"/>
      <c r="B152" s="1821"/>
      <c r="C152" s="1849" t="str">
        <f>'Part I-Project Information'!C127</f>
        <v>Olivia B. Buckner</v>
      </c>
      <c r="D152" s="1849"/>
      <c r="E152" s="1849"/>
      <c r="F152" s="1849" t="str">
        <f>'Part I-Project Information'!F127</f>
        <v>Harper Woods II</v>
      </c>
      <c r="G152" s="1849"/>
      <c r="H152" s="1849"/>
      <c r="I152" s="2074" t="str">
        <f>'Part I-Project Information'!I127</f>
        <v>Direct</v>
      </c>
      <c r="J152" s="1849">
        <f>'Part I-Project Information'!J127</f>
        <v>0</v>
      </c>
      <c r="K152" s="1849"/>
      <c r="L152" s="1849"/>
      <c r="M152" s="1849">
        <f>'Part I-Project Information'!M127</f>
        <v>0</v>
      </c>
      <c r="N152" s="1849"/>
      <c r="O152" s="1849"/>
      <c r="P152" s="2074">
        <f>'Part I-Project Information'!P127</f>
        <v>0</v>
      </c>
      <c r="Q152" s="1819"/>
      <c r="R152" s="1819"/>
      <c r="S152" s="1819"/>
      <c r="T152" s="1819"/>
      <c r="U152" s="1819"/>
    </row>
    <row r="153" spans="1:21" ht="13.8">
      <c r="A153" s="1821"/>
      <c r="B153" s="1821"/>
      <c r="C153" s="1849" t="str">
        <f>'Part I-Project Information'!C128</f>
        <v>Sarah C. Buckner</v>
      </c>
      <c r="D153" s="1849"/>
      <c r="E153" s="1849"/>
      <c r="F153" s="1849" t="str">
        <f>'Part I-Project Information'!F128</f>
        <v>Harper Woods II</v>
      </c>
      <c r="G153" s="1849"/>
      <c r="H153" s="1849"/>
      <c r="I153" s="2074" t="str">
        <f>'Part I-Project Information'!I128</f>
        <v>Direct</v>
      </c>
      <c r="J153" s="1849">
        <f>'Part I-Project Information'!J128</f>
        <v>0</v>
      </c>
      <c r="K153" s="1849"/>
      <c r="L153" s="1849"/>
      <c r="M153" s="1849">
        <f>'Part I-Project Information'!M128</f>
        <v>0</v>
      </c>
      <c r="N153" s="1849"/>
      <c r="O153" s="1849"/>
      <c r="P153" s="2074">
        <f>'Part I-Project Information'!P128</f>
        <v>0</v>
      </c>
      <c r="Q153" s="1819"/>
      <c r="R153" s="1819"/>
      <c r="S153" s="1819"/>
      <c r="T153" s="1819"/>
      <c r="U153" s="1819"/>
    </row>
    <row r="154" spans="1:21" ht="13.8">
      <c r="A154" s="1821"/>
      <c r="B154" s="1821"/>
      <c r="C154" s="1849" t="str">
        <f>'Part I-Project Information'!C129</f>
        <v>Kevin N. Buckner</v>
      </c>
      <c r="D154" s="1849"/>
      <c r="E154" s="1849"/>
      <c r="F154" s="1849" t="str">
        <f>'Part I-Project Information'!F129</f>
        <v>Legion Park</v>
      </c>
      <c r="G154" s="1849"/>
      <c r="H154" s="1849"/>
      <c r="I154" s="2074" t="str">
        <f>'Part I-Project Information'!I129</f>
        <v>Both</v>
      </c>
      <c r="J154" s="1849">
        <f>'Part I-Project Information'!J129</f>
        <v>0</v>
      </c>
      <c r="K154" s="1849"/>
      <c r="L154" s="1849"/>
      <c r="M154" s="1849">
        <f>'Part I-Project Information'!M129</f>
        <v>0</v>
      </c>
      <c r="N154" s="1849"/>
      <c r="O154" s="1849"/>
      <c r="P154" s="2074">
        <f>'Part I-Project Information'!P129</f>
        <v>0</v>
      </c>
      <c r="Q154" s="1819"/>
      <c r="R154" s="1819"/>
      <c r="S154" s="1819"/>
      <c r="T154" s="1819"/>
      <c r="U154" s="1819"/>
    </row>
    <row r="155" spans="1:21" ht="13.8">
      <c r="A155" s="1821"/>
      <c r="B155" s="1821"/>
      <c r="C155" s="1849" t="str">
        <f>'Part I-Project Information'!C130</f>
        <v xml:space="preserve">Bradley K. Smith </v>
      </c>
      <c r="D155" s="1849"/>
      <c r="E155" s="1849"/>
      <c r="F155" s="1849" t="str">
        <f>'Part I-Project Information'!F130</f>
        <v>Legion Park</v>
      </c>
      <c r="G155" s="1849"/>
      <c r="H155" s="1849"/>
      <c r="I155" s="2074" t="str">
        <f>'Part I-Project Information'!I130</f>
        <v>Direct</v>
      </c>
      <c r="J155" s="1849">
        <f>'Part I-Project Information'!J130</f>
        <v>0</v>
      </c>
      <c r="K155" s="1849"/>
      <c r="L155" s="1849"/>
      <c r="M155" s="1849">
        <f>'Part I-Project Information'!M130</f>
        <v>0</v>
      </c>
      <c r="N155" s="1849"/>
      <c r="O155" s="1849"/>
      <c r="P155" s="2074">
        <f>'Part I-Project Information'!P130</f>
        <v>0</v>
      </c>
      <c r="Q155" s="1819"/>
      <c r="R155" s="1819"/>
      <c r="S155" s="1819"/>
      <c r="T155" s="1819"/>
      <c r="U155" s="1819"/>
    </row>
    <row r="156" spans="1:21" ht="13.8">
      <c r="A156" s="1821"/>
      <c r="B156" s="1821"/>
      <c r="C156" s="1838"/>
      <c r="D156" s="1838"/>
      <c r="E156" s="1838"/>
      <c r="F156" s="1838"/>
      <c r="G156" s="1838"/>
      <c r="H156" s="1838"/>
      <c r="I156" s="1838"/>
      <c r="J156" s="1838"/>
      <c r="K156" s="1838"/>
      <c r="L156" s="1838"/>
      <c r="M156" s="1838"/>
      <c r="N156" s="1838"/>
      <c r="O156" s="1838"/>
      <c r="P156" s="1838"/>
      <c r="Q156" s="1819"/>
      <c r="R156" s="1819"/>
      <c r="S156" s="1819"/>
      <c r="T156" s="1819"/>
      <c r="U156" s="1819"/>
    </row>
    <row r="157" spans="1:21" ht="13.95" customHeight="1">
      <c r="A157" s="1821"/>
      <c r="B157" s="1821" t="s">
        <v>2065</v>
      </c>
      <c r="C157" s="1827" t="s">
        <v>1801</v>
      </c>
      <c r="D157" s="1827"/>
      <c r="E157" s="1827"/>
      <c r="F157" s="1827"/>
      <c r="G157" s="1827"/>
      <c r="H157" s="1827"/>
      <c r="I157" s="1827"/>
      <c r="J157" s="1827"/>
      <c r="K157" s="1827"/>
      <c r="L157" s="1827"/>
      <c r="M157" s="1827"/>
      <c r="N157" s="1827"/>
      <c r="O157" s="1827"/>
      <c r="P157" s="1827"/>
      <c r="Q157" s="1819"/>
      <c r="R157" s="1819"/>
      <c r="S157" s="1819"/>
      <c r="T157" s="1819"/>
      <c r="U157" s="1819"/>
    </row>
    <row r="158" spans="1:21" ht="13.8">
      <c r="A158" s="1821"/>
      <c r="B158" s="1821"/>
      <c r="C158" s="1827"/>
      <c r="D158" s="1827"/>
      <c r="E158" s="1827"/>
      <c r="F158" s="1827"/>
      <c r="G158" s="1827"/>
      <c r="H158" s="1827"/>
      <c r="I158" s="1827"/>
      <c r="J158" s="1827"/>
      <c r="K158" s="1827"/>
      <c r="L158" s="1827"/>
      <c r="M158" s="1827"/>
      <c r="N158" s="1827"/>
      <c r="O158" s="1827"/>
      <c r="P158" s="1827"/>
      <c r="Q158" s="1819"/>
      <c r="R158" s="1819"/>
      <c r="S158" s="1819"/>
      <c r="T158" s="1819"/>
      <c r="U158" s="1819"/>
    </row>
    <row r="159" spans="1:21" ht="13.8">
      <c r="A159" s="1819"/>
      <c r="B159" s="1821"/>
      <c r="C159" s="1838" t="s">
        <v>2085</v>
      </c>
      <c r="D159" s="1838"/>
      <c r="E159" s="1819"/>
      <c r="F159" s="1838" t="s">
        <v>1112</v>
      </c>
      <c r="G159" s="1821"/>
      <c r="H159" s="1821"/>
      <c r="I159" s="1821"/>
      <c r="J159" s="1838" t="s">
        <v>2085</v>
      </c>
      <c r="K159" s="1838"/>
      <c r="L159" s="1819"/>
      <c r="M159" s="1838" t="s">
        <v>1112</v>
      </c>
      <c r="N159" s="1821"/>
      <c r="O159" s="1821"/>
      <c r="P159" s="1821"/>
      <c r="Q159" s="1819"/>
      <c r="R159" s="1819"/>
      <c r="S159" s="1819"/>
      <c r="T159" s="1819"/>
      <c r="U159" s="1819"/>
    </row>
    <row r="160" spans="1:21" ht="13.8">
      <c r="A160" s="1821"/>
      <c r="B160" s="1821"/>
      <c r="C160" s="1849">
        <f>'Part I-Project Information'!C135</f>
        <v>1</v>
      </c>
      <c r="D160" s="1849"/>
      <c r="E160" s="1849"/>
      <c r="F160" s="1849">
        <f>'Part I-Project Information'!F135</f>
        <v>0</v>
      </c>
      <c r="G160" s="1849"/>
      <c r="H160" s="1849"/>
      <c r="I160" s="1849"/>
      <c r="J160" s="1849">
        <f>'Part I-Project Information'!J135</f>
        <v>7</v>
      </c>
      <c r="K160" s="1849"/>
      <c r="L160" s="1849"/>
      <c r="M160" s="1849">
        <f>'Part I-Project Information'!M135</f>
        <v>0</v>
      </c>
      <c r="N160" s="1849"/>
      <c r="O160" s="1849"/>
      <c r="P160" s="1849"/>
      <c r="Q160" s="1819"/>
      <c r="R160" s="1819"/>
      <c r="S160" s="1819"/>
      <c r="T160" s="1819"/>
      <c r="U160" s="1819"/>
    </row>
    <row r="161" spans="1:21" ht="13.8">
      <c r="A161" s="1821"/>
      <c r="B161" s="1821"/>
      <c r="C161" s="1849">
        <f>'Part I-Project Information'!C136</f>
        <v>2</v>
      </c>
      <c r="D161" s="1849"/>
      <c r="E161" s="1849"/>
      <c r="F161" s="1849">
        <f>'Part I-Project Information'!F136</f>
        <v>0</v>
      </c>
      <c r="G161" s="1849"/>
      <c r="H161" s="1849"/>
      <c r="I161" s="1849"/>
      <c r="J161" s="1849">
        <f>'Part I-Project Information'!J136</f>
        <v>8</v>
      </c>
      <c r="K161" s="1849"/>
      <c r="L161" s="1849"/>
      <c r="M161" s="1849">
        <f>'Part I-Project Information'!M136</f>
        <v>0</v>
      </c>
      <c r="N161" s="1849"/>
      <c r="O161" s="1849"/>
      <c r="P161" s="1849"/>
      <c r="Q161" s="1819"/>
      <c r="R161" s="1819"/>
      <c r="S161" s="1819"/>
      <c r="T161" s="1819"/>
      <c r="U161" s="1819"/>
    </row>
    <row r="162" spans="1:21" ht="13.8">
      <c r="A162" s="1821"/>
      <c r="B162" s="1821"/>
      <c r="C162" s="1849">
        <f>'Part I-Project Information'!C137</f>
        <v>3</v>
      </c>
      <c r="D162" s="1849"/>
      <c r="E162" s="1849"/>
      <c r="F162" s="1849">
        <f>'Part I-Project Information'!F137</f>
        <v>0</v>
      </c>
      <c r="G162" s="1849"/>
      <c r="H162" s="1849"/>
      <c r="I162" s="1849"/>
      <c r="J162" s="1849">
        <f>'Part I-Project Information'!J137</f>
        <v>9</v>
      </c>
      <c r="K162" s="1849"/>
      <c r="L162" s="1849"/>
      <c r="M162" s="1849">
        <f>'Part I-Project Information'!M137</f>
        <v>0</v>
      </c>
      <c r="N162" s="1849"/>
      <c r="O162" s="1849"/>
      <c r="P162" s="1849"/>
      <c r="Q162" s="1819"/>
      <c r="R162" s="1819"/>
      <c r="S162" s="1819"/>
      <c r="T162" s="1819"/>
      <c r="U162" s="1819"/>
    </row>
    <row r="163" spans="1:21" ht="13.8">
      <c r="A163" s="1821"/>
      <c r="B163" s="1821"/>
      <c r="C163" s="1849">
        <f>'Part I-Project Information'!C138</f>
        <v>4</v>
      </c>
      <c r="D163" s="1849"/>
      <c r="E163" s="1849"/>
      <c r="F163" s="1849">
        <f>'Part I-Project Information'!F138</f>
        <v>0</v>
      </c>
      <c r="G163" s="1849"/>
      <c r="H163" s="1849"/>
      <c r="I163" s="1849"/>
      <c r="J163" s="1849">
        <f>'Part I-Project Information'!J138</f>
        <v>10</v>
      </c>
      <c r="K163" s="1849"/>
      <c r="L163" s="1849"/>
      <c r="M163" s="1849">
        <f>'Part I-Project Information'!M138</f>
        <v>0</v>
      </c>
      <c r="N163" s="1849"/>
      <c r="O163" s="1849"/>
      <c r="P163" s="1849"/>
      <c r="Q163" s="1819"/>
      <c r="R163" s="1819"/>
      <c r="S163" s="1819"/>
      <c r="T163" s="1819"/>
      <c r="U163" s="1819"/>
    </row>
    <row r="164" spans="1:21" ht="13.8">
      <c r="A164" s="1821"/>
      <c r="B164" s="1821"/>
      <c r="C164" s="1849">
        <f>'Part I-Project Information'!C139</f>
        <v>5</v>
      </c>
      <c r="D164" s="1849"/>
      <c r="E164" s="1849"/>
      <c r="F164" s="1849">
        <f>'Part I-Project Information'!F139</f>
        <v>0</v>
      </c>
      <c r="G164" s="1849"/>
      <c r="H164" s="1849"/>
      <c r="I164" s="1849"/>
      <c r="J164" s="1849">
        <f>'Part I-Project Information'!J139</f>
        <v>11</v>
      </c>
      <c r="K164" s="1849"/>
      <c r="L164" s="1849"/>
      <c r="M164" s="1849">
        <f>'Part I-Project Information'!M139</f>
        <v>0</v>
      </c>
      <c r="N164" s="1849"/>
      <c r="O164" s="1849"/>
      <c r="P164" s="1849"/>
      <c r="Q164" s="1819"/>
      <c r="R164" s="1819"/>
      <c r="S164" s="1819"/>
      <c r="T164" s="1819"/>
      <c r="U164" s="1819"/>
    </row>
    <row r="165" spans="1:21" ht="13.8">
      <c r="A165" s="1821"/>
      <c r="B165" s="1821"/>
      <c r="C165" s="1849">
        <f>'Part I-Project Information'!C140</f>
        <v>6</v>
      </c>
      <c r="D165" s="1849"/>
      <c r="E165" s="1849"/>
      <c r="F165" s="1849">
        <f>'Part I-Project Information'!F140</f>
        <v>0</v>
      </c>
      <c r="G165" s="1849"/>
      <c r="H165" s="1849"/>
      <c r="I165" s="1849"/>
      <c r="J165" s="1849">
        <f>'Part I-Project Information'!J140</f>
        <v>12</v>
      </c>
      <c r="K165" s="1849"/>
      <c r="L165" s="1849"/>
      <c r="M165" s="1849">
        <f>'Part I-Project Information'!M140</f>
        <v>0</v>
      </c>
      <c r="N165" s="1849"/>
      <c r="O165" s="1849"/>
      <c r="P165" s="1849"/>
      <c r="Q165" s="1819"/>
      <c r="R165" s="1819"/>
      <c r="S165" s="1819"/>
      <c r="T165" s="1819"/>
      <c r="U165" s="1819"/>
    </row>
    <row r="166" spans="1:21" ht="13.8">
      <c r="A166" s="1821"/>
      <c r="B166" s="1821"/>
      <c r="C166" s="1838"/>
      <c r="D166" s="1838"/>
      <c r="E166" s="1838"/>
      <c r="F166" s="1821"/>
      <c r="G166" s="1821"/>
      <c r="H166" s="1821"/>
      <c r="I166" s="1821"/>
      <c r="J166" s="1829"/>
      <c r="K166" s="1821"/>
      <c r="L166" s="1821"/>
      <c r="M166" s="1819"/>
      <c r="N166" s="1819"/>
      <c r="O166" s="1819"/>
      <c r="P166" s="1828"/>
      <c r="Q166" s="1819"/>
      <c r="R166" s="1819"/>
      <c r="S166" s="1819"/>
      <c r="T166" s="1819"/>
      <c r="U166" s="1819"/>
    </row>
    <row r="167" spans="1:21" ht="13.8">
      <c r="A167" s="1819" t="s">
        <v>358</v>
      </c>
      <c r="B167" s="1819" t="s">
        <v>6853</v>
      </c>
      <c r="C167" s="1819"/>
      <c r="D167" s="1819"/>
      <c r="E167" s="1819"/>
      <c r="F167" s="1819"/>
      <c r="G167" s="1819"/>
      <c r="H167" s="1819"/>
      <c r="I167" s="1821" t="str">
        <f>'Part I-Project Information'!I142</f>
        <v>No</v>
      </c>
      <c r="J167" s="1819"/>
      <c r="K167" s="1819"/>
      <c r="L167" s="1819"/>
      <c r="M167" s="1821"/>
      <c r="N167" s="1819"/>
      <c r="O167" s="1819"/>
      <c r="P167" s="1828"/>
      <c r="Q167" s="1819"/>
      <c r="R167" s="1819"/>
      <c r="S167" s="1819"/>
      <c r="T167" s="1819"/>
      <c r="U167" s="1819"/>
    </row>
    <row r="168" spans="1:21" ht="13.8">
      <c r="A168" s="1827"/>
      <c r="B168" s="1821"/>
      <c r="C168" s="1838"/>
      <c r="D168" s="1838"/>
      <c r="E168" s="1838"/>
      <c r="F168" s="1838"/>
      <c r="G168" s="1821"/>
      <c r="H168" s="1819"/>
      <c r="I168" s="1819"/>
      <c r="J168" s="1819"/>
      <c r="K168" s="1819"/>
      <c r="L168" s="1819"/>
      <c r="M168" s="1821"/>
      <c r="N168" s="1819"/>
      <c r="O168" s="1819"/>
      <c r="P168" s="1819"/>
      <c r="Q168" s="1819"/>
      <c r="R168" s="1819"/>
      <c r="S168" s="1819"/>
      <c r="T168" s="1819"/>
      <c r="U168" s="1819"/>
    </row>
    <row r="169" spans="1:21" ht="13.8">
      <c r="A169" s="1821"/>
      <c r="B169" s="1821" t="s">
        <v>1936</v>
      </c>
      <c r="C169" s="1823" t="s">
        <v>1671</v>
      </c>
      <c r="D169" s="1819"/>
      <c r="E169" s="1819"/>
      <c r="F169" s="1819"/>
      <c r="G169" s="1819"/>
      <c r="H169" s="1819"/>
      <c r="I169" s="1821">
        <f>'Part I-Project Information'!I144</f>
        <v>0</v>
      </c>
      <c r="J169" s="1819"/>
      <c r="K169" s="1819"/>
      <c r="L169" s="1819"/>
      <c r="M169" s="1821"/>
      <c r="N169" s="1819"/>
      <c r="O169" s="1819"/>
      <c r="P169" s="1828"/>
      <c r="Q169" s="1819"/>
      <c r="R169" s="1819"/>
      <c r="S169" s="1819"/>
      <c r="T169" s="1819"/>
      <c r="U169" s="1819"/>
    </row>
    <row r="170" spans="1:21" ht="13.8">
      <c r="A170" s="1821"/>
      <c r="B170" s="1821"/>
      <c r="C170" s="1838" t="s">
        <v>2357</v>
      </c>
      <c r="D170" s="1838"/>
      <c r="E170" s="1838"/>
      <c r="F170" s="1821"/>
      <c r="G170" s="1819"/>
      <c r="H170" s="1819"/>
      <c r="I170" s="2194">
        <f>'Part I-Project Information'!I145</f>
        <v>0</v>
      </c>
      <c r="J170" s="1819"/>
      <c r="K170" s="1819"/>
      <c r="L170" s="1819"/>
      <c r="M170" s="1819"/>
      <c r="N170" s="1819"/>
      <c r="O170" s="1819"/>
      <c r="P170" s="1828"/>
      <c r="Q170" s="1819"/>
      <c r="R170" s="1819"/>
      <c r="S170" s="1819"/>
      <c r="T170" s="1819"/>
      <c r="U170" s="1819"/>
    </row>
    <row r="171" spans="1:21" ht="13.8">
      <c r="A171" s="1821"/>
      <c r="B171" s="1821"/>
      <c r="C171" s="1844" t="s">
        <v>1670</v>
      </c>
      <c r="D171" s="1823"/>
      <c r="E171" s="1819"/>
      <c r="F171" s="1819"/>
      <c r="G171" s="1819"/>
      <c r="H171" s="1819"/>
      <c r="I171" s="1821">
        <f>'Part I-Project Information'!I146</f>
        <v>0</v>
      </c>
      <c r="J171" s="1819"/>
      <c r="K171" s="1819"/>
      <c r="L171" s="1819"/>
      <c r="M171" s="1819"/>
      <c r="N171" s="1819"/>
      <c r="O171" s="1819"/>
      <c r="P171" s="1828"/>
      <c r="Q171" s="1819"/>
      <c r="R171" s="1819"/>
      <c r="S171" s="1819"/>
      <c r="T171" s="1819"/>
      <c r="U171" s="1819"/>
    </row>
    <row r="172" spans="1:21" ht="13.8">
      <c r="A172" s="1821"/>
      <c r="B172" s="1821"/>
      <c r="C172" s="1838" t="s">
        <v>2358</v>
      </c>
      <c r="D172" s="1838"/>
      <c r="E172" s="1838"/>
      <c r="F172" s="1821"/>
      <c r="G172" s="1819"/>
      <c r="H172" s="1819"/>
      <c r="I172" s="2194">
        <f>'Part I-Project Information'!I147</f>
        <v>0</v>
      </c>
      <c r="J172" s="1819"/>
      <c r="K172" s="1827" t="s">
        <v>2188</v>
      </c>
      <c r="L172" s="1819"/>
      <c r="M172" s="1819"/>
      <c r="N172" s="1819"/>
      <c r="O172" s="1819" t="str">
        <f>'Part I-Project Information'!O147</f>
        <v>GA-</v>
      </c>
      <c r="P172" s="1819"/>
      <c r="Q172" s="1819"/>
      <c r="R172" s="1819"/>
      <c r="S172" s="1819"/>
      <c r="T172" s="1819"/>
      <c r="U172" s="1819"/>
    </row>
    <row r="173" spans="1:21" ht="13.8">
      <c r="A173" s="1821"/>
      <c r="B173" s="1821"/>
      <c r="C173" s="1838" t="s">
        <v>2356</v>
      </c>
      <c r="D173" s="1819"/>
      <c r="E173" s="1819"/>
      <c r="F173" s="1821"/>
      <c r="G173" s="1819"/>
      <c r="H173" s="1819"/>
      <c r="I173" s="1829">
        <f>'Part I-Project Information'!I148</f>
        <v>0</v>
      </c>
      <c r="J173" s="1819"/>
      <c r="K173" s="1827" t="s">
        <v>2189</v>
      </c>
      <c r="L173" s="1819"/>
      <c r="M173" s="1819"/>
      <c r="N173" s="1819"/>
      <c r="O173" s="1819" t="str">
        <f>'Part I-Project Information'!O148</f>
        <v>GA-</v>
      </c>
      <c r="P173" s="1819"/>
      <c r="Q173" s="1819"/>
      <c r="R173" s="1819"/>
      <c r="S173" s="1819"/>
      <c r="T173" s="1819"/>
      <c r="U173" s="1819"/>
    </row>
    <row r="174" spans="1:21" ht="13.8">
      <c r="A174" s="1821"/>
      <c r="B174" s="1821"/>
      <c r="C174" s="1838" t="s">
        <v>2116</v>
      </c>
      <c r="D174" s="1838"/>
      <c r="E174" s="1838"/>
      <c r="F174" s="1821"/>
      <c r="G174" s="1819"/>
      <c r="H174" s="1819"/>
      <c r="I174" s="2193">
        <f>'Part I-Project Information'!I149</f>
        <v>0</v>
      </c>
      <c r="J174" s="2193"/>
      <c r="K174" s="1819"/>
      <c r="L174" s="1819"/>
      <c r="M174" s="1819"/>
      <c r="N174" s="1819"/>
      <c r="O174" s="1819"/>
      <c r="P174" s="1828"/>
      <c r="Q174" s="1819"/>
      <c r="R174" s="1819"/>
      <c r="S174" s="1819"/>
      <c r="T174" s="1819"/>
      <c r="U174" s="1819"/>
    </row>
    <row r="175" spans="1:21" ht="13.8">
      <c r="A175" s="1821"/>
      <c r="B175" s="1821"/>
      <c r="C175" s="1838"/>
      <c r="D175" s="1838"/>
      <c r="E175" s="1838"/>
      <c r="F175" s="1821"/>
      <c r="G175" s="1821"/>
      <c r="H175" s="1819"/>
      <c r="I175" s="1819"/>
      <c r="J175" s="1819"/>
      <c r="K175" s="1819"/>
      <c r="L175" s="1819"/>
      <c r="M175" s="1821"/>
      <c r="N175" s="1819"/>
      <c r="O175" s="1819"/>
      <c r="P175" s="1828"/>
      <c r="Q175" s="1819"/>
      <c r="R175" s="1819"/>
      <c r="S175" s="1819"/>
      <c r="T175" s="1819"/>
      <c r="U175" s="1819"/>
    </row>
    <row r="176" spans="1:21" ht="13.8">
      <c r="A176" s="1821"/>
      <c r="B176" s="1821" t="s">
        <v>1938</v>
      </c>
      <c r="C176" s="1870" t="s">
        <v>2622</v>
      </c>
      <c r="D176" s="1838"/>
      <c r="E176" s="1827" t="s">
        <v>6920</v>
      </c>
      <c r="F176" s="1827"/>
      <c r="G176" s="1827"/>
      <c r="H176" s="1819"/>
      <c r="I176" s="1829">
        <f>'Part I-Project Information'!I151</f>
        <v>0</v>
      </c>
      <c r="J176" s="1819"/>
      <c r="K176" s="1827" t="s">
        <v>4465</v>
      </c>
      <c r="L176" s="1827"/>
      <c r="M176" s="1827"/>
      <c r="N176" s="1819"/>
      <c r="O176" s="1829">
        <f>'Part I-Project Information'!O151</f>
        <v>0</v>
      </c>
      <c r="P176" s="1828"/>
      <c r="Q176" s="1819"/>
      <c r="R176" s="1819"/>
      <c r="S176" s="1819"/>
      <c r="T176" s="1819"/>
      <c r="U176" s="1819"/>
    </row>
    <row r="177" spans="1:21" ht="13.8">
      <c r="A177" s="1821"/>
      <c r="B177" s="1819"/>
      <c r="C177" s="1838"/>
      <c r="D177" s="1838"/>
      <c r="E177" s="1827" t="s">
        <v>6921</v>
      </c>
      <c r="F177" s="1827"/>
      <c r="G177" s="1827"/>
      <c r="H177" s="1819"/>
      <c r="I177" s="1829">
        <f>'Part I-Project Information'!I152</f>
        <v>0</v>
      </c>
      <c r="J177" s="1819"/>
      <c r="K177" s="1827"/>
      <c r="L177" s="1827"/>
      <c r="M177" s="1827"/>
      <c r="N177" s="1819"/>
      <c r="O177" s="1819"/>
      <c r="P177" s="1828"/>
      <c r="Q177" s="1819"/>
      <c r="R177" s="1819"/>
      <c r="S177" s="1819"/>
      <c r="T177" s="1819"/>
      <c r="U177" s="1819"/>
    </row>
    <row r="178" spans="1:21" ht="13.8">
      <c r="A178" s="1821"/>
      <c r="B178" s="1821"/>
      <c r="C178" s="1838"/>
      <c r="D178" s="1838"/>
      <c r="E178" s="1838"/>
      <c r="F178" s="1821"/>
      <c r="G178" s="1819"/>
      <c r="H178" s="1819"/>
      <c r="I178" s="1819"/>
      <c r="J178" s="1819"/>
      <c r="K178" s="1819"/>
      <c r="L178" s="1819"/>
      <c r="M178" s="1819"/>
      <c r="N178" s="1819"/>
      <c r="O178" s="1819"/>
      <c r="P178" s="1828"/>
      <c r="Q178" s="1819"/>
      <c r="R178" s="1819"/>
      <c r="S178" s="1819"/>
      <c r="T178" s="1819"/>
      <c r="U178" s="1819"/>
    </row>
    <row r="179" spans="1:21" ht="13.8">
      <c r="A179" s="1821"/>
      <c r="B179" s="1821" t="s">
        <v>731</v>
      </c>
      <c r="C179" s="1838" t="s">
        <v>4462</v>
      </c>
      <c r="D179" s="1838"/>
      <c r="E179" s="1838"/>
      <c r="F179" s="1821"/>
      <c r="G179" s="1819"/>
      <c r="H179" s="1819"/>
      <c r="I179" s="1829">
        <f>'Part I-Project Information'!I154</f>
        <v>0</v>
      </c>
      <c r="J179" s="1819"/>
      <c r="K179" s="1819"/>
      <c r="L179" s="1819"/>
      <c r="M179" s="1819"/>
      <c r="N179" s="1819"/>
      <c r="O179" s="1819"/>
      <c r="P179" s="1828"/>
      <c r="Q179" s="1819"/>
      <c r="R179" s="1819"/>
      <c r="S179" s="1819"/>
      <c r="T179" s="1819"/>
      <c r="U179" s="1819"/>
    </row>
    <row r="180" spans="1:21" ht="13.8">
      <c r="A180" s="1821"/>
      <c r="B180" s="1821"/>
      <c r="C180" s="1838"/>
      <c r="D180" s="1838"/>
      <c r="E180" s="1838"/>
      <c r="F180" s="1821"/>
      <c r="G180" s="1821"/>
      <c r="H180" s="1821"/>
      <c r="I180" s="1821"/>
      <c r="J180" s="1829"/>
      <c r="K180" s="1821"/>
      <c r="L180" s="1821"/>
      <c r="M180" s="1819"/>
      <c r="N180" s="1819"/>
      <c r="O180" s="1819"/>
      <c r="P180" s="1828"/>
      <c r="Q180" s="1819"/>
      <c r="R180" s="1819"/>
      <c r="S180" s="1819"/>
      <c r="T180" s="1819"/>
      <c r="U180" s="1819"/>
    </row>
    <row r="181" spans="1:21" ht="13.8">
      <c r="A181" s="1827" t="s">
        <v>1683</v>
      </c>
      <c r="B181" s="1827" t="s">
        <v>1165</v>
      </c>
      <c r="C181" s="1819"/>
      <c r="D181" s="1827"/>
      <c r="E181" s="1827"/>
      <c r="F181" s="1827"/>
      <c r="G181" s="1821"/>
      <c r="H181" s="1821"/>
      <c r="I181" s="1821"/>
      <c r="J181" s="1829"/>
      <c r="K181" s="1821"/>
      <c r="L181" s="1821"/>
      <c r="M181" s="1819"/>
      <c r="N181" s="1819"/>
      <c r="O181" s="1819"/>
      <c r="P181" s="1828"/>
      <c r="Q181" s="1819"/>
      <c r="R181" s="1819"/>
      <c r="S181" s="1819"/>
      <c r="T181" s="1819"/>
      <c r="U181" s="1819"/>
    </row>
    <row r="182" spans="1:21" ht="13.8">
      <c r="A182" s="1827"/>
      <c r="B182" s="1821"/>
      <c r="C182" s="1838"/>
      <c r="D182" s="1838"/>
      <c r="E182" s="1838"/>
      <c r="F182" s="1838"/>
      <c r="G182" s="1821"/>
      <c r="H182" s="1821"/>
      <c r="I182" s="1821"/>
      <c r="J182" s="1829"/>
      <c r="K182" s="1821"/>
      <c r="L182" s="1821"/>
      <c r="M182" s="1819"/>
      <c r="N182" s="1819"/>
      <c r="O182" s="1819"/>
      <c r="P182" s="1819"/>
      <c r="Q182" s="1819"/>
      <c r="R182" s="1819"/>
      <c r="S182" s="1819"/>
      <c r="T182" s="1819"/>
      <c r="U182" s="1819"/>
    </row>
    <row r="183" spans="1:21" ht="13.8">
      <c r="A183" s="1821"/>
      <c r="B183" s="1821" t="s">
        <v>1936</v>
      </c>
      <c r="C183" s="1829" t="s">
        <v>1775</v>
      </c>
      <c r="D183" s="1819"/>
      <c r="E183" s="1819"/>
      <c r="F183" s="1821"/>
      <c r="G183" s="1821"/>
      <c r="H183" s="1821"/>
      <c r="I183" s="1821"/>
      <c r="J183" s="1829"/>
      <c r="K183" s="1821"/>
      <c r="L183" s="1821"/>
      <c r="M183" s="1819"/>
      <c r="N183" s="1819"/>
      <c r="O183" s="1819"/>
      <c r="P183" s="1828"/>
      <c r="Q183" s="1819"/>
      <c r="R183" s="1819"/>
      <c r="S183" s="1819"/>
      <c r="T183" s="1819"/>
      <c r="U183" s="1819"/>
    </row>
    <row r="184" spans="1:21" ht="13.8">
      <c r="A184" s="1821"/>
      <c r="B184" s="1821"/>
      <c r="C184" s="1827" t="s">
        <v>1495</v>
      </c>
      <c r="D184" s="1829"/>
      <c r="E184" s="1829"/>
      <c r="F184" s="1821"/>
      <c r="G184" s="1821"/>
      <c r="H184" s="1821"/>
      <c r="I184" s="1829" t="str">
        <f>'Part I-Project Information'!I159</f>
        <v>No</v>
      </c>
      <c r="J184" s="1819"/>
      <c r="K184" s="1819"/>
      <c r="L184" s="1819"/>
      <c r="M184" s="1819"/>
      <c r="N184" s="1819"/>
      <c r="O184" s="1819"/>
      <c r="P184" s="1828"/>
      <c r="Q184" s="1819"/>
      <c r="R184" s="1819"/>
      <c r="S184" s="1819"/>
      <c r="T184" s="1819"/>
      <c r="U184" s="1819"/>
    </row>
    <row r="185" spans="1:21" ht="13.95" customHeight="1">
      <c r="A185" s="1821"/>
      <c r="B185" s="1821"/>
      <c r="C185" s="1844" t="s">
        <v>6805</v>
      </c>
      <c r="D185" s="1844"/>
      <c r="E185" s="1844"/>
      <c r="F185" s="1844"/>
      <c r="G185" s="1819" t="s">
        <v>4272</v>
      </c>
      <c r="H185" s="1819"/>
      <c r="I185" s="1839">
        <f>'Part I-Project Information'!I160</f>
        <v>0</v>
      </c>
      <c r="J185" s="1819"/>
      <c r="K185" s="1823" t="s">
        <v>1751</v>
      </c>
      <c r="L185" s="1819"/>
      <c r="M185" s="1819"/>
      <c r="N185" s="1819"/>
      <c r="O185" s="1819"/>
      <c r="P185" s="1845">
        <f>'Part I-Project Information'!P160</f>
        <v>0</v>
      </c>
      <c r="Q185" s="1819"/>
      <c r="R185" s="1819"/>
      <c r="S185" s="1819"/>
      <c r="T185" s="1819"/>
      <c r="U185" s="1819"/>
    </row>
    <row r="186" spans="1:21" ht="13.8">
      <c r="A186" s="1821"/>
      <c r="B186" s="1821"/>
      <c r="C186" s="1844"/>
      <c r="D186" s="1844"/>
      <c r="E186" s="1844"/>
      <c r="F186" s="1844"/>
      <c r="G186" s="1819" t="s">
        <v>4271</v>
      </c>
      <c r="H186" s="1819"/>
      <c r="I186" s="1839">
        <f>'Part I-Project Information'!I161</f>
        <v>0</v>
      </c>
      <c r="J186" s="1819"/>
      <c r="K186" s="1823" t="s">
        <v>1751</v>
      </c>
      <c r="L186" s="1819"/>
      <c r="M186" s="1819"/>
      <c r="N186" s="1819"/>
      <c r="O186" s="1819"/>
      <c r="P186" s="1845">
        <f>'Part I-Project Information'!P161</f>
        <v>0</v>
      </c>
      <c r="Q186" s="1819"/>
      <c r="R186" s="1819"/>
      <c r="S186" s="1819"/>
      <c r="T186" s="1819"/>
      <c r="U186" s="1819"/>
    </row>
    <row r="187" spans="1:21" ht="13.8">
      <c r="A187" s="1821"/>
      <c r="B187" s="1821"/>
      <c r="C187" s="1823" t="s">
        <v>4273</v>
      </c>
      <c r="D187" s="1819"/>
      <c r="E187" s="1819"/>
      <c r="F187" s="1819"/>
      <c r="G187" s="1819"/>
      <c r="H187" s="1819"/>
      <c r="I187" s="1839">
        <f>'Part I-Project Information'!I162</f>
        <v>0</v>
      </c>
      <c r="J187" s="1819"/>
      <c r="K187" s="1823" t="s">
        <v>1751</v>
      </c>
      <c r="L187" s="1819"/>
      <c r="M187" s="1819"/>
      <c r="N187" s="1819"/>
      <c r="O187" s="1845"/>
      <c r="P187" s="1845">
        <f>'Part I-Project Information'!P162</f>
        <v>0</v>
      </c>
      <c r="Q187" s="1819"/>
      <c r="R187" s="1819"/>
      <c r="S187" s="1819"/>
      <c r="T187" s="1819"/>
      <c r="U187" s="1819"/>
    </row>
    <row r="188" spans="1:21" ht="13.8">
      <c r="A188" s="1821"/>
      <c r="B188" s="1821"/>
      <c r="C188" s="1819"/>
      <c r="D188" s="1819"/>
      <c r="E188" s="1819"/>
      <c r="F188" s="1819"/>
      <c r="G188" s="1819"/>
      <c r="H188" s="1819"/>
      <c r="I188" s="1819"/>
      <c r="J188" s="1819"/>
      <c r="K188" s="1819"/>
      <c r="L188" s="1819"/>
      <c r="M188" s="1819"/>
      <c r="N188" s="1819"/>
      <c r="O188" s="1819"/>
      <c r="P188" s="1819"/>
      <c r="Q188" s="1819"/>
      <c r="R188" s="1819"/>
      <c r="S188" s="1819"/>
      <c r="T188" s="1819"/>
      <c r="U188" s="1819"/>
    </row>
    <row r="189" spans="1:21" ht="13.8">
      <c r="A189" s="1821"/>
      <c r="B189" s="1821"/>
      <c r="C189" s="1819" t="s">
        <v>1752</v>
      </c>
      <c r="D189" s="1819" t="str">
        <f>'Part I-Project Information'!D164</f>
        <v>The Housing Authority of the City of Columbus</v>
      </c>
      <c r="E189" s="1819"/>
      <c r="F189" s="1819"/>
      <c r="G189" s="1819"/>
      <c r="H189" s="1819"/>
      <c r="I189" s="1823" t="s">
        <v>4226</v>
      </c>
      <c r="J189" s="1819"/>
      <c r="K189" s="1819"/>
      <c r="L189" s="1819"/>
      <c r="M189" s="1819"/>
      <c r="N189" s="2188">
        <f>'Part I-Project Information'!N164</f>
        <v>7065712800</v>
      </c>
      <c r="O189" s="2188"/>
      <c r="P189" s="2188"/>
      <c r="Q189" s="1819"/>
      <c r="R189" s="1819"/>
      <c r="S189" s="1819"/>
      <c r="T189" s="1819"/>
      <c r="U189" s="1819"/>
    </row>
    <row r="190" spans="1:21" ht="13.8">
      <c r="A190" s="1821"/>
      <c r="B190" s="1821"/>
      <c r="C190" s="1823" t="s">
        <v>4227</v>
      </c>
      <c r="D190" s="1819" t="str">
        <f>'Part I-Project Information'!D165</f>
        <v>100 Wynnton Road</v>
      </c>
      <c r="E190" s="1819"/>
      <c r="F190" s="1819"/>
      <c r="G190" s="1819"/>
      <c r="H190" s="1819"/>
      <c r="I190" s="1819" t="s">
        <v>1753</v>
      </c>
      <c r="J190" s="1819" t="str">
        <f>'Part I-Project Information'!J165</f>
        <v>J. Len Williams</v>
      </c>
      <c r="K190" s="1819"/>
      <c r="L190" s="1819"/>
      <c r="M190" s="1819" t="s">
        <v>1933</v>
      </c>
      <c r="N190" s="1819" t="str">
        <f>'Part I-Project Information'!N165</f>
        <v xml:space="preserve">Chief Executive Officer </v>
      </c>
      <c r="O190" s="1819"/>
      <c r="P190" s="1819"/>
      <c r="Q190" s="1819"/>
      <c r="R190" s="1819"/>
      <c r="S190" s="1819"/>
      <c r="T190" s="1819"/>
      <c r="U190" s="1819"/>
    </row>
    <row r="191" spans="1:21" ht="13.8">
      <c r="A191" s="1821"/>
      <c r="B191" s="1821"/>
      <c r="C191" s="1823" t="s">
        <v>600</v>
      </c>
      <c r="D191" s="1819" t="str">
        <f>'Part I-Project Information'!D166</f>
        <v xml:space="preserve">Columbus </v>
      </c>
      <c r="E191" s="1819"/>
      <c r="F191" s="1819" t="s">
        <v>2173</v>
      </c>
      <c r="G191" s="2187">
        <f>'Part I-Project Information'!G166</f>
        <v>319020630</v>
      </c>
      <c r="H191" s="2187"/>
      <c r="I191" s="1823" t="s">
        <v>1756</v>
      </c>
      <c r="J191" s="2188">
        <f>'Part I-Project Information'!J166</f>
        <v>7065712800</v>
      </c>
      <c r="K191" s="2188"/>
      <c r="L191" s="2188"/>
      <c r="M191" s="1819" t="s">
        <v>1932</v>
      </c>
      <c r="N191" s="2188">
        <f>'Part I-Project Information'!N166</f>
        <v>0</v>
      </c>
      <c r="O191" s="2188"/>
      <c r="P191" s="2188"/>
      <c r="Q191" s="1819"/>
      <c r="R191" s="1819"/>
      <c r="S191" s="1819"/>
      <c r="T191" s="1819"/>
      <c r="U191" s="1819"/>
    </row>
    <row r="192" spans="1:21" ht="13.8">
      <c r="A192" s="1821"/>
      <c r="B192" s="1821"/>
      <c r="C192" s="1819" t="s">
        <v>2625</v>
      </c>
      <c r="D192" s="1819" t="str">
        <f>'Part I-Project Information'!D167</f>
        <v>https://www.columbushousing.org/</v>
      </c>
      <c r="E192" s="1819"/>
      <c r="F192" s="1819"/>
      <c r="G192" s="1819"/>
      <c r="H192" s="1819"/>
      <c r="I192" s="1823" t="s">
        <v>1755</v>
      </c>
      <c r="J192" s="1965" t="str">
        <f>'Part I-Project Information'!J167</f>
        <v>jlwilliams@columbushousing.org</v>
      </c>
      <c r="K192" s="1965"/>
      <c r="L192" s="1965"/>
      <c r="M192" s="1965"/>
      <c r="N192" s="1965"/>
      <c r="O192" s="1965"/>
      <c r="P192" s="1965"/>
      <c r="Q192" s="1819"/>
      <c r="R192" s="1819"/>
      <c r="S192" s="1819"/>
      <c r="T192" s="1819"/>
      <c r="U192" s="1819"/>
    </row>
    <row r="193" spans="1:21" ht="13.8">
      <c r="A193" s="1821"/>
      <c r="B193" s="1821"/>
      <c r="C193" s="1819" t="s">
        <v>4274</v>
      </c>
      <c r="D193" s="1819"/>
      <c r="E193" s="1846"/>
      <c r="F193" s="1846"/>
      <c r="G193" s="1846"/>
      <c r="H193" s="1821"/>
      <c r="I193" s="1829" t="str">
        <f>'Part I-Project Information'!I168</f>
        <v>No</v>
      </c>
      <c r="J193" s="1827" t="s">
        <v>743</v>
      </c>
      <c r="K193" s="1827"/>
      <c r="L193" s="1829">
        <f>'Part I-Project Information'!L168</f>
        <v>0</v>
      </c>
      <c r="M193" s="1846"/>
      <c r="N193" s="1821"/>
      <c r="O193" s="1846"/>
      <c r="P193" s="1846"/>
      <c r="Q193" s="1819"/>
      <c r="R193" s="1819"/>
      <c r="S193" s="1819"/>
      <c r="T193" s="1819"/>
      <c r="U193" s="1819"/>
    </row>
    <row r="194" spans="1:21" ht="13.8">
      <c r="A194" s="1821"/>
      <c r="B194" s="1821"/>
      <c r="C194" s="1819"/>
      <c r="D194" s="1819"/>
      <c r="E194" s="1819"/>
      <c r="F194" s="1819"/>
      <c r="G194" s="1819"/>
      <c r="H194" s="1819"/>
      <c r="I194" s="1819"/>
      <c r="J194" s="1819"/>
      <c r="K194" s="1819"/>
      <c r="L194" s="1819"/>
      <c r="M194" s="1819"/>
      <c r="N194" s="1819"/>
      <c r="O194" s="1819"/>
      <c r="P194" s="1819"/>
      <c r="Q194" s="1819"/>
      <c r="R194" s="1819"/>
      <c r="S194" s="1819"/>
      <c r="T194" s="1819"/>
      <c r="U194" s="1819"/>
    </row>
    <row r="195" spans="1:21" ht="13.8">
      <c r="A195" s="1821"/>
      <c r="B195" s="1821" t="s">
        <v>1938</v>
      </c>
      <c r="C195" s="1823" t="s">
        <v>2623</v>
      </c>
      <c r="D195" s="1823"/>
      <c r="E195" s="1823"/>
      <c r="F195" s="1823"/>
      <c r="G195" s="1823"/>
      <c r="H195" s="1819"/>
      <c r="I195" s="1829">
        <f>'Part I-Project Information'!I170</f>
        <v>0</v>
      </c>
      <c r="J195" s="1819" t="s">
        <v>743</v>
      </c>
      <c r="K195" s="1819"/>
      <c r="L195" s="1829">
        <f>'Part I-Project Information'!L170</f>
        <v>0</v>
      </c>
      <c r="M195" s="1819" t="s">
        <v>2267</v>
      </c>
      <c r="N195" s="1819"/>
      <c r="O195" s="1819"/>
      <c r="P195" s="1829">
        <f>'Part I-Project Information'!P170</f>
        <v>0</v>
      </c>
      <c r="Q195" s="1819"/>
      <c r="R195" s="1819"/>
      <c r="S195" s="1819"/>
      <c r="T195" s="1819"/>
      <c r="U195" s="1819"/>
    </row>
    <row r="196" spans="1:21" ht="13.8">
      <c r="A196" s="1821"/>
      <c r="B196" s="1821"/>
      <c r="C196" s="1823" t="s">
        <v>2624</v>
      </c>
      <c r="D196" s="1823"/>
      <c r="E196" s="1823"/>
      <c r="F196" s="1823"/>
      <c r="G196" s="1823"/>
      <c r="H196" s="1819"/>
      <c r="I196" s="1829" t="str">
        <f>'Part I-Project Information'!I171</f>
        <v>No</v>
      </c>
      <c r="J196" s="1819" t="s">
        <v>743</v>
      </c>
      <c r="K196" s="1819"/>
      <c r="L196" s="1829">
        <f>'Part I-Project Information'!L171</f>
        <v>0</v>
      </c>
      <c r="M196" s="1819" t="s">
        <v>2267</v>
      </c>
      <c r="N196" s="1819"/>
      <c r="O196" s="1819"/>
      <c r="P196" s="1829">
        <f>'Part I-Project Information'!P171</f>
        <v>0</v>
      </c>
      <c r="Q196" s="1819"/>
      <c r="R196" s="1819"/>
      <c r="S196" s="1819"/>
      <c r="T196" s="1819"/>
      <c r="U196" s="1819"/>
    </row>
    <row r="197" spans="1:21" ht="13.8">
      <c r="A197" s="1821"/>
      <c r="B197" s="1821"/>
      <c r="C197" s="1823"/>
      <c r="D197" s="1823"/>
      <c r="E197" s="1819"/>
      <c r="F197" s="1823"/>
      <c r="G197" s="1823"/>
      <c r="H197" s="1819"/>
      <c r="I197" s="1819"/>
      <c r="J197" s="1819"/>
      <c r="K197" s="1821"/>
      <c r="L197" s="1819"/>
      <c r="M197" s="1819"/>
      <c r="N197" s="1819"/>
      <c r="O197" s="1821"/>
      <c r="P197" s="1828"/>
      <c r="Q197" s="1819"/>
      <c r="R197" s="1819"/>
      <c r="S197" s="1819"/>
      <c r="T197" s="1819"/>
      <c r="U197" s="1819"/>
    </row>
    <row r="198" spans="1:21" ht="13.8">
      <c r="A198" s="1821"/>
      <c r="B198" s="1821" t="s">
        <v>731</v>
      </c>
      <c r="C198" s="1823" t="s">
        <v>1713</v>
      </c>
      <c r="D198" s="1823"/>
      <c r="E198" s="1823"/>
      <c r="F198" s="1823"/>
      <c r="G198" s="1823"/>
      <c r="H198" s="1819"/>
      <c r="I198" s="1829" t="str">
        <f>'Part I-Project Information'!I173</f>
        <v>No</v>
      </c>
      <c r="J198" s="1819"/>
      <c r="K198" s="1819"/>
      <c r="L198" s="1819"/>
      <c r="M198" s="1819"/>
      <c r="N198" s="1819"/>
      <c r="O198" s="1819"/>
      <c r="P198" s="1828"/>
      <c r="Q198" s="1819"/>
      <c r="R198" s="1819"/>
      <c r="S198" s="1819"/>
      <c r="T198" s="1819"/>
      <c r="U198" s="1819"/>
    </row>
    <row r="199" spans="1:21" ht="13.8">
      <c r="A199" s="1821"/>
      <c r="B199" s="1821"/>
      <c r="C199" s="1823"/>
      <c r="D199" s="1819"/>
      <c r="E199" s="1846"/>
      <c r="F199" s="1846"/>
      <c r="G199" s="1846"/>
      <c r="H199" s="1819"/>
      <c r="I199" s="1846"/>
      <c r="J199" s="1846"/>
      <c r="K199" s="1821"/>
      <c r="L199" s="1846"/>
      <c r="M199" s="1846"/>
      <c r="N199" s="1821"/>
      <c r="O199" s="1846"/>
      <c r="P199" s="1846"/>
      <c r="Q199" s="1819"/>
      <c r="R199" s="1819"/>
      <c r="S199" s="1819"/>
      <c r="T199" s="1819"/>
      <c r="U199" s="1819"/>
    </row>
    <row r="200" spans="1:21" ht="13.8">
      <c r="A200" s="1821"/>
      <c r="B200" s="1821" t="s">
        <v>2065</v>
      </c>
      <c r="C200" s="1819" t="s">
        <v>1931</v>
      </c>
      <c r="D200" s="1819"/>
      <c r="E200" s="1819"/>
      <c r="F200" s="1819"/>
      <c r="G200" s="1823"/>
      <c r="H200" s="1819"/>
      <c r="I200" s="1829" t="str">
        <f>'Part I-Project Information'!I175</f>
        <v>No</v>
      </c>
      <c r="J200" s="1847" t="s">
        <v>2665</v>
      </c>
      <c r="K200" s="1819"/>
      <c r="L200" s="1819" t="s">
        <v>6922</v>
      </c>
      <c r="M200" s="1819"/>
      <c r="N200" s="1823"/>
      <c r="O200" s="1823"/>
      <c r="P200" s="1829">
        <f>'Part I-Project Information'!P175</f>
        <v>0</v>
      </c>
      <c r="Q200" s="1819"/>
      <c r="R200" s="1819"/>
      <c r="S200" s="1819"/>
      <c r="T200" s="1819"/>
      <c r="U200" s="1819"/>
    </row>
    <row r="201" spans="1:21" ht="13.8">
      <c r="A201" s="1819"/>
      <c r="B201" s="1821"/>
      <c r="C201" s="1819"/>
      <c r="D201" s="1819"/>
      <c r="E201" s="1819"/>
      <c r="F201" s="1819"/>
      <c r="G201" s="1819"/>
      <c r="H201" s="1819"/>
      <c r="I201" s="1819"/>
      <c r="J201" s="1819"/>
      <c r="K201" s="1819"/>
      <c r="L201" s="1819" t="s">
        <v>777</v>
      </c>
      <c r="M201" s="1819"/>
      <c r="N201" s="1838"/>
      <c r="O201" s="1838"/>
      <c r="P201" s="1829">
        <f>'Part I-Project Information'!P176</f>
        <v>0</v>
      </c>
      <c r="Q201" s="1819"/>
      <c r="R201" s="1819"/>
      <c r="S201" s="1819"/>
      <c r="T201" s="1819"/>
      <c r="U201" s="1819"/>
    </row>
    <row r="202" spans="1:21" ht="13.8">
      <c r="A202" s="1821"/>
      <c r="B202" s="1821"/>
      <c r="C202" s="1819"/>
      <c r="D202" s="1819"/>
      <c r="E202" s="1819"/>
      <c r="F202" s="1819"/>
      <c r="G202" s="1819"/>
      <c r="H202" s="1819"/>
      <c r="I202" s="1819"/>
      <c r="J202" s="1819"/>
      <c r="K202" s="1819"/>
      <c r="L202" s="1819" t="s">
        <v>1747</v>
      </c>
      <c r="M202" s="1819"/>
      <c r="N202" s="1838"/>
      <c r="O202" s="1838"/>
      <c r="P202" s="2066" t="e">
        <f>IF(P200="","",P201/P200)</f>
        <v>#DIV/0!</v>
      </c>
      <c r="Q202" s="1819"/>
      <c r="R202" s="1819"/>
      <c r="S202" s="1819"/>
      <c r="T202" s="1819"/>
      <c r="U202" s="1819"/>
    </row>
    <row r="203" spans="1:21" ht="13.8">
      <c r="A203" s="1821"/>
      <c r="B203" s="1821" t="s">
        <v>1692</v>
      </c>
      <c r="C203" s="1823" t="s">
        <v>1576</v>
      </c>
      <c r="D203" s="1838"/>
      <c r="E203" s="1838"/>
      <c r="F203" s="1838"/>
      <c r="G203" s="1838"/>
      <c r="H203" s="1821"/>
      <c r="I203" s="1819"/>
      <c r="J203" s="1827"/>
      <c r="K203" s="1829"/>
      <c r="L203" s="1819"/>
      <c r="M203" s="1819"/>
      <c r="N203" s="1819"/>
      <c r="O203" s="1821"/>
      <c r="P203" s="1828"/>
      <c r="Q203" s="1819"/>
      <c r="R203" s="1819"/>
      <c r="S203" s="1819"/>
      <c r="T203" s="1819"/>
      <c r="U203" s="1819"/>
    </row>
    <row r="204" spans="1:21" ht="13.8">
      <c r="A204" s="1821"/>
      <c r="B204" s="1821"/>
      <c r="C204" s="1819" t="s">
        <v>2156</v>
      </c>
      <c r="D204" s="1819"/>
      <c r="E204" s="1819"/>
      <c r="F204" s="1819"/>
      <c r="G204" s="1819"/>
      <c r="H204" s="1819"/>
      <c r="I204" s="1829" t="str">
        <f>'Part I-Project Information'!I179</f>
        <v>No</v>
      </c>
      <c r="J204" s="1819"/>
      <c r="K204" s="1819"/>
      <c r="L204" s="1819" t="s">
        <v>1577</v>
      </c>
      <c r="M204" s="1819"/>
      <c r="N204" s="1819"/>
      <c r="O204" s="1819"/>
      <c r="P204" s="1829" t="str">
        <f>'Part I-Project Information'!P179</f>
        <v>Yes</v>
      </c>
      <c r="Q204" s="1819"/>
      <c r="R204" s="1819"/>
      <c r="S204" s="1819"/>
      <c r="T204" s="1819"/>
      <c r="U204" s="1819"/>
    </row>
    <row r="205" spans="1:21" ht="13.8">
      <c r="A205" s="1821"/>
      <c r="B205" s="1821"/>
      <c r="C205" s="1819" t="s">
        <v>2157</v>
      </c>
      <c r="D205" s="1819"/>
      <c r="E205" s="1819"/>
      <c r="F205" s="1819"/>
      <c r="G205" s="1819"/>
      <c r="H205" s="1819"/>
      <c r="I205" s="1829" t="str">
        <f>'Part I-Project Information'!I180</f>
        <v>No</v>
      </c>
      <c r="J205" s="1819"/>
      <c r="K205" s="1819"/>
      <c r="L205" s="1819" t="s">
        <v>2746</v>
      </c>
      <c r="M205" s="1819"/>
      <c r="N205" s="1819"/>
      <c r="O205" s="1819"/>
      <c r="P205" s="1829" t="str">
        <f>'Part I-Project Information'!P180</f>
        <v>No</v>
      </c>
      <c r="Q205" s="1819"/>
      <c r="R205" s="1819"/>
      <c r="S205" s="1819"/>
      <c r="T205" s="1819"/>
      <c r="U205" s="1819"/>
    </row>
    <row r="206" spans="1:21" ht="13.8">
      <c r="A206" s="1821"/>
      <c r="B206" s="1819"/>
      <c r="C206" s="1819" t="s">
        <v>2641</v>
      </c>
      <c r="D206" s="1819"/>
      <c r="E206" s="1819"/>
      <c r="F206" s="1819"/>
      <c r="G206" s="1819"/>
      <c r="H206" s="1819"/>
      <c r="I206" s="1829" t="str">
        <f>'Part I-Project Information'!I181</f>
        <v>No</v>
      </c>
      <c r="J206" s="1819"/>
      <c r="K206" s="1819"/>
      <c r="L206" s="1819" t="s">
        <v>2612</v>
      </c>
      <c r="M206" s="1819"/>
      <c r="N206" s="2072">
        <f>'Part I-Project Information'!N181</f>
        <v>0</v>
      </c>
      <c r="O206" s="2072"/>
      <c r="P206" s="1829">
        <f>'Part I-Project Information'!P181</f>
        <v>0</v>
      </c>
      <c r="Q206" s="1819"/>
      <c r="R206" s="1819"/>
      <c r="S206" s="1819"/>
      <c r="T206" s="1819"/>
      <c r="U206" s="1819"/>
    </row>
    <row r="207" spans="1:21" ht="13.8">
      <c r="A207" s="1821"/>
      <c r="B207" s="1821"/>
      <c r="C207" s="1819" t="s">
        <v>1259</v>
      </c>
      <c r="D207" s="1849"/>
      <c r="E207" s="1819"/>
      <c r="F207" s="1819"/>
      <c r="G207" s="1819"/>
      <c r="H207" s="1819"/>
      <c r="I207" s="1829" t="str">
        <f>'Part I-Project Information'!I182</f>
        <v>No</v>
      </c>
      <c r="J207" s="1819"/>
      <c r="K207" s="1819"/>
      <c r="L207" s="1819" t="s">
        <v>3361</v>
      </c>
      <c r="M207" s="1819"/>
      <c r="N207" s="1819"/>
      <c r="O207" s="1819"/>
      <c r="P207" s="1829" t="str">
        <f>'Part I-Project Information'!P182</f>
        <v>No</v>
      </c>
      <c r="Q207" s="1819"/>
      <c r="R207" s="1819"/>
      <c r="S207" s="1819"/>
      <c r="T207" s="1819"/>
      <c r="U207" s="1819"/>
    </row>
    <row r="208" spans="1:21" ht="13.8">
      <c r="A208" s="1821"/>
      <c r="B208" s="1819"/>
      <c r="C208" s="1819" t="s">
        <v>4522</v>
      </c>
      <c r="D208" s="1819"/>
      <c r="E208" s="1819"/>
      <c r="F208" s="1819"/>
      <c r="G208" s="1819"/>
      <c r="H208" s="1819"/>
      <c r="I208" s="1829" t="str">
        <f>'Part I-Project Information'!I183</f>
        <v>No</v>
      </c>
      <c r="J208" s="1847" t="s">
        <v>2666</v>
      </c>
      <c r="K208" s="1819"/>
      <c r="L208" s="1819"/>
      <c r="M208" s="1819"/>
      <c r="N208" s="1819"/>
      <c r="O208" s="2195">
        <f>'Part I-Project Information'!O183</f>
        <v>0</v>
      </c>
      <c r="P208" s="2195"/>
      <c r="Q208" s="1819"/>
      <c r="R208" s="1819"/>
      <c r="S208" s="1819"/>
      <c r="T208" s="1819"/>
      <c r="U208" s="1819"/>
    </row>
    <row r="209" spans="1:21" ht="13.8">
      <c r="A209" s="1821"/>
      <c r="B209" s="1819"/>
      <c r="C209" s="1819" t="s">
        <v>1761</v>
      </c>
      <c r="D209" s="1819"/>
      <c r="E209" s="1819"/>
      <c r="F209" s="1819"/>
      <c r="G209" s="1819"/>
      <c r="H209" s="1819"/>
      <c r="I209" s="1829" t="str">
        <f>'Part I-Project Information'!I184</f>
        <v>No</v>
      </c>
      <c r="J209" s="1847" t="s">
        <v>2666</v>
      </c>
      <c r="K209" s="1819"/>
      <c r="L209" s="1819"/>
      <c r="M209" s="1819"/>
      <c r="N209" s="1819"/>
      <c r="O209" s="2195">
        <f>'Part I-Project Information'!O184</f>
        <v>0</v>
      </c>
      <c r="P209" s="2195"/>
      <c r="Q209" s="1819"/>
      <c r="R209" s="1819"/>
      <c r="S209" s="1819"/>
      <c r="T209" s="1819"/>
      <c r="U209" s="1819"/>
    </row>
    <row r="210" spans="1:21" ht="13.8">
      <c r="A210" s="1821"/>
      <c r="B210" s="1821"/>
      <c r="C210" s="1819" t="s">
        <v>2800</v>
      </c>
      <c r="D210" s="1819"/>
      <c r="E210" s="1819"/>
      <c r="F210" s="1819"/>
      <c r="G210" s="1819"/>
      <c r="H210" s="1819"/>
      <c r="I210" s="1829" t="str">
        <f>'Part I-Project Information'!I185</f>
        <v>No</v>
      </c>
      <c r="J210" s="1847" t="s">
        <v>2666</v>
      </c>
      <c r="K210" s="1819"/>
      <c r="L210" s="1819"/>
      <c r="M210" s="1819"/>
      <c r="N210" s="1819"/>
      <c r="O210" s="2195">
        <f>'Part I-Project Information'!O185</f>
        <v>0</v>
      </c>
      <c r="P210" s="2195"/>
      <c r="Q210" s="1819"/>
      <c r="R210" s="1819"/>
      <c r="S210" s="1819"/>
      <c r="T210" s="1819"/>
      <c r="U210" s="1819"/>
    </row>
    <row r="211" spans="1:21" ht="13.8">
      <c r="A211" s="1821"/>
      <c r="B211" s="1821"/>
      <c r="C211" s="1819"/>
      <c r="D211" s="1819"/>
      <c r="E211" s="1819"/>
      <c r="F211" s="1819"/>
      <c r="G211" s="1819"/>
      <c r="H211" s="1819"/>
      <c r="I211" s="1819"/>
      <c r="J211" s="1819"/>
      <c r="K211" s="1819"/>
      <c r="L211" s="1819"/>
      <c r="M211" s="1819"/>
      <c r="N211" s="1819"/>
      <c r="O211" s="1819"/>
      <c r="P211" s="1827"/>
      <c r="Q211" s="1819"/>
      <c r="R211" s="1819"/>
      <c r="S211" s="1819"/>
      <c r="T211" s="1819"/>
      <c r="U211" s="1819"/>
    </row>
    <row r="212" spans="1:21" ht="13.8">
      <c r="A212" s="1819"/>
      <c r="B212" s="1821" t="s">
        <v>1693</v>
      </c>
      <c r="C212" s="1823" t="s">
        <v>721</v>
      </c>
      <c r="D212" s="1819"/>
      <c r="E212" s="1819"/>
      <c r="F212" s="1819"/>
      <c r="G212" s="1819"/>
      <c r="H212" s="1819"/>
      <c r="I212" s="1819"/>
      <c r="J212" s="1819"/>
      <c r="K212" s="1819"/>
      <c r="L212" s="1819"/>
      <c r="M212" s="1819"/>
      <c r="N212" s="1819"/>
      <c r="O212" s="1819"/>
      <c r="P212" s="1819"/>
      <c r="Q212" s="1819"/>
      <c r="R212" s="1819"/>
      <c r="S212" s="1819"/>
      <c r="T212" s="1819"/>
      <c r="U212" s="1819"/>
    </row>
    <row r="213" spans="1:21" ht="13.8">
      <c r="A213" s="1821"/>
      <c r="B213" s="1821"/>
      <c r="C213" s="1823" t="s">
        <v>621</v>
      </c>
      <c r="D213" s="1838"/>
      <c r="E213" s="1838"/>
      <c r="F213" s="1821"/>
      <c r="G213" s="1821"/>
      <c r="H213" s="2193">
        <f>'Part I-Project Information'!H188</f>
        <v>0</v>
      </c>
      <c r="I213" s="2193"/>
      <c r="J213" s="1819"/>
      <c r="K213" s="1819"/>
      <c r="L213" s="1819"/>
      <c r="M213" s="1819"/>
      <c r="N213" s="1819"/>
      <c r="O213" s="1819"/>
      <c r="P213" s="1828"/>
      <c r="Q213" s="1819"/>
      <c r="R213" s="1819"/>
      <c r="S213" s="1819"/>
      <c r="T213" s="1819"/>
      <c r="U213" s="1819"/>
    </row>
    <row r="214" spans="1:21" ht="13.8">
      <c r="A214" s="1821"/>
      <c r="B214" s="1821"/>
      <c r="C214" s="1823" t="s">
        <v>271</v>
      </c>
      <c r="D214" s="1838"/>
      <c r="E214" s="1838"/>
      <c r="F214" s="1821"/>
      <c r="G214" s="1821"/>
      <c r="H214" s="2193">
        <f>'Part I-Project Information'!H189</f>
        <v>0</v>
      </c>
      <c r="I214" s="2193"/>
      <c r="J214" s="1819"/>
      <c r="K214" s="1819"/>
      <c r="L214" s="1819"/>
      <c r="M214" s="1819"/>
      <c r="N214" s="1819"/>
      <c r="O214" s="1819"/>
      <c r="P214" s="1828"/>
      <c r="Q214" s="1819"/>
      <c r="R214" s="1819"/>
      <c r="S214" s="1819"/>
      <c r="T214" s="1819"/>
      <c r="U214" s="1819"/>
    </row>
    <row r="215" spans="1:21" ht="13.8">
      <c r="A215" s="1821"/>
      <c r="B215" s="1821"/>
      <c r="C215" s="1823" t="s">
        <v>2237</v>
      </c>
      <c r="D215" s="1838"/>
      <c r="E215" s="1838"/>
      <c r="F215" s="1821"/>
      <c r="G215" s="1821"/>
      <c r="H215" s="2193">
        <f>'Part I-Project Information'!H190</f>
        <v>44866</v>
      </c>
      <c r="I215" s="2193"/>
      <c r="J215" s="1819"/>
      <c r="K215" s="1819"/>
      <c r="L215" s="1819"/>
      <c r="M215" s="1819"/>
      <c r="N215" s="1819"/>
      <c r="O215" s="1819"/>
      <c r="P215" s="1828"/>
      <c r="Q215" s="1819"/>
      <c r="R215" s="1819"/>
      <c r="S215" s="1819"/>
      <c r="T215" s="1819"/>
      <c r="U215" s="1819"/>
    </row>
    <row r="216" spans="1:21" ht="13.8">
      <c r="A216" s="1819"/>
      <c r="B216" s="1819"/>
      <c r="C216" s="1819"/>
      <c r="D216" s="1819"/>
      <c r="E216" s="1819"/>
      <c r="F216" s="1819"/>
      <c r="G216" s="1819"/>
      <c r="H216" s="1819"/>
      <c r="I216" s="1819"/>
      <c r="J216" s="1819"/>
      <c r="K216" s="1819"/>
      <c r="L216" s="1827"/>
      <c r="M216" s="1827"/>
      <c r="N216" s="1827"/>
      <c r="O216" s="1827"/>
      <c r="P216" s="1826"/>
      <c r="Q216" s="1819"/>
      <c r="R216" s="1819"/>
      <c r="S216" s="1819"/>
      <c r="T216" s="1819"/>
      <c r="U216" s="1819"/>
    </row>
    <row r="217" spans="1:21" ht="13.8">
      <c r="A217" s="1827" t="s">
        <v>2691</v>
      </c>
      <c r="B217" s="1827"/>
      <c r="C217" s="1827" t="s">
        <v>555</v>
      </c>
      <c r="D217" s="1827"/>
      <c r="E217" s="1827"/>
      <c r="F217" s="1827"/>
      <c r="G217" s="1827"/>
      <c r="H217" s="1827"/>
      <c r="I217" s="1827"/>
      <c r="J217" s="1827"/>
      <c r="K217" s="1827"/>
      <c r="L217" s="1827"/>
      <c r="M217" s="1827" t="s">
        <v>2194</v>
      </c>
      <c r="N217" s="1827" t="s">
        <v>77</v>
      </c>
      <c r="O217" s="1827"/>
      <c r="P217" s="1827"/>
      <c r="Q217" s="1827"/>
      <c r="R217" s="1827"/>
      <c r="S217" s="1827"/>
      <c r="T217" s="1827"/>
      <c r="U217" s="1827"/>
    </row>
    <row r="218" spans="1:21" ht="13.2" customHeight="1">
      <c r="A218" s="1887" t="str">
        <f>'Part I-Project Information'!A193</f>
        <v xml:space="preserve">The Qualification Determination Letter can be found in TAB 19. 
In TAB 10, Ordinance No. 17-22 allows for parking to be 1.25 spaces per unit (1.25 parking spaces x 72 units = 90 parking spaces). Applicant is providing 99 parking spaces. </v>
      </c>
      <c r="B218" s="1887"/>
      <c r="C218" s="1887"/>
      <c r="D218" s="1887"/>
      <c r="E218" s="1887"/>
      <c r="F218" s="1887"/>
      <c r="G218" s="1887"/>
      <c r="H218" s="1887"/>
      <c r="I218" s="1887"/>
      <c r="J218" s="1887"/>
      <c r="K218" s="1887"/>
      <c r="L218" s="1887"/>
      <c r="M218" s="1887">
        <f>'Part I-Project Information'!M193</f>
        <v>0</v>
      </c>
      <c r="N218" s="1887"/>
      <c r="O218" s="1887"/>
      <c r="P218" s="1887"/>
      <c r="Q218" s="1973" t="s">
        <v>2614</v>
      </c>
      <c r="R218" s="1973"/>
      <c r="S218" s="1973"/>
      <c r="T218" s="1973"/>
      <c r="U218" s="1973"/>
    </row>
    <row r="219" spans="1:21" ht="13.95" customHeight="1">
      <c r="A219" s="1827"/>
      <c r="B219" s="1827"/>
      <c r="C219" s="1827"/>
      <c r="D219" s="1827"/>
      <c r="E219" s="1827"/>
      <c r="F219" s="1827"/>
      <c r="G219" s="1827"/>
      <c r="H219" s="1827"/>
      <c r="I219" s="1827"/>
      <c r="J219" s="1827"/>
      <c r="K219" s="1827"/>
      <c r="L219" s="1827"/>
      <c r="M219" s="1827"/>
      <c r="N219" s="1827"/>
      <c r="O219" s="1827"/>
      <c r="P219" s="1827"/>
      <c r="Q219" s="1973"/>
      <c r="R219" s="1973"/>
      <c r="S219" s="1973"/>
      <c r="T219" s="1973"/>
      <c r="U219" s="1973"/>
    </row>
    <row r="222" spans="1:21" ht="13.8">
      <c r="A222" s="1819" t="str">
        <f>CONCATENATE("PART TWO - DEVELOPMENT TEAM INFORMATION","  -  ",'Part I-Project Information'!$O$6," ",'Part I-Project Information'!$F$34,", ",'Part I-Project Information'!F259,", ",'Part I-Project Information'!J260," County")</f>
        <v>PART TWO - DEVELOPMENT TEAM INFORMATION  -  2020-074 Harper Woods II, ,  County</v>
      </c>
      <c r="B222" s="1819"/>
      <c r="C222" s="1819"/>
      <c r="D222" s="1819"/>
      <c r="E222" s="1819"/>
      <c r="F222" s="1819"/>
      <c r="G222" s="1819"/>
      <c r="H222" s="1819"/>
      <c r="I222" s="1819"/>
      <c r="J222" s="1819"/>
      <c r="K222" s="1819"/>
      <c r="L222" s="1819"/>
      <c r="M222" s="1819"/>
      <c r="N222" s="1819"/>
      <c r="O222" s="1819"/>
      <c r="P222" s="1819"/>
      <c r="Q222" s="1819"/>
      <c r="R222" s="1819"/>
      <c r="S222" s="1819"/>
    </row>
    <row r="223" spans="1:21" ht="13.8">
      <c r="A223" s="1823" t="s">
        <v>4094</v>
      </c>
      <c r="B223" s="1827"/>
      <c r="C223" s="1827"/>
      <c r="D223" s="1827"/>
      <c r="E223" s="1827"/>
      <c r="F223" s="1827"/>
      <c r="G223" s="1827"/>
      <c r="H223" s="1827"/>
      <c r="I223" s="1827"/>
      <c r="J223" s="1827"/>
      <c r="K223" s="1827"/>
      <c r="L223" s="1827"/>
      <c r="M223" s="1827"/>
      <c r="N223" s="1827"/>
      <c r="O223" s="1827"/>
      <c r="P223" s="1827"/>
      <c r="Q223" s="1827"/>
      <c r="R223" s="1827"/>
      <c r="S223" s="1827"/>
    </row>
    <row r="224" spans="1:21" ht="13.8">
      <c r="A224" s="1819" t="s">
        <v>598</v>
      </c>
      <c r="B224" s="1823" t="s">
        <v>1812</v>
      </c>
      <c r="C224" s="1823"/>
      <c r="D224" s="1819"/>
      <c r="E224" s="1823"/>
      <c r="F224" s="1823"/>
      <c r="G224" s="1823"/>
      <c r="H224" s="1820" t="s">
        <v>3893</v>
      </c>
      <c r="I224" s="1819"/>
      <c r="J224" s="1819"/>
      <c r="K224" s="1819"/>
      <c r="L224" s="1819"/>
      <c r="M224" s="1819"/>
      <c r="N224" s="1819"/>
      <c r="O224" s="2067" t="str">
        <f>'Part I-Project Information'!$B$6</f>
        <v>May 26, 2020 Version</v>
      </c>
      <c r="P224" s="2067"/>
      <c r="Q224" s="2067"/>
      <c r="R224" s="2067"/>
      <c r="S224" s="2067"/>
    </row>
    <row r="225" spans="1:19" ht="13.8">
      <c r="A225" s="1819"/>
      <c r="B225" s="1819"/>
      <c r="C225" s="1819"/>
      <c r="D225" s="1823"/>
      <c r="E225" s="1823"/>
      <c r="F225" s="1823"/>
      <c r="G225" s="1823"/>
      <c r="H225" s="1823"/>
      <c r="I225" s="1823"/>
      <c r="J225" s="1823"/>
      <c r="K225" s="1819"/>
      <c r="L225" s="1819"/>
      <c r="M225" s="1819"/>
      <c r="N225" s="1819"/>
      <c r="O225" s="1819"/>
      <c r="P225" s="1819"/>
      <c r="Q225" s="1819"/>
      <c r="R225" s="1819"/>
      <c r="S225" s="1819"/>
    </row>
    <row r="226" spans="1:19" ht="13.8">
      <c r="A226" s="1819"/>
      <c r="B226" s="1819" t="s">
        <v>1936</v>
      </c>
      <c r="C226" s="1823" t="s">
        <v>1808</v>
      </c>
      <c r="D226" s="1819"/>
      <c r="E226" s="1819"/>
      <c r="F226" s="1819"/>
      <c r="G226" s="1819"/>
      <c r="H226" s="1819" t="str">
        <f>'Part II-Development Team'!H5</f>
        <v>Harper Woods Apartments II, LP</v>
      </c>
      <c r="I226" s="1827"/>
      <c r="J226" s="1827"/>
      <c r="K226" s="1827"/>
      <c r="L226" s="1827"/>
      <c r="M226" s="1827"/>
      <c r="N226" s="1827"/>
      <c r="O226" s="1823" t="s">
        <v>1942</v>
      </c>
      <c r="P226" s="1823"/>
      <c r="Q226" s="1819" t="str">
        <f>'Part II-Development Team'!Q5</f>
        <v>Kevin Buckner</v>
      </c>
      <c r="R226" s="1827"/>
      <c r="S226" s="1827"/>
    </row>
    <row r="227" spans="1:19" ht="13.8">
      <c r="A227" s="1819"/>
      <c r="B227" s="1819"/>
      <c r="C227" s="1819"/>
      <c r="D227" s="1831"/>
      <c r="E227" s="1823" t="s">
        <v>999</v>
      </c>
      <c r="F227" s="1826"/>
      <c r="G227" s="1819"/>
      <c r="H227" s="1819" t="str">
        <f>'Part II-Development Team'!H6</f>
        <v>3825 Paces Walk SE, Suite 100</v>
      </c>
      <c r="I227" s="1827"/>
      <c r="J227" s="1827"/>
      <c r="K227" s="1827"/>
      <c r="L227" s="1827"/>
      <c r="M227" s="1827"/>
      <c r="N227" s="1827"/>
      <c r="O227" s="1823" t="s">
        <v>1704</v>
      </c>
      <c r="P227" s="1819"/>
      <c r="Q227" s="1819" t="str">
        <f>'Part II-Development Team'!Q6</f>
        <v>Manager</v>
      </c>
      <c r="R227" s="1827"/>
      <c r="S227" s="1827"/>
    </row>
    <row r="228" spans="1:19" ht="13.8">
      <c r="A228" s="1819"/>
      <c r="B228" s="1819"/>
      <c r="C228" s="1819"/>
      <c r="D228" s="1831"/>
      <c r="E228" s="1823" t="s">
        <v>600</v>
      </c>
      <c r="F228" s="1819"/>
      <c r="G228" s="1819"/>
      <c r="H228" s="1819" t="str">
        <f>'Part II-Development Team'!H7</f>
        <v>Atlanta</v>
      </c>
      <c r="I228" s="1827"/>
      <c r="J228" s="1827"/>
      <c r="K228" s="1821" t="s">
        <v>744</v>
      </c>
      <c r="L228" s="1819" t="str">
        <f>'Part II-Development Team'!L7</f>
        <v>TBD</v>
      </c>
      <c r="M228" s="1827"/>
      <c r="N228" s="1827"/>
      <c r="O228" s="1823" t="s">
        <v>1679</v>
      </c>
      <c r="P228" s="1819"/>
      <c r="Q228" s="2188">
        <f>'Part II-Development Team'!Q7</f>
        <v>6783245550</v>
      </c>
      <c r="R228" s="2188"/>
      <c r="S228" s="2188"/>
    </row>
    <row r="229" spans="1:19" ht="13.8">
      <c r="A229" s="1819"/>
      <c r="B229" s="1819"/>
      <c r="C229" s="1819"/>
      <c r="D229" s="1831"/>
      <c r="E229" s="1823" t="s">
        <v>1754</v>
      </c>
      <c r="F229" s="1819"/>
      <c r="G229" s="1819"/>
      <c r="H229" s="1823" t="str">
        <f>'Part II-Development Team'!H8</f>
        <v>GA</v>
      </c>
      <c r="I229" s="1821" t="s">
        <v>2173</v>
      </c>
      <c r="J229" s="2187">
        <f>'Part II-Development Team'!J8</f>
        <v>303394002</v>
      </c>
      <c r="K229" s="1827"/>
      <c r="L229" s="1819" t="s">
        <v>3509</v>
      </c>
      <c r="M229" s="1819" t="str">
        <f>'Part II-Development Team'!M8</f>
        <v>For Profit</v>
      </c>
      <c r="N229" s="1819"/>
      <c r="O229" s="1823" t="s">
        <v>1932</v>
      </c>
      <c r="P229" s="1819"/>
      <c r="Q229" s="2188">
        <f>'Part II-Development Team'!Q8</f>
        <v>7708627333</v>
      </c>
      <c r="R229" s="2188"/>
      <c r="S229" s="2188"/>
    </row>
    <row r="230" spans="1:19" ht="13.8">
      <c r="A230" s="1819"/>
      <c r="B230" s="1819"/>
      <c r="C230" s="1819"/>
      <c r="D230" s="1831"/>
      <c r="E230" s="1823" t="s">
        <v>3894</v>
      </c>
      <c r="F230" s="1819"/>
      <c r="G230" s="1819"/>
      <c r="H230" s="2188">
        <f>'Part II-Development Team'!H9</f>
        <v>6783245540</v>
      </c>
      <c r="I230" s="2188"/>
      <c r="J230" s="1829">
        <f>'Part II-Development Team'!J9</f>
        <v>101</v>
      </c>
      <c r="K230" s="1821" t="s">
        <v>1937</v>
      </c>
      <c r="L230" s="1965" t="str">
        <f>'Part II-Development Team'!L9</f>
        <v xml:space="preserve">kbuckner@tbgresidential.com </v>
      </c>
      <c r="M230" s="1965"/>
      <c r="N230" s="1965"/>
      <c r="O230" s="1965"/>
      <c r="P230" s="1965"/>
      <c r="Q230" s="1965"/>
      <c r="R230" s="1965"/>
      <c r="S230" s="1965"/>
    </row>
    <row r="231" spans="1:19" ht="13.8">
      <c r="A231" s="1819"/>
      <c r="B231" s="1819"/>
      <c r="C231" s="1819"/>
      <c r="D231" s="1831"/>
      <c r="E231" s="1820" t="s">
        <v>3893</v>
      </c>
      <c r="F231" s="1819"/>
      <c r="G231" s="1819"/>
      <c r="H231" s="1846"/>
      <c r="I231" s="1819"/>
      <c r="J231" s="1819"/>
      <c r="K231" s="1849"/>
      <c r="L231" s="1819"/>
      <c r="M231" s="1819"/>
      <c r="N231" s="1819" t="s">
        <v>6806</v>
      </c>
      <c r="O231" s="1819"/>
      <c r="P231" s="1819"/>
      <c r="Q231" s="1821"/>
      <c r="R231" s="1819"/>
      <c r="S231" s="1819"/>
    </row>
    <row r="232" spans="1:19" ht="13.8">
      <c r="A232" s="1819"/>
      <c r="B232" s="1819"/>
      <c r="C232" s="1819"/>
      <c r="D232" s="1840"/>
      <c r="E232" s="1823"/>
      <c r="F232" s="1823"/>
      <c r="G232" s="1823"/>
      <c r="H232" s="1823"/>
      <c r="I232" s="1823"/>
      <c r="J232" s="1823"/>
      <c r="K232" s="1819"/>
      <c r="L232" s="1819"/>
      <c r="M232" s="1819"/>
      <c r="N232" s="1823"/>
      <c r="O232" s="1823"/>
      <c r="P232" s="1823"/>
      <c r="Q232" s="1823"/>
      <c r="R232" s="1823"/>
      <c r="S232" s="1823"/>
    </row>
    <row r="233" spans="1:19" ht="13.8">
      <c r="A233" s="1819"/>
      <c r="B233" s="1827" t="s">
        <v>1938</v>
      </c>
      <c r="C233" s="1823" t="s">
        <v>1809</v>
      </c>
      <c r="D233" s="1819"/>
      <c r="E233" s="1819"/>
      <c r="F233" s="1823"/>
      <c r="G233" s="1823"/>
      <c r="H233" s="1823"/>
      <c r="I233" s="1823"/>
      <c r="J233" s="1819"/>
      <c r="K233" s="1819"/>
      <c r="L233" s="1819"/>
      <c r="M233" s="1819"/>
      <c r="N233" s="2196" t="s">
        <v>1258</v>
      </c>
      <c r="O233" s="1819"/>
      <c r="P233" s="1819"/>
      <c r="Q233" s="1819"/>
      <c r="R233" s="1819"/>
      <c r="S233" s="1819"/>
    </row>
    <row r="234" spans="1:19" ht="13.8">
      <c r="A234" s="1819"/>
      <c r="B234" s="1819"/>
      <c r="C234" s="2068" t="s">
        <v>1939</v>
      </c>
      <c r="D234" s="1827" t="s">
        <v>1940</v>
      </c>
      <c r="E234" s="1819"/>
      <c r="F234" s="1819"/>
      <c r="G234" s="1819"/>
      <c r="H234" s="1819"/>
      <c r="I234" s="1819"/>
      <c r="J234" s="1819"/>
      <c r="K234" s="1819"/>
      <c r="L234" s="1819"/>
      <c r="M234" s="1819"/>
      <c r="N234" s="1849"/>
      <c r="O234" s="1819"/>
      <c r="P234" s="1819"/>
      <c r="Q234" s="1819"/>
      <c r="R234" s="1819"/>
      <c r="S234" s="1819"/>
    </row>
    <row r="235" spans="1:19" ht="13.8">
      <c r="A235" s="1819"/>
      <c r="B235" s="1819"/>
      <c r="C235" s="1819"/>
      <c r="D235" s="1819" t="s">
        <v>2066</v>
      </c>
      <c r="E235" s="1819" t="s">
        <v>1810</v>
      </c>
      <c r="F235" s="1819"/>
      <c r="G235" s="1819"/>
      <c r="H235" s="1819" t="str">
        <f>'Part II-Development Team'!H14</f>
        <v>TBG Harper Woods II, LLC</v>
      </c>
      <c r="I235" s="1827"/>
      <c r="J235" s="1827"/>
      <c r="K235" s="1827"/>
      <c r="L235" s="1827"/>
      <c r="M235" s="1827"/>
      <c r="N235" s="1827"/>
      <c r="O235" s="1823" t="s">
        <v>1942</v>
      </c>
      <c r="P235" s="1823"/>
      <c r="Q235" s="1819" t="str">
        <f>'Part II-Development Team'!Q14</f>
        <v>Kevin Buckner</v>
      </c>
      <c r="R235" s="1827"/>
      <c r="S235" s="1827"/>
    </row>
    <row r="236" spans="1:19" ht="13.8">
      <c r="A236" s="1819"/>
      <c r="B236" s="1819"/>
      <c r="C236" s="1819"/>
      <c r="D236" s="1831"/>
      <c r="E236" s="1823" t="s">
        <v>999</v>
      </c>
      <c r="F236" s="1826"/>
      <c r="G236" s="1819"/>
      <c r="H236" s="1819" t="str">
        <f>'Part II-Development Team'!H15</f>
        <v>3825 Paces Walk SE, Suite 100</v>
      </c>
      <c r="I236" s="1827"/>
      <c r="J236" s="1827"/>
      <c r="K236" s="1827"/>
      <c r="L236" s="1827"/>
      <c r="M236" s="1827"/>
      <c r="N236" s="1827"/>
      <c r="O236" s="1823" t="s">
        <v>1704</v>
      </c>
      <c r="P236" s="1819"/>
      <c r="Q236" s="1819" t="str">
        <f>'Part II-Development Team'!Q15</f>
        <v>Managing Member</v>
      </c>
      <c r="R236" s="1827"/>
      <c r="S236" s="1827"/>
    </row>
    <row r="237" spans="1:19" ht="13.8">
      <c r="A237" s="1819"/>
      <c r="B237" s="1819"/>
      <c r="C237" s="1819"/>
      <c r="D237" s="1831"/>
      <c r="E237" s="1823" t="s">
        <v>600</v>
      </c>
      <c r="F237" s="1819"/>
      <c r="G237" s="1819"/>
      <c r="H237" s="1819" t="str">
        <f>'Part II-Development Team'!H16</f>
        <v>Atlanta</v>
      </c>
      <c r="I237" s="1827"/>
      <c r="J237" s="1827"/>
      <c r="K237" s="1821" t="s">
        <v>2625</v>
      </c>
      <c r="L237" s="1819" t="str">
        <f>'Part II-Development Team'!L16</f>
        <v>www.tbgresidential.com</v>
      </c>
      <c r="M237" s="1827"/>
      <c r="N237" s="1827"/>
      <c r="O237" s="1823" t="s">
        <v>1679</v>
      </c>
      <c r="P237" s="1819"/>
      <c r="Q237" s="2188">
        <f>'Part II-Development Team'!Q16</f>
        <v>6783245550</v>
      </c>
      <c r="R237" s="2188"/>
      <c r="S237" s="2188"/>
    </row>
    <row r="238" spans="1:19" ht="13.8">
      <c r="A238" s="1819"/>
      <c r="B238" s="1819"/>
      <c r="C238" s="1819"/>
      <c r="D238" s="1819"/>
      <c r="E238" s="1823" t="s">
        <v>1754</v>
      </c>
      <c r="F238" s="1819"/>
      <c r="G238" s="1819"/>
      <c r="H238" s="1823" t="str">
        <f>'Part II-Development Team'!H17</f>
        <v>GA</v>
      </c>
      <c r="I238" s="1819"/>
      <c r="J238" s="1819"/>
      <c r="K238" s="1821" t="s">
        <v>2173</v>
      </c>
      <c r="L238" s="2187">
        <f>'Part II-Development Team'!L17</f>
        <v>303394002</v>
      </c>
      <c r="M238" s="1827"/>
      <c r="N238" s="1819"/>
      <c r="O238" s="1823" t="s">
        <v>1932</v>
      </c>
      <c r="P238" s="1819"/>
      <c r="Q238" s="2188">
        <f>'Part II-Development Team'!Q17</f>
        <v>7708627333</v>
      </c>
      <c r="R238" s="2188"/>
      <c r="S238" s="2188"/>
    </row>
    <row r="239" spans="1:19" ht="13.8">
      <c r="A239" s="1819"/>
      <c r="B239" s="1819"/>
      <c r="C239" s="1819"/>
      <c r="D239" s="1831"/>
      <c r="E239" s="1823" t="s">
        <v>3894</v>
      </c>
      <c r="F239" s="1819"/>
      <c r="G239" s="1819"/>
      <c r="H239" s="2188">
        <f>'Part II-Development Team'!H18</f>
        <v>6783245540</v>
      </c>
      <c r="I239" s="2188"/>
      <c r="J239" s="1829">
        <f>'Part II-Development Team'!J18</f>
        <v>101</v>
      </c>
      <c r="K239" s="1821" t="s">
        <v>1937</v>
      </c>
      <c r="L239" s="1965" t="str">
        <f>'Part II-Development Team'!L18</f>
        <v xml:space="preserve">kbuckner@tbgresidential.com </v>
      </c>
      <c r="M239" s="1965"/>
      <c r="N239" s="1965"/>
      <c r="O239" s="1965"/>
      <c r="P239" s="1965"/>
      <c r="Q239" s="1965"/>
      <c r="R239" s="1965"/>
      <c r="S239" s="1965"/>
    </row>
    <row r="240" spans="1:19" ht="13.8">
      <c r="A240" s="1827"/>
      <c r="B240" s="1827"/>
      <c r="C240" s="1827"/>
      <c r="D240" s="1827"/>
      <c r="E240" s="1827"/>
      <c r="F240" s="1827"/>
      <c r="G240" s="1827"/>
      <c r="H240" s="2188"/>
      <c r="I240" s="2188"/>
      <c r="J240" s="2188"/>
      <c r="K240" s="1821"/>
      <c r="L240" s="2188"/>
      <c r="M240" s="2188"/>
      <c r="N240" s="1821"/>
      <c r="O240" s="2188"/>
      <c r="P240" s="2188"/>
      <c r="Q240" s="1821"/>
      <c r="R240" s="2188"/>
      <c r="S240" s="2188"/>
    </row>
    <row r="241" spans="1:19" ht="13.8">
      <c r="A241" s="1819"/>
      <c r="B241" s="1819"/>
      <c r="C241" s="1819"/>
      <c r="D241" s="1819" t="s">
        <v>2067</v>
      </c>
      <c r="E241" s="1819" t="s">
        <v>1811</v>
      </c>
      <c r="F241" s="1819"/>
      <c r="G241" s="1819"/>
      <c r="H241" s="1819">
        <f>'Part II-Development Team'!H20</f>
        <v>0</v>
      </c>
      <c r="I241" s="1827"/>
      <c r="J241" s="1827"/>
      <c r="K241" s="1827"/>
      <c r="L241" s="1827"/>
      <c r="M241" s="1827"/>
      <c r="N241" s="1827"/>
      <c r="O241" s="1823" t="s">
        <v>1942</v>
      </c>
      <c r="P241" s="1823"/>
      <c r="Q241" s="1819">
        <f>'Part II-Development Team'!Q20</f>
        <v>0</v>
      </c>
      <c r="R241" s="1827"/>
      <c r="S241" s="1827"/>
    </row>
    <row r="242" spans="1:19" ht="13.8">
      <c r="A242" s="1819"/>
      <c r="B242" s="1819"/>
      <c r="C242" s="1819"/>
      <c r="D242" s="1831"/>
      <c r="E242" s="1823" t="s">
        <v>999</v>
      </c>
      <c r="F242" s="1826"/>
      <c r="G242" s="1819"/>
      <c r="H242" s="1819">
        <f>'Part II-Development Team'!H21</f>
        <v>0</v>
      </c>
      <c r="I242" s="1827"/>
      <c r="J242" s="1827"/>
      <c r="K242" s="1827"/>
      <c r="L242" s="1827"/>
      <c r="M242" s="1827"/>
      <c r="N242" s="1827"/>
      <c r="O242" s="1823" t="s">
        <v>1704</v>
      </c>
      <c r="P242" s="1819"/>
      <c r="Q242" s="1819">
        <f>'Part II-Development Team'!Q21</f>
        <v>0</v>
      </c>
      <c r="R242" s="1827"/>
      <c r="S242" s="1827"/>
    </row>
    <row r="243" spans="1:19" ht="13.8">
      <c r="A243" s="1819"/>
      <c r="B243" s="1819"/>
      <c r="C243" s="1819"/>
      <c r="D243" s="1831"/>
      <c r="E243" s="1823" t="s">
        <v>600</v>
      </c>
      <c r="F243" s="1819"/>
      <c r="G243" s="1819"/>
      <c r="H243" s="1819">
        <f>'Part II-Development Team'!H22</f>
        <v>0</v>
      </c>
      <c r="I243" s="1827"/>
      <c r="J243" s="1827"/>
      <c r="K243" s="1821" t="s">
        <v>2625</v>
      </c>
      <c r="L243" s="1819">
        <f>'Part II-Development Team'!L22</f>
        <v>0</v>
      </c>
      <c r="M243" s="1827"/>
      <c r="N243" s="1827"/>
      <c r="O243" s="1823" t="s">
        <v>1679</v>
      </c>
      <c r="P243" s="1819"/>
      <c r="Q243" s="2188">
        <f>'Part II-Development Team'!Q22</f>
        <v>0</v>
      </c>
      <c r="R243" s="2188"/>
      <c r="S243" s="2188"/>
    </row>
    <row r="244" spans="1:19" ht="13.8">
      <c r="A244" s="1819"/>
      <c r="B244" s="1819"/>
      <c r="C244" s="1819"/>
      <c r="D244" s="1819"/>
      <c r="E244" s="1823" t="s">
        <v>1754</v>
      </c>
      <c r="F244" s="1819"/>
      <c r="G244" s="1819"/>
      <c r="H244" s="1823">
        <f>'Part II-Development Team'!H23</f>
        <v>0</v>
      </c>
      <c r="I244" s="1819"/>
      <c r="J244" s="1819"/>
      <c r="K244" s="1821" t="s">
        <v>2173</v>
      </c>
      <c r="L244" s="2187">
        <f>'Part II-Development Team'!L23</f>
        <v>0</v>
      </c>
      <c r="M244" s="1827"/>
      <c r="N244" s="1819"/>
      <c r="O244" s="1823" t="s">
        <v>1932</v>
      </c>
      <c r="P244" s="1819"/>
      <c r="Q244" s="2188">
        <f>'Part II-Development Team'!Q23</f>
        <v>0</v>
      </c>
      <c r="R244" s="2188"/>
      <c r="S244" s="2188"/>
    </row>
    <row r="245" spans="1:19" ht="13.8">
      <c r="A245" s="1819"/>
      <c r="B245" s="1819"/>
      <c r="C245" s="1819"/>
      <c r="D245" s="1831"/>
      <c r="E245" s="1823" t="s">
        <v>3894</v>
      </c>
      <c r="F245" s="1819"/>
      <c r="G245" s="1819"/>
      <c r="H245" s="2188">
        <f>'Part II-Development Team'!H24</f>
        <v>0</v>
      </c>
      <c r="I245" s="2188"/>
      <c r="J245" s="1829">
        <f>'Part II-Development Team'!J24</f>
        <v>0</v>
      </c>
      <c r="K245" s="1821" t="s">
        <v>1937</v>
      </c>
      <c r="L245" s="1965">
        <f>'Part II-Development Team'!L24</f>
        <v>0</v>
      </c>
      <c r="M245" s="1965"/>
      <c r="N245" s="1965"/>
      <c r="O245" s="1965"/>
      <c r="P245" s="1965"/>
      <c r="Q245" s="1965"/>
      <c r="R245" s="1965"/>
      <c r="S245" s="1965"/>
    </row>
    <row r="246" spans="1:19" ht="13.8">
      <c r="A246" s="1819"/>
      <c r="B246" s="1819"/>
      <c r="C246" s="1819"/>
      <c r="D246" s="1831"/>
      <c r="E246" s="1819"/>
      <c r="F246" s="1819"/>
      <c r="G246" s="1823"/>
      <c r="H246" s="2188"/>
      <c r="I246" s="2188"/>
      <c r="J246" s="2188"/>
      <c r="K246" s="1821"/>
      <c r="L246" s="2188"/>
      <c r="M246" s="2188"/>
      <c r="N246" s="1821"/>
      <c r="O246" s="2188"/>
      <c r="P246" s="2188"/>
      <c r="Q246" s="1821"/>
      <c r="R246" s="2188"/>
      <c r="S246" s="2188"/>
    </row>
    <row r="247" spans="1:19" ht="13.8">
      <c r="A247" s="1819"/>
      <c r="B247" s="1819"/>
      <c r="C247" s="1819"/>
      <c r="D247" s="1819" t="s">
        <v>1691</v>
      </c>
      <c r="E247" s="1819" t="s">
        <v>1811</v>
      </c>
      <c r="F247" s="1819"/>
      <c r="G247" s="1819"/>
      <c r="H247" s="1819">
        <f>'Part II-Development Team'!H26</f>
        <v>0</v>
      </c>
      <c r="I247" s="1827"/>
      <c r="J247" s="1827"/>
      <c r="K247" s="1827"/>
      <c r="L247" s="1827"/>
      <c r="M247" s="1827"/>
      <c r="N247" s="1827"/>
      <c r="O247" s="1823" t="s">
        <v>1942</v>
      </c>
      <c r="P247" s="1823"/>
      <c r="Q247" s="1819">
        <f>'Part II-Development Team'!Q26</f>
        <v>0</v>
      </c>
      <c r="R247" s="1827"/>
      <c r="S247" s="1827"/>
    </row>
    <row r="248" spans="1:19" ht="13.8">
      <c r="A248" s="1819"/>
      <c r="B248" s="1819"/>
      <c r="C248" s="1819"/>
      <c r="D248" s="1831"/>
      <c r="E248" s="1823" t="s">
        <v>999</v>
      </c>
      <c r="F248" s="1826"/>
      <c r="G248" s="1819"/>
      <c r="H248" s="1819">
        <f>'Part II-Development Team'!H27</f>
        <v>0</v>
      </c>
      <c r="I248" s="1827"/>
      <c r="J248" s="1827"/>
      <c r="K248" s="1827"/>
      <c r="L248" s="1827"/>
      <c r="M248" s="1827"/>
      <c r="N248" s="1827"/>
      <c r="O248" s="1823" t="s">
        <v>1704</v>
      </c>
      <c r="P248" s="1819"/>
      <c r="Q248" s="1819">
        <f>'Part II-Development Team'!Q27</f>
        <v>0</v>
      </c>
      <c r="R248" s="1827"/>
      <c r="S248" s="1827"/>
    </row>
    <row r="249" spans="1:19" ht="13.8">
      <c r="A249" s="1819"/>
      <c r="B249" s="1819"/>
      <c r="C249" s="1819"/>
      <c r="D249" s="1831"/>
      <c r="E249" s="1823" t="s">
        <v>600</v>
      </c>
      <c r="F249" s="1819"/>
      <c r="G249" s="1819"/>
      <c r="H249" s="1819">
        <f>'Part II-Development Team'!H28</f>
        <v>0</v>
      </c>
      <c r="I249" s="1827"/>
      <c r="J249" s="1827"/>
      <c r="K249" s="1821" t="s">
        <v>2625</v>
      </c>
      <c r="L249" s="1819">
        <f>'Part II-Development Team'!L28</f>
        <v>0</v>
      </c>
      <c r="M249" s="1827"/>
      <c r="N249" s="1827"/>
      <c r="O249" s="1823" t="s">
        <v>1679</v>
      </c>
      <c r="P249" s="1819"/>
      <c r="Q249" s="2188">
        <f>'Part II-Development Team'!Q28</f>
        <v>0</v>
      </c>
      <c r="R249" s="2188"/>
      <c r="S249" s="2188"/>
    </row>
    <row r="250" spans="1:19" ht="13.8">
      <c r="A250" s="1819"/>
      <c r="B250" s="1819"/>
      <c r="C250" s="1819"/>
      <c r="D250" s="1819"/>
      <c r="E250" s="1823" t="s">
        <v>1754</v>
      </c>
      <c r="F250" s="1819"/>
      <c r="G250" s="1819"/>
      <c r="H250" s="1823">
        <f>'Part II-Development Team'!H29</f>
        <v>0</v>
      </c>
      <c r="I250" s="1819"/>
      <c r="J250" s="1819"/>
      <c r="K250" s="1821" t="s">
        <v>2173</v>
      </c>
      <c r="L250" s="2187">
        <f>'Part II-Development Team'!L29</f>
        <v>0</v>
      </c>
      <c r="M250" s="1827"/>
      <c r="N250" s="1819"/>
      <c r="O250" s="1823" t="s">
        <v>1932</v>
      </c>
      <c r="P250" s="1819"/>
      <c r="Q250" s="2188">
        <f>'Part II-Development Team'!Q29</f>
        <v>0</v>
      </c>
      <c r="R250" s="2188"/>
      <c r="S250" s="2188"/>
    </row>
    <row r="251" spans="1:19" ht="13.8">
      <c r="A251" s="1819"/>
      <c r="B251" s="1819"/>
      <c r="C251" s="1819"/>
      <c r="D251" s="1831"/>
      <c r="E251" s="1823" t="s">
        <v>3894</v>
      </c>
      <c r="F251" s="1819"/>
      <c r="G251" s="1819"/>
      <c r="H251" s="2188">
        <f>'Part II-Development Team'!H30</f>
        <v>0</v>
      </c>
      <c r="I251" s="2188"/>
      <c r="J251" s="1829">
        <f>'Part II-Development Team'!J30</f>
        <v>0</v>
      </c>
      <c r="K251" s="1821" t="s">
        <v>1937</v>
      </c>
      <c r="L251" s="1965">
        <f>'Part II-Development Team'!L30</f>
        <v>0</v>
      </c>
      <c r="M251" s="1965"/>
      <c r="N251" s="1965"/>
      <c r="O251" s="1965"/>
      <c r="P251" s="1965"/>
      <c r="Q251" s="1965"/>
      <c r="R251" s="1965"/>
      <c r="S251" s="1965"/>
    </row>
    <row r="252" spans="1:19" ht="13.8">
      <c r="A252" s="1827"/>
      <c r="B252" s="1827"/>
      <c r="C252" s="1827"/>
      <c r="D252" s="1827"/>
      <c r="E252" s="1827"/>
      <c r="F252" s="1827"/>
      <c r="G252" s="1827"/>
      <c r="H252" s="1827"/>
      <c r="I252" s="1827"/>
      <c r="J252" s="1827"/>
      <c r="K252" s="1827"/>
      <c r="L252" s="1827"/>
      <c r="M252" s="1827"/>
      <c r="N252" s="1827"/>
      <c r="O252" s="1827"/>
      <c r="P252" s="1827"/>
      <c r="Q252" s="1827"/>
      <c r="R252" s="1827"/>
      <c r="S252" s="1827"/>
    </row>
    <row r="253" spans="1:19" ht="13.8">
      <c r="A253" s="1819"/>
      <c r="B253" s="1819"/>
      <c r="C253" s="2068" t="s">
        <v>1941</v>
      </c>
      <c r="D253" s="1827" t="s">
        <v>1813</v>
      </c>
      <c r="E253" s="1819"/>
      <c r="F253" s="1819"/>
      <c r="G253" s="1819"/>
      <c r="H253" s="1819"/>
      <c r="I253" s="1819"/>
      <c r="J253" s="1819"/>
      <c r="K253" s="1820" t="s">
        <v>3893</v>
      </c>
      <c r="L253" s="1819"/>
      <c r="M253" s="1819"/>
      <c r="N253" s="1819"/>
      <c r="O253" s="1819"/>
      <c r="P253" s="1819"/>
      <c r="Q253" s="1819"/>
      <c r="R253" s="1819"/>
      <c r="S253" s="1819"/>
    </row>
    <row r="254" spans="1:19" ht="13.8">
      <c r="A254" s="1819"/>
      <c r="B254" s="1819"/>
      <c r="C254" s="1819"/>
      <c r="D254" s="1819" t="s">
        <v>2066</v>
      </c>
      <c r="E254" s="1819" t="s">
        <v>732</v>
      </c>
      <c r="F254" s="1819"/>
      <c r="G254" s="1819"/>
      <c r="H254" s="1819" t="str">
        <f>'Part II-Development Team'!H33</f>
        <v>Synovus Bank</v>
      </c>
      <c r="I254" s="1827"/>
      <c r="J254" s="1827"/>
      <c r="K254" s="1827"/>
      <c r="L254" s="1827"/>
      <c r="M254" s="1827"/>
      <c r="N254" s="1827"/>
      <c r="O254" s="1823" t="s">
        <v>1942</v>
      </c>
      <c r="P254" s="1823"/>
      <c r="Q254" s="1819" t="str">
        <f>'Part II-Development Team'!Q33</f>
        <v>Reed Dolihite</v>
      </c>
      <c r="R254" s="1827"/>
      <c r="S254" s="1827"/>
    </row>
    <row r="255" spans="1:19" ht="13.8">
      <c r="A255" s="1819"/>
      <c r="B255" s="1819"/>
      <c r="C255" s="1819"/>
      <c r="D255" s="1831"/>
      <c r="E255" s="1823" t="s">
        <v>999</v>
      </c>
      <c r="F255" s="1826"/>
      <c r="G255" s="1819"/>
      <c r="H255" s="1819" t="str">
        <f>'Part II-Development Team'!H34</f>
        <v>800 Shades Creek Parkway</v>
      </c>
      <c r="I255" s="1827"/>
      <c r="J255" s="1827"/>
      <c r="K255" s="1827"/>
      <c r="L255" s="1827"/>
      <c r="M255" s="1827"/>
      <c r="N255" s="1827"/>
      <c r="O255" s="1823" t="s">
        <v>1704</v>
      </c>
      <c r="P255" s="1819"/>
      <c r="Q255" s="1819" t="str">
        <f>'Part II-Development Team'!Q34</f>
        <v>Director, Community Investment Capital</v>
      </c>
      <c r="R255" s="1827"/>
      <c r="S255" s="1827"/>
    </row>
    <row r="256" spans="1:19" ht="13.8">
      <c r="A256" s="1819"/>
      <c r="B256" s="1819"/>
      <c r="C256" s="1819"/>
      <c r="D256" s="1831"/>
      <c r="E256" s="1823" t="s">
        <v>600</v>
      </c>
      <c r="F256" s="1819"/>
      <c r="G256" s="1819"/>
      <c r="H256" s="1819" t="str">
        <f>'Part II-Development Team'!H35</f>
        <v xml:space="preserve">Birmingham </v>
      </c>
      <c r="I256" s="1827"/>
      <c r="J256" s="1827"/>
      <c r="K256" s="1821" t="s">
        <v>2625</v>
      </c>
      <c r="L256" s="1819" t="str">
        <f>'Part II-Development Team'!L35</f>
        <v>www.synovus.com</v>
      </c>
      <c r="M256" s="1827"/>
      <c r="N256" s="1827"/>
      <c r="O256" s="1823" t="s">
        <v>1679</v>
      </c>
      <c r="P256" s="1819"/>
      <c r="Q256" s="2188">
        <f>'Part II-Development Team'!Q35</f>
        <v>2058687642</v>
      </c>
      <c r="R256" s="2188"/>
      <c r="S256" s="2188"/>
    </row>
    <row r="257" spans="1:19" ht="13.8">
      <c r="A257" s="1819"/>
      <c r="B257" s="1819"/>
      <c r="C257" s="1819"/>
      <c r="D257" s="1819"/>
      <c r="E257" s="1823" t="s">
        <v>1754</v>
      </c>
      <c r="F257" s="1819"/>
      <c r="G257" s="1819"/>
      <c r="H257" s="1823" t="str">
        <f>'Part II-Development Team'!H36</f>
        <v>AL</v>
      </c>
      <c r="I257" s="1819"/>
      <c r="J257" s="1819"/>
      <c r="K257" s="1821" t="s">
        <v>2173</v>
      </c>
      <c r="L257" s="2187">
        <f>'Part II-Development Team'!L36</f>
        <v>352094532</v>
      </c>
      <c r="M257" s="1827"/>
      <c r="N257" s="1819"/>
      <c r="O257" s="1823" t="s">
        <v>1932</v>
      </c>
      <c r="P257" s="1819"/>
      <c r="Q257" s="2188">
        <f>'Part II-Development Team'!Q36</f>
        <v>0</v>
      </c>
      <c r="R257" s="2188"/>
      <c r="S257" s="2188"/>
    </row>
    <row r="258" spans="1:19" ht="13.8">
      <c r="A258" s="1819"/>
      <c r="B258" s="1819"/>
      <c r="C258" s="1819"/>
      <c r="D258" s="1831"/>
      <c r="E258" s="1823" t="s">
        <v>3894</v>
      </c>
      <c r="F258" s="1819"/>
      <c r="G258" s="1819"/>
      <c r="H258" s="2188">
        <f>'Part II-Development Team'!H37</f>
        <v>2058685540</v>
      </c>
      <c r="I258" s="2188"/>
      <c r="J258" s="1829">
        <f>'Part II-Development Team'!J37</f>
        <v>0</v>
      </c>
      <c r="K258" s="1821" t="s">
        <v>1937</v>
      </c>
      <c r="L258" s="1965" t="str">
        <f>'Part II-Development Team'!L37</f>
        <v>reeddolihite@synovus.com</v>
      </c>
      <c r="M258" s="1965"/>
      <c r="N258" s="1965"/>
      <c r="O258" s="1965"/>
      <c r="P258" s="1965"/>
      <c r="Q258" s="1965"/>
      <c r="R258" s="1965"/>
      <c r="S258" s="1965"/>
    </row>
    <row r="259" spans="1:19" ht="13.8">
      <c r="A259" s="1827"/>
      <c r="B259" s="1827"/>
      <c r="C259" s="1827"/>
      <c r="D259" s="1827"/>
      <c r="E259" s="1827"/>
      <c r="F259" s="1827"/>
      <c r="G259" s="1827"/>
      <c r="H259" s="2188"/>
      <c r="I259" s="2188"/>
      <c r="J259" s="2188"/>
      <c r="K259" s="1821"/>
      <c r="L259" s="2188"/>
      <c r="M259" s="2188"/>
      <c r="N259" s="1821"/>
      <c r="O259" s="2188"/>
      <c r="P259" s="2188"/>
      <c r="Q259" s="1821"/>
      <c r="R259" s="2188"/>
      <c r="S259" s="2188"/>
    </row>
    <row r="260" spans="1:19" ht="13.8">
      <c r="A260" s="1819"/>
      <c r="B260" s="1819"/>
      <c r="C260" s="1819"/>
      <c r="D260" s="1819" t="s">
        <v>2067</v>
      </c>
      <c r="E260" s="1819" t="s">
        <v>733</v>
      </c>
      <c r="F260" s="1819"/>
      <c r="G260" s="1819"/>
      <c r="H260" s="1819" t="str">
        <f>'Part II-Development Team'!H39</f>
        <v>TBG Harper Woods II Investments, LLC</v>
      </c>
      <c r="I260" s="1827"/>
      <c r="J260" s="1827"/>
      <c r="K260" s="1827"/>
      <c r="L260" s="1827"/>
      <c r="M260" s="1827"/>
      <c r="N260" s="1827"/>
      <c r="O260" s="1823" t="s">
        <v>1942</v>
      </c>
      <c r="P260" s="1823"/>
      <c r="Q260" s="1819" t="str">
        <f>'Part II-Development Team'!Q39</f>
        <v>Kevin Buckner</v>
      </c>
      <c r="R260" s="1827"/>
      <c r="S260" s="1827"/>
    </row>
    <row r="261" spans="1:19" ht="13.8">
      <c r="A261" s="1819"/>
      <c r="B261" s="1819"/>
      <c r="C261" s="1819"/>
      <c r="D261" s="1831"/>
      <c r="E261" s="1823" t="s">
        <v>999</v>
      </c>
      <c r="F261" s="1826"/>
      <c r="G261" s="1819"/>
      <c r="H261" s="1819" t="str">
        <f>'Part II-Development Team'!H40</f>
        <v>3825 Paces Walk SE, Suite 100</v>
      </c>
      <c r="I261" s="1827"/>
      <c r="J261" s="1827"/>
      <c r="K261" s="1827"/>
      <c r="L261" s="1827"/>
      <c r="M261" s="1827"/>
      <c r="N261" s="1827"/>
      <c r="O261" s="1823" t="s">
        <v>1704</v>
      </c>
      <c r="P261" s="1819"/>
      <c r="Q261" s="1819" t="str">
        <f>'Part II-Development Team'!Q40</f>
        <v>Manager</v>
      </c>
      <c r="R261" s="1827"/>
      <c r="S261" s="1827"/>
    </row>
    <row r="262" spans="1:19" ht="13.8">
      <c r="A262" s="1819"/>
      <c r="B262" s="1819"/>
      <c r="C262" s="1819"/>
      <c r="D262" s="1831"/>
      <c r="E262" s="1823" t="s">
        <v>600</v>
      </c>
      <c r="F262" s="1819"/>
      <c r="G262" s="1819"/>
      <c r="H262" s="1819" t="str">
        <f>'Part II-Development Team'!H41</f>
        <v>Atlanta</v>
      </c>
      <c r="I262" s="1827"/>
      <c r="J262" s="1827"/>
      <c r="K262" s="1821" t="s">
        <v>2625</v>
      </c>
      <c r="L262" s="1819" t="str">
        <f>'Part II-Development Team'!L41</f>
        <v>www.tbgresidential.com</v>
      </c>
      <c r="M262" s="1827"/>
      <c r="N262" s="1827"/>
      <c r="O262" s="1823" t="s">
        <v>1679</v>
      </c>
      <c r="P262" s="1819"/>
      <c r="Q262" s="2188">
        <f>'Part II-Development Team'!Q41</f>
        <v>6783245550</v>
      </c>
      <c r="R262" s="2188"/>
      <c r="S262" s="2188"/>
    </row>
    <row r="263" spans="1:19" ht="13.8">
      <c r="A263" s="1819"/>
      <c r="B263" s="1819"/>
      <c r="C263" s="1819"/>
      <c r="D263" s="1819"/>
      <c r="E263" s="1823" t="s">
        <v>1754</v>
      </c>
      <c r="F263" s="1819"/>
      <c r="G263" s="1819"/>
      <c r="H263" s="1823" t="str">
        <f>'Part II-Development Team'!H42</f>
        <v>GA</v>
      </c>
      <c r="I263" s="1819"/>
      <c r="J263" s="1819"/>
      <c r="K263" s="1821" t="s">
        <v>2173</v>
      </c>
      <c r="L263" s="2187">
        <f>'Part II-Development Team'!L42</f>
        <v>303394002</v>
      </c>
      <c r="M263" s="1827"/>
      <c r="N263" s="1819"/>
      <c r="O263" s="1823" t="s">
        <v>1932</v>
      </c>
      <c r="P263" s="1819"/>
      <c r="Q263" s="2188">
        <f>'Part II-Development Team'!Q42</f>
        <v>7708627333</v>
      </c>
      <c r="R263" s="2188"/>
      <c r="S263" s="2188"/>
    </row>
    <row r="264" spans="1:19" ht="13.8">
      <c r="A264" s="1819"/>
      <c r="B264" s="1819"/>
      <c r="C264" s="1819"/>
      <c r="D264" s="1831"/>
      <c r="E264" s="1823" t="s">
        <v>3894</v>
      </c>
      <c r="F264" s="1819"/>
      <c r="G264" s="1819"/>
      <c r="H264" s="2188">
        <f>'Part II-Development Team'!H43</f>
        <v>6783245540</v>
      </c>
      <c r="I264" s="2188"/>
      <c r="J264" s="1829">
        <f>'Part II-Development Team'!J43</f>
        <v>101</v>
      </c>
      <c r="K264" s="1821" t="s">
        <v>1937</v>
      </c>
      <c r="L264" s="1965" t="str">
        <f>'Part II-Development Team'!L43</f>
        <v xml:space="preserve">kbuckner@tbgresidential.com </v>
      </c>
      <c r="M264" s="1965"/>
      <c r="N264" s="1965"/>
      <c r="O264" s="1965"/>
      <c r="P264" s="1965"/>
      <c r="Q264" s="1965"/>
      <c r="R264" s="1965"/>
      <c r="S264" s="1965"/>
    </row>
    <row r="265" spans="1:19" ht="13.8">
      <c r="A265" s="1819"/>
      <c r="B265" s="1819"/>
      <c r="C265" s="1819"/>
      <c r="D265" s="1831"/>
      <c r="E265" s="1823"/>
      <c r="F265" s="1819"/>
      <c r="G265" s="1819"/>
      <c r="H265" s="1846"/>
      <c r="I265" s="1846"/>
      <c r="J265" s="2194"/>
      <c r="K265" s="1821"/>
      <c r="L265" s="1846"/>
      <c r="M265" s="1846"/>
      <c r="N265" s="1821"/>
      <c r="O265" s="1846"/>
      <c r="P265" s="1846"/>
      <c r="Q265" s="1821"/>
      <c r="R265" s="1846"/>
      <c r="S265" s="1846"/>
    </row>
    <row r="266" spans="1:19" ht="13.8">
      <c r="A266" s="1819"/>
      <c r="B266" s="1819"/>
      <c r="C266" s="2069" t="s">
        <v>2468</v>
      </c>
      <c r="D266" s="1827" t="s">
        <v>633</v>
      </c>
      <c r="E266" s="1819"/>
      <c r="F266" s="1819"/>
      <c r="G266" s="1819"/>
      <c r="H266" s="1819"/>
      <c r="I266" s="1819"/>
      <c r="J266" s="1819"/>
      <c r="K266" s="1820" t="s">
        <v>3893</v>
      </c>
      <c r="L266" s="1819"/>
      <c r="M266" s="1819"/>
      <c r="N266" s="1819"/>
      <c r="O266" s="1819"/>
      <c r="P266" s="1819"/>
      <c r="Q266" s="1819"/>
      <c r="R266" s="1819"/>
      <c r="S266" s="1819"/>
    </row>
    <row r="267" spans="1:19" ht="13.8">
      <c r="A267" s="1819"/>
      <c r="B267" s="1819"/>
      <c r="C267" s="1819"/>
      <c r="D267" s="1819"/>
      <c r="E267" s="1819" t="s">
        <v>90</v>
      </c>
      <c r="F267" s="1819"/>
      <c r="G267" s="1819"/>
      <c r="H267" s="1819">
        <f>'Part II-Development Team'!H46</f>
        <v>0</v>
      </c>
      <c r="I267" s="1827"/>
      <c r="J267" s="1827"/>
      <c r="K267" s="1827"/>
      <c r="L267" s="1827"/>
      <c r="M267" s="1827"/>
      <c r="N267" s="1827"/>
      <c r="O267" s="1823" t="s">
        <v>1942</v>
      </c>
      <c r="P267" s="1823"/>
      <c r="Q267" s="1819">
        <f>'Part II-Development Team'!Q46</f>
        <v>0</v>
      </c>
      <c r="R267" s="1827"/>
      <c r="S267" s="1827"/>
    </row>
    <row r="268" spans="1:19" ht="13.8">
      <c r="A268" s="1819"/>
      <c r="B268" s="1819"/>
      <c r="C268" s="1819"/>
      <c r="D268" s="1831"/>
      <c r="E268" s="1823" t="s">
        <v>999</v>
      </c>
      <c r="F268" s="1826"/>
      <c r="G268" s="1819"/>
      <c r="H268" s="1819">
        <f>'Part II-Development Team'!H47</f>
        <v>0</v>
      </c>
      <c r="I268" s="1827"/>
      <c r="J268" s="1827"/>
      <c r="K268" s="1827"/>
      <c r="L268" s="1827"/>
      <c r="M268" s="1827"/>
      <c r="N268" s="1827"/>
      <c r="O268" s="1823" t="s">
        <v>1704</v>
      </c>
      <c r="P268" s="1819"/>
      <c r="Q268" s="1819">
        <f>'Part II-Development Team'!Q47</f>
        <v>0</v>
      </c>
      <c r="R268" s="1827"/>
      <c r="S268" s="1827"/>
    </row>
    <row r="269" spans="1:19" ht="13.8">
      <c r="A269" s="1819"/>
      <c r="B269" s="1819"/>
      <c r="C269" s="1819"/>
      <c r="D269" s="1831"/>
      <c r="E269" s="1823" t="s">
        <v>600</v>
      </c>
      <c r="F269" s="1819"/>
      <c r="G269" s="1819"/>
      <c r="H269" s="1819">
        <f>'Part II-Development Team'!H48</f>
        <v>0</v>
      </c>
      <c r="I269" s="1827"/>
      <c r="J269" s="1827"/>
      <c r="K269" s="1821" t="s">
        <v>2625</v>
      </c>
      <c r="L269" s="1819">
        <f>'Part II-Development Team'!L48</f>
        <v>0</v>
      </c>
      <c r="M269" s="1827"/>
      <c r="N269" s="1827"/>
      <c r="O269" s="1823" t="s">
        <v>1679</v>
      </c>
      <c r="P269" s="1819"/>
      <c r="Q269" s="2188">
        <f>'Part II-Development Team'!Q48</f>
        <v>0</v>
      </c>
      <c r="R269" s="2188"/>
      <c r="S269" s="2188"/>
    </row>
    <row r="270" spans="1:19" ht="13.8">
      <c r="A270" s="1819"/>
      <c r="B270" s="1819"/>
      <c r="C270" s="1819"/>
      <c r="D270" s="1819"/>
      <c r="E270" s="1823" t="s">
        <v>1754</v>
      </c>
      <c r="F270" s="1819"/>
      <c r="G270" s="1819"/>
      <c r="H270" s="1823">
        <f>'Part II-Development Team'!H49</f>
        <v>0</v>
      </c>
      <c r="I270" s="1819"/>
      <c r="J270" s="1819"/>
      <c r="K270" s="1821" t="s">
        <v>2173</v>
      </c>
      <c r="L270" s="2187">
        <f>'Part II-Development Team'!L49</f>
        <v>0</v>
      </c>
      <c r="M270" s="1827"/>
      <c r="N270" s="1819"/>
      <c r="O270" s="1823" t="s">
        <v>1932</v>
      </c>
      <c r="P270" s="1819"/>
      <c r="Q270" s="2188">
        <f>'Part II-Development Team'!Q49</f>
        <v>0</v>
      </c>
      <c r="R270" s="2188"/>
      <c r="S270" s="2188"/>
    </row>
    <row r="271" spans="1:19" ht="13.8">
      <c r="A271" s="1819"/>
      <c r="B271" s="1819"/>
      <c r="C271" s="1819"/>
      <c r="D271" s="1831"/>
      <c r="E271" s="1823" t="s">
        <v>3894</v>
      </c>
      <c r="F271" s="1819"/>
      <c r="G271" s="1819"/>
      <c r="H271" s="2188">
        <f>'Part II-Development Team'!H50</f>
        <v>0</v>
      </c>
      <c r="I271" s="2188"/>
      <c r="J271" s="1829">
        <f>'Part II-Development Team'!J50</f>
        <v>0</v>
      </c>
      <c r="K271" s="1821" t="s">
        <v>1937</v>
      </c>
      <c r="L271" s="1965">
        <f>'Part II-Development Team'!L50</f>
        <v>0</v>
      </c>
      <c r="M271" s="1965"/>
      <c r="N271" s="1965"/>
      <c r="O271" s="1965"/>
      <c r="P271" s="1965"/>
      <c r="Q271" s="1965"/>
      <c r="R271" s="1965"/>
      <c r="S271" s="1965"/>
    </row>
    <row r="272" spans="1:19" ht="13.8">
      <c r="A272" s="1827"/>
      <c r="B272" s="1827"/>
      <c r="C272" s="1827"/>
      <c r="D272" s="1827"/>
      <c r="E272" s="1827"/>
      <c r="F272" s="1827"/>
      <c r="G272" s="1827"/>
      <c r="H272" s="1827"/>
      <c r="I272" s="1827"/>
      <c r="J272" s="1827"/>
      <c r="K272" s="1827"/>
      <c r="L272" s="1827"/>
      <c r="M272" s="1827"/>
      <c r="N272" s="1827"/>
      <c r="O272" s="1827"/>
      <c r="P272" s="1827"/>
      <c r="Q272" s="1827"/>
      <c r="R272" s="1827"/>
      <c r="S272" s="1827"/>
    </row>
    <row r="273" spans="1:19" ht="13.8">
      <c r="A273" s="1819" t="s">
        <v>722</v>
      </c>
      <c r="B273" s="1819" t="s">
        <v>634</v>
      </c>
      <c r="C273" s="1819"/>
      <c r="D273" s="1819"/>
      <c r="E273" s="1819"/>
      <c r="F273" s="1819"/>
      <c r="G273" s="1821"/>
      <c r="H273" s="1821"/>
      <c r="I273" s="1821"/>
      <c r="J273" s="1819"/>
      <c r="K273" s="1820" t="s">
        <v>3893</v>
      </c>
      <c r="L273" s="1819"/>
      <c r="M273" s="1819"/>
      <c r="N273" s="1819"/>
      <c r="O273" s="1819"/>
      <c r="P273" s="1819"/>
      <c r="Q273" s="1819"/>
      <c r="R273" s="1819"/>
      <c r="S273" s="1819"/>
    </row>
    <row r="274" spans="1:19" ht="13.8">
      <c r="A274" s="1819"/>
      <c r="B274" s="1819"/>
      <c r="C274" s="1819"/>
      <c r="D274" s="1819"/>
      <c r="E274" s="1819"/>
      <c r="F274" s="1819"/>
      <c r="G274" s="1821"/>
      <c r="H274" s="2188"/>
      <c r="I274" s="2188"/>
      <c r="J274" s="2188"/>
      <c r="K274" s="1821"/>
      <c r="L274" s="2188"/>
      <c r="M274" s="2188"/>
      <c r="N274" s="1821"/>
      <c r="O274" s="2188"/>
      <c r="P274" s="2188"/>
      <c r="Q274" s="1821"/>
      <c r="R274" s="2188"/>
      <c r="S274" s="2188"/>
    </row>
    <row r="275" spans="1:19" ht="13.8">
      <c r="A275" s="1819"/>
      <c r="B275" s="1819" t="s">
        <v>1936</v>
      </c>
      <c r="C275" s="1819" t="s">
        <v>277</v>
      </c>
      <c r="D275" s="1819"/>
      <c r="E275" s="1819"/>
      <c r="F275" s="1819"/>
      <c r="G275" s="1819"/>
      <c r="H275" s="1819" t="str">
        <f>'Part II-Development Team'!H54</f>
        <v>TBG Development Services, Inc</v>
      </c>
      <c r="I275" s="1827"/>
      <c r="J275" s="1827"/>
      <c r="K275" s="1827"/>
      <c r="L275" s="1827"/>
      <c r="M275" s="1827"/>
      <c r="N275" s="1827"/>
      <c r="O275" s="1823" t="s">
        <v>1942</v>
      </c>
      <c r="P275" s="1823"/>
      <c r="Q275" s="1819" t="str">
        <f>'Part II-Development Team'!Q54</f>
        <v>Kevin Buckner</v>
      </c>
      <c r="R275" s="1827"/>
      <c r="S275" s="1827"/>
    </row>
    <row r="276" spans="1:19" ht="13.8">
      <c r="A276" s="1819"/>
      <c r="B276" s="1819"/>
      <c r="C276" s="1819"/>
      <c r="D276" s="1831"/>
      <c r="E276" s="1823" t="s">
        <v>999</v>
      </c>
      <c r="F276" s="1826"/>
      <c r="G276" s="1819"/>
      <c r="H276" s="1819" t="str">
        <f>'Part II-Development Team'!H55</f>
        <v>3825 Paces Walk SE, Suite 100</v>
      </c>
      <c r="I276" s="1827"/>
      <c r="J276" s="1827"/>
      <c r="K276" s="1827"/>
      <c r="L276" s="1827"/>
      <c r="M276" s="1827"/>
      <c r="N276" s="1827"/>
      <c r="O276" s="1823" t="s">
        <v>1704</v>
      </c>
      <c r="P276" s="1819"/>
      <c r="Q276" s="1819" t="str">
        <f>'Part II-Development Team'!Q55</f>
        <v>President</v>
      </c>
      <c r="R276" s="1827"/>
      <c r="S276" s="1827"/>
    </row>
    <row r="277" spans="1:19" ht="13.8">
      <c r="A277" s="1819"/>
      <c r="B277" s="1819"/>
      <c r="C277" s="1819"/>
      <c r="D277" s="1831"/>
      <c r="E277" s="1823" t="s">
        <v>600</v>
      </c>
      <c r="F277" s="1819"/>
      <c r="G277" s="1819"/>
      <c r="H277" s="1819" t="str">
        <f>'Part II-Development Team'!H56</f>
        <v>Atlanta</v>
      </c>
      <c r="I277" s="1827"/>
      <c r="J277" s="1827"/>
      <c r="K277" s="1821" t="s">
        <v>2625</v>
      </c>
      <c r="L277" s="1819" t="str">
        <f>'Part II-Development Team'!L56</f>
        <v>www.tbgresidential.com</v>
      </c>
      <c r="M277" s="1827"/>
      <c r="N277" s="1827"/>
      <c r="O277" s="1823" t="s">
        <v>1679</v>
      </c>
      <c r="P277" s="1819"/>
      <c r="Q277" s="2188">
        <f>'Part II-Development Team'!Q56</f>
        <v>6783245550</v>
      </c>
      <c r="R277" s="2188"/>
      <c r="S277" s="2188"/>
    </row>
    <row r="278" spans="1:19" ht="13.8">
      <c r="A278" s="1819"/>
      <c r="B278" s="1819"/>
      <c r="C278" s="1819"/>
      <c r="D278" s="1819"/>
      <c r="E278" s="1823" t="s">
        <v>1754</v>
      </c>
      <c r="F278" s="1819"/>
      <c r="G278" s="1819"/>
      <c r="H278" s="1823" t="str">
        <f>'Part II-Development Team'!H57</f>
        <v>GA</v>
      </c>
      <c r="I278" s="1819"/>
      <c r="J278" s="1819"/>
      <c r="K278" s="1821" t="s">
        <v>2173</v>
      </c>
      <c r="L278" s="2187">
        <f>'Part II-Development Team'!L57</f>
        <v>303394002</v>
      </c>
      <c r="M278" s="1827"/>
      <c r="N278" s="1819"/>
      <c r="O278" s="1823" t="s">
        <v>1932</v>
      </c>
      <c r="P278" s="1819"/>
      <c r="Q278" s="2188">
        <f>'Part II-Development Team'!Q57</f>
        <v>7708627333</v>
      </c>
      <c r="R278" s="2188"/>
      <c r="S278" s="2188"/>
    </row>
    <row r="279" spans="1:19" ht="13.8">
      <c r="A279" s="1819"/>
      <c r="B279" s="1819"/>
      <c r="C279" s="1819"/>
      <c r="D279" s="1831"/>
      <c r="E279" s="1823" t="s">
        <v>3894</v>
      </c>
      <c r="F279" s="1819"/>
      <c r="G279" s="1819"/>
      <c r="H279" s="2188">
        <f>'Part II-Development Team'!H58</f>
        <v>6783245540</v>
      </c>
      <c r="I279" s="2188"/>
      <c r="J279" s="1829">
        <f>'Part II-Development Team'!J58</f>
        <v>101</v>
      </c>
      <c r="K279" s="1821" t="s">
        <v>1937</v>
      </c>
      <c r="L279" s="1965" t="str">
        <f>'Part II-Development Team'!L58</f>
        <v xml:space="preserve">kbuckner@tbgresidential.com </v>
      </c>
      <c r="M279" s="1965"/>
      <c r="N279" s="1965"/>
      <c r="O279" s="1965"/>
      <c r="P279" s="1965"/>
      <c r="Q279" s="1965"/>
      <c r="R279" s="1965"/>
      <c r="S279" s="1965"/>
    </row>
    <row r="280" spans="1:19" ht="13.8">
      <c r="A280" s="1819"/>
      <c r="B280" s="1819"/>
      <c r="C280" s="1819"/>
      <c r="D280" s="1831"/>
      <c r="E280" s="1819"/>
      <c r="F280" s="1819"/>
      <c r="G280" s="1823"/>
      <c r="H280" s="2188"/>
      <c r="I280" s="2188"/>
      <c r="J280" s="2188"/>
      <c r="K280" s="1821"/>
      <c r="L280" s="2188"/>
      <c r="M280" s="2188"/>
      <c r="N280" s="1821"/>
      <c r="O280" s="2188"/>
      <c r="P280" s="2188"/>
      <c r="Q280" s="1821"/>
      <c r="R280" s="2188"/>
      <c r="S280" s="2188"/>
    </row>
    <row r="281" spans="1:19" ht="13.8">
      <c r="A281" s="1819"/>
      <c r="B281" s="1819" t="s">
        <v>1938</v>
      </c>
      <c r="C281" s="1819" t="s">
        <v>278</v>
      </c>
      <c r="D281" s="1819"/>
      <c r="E281" s="1819"/>
      <c r="F281" s="1819"/>
      <c r="G281" s="1819"/>
      <c r="H281" s="1819">
        <f>'Part II-Development Team'!H60</f>
        <v>0</v>
      </c>
      <c r="I281" s="1827"/>
      <c r="J281" s="1827"/>
      <c r="K281" s="1827"/>
      <c r="L281" s="1827"/>
      <c r="M281" s="1827"/>
      <c r="N281" s="1827"/>
      <c r="O281" s="1823" t="s">
        <v>1942</v>
      </c>
      <c r="P281" s="1823"/>
      <c r="Q281" s="1819">
        <f>'Part II-Development Team'!Q60</f>
        <v>0</v>
      </c>
      <c r="R281" s="1827"/>
      <c r="S281" s="1827"/>
    </row>
    <row r="282" spans="1:19" ht="13.8">
      <c r="A282" s="1819"/>
      <c r="B282" s="1819"/>
      <c r="C282" s="1819"/>
      <c r="D282" s="1831"/>
      <c r="E282" s="1823" t="s">
        <v>999</v>
      </c>
      <c r="F282" s="1826"/>
      <c r="G282" s="1819"/>
      <c r="H282" s="1819">
        <f>'Part II-Development Team'!H61</f>
        <v>0</v>
      </c>
      <c r="I282" s="1827"/>
      <c r="J282" s="1827"/>
      <c r="K282" s="1827"/>
      <c r="L282" s="1827"/>
      <c r="M282" s="1827"/>
      <c r="N282" s="1827"/>
      <c r="O282" s="1823" t="s">
        <v>1704</v>
      </c>
      <c r="P282" s="1819"/>
      <c r="Q282" s="1819">
        <f>'Part II-Development Team'!Q61</f>
        <v>0</v>
      </c>
      <c r="R282" s="1827"/>
      <c r="S282" s="1827"/>
    </row>
    <row r="283" spans="1:19" ht="13.8">
      <c r="A283" s="1819"/>
      <c r="B283" s="1819"/>
      <c r="C283" s="1819"/>
      <c r="D283" s="1831"/>
      <c r="E283" s="1823" t="s">
        <v>600</v>
      </c>
      <c r="F283" s="1819"/>
      <c r="G283" s="1819"/>
      <c r="H283" s="1819">
        <f>'Part II-Development Team'!H62</f>
        <v>0</v>
      </c>
      <c r="I283" s="1827"/>
      <c r="J283" s="1827"/>
      <c r="K283" s="1821" t="s">
        <v>2625</v>
      </c>
      <c r="L283" s="1819">
        <f>'Part II-Development Team'!L62</f>
        <v>0</v>
      </c>
      <c r="M283" s="1827"/>
      <c r="N283" s="1827"/>
      <c r="O283" s="1823" t="s">
        <v>1679</v>
      </c>
      <c r="P283" s="1819"/>
      <c r="Q283" s="2188">
        <f>'Part II-Development Team'!Q62</f>
        <v>0</v>
      </c>
      <c r="R283" s="2188"/>
      <c r="S283" s="2188"/>
    </row>
    <row r="284" spans="1:19" ht="13.8">
      <c r="A284" s="1819"/>
      <c r="B284" s="1819"/>
      <c r="C284" s="1819"/>
      <c r="D284" s="1819"/>
      <c r="E284" s="1823" t="s">
        <v>1754</v>
      </c>
      <c r="F284" s="1819"/>
      <c r="G284" s="1819"/>
      <c r="H284" s="1823">
        <f>'Part II-Development Team'!H63</f>
        <v>0</v>
      </c>
      <c r="I284" s="1819"/>
      <c r="J284" s="1819"/>
      <c r="K284" s="1821" t="s">
        <v>2173</v>
      </c>
      <c r="L284" s="2187">
        <f>'Part II-Development Team'!L63</f>
        <v>0</v>
      </c>
      <c r="M284" s="1827"/>
      <c r="N284" s="1819"/>
      <c r="O284" s="1823" t="s">
        <v>1932</v>
      </c>
      <c r="P284" s="1819"/>
      <c r="Q284" s="2188">
        <f>'Part II-Development Team'!Q63</f>
        <v>0</v>
      </c>
      <c r="R284" s="2188"/>
      <c r="S284" s="2188"/>
    </row>
    <row r="285" spans="1:19" ht="13.8">
      <c r="A285" s="1819"/>
      <c r="B285" s="1819"/>
      <c r="C285" s="1819"/>
      <c r="D285" s="1831"/>
      <c r="E285" s="1823" t="s">
        <v>3894</v>
      </c>
      <c r="F285" s="1819"/>
      <c r="G285" s="1819"/>
      <c r="H285" s="2188">
        <f>'Part II-Development Team'!H64</f>
        <v>0</v>
      </c>
      <c r="I285" s="2188"/>
      <c r="J285" s="1829">
        <f>'Part II-Development Team'!J64</f>
        <v>0</v>
      </c>
      <c r="K285" s="1821" t="s">
        <v>1937</v>
      </c>
      <c r="L285" s="1965">
        <f>'Part II-Development Team'!L64</f>
        <v>0</v>
      </c>
      <c r="M285" s="1965"/>
      <c r="N285" s="1965"/>
      <c r="O285" s="1965"/>
      <c r="P285" s="1965"/>
      <c r="Q285" s="1965"/>
      <c r="R285" s="1965"/>
      <c r="S285" s="1965"/>
    </row>
    <row r="286" spans="1:19" ht="13.8">
      <c r="A286" s="1819"/>
      <c r="B286" s="1819"/>
      <c r="C286" s="1819"/>
      <c r="D286" s="1831"/>
      <c r="E286" s="1819"/>
      <c r="F286" s="1819"/>
      <c r="G286" s="1823"/>
      <c r="H286" s="2188"/>
      <c r="I286" s="2188"/>
      <c r="J286" s="2188"/>
      <c r="K286" s="1821"/>
      <c r="L286" s="2188"/>
      <c r="M286" s="2188"/>
      <c r="N286" s="1821"/>
      <c r="O286" s="2188"/>
      <c r="P286" s="2188"/>
      <c r="Q286" s="1821"/>
      <c r="R286" s="2188"/>
      <c r="S286" s="2188"/>
    </row>
    <row r="287" spans="1:19" ht="13.8">
      <c r="A287" s="1819"/>
      <c r="B287" s="1819" t="s">
        <v>731</v>
      </c>
      <c r="C287" s="1819" t="s">
        <v>1496</v>
      </c>
      <c r="D287" s="1819"/>
      <c r="E287" s="1819"/>
      <c r="F287" s="1819"/>
      <c r="G287" s="1819"/>
      <c r="H287" s="1819">
        <f>'Part II-Development Team'!H66</f>
        <v>0</v>
      </c>
      <c r="I287" s="1827"/>
      <c r="J287" s="1827"/>
      <c r="K287" s="1827"/>
      <c r="L287" s="1827"/>
      <c r="M287" s="1827"/>
      <c r="N287" s="1827"/>
      <c r="O287" s="1823" t="s">
        <v>1942</v>
      </c>
      <c r="P287" s="1823"/>
      <c r="Q287" s="1819">
        <f>'Part II-Development Team'!Q66</f>
        <v>0</v>
      </c>
      <c r="R287" s="1827"/>
      <c r="S287" s="1827"/>
    </row>
    <row r="288" spans="1:19" ht="13.8">
      <c r="A288" s="1819"/>
      <c r="B288" s="1819"/>
      <c r="C288" s="1819"/>
      <c r="D288" s="1831"/>
      <c r="E288" s="1823" t="s">
        <v>999</v>
      </c>
      <c r="F288" s="1826"/>
      <c r="G288" s="1819"/>
      <c r="H288" s="1819">
        <f>'Part II-Development Team'!H67</f>
        <v>0</v>
      </c>
      <c r="I288" s="1827"/>
      <c r="J288" s="1827"/>
      <c r="K288" s="1827"/>
      <c r="L288" s="1827"/>
      <c r="M288" s="1827"/>
      <c r="N288" s="1827"/>
      <c r="O288" s="1823" t="s">
        <v>1704</v>
      </c>
      <c r="P288" s="1819"/>
      <c r="Q288" s="1819">
        <f>'Part II-Development Team'!Q67</f>
        <v>0</v>
      </c>
      <c r="R288" s="1827"/>
      <c r="S288" s="1827"/>
    </row>
    <row r="289" spans="1:19" ht="13.8">
      <c r="A289" s="1819"/>
      <c r="B289" s="1819"/>
      <c r="C289" s="1819"/>
      <c r="D289" s="1831"/>
      <c r="E289" s="1823" t="s">
        <v>600</v>
      </c>
      <c r="F289" s="1819"/>
      <c r="G289" s="1819"/>
      <c r="H289" s="1819">
        <f>'Part II-Development Team'!H68</f>
        <v>0</v>
      </c>
      <c r="I289" s="1827"/>
      <c r="J289" s="1827"/>
      <c r="K289" s="1821" t="s">
        <v>2625</v>
      </c>
      <c r="L289" s="1819">
        <f>'Part II-Development Team'!L68</f>
        <v>0</v>
      </c>
      <c r="M289" s="1827"/>
      <c r="N289" s="1827"/>
      <c r="O289" s="1823" t="s">
        <v>1679</v>
      </c>
      <c r="P289" s="1819"/>
      <c r="Q289" s="2188">
        <f>'Part II-Development Team'!Q68</f>
        <v>0</v>
      </c>
      <c r="R289" s="2188"/>
      <c r="S289" s="2188"/>
    </row>
    <row r="290" spans="1:19" ht="13.8">
      <c r="A290" s="1819"/>
      <c r="B290" s="1819"/>
      <c r="C290" s="1819"/>
      <c r="D290" s="1819"/>
      <c r="E290" s="1823" t="s">
        <v>1754</v>
      </c>
      <c r="F290" s="1819"/>
      <c r="G290" s="1819"/>
      <c r="H290" s="1823">
        <f>'Part II-Development Team'!H69</f>
        <v>0</v>
      </c>
      <c r="I290" s="1819"/>
      <c r="J290" s="1819"/>
      <c r="K290" s="1821" t="s">
        <v>2173</v>
      </c>
      <c r="L290" s="2187">
        <f>'Part II-Development Team'!L69</f>
        <v>0</v>
      </c>
      <c r="M290" s="1827"/>
      <c r="N290" s="1819"/>
      <c r="O290" s="1823" t="s">
        <v>1932</v>
      </c>
      <c r="P290" s="1819"/>
      <c r="Q290" s="2188">
        <f>'Part II-Development Team'!Q69</f>
        <v>0</v>
      </c>
      <c r="R290" s="2188"/>
      <c r="S290" s="2188"/>
    </row>
    <row r="291" spans="1:19" ht="13.8">
      <c r="A291" s="1819"/>
      <c r="B291" s="1819"/>
      <c r="C291" s="1819"/>
      <c r="D291" s="1831"/>
      <c r="E291" s="1823" t="s">
        <v>3894</v>
      </c>
      <c r="F291" s="1819"/>
      <c r="G291" s="1819"/>
      <c r="H291" s="2188">
        <f>'Part II-Development Team'!H70</f>
        <v>0</v>
      </c>
      <c r="I291" s="2188"/>
      <c r="J291" s="1829">
        <f>'Part II-Development Team'!J70</f>
        <v>0</v>
      </c>
      <c r="K291" s="1821" t="s">
        <v>1937</v>
      </c>
      <c r="L291" s="1965">
        <f>'Part II-Development Team'!L70</f>
        <v>0</v>
      </c>
      <c r="M291" s="1965"/>
      <c r="N291" s="1965"/>
      <c r="O291" s="1965"/>
      <c r="P291" s="1965"/>
      <c r="Q291" s="1965"/>
      <c r="R291" s="1965"/>
      <c r="S291" s="1965"/>
    </row>
    <row r="292" spans="1:19" ht="13.8">
      <c r="A292" s="1827"/>
      <c r="B292" s="1827"/>
      <c r="C292" s="1827"/>
      <c r="D292" s="1827"/>
      <c r="E292" s="1827"/>
      <c r="F292" s="1827"/>
      <c r="G292" s="1827"/>
      <c r="H292" s="2188"/>
      <c r="I292" s="2188"/>
      <c r="J292" s="2188"/>
      <c r="K292" s="1821"/>
      <c r="L292" s="2188"/>
      <c r="M292" s="2188"/>
      <c r="N292" s="1821"/>
      <c r="O292" s="2188"/>
      <c r="P292" s="2188"/>
      <c r="Q292" s="1821"/>
      <c r="R292" s="2188"/>
      <c r="S292" s="2188"/>
    </row>
    <row r="293" spans="1:19" ht="13.8">
      <c r="A293" s="1819"/>
      <c r="B293" s="1819" t="s">
        <v>2065</v>
      </c>
      <c r="C293" s="1819" t="s">
        <v>279</v>
      </c>
      <c r="D293" s="1819"/>
      <c r="E293" s="1819"/>
      <c r="F293" s="1819"/>
      <c r="G293" s="1819"/>
      <c r="H293" s="1819">
        <f>'Part II-Development Team'!H72</f>
        <v>0</v>
      </c>
      <c r="I293" s="1827"/>
      <c r="J293" s="1827"/>
      <c r="K293" s="1827"/>
      <c r="L293" s="1827"/>
      <c r="M293" s="1827"/>
      <c r="N293" s="1827"/>
      <c r="O293" s="1823" t="s">
        <v>1942</v>
      </c>
      <c r="P293" s="1823"/>
      <c r="Q293" s="1819">
        <f>'Part II-Development Team'!Q72</f>
        <v>0</v>
      </c>
      <c r="R293" s="1827"/>
      <c r="S293" s="1827"/>
    </row>
    <row r="294" spans="1:19" ht="13.8">
      <c r="A294" s="1819"/>
      <c r="B294" s="1819"/>
      <c r="C294" s="1819"/>
      <c r="D294" s="1831"/>
      <c r="E294" s="1823" t="s">
        <v>999</v>
      </c>
      <c r="F294" s="1826"/>
      <c r="G294" s="1819"/>
      <c r="H294" s="1819">
        <f>'Part II-Development Team'!H73</f>
        <v>0</v>
      </c>
      <c r="I294" s="1827"/>
      <c r="J294" s="1827"/>
      <c r="K294" s="1827"/>
      <c r="L294" s="1827"/>
      <c r="M294" s="1827"/>
      <c r="N294" s="1827"/>
      <c r="O294" s="1823" t="s">
        <v>1704</v>
      </c>
      <c r="P294" s="1819"/>
      <c r="Q294" s="1819">
        <f>'Part II-Development Team'!Q73</f>
        <v>0</v>
      </c>
      <c r="R294" s="1827"/>
      <c r="S294" s="1827"/>
    </row>
    <row r="295" spans="1:19" ht="13.8">
      <c r="A295" s="1819"/>
      <c r="B295" s="1819"/>
      <c r="C295" s="1819"/>
      <c r="D295" s="1831"/>
      <c r="E295" s="1823" t="s">
        <v>600</v>
      </c>
      <c r="F295" s="1819"/>
      <c r="G295" s="1819"/>
      <c r="H295" s="1819">
        <f>'Part II-Development Team'!H74</f>
        <v>0</v>
      </c>
      <c r="I295" s="1827"/>
      <c r="J295" s="1827"/>
      <c r="K295" s="1821" t="s">
        <v>2625</v>
      </c>
      <c r="L295" s="1819">
        <f>'Part II-Development Team'!L74</f>
        <v>0</v>
      </c>
      <c r="M295" s="1827"/>
      <c r="N295" s="1827"/>
      <c r="O295" s="1823" t="s">
        <v>1679</v>
      </c>
      <c r="P295" s="1819"/>
      <c r="Q295" s="2188">
        <f>'Part II-Development Team'!Q74</f>
        <v>0</v>
      </c>
      <c r="R295" s="2188"/>
      <c r="S295" s="2188"/>
    </row>
    <row r="296" spans="1:19" ht="13.8">
      <c r="A296" s="1819"/>
      <c r="B296" s="1819"/>
      <c r="C296" s="1819"/>
      <c r="D296" s="1819"/>
      <c r="E296" s="1823" t="s">
        <v>1754</v>
      </c>
      <c r="F296" s="1819"/>
      <c r="G296" s="1819"/>
      <c r="H296" s="1823">
        <f>'Part II-Development Team'!H75</f>
        <v>0</v>
      </c>
      <c r="I296" s="1819"/>
      <c r="J296" s="1819"/>
      <c r="K296" s="1821" t="s">
        <v>2173</v>
      </c>
      <c r="L296" s="2187">
        <f>'Part II-Development Team'!L75</f>
        <v>0</v>
      </c>
      <c r="M296" s="1827"/>
      <c r="N296" s="1819"/>
      <c r="O296" s="1823" t="s">
        <v>1932</v>
      </c>
      <c r="P296" s="1819"/>
      <c r="Q296" s="2188">
        <f>'Part II-Development Team'!Q75</f>
        <v>0</v>
      </c>
      <c r="R296" s="2188"/>
      <c r="S296" s="2188"/>
    </row>
    <row r="297" spans="1:19" ht="13.8">
      <c r="A297" s="1819"/>
      <c r="B297" s="1819"/>
      <c r="C297" s="1819"/>
      <c r="D297" s="1831"/>
      <c r="E297" s="1823" t="s">
        <v>3894</v>
      </c>
      <c r="F297" s="1819"/>
      <c r="G297" s="1819"/>
      <c r="H297" s="2188">
        <f>'Part II-Development Team'!H76</f>
        <v>0</v>
      </c>
      <c r="I297" s="2188"/>
      <c r="J297" s="1829">
        <f>'Part II-Development Team'!J76</f>
        <v>0</v>
      </c>
      <c r="K297" s="1821" t="s">
        <v>1937</v>
      </c>
      <c r="L297" s="1965">
        <f>'Part II-Development Team'!L76</f>
        <v>0</v>
      </c>
      <c r="M297" s="1965"/>
      <c r="N297" s="1965"/>
      <c r="O297" s="1965"/>
      <c r="P297" s="1965"/>
      <c r="Q297" s="1965"/>
      <c r="R297" s="1965"/>
      <c r="S297" s="1965"/>
    </row>
    <row r="298" spans="1:19" ht="13.8">
      <c r="A298" s="1827"/>
      <c r="B298" s="1827"/>
      <c r="C298" s="1827"/>
      <c r="D298" s="1827"/>
      <c r="E298" s="1827"/>
      <c r="F298" s="1827"/>
      <c r="G298" s="1827"/>
      <c r="H298" s="1827"/>
      <c r="I298" s="1827"/>
      <c r="J298" s="1827"/>
      <c r="K298" s="1827"/>
      <c r="L298" s="1827"/>
      <c r="M298" s="1827"/>
      <c r="N298" s="1827"/>
      <c r="O298" s="1827"/>
      <c r="P298" s="1827"/>
      <c r="Q298" s="1827"/>
      <c r="R298" s="1827"/>
      <c r="S298" s="1827"/>
    </row>
    <row r="299" spans="1:19" ht="13.8">
      <c r="A299" s="1823" t="s">
        <v>724</v>
      </c>
      <c r="B299" s="1823" t="s">
        <v>280</v>
      </c>
      <c r="C299" s="1823"/>
      <c r="D299" s="1823"/>
      <c r="E299" s="1823"/>
      <c r="F299" s="1823"/>
      <c r="G299" s="1823"/>
      <c r="H299" s="1823"/>
      <c r="I299" s="1823"/>
      <c r="J299" s="1823"/>
      <c r="K299" s="1820" t="s">
        <v>3893</v>
      </c>
      <c r="L299" s="1823"/>
      <c r="M299" s="1823"/>
      <c r="N299" s="1823"/>
      <c r="O299" s="1823"/>
      <c r="P299" s="1823"/>
      <c r="Q299" s="1823"/>
      <c r="R299" s="1823"/>
      <c r="S299" s="1823"/>
    </row>
    <row r="300" spans="1:19" ht="13.8">
      <c r="A300" s="1823"/>
      <c r="B300" s="1823"/>
      <c r="C300" s="1823"/>
      <c r="D300" s="1823"/>
      <c r="E300" s="1823"/>
      <c r="F300" s="1823"/>
      <c r="G300" s="1823"/>
      <c r="H300" s="2188"/>
      <c r="I300" s="2188"/>
      <c r="J300" s="2188"/>
      <c r="K300" s="1821"/>
      <c r="L300" s="2188"/>
      <c r="M300" s="2188"/>
      <c r="N300" s="1821"/>
      <c r="O300" s="2188"/>
      <c r="P300" s="2188"/>
      <c r="Q300" s="1821"/>
      <c r="R300" s="2188"/>
      <c r="S300" s="2188"/>
    </row>
    <row r="301" spans="1:19" ht="13.8">
      <c r="A301" s="1819"/>
      <c r="B301" s="1819" t="s">
        <v>1936</v>
      </c>
      <c r="C301" s="1819" t="s">
        <v>281</v>
      </c>
      <c r="D301" s="1819"/>
      <c r="E301" s="1819"/>
      <c r="F301" s="1819"/>
      <c r="G301" s="1819"/>
      <c r="H301" s="1819">
        <f>'Part II-Development Team'!H80</f>
        <v>0</v>
      </c>
      <c r="I301" s="1827"/>
      <c r="J301" s="1827"/>
      <c r="K301" s="1827"/>
      <c r="L301" s="1827"/>
      <c r="M301" s="1827"/>
      <c r="N301" s="1827"/>
      <c r="O301" s="1823" t="s">
        <v>1942</v>
      </c>
      <c r="P301" s="1823"/>
      <c r="Q301" s="1819">
        <f>'Part II-Development Team'!Q80</f>
        <v>0</v>
      </c>
      <c r="R301" s="1827"/>
      <c r="S301" s="1827"/>
    </row>
    <row r="302" spans="1:19" ht="13.8">
      <c r="A302" s="1819"/>
      <c r="B302" s="1819"/>
      <c r="C302" s="1819"/>
      <c r="D302" s="1831"/>
      <c r="E302" s="1823" t="s">
        <v>999</v>
      </c>
      <c r="F302" s="1826"/>
      <c r="G302" s="1819"/>
      <c r="H302" s="1819">
        <f>'Part II-Development Team'!H81</f>
        <v>0</v>
      </c>
      <c r="I302" s="1827"/>
      <c r="J302" s="1827"/>
      <c r="K302" s="1827"/>
      <c r="L302" s="1827"/>
      <c r="M302" s="1827"/>
      <c r="N302" s="1827"/>
      <c r="O302" s="1823" t="s">
        <v>1704</v>
      </c>
      <c r="P302" s="1819"/>
      <c r="Q302" s="1819">
        <f>'Part II-Development Team'!Q81</f>
        <v>0</v>
      </c>
      <c r="R302" s="1827"/>
      <c r="S302" s="1827"/>
    </row>
    <row r="303" spans="1:19" ht="13.8">
      <c r="A303" s="1819"/>
      <c r="B303" s="1819"/>
      <c r="C303" s="1819"/>
      <c r="D303" s="1831"/>
      <c r="E303" s="1823" t="s">
        <v>600</v>
      </c>
      <c r="F303" s="1819"/>
      <c r="G303" s="1819"/>
      <c r="H303" s="1819">
        <f>'Part II-Development Team'!H82</f>
        <v>0</v>
      </c>
      <c r="I303" s="1827"/>
      <c r="J303" s="1827"/>
      <c r="K303" s="1821" t="s">
        <v>2625</v>
      </c>
      <c r="L303" s="1819">
        <f>'Part II-Development Team'!L82</f>
        <v>0</v>
      </c>
      <c r="M303" s="1827"/>
      <c r="N303" s="1827"/>
      <c r="O303" s="1823" t="s">
        <v>1679</v>
      </c>
      <c r="P303" s="1819"/>
      <c r="Q303" s="2188">
        <f>'Part II-Development Team'!Q82</f>
        <v>0</v>
      </c>
      <c r="R303" s="2188"/>
      <c r="S303" s="2188"/>
    </row>
    <row r="304" spans="1:19" ht="13.8">
      <c r="A304" s="1819"/>
      <c r="B304" s="1819"/>
      <c r="C304" s="1819"/>
      <c r="D304" s="1819"/>
      <c r="E304" s="1823" t="s">
        <v>1754</v>
      </c>
      <c r="F304" s="1819"/>
      <c r="G304" s="1819"/>
      <c r="H304" s="1823">
        <f>'Part II-Development Team'!H83</f>
        <v>0</v>
      </c>
      <c r="I304" s="1819"/>
      <c r="J304" s="1819"/>
      <c r="K304" s="1821" t="s">
        <v>2173</v>
      </c>
      <c r="L304" s="2187">
        <f>'Part II-Development Team'!L83</f>
        <v>0</v>
      </c>
      <c r="M304" s="1827"/>
      <c r="N304" s="1819"/>
      <c r="O304" s="1823" t="s">
        <v>1932</v>
      </c>
      <c r="P304" s="1819"/>
      <c r="Q304" s="2188">
        <f>'Part II-Development Team'!Q83</f>
        <v>0</v>
      </c>
      <c r="R304" s="2188"/>
      <c r="S304" s="2188"/>
    </row>
    <row r="305" spans="1:19" ht="13.8">
      <c r="A305" s="1819"/>
      <c r="B305" s="1819"/>
      <c r="C305" s="1819"/>
      <c r="D305" s="1831"/>
      <c r="E305" s="1823" t="s">
        <v>3894</v>
      </c>
      <c r="F305" s="1819"/>
      <c r="G305" s="1819"/>
      <c r="H305" s="2188">
        <f>'Part II-Development Team'!H84</f>
        <v>0</v>
      </c>
      <c r="I305" s="2188"/>
      <c r="J305" s="1829">
        <f>'Part II-Development Team'!J84</f>
        <v>0</v>
      </c>
      <c r="K305" s="1821" t="s">
        <v>1937</v>
      </c>
      <c r="L305" s="1965">
        <f>'Part II-Development Team'!L84</f>
        <v>0</v>
      </c>
      <c r="M305" s="1965"/>
      <c r="N305" s="1965"/>
      <c r="O305" s="1965"/>
      <c r="P305" s="1965"/>
      <c r="Q305" s="1965"/>
      <c r="R305" s="1965"/>
      <c r="S305" s="1965"/>
    </row>
    <row r="306" spans="1:19" ht="13.8">
      <c r="A306" s="1827"/>
      <c r="B306" s="1827"/>
      <c r="C306" s="1827"/>
      <c r="D306" s="1827"/>
      <c r="E306" s="1827"/>
      <c r="F306" s="1827"/>
      <c r="G306" s="1827"/>
      <c r="H306" s="2188"/>
      <c r="I306" s="2188"/>
      <c r="J306" s="2188"/>
      <c r="K306" s="1821"/>
      <c r="L306" s="2188"/>
      <c r="M306" s="2188"/>
      <c r="N306" s="1821"/>
      <c r="O306" s="2188"/>
      <c r="P306" s="2188"/>
      <c r="Q306" s="1821"/>
      <c r="R306" s="2188"/>
      <c r="S306" s="2188"/>
    </row>
    <row r="307" spans="1:19" ht="13.8">
      <c r="A307" s="1819"/>
      <c r="B307" s="1819" t="s">
        <v>1938</v>
      </c>
      <c r="C307" s="1819" t="s">
        <v>282</v>
      </c>
      <c r="D307" s="1819"/>
      <c r="E307" s="1819"/>
      <c r="F307" s="1819"/>
      <c r="G307" s="1819"/>
      <c r="H307" s="1819" t="str">
        <f>'Part II-Development Team'!H86</f>
        <v>TBG Construction, Inc</v>
      </c>
      <c r="I307" s="1827"/>
      <c r="J307" s="1827"/>
      <c r="K307" s="1827"/>
      <c r="L307" s="1827"/>
      <c r="M307" s="1827"/>
      <c r="N307" s="1827"/>
      <c r="O307" s="1823" t="s">
        <v>1942</v>
      </c>
      <c r="P307" s="1823"/>
      <c r="Q307" s="1819" t="str">
        <f>'Part II-Development Team'!Q86</f>
        <v xml:space="preserve">Kevin Buckner </v>
      </c>
      <c r="R307" s="1827"/>
      <c r="S307" s="1827"/>
    </row>
    <row r="308" spans="1:19" ht="13.8">
      <c r="A308" s="1819"/>
      <c r="B308" s="1819"/>
      <c r="C308" s="1819"/>
      <c r="D308" s="1831"/>
      <c r="E308" s="1823" t="s">
        <v>999</v>
      </c>
      <c r="F308" s="1826"/>
      <c r="G308" s="1819"/>
      <c r="H308" s="1819" t="str">
        <f>'Part II-Development Team'!H87</f>
        <v>3825 Paces Walk SE, Suite 100</v>
      </c>
      <c r="I308" s="1827"/>
      <c r="J308" s="1827"/>
      <c r="K308" s="1827"/>
      <c r="L308" s="1827"/>
      <c r="M308" s="1827"/>
      <c r="N308" s="1827"/>
      <c r="O308" s="1823" t="s">
        <v>1704</v>
      </c>
      <c r="P308" s="1819"/>
      <c r="Q308" s="1819" t="str">
        <f>'Part II-Development Team'!Q87</f>
        <v xml:space="preserve">President </v>
      </c>
      <c r="R308" s="1827"/>
      <c r="S308" s="1827"/>
    </row>
    <row r="309" spans="1:19" ht="13.8">
      <c r="A309" s="1819"/>
      <c r="B309" s="1819"/>
      <c r="C309" s="1819"/>
      <c r="D309" s="1831"/>
      <c r="E309" s="1823" t="s">
        <v>600</v>
      </c>
      <c r="F309" s="1819"/>
      <c r="G309" s="1819"/>
      <c r="H309" s="1819" t="str">
        <f>'Part II-Development Team'!H88</f>
        <v>Atlanta</v>
      </c>
      <c r="I309" s="1827"/>
      <c r="J309" s="1827"/>
      <c r="K309" s="1821" t="s">
        <v>2625</v>
      </c>
      <c r="L309" s="1819" t="str">
        <f>'Part II-Development Team'!L88</f>
        <v>www.tbgresidential.com</v>
      </c>
      <c r="M309" s="1827"/>
      <c r="N309" s="1827"/>
      <c r="O309" s="1823" t="s">
        <v>1679</v>
      </c>
      <c r="P309" s="1819"/>
      <c r="Q309" s="2188">
        <f>'Part II-Development Team'!Q88</f>
        <v>6783245550</v>
      </c>
      <c r="R309" s="2188"/>
      <c r="S309" s="2188"/>
    </row>
    <row r="310" spans="1:19" ht="13.8">
      <c r="A310" s="1819"/>
      <c r="B310" s="1819"/>
      <c r="C310" s="1819"/>
      <c r="D310" s="1819"/>
      <c r="E310" s="1823" t="s">
        <v>1754</v>
      </c>
      <c r="F310" s="1819"/>
      <c r="G310" s="1819"/>
      <c r="H310" s="1823" t="str">
        <f>'Part II-Development Team'!H89</f>
        <v>GA</v>
      </c>
      <c r="I310" s="1819"/>
      <c r="J310" s="1819"/>
      <c r="K310" s="1821" t="s">
        <v>2173</v>
      </c>
      <c r="L310" s="2187">
        <f>'Part II-Development Team'!L89</f>
        <v>303394002</v>
      </c>
      <c r="M310" s="1827"/>
      <c r="N310" s="1819"/>
      <c r="O310" s="1823" t="s">
        <v>1932</v>
      </c>
      <c r="P310" s="1819"/>
      <c r="Q310" s="2188">
        <f>'Part II-Development Team'!Q89</f>
        <v>7708627333</v>
      </c>
      <c r="R310" s="2188"/>
      <c r="S310" s="2188"/>
    </row>
    <row r="311" spans="1:19" ht="13.8">
      <c r="A311" s="1819"/>
      <c r="B311" s="1819"/>
      <c r="C311" s="1819"/>
      <c r="D311" s="1831"/>
      <c r="E311" s="1823" t="s">
        <v>3894</v>
      </c>
      <c r="F311" s="1819"/>
      <c r="G311" s="1819"/>
      <c r="H311" s="2188">
        <f>'Part II-Development Team'!H90</f>
        <v>6783245540</v>
      </c>
      <c r="I311" s="2188"/>
      <c r="J311" s="1829">
        <f>'Part II-Development Team'!J90</f>
        <v>101</v>
      </c>
      <c r="K311" s="1821" t="s">
        <v>1937</v>
      </c>
      <c r="L311" s="1965" t="str">
        <f>'Part II-Development Team'!L90</f>
        <v xml:space="preserve">kbuckner@tbgresidential.com </v>
      </c>
      <c r="M311" s="1965"/>
      <c r="N311" s="1965"/>
      <c r="O311" s="1965"/>
      <c r="P311" s="1965"/>
      <c r="Q311" s="1965"/>
      <c r="R311" s="1965"/>
      <c r="S311" s="1965"/>
    </row>
    <row r="312" spans="1:19" ht="13.8">
      <c r="A312" s="1827"/>
      <c r="B312" s="1827"/>
      <c r="C312" s="1827"/>
      <c r="D312" s="1827"/>
      <c r="E312" s="1827"/>
      <c r="F312" s="1827"/>
      <c r="G312" s="1827"/>
      <c r="H312" s="2188"/>
      <c r="I312" s="2188"/>
      <c r="J312" s="2188"/>
      <c r="K312" s="1821"/>
      <c r="L312" s="2188"/>
      <c r="M312" s="2188"/>
      <c r="N312" s="1821"/>
      <c r="O312" s="2188"/>
      <c r="P312" s="2188"/>
      <c r="Q312" s="1821"/>
      <c r="R312" s="2188"/>
      <c r="S312" s="2188"/>
    </row>
    <row r="313" spans="1:19" ht="13.8">
      <c r="A313" s="1819"/>
      <c r="B313" s="1819" t="s">
        <v>731</v>
      </c>
      <c r="C313" s="1819" t="s">
        <v>283</v>
      </c>
      <c r="D313" s="1819"/>
      <c r="E313" s="1819"/>
      <c r="F313" s="1827"/>
      <c r="G313" s="1819"/>
      <c r="H313" s="1819" t="str">
        <f>'Part II-Development Team'!H92</f>
        <v xml:space="preserve">TBG Management, Inc </v>
      </c>
      <c r="I313" s="1827"/>
      <c r="J313" s="1827"/>
      <c r="K313" s="1827"/>
      <c r="L313" s="1827"/>
      <c r="M313" s="1827"/>
      <c r="N313" s="1827"/>
      <c r="O313" s="1823" t="s">
        <v>1942</v>
      </c>
      <c r="P313" s="1823"/>
      <c r="Q313" s="1819" t="str">
        <f>'Part II-Development Team'!Q92</f>
        <v>Kevin Buckner</v>
      </c>
      <c r="R313" s="1827"/>
      <c r="S313" s="1827"/>
    </row>
    <row r="314" spans="1:19" ht="13.8">
      <c r="A314" s="1819"/>
      <c r="B314" s="1819"/>
      <c r="C314" s="1819"/>
      <c r="D314" s="1831"/>
      <c r="E314" s="1823" t="s">
        <v>999</v>
      </c>
      <c r="F314" s="1826"/>
      <c r="G314" s="1819"/>
      <c r="H314" s="1819" t="str">
        <f>'Part II-Development Team'!H93</f>
        <v>3825 Paces Walk SE, Suite 100</v>
      </c>
      <c r="I314" s="1827"/>
      <c r="J314" s="1827"/>
      <c r="K314" s="1827"/>
      <c r="L314" s="1827"/>
      <c r="M314" s="1827"/>
      <c r="N314" s="1827"/>
      <c r="O314" s="1823" t="s">
        <v>1704</v>
      </c>
      <c r="P314" s="1819"/>
      <c r="Q314" s="1819" t="str">
        <f>'Part II-Development Team'!Q93</f>
        <v xml:space="preserve">President </v>
      </c>
      <c r="R314" s="1827"/>
      <c r="S314" s="1827"/>
    </row>
    <row r="315" spans="1:19" ht="13.8">
      <c r="A315" s="1819"/>
      <c r="B315" s="1819"/>
      <c r="C315" s="1819"/>
      <c r="D315" s="1831"/>
      <c r="E315" s="1823" t="s">
        <v>600</v>
      </c>
      <c r="F315" s="1819"/>
      <c r="G315" s="1819"/>
      <c r="H315" s="1819" t="str">
        <f>'Part II-Development Team'!H94</f>
        <v>Atlanta</v>
      </c>
      <c r="I315" s="1827"/>
      <c r="J315" s="1827"/>
      <c r="K315" s="1821" t="s">
        <v>2625</v>
      </c>
      <c r="L315" s="1819" t="str">
        <f>'Part II-Development Team'!L94</f>
        <v>www.tbgresidential.com</v>
      </c>
      <c r="M315" s="1827"/>
      <c r="N315" s="1827"/>
      <c r="O315" s="1823" t="s">
        <v>1679</v>
      </c>
      <c r="P315" s="1819"/>
      <c r="Q315" s="2188">
        <f>'Part II-Development Team'!Q94</f>
        <v>6783245550</v>
      </c>
      <c r="R315" s="2188"/>
      <c r="S315" s="2188"/>
    </row>
    <row r="316" spans="1:19" ht="13.8">
      <c r="A316" s="1819"/>
      <c r="B316" s="1819"/>
      <c r="C316" s="1819"/>
      <c r="D316" s="1831"/>
      <c r="E316" s="1823" t="s">
        <v>1754</v>
      </c>
      <c r="F316" s="1819"/>
      <c r="G316" s="1819"/>
      <c r="H316" s="1823" t="str">
        <f>'Part II-Development Team'!H95</f>
        <v>GA</v>
      </c>
      <c r="I316" s="1819"/>
      <c r="J316" s="1819"/>
      <c r="K316" s="1821" t="s">
        <v>2173</v>
      </c>
      <c r="L316" s="2187">
        <f>'Part II-Development Team'!L95</f>
        <v>303394002</v>
      </c>
      <c r="M316" s="1827"/>
      <c r="N316" s="1819"/>
      <c r="O316" s="1823" t="s">
        <v>1932</v>
      </c>
      <c r="P316" s="1819"/>
      <c r="Q316" s="2188">
        <f>'Part II-Development Team'!Q95</f>
        <v>7708627333</v>
      </c>
      <c r="R316" s="2188"/>
      <c r="S316" s="2188"/>
    </row>
    <row r="317" spans="1:19" ht="13.8">
      <c r="A317" s="1819"/>
      <c r="B317" s="1819"/>
      <c r="C317" s="1819"/>
      <c r="D317" s="1831"/>
      <c r="E317" s="1823" t="s">
        <v>3894</v>
      </c>
      <c r="F317" s="1819"/>
      <c r="G317" s="1819"/>
      <c r="H317" s="2188">
        <f>'Part II-Development Team'!H96</f>
        <v>6783245540</v>
      </c>
      <c r="I317" s="2188"/>
      <c r="J317" s="1829">
        <f>'Part II-Development Team'!J96</f>
        <v>101</v>
      </c>
      <c r="K317" s="1821" t="s">
        <v>1937</v>
      </c>
      <c r="L317" s="1965" t="str">
        <f>'Part II-Development Team'!L96</f>
        <v xml:space="preserve">kbuckner@tbgresidential.com </v>
      </c>
      <c r="M317" s="1965"/>
      <c r="N317" s="1965"/>
      <c r="O317" s="1965"/>
      <c r="P317" s="1965"/>
      <c r="Q317" s="1965"/>
      <c r="R317" s="1965"/>
      <c r="S317" s="1965"/>
    </row>
    <row r="318" spans="1:19" ht="13.8">
      <c r="A318" s="1827"/>
      <c r="B318" s="1827"/>
      <c r="C318" s="1827"/>
      <c r="D318" s="1827"/>
      <c r="E318" s="1827"/>
      <c r="F318" s="1827"/>
      <c r="G318" s="1827"/>
      <c r="H318" s="2188"/>
      <c r="I318" s="2188"/>
      <c r="J318" s="2188"/>
      <c r="K318" s="1821"/>
      <c r="L318" s="2188"/>
      <c r="M318" s="2188"/>
      <c r="N318" s="1821"/>
      <c r="O318" s="2188"/>
      <c r="P318" s="2188"/>
      <c r="Q318" s="1821"/>
      <c r="R318" s="2188"/>
      <c r="S318" s="2188"/>
    </row>
    <row r="319" spans="1:19" ht="13.8">
      <c r="A319" s="1819"/>
      <c r="B319" s="1819" t="s">
        <v>2065</v>
      </c>
      <c r="C319" s="1819" t="s">
        <v>284</v>
      </c>
      <c r="D319" s="1819"/>
      <c r="E319" s="1819"/>
      <c r="F319" s="1819"/>
      <c r="G319" s="1819"/>
      <c r="H319" s="1819" t="str">
        <f>'Part II-Development Team'!H98</f>
        <v xml:space="preserve">Coleman Talley, LP </v>
      </c>
      <c r="I319" s="1827"/>
      <c r="J319" s="1827"/>
      <c r="K319" s="1827"/>
      <c r="L319" s="1827"/>
      <c r="M319" s="1827"/>
      <c r="N319" s="1827"/>
      <c r="O319" s="1823" t="s">
        <v>1942</v>
      </c>
      <c r="P319" s="1823"/>
      <c r="Q319" s="1819" t="str">
        <f>'Part II-Development Team'!Q98</f>
        <v>Greg Clark</v>
      </c>
      <c r="R319" s="1827"/>
      <c r="S319" s="1827"/>
    </row>
    <row r="320" spans="1:19" ht="13.8">
      <c r="A320" s="1819"/>
      <c r="B320" s="1819"/>
      <c r="C320" s="1819"/>
      <c r="D320" s="1831"/>
      <c r="E320" s="1823" t="s">
        <v>999</v>
      </c>
      <c r="F320" s="1826"/>
      <c r="G320" s="1819"/>
      <c r="H320" s="1819" t="str">
        <f>'Part II-Development Team'!H99</f>
        <v>1 Independent Dr, Suite 3130</v>
      </c>
      <c r="I320" s="1827"/>
      <c r="J320" s="1827"/>
      <c r="K320" s="1827"/>
      <c r="L320" s="1827"/>
      <c r="M320" s="1827"/>
      <c r="N320" s="1827"/>
      <c r="O320" s="1823" t="s">
        <v>1704</v>
      </c>
      <c r="P320" s="1819"/>
      <c r="Q320" s="1819" t="str">
        <f>'Part II-Development Team'!Q99</f>
        <v>Partner</v>
      </c>
      <c r="R320" s="1827"/>
      <c r="S320" s="1827"/>
    </row>
    <row r="321" spans="1:19" ht="13.8">
      <c r="A321" s="1819"/>
      <c r="B321" s="1819"/>
      <c r="C321" s="1819"/>
      <c r="D321" s="1831"/>
      <c r="E321" s="1823" t="s">
        <v>600</v>
      </c>
      <c r="F321" s="1819"/>
      <c r="G321" s="1819"/>
      <c r="H321" s="1819" t="str">
        <f>'Part II-Development Team'!H100</f>
        <v>Jacksonville</v>
      </c>
      <c r="I321" s="1827"/>
      <c r="J321" s="1827"/>
      <c r="K321" s="1821" t="s">
        <v>2625</v>
      </c>
      <c r="L321" s="1819" t="str">
        <f>'Part II-Development Team'!L100</f>
        <v>www.colemantalley.com</v>
      </c>
      <c r="M321" s="1827"/>
      <c r="N321" s="1827"/>
      <c r="O321" s="1823" t="s">
        <v>1679</v>
      </c>
      <c r="P321" s="1819"/>
      <c r="Q321" s="2188">
        <f>'Part II-Development Team'!Q100</f>
        <v>9044568960</v>
      </c>
      <c r="R321" s="2188"/>
      <c r="S321" s="2188"/>
    </row>
    <row r="322" spans="1:19" ht="13.8">
      <c r="A322" s="1819"/>
      <c r="B322" s="1819"/>
      <c r="C322" s="1819"/>
      <c r="D322" s="1831"/>
      <c r="E322" s="1823" t="s">
        <v>1754</v>
      </c>
      <c r="F322" s="1819"/>
      <c r="G322" s="1819"/>
      <c r="H322" s="1823" t="str">
        <f>'Part II-Development Team'!H101</f>
        <v>FL</v>
      </c>
      <c r="I322" s="1819"/>
      <c r="J322" s="1819"/>
      <c r="K322" s="1821" t="s">
        <v>2173</v>
      </c>
      <c r="L322" s="2187">
        <f>'Part II-Development Team'!L101</f>
        <v>322025023</v>
      </c>
      <c r="M322" s="1827"/>
      <c r="N322" s="1819"/>
      <c r="O322" s="1823" t="s">
        <v>1932</v>
      </c>
      <c r="P322" s="1819"/>
      <c r="Q322" s="2188">
        <f>'Part II-Development Team'!Q101</f>
        <v>2298349704</v>
      </c>
      <c r="R322" s="2188"/>
      <c r="S322" s="2188"/>
    </row>
    <row r="323" spans="1:19" ht="13.8">
      <c r="A323" s="1827"/>
      <c r="B323" s="1827"/>
      <c r="C323" s="1827"/>
      <c r="D323" s="1827"/>
      <c r="E323" s="1823" t="s">
        <v>3894</v>
      </c>
      <c r="F323" s="1819"/>
      <c r="G323" s="1819"/>
      <c r="H323" s="2188">
        <f>'Part II-Development Team'!H102</f>
        <v>2296718260</v>
      </c>
      <c r="I323" s="2188"/>
      <c r="J323" s="1829">
        <f>'Part II-Development Team'!J102</f>
        <v>0</v>
      </c>
      <c r="K323" s="1821" t="s">
        <v>1937</v>
      </c>
      <c r="L323" s="1965" t="str">
        <f>'Part II-Development Team'!L102</f>
        <v xml:space="preserve">greg.clark@colemantalley.com </v>
      </c>
      <c r="M323" s="1965"/>
      <c r="N323" s="1965"/>
      <c r="O323" s="1965"/>
      <c r="P323" s="1965"/>
      <c r="Q323" s="1965"/>
      <c r="R323" s="1965"/>
      <c r="S323" s="1965"/>
    </row>
    <row r="324" spans="1:19" ht="13.8">
      <c r="A324" s="1827"/>
      <c r="B324" s="1827"/>
      <c r="C324" s="1827"/>
      <c r="D324" s="1827"/>
      <c r="E324" s="1823"/>
      <c r="F324" s="1819"/>
      <c r="G324" s="1819"/>
      <c r="H324" s="2188"/>
      <c r="I324" s="2188"/>
      <c r="J324" s="2188"/>
      <c r="K324" s="1821"/>
      <c r="L324" s="2188"/>
      <c r="M324" s="2188"/>
      <c r="N324" s="1821"/>
      <c r="O324" s="2188"/>
      <c r="P324" s="2188"/>
      <c r="Q324" s="1821"/>
      <c r="R324" s="2188"/>
      <c r="S324" s="2188"/>
    </row>
    <row r="325" spans="1:19" ht="13.8">
      <c r="A325" s="1819"/>
      <c r="B325" s="1819" t="s">
        <v>1692</v>
      </c>
      <c r="C325" s="1819" t="s">
        <v>285</v>
      </c>
      <c r="D325" s="1819"/>
      <c r="E325" s="1819"/>
      <c r="F325" s="1819"/>
      <c r="G325" s="1819"/>
      <c r="H325" s="1819" t="str">
        <f>'Part II-Development Team'!H104</f>
        <v>Aprio, LLC</v>
      </c>
      <c r="I325" s="1827"/>
      <c r="J325" s="1827"/>
      <c r="K325" s="1827"/>
      <c r="L325" s="1827"/>
      <c r="M325" s="1827"/>
      <c r="N325" s="1827"/>
      <c r="O325" s="1823" t="s">
        <v>1942</v>
      </c>
      <c r="P325" s="1823"/>
      <c r="Q325" s="1819" t="str">
        <f>'Part II-Development Team'!Q104</f>
        <v xml:space="preserve">Alison Fossyl, CPA </v>
      </c>
      <c r="R325" s="1827"/>
      <c r="S325" s="1827"/>
    </row>
    <row r="326" spans="1:19" ht="13.8">
      <c r="A326" s="1819"/>
      <c r="B326" s="1819"/>
      <c r="C326" s="1819"/>
      <c r="D326" s="1831"/>
      <c r="E326" s="1823" t="s">
        <v>999</v>
      </c>
      <c r="F326" s="1826"/>
      <c r="G326" s="1819"/>
      <c r="H326" s="1819" t="str">
        <f>'Part II-Development Team'!H105</f>
        <v>Five Concourse Parkway, Suite 100</v>
      </c>
      <c r="I326" s="1827"/>
      <c r="J326" s="1827"/>
      <c r="K326" s="1827"/>
      <c r="L326" s="1827"/>
      <c r="M326" s="1827"/>
      <c r="N326" s="1827"/>
      <c r="O326" s="1823" t="s">
        <v>1704</v>
      </c>
      <c r="P326" s="1819"/>
      <c r="Q326" s="1819" t="str">
        <f>'Part II-Development Team'!Q105</f>
        <v>Partner</v>
      </c>
      <c r="R326" s="1827"/>
      <c r="S326" s="1827"/>
    </row>
    <row r="327" spans="1:19" ht="13.8">
      <c r="A327" s="1819"/>
      <c r="B327" s="1819"/>
      <c r="C327" s="1819"/>
      <c r="D327" s="1831"/>
      <c r="E327" s="1823" t="s">
        <v>600</v>
      </c>
      <c r="F327" s="1819"/>
      <c r="G327" s="1819"/>
      <c r="H327" s="1819" t="str">
        <f>'Part II-Development Team'!H106</f>
        <v>Atlanta</v>
      </c>
      <c r="I327" s="1827"/>
      <c r="J327" s="1827"/>
      <c r="K327" s="1821" t="s">
        <v>2625</v>
      </c>
      <c r="L327" s="1819" t="str">
        <f>'Part II-Development Team'!L106</f>
        <v>www.aprio.com</v>
      </c>
      <c r="M327" s="1827"/>
      <c r="N327" s="1827"/>
      <c r="O327" s="1823" t="s">
        <v>1679</v>
      </c>
      <c r="P327" s="1819"/>
      <c r="Q327" s="2188">
        <f>'Part II-Development Team'!Q106</f>
        <v>7703537115</v>
      </c>
      <c r="R327" s="2188"/>
      <c r="S327" s="2188"/>
    </row>
    <row r="328" spans="1:19" ht="13.8">
      <c r="A328" s="1819"/>
      <c r="B328" s="1819"/>
      <c r="C328" s="1819"/>
      <c r="D328" s="1831"/>
      <c r="E328" s="1823" t="s">
        <v>1754</v>
      </c>
      <c r="F328" s="1819"/>
      <c r="G328" s="1819"/>
      <c r="H328" s="1823" t="str">
        <f>'Part II-Development Team'!H107</f>
        <v>GA</v>
      </c>
      <c r="I328" s="1819"/>
      <c r="J328" s="1819"/>
      <c r="K328" s="1821" t="s">
        <v>2173</v>
      </c>
      <c r="L328" s="2187">
        <f>'Part II-Development Team'!L107</f>
        <v>300303329</v>
      </c>
      <c r="M328" s="1827"/>
      <c r="N328" s="1819"/>
      <c r="O328" s="1823" t="s">
        <v>1932</v>
      </c>
      <c r="P328" s="1819"/>
      <c r="Q328" s="2188">
        <f>'Part II-Development Team'!Q107</f>
        <v>4043142857</v>
      </c>
      <c r="R328" s="2188"/>
      <c r="S328" s="2188"/>
    </row>
    <row r="329" spans="1:19" ht="13.8">
      <c r="A329" s="1827"/>
      <c r="B329" s="1827"/>
      <c r="C329" s="1827"/>
      <c r="D329" s="1827"/>
      <c r="E329" s="1823" t="s">
        <v>3894</v>
      </c>
      <c r="F329" s="1819"/>
      <c r="G329" s="1819"/>
      <c r="H329" s="2188">
        <f>'Part II-Development Team'!H108</f>
        <v>7703537115</v>
      </c>
      <c r="I329" s="2188"/>
      <c r="J329" s="1829">
        <f>'Part II-Development Team'!J108</f>
        <v>0</v>
      </c>
      <c r="K329" s="1821" t="s">
        <v>1937</v>
      </c>
      <c r="L329" s="1965" t="str">
        <f>'Part II-Development Team'!L108</f>
        <v>alison.fossyl@aprio.com</v>
      </c>
      <c r="M329" s="1965"/>
      <c r="N329" s="1965"/>
      <c r="O329" s="1965"/>
      <c r="P329" s="1965"/>
      <c r="Q329" s="1965"/>
      <c r="R329" s="1965"/>
      <c r="S329" s="1965"/>
    </row>
    <row r="330" spans="1:19" ht="13.8">
      <c r="A330" s="1827"/>
      <c r="B330" s="1827"/>
      <c r="C330" s="1827"/>
      <c r="D330" s="1827"/>
      <c r="E330" s="1823"/>
      <c r="F330" s="1819"/>
      <c r="G330" s="1819"/>
      <c r="H330" s="2188"/>
      <c r="I330" s="2188"/>
      <c r="J330" s="2188"/>
      <c r="K330" s="1821"/>
      <c r="L330" s="2188"/>
      <c r="M330" s="2188"/>
      <c r="N330" s="1821"/>
      <c r="O330" s="2188"/>
      <c r="P330" s="2188"/>
      <c r="Q330" s="1821"/>
      <c r="R330" s="2188"/>
      <c r="S330" s="2188"/>
    </row>
    <row r="331" spans="1:19" ht="13.8">
      <c r="A331" s="1819"/>
      <c r="B331" s="1819" t="s">
        <v>1693</v>
      </c>
      <c r="C331" s="1819" t="s">
        <v>286</v>
      </c>
      <c r="D331" s="1819"/>
      <c r="E331" s="1819"/>
      <c r="F331" s="1819"/>
      <c r="G331" s="1819"/>
      <c r="H331" s="1819" t="str">
        <f>'Part II-Development Team'!H110</f>
        <v>Martin Riley Associates</v>
      </c>
      <c r="I331" s="1827"/>
      <c r="J331" s="1827"/>
      <c r="K331" s="1827"/>
      <c r="L331" s="1827"/>
      <c r="M331" s="1827"/>
      <c r="N331" s="1827"/>
      <c r="O331" s="1823" t="s">
        <v>1942</v>
      </c>
      <c r="P331" s="1823"/>
      <c r="Q331" s="1819" t="str">
        <f>'Part II-Development Team'!Q110</f>
        <v>Miachel T. Riley</v>
      </c>
      <c r="R331" s="1827"/>
      <c r="S331" s="1827"/>
    </row>
    <row r="332" spans="1:19" ht="13.8">
      <c r="A332" s="1819"/>
      <c r="B332" s="1819"/>
      <c r="C332" s="1819"/>
      <c r="D332" s="1831"/>
      <c r="E332" s="1823" t="s">
        <v>999</v>
      </c>
      <c r="F332" s="1826"/>
      <c r="G332" s="1819"/>
      <c r="H332" s="1819" t="str">
        <f>'Part II-Development Team'!H111</f>
        <v>215 Church Street, Suite 200</v>
      </c>
      <c r="I332" s="1827"/>
      <c r="J332" s="1827"/>
      <c r="K332" s="1827"/>
      <c r="L332" s="1827"/>
      <c r="M332" s="1827"/>
      <c r="N332" s="1827"/>
      <c r="O332" s="1823" t="s">
        <v>1704</v>
      </c>
      <c r="P332" s="1819"/>
      <c r="Q332" s="1819" t="str">
        <f>'Part II-Development Team'!Q111</f>
        <v>Vice President</v>
      </c>
      <c r="R332" s="1827"/>
      <c r="S332" s="1827"/>
    </row>
    <row r="333" spans="1:19" ht="13.8">
      <c r="A333" s="1819"/>
      <c r="B333" s="1819"/>
      <c r="C333" s="1819"/>
      <c r="D333" s="1831"/>
      <c r="E333" s="1823" t="s">
        <v>600</v>
      </c>
      <c r="F333" s="1819"/>
      <c r="G333" s="1819"/>
      <c r="H333" s="1819" t="str">
        <f>'Part II-Development Team'!H112</f>
        <v>Decatur</v>
      </c>
      <c r="I333" s="1827"/>
      <c r="J333" s="1827"/>
      <c r="K333" s="1821" t="s">
        <v>2625</v>
      </c>
      <c r="L333" s="1819" t="str">
        <f>'Part II-Development Team'!L112</f>
        <v>www.martinriley.com</v>
      </c>
      <c r="M333" s="1827"/>
      <c r="N333" s="1827"/>
      <c r="O333" s="1823" t="s">
        <v>1679</v>
      </c>
      <c r="P333" s="1819"/>
      <c r="Q333" s="2188">
        <f>'Part II-Development Team'!Q112</f>
        <v>4043732800</v>
      </c>
      <c r="R333" s="2188"/>
      <c r="S333" s="2188"/>
    </row>
    <row r="334" spans="1:19" ht="13.8">
      <c r="A334" s="1819"/>
      <c r="B334" s="1819"/>
      <c r="C334" s="1819"/>
      <c r="D334" s="1831"/>
      <c r="E334" s="1823" t="s">
        <v>1754</v>
      </c>
      <c r="F334" s="1819"/>
      <c r="G334" s="1819"/>
      <c r="H334" s="1823" t="str">
        <f>'Part II-Development Team'!H113</f>
        <v>GA</v>
      </c>
      <c r="I334" s="1819"/>
      <c r="J334" s="1819"/>
      <c r="K334" s="1821" t="s">
        <v>2173</v>
      </c>
      <c r="L334" s="2187">
        <f>'Part II-Development Team'!L113</f>
        <v>300303329</v>
      </c>
      <c r="M334" s="1827"/>
      <c r="N334" s="1819"/>
      <c r="O334" s="1823" t="s">
        <v>1932</v>
      </c>
      <c r="P334" s="1819"/>
      <c r="Q334" s="2188">
        <f>'Part II-Development Team'!Q113</f>
        <v>0</v>
      </c>
      <c r="R334" s="2188"/>
      <c r="S334" s="2188"/>
    </row>
    <row r="335" spans="1:19" ht="13.8">
      <c r="A335" s="1819"/>
      <c r="B335" s="1819"/>
      <c r="C335" s="1819"/>
      <c r="D335" s="1831"/>
      <c r="E335" s="1823" t="s">
        <v>3894</v>
      </c>
      <c r="F335" s="1819"/>
      <c r="G335" s="1819"/>
      <c r="H335" s="2188">
        <f>'Part II-Development Team'!H114</f>
        <v>4043732800</v>
      </c>
      <c r="I335" s="2188"/>
      <c r="J335" s="1829">
        <f>'Part II-Development Team'!J114</f>
        <v>0</v>
      </c>
      <c r="K335" s="1821" t="s">
        <v>1937</v>
      </c>
      <c r="L335" s="1965" t="str">
        <f>'Part II-Development Team'!L114</f>
        <v xml:space="preserve">mriley@martinriley.com </v>
      </c>
      <c r="M335" s="1965"/>
      <c r="N335" s="1965"/>
      <c r="O335" s="1965"/>
      <c r="P335" s="1965"/>
      <c r="Q335" s="1965"/>
      <c r="R335" s="1965"/>
      <c r="S335" s="1965"/>
    </row>
    <row r="336" spans="1:19" ht="13.8">
      <c r="A336" s="1827"/>
      <c r="B336" s="1827"/>
      <c r="C336" s="1827"/>
      <c r="D336" s="1827"/>
      <c r="E336" s="1827"/>
      <c r="F336" s="1827"/>
      <c r="G336" s="1827"/>
      <c r="H336" s="1827"/>
      <c r="I336" s="1827"/>
      <c r="J336" s="1827"/>
      <c r="K336" s="1827"/>
      <c r="L336" s="1827"/>
      <c r="M336" s="1827"/>
      <c r="N336" s="1827"/>
      <c r="O336" s="1827"/>
      <c r="P336" s="1827"/>
      <c r="Q336" s="1827"/>
      <c r="R336" s="1827"/>
      <c r="S336" s="1827"/>
    </row>
    <row r="337" spans="1:19" ht="13.8">
      <c r="A337" s="1819" t="s">
        <v>1748</v>
      </c>
      <c r="B337" s="1819" t="s">
        <v>2536</v>
      </c>
      <c r="C337" s="1819"/>
      <c r="D337" s="1819"/>
      <c r="E337" s="1819"/>
      <c r="F337" s="1819"/>
      <c r="G337" s="1821"/>
      <c r="H337" s="1821"/>
      <c r="I337" s="1821"/>
      <c r="J337" s="1821"/>
      <c r="K337" s="1821"/>
      <c r="L337" s="1821"/>
      <c r="M337" s="1821"/>
      <c r="N337" s="1821"/>
      <c r="O337" s="1821"/>
      <c r="P337" s="1821"/>
      <c r="Q337" s="1821"/>
      <c r="R337" s="1819"/>
      <c r="S337" s="1819"/>
    </row>
    <row r="338" spans="1:19" ht="13.8">
      <c r="A338" s="1819"/>
      <c r="B338" s="1819" t="s">
        <v>1936</v>
      </c>
      <c r="C338" s="1819" t="s">
        <v>6854</v>
      </c>
      <c r="D338" s="1819"/>
      <c r="E338" s="1819"/>
      <c r="F338" s="1819"/>
      <c r="G338" s="1819"/>
      <c r="H338" s="1819" t="str">
        <f>'Part II-Development Team'!H117</f>
        <v xml:space="preserve">TBG Development Services, Inc </v>
      </c>
      <c r="I338" s="1819"/>
      <c r="J338" s="1819"/>
      <c r="K338" s="1821" t="s">
        <v>2410</v>
      </c>
      <c r="L338" s="1819" t="str">
        <f>'Part II-Development Team'!L117</f>
        <v>Kevin Buckner</v>
      </c>
      <c r="M338" s="1827"/>
      <c r="N338" s="1827"/>
      <c r="O338" s="1823" t="s">
        <v>3440</v>
      </c>
      <c r="P338" s="1819"/>
      <c r="Q338" s="2188">
        <f>'Part II-Development Team'!Q117</f>
        <v>6783245550</v>
      </c>
      <c r="R338" s="2188"/>
      <c r="S338" s="2188"/>
    </row>
    <row r="339" spans="1:19" ht="13.8">
      <c r="A339" s="1819"/>
      <c r="B339" s="1819"/>
      <c r="C339" s="1819"/>
      <c r="D339" s="1831"/>
      <c r="E339" s="1823" t="s">
        <v>999</v>
      </c>
      <c r="F339" s="1826"/>
      <c r="G339" s="1819"/>
      <c r="H339" s="1819" t="str">
        <f>'Part II-Development Team'!H118</f>
        <v>3825 Paces Walk SE, Suite 100</v>
      </c>
      <c r="I339" s="1827"/>
      <c r="J339" s="1827"/>
      <c r="K339" s="1827"/>
      <c r="L339" s="1827"/>
      <c r="M339" s="1827"/>
      <c r="N339" s="1827"/>
      <c r="O339" s="1823" t="s">
        <v>600</v>
      </c>
      <c r="P339" s="1819"/>
      <c r="Q339" s="1819" t="str">
        <f>'Part II-Development Team'!Q118</f>
        <v>Atlanta</v>
      </c>
      <c r="R339" s="1827"/>
      <c r="S339" s="1827"/>
    </row>
    <row r="340" spans="1:19" ht="13.8">
      <c r="A340" s="1819"/>
      <c r="B340" s="1819"/>
      <c r="C340" s="1819"/>
      <c r="D340" s="1831"/>
      <c r="E340" s="1823" t="s">
        <v>1754</v>
      </c>
      <c r="F340" s="1819"/>
      <c r="G340" s="1819"/>
      <c r="H340" s="1823" t="str">
        <f>'Part II-Development Team'!H119</f>
        <v>GA</v>
      </c>
      <c r="I340" s="1821" t="s">
        <v>2173</v>
      </c>
      <c r="J340" s="2187">
        <f>'Part II-Development Team'!J119</f>
        <v>303394002</v>
      </c>
      <c r="K340" s="1827"/>
      <c r="L340" s="1821" t="s">
        <v>1937</v>
      </c>
      <c r="M340" s="1965" t="str">
        <f>'Part II-Development Team'!M119</f>
        <v xml:space="preserve">kbuckner@tbgresidential.com </v>
      </c>
      <c r="N340" s="1965"/>
      <c r="O340" s="1965"/>
      <c r="P340" s="1965"/>
      <c r="Q340" s="1965"/>
      <c r="R340" s="1965"/>
      <c r="S340" s="1965"/>
    </row>
    <row r="341" spans="1:19" ht="13.8">
      <c r="A341" s="1827"/>
      <c r="B341" s="1819" t="s">
        <v>1938</v>
      </c>
      <c r="C341" s="1819" t="s">
        <v>6807</v>
      </c>
      <c r="D341" s="1827"/>
      <c r="E341" s="1827"/>
      <c r="F341" s="1827"/>
      <c r="G341" s="1827"/>
      <c r="H341" s="1844"/>
      <c r="I341" s="1844"/>
      <c r="J341" s="1844"/>
      <c r="K341" s="1844"/>
      <c r="L341" s="1844"/>
      <c r="M341" s="1844"/>
      <c r="N341" s="1844"/>
      <c r="O341" s="1844"/>
      <c r="P341" s="1844"/>
      <c r="Q341" s="1844"/>
      <c r="R341" s="1844"/>
      <c r="S341" s="1844"/>
    </row>
    <row r="342" spans="1:19" ht="13.95" customHeight="1">
      <c r="A342" s="1819" t="s">
        <v>3656</v>
      </c>
      <c r="B342" s="1819"/>
      <c r="C342" s="1819"/>
      <c r="D342" s="1819"/>
      <c r="E342" s="1819"/>
      <c r="F342" s="1821" t="s">
        <v>2444</v>
      </c>
      <c r="G342" s="1819" t="s">
        <v>3357</v>
      </c>
      <c r="H342" s="1819"/>
      <c r="I342" s="1819"/>
      <c r="J342" s="1819"/>
      <c r="K342" s="1819"/>
      <c r="L342" s="1819"/>
      <c r="M342" s="1819"/>
      <c r="N342" s="1819"/>
      <c r="O342" s="1819"/>
      <c r="P342" s="1819"/>
      <c r="Q342" s="1819"/>
      <c r="R342" s="1819"/>
      <c r="S342" s="1819"/>
    </row>
    <row r="343" spans="1:19" ht="13.95" customHeight="1">
      <c r="A343" s="1819"/>
      <c r="B343" s="1844"/>
      <c r="C343" s="2070" t="s">
        <v>1939</v>
      </c>
      <c r="D343" s="1844" t="s">
        <v>2738</v>
      </c>
      <c r="E343" s="1844"/>
      <c r="F343" s="2071" t="str">
        <f>'Part II-Development Team'!F122</f>
        <v>Yes</v>
      </c>
      <c r="G343" s="1956" t="str">
        <f>'Part II-Development Team'!G122</f>
        <v xml:space="preserve">Kevin Buckner is the President of TBG Construction, Inc. (Contractor) and TBG Development Services, Inc. (Developer). </v>
      </c>
      <c r="H343" s="1956"/>
      <c r="I343" s="1956"/>
      <c r="J343" s="1956"/>
      <c r="K343" s="1956"/>
      <c r="L343" s="1956"/>
      <c r="M343" s="1956"/>
      <c r="N343" s="1956"/>
      <c r="O343" s="1956"/>
      <c r="P343" s="1956"/>
      <c r="Q343" s="1956"/>
      <c r="R343" s="1956"/>
      <c r="S343" s="1956"/>
    </row>
    <row r="344" spans="1:19" ht="13.95" customHeight="1">
      <c r="A344" s="1819"/>
      <c r="B344" s="1844"/>
      <c r="C344" s="2070" t="s">
        <v>1941</v>
      </c>
      <c r="D344" s="1844" t="s">
        <v>2799</v>
      </c>
      <c r="E344" s="1844"/>
      <c r="F344" s="2071" t="str">
        <f>'Part II-Development Team'!F123</f>
        <v>Yes</v>
      </c>
      <c r="G344" s="1956" t="str">
        <f>'Part II-Development Team'!G123</f>
        <v xml:space="preserve">TBG Development Services, Inc.  and Harper Woods Apartments II, LP have the same principal/ president (Kevin Buckner). </v>
      </c>
      <c r="H344" s="1956"/>
      <c r="I344" s="1956"/>
      <c r="J344" s="1956"/>
      <c r="K344" s="1956"/>
      <c r="L344" s="1956"/>
      <c r="M344" s="1956"/>
      <c r="N344" s="1956"/>
      <c r="O344" s="1956"/>
      <c r="P344" s="1956"/>
      <c r="Q344" s="1956"/>
      <c r="R344" s="1956"/>
      <c r="S344" s="1956"/>
    </row>
    <row r="345" spans="1:19" ht="13.95" customHeight="1">
      <c r="A345" s="1819"/>
      <c r="B345" s="1844"/>
      <c r="C345" s="2070" t="s">
        <v>2468</v>
      </c>
      <c r="D345" s="1844" t="s">
        <v>2778</v>
      </c>
      <c r="E345" s="1844"/>
      <c r="F345" s="2071" t="str">
        <f>'Part II-Development Team'!F124</f>
        <v>Yes</v>
      </c>
      <c r="G345" s="1956" t="str">
        <f>'Part II-Development Team'!G124</f>
        <v xml:space="preserve">Kevin Buckner is the President of TBG Construction, Inc. (Contractor) and Managing Member of the GP entity. </v>
      </c>
      <c r="H345" s="1956"/>
      <c r="I345" s="1956"/>
      <c r="J345" s="1956"/>
      <c r="K345" s="1956"/>
      <c r="L345" s="1956"/>
      <c r="M345" s="1956"/>
      <c r="N345" s="1956"/>
      <c r="O345" s="1956"/>
      <c r="P345" s="1956"/>
      <c r="Q345" s="1956"/>
      <c r="R345" s="1956"/>
      <c r="S345" s="1956"/>
    </row>
    <row r="346" spans="1:19" ht="13.95" customHeight="1">
      <c r="A346" s="1819"/>
      <c r="B346" s="1844"/>
      <c r="C346" s="2070" t="s">
        <v>1198</v>
      </c>
      <c r="D346" s="1844" t="s">
        <v>2739</v>
      </c>
      <c r="E346" s="1844"/>
      <c r="F346" s="2071" t="str">
        <f>'Part II-Development Team'!F125</f>
        <v>No</v>
      </c>
      <c r="G346" s="1956">
        <f>'Part II-Development Team'!G125</f>
        <v>0</v>
      </c>
      <c r="H346" s="1956"/>
      <c r="I346" s="1956"/>
      <c r="J346" s="1956"/>
      <c r="K346" s="1956"/>
      <c r="L346" s="1956"/>
      <c r="M346" s="1956"/>
      <c r="N346" s="1956"/>
      <c r="O346" s="1956"/>
      <c r="P346" s="1956"/>
      <c r="Q346" s="1956"/>
      <c r="R346" s="1956"/>
      <c r="S346" s="1956"/>
    </row>
    <row r="347" spans="1:19" ht="13.95" customHeight="1">
      <c r="A347" s="1819"/>
      <c r="B347" s="1844"/>
      <c r="C347" s="2070" t="s">
        <v>1199</v>
      </c>
      <c r="D347" s="1844" t="s">
        <v>3348</v>
      </c>
      <c r="E347" s="1844"/>
      <c r="F347" s="2071" t="str">
        <f>'Part II-Development Team'!F126</f>
        <v>Yes</v>
      </c>
      <c r="G347" s="1956" t="str">
        <f>'Part II-Development Team'!G126</f>
        <v xml:space="preserve">Kevin Buckner is the President of TBG Development Services, Inc. (Developer) and a member of the State Limited Partner. </v>
      </c>
      <c r="H347" s="1956"/>
      <c r="I347" s="1956"/>
      <c r="J347" s="1956"/>
      <c r="K347" s="1956"/>
      <c r="L347" s="1956"/>
      <c r="M347" s="1956"/>
      <c r="N347" s="1956"/>
      <c r="O347" s="1956"/>
      <c r="P347" s="1956"/>
      <c r="Q347" s="1956"/>
      <c r="R347" s="1956"/>
      <c r="S347" s="1956"/>
    </row>
    <row r="348" spans="1:19" ht="13.95" customHeight="1">
      <c r="A348" s="1819"/>
      <c r="B348" s="1844"/>
      <c r="C348" s="2070" t="s">
        <v>1834</v>
      </c>
      <c r="D348" s="1844" t="s">
        <v>3349</v>
      </c>
      <c r="E348" s="1844"/>
      <c r="F348" s="2071" t="str">
        <f>'Part II-Development Team'!F127</f>
        <v>Yes</v>
      </c>
      <c r="G348" s="1956" t="str">
        <f>'Part II-Development Team'!G127</f>
        <v xml:space="preserve">Kevin Buckner is the President of TBG Construction, Inc. (Contractor) and  a member of the State Limited Partner. </v>
      </c>
      <c r="H348" s="1956"/>
      <c r="I348" s="1956"/>
      <c r="J348" s="1956"/>
      <c r="K348" s="1956"/>
      <c r="L348" s="1956"/>
      <c r="M348" s="1956"/>
      <c r="N348" s="1956"/>
      <c r="O348" s="1956"/>
      <c r="P348" s="1956"/>
      <c r="Q348" s="1956"/>
      <c r="R348" s="1956"/>
      <c r="S348" s="1956"/>
    </row>
    <row r="349" spans="1:19" ht="13.95" customHeight="1">
      <c r="A349" s="1819"/>
      <c r="B349" s="1844"/>
      <c r="C349" s="2070" t="s">
        <v>492</v>
      </c>
      <c r="D349" s="1844" t="s">
        <v>2740</v>
      </c>
      <c r="E349" s="1844"/>
      <c r="F349" s="2071" t="str">
        <f>'Part II-Development Team'!F128</f>
        <v>No</v>
      </c>
      <c r="G349" s="1956">
        <f>'Part II-Development Team'!G128</f>
        <v>0</v>
      </c>
      <c r="H349" s="1956"/>
      <c r="I349" s="1956"/>
      <c r="J349" s="1956"/>
      <c r="K349" s="1956"/>
      <c r="L349" s="1956"/>
      <c r="M349" s="1956"/>
      <c r="N349" s="1956"/>
      <c r="O349" s="1956"/>
      <c r="P349" s="1956"/>
      <c r="Q349" s="1956"/>
      <c r="R349" s="1956"/>
      <c r="S349" s="1956"/>
    </row>
    <row r="350" spans="1:19" ht="13.95" customHeight="1">
      <c r="A350" s="1819"/>
      <c r="B350" s="1844"/>
      <c r="C350" s="2070" t="s">
        <v>493</v>
      </c>
      <c r="D350" s="1844" t="s">
        <v>4446</v>
      </c>
      <c r="E350" s="1844"/>
      <c r="F350" s="2071" t="str">
        <f>'Part II-Development Team'!F129</f>
        <v>No</v>
      </c>
      <c r="G350" s="1956">
        <f>'Part II-Development Team'!G129</f>
        <v>0</v>
      </c>
      <c r="H350" s="1956"/>
      <c r="I350" s="1956"/>
      <c r="J350" s="1956"/>
      <c r="K350" s="1956"/>
      <c r="L350" s="1956"/>
      <c r="M350" s="1956"/>
      <c r="N350" s="1956"/>
      <c r="O350" s="1956"/>
      <c r="P350" s="1956"/>
      <c r="Q350" s="1956"/>
      <c r="R350" s="1956"/>
      <c r="S350" s="1956"/>
    </row>
    <row r="351" spans="1:19" ht="13.95" customHeight="1">
      <c r="A351" s="1819"/>
      <c r="B351" s="1844"/>
      <c r="C351" s="2070" t="s">
        <v>4445</v>
      </c>
      <c r="D351" s="1844" t="str">
        <f>'Part II-Development Team'!D130</f>
        <v xml:space="preserve">Owner and Developer </v>
      </c>
      <c r="E351" s="1844"/>
      <c r="F351" s="2071" t="str">
        <f>'Part II-Development Team'!F130</f>
        <v>Yes</v>
      </c>
      <c r="G351" s="1956" t="str">
        <f>'Part II-Development Team'!G130</f>
        <v xml:space="preserve">An identity of interest exists between the owner, Harper Woods II Apartments, LP and the developer, TBG Development Services, Inc. </v>
      </c>
      <c r="H351" s="1956"/>
      <c r="I351" s="1956"/>
      <c r="J351" s="1956"/>
      <c r="K351" s="1956"/>
      <c r="L351" s="1956"/>
      <c r="M351" s="1956"/>
      <c r="N351" s="1956"/>
      <c r="O351" s="1956"/>
      <c r="P351" s="1956"/>
      <c r="Q351" s="1956"/>
      <c r="R351" s="1956"/>
      <c r="S351" s="1956"/>
    </row>
    <row r="352" spans="1:19" ht="13.8">
      <c r="A352" s="1819" t="s">
        <v>1748</v>
      </c>
      <c r="B352" s="1819" t="s">
        <v>6923</v>
      </c>
      <c r="C352" s="1819"/>
      <c r="D352" s="1819"/>
      <c r="E352" s="1819"/>
      <c r="F352" s="1819"/>
      <c r="G352" s="1821"/>
      <c r="H352" s="1821"/>
      <c r="I352" s="1821"/>
      <c r="J352" s="1821"/>
      <c r="K352" s="1821"/>
      <c r="L352" s="1821"/>
      <c r="M352" s="1821"/>
      <c r="N352" s="1821"/>
      <c r="O352" s="1821"/>
      <c r="P352" s="1821"/>
      <c r="Q352" s="1821"/>
      <c r="R352" s="1819"/>
      <c r="S352" s="1819"/>
    </row>
    <row r="353" spans="1:19" ht="13.8">
      <c r="A353" s="1819"/>
      <c r="B353" s="1819"/>
      <c r="C353" s="1819"/>
      <c r="D353" s="1819"/>
      <c r="E353" s="1819"/>
      <c r="F353" s="1819"/>
      <c r="G353" s="1821"/>
      <c r="H353" s="1821"/>
      <c r="I353" s="1821"/>
      <c r="J353" s="1821"/>
      <c r="K353" s="1821"/>
      <c r="L353" s="1821"/>
      <c r="M353" s="1821"/>
      <c r="N353" s="1821"/>
      <c r="O353" s="1821"/>
      <c r="P353" s="1821"/>
      <c r="Q353" s="1821"/>
      <c r="R353" s="1819"/>
      <c r="S353" s="1819"/>
    </row>
    <row r="354" spans="1:19" ht="13.8">
      <c r="A354" s="1827"/>
      <c r="B354" s="1819" t="s">
        <v>731</v>
      </c>
      <c r="C354" s="1819" t="s">
        <v>6808</v>
      </c>
      <c r="D354" s="1827"/>
      <c r="E354" s="1827"/>
      <c r="F354" s="1827"/>
      <c r="G354" s="1827"/>
      <c r="H354" s="1827"/>
      <c r="I354" s="1827"/>
      <c r="J354" s="1827"/>
      <c r="K354" s="1827"/>
      <c r="L354" s="1827"/>
      <c r="M354" s="1827"/>
      <c r="N354" s="1827"/>
      <c r="O354" s="1827"/>
      <c r="P354" s="1827"/>
      <c r="Q354" s="1827"/>
      <c r="R354" s="1827"/>
      <c r="S354" s="1827"/>
    </row>
    <row r="355" spans="1:19" ht="13.2" customHeight="1">
      <c r="A355" s="1844" t="s">
        <v>622</v>
      </c>
      <c r="B355" s="1844"/>
      <c r="C355" s="1844"/>
      <c r="D355" s="1844"/>
      <c r="E355" s="1844" t="s">
        <v>3334</v>
      </c>
      <c r="F355" s="1844"/>
      <c r="G355" s="1844"/>
      <c r="H355" s="1844"/>
      <c r="I355" s="1844"/>
      <c r="J355" s="1844" t="s">
        <v>3335</v>
      </c>
      <c r="K355" s="1844" t="s">
        <v>6855</v>
      </c>
      <c r="L355" s="1844" t="s">
        <v>6856</v>
      </c>
      <c r="M355" s="1844" t="s">
        <v>6857</v>
      </c>
      <c r="N355" s="1844"/>
      <c r="O355" s="1844"/>
      <c r="P355" s="1844"/>
      <c r="Q355" s="1844"/>
      <c r="R355" s="1844"/>
      <c r="S355" s="1844"/>
    </row>
    <row r="356" spans="1:19" ht="13.2" customHeight="1">
      <c r="A356" s="1844"/>
      <c r="B356" s="1844"/>
      <c r="C356" s="1844"/>
      <c r="D356" s="1844"/>
      <c r="E356" s="1844"/>
      <c r="F356" s="1844"/>
      <c r="G356" s="1844"/>
      <c r="H356" s="1844"/>
      <c r="I356" s="1844"/>
      <c r="J356" s="1844"/>
      <c r="K356" s="1844"/>
      <c r="L356" s="1844"/>
      <c r="M356" s="1844"/>
      <c r="N356" s="1844"/>
      <c r="O356" s="1844"/>
      <c r="P356" s="1844"/>
      <c r="Q356" s="1844"/>
      <c r="R356" s="1844"/>
      <c r="S356" s="1844"/>
    </row>
    <row r="357" spans="1:19" ht="13.2" customHeight="1">
      <c r="A357" s="1844"/>
      <c r="B357" s="1844"/>
      <c r="C357" s="1844"/>
      <c r="D357" s="1844"/>
      <c r="E357" s="1844"/>
      <c r="F357" s="1844"/>
      <c r="G357" s="1844"/>
      <c r="H357" s="1844"/>
      <c r="I357" s="1844"/>
      <c r="J357" s="1844"/>
      <c r="K357" s="1844"/>
      <c r="L357" s="1844"/>
      <c r="M357" s="1844"/>
      <c r="N357" s="1844"/>
      <c r="O357" s="1844"/>
      <c r="P357" s="1844"/>
      <c r="Q357" s="1844"/>
      <c r="R357" s="1844"/>
      <c r="S357" s="1844"/>
    </row>
    <row r="358" spans="1:19" ht="13.95" customHeight="1">
      <c r="A358" s="1844"/>
      <c r="B358" s="1844"/>
      <c r="C358" s="1844"/>
      <c r="D358" s="1844"/>
      <c r="E358" s="1955" t="s">
        <v>6898</v>
      </c>
      <c r="F358" s="1955"/>
      <c r="G358" s="1955"/>
      <c r="H358" s="1955"/>
      <c r="I358" s="1844"/>
      <c r="J358" s="1844"/>
      <c r="K358" s="1844"/>
      <c r="L358" s="1844"/>
      <c r="M358" s="1844"/>
      <c r="N358" s="1844"/>
      <c r="O358" s="1844"/>
      <c r="P358" s="1844"/>
      <c r="Q358" s="1844"/>
      <c r="R358" s="1844"/>
      <c r="S358" s="1844"/>
    </row>
    <row r="359" spans="1:19" ht="13.8">
      <c r="A359" s="1844"/>
      <c r="B359" s="1844"/>
      <c r="C359" s="1844"/>
      <c r="D359" s="1844"/>
      <c r="E359" s="1955"/>
      <c r="F359" s="1955"/>
      <c r="G359" s="1955"/>
      <c r="H359" s="1955"/>
      <c r="I359" s="2071" t="s">
        <v>2444</v>
      </c>
      <c r="J359" s="1844"/>
      <c r="K359" s="1844"/>
      <c r="L359" s="1844"/>
      <c r="M359" s="1829" t="s">
        <v>2444</v>
      </c>
      <c r="N359" s="1827" t="s">
        <v>2804</v>
      </c>
      <c r="O359" s="1827"/>
      <c r="P359" s="1827"/>
      <c r="Q359" s="1827"/>
      <c r="R359" s="1827"/>
      <c r="S359" s="1827"/>
    </row>
    <row r="360" spans="1:19" ht="13.95" customHeight="1">
      <c r="A360" s="1887" t="s">
        <v>3329</v>
      </c>
      <c r="B360" s="1887"/>
      <c r="C360" s="1887"/>
      <c r="D360" s="1887"/>
      <c r="E360" s="1956">
        <f>'Part II-Development Team'!E139</f>
        <v>0</v>
      </c>
      <c r="F360" s="1956"/>
      <c r="G360" s="1956"/>
      <c r="H360" s="1956"/>
      <c r="I360" s="2071" t="str">
        <f>'Part II-Development Team'!I139</f>
        <v>No</v>
      </c>
      <c r="J360" s="2071" t="str">
        <f>'Part II-Development Team'!J139</f>
        <v>No</v>
      </c>
      <c r="K360" s="2197" t="str">
        <f>'Part II-Development Team'!K139</f>
        <v>For Profit</v>
      </c>
      <c r="L360" s="2198">
        <f>'Part II-Development Team'!L139</f>
        <v>9.0000000000000006E-5</v>
      </c>
      <c r="M360" s="2071" t="str">
        <f>'Part II-Development Team'!M139</f>
        <v>Yes</v>
      </c>
      <c r="N360" s="1956" t="str">
        <f>'Part II-Development Team'!N139</f>
        <v xml:space="preserve">A member of the GP is also president of the general contractor, property management company and developer.Two members of the managing general partner are members of the State Limited Partner. </v>
      </c>
      <c r="O360" s="1956"/>
      <c r="P360" s="1956"/>
      <c r="Q360" s="1956"/>
      <c r="R360" s="1956"/>
      <c r="S360" s="1956"/>
    </row>
    <row r="361" spans="1:19" ht="13.95" customHeight="1">
      <c r="A361" s="1887" t="s">
        <v>3330</v>
      </c>
      <c r="B361" s="1887"/>
      <c r="C361" s="1887"/>
      <c r="D361" s="1887"/>
      <c r="E361" s="1956">
        <f>'Part II-Development Team'!E140</f>
        <v>0</v>
      </c>
      <c r="F361" s="1956"/>
      <c r="G361" s="1956"/>
      <c r="H361" s="1956"/>
      <c r="I361" s="2071" t="str">
        <f>'Part II-Development Team'!I140</f>
        <v>No</v>
      </c>
      <c r="J361" s="2071" t="str">
        <f>'Part II-Development Team'!J140</f>
        <v>No</v>
      </c>
      <c r="K361" s="2197">
        <f>'Part II-Development Team'!K140</f>
        <v>0</v>
      </c>
      <c r="L361" s="2198">
        <f>'Part II-Development Team'!L140</f>
        <v>0</v>
      </c>
      <c r="M361" s="2071" t="str">
        <f>'Part II-Development Team'!M140</f>
        <v>No</v>
      </c>
      <c r="N361" s="1956">
        <f>'Part II-Development Team'!N140</f>
        <v>0</v>
      </c>
      <c r="O361" s="1956"/>
      <c r="P361" s="1956"/>
      <c r="Q361" s="1956"/>
      <c r="R361" s="1956"/>
      <c r="S361" s="1956"/>
    </row>
    <row r="362" spans="1:19" ht="13.95" customHeight="1">
      <c r="A362" s="1887" t="s">
        <v>3331</v>
      </c>
      <c r="B362" s="1887"/>
      <c r="C362" s="1887"/>
      <c r="D362" s="1887"/>
      <c r="E362" s="1956">
        <f>'Part II-Development Team'!E141</f>
        <v>0</v>
      </c>
      <c r="F362" s="1956"/>
      <c r="G362" s="1956"/>
      <c r="H362" s="1956"/>
      <c r="I362" s="2071" t="str">
        <f>'Part II-Development Team'!I141</f>
        <v>No</v>
      </c>
      <c r="J362" s="2071" t="str">
        <f>'Part II-Development Team'!J141</f>
        <v>No</v>
      </c>
      <c r="K362" s="2197">
        <f>'Part II-Development Team'!K141</f>
        <v>0</v>
      </c>
      <c r="L362" s="2198">
        <f>'Part II-Development Team'!L141</f>
        <v>0</v>
      </c>
      <c r="M362" s="2071" t="str">
        <f>'Part II-Development Team'!M141</f>
        <v>No</v>
      </c>
      <c r="N362" s="1956">
        <f>'Part II-Development Team'!N141</f>
        <v>0</v>
      </c>
      <c r="O362" s="1956"/>
      <c r="P362" s="1956"/>
      <c r="Q362" s="1956"/>
      <c r="R362" s="1956"/>
      <c r="S362" s="1956"/>
    </row>
    <row r="363" spans="1:19" ht="13.95" customHeight="1">
      <c r="A363" s="1887" t="s">
        <v>3332</v>
      </c>
      <c r="B363" s="1887"/>
      <c r="C363" s="1887"/>
      <c r="D363" s="1887"/>
      <c r="E363" s="1956">
        <f>'Part II-Development Team'!E142</f>
        <v>0</v>
      </c>
      <c r="F363" s="1956"/>
      <c r="G363" s="1956"/>
      <c r="H363" s="1956"/>
      <c r="I363" s="2071" t="str">
        <f>'Part II-Development Team'!I142</f>
        <v>No</v>
      </c>
      <c r="J363" s="2071" t="str">
        <f>'Part II-Development Team'!J142</f>
        <v>No</v>
      </c>
      <c r="K363" s="2197" t="str">
        <f>'Part II-Development Team'!K142</f>
        <v>For Profit</v>
      </c>
      <c r="L363" s="2198">
        <f>'Part II-Development Team'!L142</f>
        <v>0.98990999999999996</v>
      </c>
      <c r="M363" s="2071" t="str">
        <f>'Part II-Development Team'!M142</f>
        <v>No</v>
      </c>
      <c r="N363" s="1956">
        <f>'Part II-Development Team'!N142</f>
        <v>0</v>
      </c>
      <c r="O363" s="1956"/>
      <c r="P363" s="1956"/>
      <c r="Q363" s="1956"/>
      <c r="R363" s="1956"/>
      <c r="S363" s="1956"/>
    </row>
    <row r="364" spans="1:19" ht="13.95" customHeight="1">
      <c r="A364" s="1887" t="s">
        <v>3333</v>
      </c>
      <c r="B364" s="1887"/>
      <c r="C364" s="1887"/>
      <c r="D364" s="1887"/>
      <c r="E364" s="1956">
        <f>'Part II-Development Team'!E143</f>
        <v>0</v>
      </c>
      <c r="F364" s="1956"/>
      <c r="G364" s="1956"/>
      <c r="H364" s="1956"/>
      <c r="I364" s="2071" t="str">
        <f>'Part II-Development Team'!I143</f>
        <v>No</v>
      </c>
      <c r="J364" s="2071" t="str">
        <f>'Part II-Development Team'!J143</f>
        <v>No</v>
      </c>
      <c r="K364" s="2197" t="str">
        <f>'Part II-Development Team'!K143</f>
        <v>For Profit</v>
      </c>
      <c r="L364" s="2198">
        <f>'Part II-Development Team'!L143</f>
        <v>0.01</v>
      </c>
      <c r="M364" s="2071" t="str">
        <f>'Part II-Development Team'!M143</f>
        <v>Yes</v>
      </c>
      <c r="N364" s="1956" t="str">
        <f>'Part II-Development Team'!N143</f>
        <v xml:space="preserve">Kevin Buckner is the President of TBG Construction, Inc. (Contractor), TBG Development Services, Inc. (Developer), and TBG Management Inc. (Management Company), a member of the State Limited Partner and managing member of the Limited Partnership. </v>
      </c>
      <c r="O364" s="1956"/>
      <c r="P364" s="1956"/>
      <c r="Q364" s="1956"/>
      <c r="R364" s="1956"/>
      <c r="S364" s="1956"/>
    </row>
    <row r="365" spans="1:19" ht="13.95" customHeight="1">
      <c r="A365" s="1887" t="s">
        <v>2793</v>
      </c>
      <c r="B365" s="1887"/>
      <c r="C365" s="1887"/>
      <c r="D365" s="1887"/>
      <c r="E365" s="1956">
        <f>'Part II-Development Team'!E144</f>
        <v>0</v>
      </c>
      <c r="F365" s="1956"/>
      <c r="G365" s="1956"/>
      <c r="H365" s="1956"/>
      <c r="I365" s="2071" t="str">
        <f>'Part II-Development Team'!I144</f>
        <v>No</v>
      </c>
      <c r="J365" s="2071" t="str">
        <f>'Part II-Development Team'!J144</f>
        <v>No</v>
      </c>
      <c r="K365" s="2197">
        <f>'Part II-Development Team'!K144</f>
        <v>0</v>
      </c>
      <c r="L365" s="2198">
        <f>'Part II-Development Team'!L144</f>
        <v>0</v>
      </c>
      <c r="M365" s="2071" t="str">
        <f>'Part II-Development Team'!M144</f>
        <v>No</v>
      </c>
      <c r="N365" s="1956">
        <f>'Part II-Development Team'!N144</f>
        <v>0</v>
      </c>
      <c r="O365" s="1956"/>
      <c r="P365" s="1956"/>
      <c r="Q365" s="1956"/>
      <c r="R365" s="1956"/>
      <c r="S365" s="1956"/>
    </row>
    <row r="366" spans="1:19" ht="13.8">
      <c r="A366" s="1887" t="s">
        <v>635</v>
      </c>
      <c r="B366" s="1887"/>
      <c r="C366" s="1887"/>
      <c r="D366" s="1887"/>
      <c r="E366" s="1956">
        <f>'Part II-Development Team'!E145</f>
        <v>0</v>
      </c>
      <c r="F366" s="1956"/>
      <c r="G366" s="1956"/>
      <c r="H366" s="1956"/>
      <c r="I366" s="2071" t="str">
        <f>'Part II-Development Team'!I145</f>
        <v>No</v>
      </c>
      <c r="J366" s="2071" t="str">
        <f>'Part II-Development Team'!J145</f>
        <v>No</v>
      </c>
      <c r="K366" s="2197" t="str">
        <f>'Part II-Development Team'!K145</f>
        <v>For Profit</v>
      </c>
      <c r="L366" s="2198">
        <f>'Part II-Development Team'!L145</f>
        <v>0</v>
      </c>
      <c r="M366" s="2071" t="str">
        <f>'Part II-Development Team'!M145</f>
        <v>Yes</v>
      </c>
      <c r="N366" s="1956" t="str">
        <f>'Part II-Development Team'!N145</f>
        <v xml:space="preserve">Kevin Buckner is the President of TBG Construction, Inc. (Contractor), TBG Development Services, Inc. (Developer), and TBG Management Inc. (Management Company), a member of the State Limited Partner and managing member of the Limited Partnership. . </v>
      </c>
      <c r="O366" s="1956"/>
      <c r="P366" s="1956"/>
      <c r="Q366" s="1956"/>
      <c r="R366" s="1956"/>
      <c r="S366" s="1956"/>
    </row>
    <row r="367" spans="1:19" ht="13.95" customHeight="1">
      <c r="A367" s="1887" t="s">
        <v>2794</v>
      </c>
      <c r="B367" s="1887"/>
      <c r="C367" s="1887"/>
      <c r="D367" s="1887"/>
      <c r="E367" s="1956">
        <f>'Part II-Development Team'!E146</f>
        <v>0</v>
      </c>
      <c r="F367" s="1956"/>
      <c r="G367" s="1956"/>
      <c r="H367" s="1956"/>
      <c r="I367" s="2071" t="str">
        <f>'Part II-Development Team'!I146</f>
        <v>No</v>
      </c>
      <c r="J367" s="2071" t="str">
        <f>'Part II-Development Team'!J146</f>
        <v>No</v>
      </c>
      <c r="K367" s="2197">
        <f>'Part II-Development Team'!K146</f>
        <v>0</v>
      </c>
      <c r="L367" s="2198">
        <f>'Part II-Development Team'!L146</f>
        <v>0</v>
      </c>
      <c r="M367" s="2071" t="str">
        <f>'Part II-Development Team'!M146</f>
        <v>No</v>
      </c>
      <c r="N367" s="1956">
        <f>'Part II-Development Team'!N146</f>
        <v>0</v>
      </c>
      <c r="O367" s="1956"/>
      <c r="P367" s="1956"/>
      <c r="Q367" s="1956"/>
      <c r="R367" s="1956"/>
      <c r="S367" s="1956"/>
    </row>
    <row r="368" spans="1:19" ht="13.95" customHeight="1">
      <c r="A368" s="1887" t="s">
        <v>2795</v>
      </c>
      <c r="B368" s="1887"/>
      <c r="C368" s="1887"/>
      <c r="D368" s="1887"/>
      <c r="E368" s="1956">
        <f>'Part II-Development Team'!E147</f>
        <v>0</v>
      </c>
      <c r="F368" s="1956"/>
      <c r="G368" s="1956"/>
      <c r="H368" s="1956"/>
      <c r="I368" s="2071" t="str">
        <f>'Part II-Development Team'!I147</f>
        <v>No</v>
      </c>
      <c r="J368" s="2071" t="str">
        <f>'Part II-Development Team'!J147</f>
        <v>No</v>
      </c>
      <c r="K368" s="2197">
        <f>'Part II-Development Team'!K147</f>
        <v>0</v>
      </c>
      <c r="L368" s="2198">
        <f>'Part II-Development Team'!L147</f>
        <v>0</v>
      </c>
      <c r="M368" s="2071" t="str">
        <f>'Part II-Development Team'!M147</f>
        <v>No</v>
      </c>
      <c r="N368" s="1956">
        <f>'Part II-Development Team'!N147</f>
        <v>0</v>
      </c>
      <c r="O368" s="1956"/>
      <c r="P368" s="1956"/>
      <c r="Q368" s="1956"/>
      <c r="R368" s="1956"/>
      <c r="S368" s="1956"/>
    </row>
    <row r="369" spans="1:20" ht="13.95" customHeight="1">
      <c r="A369" s="1887" t="s">
        <v>2797</v>
      </c>
      <c r="B369" s="1887"/>
      <c r="C369" s="1887"/>
      <c r="D369" s="1887"/>
      <c r="E369" s="1956">
        <f>'Part II-Development Team'!E148</f>
        <v>0</v>
      </c>
      <c r="F369" s="1956"/>
      <c r="G369" s="1956"/>
      <c r="H369" s="1956"/>
      <c r="I369" s="2071" t="str">
        <f>'Part II-Development Team'!I148</f>
        <v>No</v>
      </c>
      <c r="J369" s="2071" t="str">
        <f>'Part II-Development Team'!J148</f>
        <v>No</v>
      </c>
      <c r="K369" s="2197">
        <f>'Part II-Development Team'!K148</f>
        <v>0</v>
      </c>
      <c r="L369" s="2198">
        <f>'Part II-Development Team'!L148</f>
        <v>0</v>
      </c>
      <c r="M369" s="2071" t="str">
        <f>'Part II-Development Team'!M148</f>
        <v>No</v>
      </c>
      <c r="N369" s="1956">
        <f>'Part II-Development Team'!N148</f>
        <v>0</v>
      </c>
      <c r="O369" s="1956"/>
      <c r="P369" s="1956"/>
      <c r="Q369" s="1956"/>
      <c r="R369" s="1956"/>
      <c r="S369" s="1956"/>
    </row>
    <row r="370" spans="1:20" ht="13.95" customHeight="1">
      <c r="A370" s="1887" t="s">
        <v>2796</v>
      </c>
      <c r="B370" s="1887"/>
      <c r="C370" s="1887"/>
      <c r="D370" s="1887"/>
      <c r="E370" s="1956">
        <f>'Part II-Development Team'!E149</f>
        <v>0</v>
      </c>
      <c r="F370" s="1956"/>
      <c r="G370" s="1956"/>
      <c r="H370" s="1956"/>
      <c r="I370" s="2071" t="str">
        <f>'Part II-Development Team'!I149</f>
        <v>No</v>
      </c>
      <c r="J370" s="2071" t="str">
        <f>'Part II-Development Team'!J149</f>
        <v>No</v>
      </c>
      <c r="K370" s="2197">
        <f>'Part II-Development Team'!K149</f>
        <v>0</v>
      </c>
      <c r="L370" s="2198">
        <f>'Part II-Development Team'!L149</f>
        <v>0</v>
      </c>
      <c r="M370" s="2071" t="str">
        <f>'Part II-Development Team'!M149</f>
        <v>No</v>
      </c>
      <c r="N370" s="1956">
        <f>'Part II-Development Team'!N149</f>
        <v>0</v>
      </c>
      <c r="O370" s="1956"/>
      <c r="P370" s="1956"/>
      <c r="Q370" s="1956"/>
      <c r="R370" s="1956"/>
      <c r="S370" s="1956"/>
    </row>
    <row r="371" spans="1:20" ht="13.8">
      <c r="A371" s="1887" t="s">
        <v>1497</v>
      </c>
      <c r="B371" s="1887"/>
      <c r="C371" s="1887"/>
      <c r="D371" s="1887"/>
      <c r="E371" s="1956">
        <f>'Part II-Development Team'!E150</f>
        <v>0</v>
      </c>
      <c r="F371" s="1956"/>
      <c r="G371" s="1956"/>
      <c r="H371" s="1956"/>
      <c r="I371" s="2071" t="str">
        <f>'Part II-Development Team'!I150</f>
        <v>No</v>
      </c>
      <c r="J371" s="2071" t="str">
        <f>'Part II-Development Team'!J150</f>
        <v>No</v>
      </c>
      <c r="K371" s="2197" t="str">
        <f>'Part II-Development Team'!K150</f>
        <v>For Profit</v>
      </c>
      <c r="L371" s="2198">
        <f>'Part II-Development Team'!L150</f>
        <v>0</v>
      </c>
      <c r="M371" s="2071" t="str">
        <f>'Part II-Development Team'!M150</f>
        <v>Yes</v>
      </c>
      <c r="N371" s="1956" t="str">
        <f>'Part II-Development Team'!N150</f>
        <v xml:space="preserve">Kevin Buckner is the President of TBG Construction, Inc. (Contractor), TBG Development Services, Inc. (Developer), and TBG Management Inc. (Management Company), a member of the State Limited Partner and managing member of the Limited Partnership.  </v>
      </c>
      <c r="O371" s="1956"/>
      <c r="P371" s="1956"/>
      <c r="Q371" s="1956"/>
      <c r="R371" s="1956"/>
      <c r="S371" s="1956"/>
    </row>
    <row r="372" spans="1:20" ht="13.95" customHeight="1">
      <c r="A372" s="1887" t="s">
        <v>2798</v>
      </c>
      <c r="B372" s="1887"/>
      <c r="C372" s="1887"/>
      <c r="D372" s="1887"/>
      <c r="E372" s="1956">
        <f>'Part II-Development Team'!E151</f>
        <v>0</v>
      </c>
      <c r="F372" s="1956"/>
      <c r="G372" s="1956"/>
      <c r="H372" s="1956"/>
      <c r="I372" s="2071" t="str">
        <f>'Part II-Development Team'!I151</f>
        <v>No</v>
      </c>
      <c r="J372" s="2071" t="str">
        <f>'Part II-Development Team'!J151</f>
        <v>No</v>
      </c>
      <c r="K372" s="2197" t="str">
        <f>'Part II-Development Team'!K151</f>
        <v>For Profit</v>
      </c>
      <c r="L372" s="2198">
        <f>'Part II-Development Team'!L151</f>
        <v>0</v>
      </c>
      <c r="M372" s="2071" t="str">
        <f>'Part II-Development Team'!M151</f>
        <v>Yes</v>
      </c>
      <c r="N372" s="1956" t="str">
        <f>'Part II-Development Team'!N151</f>
        <v xml:space="preserve">Kevin Buckner is the President of TBG Construction, Inc. (Contractor), TBG Development Services, Inc. (Developer), and TBG Management Inc. (Management Company), a member of the State Limited Partner and managing member of the Limited Partnership.  </v>
      </c>
      <c r="O372" s="1956"/>
      <c r="P372" s="1956"/>
      <c r="Q372" s="1956"/>
      <c r="R372" s="1956"/>
      <c r="S372" s="1956"/>
    </row>
    <row r="373" spans="1:20" ht="13.8">
      <c r="A373" s="1819"/>
      <c r="B373" s="1819"/>
      <c r="C373" s="1819"/>
      <c r="D373" s="1819"/>
      <c r="E373" s="1819"/>
      <c r="F373" s="1819"/>
      <c r="G373" s="1819"/>
      <c r="H373" s="1819"/>
      <c r="I373" s="1819"/>
      <c r="J373" s="1821"/>
      <c r="K373" s="1840" t="s">
        <v>524</v>
      </c>
      <c r="L373" s="1848">
        <f>SUM(L360:L372)</f>
        <v>1</v>
      </c>
      <c r="M373" s="1821"/>
      <c r="N373" s="1819"/>
      <c r="O373" s="1819"/>
      <c r="P373" s="1827"/>
      <c r="Q373" s="1819"/>
      <c r="R373" s="1819"/>
      <c r="S373" s="1819"/>
    </row>
    <row r="374" spans="1:20" ht="13.8">
      <c r="A374" s="1827" t="s">
        <v>516</v>
      </c>
      <c r="B374" s="1827"/>
      <c r="C374" s="1827" t="s">
        <v>555</v>
      </c>
      <c r="D374" s="1827"/>
      <c r="E374" s="1827"/>
      <c r="F374" s="1827"/>
      <c r="G374" s="1827"/>
      <c r="H374" s="1827"/>
      <c r="I374" s="1827"/>
      <c r="J374" s="1827"/>
      <c r="K374" s="1827"/>
      <c r="L374" s="1827"/>
      <c r="M374" s="1827"/>
      <c r="N374" s="1827" t="s">
        <v>516</v>
      </c>
      <c r="O374" s="1827" t="s">
        <v>77</v>
      </c>
      <c r="P374" s="1827"/>
      <c r="Q374" s="1827"/>
      <c r="R374" s="1827"/>
      <c r="S374" s="1827"/>
    </row>
    <row r="375" spans="1:20">
      <c r="A375" s="1887" t="str">
        <f>'Part II-Development Team'!A154</f>
        <v xml:space="preserve">Kevin Buckner is the President of TBG Construction, Inc. (Contractor), TBG Development Services, Inc. (Developer), and TBG Management Inc. (Management Company). Kevin Buckner is a member of the General Partner, TBG Harper Woods II, LLC. Kevin Buckner is  member of the State Limited Partner, TBG Harper Woods II Investments, LLC. </v>
      </c>
      <c r="B375" s="1887"/>
      <c r="C375" s="1887"/>
      <c r="D375" s="1887"/>
      <c r="E375" s="1887"/>
      <c r="F375" s="1887"/>
      <c r="G375" s="1887"/>
      <c r="H375" s="1887"/>
      <c r="I375" s="1887"/>
      <c r="J375" s="1887"/>
      <c r="K375" s="1887"/>
      <c r="L375" s="1887"/>
      <c r="M375" s="1887"/>
      <c r="N375" s="1887">
        <f>'Part II-Development Team'!N154</f>
        <v>0</v>
      </c>
      <c r="O375" s="1887"/>
      <c r="P375" s="1887"/>
      <c r="Q375" s="1887"/>
      <c r="R375" s="1887"/>
      <c r="S375" s="1887"/>
    </row>
    <row r="380" spans="1:20" ht="13.8">
      <c r="A380" s="1819" t="str">
        <f>CONCATENATE("PART THREE - SOURCES OF FUNDS","  -  ",'Part I-Project Information'!$O$6," ",'Part I-Project Information'!$F$34,", ",'Part I-Project Information'!$F$38,", ",'Part I-Project Information'!$J$39," County")</f>
        <v>PART THREE - SOURCES OF FUNDS  -  2020-074 Harper Woods II, Columbus, Muscogee County</v>
      </c>
      <c r="B380" s="1819"/>
      <c r="C380" s="1819"/>
      <c r="D380" s="1819"/>
      <c r="E380" s="1819"/>
      <c r="F380" s="1819"/>
      <c r="G380" s="1819"/>
      <c r="H380" s="1819"/>
      <c r="I380" s="1819"/>
      <c r="J380" s="1819"/>
      <c r="K380" s="1819"/>
      <c r="L380" s="1819"/>
      <c r="M380" s="1819"/>
      <c r="N380" s="1819"/>
      <c r="O380" s="1819"/>
      <c r="P380" s="1819"/>
      <c r="Q380" s="1819"/>
      <c r="R380" s="1849"/>
      <c r="S380" s="1849" t="str">
        <f>$A$1</f>
        <v>Project Narrative</v>
      </c>
      <c r="T380" s="1849"/>
    </row>
    <row r="381" spans="1:20" ht="13.8">
      <c r="A381" s="1827"/>
      <c r="B381" s="1827"/>
      <c r="C381" s="1827"/>
      <c r="D381" s="1827"/>
      <c r="E381" s="1827"/>
      <c r="F381" s="1827"/>
      <c r="G381" s="1815"/>
      <c r="H381" s="1815"/>
      <c r="I381" s="1815"/>
      <c r="J381" s="1815"/>
      <c r="K381" s="1815"/>
      <c r="L381" s="1815"/>
      <c r="M381" s="2072"/>
      <c r="N381" s="2072"/>
      <c r="O381" s="2072"/>
      <c r="P381" s="2072"/>
      <c r="Q381" s="2072"/>
      <c r="R381" s="2072"/>
      <c r="S381" s="2072"/>
      <c r="T381" s="2072"/>
    </row>
    <row r="382" spans="1:20" ht="13.8">
      <c r="A382" s="1819" t="s">
        <v>598</v>
      </c>
      <c r="B382" s="1819" t="s">
        <v>2426</v>
      </c>
      <c r="C382" s="1819"/>
      <c r="D382" s="1819"/>
      <c r="E382" s="1819"/>
      <c r="F382" s="1819"/>
      <c r="G382" s="1819"/>
      <c r="H382" s="1849"/>
      <c r="I382" s="1849"/>
      <c r="J382" s="1849"/>
      <c r="K382" s="1849"/>
      <c r="L382" s="2073" t="str">
        <f>'Part I-Project Information'!$B$6</f>
        <v>May 26, 2020 Version</v>
      </c>
      <c r="M382" s="2073"/>
      <c r="N382" s="2073"/>
      <c r="O382" s="2073"/>
      <c r="P382" s="2073"/>
      <c r="Q382" s="1849"/>
      <c r="R382" s="1849"/>
      <c r="S382" s="1849" t="str">
        <f>B382</f>
        <v>GOVERNMENT FUNDING SOURCES  (check all that apply)</v>
      </c>
      <c r="T382" s="1849"/>
    </row>
    <row r="383" spans="1:20" ht="13.8">
      <c r="A383" s="1827"/>
      <c r="B383" s="1821"/>
      <c r="C383" s="1827"/>
      <c r="D383" s="1819"/>
      <c r="E383" s="1819"/>
      <c r="F383" s="1819"/>
      <c r="G383" s="1819"/>
      <c r="H383" s="1849"/>
      <c r="I383" s="1849"/>
      <c r="J383" s="1849"/>
      <c r="K383" s="1849"/>
      <c r="L383" s="1849"/>
      <c r="M383" s="1849"/>
      <c r="N383" s="1849"/>
      <c r="O383" s="1849"/>
      <c r="P383" s="1849"/>
      <c r="Q383" s="1849"/>
      <c r="R383" s="1849"/>
      <c r="S383" s="1995" t="s">
        <v>2607</v>
      </c>
    </row>
    <row r="384" spans="1:20" ht="13.95" customHeight="1">
      <c r="A384" s="1821"/>
      <c r="B384" s="1821" t="str">
        <f>'Part III-Sources of Funds'!B5</f>
        <v>Yes</v>
      </c>
      <c r="C384" s="1823" t="s">
        <v>2348</v>
      </c>
      <c r="D384" s="1819"/>
      <c r="E384" s="1821" t="str">
        <f>'Part III-Sources of Funds'!E5</f>
        <v>No</v>
      </c>
      <c r="F384" s="1823" t="s">
        <v>6818</v>
      </c>
      <c r="G384" s="1819"/>
      <c r="H384" s="2199">
        <f>'Part III-Sources of Funds'!H5</f>
        <v>0</v>
      </c>
      <c r="I384" s="1815"/>
      <c r="J384" s="1849"/>
      <c r="K384" s="1849"/>
      <c r="L384" s="1821" t="str">
        <f>'Part III-Sources of Funds'!L5</f>
        <v>No</v>
      </c>
      <c r="M384" s="1823" t="s">
        <v>1504</v>
      </c>
      <c r="N384" s="1849"/>
      <c r="O384" s="1821" t="str">
        <f>'Part III-Sources of Funds'!O5</f>
        <v>No</v>
      </c>
      <c r="P384" s="1887" t="s">
        <v>4488</v>
      </c>
      <c r="Q384" s="1887"/>
      <c r="R384" s="1849"/>
      <c r="S384" s="1887"/>
      <c r="T384" s="1887"/>
    </row>
    <row r="385" spans="1:20" ht="13.8">
      <c r="A385" s="1821"/>
      <c r="B385" s="1821" t="str">
        <f>'Part III-Sources of Funds'!B6</f>
        <v>No</v>
      </c>
      <c r="C385" s="1823" t="s">
        <v>4427</v>
      </c>
      <c r="D385" s="1819"/>
      <c r="E385" s="1821" t="str">
        <f>'Part III-Sources of Funds'!E6</f>
        <v>Yes</v>
      </c>
      <c r="F385" s="1823" t="s">
        <v>6819</v>
      </c>
      <c r="G385" s="1849"/>
      <c r="H385" s="2199">
        <f>'Part III-Sources of Funds'!H6</f>
        <v>625000</v>
      </c>
      <c r="I385" s="1815"/>
      <c r="J385" s="1849"/>
      <c r="K385" s="1849"/>
      <c r="L385" s="1821" t="str">
        <f>'Part III-Sources of Funds'!L6</f>
        <v>No</v>
      </c>
      <c r="M385" s="1823" t="s">
        <v>534</v>
      </c>
      <c r="N385" s="1849"/>
      <c r="O385" s="1849"/>
      <c r="P385" s="1887"/>
      <c r="Q385" s="1887"/>
      <c r="R385" s="1849"/>
      <c r="S385" s="1887"/>
      <c r="T385" s="1887"/>
    </row>
    <row r="386" spans="1:20" ht="13.8">
      <c r="A386" s="1819"/>
      <c r="B386" s="1821" t="str">
        <f>'Part III-Sources of Funds'!B7</f>
        <v>No</v>
      </c>
      <c r="C386" s="1823" t="s">
        <v>535</v>
      </c>
      <c r="D386" s="1849"/>
      <c r="E386" s="1849"/>
      <c r="F386" s="1819" t="s">
        <v>6820</v>
      </c>
      <c r="G386" s="1849"/>
      <c r="H386" s="1849" t="str">
        <f>'Part III-Sources of Funds'!H7</f>
        <v xml:space="preserve">City of Columbus </v>
      </c>
      <c r="I386" s="1849"/>
      <c r="J386" s="1849"/>
      <c r="K386" s="1849"/>
      <c r="L386" s="1821" t="str">
        <f>'Part III-Sources of Funds'!L7</f>
        <v>No</v>
      </c>
      <c r="M386" s="1823" t="s">
        <v>3455</v>
      </c>
      <c r="N386" s="1849"/>
      <c r="O386" s="1849"/>
      <c r="P386" s="1887"/>
      <c r="Q386" s="1887"/>
      <c r="R386" s="1849"/>
      <c r="S386" s="1887"/>
      <c r="T386" s="1887"/>
    </row>
    <row r="387" spans="1:20" ht="13.8">
      <c r="A387" s="1821"/>
      <c r="B387" s="1821" t="str">
        <f>'Part III-Sources of Funds'!B8</f>
        <v>No</v>
      </c>
      <c r="C387" s="1823" t="s">
        <v>2534</v>
      </c>
      <c r="D387" s="1849"/>
      <c r="E387" s="1821" t="str">
        <f>'Part III-Sources of Funds'!E8</f>
        <v>No</v>
      </c>
      <c r="F387" s="1823" t="s">
        <v>2542</v>
      </c>
      <c r="G387" s="1849"/>
      <c r="H387" s="1849"/>
      <c r="I387" s="1849"/>
      <c r="J387" s="1849"/>
      <c r="K387" s="1849"/>
      <c r="L387" s="1821" t="str">
        <f>'Part III-Sources of Funds'!L8</f>
        <v>No</v>
      </c>
      <c r="M387" s="1823" t="s">
        <v>4428</v>
      </c>
      <c r="N387" s="1849"/>
      <c r="O387" s="1849"/>
      <c r="P387" s="1849"/>
      <c r="Q387" s="1849"/>
      <c r="R387" s="1849"/>
      <c r="S387" s="1887"/>
      <c r="T387" s="1887"/>
    </row>
    <row r="388" spans="1:20" ht="13.8">
      <c r="A388" s="1821"/>
      <c r="B388" s="1821" t="str">
        <f>'Part III-Sources of Funds'!B9</f>
        <v>No</v>
      </c>
      <c r="C388" s="1823" t="s">
        <v>2535</v>
      </c>
      <c r="D388" s="1849"/>
      <c r="E388" s="1821" t="str">
        <f>'Part III-Sources of Funds'!E9</f>
        <v>No</v>
      </c>
      <c r="F388" s="1823" t="s">
        <v>3539</v>
      </c>
      <c r="G388" s="1849"/>
      <c r="H388" s="1849" t="str">
        <f>'Part III-Sources of Funds'!H9</f>
        <v>Specify Other PBRA Source here</v>
      </c>
      <c r="I388" s="1849"/>
      <c r="J388" s="1849"/>
      <c r="K388" s="1849"/>
      <c r="L388" s="1821" t="str">
        <f>'Part III-Sources of Funds'!L9</f>
        <v>No</v>
      </c>
      <c r="M388" s="1823" t="s">
        <v>3504</v>
      </c>
      <c r="N388" s="1849"/>
      <c r="O388" s="1849"/>
      <c r="P388" s="1849"/>
      <c r="Q388" s="1849"/>
      <c r="R388" s="1849"/>
      <c r="S388" s="1887"/>
      <c r="T388" s="1887"/>
    </row>
    <row r="389" spans="1:20" ht="13.8">
      <c r="A389" s="1821"/>
      <c r="B389" s="1821" t="str">
        <f>'Part III-Sources of Funds'!B10</f>
        <v>No</v>
      </c>
      <c r="C389" s="1823" t="s">
        <v>3508</v>
      </c>
      <c r="D389" s="1849"/>
      <c r="E389" s="1821" t="str">
        <f>'Part III-Sources of Funds'!E10</f>
        <v>No</v>
      </c>
      <c r="F389" s="1849" t="str">
        <f>'Part III-Sources of Funds'!F10</f>
        <v>Other Type of FEDERAL Funding - describe type/program here</v>
      </c>
      <c r="G389" s="1849"/>
      <c r="H389" s="1849"/>
      <c r="I389" s="1849"/>
      <c r="J389" s="1849"/>
      <c r="K389" s="1849"/>
      <c r="L389" s="1821" t="str">
        <f>'Part III-Sources of Funds'!L10</f>
        <v>No</v>
      </c>
      <c r="M389" s="1819" t="s">
        <v>2543</v>
      </c>
      <c r="N389" s="1849"/>
      <c r="O389" s="1849"/>
      <c r="P389" s="1849"/>
      <c r="Q389" s="1849"/>
      <c r="R389" s="1849"/>
      <c r="S389" s="1887"/>
      <c r="T389" s="1887"/>
    </row>
    <row r="390" spans="1:20" ht="13.8">
      <c r="A390" s="1821"/>
      <c r="B390" s="1821" t="str">
        <f>'Part III-Sources of Funds'!B11</f>
        <v>No</v>
      </c>
      <c r="C390" s="1819" t="s">
        <v>3661</v>
      </c>
      <c r="D390" s="1849"/>
      <c r="E390" s="1849"/>
      <c r="F390" s="1849" t="str">
        <f>'Part III-Sources of Funds'!F11</f>
        <v>Specify Source/Administrator of Other FEDERAL Funding here</v>
      </c>
      <c r="G390" s="1849"/>
      <c r="H390" s="1849"/>
      <c r="I390" s="1849"/>
      <c r="J390" s="1849"/>
      <c r="K390" s="1849"/>
      <c r="L390" s="1821" t="str">
        <f>'Part III-Sources of Funds'!L11</f>
        <v>No</v>
      </c>
      <c r="M390" s="1819" t="s">
        <v>3542</v>
      </c>
      <c r="N390" s="1849"/>
      <c r="O390" s="1849"/>
      <c r="P390" s="1849"/>
      <c r="Q390" s="1849"/>
      <c r="R390" s="1849"/>
      <c r="S390" s="1887"/>
      <c r="T390" s="1887"/>
    </row>
    <row r="391" spans="1:20" ht="13.8">
      <c r="A391" s="1821"/>
      <c r="B391" s="1821" t="str">
        <f>'Part III-Sources of Funds'!B12</f>
        <v>No</v>
      </c>
      <c r="C391" s="1819" t="s">
        <v>2541</v>
      </c>
      <c r="D391" s="1849"/>
      <c r="E391" s="1821" t="str">
        <f>'Part III-Sources of Funds'!E12</f>
        <v>No</v>
      </c>
      <c r="F391" s="1849" t="str">
        <f>'Part III-Sources of Funds'!F12</f>
        <v>Other Type of STATE/LOCAL Funding - describe type/program here</v>
      </c>
      <c r="G391" s="1849"/>
      <c r="H391" s="1849"/>
      <c r="I391" s="1849"/>
      <c r="J391" s="1849"/>
      <c r="K391" s="1849"/>
      <c r="L391" s="1821" t="str">
        <f>'Part III-Sources of Funds'!L12</f>
        <v>No</v>
      </c>
      <c r="M391" s="1819" t="s">
        <v>2705</v>
      </c>
      <c r="N391" s="1849"/>
      <c r="O391" s="1849"/>
      <c r="P391" s="1849"/>
      <c r="Q391" s="1849"/>
      <c r="R391" s="1849"/>
      <c r="S391" s="1887"/>
      <c r="T391" s="1887"/>
    </row>
    <row r="392" spans="1:20" ht="13.8">
      <c r="A392" s="1821"/>
      <c r="B392" s="1821" t="str">
        <f>'Part III-Sources of Funds'!B13</f>
        <v>No</v>
      </c>
      <c r="C392" s="1819" t="s">
        <v>3538</v>
      </c>
      <c r="D392" s="1849"/>
      <c r="E392" s="1849"/>
      <c r="F392" s="1849" t="str">
        <f>'Part III-Sources of Funds'!F13</f>
        <v>Specify Source/Administrator of Other STATE/LOCAL Funding here</v>
      </c>
      <c r="G392" s="1849"/>
      <c r="H392" s="1849"/>
      <c r="I392" s="1849"/>
      <c r="J392" s="1849"/>
      <c r="K392" s="1849"/>
      <c r="L392" s="1821" t="str">
        <f>'Part III-Sources of Funds'!L13</f>
        <v>No</v>
      </c>
      <c r="M392" s="1823" t="s">
        <v>3660</v>
      </c>
      <c r="N392" s="1849"/>
      <c r="O392" s="1849"/>
      <c r="P392" s="1849"/>
      <c r="Q392" s="1849"/>
      <c r="R392" s="1849"/>
      <c r="S392" s="1887"/>
      <c r="T392" s="1887"/>
    </row>
    <row r="393" spans="1:20" ht="13.8">
      <c r="A393" s="1821"/>
      <c r="B393" s="1821" t="str">
        <f>'Part III-Sources of Funds'!B14</f>
        <v>No</v>
      </c>
      <c r="C393" s="1823" t="s">
        <v>1757</v>
      </c>
      <c r="D393" s="1849"/>
      <c r="E393" s="1821" t="str">
        <f>'Part III-Sources of Funds'!E14</f>
        <v>No</v>
      </c>
      <c r="F393" s="1823" t="s">
        <v>4425</v>
      </c>
      <c r="G393" s="1849"/>
      <c r="H393" s="1849"/>
      <c r="I393" s="2199">
        <f>'Part III-Sources of Funds'!I14</f>
        <v>0</v>
      </c>
      <c r="J393" s="1815"/>
      <c r="K393" s="1849"/>
      <c r="L393" s="1821" t="str">
        <f>'Part III-Sources of Funds'!L14</f>
        <v>No</v>
      </c>
      <c r="M393" s="1820" t="s">
        <v>6821</v>
      </c>
      <c r="N393" s="1849"/>
      <c r="O393" s="1849"/>
      <c r="P393" s="1849"/>
      <c r="Q393" s="1849"/>
      <c r="R393" s="1849"/>
      <c r="S393" s="1849"/>
      <c r="T393" s="1849"/>
    </row>
    <row r="394" spans="1:20" ht="13.8">
      <c r="A394" s="1821"/>
      <c r="B394" s="1849" t="s">
        <v>4429</v>
      </c>
      <c r="C394" s="1819"/>
      <c r="D394" s="1819"/>
      <c r="E394" s="1819"/>
      <c r="F394" s="1819"/>
      <c r="G394" s="1819"/>
      <c r="H394" s="1819"/>
      <c r="I394" s="1819"/>
      <c r="J394" s="1819"/>
      <c r="K394" s="1819"/>
      <c r="L394" s="1819"/>
      <c r="M394" s="1827"/>
      <c r="N394" s="1819"/>
      <c r="O394" s="1819"/>
      <c r="P394" s="1819"/>
      <c r="Q394" s="1819"/>
      <c r="R394" s="1849"/>
      <c r="S394" s="1849"/>
      <c r="T394" s="1849"/>
    </row>
    <row r="395" spans="1:20" ht="13.8">
      <c r="A395" s="1821"/>
      <c r="B395" s="1849"/>
      <c r="C395" s="1849"/>
      <c r="D395" s="1849"/>
      <c r="E395" s="1849"/>
      <c r="F395" s="1849"/>
      <c r="G395" s="1849"/>
      <c r="H395" s="1849"/>
      <c r="I395" s="1849"/>
      <c r="J395" s="1849"/>
      <c r="K395" s="1849"/>
      <c r="L395" s="1819"/>
      <c r="M395" s="1827"/>
      <c r="N395" s="1819"/>
      <c r="O395" s="1819"/>
      <c r="P395" s="1819"/>
      <c r="Q395" s="1819"/>
      <c r="R395" s="1849"/>
      <c r="S395" s="1849"/>
      <c r="T395" s="1849"/>
    </row>
    <row r="396" spans="1:20" ht="13.8">
      <c r="A396" s="1819" t="s">
        <v>722</v>
      </c>
      <c r="B396" s="1823" t="s">
        <v>2286</v>
      </c>
      <c r="C396" s="1819"/>
      <c r="D396" s="1819"/>
      <c r="E396" s="1819"/>
      <c r="F396" s="1819"/>
      <c r="G396" s="1819"/>
      <c r="H396" s="1849"/>
      <c r="I396" s="1849"/>
      <c r="J396" s="1849"/>
      <c r="K396" s="1849"/>
      <c r="L396" s="1819"/>
      <c r="M396" s="1819"/>
      <c r="N396" s="1819"/>
      <c r="O396" s="1819"/>
      <c r="P396" s="1819"/>
      <c r="Q396" s="1819"/>
      <c r="R396" s="1849"/>
      <c r="S396" s="1849" t="str">
        <f>B396</f>
        <v>CONSTRUCTION FINANCING</v>
      </c>
      <c r="T396" s="1849"/>
    </row>
    <row r="397" spans="1:20" ht="13.8">
      <c r="A397" s="1819"/>
      <c r="B397" s="1823"/>
      <c r="C397" s="1819"/>
      <c r="D397" s="1849"/>
      <c r="E397" s="1849"/>
      <c r="F397" s="1849"/>
      <c r="G397" s="1849"/>
      <c r="H397" s="1849"/>
      <c r="I397" s="1849"/>
      <c r="J397" s="1849"/>
      <c r="K397" s="1819"/>
      <c r="L397" s="1819"/>
      <c r="M397" s="1819"/>
      <c r="N397" s="1821"/>
      <c r="O397" s="1821"/>
      <c r="P397" s="1819"/>
      <c r="Q397" s="1819"/>
      <c r="R397" s="1849"/>
      <c r="S397" s="1849"/>
      <c r="T397" s="1849"/>
    </row>
    <row r="398" spans="1:20" ht="13.8">
      <c r="A398" s="1819"/>
      <c r="B398" s="1823" t="s">
        <v>1824</v>
      </c>
      <c r="C398" s="1819"/>
      <c r="D398" s="1819"/>
      <c r="E398" s="1819"/>
      <c r="F398" s="1819"/>
      <c r="G398" s="1819"/>
      <c r="H398" s="1819" t="s">
        <v>1271</v>
      </c>
      <c r="I398" s="1819"/>
      <c r="J398" s="1819"/>
      <c r="K398" s="1819"/>
      <c r="L398" s="1819" t="s">
        <v>4388</v>
      </c>
      <c r="M398" s="1819"/>
      <c r="N398" s="1819" t="s">
        <v>1475</v>
      </c>
      <c r="O398" s="1819"/>
      <c r="P398" s="1819" t="s">
        <v>1597</v>
      </c>
      <c r="Q398" s="1819"/>
      <c r="R398" s="1849"/>
      <c r="S398" s="1995" t="s">
        <v>2607</v>
      </c>
    </row>
    <row r="399" spans="1:20" ht="13.8">
      <c r="A399" s="1819"/>
      <c r="B399" s="1819" t="s">
        <v>1558</v>
      </c>
      <c r="C399" s="1819"/>
      <c r="D399" s="1819"/>
      <c r="E399" s="1819"/>
      <c r="F399" s="1819"/>
      <c r="G399" s="1819"/>
      <c r="H399" s="1819" t="str">
        <f>'Part III-Sources of Funds'!H20</f>
        <v xml:space="preserve">Synovus Bank Construction Loan </v>
      </c>
      <c r="I399" s="1819"/>
      <c r="J399" s="1819"/>
      <c r="K399" s="1819"/>
      <c r="L399" s="1861">
        <f>'Part III-Sources of Funds'!L20</f>
        <v>930000</v>
      </c>
      <c r="M399" s="1861"/>
      <c r="N399" s="1850">
        <f>'Part III-Sources of Funds'!N20</f>
        <v>0.04</v>
      </c>
      <c r="O399" s="1850"/>
      <c r="P399" s="2200">
        <f>'Part III-Sources of Funds'!P20</f>
        <v>24</v>
      </c>
      <c r="Q399" s="2200"/>
      <c r="R399" s="1849"/>
      <c r="S399" s="1887"/>
      <c r="T399" s="1887"/>
    </row>
    <row r="400" spans="1:20" ht="13.8">
      <c r="A400" s="1819"/>
      <c r="B400" s="1819" t="s">
        <v>1559</v>
      </c>
      <c r="C400" s="1819"/>
      <c r="D400" s="1819"/>
      <c r="E400" s="1819"/>
      <c r="F400" s="1819"/>
      <c r="G400" s="1819"/>
      <c r="H400" s="1819" t="str">
        <f>'Part III-Sources of Funds'!H21</f>
        <v xml:space="preserve">Synovus Bank Bridge Loan </v>
      </c>
      <c r="I400" s="1819"/>
      <c r="J400" s="1819"/>
      <c r="K400" s="1819"/>
      <c r="L400" s="1861">
        <f>'Part III-Sources of Funds'!L21</f>
        <v>7453479</v>
      </c>
      <c r="M400" s="1861"/>
      <c r="N400" s="1850">
        <f>'Part III-Sources of Funds'!N21</f>
        <v>0.04</v>
      </c>
      <c r="O400" s="1850"/>
      <c r="P400" s="2200">
        <f>'Part III-Sources of Funds'!P21</f>
        <v>24</v>
      </c>
      <c r="Q400" s="2200"/>
      <c r="R400" s="1849"/>
      <c r="S400" s="1887"/>
      <c r="T400" s="1887"/>
    </row>
    <row r="401" spans="1:20" ht="13.8">
      <c r="A401" s="1819"/>
      <c r="B401" s="1819" t="s">
        <v>1560</v>
      </c>
      <c r="C401" s="1819"/>
      <c r="D401" s="1819"/>
      <c r="E401" s="1819"/>
      <c r="F401" s="1819"/>
      <c r="G401" s="1819"/>
      <c r="H401" s="1819" t="str">
        <f>'Part III-Sources of Funds'!H22</f>
        <v>City of Columbus HOME Loan</v>
      </c>
      <c r="I401" s="1819"/>
      <c r="J401" s="1819"/>
      <c r="K401" s="1819"/>
      <c r="L401" s="1861">
        <f>'Part III-Sources of Funds'!L22</f>
        <v>625000</v>
      </c>
      <c r="M401" s="1861"/>
      <c r="N401" s="1850">
        <f>'Part III-Sources of Funds'!N22</f>
        <v>0.01</v>
      </c>
      <c r="O401" s="1850"/>
      <c r="P401" s="2200">
        <f>'Part III-Sources of Funds'!P22</f>
        <v>24</v>
      </c>
      <c r="Q401" s="2200"/>
      <c r="R401" s="1849"/>
      <c r="S401" s="1887"/>
      <c r="T401" s="1887"/>
    </row>
    <row r="402" spans="1:20" ht="13.8">
      <c r="A402" s="1819"/>
      <c r="B402" s="1819" t="s">
        <v>2159</v>
      </c>
      <c r="C402" s="1819"/>
      <c r="D402" s="1819"/>
      <c r="E402" s="1819"/>
      <c r="F402" s="1819"/>
      <c r="G402" s="1819"/>
      <c r="H402" s="1819">
        <f>'Part III-Sources of Funds'!H23</f>
        <v>0</v>
      </c>
      <c r="I402" s="1819"/>
      <c r="J402" s="1819"/>
      <c r="K402" s="1819"/>
      <c r="L402" s="1861">
        <f>'Part III-Sources of Funds'!L23</f>
        <v>0</v>
      </c>
      <c r="M402" s="1861"/>
      <c r="N402" s="1850"/>
      <c r="O402" s="1850"/>
      <c r="P402" s="1819"/>
      <c r="Q402" s="1819"/>
      <c r="R402" s="1849"/>
      <c r="S402" s="1887"/>
      <c r="T402" s="1887"/>
    </row>
    <row r="403" spans="1:20" ht="13.8">
      <c r="A403" s="1819"/>
      <c r="B403" s="1819" t="s">
        <v>781</v>
      </c>
      <c r="C403" s="1819"/>
      <c r="D403" s="1819"/>
      <c r="E403" s="1819"/>
      <c r="F403" s="1849"/>
      <c r="G403" s="1849"/>
      <c r="H403" s="1819">
        <f>'Part III-Sources of Funds'!H24</f>
        <v>0</v>
      </c>
      <c r="I403" s="1819"/>
      <c r="J403" s="1819"/>
      <c r="K403" s="1819"/>
      <c r="L403" s="1861">
        <f>'Part III-Sources of Funds'!L24</f>
        <v>0</v>
      </c>
      <c r="M403" s="1861"/>
      <c r="N403" s="1850"/>
      <c r="O403" s="1850"/>
      <c r="P403" s="1819"/>
      <c r="Q403" s="1819"/>
      <c r="R403" s="1849"/>
      <c r="S403" s="1887"/>
      <c r="T403" s="1887"/>
    </row>
    <row r="404" spans="1:20" ht="13.8">
      <c r="A404" s="1819"/>
      <c r="B404" s="1819" t="s">
        <v>623</v>
      </c>
      <c r="C404" s="1819"/>
      <c r="D404" s="1819"/>
      <c r="E404" s="1819"/>
      <c r="F404" s="1849"/>
      <c r="G404" s="1849"/>
      <c r="H404" s="1819">
        <f>'Part III-Sources of Funds'!H25</f>
        <v>0</v>
      </c>
      <c r="I404" s="1819"/>
      <c r="J404" s="1819"/>
      <c r="K404" s="1819"/>
      <c r="L404" s="1861">
        <f>'Part III-Sources of Funds'!L25</f>
        <v>0</v>
      </c>
      <c r="M404" s="1861"/>
      <c r="N404" s="1850"/>
      <c r="O404" s="1850"/>
      <c r="P404" s="1819"/>
      <c r="Q404" s="1819"/>
      <c r="R404" s="1849"/>
      <c r="S404" s="1887"/>
      <c r="T404" s="1887"/>
    </row>
    <row r="405" spans="1:20" ht="13.8">
      <c r="A405" s="1819"/>
      <c r="B405" s="1819" t="s">
        <v>782</v>
      </c>
      <c r="C405" s="1819"/>
      <c r="D405" s="1819"/>
      <c r="E405" s="1819"/>
      <c r="F405" s="1849"/>
      <c r="G405" s="1849"/>
      <c r="H405" s="1819" t="str">
        <f>'Part III-Sources of Funds'!H26</f>
        <v>Synovus Bank</v>
      </c>
      <c r="I405" s="1819"/>
      <c r="J405" s="1819"/>
      <c r="K405" s="1819"/>
      <c r="L405" s="1861">
        <f>'Part III-Sources of Funds'!L26</f>
        <v>1421579</v>
      </c>
      <c r="M405" s="1861"/>
      <c r="N405" s="1819"/>
      <c r="O405" s="1849"/>
      <c r="P405" s="1849"/>
      <c r="Q405" s="1819"/>
      <c r="R405" s="1849"/>
      <c r="S405" s="1887"/>
      <c r="T405" s="1887"/>
    </row>
    <row r="406" spans="1:20" ht="13.8">
      <c r="A406" s="1819"/>
      <c r="B406" s="1819" t="s">
        <v>783</v>
      </c>
      <c r="C406" s="1819"/>
      <c r="D406" s="1819"/>
      <c r="E406" s="1819"/>
      <c r="F406" s="1849"/>
      <c r="G406" s="1849"/>
      <c r="H406" s="1819" t="str">
        <f>'Part III-Sources of Funds'!H27</f>
        <v>TBG Harper Woods II Investments, LLC</v>
      </c>
      <c r="I406" s="1819"/>
      <c r="J406" s="1819"/>
      <c r="K406" s="1819"/>
      <c r="L406" s="1861">
        <f>'Part III-Sources of Funds'!L27</f>
        <v>757745</v>
      </c>
      <c r="M406" s="1861"/>
      <c r="N406" s="1819"/>
      <c r="O406" s="1849"/>
      <c r="P406" s="1849"/>
      <c r="Q406" s="1819"/>
      <c r="R406" s="1849"/>
      <c r="S406" s="1887"/>
      <c r="T406" s="1887"/>
    </row>
    <row r="407" spans="1:20" ht="13.8">
      <c r="A407" s="1819"/>
      <c r="B407" s="1819" t="s">
        <v>237</v>
      </c>
      <c r="C407" s="1819"/>
      <c r="D407" s="1819">
        <f>'Part III-Sources of Funds'!D28</f>
        <v>0</v>
      </c>
      <c r="E407" s="1819"/>
      <c r="F407" s="1819"/>
      <c r="G407" s="1819"/>
      <c r="H407" s="1819">
        <f>'Part III-Sources of Funds'!H28</f>
        <v>0</v>
      </c>
      <c r="I407" s="1819"/>
      <c r="J407" s="1819"/>
      <c r="K407" s="1819"/>
      <c r="L407" s="1861">
        <f>'Part III-Sources of Funds'!L28</f>
        <v>0</v>
      </c>
      <c r="M407" s="1861"/>
      <c r="N407" s="1819"/>
      <c r="O407" s="1849"/>
      <c r="P407" s="1849"/>
      <c r="Q407" s="1819"/>
      <c r="R407" s="1849"/>
      <c r="S407" s="1887"/>
      <c r="T407" s="1887"/>
    </row>
    <row r="408" spans="1:20" ht="13.8">
      <c r="A408" s="1819"/>
      <c r="B408" s="1819" t="s">
        <v>237</v>
      </c>
      <c r="C408" s="1819"/>
      <c r="D408" s="1819">
        <f>'Part III-Sources of Funds'!D29</f>
        <v>0</v>
      </c>
      <c r="E408" s="1819"/>
      <c r="F408" s="1819"/>
      <c r="G408" s="1819"/>
      <c r="H408" s="1819">
        <f>'Part III-Sources of Funds'!H29</f>
        <v>0</v>
      </c>
      <c r="I408" s="1819"/>
      <c r="J408" s="1819"/>
      <c r="K408" s="1819"/>
      <c r="L408" s="1861">
        <f>'Part III-Sources of Funds'!L29</f>
        <v>0</v>
      </c>
      <c r="M408" s="1861"/>
      <c r="N408" s="1819"/>
      <c r="O408" s="1849"/>
      <c r="P408" s="1849"/>
      <c r="Q408" s="1849"/>
      <c r="R408" s="1849"/>
      <c r="S408" s="1887"/>
      <c r="T408" s="1887"/>
    </row>
    <row r="409" spans="1:20" ht="13.8">
      <c r="A409" s="1819"/>
      <c r="B409" s="1819" t="s">
        <v>237</v>
      </c>
      <c r="C409" s="1819"/>
      <c r="D409" s="1819">
        <f>'Part III-Sources of Funds'!D30</f>
        <v>0</v>
      </c>
      <c r="E409" s="1819"/>
      <c r="F409" s="1819"/>
      <c r="G409" s="1819"/>
      <c r="H409" s="1819">
        <f>'Part III-Sources of Funds'!H30</f>
        <v>0</v>
      </c>
      <c r="I409" s="1819"/>
      <c r="J409" s="1819"/>
      <c r="K409" s="1819"/>
      <c r="L409" s="1861">
        <f>'Part III-Sources of Funds'!L30</f>
        <v>0</v>
      </c>
      <c r="M409" s="1861"/>
      <c r="N409" s="1819"/>
      <c r="O409" s="1849"/>
      <c r="P409" s="1849"/>
      <c r="Q409" s="1849"/>
      <c r="R409" s="1849"/>
      <c r="S409" s="1887"/>
      <c r="T409" s="1887"/>
    </row>
    <row r="410" spans="1:20" ht="13.8">
      <c r="A410" s="1819"/>
      <c r="B410" s="1823" t="s">
        <v>1272</v>
      </c>
      <c r="C410" s="1819"/>
      <c r="D410" s="1819"/>
      <c r="E410" s="1819"/>
      <c r="F410" s="1819"/>
      <c r="G410" s="1819"/>
      <c r="H410" s="1819"/>
      <c r="I410" s="1819"/>
      <c r="J410" s="1849"/>
      <c r="K410" s="1849"/>
      <c r="L410" s="1852">
        <f>SUM(L399:L409)</f>
        <v>11187803</v>
      </c>
      <c r="M410" s="1852"/>
      <c r="N410" s="1827"/>
      <c r="O410" s="1849"/>
      <c r="P410" s="1849"/>
      <c r="Q410" s="1849"/>
      <c r="R410" s="1849"/>
      <c r="S410" s="1887"/>
      <c r="T410" s="1887"/>
    </row>
    <row r="411" spans="1:20" ht="13.8">
      <c r="A411" s="1819"/>
      <c r="B411" s="1823" t="s">
        <v>1273</v>
      </c>
      <c r="C411" s="1819"/>
      <c r="D411" s="1819"/>
      <c r="E411" s="1819"/>
      <c r="F411" s="1819"/>
      <c r="G411" s="1819"/>
      <c r="H411" s="1819"/>
      <c r="I411" s="1819"/>
      <c r="J411" s="1849"/>
      <c r="K411" s="1849"/>
      <c r="L411" s="1852">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10624850</v>
      </c>
      <c r="M411" s="1852"/>
      <c r="N411" s="1827"/>
      <c r="O411" s="1849"/>
      <c r="P411" s="1849"/>
      <c r="Q411" s="1849"/>
      <c r="R411" s="1849"/>
      <c r="S411" s="1887"/>
      <c r="T411" s="1887"/>
    </row>
    <row r="412" spans="1:20" ht="13.8">
      <c r="A412" s="1819"/>
      <c r="B412" s="1823" t="s">
        <v>2107</v>
      </c>
      <c r="C412" s="1819"/>
      <c r="D412" s="1819"/>
      <c r="E412" s="1819"/>
      <c r="F412" s="1819"/>
      <c r="G412" s="1819"/>
      <c r="H412" s="1819"/>
      <c r="I412" s="1819"/>
      <c r="J412" s="1849"/>
      <c r="K412" s="1849"/>
      <c r="L412" s="1882">
        <f>L410-L411</f>
        <v>562953</v>
      </c>
      <c r="M412" s="1882"/>
      <c r="N412" s="1827"/>
      <c r="O412" s="1849"/>
      <c r="P412" s="1849"/>
      <c r="Q412" s="1849"/>
      <c r="R412" s="1849"/>
      <c r="S412" s="1887"/>
      <c r="T412" s="1887"/>
    </row>
    <row r="413" spans="1:20" ht="13.8">
      <c r="A413" s="1827"/>
      <c r="B413" s="1823"/>
      <c r="C413" s="1827"/>
      <c r="D413" s="1827"/>
      <c r="E413" s="1827"/>
      <c r="F413" s="1827"/>
      <c r="G413" s="1827"/>
      <c r="H413" s="1827"/>
      <c r="I413" s="1827"/>
      <c r="J413" s="1827"/>
      <c r="K413" s="1827"/>
      <c r="L413" s="1827"/>
      <c r="M413" s="1821"/>
      <c r="N413" s="1821"/>
      <c r="O413" s="2072"/>
      <c r="P413" s="2072"/>
      <c r="Q413" s="2072"/>
      <c r="R413" s="2072"/>
      <c r="S413" s="2072"/>
      <c r="T413" s="2072"/>
    </row>
    <row r="414" spans="1:20" ht="13.8">
      <c r="A414" s="1819" t="s">
        <v>724</v>
      </c>
      <c r="B414" s="1823" t="s">
        <v>780</v>
      </c>
      <c r="C414" s="1827"/>
      <c r="D414" s="1827"/>
      <c r="E414" s="1827"/>
      <c r="F414" s="1827"/>
      <c r="G414" s="1827"/>
      <c r="H414" s="1827"/>
      <c r="I414" s="1827"/>
      <c r="J414" s="1827"/>
      <c r="K414" s="1827"/>
      <c r="L414" s="1827"/>
      <c r="M414" s="1821"/>
      <c r="N414" s="1821"/>
      <c r="O414" s="1827"/>
      <c r="P414" s="2072"/>
      <c r="Q414" s="2072"/>
      <c r="R414" s="2072"/>
      <c r="S414" s="1849" t="str">
        <f>B414</f>
        <v>PERMANENT FINANCING</v>
      </c>
      <c r="T414" s="2072"/>
    </row>
    <row r="415" spans="1:20" ht="13.95" customHeight="1">
      <c r="A415" s="1819"/>
      <c r="B415" s="1819"/>
      <c r="C415" s="1819"/>
      <c r="D415" s="1819"/>
      <c r="E415" s="1819"/>
      <c r="F415" s="1821"/>
      <c r="G415" s="1821"/>
      <c r="H415" s="1819"/>
      <c r="I415" s="1819"/>
      <c r="J415" s="1849"/>
      <c r="K415" s="1829" t="s">
        <v>2051</v>
      </c>
      <c r="L415" s="1821" t="s">
        <v>1269</v>
      </c>
      <c r="M415" s="1821" t="s">
        <v>1274</v>
      </c>
      <c r="N415" s="1849"/>
      <c r="O415" s="1849"/>
      <c r="P415" s="1827" t="s">
        <v>32</v>
      </c>
      <c r="Q415" s="1827"/>
      <c r="R415" s="1849"/>
      <c r="S415" s="1849"/>
      <c r="T415" s="1849"/>
    </row>
    <row r="416" spans="1:20" ht="13.8">
      <c r="A416" s="1819"/>
      <c r="B416" s="1823" t="s">
        <v>1824</v>
      </c>
      <c r="C416" s="1819"/>
      <c r="D416" s="1819"/>
      <c r="E416" s="1819" t="s">
        <v>1271</v>
      </c>
      <c r="F416" s="1819"/>
      <c r="G416" s="1819"/>
      <c r="H416" s="1819"/>
      <c r="I416" s="1819" t="s">
        <v>4387</v>
      </c>
      <c r="J416" s="1819"/>
      <c r="K416" s="1821" t="s">
        <v>1760</v>
      </c>
      <c r="L416" s="1821" t="s">
        <v>2158</v>
      </c>
      <c r="M416" s="1821" t="s">
        <v>2158</v>
      </c>
      <c r="N416" s="1819" t="s">
        <v>72</v>
      </c>
      <c r="O416" s="1819"/>
      <c r="P416" s="1827"/>
      <c r="Q416" s="1827"/>
      <c r="R416" s="1849"/>
      <c r="S416" s="1995" t="s">
        <v>2607</v>
      </c>
    </row>
    <row r="417" spans="1:20" ht="13.8">
      <c r="A417" s="1819"/>
      <c r="B417" s="1819" t="s">
        <v>2547</v>
      </c>
      <c r="C417" s="1819"/>
      <c r="D417" s="1819"/>
      <c r="E417" s="1819" t="str">
        <f>'Part III-Sources of Funds'!E38</f>
        <v>Synovus Bank</v>
      </c>
      <c r="F417" s="1819"/>
      <c r="G417" s="1819"/>
      <c r="H417" s="1819"/>
      <c r="I417" s="1882">
        <f>'Part III-Sources of Funds'!I38</f>
        <v>930000</v>
      </c>
      <c r="J417" s="1819"/>
      <c r="K417" s="1851">
        <f>'Part III-Sources of Funds'!K38</f>
        <v>5.5E-2</v>
      </c>
      <c r="L417" s="1821">
        <f>-'Part III-Sources of Funds'!L38</f>
        <v>-15</v>
      </c>
      <c r="M417" s="1821">
        <f>-'Part III-Sources of Funds'!M38</f>
        <v>-30</v>
      </c>
      <c r="N417" s="1819" t="e">
        <f>-'Part III-Sources of Funds'!N38</f>
        <v>#VALUE!</v>
      </c>
      <c r="O417" s="1819"/>
      <c r="P417" s="1852">
        <f>-'Part III-Sources of Funds'!P38</f>
        <v>-63365.252550325516</v>
      </c>
      <c r="Q417" s="1852"/>
      <c r="R417" s="1849"/>
      <c r="S417" s="1887"/>
      <c r="T417" s="1887"/>
    </row>
    <row r="418" spans="1:20" ht="13.8">
      <c r="A418" s="1819"/>
      <c r="B418" s="1819" t="s">
        <v>2548</v>
      </c>
      <c r="C418" s="1819"/>
      <c r="D418" s="1819"/>
      <c r="E418" s="1819" t="str">
        <f>'Part III-Sources of Funds'!E39</f>
        <v>City of Columbus HOME Loan</v>
      </c>
      <c r="F418" s="1819"/>
      <c r="G418" s="1819"/>
      <c r="H418" s="1819"/>
      <c r="I418" s="1882">
        <f>'Part III-Sources of Funds'!I39</f>
        <v>625000</v>
      </c>
      <c r="J418" s="1819"/>
      <c r="K418" s="1851">
        <f>'Part III-Sources of Funds'!K39</f>
        <v>0.01</v>
      </c>
      <c r="L418" s="1821">
        <f>-'Part III-Sources of Funds'!L39</f>
        <v>-15</v>
      </c>
      <c r="M418" s="1821">
        <f>-'Part III-Sources of Funds'!M39</f>
        <v>-20</v>
      </c>
      <c r="N418" s="1819" t="e">
        <f>-'Part III-Sources of Funds'!N39</f>
        <v>#VALUE!</v>
      </c>
      <c r="O418" s="1819"/>
      <c r="P418" s="1852">
        <f>-'Part III-Sources of Funds'!P39</f>
        <v>-34492.073021834745</v>
      </c>
      <c r="Q418" s="1852"/>
      <c r="R418" s="1849"/>
      <c r="S418" s="1887"/>
      <c r="T418" s="1887"/>
    </row>
    <row r="419" spans="1:20" ht="13.8">
      <c r="A419" s="1819"/>
      <c r="B419" s="1819" t="s">
        <v>2549</v>
      </c>
      <c r="C419" s="1819"/>
      <c r="D419" s="1819"/>
      <c r="E419" s="1819">
        <f>'Part III-Sources of Funds'!E40</f>
        <v>0</v>
      </c>
      <c r="F419" s="1819"/>
      <c r="G419" s="1819"/>
      <c r="H419" s="1819"/>
      <c r="I419" s="1882">
        <f>'Part III-Sources of Funds'!I40</f>
        <v>0</v>
      </c>
      <c r="J419" s="1819"/>
      <c r="K419" s="1851">
        <f>'Part III-Sources of Funds'!K40</f>
        <v>0</v>
      </c>
      <c r="L419" s="1821">
        <f>-'Part III-Sources of Funds'!L40</f>
        <v>0</v>
      </c>
      <c r="M419" s="1821">
        <f>-'Part III-Sources of Funds'!M40</f>
        <v>0</v>
      </c>
      <c r="N419" s="1819">
        <f>-'Part III-Sources of Funds'!N40</f>
        <v>0</v>
      </c>
      <c r="O419" s="1819"/>
      <c r="P419" s="1852" t="e">
        <f>-'Part III-Sources of Funds'!P40</f>
        <v>#VALUE!</v>
      </c>
      <c r="Q419" s="1852"/>
      <c r="R419" s="1849"/>
      <c r="S419" s="1887"/>
      <c r="T419" s="1887"/>
    </row>
    <row r="420" spans="1:20" ht="13.8">
      <c r="A420" s="1819"/>
      <c r="B420" s="1819" t="s">
        <v>723</v>
      </c>
      <c r="C420" s="1819">
        <f>'Part III-Sources of Funds'!C41</f>
        <v>0</v>
      </c>
      <c r="D420" s="1819"/>
      <c r="E420" s="1819">
        <f>'Part III-Sources of Funds'!E41</f>
        <v>0</v>
      </c>
      <c r="F420" s="1819"/>
      <c r="G420" s="1819"/>
      <c r="H420" s="1819"/>
      <c r="I420" s="1882">
        <f>'Part III-Sources of Funds'!I41</f>
        <v>0</v>
      </c>
      <c r="J420" s="1819"/>
      <c r="K420" s="1851">
        <f>'Part III-Sources of Funds'!K41</f>
        <v>0</v>
      </c>
      <c r="L420" s="1821">
        <f>-'Part III-Sources of Funds'!L41</f>
        <v>0</v>
      </c>
      <c r="M420" s="1821">
        <f>-'Part III-Sources of Funds'!M41</f>
        <v>0</v>
      </c>
      <c r="N420" s="1819">
        <f>-'Part III-Sources of Funds'!N41</f>
        <v>0</v>
      </c>
      <c r="O420" s="1819"/>
      <c r="P420" s="1852" t="e">
        <f>-'Part III-Sources of Funds'!P41</f>
        <v>#VALUE!</v>
      </c>
      <c r="Q420" s="1852"/>
      <c r="R420" s="1849"/>
      <c r="S420" s="1887"/>
      <c r="T420" s="1887"/>
    </row>
    <row r="421" spans="1:20" ht="13.8">
      <c r="A421" s="1819"/>
      <c r="B421" s="1819" t="s">
        <v>4553</v>
      </c>
      <c r="C421" s="1819"/>
      <c r="D421" s="1819"/>
      <c r="E421" s="1819">
        <f>'Part III-Sources of Funds'!E42</f>
        <v>0</v>
      </c>
      <c r="F421" s="1819"/>
      <c r="G421" s="1819"/>
      <c r="H421" s="1819"/>
      <c r="I421" s="1882">
        <f>'Part III-Sources of Funds'!I42</f>
        <v>0</v>
      </c>
      <c r="J421" s="1819"/>
      <c r="K421" s="1851"/>
      <c r="L421" s="1821"/>
      <c r="M421" s="1821"/>
      <c r="N421" s="1819"/>
      <c r="O421" s="1819"/>
      <c r="P421" s="1852"/>
      <c r="Q421" s="1852"/>
      <c r="R421" s="1849"/>
      <c r="S421" s="1887"/>
      <c r="T421" s="1887"/>
    </row>
    <row r="422" spans="1:20" ht="13.8">
      <c r="A422" s="1819"/>
      <c r="B422" s="1819" t="s">
        <v>223</v>
      </c>
      <c r="C422" s="1819"/>
      <c r="D422" s="1853">
        <f>'Part III-Sources of Funds'!D43</f>
        <v>4.345238095238095E-4</v>
      </c>
      <c r="E422" s="1819" t="str">
        <f>'Part III-Sources of Funds'!E43</f>
        <v xml:space="preserve">TBG Development Services, Inc. </v>
      </c>
      <c r="F422" s="1819"/>
      <c r="G422" s="1819"/>
      <c r="H422" s="1819"/>
      <c r="I422" s="1882">
        <f>'Part III-Sources of Funds'!I43</f>
        <v>730</v>
      </c>
      <c r="J422" s="1819"/>
      <c r="K422" s="1851">
        <f>'Part III-Sources of Funds'!K43</f>
        <v>0.03</v>
      </c>
      <c r="L422" s="1821">
        <f>-'Part III-Sources of Funds'!L43</f>
        <v>-10</v>
      </c>
      <c r="M422" s="1821">
        <f>-'Part III-Sources of Funds'!M43</f>
        <v>-10</v>
      </c>
      <c r="N422" s="1819" t="e">
        <f>-'Part III-Sources of Funds'!N43</f>
        <v>#VALUE!</v>
      </c>
      <c r="O422" s="1819"/>
      <c r="P422" s="1852">
        <f>-'Part III-Sources of Funds'!P43</f>
        <v>-84.587212355789219</v>
      </c>
      <c r="Q422" s="1852"/>
      <c r="R422" s="1849"/>
      <c r="S422" s="1887"/>
      <c r="T422" s="1887"/>
    </row>
    <row r="423" spans="1:20" ht="13.8">
      <c r="A423" s="1819"/>
      <c r="B423" s="1819"/>
      <c r="C423" s="1819"/>
      <c r="D423" s="1819"/>
      <c r="E423" s="1819"/>
      <c r="F423" s="1819"/>
      <c r="G423" s="1819"/>
      <c r="H423" s="1819"/>
      <c r="I423" s="2074"/>
      <c r="J423" s="1889"/>
      <c r="K423" s="1851"/>
      <c r="L423" s="1821"/>
      <c r="M423" s="1821"/>
      <c r="N423" s="2201"/>
      <c r="O423" s="2201"/>
      <c r="P423" s="1821"/>
      <c r="Q423" s="1821"/>
      <c r="R423" s="1849"/>
      <c r="S423" s="1887"/>
      <c r="T423" s="1887"/>
    </row>
    <row r="424" spans="1:20" ht="13.8">
      <c r="A424" s="1819"/>
      <c r="B424" s="1849" t="s">
        <v>3832</v>
      </c>
      <c r="C424" s="1819"/>
      <c r="D424" s="1849"/>
      <c r="E424" s="1849" t="s">
        <v>3771</v>
      </c>
      <c r="F424" s="1854">
        <f>'Part III-Sources of Funds'!F45</f>
        <v>341212.71625283535</v>
      </c>
      <c r="G424" s="1849"/>
      <c r="H424" s="1855" t="s">
        <v>3831</v>
      </c>
      <c r="I424" s="1854">
        <f>'Part III-Sources of Funds'!I45</f>
        <v>845.87212355789222</v>
      </c>
      <c r="J424" s="1849"/>
      <c r="K424" s="1855" t="s">
        <v>3833</v>
      </c>
      <c r="L424" s="1856">
        <f>'Part III-Sources of Funds'!L45</f>
        <v>2.4790169980977764E-3</v>
      </c>
      <c r="M424" s="1856"/>
      <c r="N424" s="1852" t="s">
        <v>4395</v>
      </c>
      <c r="O424" s="1852"/>
      <c r="P424" s="1857">
        <f>'Part III-Sources of Funds'!P45</f>
        <v>0</v>
      </c>
      <c r="Q424" s="1857"/>
      <c r="R424" s="1849"/>
      <c r="S424" s="1887"/>
      <c r="T424" s="1887"/>
    </row>
    <row r="425" spans="1:20" ht="13.8">
      <c r="A425" s="1819"/>
      <c r="B425" s="1819"/>
      <c r="C425" s="1819"/>
      <c r="D425" s="1819"/>
      <c r="E425" s="1819"/>
      <c r="F425" s="1819"/>
      <c r="G425" s="1819"/>
      <c r="H425" s="1819"/>
      <c r="I425" s="2074"/>
      <c r="J425" s="1889"/>
      <c r="K425" s="1851"/>
      <c r="L425" s="1821"/>
      <c r="M425" s="1821"/>
      <c r="N425" s="2201"/>
      <c r="O425" s="2201"/>
      <c r="P425" s="1821"/>
      <c r="Q425" s="1821"/>
      <c r="R425" s="1849"/>
      <c r="S425" s="1887"/>
      <c r="T425" s="1887"/>
    </row>
    <row r="426" spans="1:20" ht="13.8">
      <c r="A426" s="1819"/>
      <c r="B426" s="1819" t="s">
        <v>2159</v>
      </c>
      <c r="C426" s="1819"/>
      <c r="D426" s="1819"/>
      <c r="E426" s="1819">
        <f>'Part III-Sources of Funds'!E47</f>
        <v>0</v>
      </c>
      <c r="F426" s="1819"/>
      <c r="G426" s="1819"/>
      <c r="H426" s="1819"/>
      <c r="I426" s="1882">
        <f>'Part III-Sources of Funds'!I47</f>
        <v>0</v>
      </c>
      <c r="J426" s="1819"/>
      <c r="K426" s="1819"/>
      <c r="L426" s="1819"/>
      <c r="M426" s="1819"/>
      <c r="N426" s="1819"/>
      <c r="O426" s="1819"/>
      <c r="P426" s="1821" t="s">
        <v>502</v>
      </c>
      <c r="Q426" s="1819"/>
      <c r="R426" s="1849"/>
      <c r="S426" s="1887"/>
      <c r="T426" s="1887"/>
    </row>
    <row r="427" spans="1:20" ht="13.8">
      <c r="A427" s="1819"/>
      <c r="B427" s="1819" t="s">
        <v>781</v>
      </c>
      <c r="C427" s="1819"/>
      <c r="D427" s="1819"/>
      <c r="E427" s="1819">
        <f>'Part III-Sources of Funds'!E48</f>
        <v>0</v>
      </c>
      <c r="F427" s="1819"/>
      <c r="G427" s="1819"/>
      <c r="H427" s="1819"/>
      <c r="I427" s="1882">
        <f>'Part III-Sources of Funds'!I48</f>
        <v>0</v>
      </c>
      <c r="J427" s="1819"/>
      <c r="K427" s="1849"/>
      <c r="L427" s="1849" t="s">
        <v>503</v>
      </c>
      <c r="M427" s="1849"/>
      <c r="N427" s="1836" t="s">
        <v>504</v>
      </c>
      <c r="O427" s="1836"/>
      <c r="P427" s="2074" t="s">
        <v>2494</v>
      </c>
      <c r="Q427" s="1819"/>
      <c r="R427" s="1849"/>
      <c r="S427" s="1887"/>
      <c r="T427" s="1887"/>
    </row>
    <row r="428" spans="1:20" ht="13.8">
      <c r="A428" s="1819"/>
      <c r="B428" s="1819" t="s">
        <v>782</v>
      </c>
      <c r="C428" s="1819"/>
      <c r="D428" s="1819"/>
      <c r="E428" s="1819" t="str">
        <f>'Part III-Sources of Funds'!E49</f>
        <v>Synovus Bank</v>
      </c>
      <c r="F428" s="1819"/>
      <c r="G428" s="1819"/>
      <c r="H428" s="1819"/>
      <c r="I428" s="1882">
        <f>'Part III-Sources of Funds'!I49</f>
        <v>7107894</v>
      </c>
      <c r="J428" s="1819"/>
      <c r="K428" s="1849"/>
      <c r="L428" s="1858">
        <f>'Part III-Sources of Funds'!L49</f>
        <v>7180417.5</v>
      </c>
      <c r="M428" s="1858"/>
      <c r="N428" s="1859">
        <f>'Part III-Sources of Funds'!N49</f>
        <v>-72523.5</v>
      </c>
      <c r="O428" s="1859"/>
      <c r="P428" s="1860">
        <f>I428/I438</f>
        <v>0.57080743795347866</v>
      </c>
      <c r="Q428" s="1819"/>
      <c r="R428" s="1849"/>
      <c r="S428" s="1887"/>
      <c r="T428" s="1887"/>
    </row>
    <row r="429" spans="1:20" ht="13.8">
      <c r="A429" s="1819"/>
      <c r="B429" s="1819" t="s">
        <v>783</v>
      </c>
      <c r="C429" s="1819"/>
      <c r="D429" s="1819"/>
      <c r="E429" s="1819" t="str">
        <f>'Part III-Sources of Funds'!E50</f>
        <v>TBG Harper Woods II Investments, LLC</v>
      </c>
      <c r="F429" s="1819"/>
      <c r="G429" s="1819"/>
      <c r="H429" s="1819"/>
      <c r="I429" s="1882">
        <f>'Part III-Sources of Funds'!I50</f>
        <v>3788726</v>
      </c>
      <c r="J429" s="1819"/>
      <c r="K429" s="1849"/>
      <c r="L429" s="1858">
        <f>'Part III-Sources of Funds'!L50</f>
        <v>3716922</v>
      </c>
      <c r="M429" s="1858"/>
      <c r="N429" s="1859">
        <f>'Part III-Sources of Funds'!N50</f>
        <v>71804</v>
      </c>
      <c r="O429" s="1859"/>
      <c r="P429" s="1860">
        <f>I429/I438</f>
        <v>0.30425791115733175</v>
      </c>
      <c r="Q429" s="1819"/>
      <c r="R429" s="1849"/>
      <c r="S429" s="1887"/>
      <c r="T429" s="1887"/>
    </row>
    <row r="430" spans="1:20" ht="13.8">
      <c r="A430" s="1819"/>
      <c r="B430" s="1819" t="s">
        <v>1383</v>
      </c>
      <c r="C430" s="1819"/>
      <c r="D430" s="1819"/>
      <c r="E430" s="1819">
        <f>'Part III-Sources of Funds'!E51</f>
        <v>0</v>
      </c>
      <c r="F430" s="1819"/>
      <c r="G430" s="1819"/>
      <c r="H430" s="1819"/>
      <c r="I430" s="1882">
        <f>'Part III-Sources of Funds'!I51</f>
        <v>0</v>
      </c>
      <c r="J430" s="1819"/>
      <c r="K430" s="1849"/>
      <c r="L430" s="1849"/>
      <c r="M430" s="1849"/>
      <c r="N430" s="1849"/>
      <c r="O430" s="1849"/>
      <c r="P430" s="1860">
        <f>SUM(P428:P429)</f>
        <v>0.87506534911081046</v>
      </c>
      <c r="Q430" s="1819"/>
      <c r="R430" s="1849"/>
      <c r="S430" s="1887"/>
      <c r="T430" s="1887"/>
    </row>
    <row r="431" spans="1:20" ht="13.8">
      <c r="A431" s="1819"/>
      <c r="B431" s="1819" t="s">
        <v>517</v>
      </c>
      <c r="C431" s="1819"/>
      <c r="D431" s="1819"/>
      <c r="E431" s="1819">
        <f>'Part III-Sources of Funds'!E52</f>
        <v>0</v>
      </c>
      <c r="F431" s="1819"/>
      <c r="G431" s="1819"/>
      <c r="H431" s="1819"/>
      <c r="I431" s="1882">
        <f>'Part III-Sources of Funds'!I52</f>
        <v>0</v>
      </c>
      <c r="J431" s="1819"/>
      <c r="K431" s="1819"/>
      <c r="L431" s="1849"/>
      <c r="M431" s="1849"/>
      <c r="N431" s="1849"/>
      <c r="O431" s="1849"/>
      <c r="P431" s="1849"/>
      <c r="Q431" s="1819"/>
      <c r="R431" s="1849"/>
      <c r="S431" s="1887"/>
      <c r="T431" s="1887"/>
    </row>
    <row r="432" spans="1:20" ht="13.8">
      <c r="A432" s="1819"/>
      <c r="B432" s="1819" t="s">
        <v>1822</v>
      </c>
      <c r="C432" s="1819"/>
      <c r="D432" s="1819"/>
      <c r="E432" s="1819">
        <f>'Part III-Sources of Funds'!E53</f>
        <v>0</v>
      </c>
      <c r="F432" s="1819"/>
      <c r="G432" s="1819"/>
      <c r="H432" s="1819"/>
      <c r="I432" s="1882">
        <f>'Part III-Sources of Funds'!I53</f>
        <v>0</v>
      </c>
      <c r="J432" s="1819"/>
      <c r="K432" s="1849"/>
      <c r="L432" s="1849"/>
      <c r="M432" s="1849"/>
      <c r="N432" s="1819"/>
      <c r="O432" s="1819"/>
      <c r="P432" s="1819"/>
      <c r="Q432" s="1819"/>
      <c r="R432" s="1849"/>
      <c r="S432" s="1887"/>
      <c r="T432" s="1887"/>
    </row>
    <row r="433" spans="1:24" ht="13.8">
      <c r="A433" s="1819"/>
      <c r="B433" s="1819" t="s">
        <v>1823</v>
      </c>
      <c r="C433" s="1819"/>
      <c r="D433" s="1819"/>
      <c r="E433" s="1819">
        <f>'Part III-Sources of Funds'!E54</f>
        <v>0</v>
      </c>
      <c r="F433" s="1819"/>
      <c r="G433" s="1819"/>
      <c r="H433" s="1819"/>
      <c r="I433" s="1882">
        <f>'Part III-Sources of Funds'!I54</f>
        <v>0</v>
      </c>
      <c r="J433" s="1819"/>
      <c r="K433" s="1849"/>
      <c r="L433" s="1849"/>
      <c r="M433" s="1819"/>
      <c r="N433" s="1819"/>
      <c r="O433" s="1819"/>
      <c r="P433" s="1819"/>
      <c r="Q433" s="1819"/>
      <c r="R433" s="1849"/>
      <c r="S433" s="1887"/>
      <c r="T433" s="1887"/>
    </row>
    <row r="434" spans="1:24" ht="13.8">
      <c r="A434" s="1819"/>
      <c r="B434" s="1819" t="s">
        <v>723</v>
      </c>
      <c r="C434" s="1819">
        <f>'Part III-Sources of Funds'!C55</f>
        <v>0</v>
      </c>
      <c r="D434" s="1819"/>
      <c r="E434" s="1819">
        <f>'Part III-Sources of Funds'!E55</f>
        <v>0</v>
      </c>
      <c r="F434" s="1819"/>
      <c r="G434" s="1819"/>
      <c r="H434" s="1819"/>
      <c r="I434" s="1882">
        <f>'Part III-Sources of Funds'!I55</f>
        <v>0</v>
      </c>
      <c r="J434" s="1819"/>
      <c r="K434" s="1849"/>
      <c r="L434" s="1849"/>
      <c r="M434" s="1819"/>
      <c r="N434" s="1819"/>
      <c r="O434" s="1819"/>
      <c r="P434" s="1819"/>
      <c r="Q434" s="1819"/>
      <c r="R434" s="1849"/>
      <c r="S434" s="1887"/>
      <c r="T434" s="1887"/>
    </row>
    <row r="435" spans="1:24" ht="13.8">
      <c r="A435" s="1819"/>
      <c r="B435" s="1819" t="s">
        <v>723</v>
      </c>
      <c r="C435" s="1819">
        <f>'Part III-Sources of Funds'!C56</f>
        <v>0</v>
      </c>
      <c r="D435" s="1819"/>
      <c r="E435" s="1819">
        <f>'Part III-Sources of Funds'!E56</f>
        <v>0</v>
      </c>
      <c r="F435" s="1819"/>
      <c r="G435" s="1819"/>
      <c r="H435" s="1819"/>
      <c r="I435" s="1882">
        <f>'Part III-Sources of Funds'!I56</f>
        <v>0</v>
      </c>
      <c r="J435" s="1819"/>
      <c r="K435" s="1819"/>
      <c r="L435" s="1821"/>
      <c r="M435" s="1819"/>
      <c r="N435" s="1819"/>
      <c r="O435" s="1819"/>
      <c r="P435" s="1819"/>
      <c r="Q435" s="1819"/>
      <c r="R435" s="1849"/>
      <c r="S435" s="1887"/>
      <c r="T435" s="1887"/>
    </row>
    <row r="436" spans="1:24" ht="13.8">
      <c r="A436" s="1819"/>
      <c r="B436" s="1819" t="s">
        <v>723</v>
      </c>
      <c r="C436" s="1819">
        <f>'Part III-Sources of Funds'!C57</f>
        <v>0</v>
      </c>
      <c r="D436" s="1819"/>
      <c r="E436" s="1819">
        <f>'Part III-Sources of Funds'!E57</f>
        <v>0</v>
      </c>
      <c r="F436" s="1819"/>
      <c r="G436" s="1819"/>
      <c r="H436" s="1819"/>
      <c r="I436" s="1882">
        <f>'Part III-Sources of Funds'!I57</f>
        <v>0</v>
      </c>
      <c r="J436" s="1819"/>
      <c r="K436" s="1819"/>
      <c r="L436" s="1821"/>
      <c r="M436" s="1819"/>
      <c r="N436" s="1819"/>
      <c r="O436" s="1819"/>
      <c r="P436" s="1819"/>
      <c r="Q436" s="1819"/>
      <c r="R436" s="1849"/>
      <c r="S436" s="1887"/>
      <c r="T436" s="1887"/>
    </row>
    <row r="437" spans="1:24" ht="13.8">
      <c r="A437" s="1819"/>
      <c r="B437" s="1823" t="s">
        <v>2160</v>
      </c>
      <c r="C437" s="1819"/>
      <c r="D437" s="1819"/>
      <c r="E437" s="1819"/>
      <c r="F437" s="1819"/>
      <c r="G437" s="1819"/>
      <c r="H437" s="1849"/>
      <c r="I437" s="1852">
        <f>SUM(I417:J422)+SUM(I426:J436)</f>
        <v>12452350</v>
      </c>
      <c r="J437" s="1852"/>
      <c r="K437" s="1819"/>
      <c r="L437" s="1821"/>
      <c r="M437" s="1819"/>
      <c r="N437" s="1819"/>
      <c r="O437" s="1819"/>
      <c r="P437" s="1819"/>
      <c r="Q437" s="1819"/>
      <c r="R437" s="1849"/>
      <c r="S437" s="1887"/>
      <c r="T437" s="1887"/>
    </row>
    <row r="438" spans="1:24" ht="13.8">
      <c r="A438" s="1819"/>
      <c r="B438" s="1823" t="s">
        <v>2161</v>
      </c>
      <c r="C438" s="1819"/>
      <c r="D438" s="1819"/>
      <c r="E438" s="1819"/>
      <c r="F438" s="1819"/>
      <c r="G438" s="1819"/>
      <c r="H438" s="1849"/>
      <c r="I438" s="1852">
        <f>'Part IV-A-Uses of Funds'!$G$132</f>
        <v>12452350</v>
      </c>
      <c r="J438" s="1852"/>
      <c r="K438" s="1819"/>
      <c r="L438" s="1821"/>
      <c r="M438" s="1819"/>
      <c r="N438" s="1819"/>
      <c r="O438" s="1819"/>
      <c r="P438" s="1819"/>
      <c r="Q438" s="1819"/>
      <c r="R438" s="1849"/>
      <c r="S438" s="1887"/>
      <c r="T438" s="1887"/>
    </row>
    <row r="439" spans="1:24" ht="13.8">
      <c r="A439" s="1819"/>
      <c r="B439" s="1823" t="s">
        <v>1493</v>
      </c>
      <c r="C439" s="1819"/>
      <c r="D439" s="1819"/>
      <c r="E439" s="1819"/>
      <c r="F439" s="1819"/>
      <c r="G439" s="1819"/>
      <c r="H439" s="1849"/>
      <c r="I439" s="1882">
        <f>I437-I438</f>
        <v>0</v>
      </c>
      <c r="J439" s="1882"/>
      <c r="K439" s="1819"/>
      <c r="L439" s="1821"/>
      <c r="M439" s="1819"/>
      <c r="N439" s="1819"/>
      <c r="O439" s="1819"/>
      <c r="P439" s="1819"/>
      <c r="Q439" s="1819"/>
      <c r="R439" s="1849"/>
      <c r="S439" s="1887"/>
      <c r="T439" s="1887"/>
    </row>
    <row r="440" spans="1:24" ht="13.8">
      <c r="A440" s="1819" t="s">
        <v>4554</v>
      </c>
      <c r="B440" s="1823"/>
      <c r="C440" s="1819"/>
      <c r="D440" s="1819"/>
      <c r="E440" s="1819"/>
      <c r="F440" s="1819"/>
      <c r="G440" s="1819"/>
      <c r="H440" s="1889"/>
      <c r="I440" s="1889"/>
      <c r="J440" s="1827"/>
      <c r="K440" s="1819"/>
      <c r="L440" s="1821"/>
      <c r="M440" s="1819"/>
      <c r="N440" s="1819"/>
      <c r="O440" s="1819"/>
      <c r="P440" s="1819"/>
      <c r="Q440" s="1819"/>
      <c r="R440" s="1819"/>
      <c r="S440" s="1819"/>
      <c r="T440" s="1819"/>
    </row>
    <row r="441" spans="1:24" ht="13.8">
      <c r="A441" s="1827"/>
      <c r="B441" s="1827"/>
      <c r="C441" s="1827"/>
      <c r="D441" s="1827"/>
      <c r="E441" s="1827"/>
      <c r="F441" s="1827"/>
      <c r="G441" s="1827"/>
      <c r="H441" s="1827"/>
      <c r="I441" s="1827"/>
      <c r="J441" s="1827"/>
      <c r="K441" s="1827"/>
      <c r="L441" s="1827"/>
      <c r="M441" s="1827"/>
      <c r="N441" s="1827"/>
      <c r="O441" s="1827"/>
      <c r="P441" s="1827"/>
      <c r="Q441" s="1827"/>
      <c r="R441" s="2072"/>
      <c r="S441" s="2072"/>
      <c r="T441" s="2072"/>
    </row>
    <row r="442" spans="1:24" ht="13.8">
      <c r="A442" s="1819" t="s">
        <v>1748</v>
      </c>
      <c r="B442" s="1819" t="s">
        <v>555</v>
      </c>
      <c r="C442" s="1827"/>
      <c r="D442" s="1827"/>
      <c r="E442" s="1827"/>
      <c r="F442" s="1827"/>
      <c r="G442" s="1827"/>
      <c r="H442" s="1827"/>
      <c r="I442" s="1827"/>
      <c r="J442" s="1827"/>
      <c r="K442" s="2072"/>
      <c r="L442" s="2072"/>
      <c r="M442" s="1819" t="s">
        <v>1748</v>
      </c>
      <c r="N442" s="1819" t="s">
        <v>77</v>
      </c>
      <c r="O442" s="1827"/>
      <c r="P442" s="1827"/>
      <c r="Q442" s="1827"/>
      <c r="R442" s="2072"/>
      <c r="S442" s="2072"/>
      <c r="T442" s="2072"/>
    </row>
    <row r="443" spans="1:24" ht="15.6" customHeight="1">
      <c r="A443" s="1887" t="str">
        <f>'Part III-Sources of Funds'!A64</f>
        <v xml:space="preserve">There is an overage and a deficit created in Equity Check above because Synovus is purchasing 98.991% of the Federal Credits. TBG Harper Woods II Investments, LLC is purchasing 1% of the Federal Credits at federal pricing and 100% of the State Credits at state pricing. The Synovus construction/bridge loan interest rate is 4.00% (325 bsp above LIBOR + Synovus LIBOR floor of .75)  LIBOR as of May 1, 2020 was .30338%.Documentation can be found in TAB 01.
The interest rate on the City of Columbus HOME loan applicable to the construction period is 1% interest only per the commitment letter found in TAB 01. This loan has a 15 year term; a 2 year construction phase plus a 13 year permanent phase. Our proforma assumes that the HOME loan will convert to the permanent phase at Placed In Service, and there will be a ballon note at year 13.
</v>
      </c>
      <c r="B443" s="1887"/>
      <c r="C443" s="1887"/>
      <c r="D443" s="1887"/>
      <c r="E443" s="1887"/>
      <c r="F443" s="1887"/>
      <c r="G443" s="1887"/>
      <c r="H443" s="1887"/>
      <c r="I443" s="1887"/>
      <c r="J443" s="1887"/>
      <c r="K443" s="1887"/>
      <c r="L443" s="1887"/>
      <c r="M443" s="1887">
        <f>'Part III-Sources of Funds'!M64</f>
        <v>0</v>
      </c>
      <c r="N443" s="1887"/>
      <c r="O443" s="1887"/>
      <c r="P443" s="1887"/>
      <c r="Q443" s="1887"/>
      <c r="R443" s="2072"/>
      <c r="S443" s="1973" t="s">
        <v>2614</v>
      </c>
      <c r="T443" s="1973"/>
    </row>
    <row r="444" spans="1:24" ht="15">
      <c r="A444" s="2072"/>
      <c r="B444" s="2072"/>
      <c r="C444" s="2072"/>
      <c r="D444" s="2072"/>
      <c r="E444" s="2072"/>
      <c r="F444" s="2072"/>
      <c r="G444" s="2072"/>
      <c r="H444" s="2072"/>
      <c r="I444" s="2072"/>
      <c r="J444" s="2072"/>
      <c r="K444" s="2072"/>
      <c r="L444" s="2072"/>
      <c r="M444" s="2072"/>
      <c r="N444" s="2072"/>
      <c r="O444" s="2072"/>
      <c r="P444" s="2072"/>
      <c r="Q444" s="2072"/>
      <c r="R444" s="2072"/>
      <c r="S444" s="1973"/>
      <c r="T444" s="1973"/>
    </row>
    <row r="447" spans="1:24" ht="13.8">
      <c r="A447" s="1819" t="str">
        <f>CONCATENATE("PART FOUR -  USES OF FUNDS","  -  ",'Part I-Project Information'!$O$6," ",'Part I-Project Information'!$F$34,", ",'Part I-Project Information'!F484,", ",'Part I-Project Information'!J485," County")</f>
        <v>PART FOUR -  USES OF FUNDS  -  2020-074 Harper Woods II, ,  County</v>
      </c>
      <c r="B447" s="1819"/>
      <c r="C447" s="1819"/>
      <c r="D447" s="1819"/>
      <c r="E447" s="1819"/>
      <c r="F447" s="1819"/>
      <c r="G447" s="1819"/>
      <c r="H447" s="1819"/>
      <c r="I447" s="1819"/>
      <c r="J447" s="1819"/>
      <c r="K447" s="1819"/>
      <c r="L447" s="1819"/>
      <c r="M447" s="1819"/>
      <c r="N447" s="1819"/>
      <c r="O447" s="1819"/>
      <c r="P447" s="1819"/>
      <c r="Q447" s="1819"/>
      <c r="R447" s="1819"/>
      <c r="S447" s="1819"/>
      <c r="T447" s="1819"/>
      <c r="U447" s="1819"/>
      <c r="V447" s="1819"/>
      <c r="W447" s="1819" t="str">
        <f>A447</f>
        <v>PART FOUR -  USES OF FUNDS  -  2020-074 Harper Woods II, ,  County</v>
      </c>
      <c r="X447" s="1819"/>
    </row>
    <row r="448" spans="1:24" ht="13.8">
      <c r="A448" s="1827"/>
      <c r="B448" s="1827"/>
      <c r="C448" s="1827"/>
      <c r="D448" s="1827"/>
      <c r="E448" s="1827"/>
      <c r="F448" s="1827"/>
      <c r="G448" s="1827"/>
      <c r="H448" s="1827"/>
      <c r="I448" s="1827"/>
      <c r="J448" s="1827"/>
      <c r="K448" s="1827"/>
      <c r="L448" s="1827"/>
      <c r="M448" s="1827"/>
      <c r="N448" s="1827"/>
      <c r="O448" s="1827"/>
      <c r="P448" s="1827"/>
      <c r="Q448" s="1827"/>
      <c r="R448" s="1827"/>
      <c r="S448" s="1827"/>
      <c r="T448" s="1827"/>
      <c r="U448" s="1827"/>
      <c r="V448" s="1827"/>
      <c r="W448" s="1827"/>
      <c r="X448" s="1827"/>
    </row>
    <row r="449" spans="1:24" ht="13.8">
      <c r="A449" s="1819"/>
      <c r="B449" s="1819"/>
      <c r="C449" s="1819"/>
      <c r="D449" s="1819"/>
      <c r="E449" s="1819"/>
      <c r="F449" s="1819"/>
      <c r="G449" s="1819"/>
      <c r="H449" s="1819"/>
      <c r="I449" s="1819"/>
      <c r="J449" s="1819"/>
      <c r="K449" s="1819"/>
      <c r="L449" s="1819"/>
      <c r="M449" s="1819"/>
      <c r="N449" s="1819"/>
      <c r="O449" s="1819"/>
      <c r="P449" s="1819"/>
      <c r="Q449" s="1819"/>
      <c r="R449" s="1819"/>
      <c r="S449" s="1819"/>
      <c r="T449" s="1819"/>
      <c r="U449" s="1819"/>
      <c r="V449" s="1819"/>
      <c r="W449" s="1819"/>
      <c r="X449" s="1819"/>
    </row>
    <row r="450" spans="1:24" ht="13.8">
      <c r="A450" s="1821"/>
      <c r="B450" s="1821"/>
      <c r="C450" s="1821"/>
      <c r="D450" s="2075"/>
      <c r="E450" s="2075"/>
      <c r="F450" s="2075"/>
      <c r="G450" s="2075"/>
      <c r="H450" s="2075"/>
      <c r="I450" s="1819"/>
      <c r="J450" s="1821"/>
      <c r="K450" s="1821"/>
      <c r="L450" s="1821"/>
      <c r="M450" s="1821"/>
      <c r="N450" s="1821"/>
      <c r="O450" s="1821"/>
      <c r="P450" s="1821"/>
      <c r="Q450" s="1821"/>
      <c r="R450" s="1821"/>
      <c r="S450" s="1821"/>
      <c r="T450" s="1821"/>
      <c r="U450" s="1819"/>
      <c r="V450" s="1819"/>
      <c r="W450" s="1819"/>
      <c r="X450" s="1819"/>
    </row>
    <row r="451" spans="1:24" ht="13.95" customHeight="1">
      <c r="A451" s="2075" t="s">
        <v>598</v>
      </c>
      <c r="B451" s="2075" t="s">
        <v>879</v>
      </c>
      <c r="C451" s="1819"/>
      <c r="D451" s="2076" t="str">
        <f>'Part I-Project Information'!$B$6</f>
        <v>May 26, 2020 Version</v>
      </c>
      <c r="E451" s="2076"/>
      <c r="F451" s="2076"/>
      <c r="G451" s="2076"/>
      <c r="H451" s="2076"/>
      <c r="I451" s="2075"/>
      <c r="J451" s="1819" t="s">
        <v>266</v>
      </c>
      <c r="K451" s="1819"/>
      <c r="L451" s="1861"/>
      <c r="M451" s="1861" t="s">
        <v>479</v>
      </c>
      <c r="N451" s="1861"/>
      <c r="O451" s="1819"/>
      <c r="P451" s="1819" t="s">
        <v>267</v>
      </c>
      <c r="Q451" s="1819"/>
      <c r="R451" s="1819"/>
      <c r="S451" s="1819" t="s">
        <v>268</v>
      </c>
      <c r="T451" s="1819"/>
      <c r="U451" s="1819"/>
      <c r="V451" s="1963" t="str">
        <f>B451</f>
        <v>DEVELOPMENT BUDGET</v>
      </c>
      <c r="W451" s="1819"/>
      <c r="X451" s="1819"/>
    </row>
    <row r="452" spans="1:24" ht="13.8">
      <c r="A452" s="1819"/>
      <c r="B452" s="1819"/>
      <c r="C452" s="1819"/>
      <c r="D452" s="2076"/>
      <c r="E452" s="2076"/>
      <c r="F452" s="2076"/>
      <c r="G452" s="1819" t="s">
        <v>98</v>
      </c>
      <c r="H452" s="1819"/>
      <c r="I452" s="1819"/>
      <c r="J452" s="1819"/>
      <c r="K452" s="1819"/>
      <c r="L452" s="1861"/>
      <c r="M452" s="1861"/>
      <c r="N452" s="1861"/>
      <c r="O452" s="1819"/>
      <c r="P452" s="1819"/>
      <c r="Q452" s="1819"/>
      <c r="R452" s="1819"/>
      <c r="S452" s="1819"/>
      <c r="T452" s="1819"/>
      <c r="U452" s="1819"/>
      <c r="V452" s="1827" t="s">
        <v>2607</v>
      </c>
      <c r="W452" s="1819"/>
      <c r="X452" s="1827"/>
    </row>
    <row r="453" spans="1:24" ht="13.8">
      <c r="A453" s="1819"/>
      <c r="B453" s="1819" t="s">
        <v>99</v>
      </c>
      <c r="C453" s="1819"/>
      <c r="D453" s="1819"/>
      <c r="E453" s="1819"/>
      <c r="F453" s="1819"/>
      <c r="G453" s="1819"/>
      <c r="H453" s="1819"/>
      <c r="I453" s="1819"/>
      <c r="J453" s="1819"/>
      <c r="K453" s="1819"/>
      <c r="L453" s="1819"/>
      <c r="M453" s="1819"/>
      <c r="N453" s="1819"/>
      <c r="O453" s="1821" t="str">
        <f>B453</f>
        <v>PRE-DEVELOPMENT COSTS</v>
      </c>
      <c r="P453" s="1819"/>
      <c r="Q453" s="1819"/>
      <c r="R453" s="1819"/>
      <c r="S453" s="1819"/>
      <c r="T453" s="1819"/>
      <c r="U453" s="1819"/>
      <c r="V453" s="1819"/>
      <c r="W453" s="1819" t="str">
        <f>B453</f>
        <v>PRE-DEVELOPMENT COSTS</v>
      </c>
      <c r="X453" s="1819"/>
    </row>
    <row r="454" spans="1:24" ht="13.8">
      <c r="A454" s="1819"/>
      <c r="B454" s="1819" t="s">
        <v>1953</v>
      </c>
      <c r="C454" s="1819"/>
      <c r="D454" s="1819"/>
      <c r="E454" s="1819"/>
      <c r="F454" s="1819"/>
      <c r="G454" s="1861">
        <f>'Part IV-A-Uses of Funds'!G8</f>
        <v>18000</v>
      </c>
      <c r="H454" s="1861"/>
      <c r="I454" s="1819"/>
      <c r="J454" s="1861">
        <f>'Part IV-A-Uses of Funds'!J8</f>
        <v>18000</v>
      </c>
      <c r="K454" s="1861"/>
      <c r="L454" s="1832"/>
      <c r="M454" s="1861">
        <f>'Part IV-A-Uses of Funds'!M8</f>
        <v>0</v>
      </c>
      <c r="N454" s="1861"/>
      <c r="O454" s="1819"/>
      <c r="P454" s="1861">
        <f>'Part IV-A-Uses of Funds'!P8</f>
        <v>0</v>
      </c>
      <c r="Q454" s="1861"/>
      <c r="R454" s="1819"/>
      <c r="S454" s="1861">
        <f>'Part IV-A-Uses of Funds'!S8</f>
        <v>0</v>
      </c>
      <c r="T454" s="1861"/>
      <c r="U454" s="1819"/>
      <c r="V454" s="1862"/>
      <c r="W454" s="1772"/>
      <c r="X454" s="1772"/>
    </row>
    <row r="455" spans="1:24" ht="13.8">
      <c r="A455" s="1819"/>
      <c r="B455" s="1819" t="s">
        <v>448</v>
      </c>
      <c r="C455" s="1819"/>
      <c r="D455" s="1819"/>
      <c r="E455" s="1819"/>
      <c r="F455" s="1819"/>
      <c r="G455" s="1861">
        <f>'Part IV-A-Uses of Funds'!G9</f>
        <v>15000</v>
      </c>
      <c r="H455" s="1861"/>
      <c r="I455" s="1819"/>
      <c r="J455" s="1861">
        <f>'Part IV-A-Uses of Funds'!J9</f>
        <v>15000</v>
      </c>
      <c r="K455" s="1861"/>
      <c r="L455" s="1832"/>
      <c r="M455" s="1861">
        <f>'Part IV-A-Uses of Funds'!M9</f>
        <v>0</v>
      </c>
      <c r="N455" s="1861"/>
      <c r="O455" s="1819"/>
      <c r="P455" s="1861">
        <f>'Part IV-A-Uses of Funds'!P9</f>
        <v>0</v>
      </c>
      <c r="Q455" s="1861"/>
      <c r="R455" s="1819"/>
      <c r="S455" s="1861">
        <f>'Part IV-A-Uses of Funds'!S9</f>
        <v>0</v>
      </c>
      <c r="T455" s="1861"/>
      <c r="U455" s="1819"/>
      <c r="V455" s="1862"/>
      <c r="W455" s="1772"/>
      <c r="X455" s="1772"/>
    </row>
    <row r="456" spans="1:24" ht="13.8">
      <c r="A456" s="1819"/>
      <c r="B456" s="1819" t="s">
        <v>477</v>
      </c>
      <c r="C456" s="1819"/>
      <c r="D456" s="1819"/>
      <c r="E456" s="1819"/>
      <c r="F456" s="1819"/>
      <c r="G456" s="1861">
        <f>'Part IV-A-Uses of Funds'!G10</f>
        <v>19733</v>
      </c>
      <c r="H456" s="1861"/>
      <c r="I456" s="1819"/>
      <c r="J456" s="1861">
        <f>'Part IV-A-Uses of Funds'!J10</f>
        <v>19733</v>
      </c>
      <c r="K456" s="1861"/>
      <c r="L456" s="1832"/>
      <c r="M456" s="1861">
        <f>'Part IV-A-Uses of Funds'!M10</f>
        <v>0</v>
      </c>
      <c r="N456" s="1861"/>
      <c r="O456" s="1819"/>
      <c r="P456" s="1861">
        <f>'Part IV-A-Uses of Funds'!P10</f>
        <v>0</v>
      </c>
      <c r="Q456" s="1861"/>
      <c r="R456" s="1819"/>
      <c r="S456" s="1861">
        <f>'Part IV-A-Uses of Funds'!S10</f>
        <v>0</v>
      </c>
      <c r="T456" s="1861"/>
      <c r="U456" s="1819"/>
      <c r="V456" s="1862"/>
      <c r="W456" s="1772"/>
      <c r="X456" s="1772"/>
    </row>
    <row r="457" spans="1:24" ht="13.8">
      <c r="A457" s="1819"/>
      <c r="B457" s="1819" t="s">
        <v>478</v>
      </c>
      <c r="C457" s="1819"/>
      <c r="D457" s="1819"/>
      <c r="E457" s="1819"/>
      <c r="F457" s="1819"/>
      <c r="G457" s="1861">
        <f>'Part IV-A-Uses of Funds'!G11</f>
        <v>8100</v>
      </c>
      <c r="H457" s="1861"/>
      <c r="I457" s="1819"/>
      <c r="J457" s="1861">
        <f>'Part IV-A-Uses of Funds'!J11</f>
        <v>8100</v>
      </c>
      <c r="K457" s="1861"/>
      <c r="L457" s="1832"/>
      <c r="M457" s="1861">
        <f>'Part IV-A-Uses of Funds'!M11</f>
        <v>0</v>
      </c>
      <c r="N457" s="1861"/>
      <c r="O457" s="1819"/>
      <c r="P457" s="1861">
        <f>'Part IV-A-Uses of Funds'!P11</f>
        <v>0</v>
      </c>
      <c r="Q457" s="1861"/>
      <c r="R457" s="1819"/>
      <c r="S457" s="1861">
        <f>'Part IV-A-Uses of Funds'!S11</f>
        <v>0</v>
      </c>
      <c r="T457" s="1861"/>
      <c r="U457" s="1819"/>
      <c r="V457" s="1862"/>
      <c r="W457" s="1772"/>
      <c r="X457" s="1772"/>
    </row>
    <row r="458" spans="1:24" ht="13.8">
      <c r="A458" s="1819"/>
      <c r="B458" s="1819" t="s">
        <v>2435</v>
      </c>
      <c r="C458" s="1819"/>
      <c r="D458" s="1819"/>
      <c r="E458" s="1819"/>
      <c r="F458" s="1819"/>
      <c r="G458" s="1861">
        <f>'Part IV-A-Uses of Funds'!G12</f>
        <v>20000</v>
      </c>
      <c r="H458" s="1861"/>
      <c r="I458" s="1819"/>
      <c r="J458" s="1861">
        <f>'Part IV-A-Uses of Funds'!J12</f>
        <v>20000</v>
      </c>
      <c r="K458" s="1861"/>
      <c r="L458" s="1832"/>
      <c r="M458" s="1861">
        <f>'Part IV-A-Uses of Funds'!M12</f>
        <v>0</v>
      </c>
      <c r="N458" s="1861"/>
      <c r="O458" s="1819"/>
      <c r="P458" s="1861">
        <f>'Part IV-A-Uses of Funds'!P12</f>
        <v>0</v>
      </c>
      <c r="Q458" s="1861"/>
      <c r="R458" s="1819"/>
      <c r="S458" s="1861">
        <f>'Part IV-A-Uses of Funds'!S12</f>
        <v>0</v>
      </c>
      <c r="T458" s="1861"/>
      <c r="U458" s="1819"/>
      <c r="V458" s="1862"/>
      <c r="W458" s="1772"/>
      <c r="X458" s="1772"/>
    </row>
    <row r="459" spans="1:24" ht="13.8">
      <c r="A459" s="1819"/>
      <c r="B459" s="1819" t="s">
        <v>186</v>
      </c>
      <c r="C459" s="1819"/>
      <c r="D459" s="1819"/>
      <c r="E459" s="1819"/>
      <c r="F459" s="1819"/>
      <c r="G459" s="1861">
        <f>'Part IV-A-Uses of Funds'!G13</f>
        <v>0</v>
      </c>
      <c r="H459" s="1861"/>
      <c r="I459" s="1819"/>
      <c r="J459" s="1861">
        <f>'Part IV-A-Uses of Funds'!J13</f>
        <v>0</v>
      </c>
      <c r="K459" s="1861"/>
      <c r="L459" s="1832"/>
      <c r="M459" s="1861">
        <f>'Part IV-A-Uses of Funds'!M13</f>
        <v>0</v>
      </c>
      <c r="N459" s="1861"/>
      <c r="O459" s="1819"/>
      <c r="P459" s="1861">
        <f>'Part IV-A-Uses of Funds'!P13</f>
        <v>0</v>
      </c>
      <c r="Q459" s="1861"/>
      <c r="R459" s="1819"/>
      <c r="S459" s="1861">
        <f>'Part IV-A-Uses of Funds'!S13</f>
        <v>0</v>
      </c>
      <c r="T459" s="1861"/>
      <c r="U459" s="1819"/>
      <c r="V459" s="1862"/>
      <c r="W459" s="1772"/>
      <c r="X459" s="1772"/>
    </row>
    <row r="460" spans="1:24" ht="15.6" customHeight="1">
      <c r="A460" s="2077" t="str">
        <f>IF(AND(G460&gt;0,OR(C460="",C460="&lt;Enter detailed description here; use Comments section if needed&gt;")),"X","")</f>
        <v/>
      </c>
      <c r="B460" s="1819" t="s">
        <v>723</v>
      </c>
      <c r="C460" s="1849" t="str">
        <f>'Part IV-A-Uses of Funds'!C14</f>
        <v xml:space="preserve">3rd Party Cost Review </v>
      </c>
      <c r="D460" s="1849"/>
      <c r="E460" s="1849"/>
      <c r="F460" s="1849"/>
      <c r="G460" s="1861">
        <f>'Part IV-A-Uses of Funds'!G14</f>
        <v>6500</v>
      </c>
      <c r="H460" s="1861"/>
      <c r="I460" s="1819"/>
      <c r="J460" s="1861">
        <f>'Part IV-A-Uses of Funds'!J14</f>
        <v>6500</v>
      </c>
      <c r="K460" s="1861"/>
      <c r="L460" s="1832"/>
      <c r="M460" s="1861">
        <f>'Part IV-A-Uses of Funds'!M14</f>
        <v>0</v>
      </c>
      <c r="N460" s="1861"/>
      <c r="O460" s="1819"/>
      <c r="P460" s="1861">
        <f>'Part IV-A-Uses of Funds'!P14</f>
        <v>0</v>
      </c>
      <c r="Q460" s="1861"/>
      <c r="R460" s="1819"/>
      <c r="S460" s="1861">
        <f>'Part IV-A-Uses of Funds'!S14</f>
        <v>0</v>
      </c>
      <c r="T460" s="1861"/>
      <c r="U460" s="1823" t="str">
        <f>IF(AND(G460&gt;0,OR(C460="",C460="&lt;Enter detailed description here; use Comments section if needed&gt;")),"NO DESCRIPTION PROVIDED - please enter detailed description in Other box at left; use Comments section below if needed.","")</f>
        <v/>
      </c>
      <c r="V460" s="1862"/>
      <c r="W460" s="1772"/>
      <c r="X460" s="1772"/>
    </row>
    <row r="461" spans="1:24" ht="15.6" customHeight="1">
      <c r="A461" s="2077" t="str">
        <f>IF(AND(G461&gt;0,OR(C461="",C461="&lt;Enter detailed description here; use Comments section if needed&gt;")),"X","")</f>
        <v/>
      </c>
      <c r="B461" s="1819" t="s">
        <v>723</v>
      </c>
      <c r="C461" s="1849" t="str">
        <f>'Part IV-A-Uses of Funds'!C15</f>
        <v>City of Columbus Review Fee</v>
      </c>
      <c r="D461" s="1849"/>
      <c r="E461" s="1849"/>
      <c r="F461" s="1849"/>
      <c r="G461" s="1861">
        <f>'Part IV-A-Uses of Funds'!G15</f>
        <v>6848</v>
      </c>
      <c r="H461" s="1861"/>
      <c r="I461" s="1819"/>
      <c r="J461" s="1861">
        <f>'Part IV-A-Uses of Funds'!J15</f>
        <v>6848</v>
      </c>
      <c r="K461" s="1861"/>
      <c r="L461" s="1832"/>
      <c r="M461" s="1861">
        <f>'Part IV-A-Uses of Funds'!M15</f>
        <v>0</v>
      </c>
      <c r="N461" s="1861"/>
      <c r="O461" s="1819"/>
      <c r="P461" s="1861">
        <f>'Part IV-A-Uses of Funds'!P15</f>
        <v>0</v>
      </c>
      <c r="Q461" s="1861"/>
      <c r="R461" s="1819"/>
      <c r="S461" s="1861">
        <f>'Part IV-A-Uses of Funds'!S15</f>
        <v>0</v>
      </c>
      <c r="T461" s="1861"/>
      <c r="U461" s="1823" t="str">
        <f>IF(AND(G461&gt;0,OR(C461="",C461="&lt;Enter detailed description here; use Comments section if needed&gt;")),"NO DESCRIPTION PROVIDED - please enter detailed description in Other box at left; use Comments section below if needed.","")</f>
        <v/>
      </c>
      <c r="V461" s="1862"/>
      <c r="W461" s="1772"/>
      <c r="X461" s="1772"/>
    </row>
    <row r="462" spans="1:24" ht="16.2" customHeight="1">
      <c r="A462" s="2077" t="str">
        <f>IF(AND(G462&gt;0,OR(C462="",C462="&lt;Enter detailed description here; use Comments section if needed&gt;")),"X","")</f>
        <v/>
      </c>
      <c r="B462" s="1819" t="s">
        <v>723</v>
      </c>
      <c r="C462" s="1849" t="str">
        <f>'Part IV-A-Uses of Funds'!C16</f>
        <v>Asbestos and Lead Based Paint abatement and disposal</v>
      </c>
      <c r="D462" s="1849"/>
      <c r="E462" s="1849"/>
      <c r="F462" s="1849"/>
      <c r="G462" s="1861">
        <f>'Part IV-A-Uses of Funds'!G16</f>
        <v>4400</v>
      </c>
      <c r="H462" s="1861"/>
      <c r="I462" s="1819"/>
      <c r="J462" s="1861">
        <f>'Part IV-A-Uses of Funds'!J16</f>
        <v>4400</v>
      </c>
      <c r="K462" s="1861"/>
      <c r="L462" s="1832"/>
      <c r="M462" s="1861">
        <f>'Part IV-A-Uses of Funds'!M16</f>
        <v>0</v>
      </c>
      <c r="N462" s="1861"/>
      <c r="O462" s="1819"/>
      <c r="P462" s="1861">
        <f>'Part IV-A-Uses of Funds'!P16</f>
        <v>0</v>
      </c>
      <c r="Q462" s="1861"/>
      <c r="R462" s="1819"/>
      <c r="S462" s="1861">
        <f>'Part IV-A-Uses of Funds'!S16</f>
        <v>0</v>
      </c>
      <c r="T462" s="1861"/>
      <c r="U462" s="1823" t="str">
        <f>IF(AND(G462&gt;0,OR(C462="",C462="&lt;Enter detailed description here; use Comments section if needed&gt;")),"NO DESCRIPTION PROVIDED - please enter detailed description in Other box at left; use Comments section below if needed.","")</f>
        <v/>
      </c>
      <c r="V462" s="1862"/>
      <c r="W462" s="1772"/>
      <c r="X462" s="1772"/>
    </row>
    <row r="463" spans="1:24" ht="13.8">
      <c r="A463" s="1819"/>
      <c r="B463" s="1819"/>
      <c r="C463" s="1819"/>
      <c r="D463" s="1819"/>
      <c r="E463" s="1819"/>
      <c r="F463" s="1826" t="s">
        <v>187</v>
      </c>
      <c r="G463" s="1861">
        <f>SUM(G454:H462)</f>
        <v>98581</v>
      </c>
      <c r="H463" s="1861"/>
      <c r="I463" s="1819"/>
      <c r="J463" s="1861">
        <f>SUM(J454:K462)</f>
        <v>98581</v>
      </c>
      <c r="K463" s="1827"/>
      <c r="L463" s="1832"/>
      <c r="M463" s="1861">
        <f>SUM(M454:N462)</f>
        <v>0</v>
      </c>
      <c r="N463" s="1861"/>
      <c r="O463" s="1819"/>
      <c r="P463" s="1861">
        <f>SUM(P454:Q462)</f>
        <v>0</v>
      </c>
      <c r="Q463" s="1861"/>
      <c r="R463" s="1819"/>
      <c r="S463" s="1861">
        <f>SUM(S454:T462)</f>
        <v>0</v>
      </c>
      <c r="T463" s="1861"/>
      <c r="U463" s="1819"/>
      <c r="V463" s="1862">
        <f>SUM(V454:V462)</f>
        <v>0</v>
      </c>
      <c r="W463" s="1772"/>
      <c r="X463" s="1772"/>
    </row>
    <row r="464" spans="1:24" ht="13.8">
      <c r="A464" s="1819"/>
      <c r="B464" s="1819" t="s">
        <v>2147</v>
      </c>
      <c r="C464" s="1819"/>
      <c r="D464" s="1819"/>
      <c r="E464" s="1819"/>
      <c r="F464" s="1819"/>
      <c r="G464" s="1819"/>
      <c r="H464" s="1819"/>
      <c r="I464" s="1819"/>
      <c r="J464" s="1861"/>
      <c r="K464" s="1861"/>
      <c r="L464" s="1819"/>
      <c r="M464" s="1861"/>
      <c r="N464" s="1861"/>
      <c r="O464" s="1832" t="str">
        <f>B464</f>
        <v>ACQUISITION</v>
      </c>
      <c r="P464" s="1861"/>
      <c r="Q464" s="1861"/>
      <c r="R464" s="1819"/>
      <c r="S464" s="1861"/>
      <c r="T464" s="1861"/>
      <c r="U464" s="1819"/>
      <c r="V464" s="1862"/>
      <c r="W464" s="1819" t="str">
        <f>B464</f>
        <v>ACQUISITION</v>
      </c>
      <c r="X464" s="1819"/>
    </row>
    <row r="465" spans="1:24" ht="13.8">
      <c r="A465" s="1819"/>
      <c r="B465" s="1819" t="s">
        <v>2148</v>
      </c>
      <c r="C465" s="1819"/>
      <c r="D465" s="1819"/>
      <c r="E465" s="1863" t="s">
        <v>3543</v>
      </c>
      <c r="F465" s="1864">
        <f>IF('Part I-Project Information'!$O$37="","",G465/'Part I-Project Information'!$O$37)</f>
        <v>200100.54533060666</v>
      </c>
      <c r="G465" s="1861">
        <f>'Part IV-A-Uses of Funds'!G19</f>
        <v>587095</v>
      </c>
      <c r="H465" s="1861"/>
      <c r="I465" s="1819"/>
      <c r="J465" s="1832"/>
      <c r="K465" s="1861"/>
      <c r="L465" s="1832"/>
      <c r="M465" s="1832"/>
      <c r="N465" s="1861"/>
      <c r="O465" s="1819"/>
      <c r="P465" s="1832"/>
      <c r="Q465" s="1861"/>
      <c r="R465" s="1819"/>
      <c r="S465" s="1861">
        <f>'Part IV-A-Uses of Funds'!S19</f>
        <v>587095</v>
      </c>
      <c r="T465" s="1861"/>
      <c r="U465" s="1819"/>
      <c r="V465" s="1862"/>
      <c r="W465" s="1772"/>
      <c r="X465" s="1772"/>
    </row>
    <row r="466" spans="1:24" ht="13.8">
      <c r="A466" s="1819"/>
      <c r="B466" s="1819" t="s">
        <v>1097</v>
      </c>
      <c r="C466" s="1819"/>
      <c r="D466" s="1819"/>
      <c r="E466" s="1819"/>
      <c r="F466" s="1819"/>
      <c r="G466" s="1861">
        <f>'Part IV-A-Uses of Funds'!G20</f>
        <v>0</v>
      </c>
      <c r="H466" s="1861"/>
      <c r="I466" s="1819"/>
      <c r="J466" s="1832"/>
      <c r="K466" s="1861"/>
      <c r="L466" s="1832"/>
      <c r="M466" s="1832"/>
      <c r="N466" s="1861"/>
      <c r="O466" s="1819"/>
      <c r="P466" s="1832"/>
      <c r="Q466" s="1861"/>
      <c r="R466" s="1819"/>
      <c r="S466" s="1861">
        <f>'Part IV-A-Uses of Funds'!S20</f>
        <v>0</v>
      </c>
      <c r="T466" s="1861"/>
      <c r="U466" s="1819"/>
      <c r="V466" s="1862"/>
      <c r="W466" s="1772"/>
      <c r="X466" s="1772"/>
    </row>
    <row r="467" spans="1:24" ht="13.8">
      <c r="A467" s="1819"/>
      <c r="B467" s="1819" t="s">
        <v>449</v>
      </c>
      <c r="C467" s="1819"/>
      <c r="D467" s="1819"/>
      <c r="E467" s="1819"/>
      <c r="F467" s="1819"/>
      <c r="G467" s="1861">
        <f>'Part IV-A-Uses of Funds'!G21</f>
        <v>0</v>
      </c>
      <c r="H467" s="1861"/>
      <c r="I467" s="1819"/>
      <c r="J467" s="1832"/>
      <c r="K467" s="1861"/>
      <c r="L467" s="1832"/>
      <c r="M467" s="1861">
        <f>'Part IV-A-Uses of Funds'!M21</f>
        <v>0</v>
      </c>
      <c r="N467" s="1861"/>
      <c r="O467" s="1819"/>
      <c r="P467" s="1832"/>
      <c r="Q467" s="1861"/>
      <c r="R467" s="1819"/>
      <c r="S467" s="1861">
        <f>'Part IV-A-Uses of Funds'!S21</f>
        <v>0</v>
      </c>
      <c r="T467" s="1861"/>
      <c r="U467" s="1819"/>
      <c r="V467" s="1862"/>
      <c r="W467" s="1772"/>
      <c r="X467" s="1772"/>
    </row>
    <row r="468" spans="1:24" ht="13.8">
      <c r="A468" s="1819"/>
      <c r="B468" s="1819" t="s">
        <v>422</v>
      </c>
      <c r="C468" s="1819"/>
      <c r="D468" s="1819"/>
      <c r="E468" s="1819"/>
      <c r="F468" s="1819"/>
      <c r="G468" s="1861">
        <f>'Part IV-A-Uses of Funds'!G22</f>
        <v>0</v>
      </c>
      <c r="H468" s="1861"/>
      <c r="I468" s="1819"/>
      <c r="J468" s="1832"/>
      <c r="K468" s="1861"/>
      <c r="L468" s="1832"/>
      <c r="M468" s="1861">
        <f>'Part IV-A-Uses of Funds'!M22</f>
        <v>0</v>
      </c>
      <c r="N468" s="1861"/>
      <c r="O468" s="1819"/>
      <c r="P468" s="1832"/>
      <c r="Q468" s="1861"/>
      <c r="R468" s="1819"/>
      <c r="S468" s="1861">
        <f>'Part IV-A-Uses of Funds'!S22</f>
        <v>0</v>
      </c>
      <c r="T468" s="1861"/>
      <c r="U468" s="1819"/>
      <c r="V468" s="1862"/>
      <c r="W468" s="1772"/>
      <c r="X468" s="1772"/>
    </row>
    <row r="469" spans="1:24" ht="13.8">
      <c r="A469" s="1819"/>
      <c r="B469" s="1819"/>
      <c r="C469" s="1819"/>
      <c r="D469" s="1819"/>
      <c r="E469" s="1819"/>
      <c r="F469" s="1826" t="s">
        <v>187</v>
      </c>
      <c r="G469" s="1861">
        <f>SUM(G465:H468)</f>
        <v>587095</v>
      </c>
      <c r="H469" s="1861"/>
      <c r="I469" s="1819"/>
      <c r="J469" s="1832"/>
      <c r="K469" s="1861"/>
      <c r="L469" s="1832"/>
      <c r="M469" s="1861">
        <f>SUM(M467:N468)</f>
        <v>0</v>
      </c>
      <c r="N469" s="1861"/>
      <c r="O469" s="1819"/>
      <c r="P469" s="1832"/>
      <c r="Q469" s="1861"/>
      <c r="R469" s="1819"/>
      <c r="S469" s="1861">
        <f>SUM(S465:T468)</f>
        <v>587095</v>
      </c>
      <c r="T469" s="1861"/>
      <c r="U469" s="1819"/>
      <c r="V469" s="1862">
        <f>SUM(V465:V468)</f>
        <v>0</v>
      </c>
      <c r="W469" s="1772"/>
      <c r="X469" s="1772"/>
    </row>
    <row r="470" spans="1:24" ht="13.8">
      <c r="A470" s="1819"/>
      <c r="B470" s="1819" t="s">
        <v>1098</v>
      </c>
      <c r="C470" s="1819"/>
      <c r="D470" s="1819"/>
      <c r="E470" s="1819"/>
      <c r="F470" s="1819"/>
      <c r="G470" s="1819"/>
      <c r="H470" s="1819"/>
      <c r="I470" s="1819"/>
      <c r="J470" s="1832"/>
      <c r="K470" s="1861"/>
      <c r="L470" s="1819"/>
      <c r="M470" s="1832"/>
      <c r="N470" s="1861"/>
      <c r="O470" s="1832" t="str">
        <f>B470</f>
        <v>LAND IMPROVEMENTS</v>
      </c>
      <c r="P470" s="1832"/>
      <c r="Q470" s="1861"/>
      <c r="R470" s="1819"/>
      <c r="S470" s="1832"/>
      <c r="T470" s="1861"/>
      <c r="U470" s="1819"/>
      <c r="V470" s="1862"/>
      <c r="W470" s="1819" t="str">
        <f>B470</f>
        <v>LAND IMPROVEMENTS</v>
      </c>
      <c r="X470" s="1819"/>
    </row>
    <row r="471" spans="1:24" ht="13.8">
      <c r="A471" s="1819"/>
      <c r="B471" s="1819" t="s">
        <v>1099</v>
      </c>
      <c r="C471" s="1819"/>
      <c r="D471" s="1819"/>
      <c r="E471" s="1863" t="s">
        <v>3543</v>
      </c>
      <c r="F471" s="1864">
        <f>IF('Part I-Project Information'!$O$37="","",G471/'Part I-Project Information'!$O$37)</f>
        <v>333640.08179959096</v>
      </c>
      <c r="G471" s="1861">
        <f>'Part IV-A-Uses of Funds'!G25</f>
        <v>978900</v>
      </c>
      <c r="H471" s="1861"/>
      <c r="I471" s="1819"/>
      <c r="J471" s="1861">
        <f>'Part IV-A-Uses of Funds'!J25</f>
        <v>978900</v>
      </c>
      <c r="K471" s="1861"/>
      <c r="L471" s="1832"/>
      <c r="M471" s="1861">
        <f>'Part IV-A-Uses of Funds'!M25</f>
        <v>0</v>
      </c>
      <c r="N471" s="1861"/>
      <c r="O471" s="1819"/>
      <c r="P471" s="1861">
        <f>'Part IV-A-Uses of Funds'!P25</f>
        <v>0</v>
      </c>
      <c r="Q471" s="1861"/>
      <c r="R471" s="1819"/>
      <c r="S471" s="1861">
        <f>'Part IV-A-Uses of Funds'!S25</f>
        <v>0</v>
      </c>
      <c r="T471" s="1861"/>
      <c r="U471" s="1819"/>
      <c r="V471" s="1862"/>
      <c r="W471" s="1772"/>
      <c r="X471" s="1772"/>
    </row>
    <row r="472" spans="1:24" ht="13.8">
      <c r="A472" s="1819"/>
      <c r="B472" s="1819" t="s">
        <v>1100</v>
      </c>
      <c r="C472" s="1819"/>
      <c r="D472" s="1819"/>
      <c r="E472" s="1819"/>
      <c r="F472" s="1819"/>
      <c r="G472" s="1861">
        <f>'Part IV-A-Uses of Funds'!G26</f>
        <v>0</v>
      </c>
      <c r="H472" s="1861"/>
      <c r="I472" s="1819"/>
      <c r="J472" s="1861">
        <f>'Part IV-A-Uses of Funds'!J26</f>
        <v>0</v>
      </c>
      <c r="K472" s="1861"/>
      <c r="L472" s="2078"/>
      <c r="M472" s="1861"/>
      <c r="N472" s="1861"/>
      <c r="O472" s="1819"/>
      <c r="P472" s="1861"/>
      <c r="Q472" s="1861"/>
      <c r="R472" s="1819"/>
      <c r="S472" s="1861">
        <f>'Part IV-A-Uses of Funds'!S26</f>
        <v>0</v>
      </c>
      <c r="T472" s="1861"/>
      <c r="U472" s="1819"/>
      <c r="V472" s="1862"/>
      <c r="W472" s="1772"/>
      <c r="X472" s="1772"/>
    </row>
    <row r="473" spans="1:24" ht="13.8">
      <c r="A473" s="1819"/>
      <c r="B473" s="1819"/>
      <c r="C473" s="1819"/>
      <c r="D473" s="1819"/>
      <c r="E473" s="1819"/>
      <c r="F473" s="1826" t="s">
        <v>187</v>
      </c>
      <c r="G473" s="1861">
        <f>SUM(G471:H472)</f>
        <v>978900</v>
      </c>
      <c r="H473" s="1861"/>
      <c r="I473" s="1819"/>
      <c r="J473" s="1861">
        <f>SUM(J471:K472)</f>
        <v>978900</v>
      </c>
      <c r="K473" s="1861"/>
      <c r="L473" s="1832"/>
      <c r="M473" s="1861">
        <f>M471</f>
        <v>0</v>
      </c>
      <c r="N473" s="1861"/>
      <c r="O473" s="1819"/>
      <c r="P473" s="1861">
        <f>P471</f>
        <v>0</v>
      </c>
      <c r="Q473" s="1861"/>
      <c r="R473" s="1819"/>
      <c r="S473" s="1861">
        <f>SUM(S471:T472)</f>
        <v>0</v>
      </c>
      <c r="T473" s="1861"/>
      <c r="U473" s="1819"/>
      <c r="V473" s="1862">
        <f>SUM(V471:V472)</f>
        <v>0</v>
      </c>
      <c r="W473" s="1772"/>
      <c r="X473" s="1772"/>
    </row>
    <row r="474" spans="1:24" ht="13.8">
      <c r="A474" s="1819"/>
      <c r="B474" s="1819" t="s">
        <v>1101</v>
      </c>
      <c r="C474" s="1819"/>
      <c r="D474" s="1819"/>
      <c r="E474" s="1819"/>
      <c r="F474" s="1819"/>
      <c r="G474" s="1819"/>
      <c r="H474" s="1819"/>
      <c r="I474" s="1819"/>
      <c r="J474" s="1832"/>
      <c r="K474" s="1861"/>
      <c r="L474" s="1819"/>
      <c r="M474" s="1832"/>
      <c r="N474" s="1861"/>
      <c r="O474" s="1832" t="str">
        <f>B474</f>
        <v>STRUCTURES</v>
      </c>
      <c r="P474" s="1832"/>
      <c r="Q474" s="1861"/>
      <c r="R474" s="1819"/>
      <c r="S474" s="1832"/>
      <c r="T474" s="1861"/>
      <c r="U474" s="1819"/>
      <c r="V474" s="1862"/>
      <c r="W474" s="1819" t="str">
        <f>B474</f>
        <v>STRUCTURES</v>
      </c>
      <c r="X474" s="1819"/>
    </row>
    <row r="475" spans="1:24" ht="13.8">
      <c r="A475" s="1819"/>
      <c r="B475" s="1819" t="s">
        <v>1102</v>
      </c>
      <c r="C475" s="1819"/>
      <c r="D475" s="1819"/>
      <c r="E475" s="1819"/>
      <c r="F475" s="1819"/>
      <c r="G475" s="1861">
        <f>'Part IV-A-Uses of Funds'!G29</f>
        <v>5878505</v>
      </c>
      <c r="H475" s="1861"/>
      <c r="I475" s="1819"/>
      <c r="J475" s="1861">
        <f>'Part IV-A-Uses of Funds'!J29</f>
        <v>5878505</v>
      </c>
      <c r="K475" s="1861"/>
      <c r="L475" s="1832"/>
      <c r="M475" s="1861">
        <f>'Part IV-A-Uses of Funds'!M29</f>
        <v>0</v>
      </c>
      <c r="N475" s="1861"/>
      <c r="O475" s="1819"/>
      <c r="P475" s="1861">
        <f>'Part IV-A-Uses of Funds'!P29</f>
        <v>0</v>
      </c>
      <c r="Q475" s="1861"/>
      <c r="R475" s="1819"/>
      <c r="S475" s="1861">
        <f>'Part IV-A-Uses of Funds'!S29</f>
        <v>0</v>
      </c>
      <c r="T475" s="1861"/>
      <c r="U475" s="1819"/>
      <c r="V475" s="1862"/>
      <c r="W475" s="1772"/>
      <c r="X475" s="1772"/>
    </row>
    <row r="476" spans="1:24" ht="13.8">
      <c r="A476" s="1819"/>
      <c r="B476" s="1819" t="s">
        <v>1103</v>
      </c>
      <c r="C476" s="1819"/>
      <c r="D476" s="1819"/>
      <c r="E476" s="1819"/>
      <c r="F476" s="1819"/>
      <c r="G476" s="1861">
        <f>'Part IV-A-Uses of Funds'!G30</f>
        <v>0</v>
      </c>
      <c r="H476" s="1861"/>
      <c r="I476" s="1819"/>
      <c r="J476" s="1861">
        <f>'Part IV-A-Uses of Funds'!J30</f>
        <v>0</v>
      </c>
      <c r="K476" s="1861"/>
      <c r="L476" s="1832"/>
      <c r="M476" s="1861">
        <f>'Part IV-A-Uses of Funds'!M30</f>
        <v>0</v>
      </c>
      <c r="N476" s="1861"/>
      <c r="O476" s="1819"/>
      <c r="P476" s="1861">
        <f>'Part IV-A-Uses of Funds'!P30</f>
        <v>0</v>
      </c>
      <c r="Q476" s="1861"/>
      <c r="R476" s="1819"/>
      <c r="S476" s="1861">
        <f>'Part IV-A-Uses of Funds'!S30</f>
        <v>0</v>
      </c>
      <c r="T476" s="1861"/>
      <c r="U476" s="1819"/>
      <c r="V476" s="1862"/>
      <c r="W476" s="1772"/>
      <c r="X476" s="1772"/>
    </row>
    <row r="477" spans="1:24" ht="13.8">
      <c r="A477" s="1819"/>
      <c r="B477" s="1819" t="s">
        <v>2689</v>
      </c>
      <c r="C477" s="1819"/>
      <c r="D477" s="1819"/>
      <c r="E477" s="1819"/>
      <c r="F477" s="1819"/>
      <c r="G477" s="1861">
        <f>'Part IV-A-Uses of Funds'!G31</f>
        <v>0</v>
      </c>
      <c r="H477" s="1861"/>
      <c r="I477" s="1819"/>
      <c r="J477" s="1861">
        <f>'Part IV-A-Uses of Funds'!J31</f>
        <v>0</v>
      </c>
      <c r="K477" s="1861"/>
      <c r="L477" s="1832"/>
      <c r="M477" s="1861">
        <f>'Part IV-A-Uses of Funds'!M31</f>
        <v>0</v>
      </c>
      <c r="N477" s="1861"/>
      <c r="O477" s="1819"/>
      <c r="P477" s="1861">
        <f>'Part IV-A-Uses of Funds'!P31</f>
        <v>0</v>
      </c>
      <c r="Q477" s="1861"/>
      <c r="R477" s="1819"/>
      <c r="S477" s="1861">
        <f>'Part IV-A-Uses of Funds'!S31</f>
        <v>0</v>
      </c>
      <c r="T477" s="1861"/>
      <c r="U477" s="1819"/>
      <c r="V477" s="1862"/>
      <c r="W477" s="1772"/>
      <c r="X477" s="1772"/>
    </row>
    <row r="478" spans="1:24" ht="13.8">
      <c r="A478" s="1827"/>
      <c r="B478" s="1819" t="s">
        <v>2688</v>
      </c>
      <c r="C478" s="1827"/>
      <c r="D478" s="1827"/>
      <c r="E478" s="1827"/>
      <c r="F478" s="1827"/>
      <c r="G478" s="1861">
        <f>'Part IV-A-Uses of Funds'!G32</f>
        <v>0</v>
      </c>
      <c r="H478" s="1861"/>
      <c r="I478" s="1819"/>
      <c r="J478" s="1861">
        <f>'Part IV-A-Uses of Funds'!J32</f>
        <v>0</v>
      </c>
      <c r="K478" s="1861"/>
      <c r="L478" s="1832"/>
      <c r="M478" s="1861">
        <f>'Part IV-A-Uses of Funds'!M32</f>
        <v>0</v>
      </c>
      <c r="N478" s="1861"/>
      <c r="O478" s="1819"/>
      <c r="P478" s="1861">
        <f>'Part IV-A-Uses of Funds'!P32</f>
        <v>0</v>
      </c>
      <c r="Q478" s="1861"/>
      <c r="R478" s="1819"/>
      <c r="S478" s="1861">
        <f>'Part IV-A-Uses of Funds'!S32</f>
        <v>0</v>
      </c>
      <c r="T478" s="1861"/>
      <c r="U478" s="1827"/>
      <c r="V478" s="1862"/>
      <c r="W478" s="1772"/>
      <c r="X478" s="1772"/>
    </row>
    <row r="479" spans="1:24" ht="13.8">
      <c r="A479" s="1819"/>
      <c r="B479" s="1819"/>
      <c r="C479" s="2079"/>
      <c r="D479" s="2079"/>
      <c r="E479" s="2080"/>
      <c r="F479" s="1826" t="s">
        <v>187</v>
      </c>
      <c r="G479" s="1861">
        <f>SUM(G475:H478)</f>
        <v>5878505</v>
      </c>
      <c r="H479" s="1861"/>
      <c r="I479" s="1819"/>
      <c r="J479" s="1861">
        <f>SUM(J475:K478)</f>
        <v>5878505</v>
      </c>
      <c r="K479" s="1861"/>
      <c r="L479" s="1832"/>
      <c r="M479" s="1861">
        <f>SUM(M475:N478)</f>
        <v>0</v>
      </c>
      <c r="N479" s="1861"/>
      <c r="O479" s="1819"/>
      <c r="P479" s="1861">
        <f>SUM(P475:Q478)</f>
        <v>0</v>
      </c>
      <c r="Q479" s="1861"/>
      <c r="R479" s="1819"/>
      <c r="S479" s="1861">
        <f>SUM(S475:T478)</f>
        <v>0</v>
      </c>
      <c r="T479" s="1861"/>
      <c r="U479" s="1819"/>
      <c r="V479" s="1862">
        <f>SUM(V475:V478)</f>
        <v>0</v>
      </c>
      <c r="W479" s="1772"/>
      <c r="X479" s="1772"/>
    </row>
    <row r="480" spans="1:24" ht="13.8">
      <c r="A480" s="1819"/>
      <c r="B480" s="1819" t="s">
        <v>2284</v>
      </c>
      <c r="C480" s="1819"/>
      <c r="D480" s="1849" t="s">
        <v>3547</v>
      </c>
      <c r="E480" s="1849"/>
      <c r="F480" s="2081">
        <f>SUM(F481:F483)</f>
        <v>0.13999989792056908</v>
      </c>
      <c r="G480" s="1822" t="str">
        <f>IF(G481&gt;E481,"Proposed Builder Profit exceeds DCA Maximum!!!",IF(G482&gt;E482,"Proposed Builder Overhead exceeds DCA Maximum!!!",IF(G483&gt;E483,"Proposed General Requirements exceeds DCA Maximum!!!",IF(G484&gt;E484,"Proposed Contractor Services amount exceeds DCA Maximum!!!",""))))</f>
        <v/>
      </c>
      <c r="H480" s="1827"/>
      <c r="I480" s="1827"/>
      <c r="J480" s="1832"/>
      <c r="K480" s="1861"/>
      <c r="L480" s="1819"/>
      <c r="M480" s="1832"/>
      <c r="N480" s="1861"/>
      <c r="O480" s="1832" t="str">
        <f>B480</f>
        <v>CONTRACTOR SERVICES</v>
      </c>
      <c r="P480" s="1832"/>
      <c r="Q480" s="1861"/>
      <c r="R480" s="1819"/>
      <c r="S480" s="1832"/>
      <c r="T480" s="1861"/>
      <c r="U480" s="1819"/>
      <c r="V480" s="1862"/>
      <c r="W480" s="1819" t="str">
        <f>B480</f>
        <v>CONTRACTOR SERVICES</v>
      </c>
      <c r="X480" s="1819"/>
    </row>
    <row r="481" spans="1:24" ht="13.8">
      <c r="A481" s="1819"/>
      <c r="B481" s="1819" t="s">
        <v>2285</v>
      </c>
      <c r="C481" s="1819"/>
      <c r="D481" s="1865">
        <f>'DCA Underwriting Assumptions'!$R$77</f>
        <v>0.06</v>
      </c>
      <c r="E481" s="1866">
        <f>D481*(G473+G479)</f>
        <v>411444.3</v>
      </c>
      <c r="F481" s="1865">
        <f>'Part IV-A-Uses of Funds'!F35</f>
        <v>5.9999956251672461E-2</v>
      </c>
      <c r="G481" s="1861">
        <f>'Part IV-A-Uses of Funds'!G35</f>
        <v>411444</v>
      </c>
      <c r="H481" s="1861"/>
      <c r="I481" s="1827"/>
      <c r="J481" s="1861">
        <f>'Part IV-A-Uses of Funds'!J35</f>
        <v>411444</v>
      </c>
      <c r="K481" s="1861"/>
      <c r="L481" s="1832"/>
      <c r="M481" s="1861">
        <f>'Part IV-A-Uses of Funds'!M35</f>
        <v>0</v>
      </c>
      <c r="N481" s="1861"/>
      <c r="O481" s="1819"/>
      <c r="P481" s="1861">
        <f>'Part IV-A-Uses of Funds'!P35</f>
        <v>0</v>
      </c>
      <c r="Q481" s="1861"/>
      <c r="R481" s="1819"/>
      <c r="S481" s="1861">
        <f>'Part IV-A-Uses of Funds'!S35</f>
        <v>0</v>
      </c>
      <c r="T481" s="1861"/>
      <c r="U481" s="1819"/>
      <c r="V481" s="1862"/>
      <c r="W481" s="1772"/>
      <c r="X481" s="1772"/>
    </row>
    <row r="482" spans="1:24" ht="13.8">
      <c r="A482" s="1819"/>
      <c r="B482" s="1819" t="s">
        <v>2651</v>
      </c>
      <c r="C482" s="1819"/>
      <c r="D482" s="1865">
        <f>'DCA Underwriting Assumptions'!$R$78</f>
        <v>0.02</v>
      </c>
      <c r="E482" s="1866">
        <f>D482*(G473+G479)</f>
        <v>137148.1</v>
      </c>
      <c r="F482" s="1865">
        <f>'Part IV-A-Uses of Funds'!F36</f>
        <v>1.9999985417224152E-2</v>
      </c>
      <c r="G482" s="1861">
        <f>'Part IV-A-Uses of Funds'!G36</f>
        <v>137148</v>
      </c>
      <c r="H482" s="1861"/>
      <c r="I482" s="1827"/>
      <c r="J482" s="1861">
        <f>'Part IV-A-Uses of Funds'!J36</f>
        <v>137148</v>
      </c>
      <c r="K482" s="1861"/>
      <c r="L482" s="1832"/>
      <c r="M482" s="1861">
        <f>'Part IV-A-Uses of Funds'!M36</f>
        <v>0</v>
      </c>
      <c r="N482" s="1861"/>
      <c r="O482" s="1819"/>
      <c r="P482" s="1861">
        <f>'Part IV-A-Uses of Funds'!P36</f>
        <v>0</v>
      </c>
      <c r="Q482" s="1861"/>
      <c r="R482" s="1819"/>
      <c r="S482" s="1861">
        <f>'Part IV-A-Uses of Funds'!S36</f>
        <v>0</v>
      </c>
      <c r="T482" s="1861"/>
      <c r="U482" s="1819"/>
      <c r="V482" s="1862"/>
      <c r="W482" s="1772"/>
      <c r="X482" s="1772"/>
    </row>
    <row r="483" spans="1:24" ht="13.8">
      <c r="A483" s="1819"/>
      <c r="B483" s="1819" t="s">
        <v>2652</v>
      </c>
      <c r="C483" s="1819"/>
      <c r="D483" s="1865">
        <f>'DCA Underwriting Assumptions'!$R$79</f>
        <v>0.06</v>
      </c>
      <c r="E483" s="1866">
        <f>D483*(G473+G479)</f>
        <v>411444.3</v>
      </c>
      <c r="F483" s="1865">
        <f>'Part IV-A-Uses of Funds'!F37</f>
        <v>5.9999956251672461E-2</v>
      </c>
      <c r="G483" s="1861">
        <f>'Part IV-A-Uses of Funds'!G37</f>
        <v>411444</v>
      </c>
      <c r="H483" s="1861"/>
      <c r="I483" s="1827"/>
      <c r="J483" s="1861">
        <f>'Part IV-A-Uses of Funds'!J37</f>
        <v>411444</v>
      </c>
      <c r="K483" s="1861"/>
      <c r="L483" s="1832"/>
      <c r="M483" s="1861">
        <f>'Part IV-A-Uses of Funds'!M37</f>
        <v>0</v>
      </c>
      <c r="N483" s="1861"/>
      <c r="O483" s="1819"/>
      <c r="P483" s="1861">
        <f>'Part IV-A-Uses of Funds'!P37</f>
        <v>0</v>
      </c>
      <c r="Q483" s="1861"/>
      <c r="R483" s="1819"/>
      <c r="S483" s="1861">
        <f>'Part IV-A-Uses of Funds'!S37</f>
        <v>0</v>
      </c>
      <c r="T483" s="1861"/>
      <c r="U483" s="1819"/>
      <c r="V483" s="1862"/>
      <c r="W483" s="1772"/>
      <c r="X483" s="1772"/>
    </row>
    <row r="484" spans="1:24" ht="13.8">
      <c r="A484" s="1819"/>
      <c r="B484" s="1822" t="s">
        <v>3548</v>
      </c>
      <c r="C484" s="1819"/>
      <c r="D484" s="2081">
        <f>SUM(D481:D483)</f>
        <v>0.14000000000000001</v>
      </c>
      <c r="E484" s="2082">
        <f>SUM(E481:E483)</f>
        <v>960036.7</v>
      </c>
      <c r="F484" s="1826" t="s">
        <v>187</v>
      </c>
      <c r="G484" s="1861">
        <f>SUM(G481:H483)</f>
        <v>960036</v>
      </c>
      <c r="H484" s="1861"/>
      <c r="I484" s="1819"/>
      <c r="J484" s="1861">
        <f>SUM(J481:K483)</f>
        <v>960036</v>
      </c>
      <c r="K484" s="1861"/>
      <c r="L484" s="1832"/>
      <c r="M484" s="1861">
        <f>SUM(M481:N483)</f>
        <v>0</v>
      </c>
      <c r="N484" s="1861"/>
      <c r="O484" s="1819"/>
      <c r="P484" s="1861">
        <f>SUM(P481:Q483)</f>
        <v>0</v>
      </c>
      <c r="Q484" s="1861"/>
      <c r="R484" s="1819"/>
      <c r="S484" s="1861">
        <f>SUM(S481:T483)</f>
        <v>0</v>
      </c>
      <c r="T484" s="1861"/>
      <c r="U484" s="1819"/>
      <c r="V484" s="1862">
        <f>SUM(V481:V483)</f>
        <v>0</v>
      </c>
      <c r="W484" s="1772"/>
      <c r="X484" s="1772"/>
    </row>
    <row r="485" spans="1:24" ht="13.8">
      <c r="A485" s="1821"/>
      <c r="B485" s="1821"/>
      <c r="C485" s="1821"/>
      <c r="D485" s="1821"/>
      <c r="E485" s="1821"/>
      <c r="F485" s="1821"/>
      <c r="G485" s="1821"/>
      <c r="H485" s="1821"/>
      <c r="I485" s="1821"/>
      <c r="J485" s="1821"/>
      <c r="K485" s="1821"/>
      <c r="L485" s="1821"/>
      <c r="M485" s="1821"/>
      <c r="N485" s="1821"/>
      <c r="O485" s="1821"/>
      <c r="P485" s="1821"/>
      <c r="Q485" s="1821"/>
      <c r="R485" s="1821"/>
      <c r="S485" s="1821"/>
      <c r="T485" s="1821"/>
      <c r="U485" s="1819"/>
      <c r="V485" s="1862"/>
      <c r="W485" s="1819"/>
      <c r="X485" s="1819"/>
    </row>
    <row r="486" spans="1:24" ht="13.8">
      <c r="A486" s="1819"/>
      <c r="B486" s="1819" t="s">
        <v>6822</v>
      </c>
      <c r="C486" s="1819"/>
      <c r="D486" s="1819"/>
      <c r="E486" s="1819"/>
      <c r="F486" s="1819"/>
      <c r="G486" s="1819"/>
      <c r="H486" s="1819"/>
      <c r="I486" s="1819"/>
      <c r="J486" s="1832"/>
      <c r="K486" s="1861"/>
      <c r="L486" s="1819"/>
      <c r="M486" s="1832"/>
      <c r="N486" s="1861"/>
      <c r="O486" s="1832" t="str">
        <f>B486</f>
        <v>OTHER CONSTRUCTION HARD COSTS (Non-GC work scope items done by Owner)</v>
      </c>
      <c r="P486" s="1832"/>
      <c r="Q486" s="1861"/>
      <c r="R486" s="1819"/>
      <c r="S486" s="1832"/>
      <c r="T486" s="1861"/>
      <c r="U486" s="1819"/>
      <c r="V486" s="1862"/>
      <c r="W486" s="1819" t="str">
        <f>B486</f>
        <v>OTHER CONSTRUCTION HARD COSTS (Non-GC work scope items done by Owner)</v>
      </c>
      <c r="X486" s="1819"/>
    </row>
    <row r="487" spans="1:24" ht="13.95" customHeight="1">
      <c r="A487" s="1827"/>
      <c r="B487" s="1819" t="s">
        <v>723</v>
      </c>
      <c r="C487" s="1849" t="str">
        <f>'Part IV-A-Uses of Funds'!C41</f>
        <v>&lt;&lt; Enter description here; provide detail &amp; justification in tab Part IV-b &gt;&gt;</v>
      </c>
      <c r="D487" s="1849"/>
      <c r="E487" s="1849"/>
      <c r="F487" s="1849"/>
      <c r="G487" s="1861">
        <f>'Part IV-A-Uses of Funds'!G41</f>
        <v>0</v>
      </c>
      <c r="H487" s="1861"/>
      <c r="I487" s="1819"/>
      <c r="J487" s="1861">
        <f>'Part IV-A-Uses of Funds'!J41</f>
        <v>0</v>
      </c>
      <c r="K487" s="1861"/>
      <c r="L487" s="1832"/>
      <c r="M487" s="1861">
        <f>'Part IV-A-Uses of Funds'!M41</f>
        <v>0</v>
      </c>
      <c r="N487" s="1861"/>
      <c r="O487" s="1819"/>
      <c r="P487" s="1861">
        <f>'Part IV-A-Uses of Funds'!P41</f>
        <v>0</v>
      </c>
      <c r="Q487" s="1861"/>
      <c r="R487" s="1819"/>
      <c r="S487" s="1861">
        <f>'Part IV-A-Uses of Funds'!S41</f>
        <v>0</v>
      </c>
      <c r="T487" s="1861"/>
      <c r="U487" s="1827"/>
      <c r="V487" s="1862"/>
      <c r="W487" s="1772"/>
      <c r="X487" s="1772"/>
    </row>
    <row r="488" spans="1:24" ht="13.8">
      <c r="A488" s="1821"/>
      <c r="B488" s="1821"/>
      <c r="C488" s="1821"/>
      <c r="D488" s="1821"/>
      <c r="E488" s="1821"/>
      <c r="F488" s="1821"/>
      <c r="G488" s="1821"/>
      <c r="H488" s="1821"/>
      <c r="I488" s="1821"/>
      <c r="J488" s="1821"/>
      <c r="K488" s="1821"/>
      <c r="L488" s="1821"/>
      <c r="M488" s="1821"/>
      <c r="N488" s="1821"/>
      <c r="O488" s="1821"/>
      <c r="P488" s="1821"/>
      <c r="Q488" s="1821"/>
      <c r="R488" s="1821"/>
      <c r="S488" s="1821"/>
      <c r="T488" s="1821"/>
      <c r="U488" s="1819"/>
      <c r="V488" s="1862"/>
      <c r="W488" s="1772"/>
      <c r="X488" s="1772"/>
    </row>
    <row r="489" spans="1:24" ht="13.95" customHeight="1">
      <c r="A489" s="1819"/>
      <c r="B489" s="1844" t="s">
        <v>6899</v>
      </c>
      <c r="C489" s="1819"/>
      <c r="D489" s="1819"/>
      <c r="E489" s="1819" t="s">
        <v>2659</v>
      </c>
      <c r="F489" s="2083">
        <f>B490/'Part VI-Revenues &amp; Expenses'!$P$65</f>
        <v>108575.56944444444</v>
      </c>
      <c r="G489" s="2084" t="s">
        <v>6900</v>
      </c>
      <c r="H489" s="1819"/>
      <c r="I489" s="1819"/>
      <c r="J489" s="1880">
        <f>B490/'Part VI-Revenues &amp; Expenses'!$P$67</f>
        <v>108575.56944444444</v>
      </c>
      <c r="K489" s="1880"/>
      <c r="L489" s="1819"/>
      <c r="M489" s="2085" t="s">
        <v>1375</v>
      </c>
      <c r="N489" s="2085"/>
      <c r="O489" s="1819"/>
      <c r="P489" s="1880">
        <f>B490/'Part I-Project Information'!$P$75</f>
        <v>110.76784980517181</v>
      </c>
      <c r="Q489" s="1880"/>
      <c r="R489" s="1819"/>
      <c r="S489" s="1822" t="s">
        <v>2687</v>
      </c>
      <c r="T489" s="1822"/>
      <c r="U489" s="1819"/>
      <c r="V489" s="1862"/>
      <c r="W489" s="1772"/>
      <c r="X489" s="1772"/>
    </row>
    <row r="490" spans="1:24" ht="13.8">
      <c r="A490" s="1819"/>
      <c r="B490" s="2086">
        <f>G473+G479+G484+G487</f>
        <v>7817441</v>
      </c>
      <c r="C490" s="2086"/>
      <c r="D490" s="1819"/>
      <c r="E490" s="1819"/>
      <c r="F490" s="2083">
        <f>B490/'Part VI-Revenues &amp; Expenses'!$P$168</f>
        <v>114.96236764705883</v>
      </c>
      <c r="G490" s="1822" t="s">
        <v>6901</v>
      </c>
      <c r="H490" s="1819"/>
      <c r="I490" s="1819"/>
      <c r="J490" s="1880">
        <f>B490/'Part VI-Revenues &amp; Expenses'!$P$170</f>
        <v>114.96236764705883</v>
      </c>
      <c r="K490" s="1880"/>
      <c r="L490" s="1819"/>
      <c r="M490" s="1822" t="s">
        <v>2686</v>
      </c>
      <c r="N490" s="1822"/>
      <c r="O490" s="1819"/>
      <c r="P490" s="1819"/>
      <c r="Q490" s="1819"/>
      <c r="R490" s="1819"/>
      <c r="S490" s="1819"/>
      <c r="T490" s="1819"/>
      <c r="U490" s="1819"/>
      <c r="V490" s="1862"/>
      <c r="W490" s="1772"/>
      <c r="X490" s="1772"/>
    </row>
    <row r="491" spans="1:24" ht="13.8">
      <c r="A491" s="1821"/>
      <c r="B491" s="1821"/>
      <c r="C491" s="1821"/>
      <c r="D491" s="1821"/>
      <c r="E491" s="1821"/>
      <c r="F491" s="1821"/>
      <c r="G491" s="1821"/>
      <c r="H491" s="1821"/>
      <c r="I491" s="1821"/>
      <c r="J491" s="1821"/>
      <c r="K491" s="1821"/>
      <c r="L491" s="1821"/>
      <c r="M491" s="1821"/>
      <c r="N491" s="1821"/>
      <c r="O491" s="1821"/>
      <c r="P491" s="1821"/>
      <c r="Q491" s="1821"/>
      <c r="R491" s="1821"/>
      <c r="S491" s="1821"/>
      <c r="T491" s="1821"/>
      <c r="U491" s="1819"/>
      <c r="V491" s="1862"/>
      <c r="W491" s="1819"/>
      <c r="X491" s="1819"/>
    </row>
    <row r="492" spans="1:24" ht="13.8">
      <c r="A492" s="1819"/>
      <c r="B492" s="1819" t="s">
        <v>1104</v>
      </c>
      <c r="C492" s="1819"/>
      <c r="D492" s="1819"/>
      <c r="E492" s="1819"/>
      <c r="F492" s="1867" t="s">
        <v>3837</v>
      </c>
      <c r="G492" s="1819"/>
      <c r="H492" s="1819"/>
      <c r="I492" s="1819"/>
      <c r="J492" s="1832"/>
      <c r="K492" s="1861"/>
      <c r="L492" s="1819"/>
      <c r="M492" s="1832"/>
      <c r="N492" s="1861"/>
      <c r="O492" s="1832" t="str">
        <f>B492</f>
        <v>CONSTRUCTION CONTINGENCY</v>
      </c>
      <c r="P492" s="1832"/>
      <c r="Q492" s="1861"/>
      <c r="R492" s="1819"/>
      <c r="S492" s="1832"/>
      <c r="T492" s="1861"/>
      <c r="U492" s="1819"/>
      <c r="V492" s="1862"/>
      <c r="W492" s="1819" t="str">
        <f>B492</f>
        <v>CONSTRUCTION CONTINGENCY</v>
      </c>
      <c r="X492" s="1819"/>
    </row>
    <row r="493" spans="1:24" ht="13.8">
      <c r="A493" s="1827"/>
      <c r="B493" s="1819" t="s">
        <v>1914</v>
      </c>
      <c r="C493" s="1827"/>
      <c r="D493" s="1868" t="s">
        <v>3836</v>
      </c>
      <c r="E493" s="2087">
        <f>'Part IV-A-Uses of Funds'!E47</f>
        <v>390872.05000000005</v>
      </c>
      <c r="F493" s="1869">
        <f>G493/B490</f>
        <v>4.9999993604045112E-2</v>
      </c>
      <c r="G493" s="1861">
        <f>'Part IV-A-Uses of Funds'!G47</f>
        <v>390872</v>
      </c>
      <c r="H493" s="1861"/>
      <c r="I493" s="1819"/>
      <c r="J493" s="1861">
        <f>'Part IV-A-Uses of Funds'!J47</f>
        <v>390872</v>
      </c>
      <c r="K493" s="1861"/>
      <c r="L493" s="1832"/>
      <c r="M493" s="1861">
        <f>'Part IV-A-Uses of Funds'!M47</f>
        <v>0</v>
      </c>
      <c r="N493" s="1861"/>
      <c r="O493" s="1819"/>
      <c r="P493" s="1861">
        <f>'Part IV-A-Uses of Funds'!P47</f>
        <v>0</v>
      </c>
      <c r="Q493" s="1861"/>
      <c r="R493" s="1819"/>
      <c r="S493" s="1861">
        <f>'Part IV-A-Uses of Funds'!S47</f>
        <v>0</v>
      </c>
      <c r="T493" s="1861"/>
      <c r="U493" s="1827"/>
      <c r="V493" s="1862"/>
      <c r="W493" s="1772"/>
      <c r="X493" s="1772"/>
    </row>
    <row r="494" spans="1:24" ht="13.8">
      <c r="A494" s="1821"/>
      <c r="B494" s="1821"/>
      <c r="C494" s="1821"/>
      <c r="D494" s="1821"/>
      <c r="E494" s="1821"/>
      <c r="F494" s="1821"/>
      <c r="G494" s="1821"/>
      <c r="H494" s="1821"/>
      <c r="I494" s="1821"/>
      <c r="J494" s="1821"/>
      <c r="K494" s="1821"/>
      <c r="L494" s="1821"/>
      <c r="M494" s="1821"/>
      <c r="N494" s="1821"/>
      <c r="O494" s="1821"/>
      <c r="P494" s="1821"/>
      <c r="Q494" s="1821"/>
      <c r="R494" s="1821"/>
      <c r="S494" s="1821"/>
      <c r="T494" s="1821"/>
      <c r="U494" s="1819"/>
      <c r="V494" s="1862"/>
      <c r="W494" s="1819"/>
      <c r="X494" s="1819"/>
    </row>
    <row r="495" spans="1:24" ht="13.95" customHeight="1">
      <c r="A495" s="2075" t="s">
        <v>598</v>
      </c>
      <c r="B495" s="2075" t="s">
        <v>6968</v>
      </c>
      <c r="C495" s="1819"/>
      <c r="D495" s="1819"/>
      <c r="E495" s="1819"/>
      <c r="F495" s="1819"/>
      <c r="G495" s="1819"/>
      <c r="H495" s="1819"/>
      <c r="I495" s="1819"/>
      <c r="J495" s="1819" t="s">
        <v>266</v>
      </c>
      <c r="K495" s="1819"/>
      <c r="L495" s="1861"/>
      <c r="M495" s="1861" t="s">
        <v>479</v>
      </c>
      <c r="N495" s="1861"/>
      <c r="O495" s="1819"/>
      <c r="P495" s="1819" t="s">
        <v>267</v>
      </c>
      <c r="Q495" s="1819"/>
      <c r="R495" s="1819"/>
      <c r="S495" s="1819" t="s">
        <v>268</v>
      </c>
      <c r="T495" s="1819"/>
      <c r="U495" s="1819"/>
      <c r="V495" s="1862"/>
      <c r="W495" s="1963" t="str">
        <f>B495</f>
        <v>DEVELOPMENT BUDGET (cont'd)</v>
      </c>
      <c r="X495" s="1819"/>
    </row>
    <row r="496" spans="1:24" ht="13.8">
      <c r="A496" s="1819"/>
      <c r="B496" s="1819"/>
      <c r="C496" s="1819"/>
      <c r="D496" s="1819"/>
      <c r="E496" s="1819"/>
      <c r="F496" s="1819"/>
      <c r="G496" s="1819" t="s">
        <v>98</v>
      </c>
      <c r="H496" s="1819"/>
      <c r="I496" s="1819"/>
      <c r="J496" s="1819"/>
      <c r="K496" s="1819"/>
      <c r="L496" s="1861"/>
      <c r="M496" s="1861"/>
      <c r="N496" s="1861"/>
      <c r="O496" s="1819"/>
      <c r="P496" s="1819"/>
      <c r="Q496" s="1819"/>
      <c r="R496" s="1819"/>
      <c r="S496" s="1819"/>
      <c r="T496" s="1819"/>
      <c r="U496" s="1819"/>
      <c r="V496" s="1862"/>
      <c r="W496" s="1827" t="s">
        <v>2607</v>
      </c>
      <c r="X496" s="1827"/>
    </row>
    <row r="497" spans="1:24" ht="13.8">
      <c r="A497" s="1819"/>
      <c r="B497" s="1819" t="s">
        <v>704</v>
      </c>
      <c r="C497" s="1819"/>
      <c r="D497" s="1819"/>
      <c r="E497" s="1819"/>
      <c r="F497" s="1819"/>
      <c r="G497" s="1819"/>
      <c r="H497" s="1819"/>
      <c r="I497" s="1819"/>
      <c r="J497" s="1832"/>
      <c r="K497" s="1861"/>
      <c r="L497" s="1819"/>
      <c r="M497" s="1832"/>
      <c r="N497" s="1861"/>
      <c r="O497" s="1832" t="str">
        <f>B497</f>
        <v>CONSTRUCTION PERIOD FINANCING</v>
      </c>
      <c r="P497" s="1832"/>
      <c r="Q497" s="1861"/>
      <c r="R497" s="1819"/>
      <c r="S497" s="1832"/>
      <c r="T497" s="1861"/>
      <c r="U497" s="1819"/>
      <c r="V497" s="1862"/>
      <c r="W497" s="1819" t="str">
        <f>B497</f>
        <v>CONSTRUCTION PERIOD FINANCING</v>
      </c>
      <c r="X497" s="1819"/>
    </row>
    <row r="498" spans="1:24" ht="13.8">
      <c r="A498" s="1819"/>
      <c r="B498" s="1819" t="s">
        <v>3549</v>
      </c>
      <c r="C498" s="1819"/>
      <c r="D498" s="1819"/>
      <c r="E498" s="1819"/>
      <c r="F498" s="1819"/>
      <c r="G498" s="1861">
        <f>'Part IV-A-Uses of Funds'!G52</f>
        <v>55901</v>
      </c>
      <c r="H498" s="1861"/>
      <c r="I498" s="1819"/>
      <c r="J498" s="1861">
        <f>'Part IV-A-Uses of Funds'!J52</f>
        <v>55901</v>
      </c>
      <c r="K498" s="1861"/>
      <c r="L498" s="1832"/>
      <c r="M498" s="1861">
        <f>'Part IV-A-Uses of Funds'!M52</f>
        <v>0</v>
      </c>
      <c r="N498" s="1861"/>
      <c r="O498" s="1819"/>
      <c r="P498" s="1861">
        <f>'Part IV-A-Uses of Funds'!P52</f>
        <v>0</v>
      </c>
      <c r="Q498" s="1861"/>
      <c r="R498" s="1819"/>
      <c r="S498" s="1861">
        <f>'Part IV-A-Uses of Funds'!S52</f>
        <v>0</v>
      </c>
      <c r="T498" s="1861"/>
      <c r="U498" s="1819"/>
      <c r="V498" s="1862"/>
      <c r="W498" s="1772"/>
      <c r="X498" s="1772"/>
    </row>
    <row r="499" spans="1:24" ht="13.8">
      <c r="A499" s="1819"/>
      <c r="B499" s="1819" t="s">
        <v>3550</v>
      </c>
      <c r="C499" s="1819"/>
      <c r="D499" s="1819"/>
      <c r="E499" s="1819"/>
      <c r="F499" s="1819"/>
      <c r="G499" s="1861">
        <f>'Part IV-A-Uses of Funds'!G53</f>
        <v>328260</v>
      </c>
      <c r="H499" s="1861"/>
      <c r="I499" s="1819"/>
      <c r="J499" s="1861">
        <f>'Part IV-A-Uses of Funds'!J53</f>
        <v>228859</v>
      </c>
      <c r="K499" s="1861"/>
      <c r="L499" s="1832"/>
      <c r="M499" s="1861">
        <f>'Part IV-A-Uses of Funds'!M53</f>
        <v>0</v>
      </c>
      <c r="N499" s="1861"/>
      <c r="O499" s="1819"/>
      <c r="P499" s="1861">
        <f>'Part IV-A-Uses of Funds'!P53</f>
        <v>0</v>
      </c>
      <c r="Q499" s="1861"/>
      <c r="R499" s="1819"/>
      <c r="S499" s="1861">
        <f>'Part IV-A-Uses of Funds'!S53</f>
        <v>99401</v>
      </c>
      <c r="T499" s="1861"/>
      <c r="U499" s="1819"/>
      <c r="V499" s="1862"/>
      <c r="W499" s="1772"/>
      <c r="X499" s="1772"/>
    </row>
    <row r="500" spans="1:24" ht="13.8">
      <c r="A500" s="1819"/>
      <c r="B500" s="1819" t="s">
        <v>2287</v>
      </c>
      <c r="C500" s="1819"/>
      <c r="D500" s="1819"/>
      <c r="E500" s="1819"/>
      <c r="F500" s="1819"/>
      <c r="G500" s="1861">
        <f>'Part IV-A-Uses of Funds'!G54</f>
        <v>6975</v>
      </c>
      <c r="H500" s="1861"/>
      <c r="I500" s="1819"/>
      <c r="J500" s="1861">
        <f>'Part IV-A-Uses of Funds'!J54</f>
        <v>6975</v>
      </c>
      <c r="K500" s="1861"/>
      <c r="L500" s="1832"/>
      <c r="M500" s="1861">
        <f>'Part IV-A-Uses of Funds'!M54</f>
        <v>0</v>
      </c>
      <c r="N500" s="1861"/>
      <c r="O500" s="1819"/>
      <c r="P500" s="1861">
        <f>'Part IV-A-Uses of Funds'!P54</f>
        <v>0</v>
      </c>
      <c r="Q500" s="1861"/>
      <c r="R500" s="1819"/>
      <c r="S500" s="1861">
        <f>'Part IV-A-Uses of Funds'!S54</f>
        <v>0</v>
      </c>
      <c r="T500" s="1861"/>
      <c r="U500" s="1819"/>
      <c r="V500" s="1862"/>
      <c r="W500" s="1772"/>
      <c r="X500" s="1772"/>
    </row>
    <row r="501" spans="1:24" ht="13.8">
      <c r="A501" s="1819"/>
      <c r="B501" s="1819" t="s">
        <v>2288</v>
      </c>
      <c r="C501" s="1819"/>
      <c r="D501" s="1819"/>
      <c r="E501" s="1819"/>
      <c r="F501" s="1819"/>
      <c r="G501" s="1861">
        <f>'Part IV-A-Uses of Funds'!G55</f>
        <v>40944</v>
      </c>
      <c r="H501" s="1861"/>
      <c r="I501" s="1819"/>
      <c r="J501" s="1861">
        <f>'Part IV-A-Uses of Funds'!J55</f>
        <v>28546</v>
      </c>
      <c r="K501" s="1861"/>
      <c r="L501" s="1832"/>
      <c r="M501" s="1861">
        <f>'Part IV-A-Uses of Funds'!M55</f>
        <v>0</v>
      </c>
      <c r="N501" s="1861"/>
      <c r="O501" s="1819"/>
      <c r="P501" s="1861">
        <f>'Part IV-A-Uses of Funds'!P55</f>
        <v>0</v>
      </c>
      <c r="Q501" s="1861"/>
      <c r="R501" s="1819"/>
      <c r="S501" s="1861">
        <f>'Part IV-A-Uses of Funds'!S55</f>
        <v>12398</v>
      </c>
      <c r="T501" s="1861"/>
      <c r="U501" s="1819"/>
      <c r="V501" s="1862"/>
      <c r="W501" s="1772"/>
      <c r="X501" s="1772"/>
    </row>
    <row r="502" spans="1:24" ht="13.8">
      <c r="A502" s="1819"/>
      <c r="B502" s="1819" t="s">
        <v>2289</v>
      </c>
      <c r="C502" s="1819"/>
      <c r="D502" s="1819"/>
      <c r="E502" s="1819"/>
      <c r="F502" s="1819"/>
      <c r="G502" s="1861">
        <f>'Part IV-A-Uses of Funds'!G56</f>
        <v>51000</v>
      </c>
      <c r="H502" s="1861"/>
      <c r="I502" s="1819"/>
      <c r="J502" s="1861">
        <f>'Part IV-A-Uses of Funds'!J56</f>
        <v>51000</v>
      </c>
      <c r="K502" s="1861"/>
      <c r="L502" s="1832"/>
      <c r="M502" s="1861">
        <f>'Part IV-A-Uses of Funds'!M56</f>
        <v>0</v>
      </c>
      <c r="N502" s="1861"/>
      <c r="O502" s="1819"/>
      <c r="P502" s="1861">
        <f>'Part IV-A-Uses of Funds'!P56</f>
        <v>0</v>
      </c>
      <c r="Q502" s="1861"/>
      <c r="R502" s="1819"/>
      <c r="S502" s="1861">
        <f>'Part IV-A-Uses of Funds'!S56</f>
        <v>0</v>
      </c>
      <c r="T502" s="1861"/>
      <c r="U502" s="1819"/>
      <c r="V502" s="1862"/>
      <c r="W502" s="1772"/>
      <c r="X502" s="1772"/>
    </row>
    <row r="503" spans="1:24" ht="13.8">
      <c r="A503" s="1819"/>
      <c r="B503" s="1819" t="s">
        <v>2610</v>
      </c>
      <c r="C503" s="1819"/>
      <c r="D503" s="1819"/>
      <c r="E503" s="1819"/>
      <c r="F503" s="1819"/>
      <c r="G503" s="1861">
        <f>'Part IV-A-Uses of Funds'!G57</f>
        <v>11200</v>
      </c>
      <c r="H503" s="1861"/>
      <c r="I503" s="1819"/>
      <c r="J503" s="1861">
        <f>'Part IV-A-Uses of Funds'!J57</f>
        <v>11200</v>
      </c>
      <c r="K503" s="1861"/>
      <c r="L503" s="1832"/>
      <c r="M503" s="1861">
        <f>'Part IV-A-Uses of Funds'!M57</f>
        <v>0</v>
      </c>
      <c r="N503" s="1861"/>
      <c r="O503" s="1819"/>
      <c r="P503" s="1861">
        <f>'Part IV-A-Uses of Funds'!P57</f>
        <v>0</v>
      </c>
      <c r="Q503" s="1861"/>
      <c r="R503" s="1819"/>
      <c r="S503" s="1861">
        <f>'Part IV-A-Uses of Funds'!S57</f>
        <v>0</v>
      </c>
      <c r="T503" s="1861"/>
      <c r="U503" s="1819"/>
      <c r="V503" s="1862"/>
      <c r="W503" s="1772"/>
      <c r="X503" s="1772"/>
    </row>
    <row r="504" spans="1:24" ht="13.8">
      <c r="A504" s="1819"/>
      <c r="B504" s="1819" t="s">
        <v>705</v>
      </c>
      <c r="C504" s="1819"/>
      <c r="D504" s="1819"/>
      <c r="E504" s="1819"/>
      <c r="F504" s="1819"/>
      <c r="G504" s="1861">
        <f>'Part IV-A-Uses of Funds'!G58</f>
        <v>10000</v>
      </c>
      <c r="H504" s="1861"/>
      <c r="I504" s="1819"/>
      <c r="J504" s="1861">
        <f>'Part IV-A-Uses of Funds'!J58</f>
        <v>10000</v>
      </c>
      <c r="K504" s="1861"/>
      <c r="L504" s="1832"/>
      <c r="M504" s="1861">
        <f>'Part IV-A-Uses of Funds'!M58</f>
        <v>0</v>
      </c>
      <c r="N504" s="1861"/>
      <c r="O504" s="1819"/>
      <c r="P504" s="1861">
        <f>'Part IV-A-Uses of Funds'!P58</f>
        <v>0</v>
      </c>
      <c r="Q504" s="1861"/>
      <c r="R504" s="1819"/>
      <c r="S504" s="1861">
        <f>'Part IV-A-Uses of Funds'!S58</f>
        <v>0</v>
      </c>
      <c r="T504" s="1861"/>
      <c r="U504" s="1819"/>
      <c r="V504" s="1862"/>
      <c r="W504" s="1772"/>
      <c r="X504" s="1772"/>
    </row>
    <row r="505" spans="1:24" ht="13.8">
      <c r="A505" s="1819"/>
      <c r="B505" s="1819" t="s">
        <v>2290</v>
      </c>
      <c r="C505" s="1819"/>
      <c r="D505" s="1819"/>
      <c r="E505" s="1819"/>
      <c r="F505" s="1819"/>
      <c r="G505" s="1861">
        <f>'Part IV-A-Uses of Funds'!G59</f>
        <v>82000</v>
      </c>
      <c r="H505" s="1861"/>
      <c r="I505" s="1819"/>
      <c r="J505" s="1861">
        <f>'Part IV-A-Uses of Funds'!J59</f>
        <v>82000</v>
      </c>
      <c r="K505" s="1861"/>
      <c r="L505" s="1832"/>
      <c r="M505" s="1861">
        <f>'Part IV-A-Uses of Funds'!M59</f>
        <v>0</v>
      </c>
      <c r="N505" s="1861"/>
      <c r="O505" s="1819"/>
      <c r="P505" s="1861">
        <f>'Part IV-A-Uses of Funds'!P59</f>
        <v>0</v>
      </c>
      <c r="Q505" s="1861"/>
      <c r="R505" s="1819"/>
      <c r="S505" s="1861">
        <f>'Part IV-A-Uses of Funds'!S59</f>
        <v>0</v>
      </c>
      <c r="T505" s="1861"/>
      <c r="U505" s="1819"/>
      <c r="V505" s="1862"/>
      <c r="W505" s="1772"/>
      <c r="X505" s="1772"/>
    </row>
    <row r="506" spans="1:24" ht="13.8">
      <c r="A506" s="1819"/>
      <c r="B506" s="1819" t="s">
        <v>1250</v>
      </c>
      <c r="C506" s="1819"/>
      <c r="D506" s="1819"/>
      <c r="E506" s="1819"/>
      <c r="F506" s="1819"/>
      <c r="G506" s="1861">
        <f>'Part IV-A-Uses of Funds'!G60</f>
        <v>79500</v>
      </c>
      <c r="H506" s="1861"/>
      <c r="I506" s="1819"/>
      <c r="J506" s="1861">
        <f>'Part IV-A-Uses of Funds'!J60</f>
        <v>3816</v>
      </c>
      <c r="K506" s="1861"/>
      <c r="L506" s="1832"/>
      <c r="M506" s="1861">
        <f>'Part IV-A-Uses of Funds'!M60</f>
        <v>0</v>
      </c>
      <c r="N506" s="1861"/>
      <c r="O506" s="1819"/>
      <c r="P506" s="1861">
        <f>'Part IV-A-Uses of Funds'!P60</f>
        <v>0</v>
      </c>
      <c r="Q506" s="1861"/>
      <c r="R506" s="1819"/>
      <c r="S506" s="1861">
        <f>'Part IV-A-Uses of Funds'!S60</f>
        <v>75684</v>
      </c>
      <c r="T506" s="1861"/>
      <c r="U506" s="1819"/>
      <c r="V506" s="1862"/>
      <c r="W506" s="1772"/>
      <c r="X506" s="1772"/>
    </row>
    <row r="507" spans="1:24" ht="13.8">
      <c r="A507" s="1819"/>
      <c r="B507" s="1870" t="s">
        <v>1131</v>
      </c>
      <c r="C507" s="1819"/>
      <c r="D507" s="1869"/>
      <c r="E507" s="1869"/>
      <c r="F507" s="1871"/>
      <c r="G507" s="1861">
        <f>'Part IV-A-Uses of Funds'!G61</f>
        <v>0</v>
      </c>
      <c r="H507" s="1861"/>
      <c r="I507" s="1827"/>
      <c r="J507" s="1861">
        <f>'Part IV-A-Uses of Funds'!J61</f>
        <v>0</v>
      </c>
      <c r="K507" s="1861"/>
      <c r="L507" s="1832"/>
      <c r="M507" s="1861">
        <f>'Part IV-A-Uses of Funds'!M61</f>
        <v>0</v>
      </c>
      <c r="N507" s="1861"/>
      <c r="O507" s="1819"/>
      <c r="P507" s="1861">
        <f>'Part IV-A-Uses of Funds'!P61</f>
        <v>0</v>
      </c>
      <c r="Q507" s="1861"/>
      <c r="R507" s="1819"/>
      <c r="S507" s="1861">
        <f>'Part IV-A-Uses of Funds'!S61</f>
        <v>0</v>
      </c>
      <c r="T507" s="1861"/>
      <c r="U507" s="1819"/>
      <c r="V507" s="1862"/>
      <c r="W507" s="1772"/>
      <c r="X507" s="1772"/>
    </row>
    <row r="508" spans="1:24" ht="15.6" customHeight="1">
      <c r="A508" s="2077" t="str">
        <f>IF(AND(G508&gt;0,OR(C508="",C508="&lt;Enter detailed description here; use Comments section if needed&gt;")),"X","")</f>
        <v/>
      </c>
      <c r="B508" s="1819" t="s">
        <v>723</v>
      </c>
      <c r="C508" s="1849" t="str">
        <f>'Part IV-A-Uses of Funds'!C62</f>
        <v xml:space="preserve">Bank Miscellaneous Fees </v>
      </c>
      <c r="D508" s="1849"/>
      <c r="E508" s="1849"/>
      <c r="F508" s="1849"/>
      <c r="G508" s="1861">
        <f>'Part IV-A-Uses of Funds'!G62</f>
        <v>9000</v>
      </c>
      <c r="H508" s="1861"/>
      <c r="I508" s="1819"/>
      <c r="J508" s="1861">
        <f>'Part IV-A-Uses of Funds'!J62</f>
        <v>9000</v>
      </c>
      <c r="K508" s="1861"/>
      <c r="L508" s="1832"/>
      <c r="M508" s="1861">
        <f>'Part IV-A-Uses of Funds'!M62</f>
        <v>0</v>
      </c>
      <c r="N508" s="1861"/>
      <c r="O508" s="1819"/>
      <c r="P508" s="1861">
        <f>'Part IV-A-Uses of Funds'!P62</f>
        <v>0</v>
      </c>
      <c r="Q508" s="1861"/>
      <c r="R508" s="1819"/>
      <c r="S508" s="1861">
        <f>'Part IV-A-Uses of Funds'!S62</f>
        <v>0</v>
      </c>
      <c r="T508" s="1861"/>
      <c r="U508" s="1823" t="str">
        <f>IF(AND(G508&gt;0,OR(C508="",C508="&lt;Enter detailed description here; use Comments section if needed&gt;")),"NO DESCRIPTION PROVIDED - please enter detailed description in Other box at left; use Comments section below if needed.","")</f>
        <v/>
      </c>
      <c r="V508" s="1862"/>
      <c r="W508" s="1772"/>
      <c r="X508" s="1772"/>
    </row>
    <row r="509" spans="1:24" ht="16.2" customHeight="1">
      <c r="A509" s="2077" t="str">
        <f>IF(AND(G509&gt;0,OR(C509="",C509="&lt;Enter detailed description here; use Comments section if needed&gt;")),"X","")</f>
        <v/>
      </c>
      <c r="B509" s="1819" t="s">
        <v>723</v>
      </c>
      <c r="C509" s="1849" t="str">
        <f>'Part IV-A-Uses of Funds'!C63</f>
        <v>City of Columbus Construction Period Interest</v>
      </c>
      <c r="D509" s="1849"/>
      <c r="E509" s="1849"/>
      <c r="F509" s="1849"/>
      <c r="G509" s="1861">
        <f>'Part IV-A-Uses of Funds'!G63</f>
        <v>8855</v>
      </c>
      <c r="H509" s="1861"/>
      <c r="I509" s="1819"/>
      <c r="J509" s="1861">
        <f>'Part IV-A-Uses of Funds'!J63</f>
        <v>8855</v>
      </c>
      <c r="K509" s="1861"/>
      <c r="L509" s="1832"/>
      <c r="M509" s="1861">
        <f>'Part IV-A-Uses of Funds'!M63</f>
        <v>0</v>
      </c>
      <c r="N509" s="1861"/>
      <c r="O509" s="1819"/>
      <c r="P509" s="1861">
        <f>'Part IV-A-Uses of Funds'!P63</f>
        <v>0</v>
      </c>
      <c r="Q509" s="1861"/>
      <c r="R509" s="1819"/>
      <c r="S509" s="1861">
        <f>'Part IV-A-Uses of Funds'!S63</f>
        <v>0</v>
      </c>
      <c r="T509" s="1861"/>
      <c r="U509" s="1823" t="str">
        <f>IF(AND(G509&gt;0,OR(C509="",C509="&lt;Enter detailed description here; use Comments section if needed&gt;")),"NO DESCRIPTION PROVIDED - please enter detailed description in Other box at left; use Comments section below if needed.","")</f>
        <v/>
      </c>
      <c r="V509" s="1862"/>
      <c r="W509" s="1772"/>
      <c r="X509" s="1772"/>
    </row>
    <row r="510" spans="1:24" ht="13.8">
      <c r="A510" s="1819"/>
      <c r="B510" s="1819"/>
      <c r="C510" s="1819"/>
      <c r="D510" s="1819"/>
      <c r="E510" s="1819"/>
      <c r="F510" s="1826" t="s">
        <v>187</v>
      </c>
      <c r="G510" s="1861">
        <f>SUM(G498:H509)</f>
        <v>683635</v>
      </c>
      <c r="H510" s="1861"/>
      <c r="I510" s="1819"/>
      <c r="J510" s="1861">
        <f>SUM(J498:K509)</f>
        <v>496152</v>
      </c>
      <c r="K510" s="1861"/>
      <c r="L510" s="1832"/>
      <c r="M510" s="1861">
        <f>SUM(M498:N509)</f>
        <v>0</v>
      </c>
      <c r="N510" s="1861"/>
      <c r="O510" s="1819"/>
      <c r="P510" s="1861">
        <f>SUM(P498:Q509)</f>
        <v>0</v>
      </c>
      <c r="Q510" s="1861"/>
      <c r="R510" s="1819"/>
      <c r="S510" s="1861">
        <f>SUM(S498:T509)</f>
        <v>187483</v>
      </c>
      <c r="T510" s="1861"/>
      <c r="U510" s="1819"/>
      <c r="V510" s="1862">
        <f>SUM(V498:V509)</f>
        <v>0</v>
      </c>
      <c r="W510" s="1772"/>
      <c r="X510" s="1772"/>
    </row>
    <row r="511" spans="1:24" ht="13.8">
      <c r="A511" s="1819"/>
      <c r="B511" s="1819" t="s">
        <v>467</v>
      </c>
      <c r="C511" s="1819"/>
      <c r="D511" s="1819"/>
      <c r="E511" s="1819"/>
      <c r="F511" s="1819"/>
      <c r="G511" s="1861"/>
      <c r="H511" s="1861"/>
      <c r="I511" s="1819"/>
      <c r="J511" s="1861"/>
      <c r="K511" s="1861"/>
      <c r="L511" s="1819"/>
      <c r="M511" s="1861"/>
      <c r="N511" s="1861"/>
      <c r="O511" s="1832" t="str">
        <f>B511</f>
        <v>PROFESSIONAL SERVICES</v>
      </c>
      <c r="P511" s="1861"/>
      <c r="Q511" s="1861"/>
      <c r="R511" s="1819"/>
      <c r="S511" s="1861"/>
      <c r="T511" s="1861"/>
      <c r="U511" s="1819"/>
      <c r="V511" s="1862"/>
      <c r="W511" s="1819" t="str">
        <f>B511</f>
        <v>PROFESSIONAL SERVICES</v>
      </c>
      <c r="X511" s="1819"/>
    </row>
    <row r="512" spans="1:24" ht="13.8">
      <c r="A512" s="1819"/>
      <c r="B512" s="1819" t="s">
        <v>468</v>
      </c>
      <c r="C512" s="1819"/>
      <c r="D512" s="1819"/>
      <c r="E512" s="1819"/>
      <c r="F512" s="1819"/>
      <c r="G512" s="1861">
        <f>'Part IV-A-Uses of Funds'!G66</f>
        <v>155520</v>
      </c>
      <c r="H512" s="1861"/>
      <c r="I512" s="1819"/>
      <c r="J512" s="1861">
        <f>'Part IV-A-Uses of Funds'!J66</f>
        <v>155520</v>
      </c>
      <c r="K512" s="1861"/>
      <c r="L512" s="1832"/>
      <c r="M512" s="1861">
        <f>'Part IV-A-Uses of Funds'!M66</f>
        <v>0</v>
      </c>
      <c r="N512" s="1861"/>
      <c r="O512" s="1819"/>
      <c r="P512" s="1861">
        <f>'Part IV-A-Uses of Funds'!P66</f>
        <v>0</v>
      </c>
      <c r="Q512" s="1861"/>
      <c r="R512" s="1819"/>
      <c r="S512" s="1861">
        <f>'Part IV-A-Uses of Funds'!S66</f>
        <v>0</v>
      </c>
      <c r="T512" s="1861"/>
      <c r="U512" s="1819"/>
      <c r="V512" s="1862"/>
      <c r="W512" s="1772"/>
      <c r="X512" s="1772"/>
    </row>
    <row r="513" spans="1:24" ht="13.8">
      <c r="A513" s="1819"/>
      <c r="B513" s="1819" t="s">
        <v>469</v>
      </c>
      <c r="C513" s="1819"/>
      <c r="D513" s="1819"/>
      <c r="E513" s="1819"/>
      <c r="F513" s="1819"/>
      <c r="G513" s="1861">
        <f>'Part IV-A-Uses of Funds'!G67</f>
        <v>38880</v>
      </c>
      <c r="H513" s="1861"/>
      <c r="I513" s="1819"/>
      <c r="J513" s="1861">
        <f>'Part IV-A-Uses of Funds'!J67</f>
        <v>38880</v>
      </c>
      <c r="K513" s="1861"/>
      <c r="L513" s="1832"/>
      <c r="M513" s="1861">
        <f>'Part IV-A-Uses of Funds'!M67</f>
        <v>0</v>
      </c>
      <c r="N513" s="1861"/>
      <c r="O513" s="1819"/>
      <c r="P513" s="1861">
        <f>'Part IV-A-Uses of Funds'!P67</f>
        <v>0</v>
      </c>
      <c r="Q513" s="1861"/>
      <c r="R513" s="1819"/>
      <c r="S513" s="1861">
        <f>'Part IV-A-Uses of Funds'!S67</f>
        <v>0</v>
      </c>
      <c r="T513" s="1861"/>
      <c r="U513" s="1819"/>
      <c r="V513" s="1862"/>
      <c r="W513" s="1772"/>
      <c r="X513" s="1772"/>
    </row>
    <row r="514" spans="1:24" ht="13.8">
      <c r="A514" s="1819"/>
      <c r="B514" s="1819" t="s">
        <v>1105</v>
      </c>
      <c r="C514" s="1819"/>
      <c r="D514" s="1826" t="s">
        <v>3632</v>
      </c>
      <c r="E514" s="1872">
        <f>'Part IV-A-Uses of Funds'!E68</f>
        <v>20000</v>
      </c>
      <c r="F514" s="1819" t="str">
        <f>IF(G514&gt;E514,"CHECK!!!","")</f>
        <v/>
      </c>
      <c r="G514" s="1861">
        <f>'Part IV-A-Uses of Funds'!G68</f>
        <v>20000</v>
      </c>
      <c r="H514" s="1861"/>
      <c r="I514" s="1819"/>
      <c r="J514" s="1861">
        <f>'Part IV-A-Uses of Funds'!J68</f>
        <v>20000</v>
      </c>
      <c r="K514" s="1861"/>
      <c r="L514" s="1832"/>
      <c r="M514" s="1861">
        <f>'Part IV-A-Uses of Funds'!M68</f>
        <v>0</v>
      </c>
      <c r="N514" s="1861"/>
      <c r="O514" s="1819"/>
      <c r="P514" s="1861">
        <f>'Part IV-A-Uses of Funds'!P68</f>
        <v>0</v>
      </c>
      <c r="Q514" s="1861"/>
      <c r="R514" s="1819"/>
      <c r="S514" s="1861">
        <f>'Part IV-A-Uses of Funds'!S68</f>
        <v>0</v>
      </c>
      <c r="T514" s="1861"/>
      <c r="U514" s="1819"/>
      <c r="V514" s="1862"/>
      <c r="W514" s="1772"/>
      <c r="X514" s="1772"/>
    </row>
    <row r="515" spans="1:24" ht="13.8">
      <c r="A515" s="1819"/>
      <c r="B515" s="1819" t="s">
        <v>1106</v>
      </c>
      <c r="C515" s="1819"/>
      <c r="D515" s="1819"/>
      <c r="E515" s="1819"/>
      <c r="F515" s="1819"/>
      <c r="G515" s="1861">
        <f>'Part IV-A-Uses of Funds'!G69</f>
        <v>20000</v>
      </c>
      <c r="H515" s="1861"/>
      <c r="I515" s="1819"/>
      <c r="J515" s="1861">
        <f>'Part IV-A-Uses of Funds'!J69</f>
        <v>20000</v>
      </c>
      <c r="K515" s="1861"/>
      <c r="L515" s="1832"/>
      <c r="M515" s="1861">
        <f>'Part IV-A-Uses of Funds'!M69</f>
        <v>0</v>
      </c>
      <c r="N515" s="1861"/>
      <c r="O515" s="1819"/>
      <c r="P515" s="1861">
        <f>'Part IV-A-Uses of Funds'!P69</f>
        <v>0</v>
      </c>
      <c r="Q515" s="1861"/>
      <c r="R515" s="1819"/>
      <c r="S515" s="1861">
        <f>'Part IV-A-Uses of Funds'!S69</f>
        <v>0</v>
      </c>
      <c r="T515" s="1861"/>
      <c r="U515" s="1819"/>
      <c r="V515" s="1862"/>
      <c r="W515" s="1772"/>
      <c r="X515" s="1772"/>
    </row>
    <row r="516" spans="1:24" ht="13.8">
      <c r="A516" s="1819"/>
      <c r="B516" s="1819" t="s">
        <v>1107</v>
      </c>
      <c r="C516" s="1819"/>
      <c r="D516" s="1819"/>
      <c r="E516" s="1819"/>
      <c r="F516" s="1819"/>
      <c r="G516" s="1861">
        <f>'Part IV-A-Uses of Funds'!G70</f>
        <v>12000</v>
      </c>
      <c r="H516" s="1861"/>
      <c r="I516" s="1819"/>
      <c r="J516" s="1861">
        <f>'Part IV-A-Uses of Funds'!J70</f>
        <v>12000</v>
      </c>
      <c r="K516" s="1861"/>
      <c r="L516" s="1832"/>
      <c r="M516" s="1861">
        <f>'Part IV-A-Uses of Funds'!M70</f>
        <v>0</v>
      </c>
      <c r="N516" s="1861"/>
      <c r="O516" s="1819"/>
      <c r="P516" s="1861">
        <f>'Part IV-A-Uses of Funds'!P70</f>
        <v>0</v>
      </c>
      <c r="Q516" s="1861"/>
      <c r="R516" s="1819"/>
      <c r="S516" s="1861">
        <f>'Part IV-A-Uses of Funds'!S70</f>
        <v>0</v>
      </c>
      <c r="T516" s="1861"/>
      <c r="U516" s="1819"/>
      <c r="V516" s="1862"/>
      <c r="W516" s="1772"/>
      <c r="X516" s="1772"/>
    </row>
    <row r="517" spans="1:24" ht="13.8">
      <c r="A517" s="1819"/>
      <c r="B517" s="1819" t="s">
        <v>1108</v>
      </c>
      <c r="C517" s="1819"/>
      <c r="D517" s="1819"/>
      <c r="E517" s="1819"/>
      <c r="F517" s="1819"/>
      <c r="G517" s="1861">
        <f>'Part IV-A-Uses of Funds'!G71</f>
        <v>0</v>
      </c>
      <c r="H517" s="1861"/>
      <c r="I517" s="1819"/>
      <c r="J517" s="1861">
        <f>'Part IV-A-Uses of Funds'!J71</f>
        <v>0</v>
      </c>
      <c r="K517" s="1861"/>
      <c r="L517" s="1832"/>
      <c r="M517" s="1861">
        <f>'Part IV-A-Uses of Funds'!M71</f>
        <v>0</v>
      </c>
      <c r="N517" s="1861"/>
      <c r="O517" s="1819"/>
      <c r="P517" s="1861">
        <f>'Part IV-A-Uses of Funds'!P71</f>
        <v>0</v>
      </c>
      <c r="Q517" s="1861"/>
      <c r="R517" s="1819"/>
      <c r="S517" s="1861">
        <f>'Part IV-A-Uses of Funds'!S71</f>
        <v>0</v>
      </c>
      <c r="T517" s="1861"/>
      <c r="U517" s="1819"/>
      <c r="V517" s="1862"/>
      <c r="W517" s="1772"/>
      <c r="X517" s="1772"/>
    </row>
    <row r="518" spans="1:24" ht="13.8">
      <c r="A518" s="1819"/>
      <c r="B518" s="1819" t="s">
        <v>470</v>
      </c>
      <c r="C518" s="1819"/>
      <c r="D518" s="1819"/>
      <c r="E518" s="1819"/>
      <c r="F518" s="1819"/>
      <c r="G518" s="1861">
        <f>'Part IV-A-Uses of Funds'!G72</f>
        <v>40000</v>
      </c>
      <c r="H518" s="1861"/>
      <c r="I518" s="1819"/>
      <c r="J518" s="1861">
        <f>'Part IV-A-Uses of Funds'!J72</f>
        <v>40000</v>
      </c>
      <c r="K518" s="1861"/>
      <c r="L518" s="1832"/>
      <c r="M518" s="1861">
        <f>'Part IV-A-Uses of Funds'!M72</f>
        <v>0</v>
      </c>
      <c r="N518" s="1861"/>
      <c r="O518" s="1819"/>
      <c r="P518" s="1861">
        <f>'Part IV-A-Uses of Funds'!P72</f>
        <v>0</v>
      </c>
      <c r="Q518" s="1861"/>
      <c r="R518" s="1819"/>
      <c r="S518" s="1861">
        <f>'Part IV-A-Uses of Funds'!S72</f>
        <v>0</v>
      </c>
      <c r="T518" s="1861"/>
      <c r="U518" s="1819"/>
      <c r="V518" s="1862"/>
      <c r="W518" s="1772"/>
      <c r="X518" s="1772"/>
    </row>
    <row r="519" spans="1:24" ht="13.8">
      <c r="A519" s="1819"/>
      <c r="B519" s="1819" t="s">
        <v>471</v>
      </c>
      <c r="C519" s="1819"/>
      <c r="D519" s="1819"/>
      <c r="E519" s="1819"/>
      <c r="F519" s="1819"/>
      <c r="G519" s="1861">
        <f>'Part IV-A-Uses of Funds'!G73</f>
        <v>100000</v>
      </c>
      <c r="H519" s="1861"/>
      <c r="I519" s="1819"/>
      <c r="J519" s="1861">
        <f>'Part IV-A-Uses of Funds'!J73</f>
        <v>80000</v>
      </c>
      <c r="K519" s="1861"/>
      <c r="L519" s="1832"/>
      <c r="M519" s="1861">
        <f>'Part IV-A-Uses of Funds'!M73</f>
        <v>0</v>
      </c>
      <c r="N519" s="1861"/>
      <c r="O519" s="1819"/>
      <c r="P519" s="1861">
        <f>'Part IV-A-Uses of Funds'!P73</f>
        <v>0</v>
      </c>
      <c r="Q519" s="1861"/>
      <c r="R519" s="1819"/>
      <c r="S519" s="1861">
        <f>'Part IV-A-Uses of Funds'!S73</f>
        <v>20000</v>
      </c>
      <c r="T519" s="1861"/>
      <c r="U519" s="1819"/>
      <c r="V519" s="1862"/>
      <c r="W519" s="1772"/>
      <c r="X519" s="1772"/>
    </row>
    <row r="520" spans="1:24" ht="13.8">
      <c r="A520" s="1819"/>
      <c r="B520" s="1819" t="s">
        <v>2001</v>
      </c>
      <c r="C520" s="1819"/>
      <c r="D520" s="1819"/>
      <c r="E520" s="1819"/>
      <c r="F520" s="1819"/>
      <c r="G520" s="1861">
        <f>'Part IV-A-Uses of Funds'!G74</f>
        <v>30000</v>
      </c>
      <c r="H520" s="1861"/>
      <c r="I520" s="1819"/>
      <c r="J520" s="1861">
        <f>'Part IV-A-Uses of Funds'!J74</f>
        <v>30000</v>
      </c>
      <c r="K520" s="1861"/>
      <c r="L520" s="1832"/>
      <c r="M520" s="1861">
        <f>'Part IV-A-Uses of Funds'!M74</f>
        <v>0</v>
      </c>
      <c r="N520" s="1861"/>
      <c r="O520" s="1819"/>
      <c r="P520" s="1861">
        <f>'Part IV-A-Uses of Funds'!P74</f>
        <v>0</v>
      </c>
      <c r="Q520" s="1861"/>
      <c r="R520" s="1819"/>
      <c r="S520" s="1861">
        <f>'Part IV-A-Uses of Funds'!S74</f>
        <v>0</v>
      </c>
      <c r="T520" s="1861"/>
      <c r="U520" s="1819"/>
      <c r="V520" s="1862"/>
      <c r="W520" s="1772"/>
      <c r="X520" s="1772"/>
    </row>
    <row r="521" spans="1:24" ht="13.8">
      <c r="A521" s="1819"/>
      <c r="B521" s="1819" t="s">
        <v>1251</v>
      </c>
      <c r="C521" s="1819"/>
      <c r="D521" s="1819"/>
      <c r="E521" s="1819"/>
      <c r="F521" s="1819"/>
      <c r="G521" s="1861">
        <f>'Part IV-A-Uses of Funds'!G75</f>
        <v>10000</v>
      </c>
      <c r="H521" s="1861"/>
      <c r="I521" s="1819"/>
      <c r="J521" s="1861">
        <f>'Part IV-A-Uses of Funds'!J75</f>
        <v>0</v>
      </c>
      <c r="K521" s="1861"/>
      <c r="L521" s="1832"/>
      <c r="M521" s="1861">
        <f>'Part IV-A-Uses of Funds'!M75</f>
        <v>0</v>
      </c>
      <c r="N521" s="1861"/>
      <c r="O521" s="1819"/>
      <c r="P521" s="1861">
        <f>'Part IV-A-Uses of Funds'!P75</f>
        <v>0</v>
      </c>
      <c r="Q521" s="1861"/>
      <c r="R521" s="1819"/>
      <c r="S521" s="1861">
        <f>'Part IV-A-Uses of Funds'!S75</f>
        <v>10000</v>
      </c>
      <c r="T521" s="1861"/>
      <c r="U521" s="1819"/>
      <c r="V521" s="1862"/>
      <c r="W521" s="1772"/>
      <c r="X521" s="1772"/>
    </row>
    <row r="522" spans="1:24" ht="16.2" customHeight="1">
      <c r="A522" s="2077" t="str">
        <f>IF(AND(G522&gt;0,OR(C522="",C522="&lt;Enter detailed description here; use Comments section if needed&gt;")),"X","")</f>
        <v/>
      </c>
      <c r="B522" s="1819" t="s">
        <v>723</v>
      </c>
      <c r="C522" s="1849" t="str">
        <f>'Part IV-A-Uses of Funds'!C76</f>
        <v xml:space="preserve">Landscape </v>
      </c>
      <c r="D522" s="1849"/>
      <c r="E522" s="1849"/>
      <c r="F522" s="1849"/>
      <c r="G522" s="1861">
        <f>'Part IV-A-Uses of Funds'!G76</f>
        <v>6500</v>
      </c>
      <c r="H522" s="1861"/>
      <c r="I522" s="1819"/>
      <c r="J522" s="1861">
        <f>'Part IV-A-Uses of Funds'!J76</f>
        <v>6500</v>
      </c>
      <c r="K522" s="1861"/>
      <c r="L522" s="1832"/>
      <c r="M522" s="1861">
        <f>'Part IV-A-Uses of Funds'!M76</f>
        <v>0</v>
      </c>
      <c r="N522" s="1861"/>
      <c r="O522" s="1819"/>
      <c r="P522" s="1861">
        <f>'Part IV-A-Uses of Funds'!P76</f>
        <v>0</v>
      </c>
      <c r="Q522" s="1861"/>
      <c r="R522" s="1819"/>
      <c r="S522" s="1861">
        <f>'Part IV-A-Uses of Funds'!S76</f>
        <v>0</v>
      </c>
      <c r="T522" s="1861"/>
      <c r="U522" s="1823" t="str">
        <f>IF(AND(G522&gt;0,OR(C522="",C522="&lt;Enter detailed description here; use Comments section if needed&gt;")),"NO DESCRIPTION PROVIDED - please enter detailed description in Other box at left; use Comments section below if needed.","")</f>
        <v/>
      </c>
      <c r="V522" s="1862"/>
      <c r="W522" s="1772"/>
      <c r="X522" s="1772"/>
    </row>
    <row r="523" spans="1:24" ht="13.8">
      <c r="A523" s="1819"/>
      <c r="B523" s="1819"/>
      <c r="C523" s="1819"/>
      <c r="D523" s="1819"/>
      <c r="E523" s="1819"/>
      <c r="F523" s="1826" t="s">
        <v>187</v>
      </c>
      <c r="G523" s="1861">
        <f>SUM(G512:H522)</f>
        <v>432900</v>
      </c>
      <c r="H523" s="1861"/>
      <c r="I523" s="1819"/>
      <c r="J523" s="1861">
        <f>SUM(J512:K522)</f>
        <v>402900</v>
      </c>
      <c r="K523" s="1861"/>
      <c r="L523" s="1832"/>
      <c r="M523" s="1861">
        <f>SUM(M512:N522)</f>
        <v>0</v>
      </c>
      <c r="N523" s="1861"/>
      <c r="O523" s="1819"/>
      <c r="P523" s="1861">
        <f>SUM(P512:Q522)</f>
        <v>0</v>
      </c>
      <c r="Q523" s="1861"/>
      <c r="R523" s="1819"/>
      <c r="S523" s="1861">
        <f>SUM(S512:T522)</f>
        <v>30000</v>
      </c>
      <c r="T523" s="1861"/>
      <c r="U523" s="1819"/>
      <c r="V523" s="1862">
        <f>SUM(V512:V522)</f>
        <v>0</v>
      </c>
      <c r="W523" s="1772"/>
      <c r="X523" s="1772"/>
    </row>
    <row r="524" spans="1:24" ht="13.8">
      <c r="A524" s="1819"/>
      <c r="B524" s="1819" t="s">
        <v>1243</v>
      </c>
      <c r="C524" s="1819"/>
      <c r="D524" s="1816" t="s">
        <v>3551</v>
      </c>
      <c r="E524" s="2088">
        <f>G529/'Part VI-Revenues &amp; Expenses'!$P$67</f>
        <v>2503.4027777777778</v>
      </c>
      <c r="F524" s="1819"/>
      <c r="G524" s="1819"/>
      <c r="H524" s="1819"/>
      <c r="I524" s="1819"/>
      <c r="J524" s="1832"/>
      <c r="K524" s="1832"/>
      <c r="L524" s="1827"/>
      <c r="M524" s="1832"/>
      <c r="N524" s="1832"/>
      <c r="O524" s="1832" t="str">
        <f>B524</f>
        <v>LOCAL GOVERNMENT FEES</v>
      </c>
      <c r="P524" s="1832"/>
      <c r="Q524" s="1832"/>
      <c r="R524" s="1827"/>
      <c r="S524" s="1832"/>
      <c r="T524" s="1832"/>
      <c r="U524" s="1827"/>
      <c r="V524" s="1862"/>
      <c r="W524" s="1819" t="str">
        <f>B524</f>
        <v>LOCAL GOVERNMENT FEES</v>
      </c>
      <c r="X524" s="1827"/>
    </row>
    <row r="525" spans="1:24" ht="13.8">
      <c r="A525" s="1819"/>
      <c r="B525" s="1819" t="s">
        <v>1244</v>
      </c>
      <c r="C525" s="1819"/>
      <c r="D525" s="1819"/>
      <c r="E525" s="1819"/>
      <c r="F525" s="1819"/>
      <c r="G525" s="1861">
        <f>'Part IV-A-Uses of Funds'!G79</f>
        <v>27395</v>
      </c>
      <c r="H525" s="1861"/>
      <c r="I525" s="1819"/>
      <c r="J525" s="1861">
        <f>'Part IV-A-Uses of Funds'!J79</f>
        <v>27395</v>
      </c>
      <c r="K525" s="1861"/>
      <c r="L525" s="1832"/>
      <c r="M525" s="1861">
        <f>'Part IV-A-Uses of Funds'!M79</f>
        <v>0</v>
      </c>
      <c r="N525" s="1861"/>
      <c r="O525" s="1819"/>
      <c r="P525" s="1861">
        <f>'Part IV-A-Uses of Funds'!P79</f>
        <v>0</v>
      </c>
      <c r="Q525" s="1861"/>
      <c r="R525" s="1819"/>
      <c r="S525" s="1861">
        <f>'Part IV-A-Uses of Funds'!S79</f>
        <v>0</v>
      </c>
      <c r="T525" s="1861"/>
      <c r="U525" s="1819"/>
      <c r="V525" s="1862"/>
      <c r="W525" s="1772"/>
      <c r="X525" s="1772"/>
    </row>
    <row r="526" spans="1:24" ht="13.8">
      <c r="A526" s="1819"/>
      <c r="B526" s="1819" t="s">
        <v>1245</v>
      </c>
      <c r="C526" s="1819"/>
      <c r="D526" s="1819"/>
      <c r="E526" s="1819"/>
      <c r="F526" s="1819"/>
      <c r="G526" s="1861">
        <f>'Part IV-A-Uses of Funds'!G80</f>
        <v>0</v>
      </c>
      <c r="H526" s="1861"/>
      <c r="I526" s="1819"/>
      <c r="J526" s="1861">
        <f>'Part IV-A-Uses of Funds'!J80</f>
        <v>0</v>
      </c>
      <c r="K526" s="1861"/>
      <c r="L526" s="1832"/>
      <c r="M526" s="1861">
        <f>'Part IV-A-Uses of Funds'!M80</f>
        <v>0</v>
      </c>
      <c r="N526" s="1861"/>
      <c r="O526" s="1819"/>
      <c r="P526" s="1861">
        <f>'Part IV-A-Uses of Funds'!P80</f>
        <v>0</v>
      </c>
      <c r="Q526" s="1861"/>
      <c r="R526" s="1819"/>
      <c r="S526" s="1861">
        <f>'Part IV-A-Uses of Funds'!S80</f>
        <v>0</v>
      </c>
      <c r="T526" s="1861"/>
      <c r="U526" s="1819"/>
      <c r="V526" s="1862"/>
      <c r="W526" s="1772"/>
      <c r="X526" s="1772"/>
    </row>
    <row r="527" spans="1:24" ht="13.8">
      <c r="A527" s="1819"/>
      <c r="B527" s="1819" t="s">
        <v>1246</v>
      </c>
      <c r="C527" s="1819"/>
      <c r="D527" s="1826" t="s">
        <v>1376</v>
      </c>
      <c r="E527" s="1821" t="str">
        <f>'Part IV-A-Uses of Funds'!E81</f>
        <v>No</v>
      </c>
      <c r="F527" s="1819"/>
      <c r="G527" s="1861">
        <f>'Part IV-A-Uses of Funds'!G81</f>
        <v>116350</v>
      </c>
      <c r="H527" s="1861"/>
      <c r="I527" s="1827"/>
      <c r="J527" s="1861">
        <f>'Part IV-A-Uses of Funds'!J81</f>
        <v>116350</v>
      </c>
      <c r="K527" s="1861"/>
      <c r="L527" s="1832"/>
      <c r="M527" s="1861">
        <f>'Part IV-A-Uses of Funds'!M81</f>
        <v>0</v>
      </c>
      <c r="N527" s="1861"/>
      <c r="O527" s="1819"/>
      <c r="P527" s="1861">
        <f>'Part IV-A-Uses of Funds'!P81</f>
        <v>0</v>
      </c>
      <c r="Q527" s="1861"/>
      <c r="R527" s="1819"/>
      <c r="S527" s="1861">
        <f>'Part IV-A-Uses of Funds'!S81</f>
        <v>0</v>
      </c>
      <c r="T527" s="1861"/>
      <c r="U527" s="1819"/>
      <c r="V527" s="1862"/>
      <c r="W527" s="1772"/>
      <c r="X527" s="1772"/>
    </row>
    <row r="528" spans="1:24" ht="13.8">
      <c r="A528" s="1819"/>
      <c r="B528" s="1819" t="s">
        <v>1247</v>
      </c>
      <c r="C528" s="1819"/>
      <c r="D528" s="1826" t="s">
        <v>1376</v>
      </c>
      <c r="E528" s="1821" t="str">
        <f>'Part IV-A-Uses of Funds'!E82</f>
        <v>No</v>
      </c>
      <c r="F528" s="1819"/>
      <c r="G528" s="1861">
        <f>'Part IV-A-Uses of Funds'!G82</f>
        <v>36500</v>
      </c>
      <c r="H528" s="1861"/>
      <c r="I528" s="1827"/>
      <c r="J528" s="1861">
        <f>'Part IV-A-Uses of Funds'!J82</f>
        <v>36500</v>
      </c>
      <c r="K528" s="1861"/>
      <c r="L528" s="1832"/>
      <c r="M528" s="1861">
        <f>'Part IV-A-Uses of Funds'!M82</f>
        <v>0</v>
      </c>
      <c r="N528" s="1861"/>
      <c r="O528" s="1819"/>
      <c r="P528" s="1861">
        <f>'Part IV-A-Uses of Funds'!P82</f>
        <v>0</v>
      </c>
      <c r="Q528" s="1861"/>
      <c r="R528" s="1819"/>
      <c r="S528" s="1861">
        <f>'Part IV-A-Uses of Funds'!S82</f>
        <v>0</v>
      </c>
      <c r="T528" s="1861"/>
      <c r="U528" s="1819"/>
      <c r="V528" s="1862"/>
      <c r="W528" s="1772"/>
      <c r="X528" s="1772"/>
    </row>
    <row r="529" spans="1:24" ht="13.8">
      <c r="A529" s="1819"/>
      <c r="B529" s="1819"/>
      <c r="C529" s="1819"/>
      <c r="D529" s="1819"/>
      <c r="E529" s="1819"/>
      <c r="F529" s="1826" t="s">
        <v>187</v>
      </c>
      <c r="G529" s="1861">
        <f>SUM(G525:H528)</f>
        <v>180245</v>
      </c>
      <c r="H529" s="1861"/>
      <c r="I529" s="1819"/>
      <c r="J529" s="1861">
        <f>SUM(J525:K528)</f>
        <v>180245</v>
      </c>
      <c r="K529" s="1861"/>
      <c r="L529" s="1832"/>
      <c r="M529" s="1861">
        <f>SUM(M525:N528)</f>
        <v>0</v>
      </c>
      <c r="N529" s="1861"/>
      <c r="O529" s="1819"/>
      <c r="P529" s="1861">
        <f>SUM(P525:Q528)</f>
        <v>0</v>
      </c>
      <c r="Q529" s="1861"/>
      <c r="R529" s="1819"/>
      <c r="S529" s="1861">
        <f>SUM(S525:T528)</f>
        <v>0</v>
      </c>
      <c r="T529" s="1861"/>
      <c r="U529" s="1819"/>
      <c r="V529" s="1862">
        <f>SUM(V525:V528)</f>
        <v>0</v>
      </c>
      <c r="W529" s="1772"/>
      <c r="X529" s="1772"/>
    </row>
    <row r="530" spans="1:24" ht="13.8">
      <c r="A530" s="1819"/>
      <c r="B530" s="1819" t="s">
        <v>706</v>
      </c>
      <c r="C530" s="1819"/>
      <c r="D530" s="1819"/>
      <c r="E530" s="1819"/>
      <c r="F530" s="1819"/>
      <c r="G530" s="1819"/>
      <c r="H530" s="1819"/>
      <c r="I530" s="1819"/>
      <c r="J530" s="1832"/>
      <c r="K530" s="1832"/>
      <c r="L530" s="1819"/>
      <c r="M530" s="1832"/>
      <c r="N530" s="1832"/>
      <c r="O530" s="1832" t="str">
        <f>B530</f>
        <v>PERMANENT FINANCING FEES</v>
      </c>
      <c r="P530" s="1832"/>
      <c r="Q530" s="1832"/>
      <c r="R530" s="1819"/>
      <c r="S530" s="1832"/>
      <c r="T530" s="1832"/>
      <c r="U530" s="1819"/>
      <c r="V530" s="1862"/>
      <c r="W530" s="1819" t="str">
        <f>B530</f>
        <v>PERMANENT FINANCING FEES</v>
      </c>
      <c r="X530" s="1819"/>
    </row>
    <row r="531" spans="1:24" ht="13.8">
      <c r="A531" s="1819"/>
      <c r="B531" s="1819" t="s">
        <v>1248</v>
      </c>
      <c r="C531" s="1819"/>
      <c r="D531" s="1819"/>
      <c r="E531" s="1819"/>
      <c r="F531" s="1819"/>
      <c r="G531" s="1861">
        <f>'Part IV-A-Uses of Funds'!G85</f>
        <v>6975</v>
      </c>
      <c r="H531" s="1861"/>
      <c r="I531" s="1819"/>
      <c r="J531" s="1861"/>
      <c r="K531" s="1861"/>
      <c r="L531" s="1832"/>
      <c r="M531" s="1861"/>
      <c r="N531" s="1861"/>
      <c r="O531" s="1819"/>
      <c r="P531" s="1861"/>
      <c r="Q531" s="1861"/>
      <c r="R531" s="1819"/>
      <c r="S531" s="1861">
        <f>'Part IV-A-Uses of Funds'!S85</f>
        <v>6975</v>
      </c>
      <c r="T531" s="1861"/>
      <c r="U531" s="1819"/>
      <c r="V531" s="1862"/>
      <c r="W531" s="1772"/>
      <c r="X531" s="1772"/>
    </row>
    <row r="532" spans="1:24" ht="13.8">
      <c r="A532" s="1819"/>
      <c r="B532" s="1819" t="s">
        <v>1249</v>
      </c>
      <c r="C532" s="1819"/>
      <c r="D532" s="1819"/>
      <c r="E532" s="1819"/>
      <c r="F532" s="1819"/>
      <c r="G532" s="1861">
        <f>'Part IV-A-Uses of Funds'!G86</f>
        <v>40000</v>
      </c>
      <c r="H532" s="1861"/>
      <c r="I532" s="1819"/>
      <c r="J532" s="1861"/>
      <c r="K532" s="1861"/>
      <c r="L532" s="1832"/>
      <c r="M532" s="1861"/>
      <c r="N532" s="1861"/>
      <c r="O532" s="1819"/>
      <c r="P532" s="1861"/>
      <c r="Q532" s="1861"/>
      <c r="R532" s="1819"/>
      <c r="S532" s="1861">
        <f>'Part IV-A-Uses of Funds'!S86</f>
        <v>40000</v>
      </c>
      <c r="T532" s="1861"/>
      <c r="U532" s="1819"/>
      <c r="V532" s="1862"/>
      <c r="W532" s="1772"/>
      <c r="X532" s="1772"/>
    </row>
    <row r="533" spans="1:24" ht="13.8">
      <c r="A533" s="1819"/>
      <c r="B533" s="1819" t="s">
        <v>1250</v>
      </c>
      <c r="C533" s="1819"/>
      <c r="D533" s="1819"/>
      <c r="E533" s="1819"/>
      <c r="F533" s="1819"/>
      <c r="G533" s="1861">
        <f>'Part IV-A-Uses of Funds'!G87</f>
        <v>20143</v>
      </c>
      <c r="H533" s="1861"/>
      <c r="I533" s="1819"/>
      <c r="J533" s="1861"/>
      <c r="K533" s="1861"/>
      <c r="L533" s="1832"/>
      <c r="M533" s="1861"/>
      <c r="N533" s="1861"/>
      <c r="O533" s="1819"/>
      <c r="P533" s="1861"/>
      <c r="Q533" s="1861"/>
      <c r="R533" s="1819"/>
      <c r="S533" s="1861">
        <f>'Part IV-A-Uses of Funds'!S87</f>
        <v>20143</v>
      </c>
      <c r="T533" s="1861"/>
      <c r="U533" s="1819"/>
      <c r="V533" s="1862"/>
      <c r="W533" s="1772"/>
      <c r="X533" s="1772"/>
    </row>
    <row r="534" spans="1:24" ht="13.8">
      <c r="A534" s="1819"/>
      <c r="B534" s="1819" t="s">
        <v>1252</v>
      </c>
      <c r="C534" s="1819"/>
      <c r="D534" s="1819"/>
      <c r="E534" s="1819"/>
      <c r="F534" s="1819"/>
      <c r="G534" s="1861">
        <f>'Part IV-A-Uses of Funds'!G88</f>
        <v>0</v>
      </c>
      <c r="H534" s="1861"/>
      <c r="I534" s="1819"/>
      <c r="J534" s="1861"/>
      <c r="K534" s="1861"/>
      <c r="L534" s="1832"/>
      <c r="M534" s="1861"/>
      <c r="N534" s="1861"/>
      <c r="O534" s="1819"/>
      <c r="P534" s="1861"/>
      <c r="Q534" s="1861"/>
      <c r="R534" s="1819"/>
      <c r="S534" s="1861">
        <f>'Part IV-A-Uses of Funds'!S88</f>
        <v>0</v>
      </c>
      <c r="T534" s="1861"/>
      <c r="U534" s="1819"/>
      <c r="V534" s="1862"/>
      <c r="W534" s="1772"/>
      <c r="X534" s="1772"/>
    </row>
    <row r="535" spans="1:24" ht="13.8">
      <c r="A535" s="1819"/>
      <c r="B535" s="1819" t="s">
        <v>2240</v>
      </c>
      <c r="C535" s="1819"/>
      <c r="D535" s="1819"/>
      <c r="E535" s="1819"/>
      <c r="F535" s="1819"/>
      <c r="G535" s="1861">
        <f>'Part IV-A-Uses of Funds'!G89</f>
        <v>0</v>
      </c>
      <c r="H535" s="1861"/>
      <c r="I535" s="1819"/>
      <c r="J535" s="1861"/>
      <c r="K535" s="1861"/>
      <c r="L535" s="1832"/>
      <c r="M535" s="1861"/>
      <c r="N535" s="1861"/>
      <c r="O535" s="1819"/>
      <c r="P535" s="1861"/>
      <c r="Q535" s="1861"/>
      <c r="R535" s="1819"/>
      <c r="S535" s="1861">
        <f>'Part IV-A-Uses of Funds'!S89</f>
        <v>0</v>
      </c>
      <c r="T535" s="1861"/>
      <c r="U535" s="1819"/>
      <c r="V535" s="1862"/>
      <c r="W535" s="1772"/>
      <c r="X535" s="1772"/>
    </row>
    <row r="536" spans="1:24" ht="16.2" customHeight="1">
      <c r="A536" s="2077" t="str">
        <f>IF(AND(G536&gt;0,OR(C536="",C536="&lt;Enter detailed description here; use Comments section if needed&gt;")),"X","")</f>
        <v/>
      </c>
      <c r="B536" s="1819" t="s">
        <v>723</v>
      </c>
      <c r="C536" s="1849" t="str">
        <f>'Part IV-A-Uses of Funds'!C90</f>
        <v>Intangible Taxes</v>
      </c>
      <c r="D536" s="1849"/>
      <c r="E536" s="1849"/>
      <c r="F536" s="1849"/>
      <c r="G536" s="1861">
        <f>'Part IV-A-Uses of Funds'!G90</f>
        <v>2790</v>
      </c>
      <c r="H536" s="1861"/>
      <c r="I536" s="1819"/>
      <c r="J536" s="1861"/>
      <c r="K536" s="1861"/>
      <c r="L536" s="1832"/>
      <c r="M536" s="1861"/>
      <c r="N536" s="1861"/>
      <c r="O536" s="1819"/>
      <c r="P536" s="1861"/>
      <c r="Q536" s="1861"/>
      <c r="R536" s="1819"/>
      <c r="S536" s="1861">
        <f>'Part IV-A-Uses of Funds'!S90</f>
        <v>2790</v>
      </c>
      <c r="T536" s="1861"/>
      <c r="U536" s="1823" t="str">
        <f>IF(AND(G536&gt;0,OR(C536="",C536="&lt;Enter detailed description here; use Comments section if needed&gt;")),"NO DESCRIPTION PROVIDED - please enter detailed description in Other box at left; use Comments section below if needed.","")</f>
        <v/>
      </c>
      <c r="V536" s="1862"/>
      <c r="W536" s="1772"/>
      <c r="X536" s="1772"/>
    </row>
    <row r="537" spans="1:24" ht="13.8">
      <c r="A537" s="1819"/>
      <c r="B537" s="1819"/>
      <c r="C537" s="1819"/>
      <c r="D537" s="1819"/>
      <c r="E537" s="1819"/>
      <c r="F537" s="1826" t="s">
        <v>187</v>
      </c>
      <c r="G537" s="1861">
        <f>SUM(G531:H536)</f>
        <v>69908</v>
      </c>
      <c r="H537" s="1861"/>
      <c r="I537" s="1819"/>
      <c r="J537" s="1861"/>
      <c r="K537" s="1861"/>
      <c r="L537" s="1832"/>
      <c r="M537" s="1861"/>
      <c r="N537" s="1861"/>
      <c r="O537" s="1819"/>
      <c r="P537" s="1861"/>
      <c r="Q537" s="1861"/>
      <c r="R537" s="1819"/>
      <c r="S537" s="1861">
        <f>SUM(S531:T536)</f>
        <v>69908</v>
      </c>
      <c r="T537" s="1861"/>
      <c r="U537" s="1819"/>
      <c r="V537" s="1862">
        <f>SUM(V531:V536)</f>
        <v>0</v>
      </c>
      <c r="W537" s="1772"/>
      <c r="X537" s="1772"/>
    </row>
    <row r="538" spans="1:24" ht="13.8">
      <c r="A538" s="1821"/>
      <c r="B538" s="1821"/>
      <c r="C538" s="1821"/>
      <c r="D538" s="1821"/>
      <c r="E538" s="1821"/>
      <c r="F538" s="1821"/>
      <c r="G538" s="1821"/>
      <c r="H538" s="1821"/>
      <c r="I538" s="1821"/>
      <c r="J538" s="1821"/>
      <c r="K538" s="1821"/>
      <c r="L538" s="1821"/>
      <c r="M538" s="1821"/>
      <c r="N538" s="1821"/>
      <c r="O538" s="1821"/>
      <c r="P538" s="1821"/>
      <c r="Q538" s="1821"/>
      <c r="R538" s="1821"/>
      <c r="S538" s="1821"/>
      <c r="T538" s="1821"/>
      <c r="U538" s="1819"/>
      <c r="V538" s="1862"/>
      <c r="W538" s="1819"/>
      <c r="X538" s="1819"/>
    </row>
    <row r="539" spans="1:24" ht="13.95" customHeight="1">
      <c r="A539" s="2075" t="s">
        <v>598</v>
      </c>
      <c r="B539" s="2075" t="s">
        <v>6969</v>
      </c>
      <c r="C539" s="1819"/>
      <c r="D539" s="1819"/>
      <c r="E539" s="1819"/>
      <c r="F539" s="1819"/>
      <c r="G539" s="1819"/>
      <c r="H539" s="1819"/>
      <c r="I539" s="1819"/>
      <c r="J539" s="1819" t="s">
        <v>266</v>
      </c>
      <c r="K539" s="1819"/>
      <c r="L539" s="1861"/>
      <c r="M539" s="1861" t="s">
        <v>479</v>
      </c>
      <c r="N539" s="1861"/>
      <c r="O539" s="1819"/>
      <c r="P539" s="1819" t="s">
        <v>267</v>
      </c>
      <c r="Q539" s="1819"/>
      <c r="R539" s="1819"/>
      <c r="S539" s="1819" t="s">
        <v>268</v>
      </c>
      <c r="T539" s="1819"/>
      <c r="U539" s="1819"/>
      <c r="V539" s="1963" t="str">
        <f>B539</f>
        <v>DEVELOPMENT BUDGET  (cont'd)</v>
      </c>
      <c r="W539" s="1819"/>
      <c r="X539" s="1819"/>
    </row>
    <row r="540" spans="1:24" ht="13.8">
      <c r="A540" s="1819"/>
      <c r="B540" s="1819"/>
      <c r="C540" s="1819"/>
      <c r="D540" s="1819"/>
      <c r="E540" s="1819"/>
      <c r="F540" s="1819"/>
      <c r="G540" s="1819" t="s">
        <v>98</v>
      </c>
      <c r="H540" s="1819"/>
      <c r="I540" s="1819"/>
      <c r="J540" s="1819"/>
      <c r="K540" s="1819"/>
      <c r="L540" s="1861"/>
      <c r="M540" s="1861"/>
      <c r="N540" s="1861"/>
      <c r="O540" s="1819"/>
      <c r="P540" s="1819"/>
      <c r="Q540" s="1819"/>
      <c r="R540" s="1819"/>
      <c r="S540" s="1819"/>
      <c r="T540" s="1819"/>
      <c r="U540" s="1819"/>
      <c r="V540" s="1827" t="s">
        <v>2607</v>
      </c>
      <c r="W540" s="1819"/>
      <c r="X540" s="1827"/>
    </row>
    <row r="541" spans="1:24" ht="13.8">
      <c r="A541" s="1819"/>
      <c r="B541" s="1819" t="s">
        <v>707</v>
      </c>
      <c r="C541" s="1819"/>
      <c r="D541" s="1819"/>
      <c r="E541" s="1819"/>
      <c r="F541" s="1819"/>
      <c r="G541" s="1819"/>
      <c r="H541" s="1819"/>
      <c r="I541" s="1819"/>
      <c r="J541" s="1832"/>
      <c r="K541" s="1832"/>
      <c r="L541" s="1819"/>
      <c r="M541" s="1832"/>
      <c r="N541" s="1832"/>
      <c r="O541" s="1832" t="str">
        <f>B541</f>
        <v>DCA-RELATED COSTS</v>
      </c>
      <c r="P541" s="1832"/>
      <c r="Q541" s="1832"/>
      <c r="R541" s="1819"/>
      <c r="S541" s="1832"/>
      <c r="T541" s="1832"/>
      <c r="U541" s="1819"/>
      <c r="V541" s="1862"/>
      <c r="W541" s="1819" t="str">
        <f>B541</f>
        <v>DCA-RELATED COSTS</v>
      </c>
      <c r="X541" s="1819"/>
    </row>
    <row r="542" spans="1:24" ht="13.8">
      <c r="A542" s="1819"/>
      <c r="B542" s="1819" t="str">
        <f>CONCATENATE("DCA HOME Loan Consent Pre-Application Fee ($",'DCA Underwriting Assumptions'!$Q$81, " FP/JV, $",'DCA Underwriting Assumptions'!$Q$82, " NP)")</f>
        <v>DCA HOME Loan Consent Pre-Application Fee ($1000 FP/JV, $500 NP)</v>
      </c>
      <c r="C542" s="1819"/>
      <c r="D542" s="1819"/>
      <c r="E542" s="1819"/>
      <c r="F542" s="1819"/>
      <c r="G542" s="1861">
        <f>'Part IV-A-Uses of Funds'!G96</f>
        <v>1000</v>
      </c>
      <c r="H542" s="1861"/>
      <c r="I542" s="1819"/>
      <c r="J542" s="1832"/>
      <c r="K542" s="1832"/>
      <c r="L542" s="1832"/>
      <c r="M542" s="1832"/>
      <c r="N542" s="1832"/>
      <c r="O542" s="1819"/>
      <c r="P542" s="1832"/>
      <c r="Q542" s="1832"/>
      <c r="R542" s="1819"/>
      <c r="S542" s="1861">
        <f>'Part IV-A-Uses of Funds'!S96</f>
        <v>1000</v>
      </c>
      <c r="T542" s="1861"/>
      <c r="U542" s="1819"/>
      <c r="V542" s="1862"/>
      <c r="W542" s="1772"/>
      <c r="X542" s="1772"/>
    </row>
    <row r="543" spans="1:24" ht="13.8">
      <c r="A543" s="1819"/>
      <c r="B543" s="1819" t="str">
        <f>CONCATENATE("Tax Credit Application Fee ($",'DCA Underwriting Assumptions'!$Q$87, " ForProf/JntVent, $",'DCA Underwriting Assumptions'!$Q$88, " NonProf)")</f>
        <v>Tax Credit Application Fee ($6500 ForProf/JntVent, $5500 NonProf)</v>
      </c>
      <c r="C543" s="1819"/>
      <c r="D543" s="1819"/>
      <c r="E543" s="1819"/>
      <c r="F543" s="1819"/>
      <c r="G543" s="1861">
        <f>'Part IV-A-Uses of Funds'!G97</f>
        <v>6500</v>
      </c>
      <c r="H543" s="1861"/>
      <c r="I543" s="1819"/>
      <c r="J543" s="1832"/>
      <c r="K543" s="1832"/>
      <c r="L543" s="2089"/>
      <c r="M543" s="1832"/>
      <c r="N543" s="1832"/>
      <c r="O543" s="1819"/>
      <c r="P543" s="1832"/>
      <c r="Q543" s="1832"/>
      <c r="R543" s="1819"/>
      <c r="S543" s="1861">
        <f>'Part IV-A-Uses of Funds'!S97</f>
        <v>6500</v>
      </c>
      <c r="T543" s="1861"/>
      <c r="U543" s="1819"/>
      <c r="V543" s="1862"/>
      <c r="W543" s="1772"/>
      <c r="X543" s="1772"/>
    </row>
    <row r="544" spans="1:24" ht="13.8">
      <c r="A544" s="1819"/>
      <c r="B544" s="1819" t="s">
        <v>3700</v>
      </c>
      <c r="C544" s="1819"/>
      <c r="D544" s="1819"/>
      <c r="E544" s="1819"/>
      <c r="F544" s="1819"/>
      <c r="G544" s="1861">
        <f>'Part IV-A-Uses of Funds'!G98</f>
        <v>0</v>
      </c>
      <c r="H544" s="1861"/>
      <c r="I544" s="1819"/>
      <c r="J544" s="1832"/>
      <c r="K544" s="1832"/>
      <c r="L544" s="2089"/>
      <c r="M544" s="1832"/>
      <c r="N544" s="1832"/>
      <c r="O544" s="1819"/>
      <c r="P544" s="1832"/>
      <c r="Q544" s="1832"/>
      <c r="R544" s="1819"/>
      <c r="S544" s="1861">
        <f>'Part IV-A-Uses of Funds'!S98</f>
        <v>0</v>
      </c>
      <c r="T544" s="1861"/>
      <c r="U544" s="1819"/>
      <c r="V544" s="1862"/>
      <c r="W544" s="1772"/>
      <c r="X544" s="1772"/>
    </row>
    <row r="545" spans="1:33" ht="13.8">
      <c r="A545" s="1819"/>
      <c r="B545" s="1819" t="s">
        <v>505</v>
      </c>
      <c r="C545" s="1819"/>
      <c r="D545" s="1819"/>
      <c r="E545" s="1861">
        <f>'Part IV-A-Uses of Funds'!E99</f>
        <v>67581</v>
      </c>
      <c r="F545" s="1861"/>
      <c r="G545" s="1861">
        <f>'Part IV-A-Uses of Funds'!G99</f>
        <v>67581</v>
      </c>
      <c r="H545" s="1861"/>
      <c r="I545" s="1819"/>
      <c r="J545" s="2090" t="str">
        <f>IF(E545&gt;G545,"WARNING!  LIHTC Allocation Fee proposed is below minimum required.","")</f>
        <v/>
      </c>
      <c r="K545" s="1832"/>
      <c r="L545" s="1832"/>
      <c r="M545" s="1832"/>
      <c r="N545" s="1832"/>
      <c r="O545" s="1819"/>
      <c r="P545" s="1832"/>
      <c r="Q545" s="1832"/>
      <c r="R545" s="1819"/>
      <c r="S545" s="1861">
        <f>'Part IV-A-Uses of Funds'!S99</f>
        <v>67581</v>
      </c>
      <c r="T545" s="1861"/>
      <c r="U545" s="1819"/>
      <c r="V545" s="1862"/>
      <c r="W545" s="1772"/>
      <c r="X545" s="1772"/>
    </row>
    <row r="546" spans="1:33" ht="13.8">
      <c r="A546" s="1819"/>
      <c r="B546" s="1819" t="s">
        <v>735</v>
      </c>
      <c r="C546" s="1819"/>
      <c r="D546" s="1819"/>
      <c r="E546" s="1861">
        <f>'Part IV-A-Uses of Funds'!E100</f>
        <v>72000</v>
      </c>
      <c r="F546" s="1861"/>
      <c r="G546" s="1861">
        <f>'Part IV-A-Uses of Funds'!G100</f>
        <v>72000</v>
      </c>
      <c r="H546" s="1861"/>
      <c r="I546" s="1819"/>
      <c r="J546" s="2090" t="str">
        <f>IF(E546&gt;G546,"WARNING!  LIHTC Compliance Fee proposed is below minimum required.","")</f>
        <v/>
      </c>
      <c r="K546" s="1827"/>
      <c r="L546" s="1827"/>
      <c r="M546" s="1827"/>
      <c r="N546" s="1827"/>
      <c r="O546" s="1827"/>
      <c r="P546" s="1827"/>
      <c r="Q546" s="1827"/>
      <c r="R546" s="1819"/>
      <c r="S546" s="1861">
        <f>'Part IV-A-Uses of Funds'!S100</f>
        <v>72000</v>
      </c>
      <c r="T546" s="1861"/>
      <c r="U546" s="1819"/>
      <c r="V546" s="1862"/>
      <c r="W546" s="1772"/>
      <c r="X546" s="1772"/>
    </row>
    <row r="547" spans="1:33" ht="13.8">
      <c r="A547" s="1819"/>
      <c r="B547" s="1819" t="s">
        <v>3879</v>
      </c>
      <c r="C547" s="1819"/>
      <c r="D547" s="1819"/>
      <c r="E547" s="1819"/>
      <c r="F547" s="1873">
        <f>ROUNDUP('DCA Underwriting Assumptions'!$Q$94,0)</f>
        <v>3000</v>
      </c>
      <c r="G547" s="1861">
        <f>'Part IV-A-Uses of Funds'!G101</f>
        <v>0</v>
      </c>
      <c r="H547" s="1861"/>
      <c r="I547" s="1819"/>
      <c r="J547" s="1827"/>
      <c r="K547" s="1827"/>
      <c r="L547" s="1827"/>
      <c r="M547" s="1827"/>
      <c r="N547" s="1827"/>
      <c r="O547" s="1827"/>
      <c r="P547" s="1827"/>
      <c r="Q547" s="1827"/>
      <c r="R547" s="1819"/>
      <c r="S547" s="1861">
        <f>'Part IV-A-Uses of Funds'!S101</f>
        <v>0</v>
      </c>
      <c r="T547" s="1861"/>
      <c r="U547" s="1819"/>
      <c r="V547" s="1862"/>
      <c r="W547" s="1772"/>
      <c r="X547" s="1772"/>
    </row>
    <row r="548" spans="1:33" ht="13.8">
      <c r="A548" s="1819"/>
      <c r="B548" s="1819" t="s">
        <v>3880</v>
      </c>
      <c r="C548" s="1819"/>
      <c r="D548" s="1819"/>
      <c r="E548" s="1819"/>
      <c r="F548" s="1873">
        <f>ROUNDUP('DCA Underwriting Assumptions'!$Q$128,0)</f>
        <v>3000</v>
      </c>
      <c r="G548" s="1861">
        <f>'Part IV-A-Uses of Funds'!G102</f>
        <v>3000</v>
      </c>
      <c r="H548" s="1861"/>
      <c r="I548" s="1819"/>
      <c r="J548" s="1827"/>
      <c r="K548" s="1827"/>
      <c r="L548" s="1827"/>
      <c r="M548" s="1827"/>
      <c r="N548" s="1827"/>
      <c r="O548" s="1827"/>
      <c r="P548" s="1827"/>
      <c r="Q548" s="1827"/>
      <c r="R548" s="1819"/>
      <c r="S548" s="1861">
        <f>'Part IV-A-Uses of Funds'!S102</f>
        <v>3000</v>
      </c>
      <c r="T548" s="1861"/>
      <c r="U548" s="1819"/>
      <c r="V548" s="1862"/>
      <c r="W548" s="1772"/>
      <c r="X548" s="1772"/>
    </row>
    <row r="549" spans="1:33" ht="15.6" customHeight="1">
      <c r="A549" s="2077" t="str">
        <f>IF(AND(G549&gt;0,OR(C549="",C549="&lt;Enter detailed description here; use Comments section if needed&gt;")),"X","")</f>
        <v/>
      </c>
      <c r="B549" s="1819" t="s">
        <v>723</v>
      </c>
      <c r="C549" s="1849" t="str">
        <f>'Part IV-A-Uses of Funds'!C103</f>
        <v>&lt;&lt; Enter description here; provide detail &amp; justification in tab Part IV-b &gt;&gt;</v>
      </c>
      <c r="D549" s="1849"/>
      <c r="E549" s="1849"/>
      <c r="F549" s="1849"/>
      <c r="G549" s="1861">
        <f>'Part IV-A-Uses of Funds'!G103</f>
        <v>0</v>
      </c>
      <c r="H549" s="1861"/>
      <c r="I549" s="1819"/>
      <c r="J549" s="1827"/>
      <c r="K549" s="1827"/>
      <c r="L549" s="1827"/>
      <c r="M549" s="1827"/>
      <c r="N549" s="1827"/>
      <c r="O549" s="1827"/>
      <c r="P549" s="1827"/>
      <c r="Q549" s="1827"/>
      <c r="R549" s="1819"/>
      <c r="S549" s="1861">
        <f>'Part IV-A-Uses of Funds'!S103</f>
        <v>0</v>
      </c>
      <c r="T549" s="1861"/>
      <c r="U549" s="1823" t="str">
        <f>IF(AND(G549&gt;0,OR(C549="",C549="&lt;Enter detailed description here; use Comments section if needed&gt;")),"NO DESCRIPTION PROVIDED - please enter detailed description in Other box at left; use Comments section below if needed.","")</f>
        <v/>
      </c>
      <c r="V549" s="1862"/>
      <c r="W549" s="1772"/>
      <c r="X549" s="1772"/>
    </row>
    <row r="550" spans="1:33" ht="16.2" customHeight="1">
      <c r="A550" s="2077" t="str">
        <f>IF(AND(G550&gt;0,OR(C550="",C550="&lt;Enter detailed description here; use Comments section if needed&gt;")),"X","")</f>
        <v/>
      </c>
      <c r="B550" s="1819" t="s">
        <v>723</v>
      </c>
      <c r="C550" s="1849" t="str">
        <f>'Part IV-A-Uses of Funds'!C104</f>
        <v>&lt;&lt; Enter description here; provide detail &amp; justification in tab Part IV-b &gt;&gt;</v>
      </c>
      <c r="D550" s="1849"/>
      <c r="E550" s="1849"/>
      <c r="F550" s="1849"/>
      <c r="G550" s="1861">
        <f>'Part IV-A-Uses of Funds'!G104</f>
        <v>0</v>
      </c>
      <c r="H550" s="1861"/>
      <c r="I550" s="1819"/>
      <c r="J550" s="1827"/>
      <c r="K550" s="1827"/>
      <c r="L550" s="1827"/>
      <c r="M550" s="1827"/>
      <c r="N550" s="1827"/>
      <c r="O550" s="1827"/>
      <c r="P550" s="1827"/>
      <c r="Q550" s="1827"/>
      <c r="R550" s="1819"/>
      <c r="S550" s="1861">
        <f>'Part IV-A-Uses of Funds'!S104</f>
        <v>0</v>
      </c>
      <c r="T550" s="1861"/>
      <c r="U550" s="1823" t="str">
        <f>IF(AND(G550&gt;0,OR(C550="",C550="&lt;Enter detailed description here; use Comments section if needed&gt;")),"NO DESCRIPTION PROVIDED - please enter detailed description in Other box at left; use Comments section below if needed.","")</f>
        <v/>
      </c>
      <c r="V550" s="1862"/>
      <c r="W550" s="1772"/>
      <c r="X550" s="1772"/>
    </row>
    <row r="551" spans="1:33" ht="13.8">
      <c r="A551" s="1819"/>
      <c r="B551" s="1819"/>
      <c r="C551" s="1819"/>
      <c r="D551" s="1819"/>
      <c r="E551" s="1819"/>
      <c r="F551" s="1826" t="s">
        <v>187</v>
      </c>
      <c r="G551" s="1861">
        <f>SUM(G542:H550)</f>
        <v>150081</v>
      </c>
      <c r="H551" s="1861"/>
      <c r="I551" s="1819"/>
      <c r="J551" s="1832"/>
      <c r="K551" s="1832"/>
      <c r="L551" s="1832"/>
      <c r="M551" s="1832"/>
      <c r="N551" s="1832"/>
      <c r="O551" s="1819"/>
      <c r="P551" s="1832"/>
      <c r="Q551" s="1832"/>
      <c r="R551" s="1819"/>
      <c r="S551" s="1861">
        <f>SUM(S542:T550)</f>
        <v>150081</v>
      </c>
      <c r="T551" s="1861"/>
      <c r="U551" s="1819"/>
      <c r="V551" s="1862">
        <f>SUM(V542:V550)</f>
        <v>0</v>
      </c>
      <c r="W551" s="1910"/>
      <c r="X551" s="1910"/>
    </row>
    <row r="552" spans="1:33" ht="13.8">
      <c r="A552" s="1819"/>
      <c r="B552" s="1819" t="s">
        <v>2241</v>
      </c>
      <c r="C552" s="1819"/>
      <c r="D552" s="1819"/>
      <c r="E552" s="1819"/>
      <c r="F552" s="1819"/>
      <c r="G552" s="1819"/>
      <c r="H552" s="1819"/>
      <c r="I552" s="1819"/>
      <c r="J552" s="1832"/>
      <c r="K552" s="1832"/>
      <c r="L552" s="1819"/>
      <c r="M552" s="1832"/>
      <c r="N552" s="1832"/>
      <c r="O552" s="1832" t="str">
        <f>B552</f>
        <v>EQUITY COSTS</v>
      </c>
      <c r="P552" s="1832"/>
      <c r="Q552" s="1832"/>
      <c r="R552" s="1819"/>
      <c r="S552" s="1832"/>
      <c r="T552" s="1832"/>
      <c r="U552" s="1819"/>
      <c r="V552" s="1862"/>
      <c r="W552" s="1819" t="str">
        <f>B552</f>
        <v>EQUITY COSTS</v>
      </c>
      <c r="X552" s="1819"/>
    </row>
    <row r="553" spans="1:33" ht="13.8">
      <c r="A553" s="1819"/>
      <c r="B553" s="1819" t="s">
        <v>274</v>
      </c>
      <c r="C553" s="1819"/>
      <c r="D553" s="1819"/>
      <c r="E553" s="1819"/>
      <c r="F553" s="1819"/>
      <c r="G553" s="1861">
        <f>'Part IV-A-Uses of Funds'!G107</f>
        <v>4663</v>
      </c>
      <c r="H553" s="1861"/>
      <c r="I553" s="1819"/>
      <c r="J553" s="1861"/>
      <c r="K553" s="1861"/>
      <c r="L553" s="1832"/>
      <c r="M553" s="1861"/>
      <c r="N553" s="1861"/>
      <c r="O553" s="1819"/>
      <c r="P553" s="1861"/>
      <c r="Q553" s="1861"/>
      <c r="R553" s="1819"/>
      <c r="S553" s="1861">
        <f>'Part IV-A-Uses of Funds'!S107</f>
        <v>4663</v>
      </c>
      <c r="T553" s="1861"/>
      <c r="U553" s="1819"/>
      <c r="V553" s="1862"/>
      <c r="W553" s="1772"/>
      <c r="X553" s="1772"/>
    </row>
    <row r="554" spans="1:33" ht="13.8">
      <c r="A554" s="1819"/>
      <c r="B554" s="1819" t="s">
        <v>275</v>
      </c>
      <c r="C554" s="1819"/>
      <c r="D554" s="1819"/>
      <c r="E554" s="1819"/>
      <c r="F554" s="1819"/>
      <c r="G554" s="1861">
        <f>'Part IV-A-Uses of Funds'!G108</f>
        <v>5000</v>
      </c>
      <c r="H554" s="1861"/>
      <c r="I554" s="1819"/>
      <c r="J554" s="1861"/>
      <c r="K554" s="1861"/>
      <c r="L554" s="1832"/>
      <c r="M554" s="1861"/>
      <c r="N554" s="1861"/>
      <c r="O554" s="1819"/>
      <c r="P554" s="1861"/>
      <c r="Q554" s="1861"/>
      <c r="R554" s="1819"/>
      <c r="S554" s="1861">
        <f>'Part IV-A-Uses of Funds'!S108</f>
        <v>5000</v>
      </c>
      <c r="T554" s="1861"/>
      <c r="U554" s="1819"/>
      <c r="V554" s="1862"/>
      <c r="W554" s="1772"/>
      <c r="X554" s="1772"/>
    </row>
    <row r="555" spans="1:33" ht="13.8">
      <c r="A555" s="1819"/>
      <c r="B555" s="1819" t="s">
        <v>2324</v>
      </c>
      <c r="C555" s="1819"/>
      <c r="D555" s="1819"/>
      <c r="E555" s="1819"/>
      <c r="F555" s="1819"/>
      <c r="G555" s="1861">
        <f>'Part IV-A-Uses of Funds'!G109</f>
        <v>0</v>
      </c>
      <c r="H555" s="1861"/>
      <c r="I555" s="1819"/>
      <c r="J555" s="1861"/>
      <c r="K555" s="1861"/>
      <c r="L555" s="1832"/>
      <c r="M555" s="1861"/>
      <c r="N555" s="1861"/>
      <c r="O555" s="1819"/>
      <c r="P555" s="1861"/>
      <c r="Q555" s="1861"/>
      <c r="R555" s="1819"/>
      <c r="S555" s="1861">
        <f>'Part IV-A-Uses of Funds'!S109</f>
        <v>0</v>
      </c>
      <c r="T555" s="1861"/>
      <c r="U555" s="1819"/>
      <c r="V555" s="1862"/>
      <c r="W555" s="1772"/>
      <c r="X555" s="1772"/>
    </row>
    <row r="556" spans="1:33" ht="16.2" customHeight="1">
      <c r="A556" s="2077" t="str">
        <f>IF(AND(G556&gt;0,OR(C556="",C556="&lt;Enter detailed description here; use Comments section if needed&gt;")),"X","")</f>
        <v/>
      </c>
      <c r="B556" s="1819" t="s">
        <v>723</v>
      </c>
      <c r="C556" s="1849" t="str">
        <f>'Part IV-A-Uses of Funds'!C110</f>
        <v>&lt;&lt; Enter description here; provide detail &amp; justification in tab Part IV-b &gt;&gt;</v>
      </c>
      <c r="D556" s="1849"/>
      <c r="E556" s="1849"/>
      <c r="F556" s="1849"/>
      <c r="G556" s="1861">
        <f>'Part IV-A-Uses of Funds'!G110</f>
        <v>0</v>
      </c>
      <c r="H556" s="1861"/>
      <c r="I556" s="1819"/>
      <c r="J556" s="1861"/>
      <c r="K556" s="1861"/>
      <c r="L556" s="1832"/>
      <c r="M556" s="1861"/>
      <c r="N556" s="1861"/>
      <c r="O556" s="1819"/>
      <c r="P556" s="1861"/>
      <c r="Q556" s="1861"/>
      <c r="R556" s="1819"/>
      <c r="S556" s="1861">
        <f>'Part IV-A-Uses of Funds'!S110</f>
        <v>0</v>
      </c>
      <c r="T556" s="1861"/>
      <c r="U556" s="1823" t="str">
        <f>IF(AND(G556&gt;0,OR(C556="",C556="&lt;Enter detailed description here; use Comments section if needed&gt;")),"NO DESCRIPTION PROVIDED - please enter detailed description in Other box at left; use Comments section below if needed.","")</f>
        <v/>
      </c>
      <c r="V556" s="1862"/>
      <c r="W556" s="1772"/>
      <c r="X556" s="1772"/>
    </row>
    <row r="557" spans="1:33" ht="13.95" customHeight="1">
      <c r="A557" s="1819"/>
      <c r="B557" s="1819"/>
      <c r="C557" s="1819"/>
      <c r="D557" s="1819"/>
      <c r="E557" s="1819"/>
      <c r="F557" s="1826" t="s">
        <v>187</v>
      </c>
      <c r="G557" s="1861">
        <f>SUM(G553:H556)</f>
        <v>9663</v>
      </c>
      <c r="H557" s="1861"/>
      <c r="I557" s="1819"/>
      <c r="J557" s="1861"/>
      <c r="K557" s="1861"/>
      <c r="L557" s="1832"/>
      <c r="M557" s="1861"/>
      <c r="N557" s="1861"/>
      <c r="O557" s="1819"/>
      <c r="P557" s="1861"/>
      <c r="Q557" s="1861"/>
      <c r="R557" s="1819"/>
      <c r="S557" s="1861">
        <f>SUM(S553:T556)</f>
        <v>9663</v>
      </c>
      <c r="T557" s="1861"/>
      <c r="U557" s="1819"/>
      <c r="V557" s="1862">
        <f>SUM(V553:V556)</f>
        <v>0</v>
      </c>
      <c r="W557" s="1772"/>
      <c r="X557" s="1772"/>
      <c r="Y557" s="1819"/>
      <c r="Z557" s="1819"/>
      <c r="AA557" s="1819"/>
      <c r="AB557" s="1819"/>
      <c r="AC557" s="1955" t="s">
        <v>4509</v>
      </c>
      <c r="AD557" s="1955" t="s">
        <v>4510</v>
      </c>
      <c r="AE557" s="1955" t="s">
        <v>4515</v>
      </c>
      <c r="AF557" s="1822" t="s">
        <v>4511</v>
      </c>
      <c r="AG557" s="1819"/>
    </row>
    <row r="558" spans="1:33" ht="13.8">
      <c r="A558" s="1819"/>
      <c r="B558" s="1819" t="s">
        <v>276</v>
      </c>
      <c r="C558" s="1819"/>
      <c r="D558" s="1855" t="s">
        <v>4512</v>
      </c>
      <c r="E558" s="1820" t="str">
        <f>'Part IV-A-Uses of Funds'!E112</f>
        <v>9%</v>
      </c>
      <c r="F558" s="1822"/>
      <c r="G558" s="1819"/>
      <c r="H558" s="1819"/>
      <c r="I558" s="1819"/>
      <c r="J558" s="1832"/>
      <c r="K558" s="1861"/>
      <c r="L558" s="1819"/>
      <c r="M558" s="1832"/>
      <c r="N558" s="1861"/>
      <c r="O558" s="1832" t="str">
        <f>B558</f>
        <v>DEVELOPER'S FEE</v>
      </c>
      <c r="P558" s="1832"/>
      <c r="Q558" s="1861"/>
      <c r="R558" s="1819"/>
      <c r="S558" s="1832"/>
      <c r="T558" s="1861"/>
      <c r="U558" s="1819"/>
      <c r="V558" s="1862"/>
      <c r="W558" s="1819" t="str">
        <f>B558</f>
        <v>DEVELOPER'S FEE</v>
      </c>
      <c r="X558" s="1819"/>
      <c r="Y558" s="1955" t="s">
        <v>4497</v>
      </c>
      <c r="Z558" s="1955"/>
      <c r="AA558" s="1816" t="s">
        <v>4506</v>
      </c>
      <c r="AB558" s="1816" t="s">
        <v>4507</v>
      </c>
      <c r="AC558" s="1955"/>
      <c r="AD558" s="1955"/>
      <c r="AE558" s="1955"/>
      <c r="AF558" s="1822"/>
      <c r="AG558" s="1819"/>
    </row>
    <row r="559" spans="1:33" ht="13.8">
      <c r="A559" s="1819"/>
      <c r="B559" s="1819" t="s">
        <v>1814</v>
      </c>
      <c r="C559" s="1819"/>
      <c r="D559" s="1819"/>
      <c r="E559" s="1819"/>
      <c r="F559" s="1851">
        <f>'Part IV-A-Uses of Funds'!F113</f>
        <v>0</v>
      </c>
      <c r="G559" s="1861">
        <f>'Part IV-A-Uses of Funds'!G113</f>
        <v>0</v>
      </c>
      <c r="H559" s="1861"/>
      <c r="I559" s="1819"/>
      <c r="J559" s="1861">
        <f>'Part IV-A-Uses of Funds'!J113</f>
        <v>0</v>
      </c>
      <c r="K559" s="1861"/>
      <c r="L559" s="1832"/>
      <c r="M559" s="1861">
        <f>'Part IV-A-Uses of Funds'!M113</f>
        <v>0</v>
      </c>
      <c r="N559" s="1861"/>
      <c r="O559" s="1819"/>
      <c r="P559" s="1861">
        <f>'Part IV-A-Uses of Funds'!P113</f>
        <v>0</v>
      </c>
      <c r="Q559" s="1861"/>
      <c r="R559" s="1819"/>
      <c r="S559" s="1861">
        <f>'Part IV-A-Uses of Funds'!S113</f>
        <v>0</v>
      </c>
      <c r="T559" s="1861"/>
      <c r="U559" s="1819"/>
      <c r="V559" s="1862"/>
      <c r="W559" s="1772"/>
      <c r="X559" s="1772"/>
      <c r="Z559" s="2202">
        <v>0.09</v>
      </c>
      <c r="AA559" s="1961">
        <f>'DCA Underwriting Assumptions'!$J$104</f>
        <v>1</v>
      </c>
      <c r="AB559" s="1961">
        <f>'DCA Underwriting Assumptions'!$K$104</f>
        <v>50</v>
      </c>
      <c r="AC559" s="2203">
        <f>'DCA Underwriting Assumptions'!$Q$104</f>
        <v>25000</v>
      </c>
      <c r="AD559" s="2203">
        <f>AB559*AC559</f>
        <v>1250000</v>
      </c>
      <c r="AE559" s="2203">
        <f>IF('Part VI-Revenues &amp; Expenses'!$P$67&lt;AA560,'Part VI-Revenues &amp; Expenses'!$P$67*'Part IV-A-Uses of Funds'!AC559,AB559*AC559)</f>
        <v>1250000</v>
      </c>
      <c r="AF559" s="1964">
        <f>SUM(AE559:AE561)</f>
        <v>1280000</v>
      </c>
      <c r="AG559" s="1819"/>
    </row>
    <row r="560" spans="1:33" ht="13.8">
      <c r="A560" s="1819"/>
      <c r="B560" s="1819" t="s">
        <v>3840</v>
      </c>
      <c r="C560" s="1819"/>
      <c r="D560" s="1819"/>
      <c r="E560" s="1819"/>
      <c r="F560" s="2204"/>
      <c r="G560" s="1819"/>
      <c r="H560" s="1819"/>
      <c r="I560" s="1819"/>
      <c r="J560" s="1819"/>
      <c r="K560" s="1819"/>
      <c r="L560" s="1819"/>
      <c r="M560" s="1819"/>
      <c r="N560" s="1819"/>
      <c r="O560" s="1819"/>
      <c r="P560" s="1819"/>
      <c r="Q560" s="1819"/>
      <c r="R560" s="1819"/>
      <c r="S560" s="1819"/>
      <c r="T560" s="1819"/>
      <c r="U560" s="1819"/>
      <c r="V560" s="1862"/>
      <c r="W560" s="1772"/>
      <c r="X560" s="1772"/>
      <c r="Z560" s="1874"/>
      <c r="AA560" s="1961">
        <f>'DCA Underwriting Assumptions'!$J$105</f>
        <v>51</v>
      </c>
      <c r="AB560" s="1961">
        <f>'DCA Underwriting Assumptions'!$K$105</f>
        <v>70</v>
      </c>
      <c r="AC560" s="2203">
        <f>'DCA Underwriting Assumptions'!$Q$105</f>
        <v>20000</v>
      </c>
      <c r="AD560" s="2203">
        <f>(AB560-AB559)*AC560</f>
        <v>400000</v>
      </c>
      <c r="AE560" s="2203">
        <f>IF(AND('Part VI-Revenues &amp; Expenses'!$P$67&gt;AB559,'Part VI-Revenues &amp; Expenses'!$P$67&lt;AA561),('Part VI-Revenues &amp; Expenses'!$P$67-AB559)*'Part IV-A-Uses of Funds'!AC560,IF(AND('Part VI-Revenues &amp; Expenses'!$P$67&gt;AB559,'Part VI-Revenues &amp; Expenses'!$P$67&gt;AB560),(AB560-AB559)*'Part IV-A-Uses of Funds'!AC560,0))</f>
        <v>0</v>
      </c>
      <c r="AF560" s="1964"/>
      <c r="AG560" s="1819"/>
    </row>
    <row r="561" spans="1:33" ht="13.8">
      <c r="A561" s="1819"/>
      <c r="B561" s="1819" t="s">
        <v>1815</v>
      </c>
      <c r="C561" s="1819"/>
      <c r="D561" s="1819"/>
      <c r="E561" s="1819"/>
      <c r="F561" s="1851">
        <f>'Part IV-A-Uses of Funds'!F115</f>
        <v>0</v>
      </c>
      <c r="G561" s="1861">
        <f>'Part IV-A-Uses of Funds'!G115</f>
        <v>0</v>
      </c>
      <c r="H561" s="1861"/>
      <c r="I561" s="1819"/>
      <c r="J561" s="1861">
        <f>'Part IV-A-Uses of Funds'!J115</f>
        <v>0</v>
      </c>
      <c r="K561" s="1861"/>
      <c r="L561" s="1832"/>
      <c r="M561" s="1861">
        <f>'Part IV-A-Uses of Funds'!M115</f>
        <v>0</v>
      </c>
      <c r="N561" s="1861"/>
      <c r="O561" s="1819"/>
      <c r="P561" s="1861">
        <f>'Part IV-A-Uses of Funds'!P115</f>
        <v>0</v>
      </c>
      <c r="Q561" s="1861"/>
      <c r="R561" s="1819"/>
      <c r="S561" s="1861">
        <f>'Part IV-A-Uses of Funds'!S115</f>
        <v>0</v>
      </c>
      <c r="T561" s="1861"/>
      <c r="U561" s="1819"/>
      <c r="V561" s="1862"/>
      <c r="W561" s="1772"/>
      <c r="X561" s="1772"/>
      <c r="Z561" s="1874"/>
      <c r="AA561" s="1961">
        <f>'DCA Underwriting Assumptions'!$J$106</f>
        <v>71</v>
      </c>
      <c r="AB561" s="1874"/>
      <c r="AC561" s="2203">
        <f>'DCA Underwriting Assumptions'!$Q$106</f>
        <v>15000</v>
      </c>
      <c r="AD561" s="2203">
        <f>AF567-AD560-AD559</f>
        <v>350000</v>
      </c>
      <c r="AE561" s="2203">
        <f>MIN(AD561,IF('Part VI-Revenues &amp; Expenses'!$P$67&gt;AB560,('Part VI-Revenues &amp; Expenses'!$P$67-AB560)*AC561,0))</f>
        <v>30000</v>
      </c>
      <c r="AF561" s="1964"/>
      <c r="AG561" s="1819"/>
    </row>
    <row r="562" spans="1:33" ht="13.8">
      <c r="A562" s="1819"/>
      <c r="B562" s="1819" t="s">
        <v>3466</v>
      </c>
      <c r="C562" s="1819"/>
      <c r="D562" s="1819"/>
      <c r="E562" s="1819"/>
      <c r="F562" s="1851">
        <f>'Part IV-A-Uses of Funds'!F116</f>
        <v>0</v>
      </c>
      <c r="G562" s="1861">
        <f>'Part IV-A-Uses of Funds'!G116</f>
        <v>0</v>
      </c>
      <c r="H562" s="1861"/>
      <c r="I562" s="1819"/>
      <c r="J562" s="1861">
        <f>'Part IV-A-Uses of Funds'!J116</f>
        <v>0</v>
      </c>
      <c r="K562" s="1861"/>
      <c r="L562" s="1832"/>
      <c r="M562" s="1861">
        <f>'Part IV-A-Uses of Funds'!M116</f>
        <v>0</v>
      </c>
      <c r="N562" s="1861"/>
      <c r="O562" s="1819"/>
      <c r="P562" s="1861">
        <f>'Part IV-A-Uses of Funds'!P116</f>
        <v>0</v>
      </c>
      <c r="Q562" s="1861"/>
      <c r="R562" s="1819"/>
      <c r="S562" s="1861">
        <f>'Part IV-A-Uses of Funds'!S116</f>
        <v>0</v>
      </c>
      <c r="T562" s="1861"/>
      <c r="U562" s="1819"/>
      <c r="V562" s="1862"/>
      <c r="W562" s="1772"/>
      <c r="X562" s="1772"/>
      <c r="Z562" s="2202">
        <v>0.04</v>
      </c>
      <c r="AA562" s="1961">
        <f>'DCA Underwriting Assumptions'!$J$107</f>
        <v>1</v>
      </c>
      <c r="AB562" s="1961">
        <f>'DCA Underwriting Assumptions'!$K$107</f>
        <v>100</v>
      </c>
      <c r="AC562" s="2203">
        <f>'DCA Underwriting Assumptions'!$Q$107</f>
        <v>18000</v>
      </c>
      <c r="AD562" s="2203">
        <f>AB562*AC562</f>
        <v>1800000</v>
      </c>
      <c r="AE562" s="2203">
        <f>IF('Part VI-Revenues &amp; Expenses'!$P$67&lt;AA563,'Part VI-Revenues &amp; Expenses'!$P$67*'Part IV-A-Uses of Funds'!AC562,AB562*AC562)</f>
        <v>0</v>
      </c>
      <c r="AF562" s="1964">
        <f>SUM(AE562:AE564)</f>
        <v>0</v>
      </c>
      <c r="AG562" s="1875">
        <f>51*AC562</f>
        <v>918000</v>
      </c>
    </row>
    <row r="563" spans="1:33" ht="13.8">
      <c r="A563" s="1819"/>
      <c r="B563" s="1819" t="s">
        <v>1807</v>
      </c>
      <c r="C563" s="1819"/>
      <c r="D563" s="1819"/>
      <c r="E563" s="1819"/>
      <c r="F563" s="1851">
        <f>'Part IV-A-Uses of Funds'!F117</f>
        <v>1</v>
      </c>
      <c r="G563" s="1861">
        <f>'Part IV-A-Uses of Funds'!G117</f>
        <v>1680000</v>
      </c>
      <c r="H563" s="1861"/>
      <c r="I563" s="1819"/>
      <c r="J563" s="1861">
        <f>'Part IV-A-Uses of Funds'!J117</f>
        <v>1680000</v>
      </c>
      <c r="K563" s="1861"/>
      <c r="L563" s="1832"/>
      <c r="M563" s="1861">
        <f>'Part IV-A-Uses of Funds'!M117</f>
        <v>0</v>
      </c>
      <c r="N563" s="1861"/>
      <c r="O563" s="1819"/>
      <c r="P563" s="1861">
        <f>'Part IV-A-Uses of Funds'!P117</f>
        <v>0</v>
      </c>
      <c r="Q563" s="1861"/>
      <c r="R563" s="1819"/>
      <c r="S563" s="1861">
        <f>'Part IV-A-Uses of Funds'!S117</f>
        <v>0</v>
      </c>
      <c r="T563" s="1861"/>
      <c r="U563" s="1819"/>
      <c r="V563" s="1862"/>
      <c r="W563" s="1772"/>
      <c r="X563" s="1772"/>
      <c r="Z563" s="1874"/>
      <c r="AA563" s="1961">
        <f>'DCA Underwriting Assumptions'!$J$108</f>
        <v>101</v>
      </c>
      <c r="AB563" s="1961">
        <f>'DCA Underwriting Assumptions'!$K$108</f>
        <v>130</v>
      </c>
      <c r="AC563" s="2203">
        <f>'DCA Underwriting Assumptions'!$Q$108</f>
        <v>15500</v>
      </c>
      <c r="AD563" s="2203">
        <f>(AB563-AB562)*AC563</f>
        <v>465000</v>
      </c>
      <c r="AE563" s="2203">
        <f>IF(AND('Part VI-Revenues &amp; Expenses'!$P$67&gt;AB562,'Part VI-Revenues &amp; Expenses'!$P$67&lt;AA564),('Part VI-Revenues &amp; Expenses'!$P$67-AB562)*'Part IV-A-Uses of Funds'!AC563,IF(AND('Part VI-Revenues &amp; Expenses'!$P$67&gt;AB562,'Part VI-Revenues &amp; Expenses'!$P$67&gt;AB563),(AB563-AB562)*'Part IV-A-Uses of Funds'!AC563,0))</f>
        <v>0</v>
      </c>
      <c r="AF563" s="1964"/>
      <c r="AG563" s="1875"/>
    </row>
    <row r="564" spans="1:33" ht="13.8">
      <c r="A564" s="1820" t="str">
        <f>IF(G564&gt;E564,"DF over limit!  Round down/Enter nbr.","")</f>
        <v/>
      </c>
      <c r="B564" s="1876"/>
      <c r="C564" s="1819"/>
      <c r="D564" s="1855" t="s">
        <v>4508</v>
      </c>
      <c r="E564" s="2091">
        <f>'Part IV-A-Uses of Funds'!E118</f>
        <v>1680000</v>
      </c>
      <c r="F564" s="1826" t="s">
        <v>187</v>
      </c>
      <c r="G564" s="1877">
        <f>SUM(G559:H563)</f>
        <v>1680000</v>
      </c>
      <c r="H564" s="1877"/>
      <c r="I564" s="1819"/>
      <c r="J564" s="1861">
        <f>SUM(J559:K563)</f>
        <v>1680000</v>
      </c>
      <c r="K564" s="1861"/>
      <c r="L564" s="1832"/>
      <c r="M564" s="1861">
        <f>SUM(M559:N563)</f>
        <v>0</v>
      </c>
      <c r="N564" s="1861"/>
      <c r="O564" s="1819"/>
      <c r="P564" s="1861">
        <f>SUM(P559:Q563)</f>
        <v>0</v>
      </c>
      <c r="Q564" s="1861"/>
      <c r="R564" s="1819"/>
      <c r="S564" s="1861">
        <f>SUM(S559:T563)</f>
        <v>0</v>
      </c>
      <c r="T564" s="1861"/>
      <c r="U564" s="1819"/>
      <c r="V564" s="1862">
        <f>SUM(V559:V563)</f>
        <v>0</v>
      </c>
      <c r="W564" s="1772"/>
      <c r="X564" s="1772"/>
      <c r="Z564" s="1874"/>
      <c r="AA564" s="1961">
        <f>'DCA Underwriting Assumptions'!$J$109</f>
        <v>131</v>
      </c>
      <c r="AB564" s="1874"/>
      <c r="AC564" s="2203">
        <f>'DCA Underwriting Assumptions'!$Q$109</f>
        <v>13000</v>
      </c>
      <c r="AD564" s="2203">
        <f>AF568-AD563-AD562</f>
        <v>1235000</v>
      </c>
      <c r="AE564" s="2203">
        <f>MIN(AD564,IF('Part VI-Revenues &amp; Expenses'!$P$67&gt;AB563,('Part VI-Revenues &amp; Expenses'!$P$67-AB563)*AC564,0))</f>
        <v>0</v>
      </c>
      <c r="AF564" s="1964"/>
      <c r="AG564" s="1875"/>
    </row>
    <row r="565" spans="1:33" ht="13.8">
      <c r="A565" s="1819"/>
      <c r="B565" s="1819" t="s">
        <v>1282</v>
      </c>
      <c r="C565" s="1819"/>
      <c r="D565" s="1819"/>
      <c r="E565" s="1819"/>
      <c r="F565" s="1819"/>
      <c r="G565" s="1819"/>
      <c r="H565" s="1819"/>
      <c r="I565" s="1819"/>
      <c r="J565" s="1861"/>
      <c r="K565" s="1861"/>
      <c r="L565" s="1819"/>
      <c r="M565" s="1861"/>
      <c r="N565" s="1861"/>
      <c r="O565" s="1832" t="str">
        <f>B565</f>
        <v>START-UP AND RESERVES</v>
      </c>
      <c r="P565" s="1861"/>
      <c r="Q565" s="1861"/>
      <c r="R565" s="1819"/>
      <c r="S565" s="1861"/>
      <c r="T565" s="1861"/>
      <c r="U565" s="1819"/>
      <c r="V565" s="1862"/>
      <c r="W565" s="1819" t="str">
        <f>B565</f>
        <v>START-UP AND RESERVES</v>
      </c>
      <c r="X565" s="1819"/>
      <c r="Y565" s="1945"/>
      <c r="Z565" s="1817"/>
      <c r="AA565" s="1819"/>
      <c r="AB565" s="1945"/>
      <c r="AE565" s="1819"/>
    </row>
    <row r="566" spans="1:33" ht="13.8">
      <c r="A566" s="1819"/>
      <c r="B566" s="1819" t="s">
        <v>246</v>
      </c>
      <c r="C566" s="1819"/>
      <c r="D566" s="1819"/>
      <c r="E566" s="1819"/>
      <c r="F566" s="1819"/>
      <c r="G566" s="1861">
        <f>'Part IV-A-Uses of Funds'!G120</f>
        <v>20000</v>
      </c>
      <c r="H566" s="1861"/>
      <c r="I566" s="1819"/>
      <c r="J566" s="2089"/>
      <c r="K566" s="2089"/>
      <c r="L566" s="2089"/>
      <c r="M566" s="2089"/>
      <c r="N566" s="2089"/>
      <c r="O566" s="1819"/>
      <c r="P566" s="2089"/>
      <c r="Q566" s="2089"/>
      <c r="R566" s="1819"/>
      <c r="S566" s="1861">
        <f>'Part IV-A-Uses of Funds'!S120</f>
        <v>20000</v>
      </c>
      <c r="T566" s="1861"/>
      <c r="U566" s="1819"/>
      <c r="V566" s="1862"/>
      <c r="W566" s="1772"/>
      <c r="X566" s="1772"/>
      <c r="Y566" s="1955" t="s">
        <v>4499</v>
      </c>
      <c r="Z566" s="1817"/>
      <c r="AA566" s="1819"/>
      <c r="AB566" s="1945"/>
      <c r="AE566" s="1819"/>
    </row>
    <row r="567" spans="1:33" ht="13.8">
      <c r="A567" s="1819"/>
      <c r="B567" s="1819" t="s">
        <v>1503</v>
      </c>
      <c r="C567" s="1819"/>
      <c r="D567" s="1819"/>
      <c r="E567" s="1819"/>
      <c r="F567" s="1864">
        <f>'Part IV-A-Uses of Funds'!F121</f>
        <v>81000</v>
      </c>
      <c r="G567" s="1861">
        <f>'Part IV-A-Uses of Funds'!G121</f>
        <v>81000</v>
      </c>
      <c r="H567" s="1861"/>
      <c r="I567" s="1819"/>
      <c r="J567" s="1895" t="str">
        <f>IF(E567&gt;G567,"WARNING! Rent-Up Reserves proposed is below minimum - add comment.","")</f>
        <v/>
      </c>
      <c r="K567" s="1895"/>
      <c r="L567" s="1832"/>
      <c r="M567" s="1861"/>
      <c r="N567" s="1861"/>
      <c r="O567" s="1819"/>
      <c r="P567" s="1861"/>
      <c r="Q567" s="1861"/>
      <c r="R567" s="1819"/>
      <c r="S567" s="1861">
        <f>'Part IV-A-Uses of Funds'!S121</f>
        <v>81000</v>
      </c>
      <c r="T567" s="1861"/>
      <c r="U567" s="1819"/>
      <c r="V567" s="1862"/>
      <c r="W567" s="1772"/>
      <c r="X567" s="1772"/>
      <c r="Z567" s="2202">
        <v>0.09</v>
      </c>
      <c r="AA567" s="1819"/>
      <c r="AB567" s="1955"/>
      <c r="AC567" s="1819"/>
      <c r="AE567" s="1819"/>
      <c r="AF567" s="2203">
        <f>'DCA Underwriting Assumptions'!$Q$112</f>
        <v>2000000</v>
      </c>
    </row>
    <row r="568" spans="1:33" ht="13.8">
      <c r="A568" s="1819"/>
      <c r="B568" s="1819" t="s">
        <v>660</v>
      </c>
      <c r="C568" s="1819"/>
      <c r="D568" s="1819"/>
      <c r="E568" s="1819"/>
      <c r="F568" s="1864">
        <f>'Part IV-A-Uses of Funds'!F122</f>
        <v>210928.66278608012</v>
      </c>
      <c r="G568" s="1861">
        <f>'Part IV-A-Uses of Funds'!G122</f>
        <v>210929</v>
      </c>
      <c r="H568" s="1861"/>
      <c r="I568" s="1819"/>
      <c r="J568" s="1895" t="str">
        <f>IF(E568&gt;G568,"WARNING! ODR proposed is below minimum - add comment.","")</f>
        <v/>
      </c>
      <c r="K568" s="2089"/>
      <c r="L568" s="2089"/>
      <c r="M568" s="2089"/>
      <c r="N568" s="2089"/>
      <c r="O568" s="1819"/>
      <c r="P568" s="2089"/>
      <c r="Q568" s="2089"/>
      <c r="R568" s="1819"/>
      <c r="S568" s="1861">
        <f>'Part IV-A-Uses of Funds'!S122</f>
        <v>210929</v>
      </c>
      <c r="T568" s="1861"/>
      <c r="U568" s="1819"/>
      <c r="V568" s="1862"/>
      <c r="W568" s="1772"/>
      <c r="X568" s="1772"/>
      <c r="Z568" s="2202">
        <v>0.04</v>
      </c>
      <c r="AA568" s="1819"/>
      <c r="AB568" s="1955"/>
      <c r="AC568" s="1819"/>
      <c r="AE568" s="1819"/>
      <c r="AF568" s="2203">
        <f>'DCA Underwriting Assumptions'!$Q$113</f>
        <v>3500000</v>
      </c>
    </row>
    <row r="569" spans="1:33" ht="13.8">
      <c r="A569" s="1819"/>
      <c r="B569" s="1819" t="s">
        <v>1218</v>
      </c>
      <c r="C569" s="1819"/>
      <c r="D569" s="1819"/>
      <c r="E569" s="1819"/>
      <c r="F569" s="1864"/>
      <c r="G569" s="1861">
        <f>'Part IV-A-Uses of Funds'!G123</f>
        <v>0</v>
      </c>
      <c r="H569" s="1861"/>
      <c r="I569" s="1819"/>
      <c r="J569" s="2089"/>
      <c r="K569" s="2089"/>
      <c r="L569" s="2089"/>
      <c r="M569" s="2089"/>
      <c r="N569" s="2089"/>
      <c r="O569" s="1819"/>
      <c r="P569" s="2089"/>
      <c r="Q569" s="2089"/>
      <c r="R569" s="1819"/>
      <c r="S569" s="1861">
        <f>'Part IV-A-Uses of Funds'!S123</f>
        <v>0</v>
      </c>
      <c r="T569" s="1861"/>
      <c r="U569" s="1819"/>
      <c r="V569" s="1862"/>
      <c r="W569" s="1772"/>
      <c r="X569" s="1772"/>
    </row>
    <row r="570" spans="1:33" ht="13.8">
      <c r="A570" s="1819"/>
      <c r="B570" s="1819" t="s">
        <v>1219</v>
      </c>
      <c r="C570" s="1819"/>
      <c r="D570" s="1819"/>
      <c r="E570" s="1863" t="s">
        <v>3434</v>
      </c>
      <c r="F570" s="1864">
        <f>'Part IV-A-Uses of Funds'!F124</f>
        <v>555.55555555555554</v>
      </c>
      <c r="G570" s="1861">
        <f>'Part IV-A-Uses of Funds'!G124</f>
        <v>40000</v>
      </c>
      <c r="H570" s="1861"/>
      <c r="I570" s="1819"/>
      <c r="J570" s="1861">
        <f>'Part IV-A-Uses of Funds'!J124</f>
        <v>40000</v>
      </c>
      <c r="K570" s="1861"/>
      <c r="L570" s="1832"/>
      <c r="M570" s="1861">
        <f>'Part IV-A-Uses of Funds'!M124</f>
        <v>0</v>
      </c>
      <c r="N570" s="1861"/>
      <c r="O570" s="1819"/>
      <c r="P570" s="1861">
        <f>'Part IV-A-Uses of Funds'!P124</f>
        <v>0</v>
      </c>
      <c r="Q570" s="1861"/>
      <c r="R570" s="1819"/>
      <c r="S570" s="1861">
        <f>'Part IV-A-Uses of Funds'!S124</f>
        <v>0</v>
      </c>
      <c r="T570" s="1861"/>
      <c r="U570" s="1819"/>
      <c r="V570" s="1862"/>
      <c r="W570" s="1772"/>
      <c r="X570" s="1772"/>
    </row>
    <row r="571" spans="1:33" ht="16.2" customHeight="1">
      <c r="A571" s="2077" t="str">
        <f>IF(AND(G571&gt;0,OR(C571="",C571="&lt;Enter detailed description here; use Comments section if needed&gt;")),"X","")</f>
        <v/>
      </c>
      <c r="B571" s="1819" t="s">
        <v>723</v>
      </c>
      <c r="C571" s="1849" t="str">
        <f>'Part IV-A-Uses of Funds'!C125</f>
        <v>&lt;&lt; Enter description here; provide detail &amp; justification in tab Part IV-b &gt;&gt;</v>
      </c>
      <c r="D571" s="1849"/>
      <c r="E571" s="1849"/>
      <c r="F571" s="1849"/>
      <c r="G571" s="1861">
        <f>'Part IV-A-Uses of Funds'!G125</f>
        <v>0</v>
      </c>
      <c r="H571" s="1861"/>
      <c r="I571" s="1819"/>
      <c r="J571" s="1861">
        <f>'Part IV-A-Uses of Funds'!J125</f>
        <v>0</v>
      </c>
      <c r="K571" s="1861"/>
      <c r="L571" s="1832"/>
      <c r="M571" s="1861">
        <f>'Part IV-A-Uses of Funds'!M125</f>
        <v>0</v>
      </c>
      <c r="N571" s="1861"/>
      <c r="O571" s="1819"/>
      <c r="P571" s="1861">
        <f>'Part IV-A-Uses of Funds'!P125</f>
        <v>0</v>
      </c>
      <c r="Q571" s="1861"/>
      <c r="R571" s="1819"/>
      <c r="S571" s="1861">
        <f>'Part IV-A-Uses of Funds'!S125</f>
        <v>0</v>
      </c>
      <c r="T571" s="1861"/>
      <c r="U571" s="1823" t="str">
        <f>IF(AND(G571&gt;0,OR(C571="",C571="&lt;Enter detailed description here; use Comments section if needed&gt;")),"NO DESCRIPTION PROVIDED - please enter detailed description in Other box at left; use Comments section below if needed.","")</f>
        <v/>
      </c>
      <c r="V571" s="1862"/>
      <c r="W571" s="1772"/>
      <c r="X571" s="1772"/>
    </row>
    <row r="572" spans="1:33" ht="13.8">
      <c r="A572" s="1819"/>
      <c r="B572" s="1821"/>
      <c r="C572" s="1819"/>
      <c r="D572" s="1819"/>
      <c r="E572" s="1819"/>
      <c r="F572" s="1826" t="s">
        <v>187</v>
      </c>
      <c r="G572" s="1861">
        <f>SUM(G566:H571)</f>
        <v>351929</v>
      </c>
      <c r="H572" s="1861"/>
      <c r="I572" s="1819"/>
      <c r="J572" s="1861">
        <f>SUM(J570:K571)</f>
        <v>40000</v>
      </c>
      <c r="K572" s="1861"/>
      <c r="L572" s="1832"/>
      <c r="M572" s="1861">
        <f>SUM(M570:N571)</f>
        <v>0</v>
      </c>
      <c r="N572" s="1861"/>
      <c r="O572" s="1819"/>
      <c r="P572" s="1861">
        <f>SUM(P570:Q571)</f>
        <v>0</v>
      </c>
      <c r="Q572" s="1861"/>
      <c r="R572" s="1819"/>
      <c r="S572" s="1861">
        <f>SUM(S566:T571)</f>
        <v>311929</v>
      </c>
      <c r="T572" s="1861"/>
      <c r="U572" s="1819"/>
      <c r="V572" s="1862">
        <f>SUM(V566:V571)</f>
        <v>0</v>
      </c>
      <c r="W572" s="1772"/>
      <c r="X572" s="1772"/>
    </row>
    <row r="573" spans="1:33" ht="13.8">
      <c r="A573" s="1819"/>
      <c r="B573" s="1819" t="s">
        <v>593</v>
      </c>
      <c r="C573" s="1823"/>
      <c r="D573" s="1819"/>
      <c r="E573" s="1819"/>
      <c r="F573" s="1819"/>
      <c r="G573" s="1819"/>
      <c r="H573" s="1878"/>
      <c r="I573" s="1878"/>
      <c r="J573" s="1861"/>
      <c r="K573" s="1861"/>
      <c r="L573" s="1819"/>
      <c r="M573" s="1861"/>
      <c r="N573" s="1861"/>
      <c r="O573" s="1832" t="str">
        <f>B573</f>
        <v>OTHER COSTS</v>
      </c>
      <c r="P573" s="1861"/>
      <c r="Q573" s="1861"/>
      <c r="R573" s="1819"/>
      <c r="S573" s="1861"/>
      <c r="T573" s="1861"/>
      <c r="U573" s="1819"/>
      <c r="V573" s="1862"/>
      <c r="W573" s="1819" t="str">
        <f>B573</f>
        <v>OTHER COSTS</v>
      </c>
      <c r="X573" s="1819"/>
    </row>
    <row r="574" spans="1:33" ht="13.8">
      <c r="A574" s="1819"/>
      <c r="B574" s="1819" t="s">
        <v>594</v>
      </c>
      <c r="C574" s="1823"/>
      <c r="D574" s="1819"/>
      <c r="E574" s="1819"/>
      <c r="F574" s="1819"/>
      <c r="G574" s="1861">
        <f>'Part IV-A-Uses of Funds'!G128</f>
        <v>0</v>
      </c>
      <c r="H574" s="1861"/>
      <c r="I574" s="1819"/>
      <c r="J574" s="1861">
        <f>'Part IV-A-Uses of Funds'!J128</f>
        <v>0</v>
      </c>
      <c r="K574" s="1861"/>
      <c r="L574" s="1832"/>
      <c r="M574" s="1861">
        <f>'Part IV-A-Uses of Funds'!M128</f>
        <v>0</v>
      </c>
      <c r="N574" s="1861"/>
      <c r="O574" s="1819"/>
      <c r="P574" s="1861">
        <f>'Part IV-A-Uses of Funds'!P128</f>
        <v>0</v>
      </c>
      <c r="Q574" s="1861"/>
      <c r="R574" s="1819"/>
      <c r="S574" s="1861">
        <f>'Part IV-A-Uses of Funds'!S128</f>
        <v>0</v>
      </c>
      <c r="T574" s="1861"/>
      <c r="U574" s="1819"/>
      <c r="V574" s="1862"/>
      <c r="W574" s="1772"/>
      <c r="X574" s="1772"/>
    </row>
    <row r="575" spans="1:33" ht="16.2" customHeight="1">
      <c r="A575" s="2077" t="str">
        <f>IF(AND(G575&gt;0,OR(C575="",C575="&lt;Enter detailed description here; use Comments section if needed&gt;")),"X","")</f>
        <v/>
      </c>
      <c r="B575" s="1819" t="s">
        <v>723</v>
      </c>
      <c r="C575" s="1849">
        <f>'Part IV-A-Uses of Funds'!C129</f>
        <v>0</v>
      </c>
      <c r="D575" s="1849"/>
      <c r="E575" s="1849"/>
      <c r="F575" s="1849"/>
      <c r="G575" s="1861">
        <f>'Part IV-A-Uses of Funds'!G129</f>
        <v>0</v>
      </c>
      <c r="H575" s="1861"/>
      <c r="I575" s="1819"/>
      <c r="J575" s="1861">
        <f>'Part IV-A-Uses of Funds'!J129</f>
        <v>0</v>
      </c>
      <c r="K575" s="1861"/>
      <c r="L575" s="1832"/>
      <c r="M575" s="1861">
        <f>'Part IV-A-Uses of Funds'!M129</f>
        <v>0</v>
      </c>
      <c r="N575" s="1861"/>
      <c r="O575" s="1819"/>
      <c r="P575" s="1861">
        <f>'Part IV-A-Uses of Funds'!P129</f>
        <v>0</v>
      </c>
      <c r="Q575" s="1861"/>
      <c r="R575" s="1819"/>
      <c r="S575" s="1861">
        <f>'Part IV-A-Uses of Funds'!S129</f>
        <v>0</v>
      </c>
      <c r="T575" s="1861"/>
      <c r="U575" s="1823" t="str">
        <f>IF(AND(G575&gt;0,OR(C575="",C575="&lt;Enter detailed description here; use Comments section if needed&gt;")),"NO DESCRIPTION PROVIDED - please enter detailed description in Other box at left; use Comments section below if needed.","")</f>
        <v/>
      </c>
      <c r="V575" s="1862"/>
      <c r="W575" s="1772"/>
      <c r="X575" s="1772"/>
    </row>
    <row r="576" spans="1:33" ht="13.8">
      <c r="A576" s="1819"/>
      <c r="B576" s="1819"/>
      <c r="C576" s="1823"/>
      <c r="D576" s="1819"/>
      <c r="E576" s="1819"/>
      <c r="F576" s="1826" t="s">
        <v>187</v>
      </c>
      <c r="G576" s="1861">
        <f>SUM(G574:H575)</f>
        <v>0</v>
      </c>
      <c r="H576" s="1861"/>
      <c r="I576" s="1819"/>
      <c r="J576" s="1861">
        <f>SUM(J574:K575)</f>
        <v>0</v>
      </c>
      <c r="K576" s="1861"/>
      <c r="L576" s="1832"/>
      <c r="M576" s="1861">
        <f>SUM(M574:N575)</f>
        <v>0</v>
      </c>
      <c r="N576" s="1861"/>
      <c r="O576" s="1819"/>
      <c r="P576" s="1861">
        <f>SUM(P574:Q575)</f>
        <v>0</v>
      </c>
      <c r="Q576" s="1861"/>
      <c r="R576" s="1819"/>
      <c r="S576" s="1861">
        <f>SUM(S574:T575)</f>
        <v>0</v>
      </c>
      <c r="T576" s="1861"/>
      <c r="U576" s="1819"/>
      <c r="V576" s="1862">
        <f>SUM(V574:V575)</f>
        <v>0</v>
      </c>
      <c r="W576" s="1772"/>
      <c r="X576" s="1772"/>
    </row>
    <row r="577" spans="1:24" ht="13.8">
      <c r="A577" s="1819"/>
      <c r="B577" s="1819"/>
      <c r="C577" s="1823"/>
      <c r="D577" s="1819"/>
      <c r="E577" s="1819"/>
      <c r="F577" s="1819"/>
      <c r="G577" s="1819"/>
      <c r="H577" s="1878"/>
      <c r="I577" s="1878"/>
      <c r="J577" s="1819"/>
      <c r="K577" s="1819"/>
      <c r="L577" s="1819"/>
      <c r="M577" s="1819"/>
      <c r="N577" s="1819"/>
      <c r="O577" s="1819"/>
      <c r="P577" s="1819"/>
      <c r="Q577" s="1819"/>
      <c r="R577" s="1819"/>
      <c r="S577" s="1819"/>
      <c r="T577" s="1819"/>
      <c r="U577" s="1819"/>
      <c r="V577" s="1862"/>
      <c r="W577" s="1910"/>
      <c r="X577" s="1910"/>
    </row>
    <row r="578" spans="1:24" ht="13.8">
      <c r="A578" s="1819"/>
      <c r="B578" s="1823" t="s">
        <v>6902</v>
      </c>
      <c r="C578" s="1819"/>
      <c r="D578" s="1819"/>
      <c r="E578" s="1863"/>
      <c r="F578" s="1879"/>
      <c r="G578" s="1861">
        <f>G463+G469+G473+G479+G484+G487+G493+G510+G523+G529+G537+G551+G557+G564+G572+G576</f>
        <v>12452350</v>
      </c>
      <c r="H578" s="1861"/>
      <c r="I578" s="1819"/>
      <c r="J578" s="1861">
        <f>J463+J469+J473+J479+J484+J487+J493+J510+J523+J529+J537+J551+J557+J564+J572+J576</f>
        <v>11106191</v>
      </c>
      <c r="K578" s="1861"/>
      <c r="L578" s="1819"/>
      <c r="M578" s="1861">
        <f>M463+M469+M473+M479+M484+M487+M493+M510+M523+M529+M537+M551+M557+M564+M572+M576</f>
        <v>0</v>
      </c>
      <c r="N578" s="1861"/>
      <c r="O578" s="1819"/>
      <c r="P578" s="1861">
        <f>P463+P469+P473+P479+P484+P487+P493+P510+P523+P529+P537+P551+P557+P564+P572+P576</f>
        <v>0</v>
      </c>
      <c r="Q578" s="1861"/>
      <c r="R578" s="1819"/>
      <c r="S578" s="1861">
        <f>S463+S469+S473+S479+S484+S487+S493+S510+S523+S529+S537+S551+S557+S564+S572+S576</f>
        <v>1346159</v>
      </c>
      <c r="T578" s="1861"/>
      <c r="U578" s="1819"/>
      <c r="V578" s="1862">
        <f>V463+V469+V473+V479+V484+V487+V493+V510+V523+V529+V537+V551+V557+V564+V572+V576</f>
        <v>0</v>
      </c>
      <c r="W578" s="1772"/>
      <c r="X578" s="1772"/>
    </row>
    <row r="579" spans="1:24" ht="13.8">
      <c r="A579" s="1819"/>
      <c r="B579" s="1819"/>
      <c r="C579" s="1823"/>
      <c r="D579" s="1819"/>
      <c r="E579" s="1819"/>
      <c r="F579" s="1819"/>
      <c r="G579" s="1819"/>
      <c r="H579" s="1878"/>
      <c r="I579" s="1878"/>
      <c r="J579" s="1819"/>
      <c r="K579" s="1819"/>
      <c r="L579" s="1819"/>
      <c r="M579" s="1819"/>
      <c r="N579" s="1819"/>
      <c r="O579" s="1819"/>
      <c r="P579" s="1819"/>
      <c r="Q579" s="1819"/>
      <c r="R579" s="1819"/>
      <c r="S579" s="1819"/>
      <c r="T579" s="1819"/>
      <c r="U579" s="1819"/>
      <c r="V579" s="1862"/>
      <c r="W579" s="1819"/>
      <c r="X579" s="1819"/>
    </row>
    <row r="580" spans="1:24" ht="13.8">
      <c r="A580" s="1819"/>
      <c r="B580" s="1823" t="s">
        <v>6858</v>
      </c>
      <c r="C580" s="1819"/>
      <c r="D580" s="1880">
        <f>IF('Part VI-Revenues &amp; Expenses'!$P$67=0,0,G578/'Part VI-Revenues &amp; Expenses'!$P$67)</f>
        <v>172949.30555555556</v>
      </c>
      <c r="E580" s="1880"/>
      <c r="F580" s="1821" t="s">
        <v>2674</v>
      </c>
      <c r="G580" s="1880">
        <f>IF('Part I-Project Information'!$P$75=0,0,G578/'Part I-Project Information'!$P$75)</f>
        <v>176.44137442437125</v>
      </c>
      <c r="H580" s="1880"/>
      <c r="I580" s="2092"/>
      <c r="J580" s="1819"/>
      <c r="K580" s="1819"/>
      <c r="L580" s="1819"/>
      <c r="M580" s="1819"/>
      <c r="N580" s="1819"/>
      <c r="O580" s="1819"/>
      <c r="P580" s="1819"/>
      <c r="Q580" s="1819"/>
      <c r="R580" s="1819"/>
      <c r="S580" s="1819"/>
      <c r="T580" s="1819"/>
      <c r="U580" s="1819"/>
      <c r="V580" s="1862"/>
      <c r="W580" s="1819"/>
      <c r="X580" s="1819"/>
    </row>
    <row r="581" spans="1:24" ht="13.8">
      <c r="A581" s="1819"/>
      <c r="B581" s="1819"/>
      <c r="C581" s="1819"/>
      <c r="D581" s="1819"/>
      <c r="E581" s="1819"/>
      <c r="F581" s="1819"/>
      <c r="G581" s="1819"/>
      <c r="H581" s="1819"/>
      <c r="I581" s="2092"/>
      <c r="J581" s="1819"/>
      <c r="K581" s="1819"/>
      <c r="L581" s="2092"/>
      <c r="M581" s="1819"/>
      <c r="N581" s="1819"/>
      <c r="O581" s="1819"/>
      <c r="P581" s="1819"/>
      <c r="Q581" s="1819"/>
      <c r="R581" s="1819"/>
      <c r="S581" s="1819"/>
      <c r="T581" s="1819"/>
      <c r="U581" s="1819"/>
      <c r="V581" s="1862"/>
      <c r="W581" s="1819"/>
      <c r="X581" s="1819"/>
    </row>
    <row r="582" spans="1:24" ht="13.8">
      <c r="A582" s="1819"/>
      <c r="B582" s="1819"/>
      <c r="C582" s="1819"/>
      <c r="D582" s="1823"/>
      <c r="E582" s="1823"/>
      <c r="F582" s="1819"/>
      <c r="G582" s="1819"/>
      <c r="H582" s="1819"/>
      <c r="I582" s="1878"/>
      <c r="J582" s="1878"/>
      <c r="K582" s="1881"/>
      <c r="L582" s="1823"/>
      <c r="M582" s="1819"/>
      <c r="N582" s="1819"/>
      <c r="O582" s="1819"/>
      <c r="P582" s="1819"/>
      <c r="Q582" s="1819"/>
      <c r="R582" s="1819"/>
      <c r="S582" s="1819"/>
      <c r="T582" s="1819"/>
      <c r="U582" s="1819"/>
      <c r="V582" s="1862"/>
      <c r="W582" s="1819"/>
      <c r="X582" s="1819"/>
    </row>
    <row r="583" spans="1:24" ht="13.95" customHeight="1">
      <c r="A583" s="2075" t="s">
        <v>722</v>
      </c>
      <c r="B583" s="2093" t="s">
        <v>1398</v>
      </c>
      <c r="C583" s="1821"/>
      <c r="D583" s="1832"/>
      <c r="E583" s="1832"/>
      <c r="F583" s="1832"/>
      <c r="G583" s="1819"/>
      <c r="H583" s="1819"/>
      <c r="I583" s="1826"/>
      <c r="J583" s="1819" t="s">
        <v>266</v>
      </c>
      <c r="K583" s="1819"/>
      <c r="L583" s="1819"/>
      <c r="M583" s="1819" t="s">
        <v>97</v>
      </c>
      <c r="N583" s="1819"/>
      <c r="O583" s="1819"/>
      <c r="P583" s="1819" t="s">
        <v>267</v>
      </c>
      <c r="Q583" s="1819"/>
      <c r="R583" s="1819"/>
      <c r="S583" s="1819"/>
      <c r="T583" s="1819"/>
      <c r="U583" s="1819"/>
      <c r="V583" s="1862"/>
      <c r="W583" s="1963" t="str">
        <f>B583</f>
        <v>TAX CREDIT CALCULATION - BASIS METHOD</v>
      </c>
      <c r="X583" s="1819"/>
    </row>
    <row r="584" spans="1:24" ht="13.8">
      <c r="A584" s="1819"/>
      <c r="B584" s="1823" t="s">
        <v>1996</v>
      </c>
      <c r="C584" s="1819"/>
      <c r="D584" s="1832"/>
      <c r="E584" s="1832"/>
      <c r="F584" s="1819"/>
      <c r="G584" s="1819"/>
      <c r="H584" s="1819"/>
      <c r="I584" s="1826"/>
      <c r="J584" s="1819"/>
      <c r="K584" s="1819"/>
      <c r="L584" s="1821"/>
      <c r="M584" s="1819"/>
      <c r="N584" s="1819"/>
      <c r="O584" s="1819"/>
      <c r="P584" s="1819"/>
      <c r="Q584" s="1819"/>
      <c r="R584" s="1819"/>
      <c r="S584" s="1819"/>
      <c r="T584" s="1819"/>
      <c r="U584" s="1819"/>
      <c r="V584" s="1862"/>
      <c r="W584" s="1819" t="str">
        <f>B584</f>
        <v>Subtractions From Eligible Basis</v>
      </c>
      <c r="X584" s="1827"/>
    </row>
    <row r="585" spans="1:24" ht="13.8">
      <c r="A585" s="1819"/>
      <c r="B585" s="1819"/>
      <c r="C585" s="1819"/>
      <c r="D585" s="1823"/>
      <c r="E585" s="1823"/>
      <c r="F585" s="1819"/>
      <c r="G585" s="1819"/>
      <c r="H585" s="1819"/>
      <c r="I585" s="1878"/>
      <c r="J585" s="1878"/>
      <c r="K585" s="1881"/>
      <c r="L585" s="1823"/>
      <c r="M585" s="1819"/>
      <c r="N585" s="1819"/>
      <c r="O585" s="1819"/>
      <c r="P585" s="1819"/>
      <c r="Q585" s="1819"/>
      <c r="R585" s="1819"/>
      <c r="S585" s="1819"/>
      <c r="T585" s="1819"/>
      <c r="U585" s="1819"/>
      <c r="V585" s="1862"/>
      <c r="W585" s="1819"/>
      <c r="X585" s="1819"/>
    </row>
    <row r="586" spans="1:24" ht="13.8">
      <c r="A586" s="1819"/>
      <c r="B586" s="1823" t="s">
        <v>141</v>
      </c>
      <c r="C586" s="1819"/>
      <c r="D586" s="1819"/>
      <c r="E586" s="1819"/>
      <c r="F586" s="1819"/>
      <c r="G586" s="1819"/>
      <c r="H586" s="1819"/>
      <c r="I586" s="1826"/>
      <c r="J586" s="1861">
        <f>'Part IV-A-Uses of Funds'!J140</f>
        <v>0</v>
      </c>
      <c r="K586" s="1861"/>
      <c r="L586" s="1819"/>
      <c r="M586" s="1819"/>
      <c r="N586" s="1819"/>
      <c r="O586" s="1819"/>
      <c r="P586" s="1861">
        <f>'Part IV-A-Uses of Funds'!P140</f>
        <v>0</v>
      </c>
      <c r="Q586" s="1861"/>
      <c r="R586" s="1819"/>
      <c r="S586" s="1819"/>
      <c r="T586" s="1819"/>
      <c r="U586" s="1819"/>
      <c r="V586" s="1862"/>
      <c r="W586" s="1772"/>
      <c r="X586" s="1772"/>
    </row>
    <row r="587" spans="1:24" ht="13.8">
      <c r="A587" s="1819"/>
      <c r="B587" s="1819" t="s">
        <v>2102</v>
      </c>
      <c r="C587" s="1819"/>
      <c r="D587" s="1819"/>
      <c r="E587" s="1819"/>
      <c r="F587" s="1819"/>
      <c r="G587" s="1819"/>
      <c r="H587" s="1819"/>
      <c r="I587" s="1826"/>
      <c r="J587" s="1861">
        <f>'Part IV-A-Uses of Funds'!J141</f>
        <v>0</v>
      </c>
      <c r="K587" s="1861"/>
      <c r="L587" s="1819"/>
      <c r="M587" s="1819"/>
      <c r="N587" s="1819"/>
      <c r="O587" s="1819"/>
      <c r="P587" s="1861">
        <f>'Part IV-A-Uses of Funds'!P141</f>
        <v>0</v>
      </c>
      <c r="Q587" s="1861"/>
      <c r="R587" s="1819"/>
      <c r="S587" s="1819"/>
      <c r="T587" s="1819"/>
      <c r="U587" s="1819"/>
      <c r="V587" s="1862"/>
      <c r="W587" s="1772"/>
      <c r="X587" s="1772"/>
    </row>
    <row r="588" spans="1:24" ht="13.8">
      <c r="A588" s="1819"/>
      <c r="B588" s="1819" t="s">
        <v>1817</v>
      </c>
      <c r="C588" s="1819"/>
      <c r="D588" s="1819"/>
      <c r="E588" s="1819"/>
      <c r="F588" s="1819"/>
      <c r="G588" s="1819"/>
      <c r="H588" s="1819"/>
      <c r="I588" s="1826"/>
      <c r="J588" s="1861">
        <f>'Part IV-A-Uses of Funds'!J142</f>
        <v>0</v>
      </c>
      <c r="K588" s="1861"/>
      <c r="L588" s="1819"/>
      <c r="M588" s="1819"/>
      <c r="N588" s="1819"/>
      <c r="O588" s="1819"/>
      <c r="P588" s="1861">
        <f>'Part IV-A-Uses of Funds'!P142</f>
        <v>0</v>
      </c>
      <c r="Q588" s="1861"/>
      <c r="R588" s="1819"/>
      <c r="S588" s="1819"/>
      <c r="T588" s="1819"/>
      <c r="U588" s="1819"/>
      <c r="V588" s="1862"/>
      <c r="W588" s="1772"/>
      <c r="X588" s="1772"/>
    </row>
    <row r="589" spans="1:24" ht="13.8">
      <c r="A589" s="1819"/>
      <c r="B589" s="1819" t="s">
        <v>1818</v>
      </c>
      <c r="C589" s="1819"/>
      <c r="D589" s="1819"/>
      <c r="E589" s="1819"/>
      <c r="F589" s="1819"/>
      <c r="G589" s="1819"/>
      <c r="H589" s="1819"/>
      <c r="I589" s="1826"/>
      <c r="J589" s="1861">
        <f>'Part IV-A-Uses of Funds'!J143</f>
        <v>0</v>
      </c>
      <c r="K589" s="1861"/>
      <c r="L589" s="1819"/>
      <c r="M589" s="1819"/>
      <c r="N589" s="1819"/>
      <c r="O589" s="1819"/>
      <c r="P589" s="1861">
        <f>'Part IV-A-Uses of Funds'!P143</f>
        <v>0</v>
      </c>
      <c r="Q589" s="1861"/>
      <c r="R589" s="1819"/>
      <c r="S589" s="1819"/>
      <c r="T589" s="1819"/>
      <c r="U589" s="1819"/>
      <c r="V589" s="1862"/>
      <c r="W589" s="1772"/>
      <c r="X589" s="1772"/>
    </row>
    <row r="590" spans="1:24" ht="13.8">
      <c r="A590" s="1819"/>
      <c r="B590" s="1819" t="s">
        <v>249</v>
      </c>
      <c r="C590" s="1819"/>
      <c r="D590" s="1819"/>
      <c r="E590" s="1819"/>
      <c r="F590" s="1819"/>
      <c r="G590" s="1819"/>
      <c r="H590" s="1819"/>
      <c r="I590" s="1826"/>
      <c r="J590" s="1861">
        <f>'Part IV-A-Uses of Funds'!J144</f>
        <v>0</v>
      </c>
      <c r="K590" s="1861"/>
      <c r="L590" s="1819"/>
      <c r="M590" s="1819"/>
      <c r="N590" s="1819"/>
      <c r="O590" s="1819"/>
      <c r="P590" s="1861">
        <f>'Part IV-A-Uses of Funds'!P144</f>
        <v>0</v>
      </c>
      <c r="Q590" s="1861"/>
      <c r="R590" s="1819"/>
      <c r="S590" s="1819"/>
      <c r="T590" s="1819"/>
      <c r="U590" s="1819"/>
      <c r="V590" s="1862"/>
      <c r="W590" s="1772"/>
      <c r="X590" s="1772"/>
    </row>
    <row r="591" spans="1:24" ht="13.95" customHeight="1">
      <c r="A591" s="1819"/>
      <c r="B591" s="1819" t="s">
        <v>1568</v>
      </c>
      <c r="C591" s="1819" t="str">
        <f>'Part IV-A-Uses of Funds'!C145</f>
        <v>&lt;Enter detailed description here; use Comments section if needed&gt;</v>
      </c>
      <c r="D591" s="1819"/>
      <c r="E591" s="1819"/>
      <c r="F591" s="1819"/>
      <c r="G591" s="1819"/>
      <c r="H591" s="1819"/>
      <c r="I591" s="1819"/>
      <c r="J591" s="1861">
        <f>'Part IV-A-Uses of Funds'!J145</f>
        <v>0</v>
      </c>
      <c r="K591" s="1861"/>
      <c r="L591" s="1819"/>
      <c r="M591" s="1819"/>
      <c r="N591" s="1819"/>
      <c r="O591" s="1819"/>
      <c r="P591" s="1861">
        <f>'Part IV-A-Uses of Funds'!P145</f>
        <v>0</v>
      </c>
      <c r="Q591" s="1861"/>
      <c r="R591" s="1819"/>
      <c r="S591" s="1819"/>
      <c r="T591" s="1819"/>
      <c r="U591" s="1819"/>
      <c r="V591" s="1862"/>
      <c r="W591" s="1772"/>
      <c r="X591" s="1772"/>
    </row>
    <row r="592" spans="1:24" ht="13.8">
      <c r="A592" s="1819"/>
      <c r="B592" s="1819" t="s">
        <v>1819</v>
      </c>
      <c r="C592" s="1831"/>
      <c r="D592" s="1819"/>
      <c r="E592" s="1819"/>
      <c r="F592" s="1819"/>
      <c r="G592" s="1819"/>
      <c r="H592" s="1819"/>
      <c r="I592" s="1819"/>
      <c r="J592" s="1882">
        <f>SUM(J586:K591)</f>
        <v>0</v>
      </c>
      <c r="K592" s="1882"/>
      <c r="L592" s="1819"/>
      <c r="M592" s="1819"/>
      <c r="N592" s="1819"/>
      <c r="O592" s="1819"/>
      <c r="P592" s="1882">
        <f>SUM(P586:Q591)</f>
        <v>0</v>
      </c>
      <c r="Q592" s="1882"/>
      <c r="R592" s="1819"/>
      <c r="S592" s="1819"/>
      <c r="T592" s="1819"/>
      <c r="U592" s="1819"/>
      <c r="V592" s="1862">
        <f>SUM(V586:V591)</f>
        <v>0</v>
      </c>
      <c r="W592" s="1772"/>
      <c r="X592" s="1772"/>
    </row>
    <row r="593" spans="1:24" ht="13.8">
      <c r="A593" s="1819"/>
      <c r="B593" s="1819"/>
      <c r="C593" s="1819"/>
      <c r="D593" s="1819"/>
      <c r="E593" s="1819"/>
      <c r="F593" s="1819"/>
      <c r="G593" s="1819"/>
      <c r="H593" s="1819"/>
      <c r="I593" s="1819"/>
      <c r="J593" s="1819"/>
      <c r="K593" s="1819"/>
      <c r="L593" s="1819"/>
      <c r="M593" s="1819"/>
      <c r="N593" s="1819"/>
      <c r="O593" s="1819"/>
      <c r="P593" s="1819"/>
      <c r="Q593" s="1819"/>
      <c r="R593" s="1819"/>
      <c r="S593" s="1819"/>
      <c r="T593" s="1819"/>
      <c r="U593" s="1819"/>
      <c r="V593" s="1862"/>
      <c r="W593" s="1819"/>
      <c r="X593" s="1819"/>
    </row>
    <row r="594" spans="1:24" ht="13.8">
      <c r="A594" s="1819"/>
      <c r="B594" s="1819" t="s">
        <v>2281</v>
      </c>
      <c r="C594" s="1819"/>
      <c r="D594" s="1819"/>
      <c r="E594" s="1819"/>
      <c r="F594" s="1819"/>
      <c r="G594" s="1819"/>
      <c r="H594" s="1819"/>
      <c r="I594" s="1819"/>
      <c r="J594" s="1819"/>
      <c r="K594" s="1819"/>
      <c r="L594" s="1819"/>
      <c r="M594" s="1819"/>
      <c r="N594" s="1819"/>
      <c r="O594" s="1819"/>
      <c r="P594" s="1819"/>
      <c r="Q594" s="1819"/>
      <c r="R594" s="1819"/>
      <c r="S594" s="1819"/>
      <c r="T594" s="1819"/>
      <c r="U594" s="1819"/>
      <c r="V594" s="1862"/>
      <c r="W594" s="1819" t="str">
        <f>B594</f>
        <v>Eligible Basis Calculation</v>
      </c>
      <c r="X594" s="1819"/>
    </row>
    <row r="595" spans="1:24" ht="13.95" customHeight="1">
      <c r="A595" s="1819"/>
      <c r="B595" s="1819" t="s">
        <v>1746</v>
      </c>
      <c r="C595" s="1819"/>
      <c r="D595" s="1819"/>
      <c r="E595" s="1819"/>
      <c r="F595" s="1819"/>
      <c r="G595" s="1819"/>
      <c r="H595" s="1819"/>
      <c r="I595" s="1819"/>
      <c r="J595" s="1882">
        <f>J578</f>
        <v>11106191</v>
      </c>
      <c r="K595" s="1882"/>
      <c r="L595" s="1819"/>
      <c r="M595" s="1882">
        <f>M578</f>
        <v>0</v>
      </c>
      <c r="N595" s="1882"/>
      <c r="O595" s="1819"/>
      <c r="P595" s="1882">
        <f>P578</f>
        <v>0</v>
      </c>
      <c r="Q595" s="1882"/>
      <c r="R595" s="1822" t="s">
        <v>4229</v>
      </c>
      <c r="S595" s="1822"/>
      <c r="T595" s="1822"/>
      <c r="U595" s="1819"/>
      <c r="V595" s="1862"/>
      <c r="W595" s="1772"/>
      <c r="X595" s="1772"/>
    </row>
    <row r="596" spans="1:24" ht="13.8">
      <c r="A596" s="1819"/>
      <c r="B596" s="1819" t="s">
        <v>2164</v>
      </c>
      <c r="C596" s="1819"/>
      <c r="D596" s="1819"/>
      <c r="E596" s="1819"/>
      <c r="F596" s="1819"/>
      <c r="G596" s="1819"/>
      <c r="H596" s="1819"/>
      <c r="I596" s="1819"/>
      <c r="J596" s="1882">
        <f>J592</f>
        <v>0</v>
      </c>
      <c r="K596" s="1882"/>
      <c r="L596" s="1819"/>
      <c r="M596" s="1882"/>
      <c r="N596" s="1882"/>
      <c r="O596" s="1819"/>
      <c r="P596" s="1882">
        <f>P592</f>
        <v>0</v>
      </c>
      <c r="Q596" s="1882"/>
      <c r="R596" s="1822"/>
      <c r="S596" s="1822"/>
      <c r="T596" s="1822"/>
      <c r="U596" s="1822"/>
      <c r="V596" s="1862"/>
      <c r="W596" s="1772"/>
      <c r="X596" s="1772"/>
    </row>
    <row r="597" spans="1:24" ht="13.8">
      <c r="A597" s="1819"/>
      <c r="B597" s="1819" t="s">
        <v>2165</v>
      </c>
      <c r="C597" s="1819"/>
      <c r="D597" s="1819"/>
      <c r="E597" s="1819"/>
      <c r="F597" s="1819"/>
      <c r="G597" s="1819"/>
      <c r="H597" s="1819"/>
      <c r="I597" s="1819"/>
      <c r="J597" s="1882">
        <f>J595-J596</f>
        <v>11106191</v>
      </c>
      <c r="K597" s="1882"/>
      <c r="L597" s="1819"/>
      <c r="M597" s="1882">
        <f>M595</f>
        <v>0</v>
      </c>
      <c r="N597" s="1882"/>
      <c r="O597" s="1819"/>
      <c r="P597" s="1882">
        <f>P595-P596</f>
        <v>0</v>
      </c>
      <c r="Q597" s="1882"/>
      <c r="R597" s="1822"/>
      <c r="S597" s="1822"/>
      <c r="T597" s="1822"/>
      <c r="U597" s="1822"/>
      <c r="V597" s="1862"/>
      <c r="W597" s="1772"/>
      <c r="X597" s="1772"/>
    </row>
    <row r="598" spans="1:24" ht="13.8">
      <c r="A598" s="1819"/>
      <c r="B598" s="1819" t="s">
        <v>1454</v>
      </c>
      <c r="C598" s="1819"/>
      <c r="D598" s="1819"/>
      <c r="E598" s="1819"/>
      <c r="F598" s="1819"/>
      <c r="G598" s="1821" t="s">
        <v>1672</v>
      </c>
      <c r="H598" s="1819" t="str">
        <f>'Part IV-A-Uses of Funds'!H152</f>
        <v>&lt;&lt;Select&gt;&gt;</v>
      </c>
      <c r="I598" s="1819"/>
      <c r="J598" s="1861">
        <f>'Part IV-A-Uses of Funds'!J152</f>
        <v>1</v>
      </c>
      <c r="K598" s="1861"/>
      <c r="L598" s="1819"/>
      <c r="M598" s="1883"/>
      <c r="N598" s="1883"/>
      <c r="O598" s="1819"/>
      <c r="P598" s="1861">
        <f>'Part IV-A-Uses of Funds'!P152</f>
        <v>0</v>
      </c>
      <c r="Q598" s="1861"/>
      <c r="R598" s="1822" t="str">
        <f>'Part IV-A-Uses of Funds'!R152</f>
        <v>&lt;&lt; Select &gt;&gt;</v>
      </c>
      <c r="S598" s="1822"/>
      <c r="T598" s="1822"/>
      <c r="U598" s="1819"/>
      <c r="V598" s="1862"/>
      <c r="W598" s="1772"/>
      <c r="X598" s="1772"/>
    </row>
    <row r="599" spans="1:24" ht="13.8">
      <c r="A599" s="1819"/>
      <c r="B599" s="1819" t="s">
        <v>2006</v>
      </c>
      <c r="C599" s="1819"/>
      <c r="D599" s="1819"/>
      <c r="E599" s="1819"/>
      <c r="F599" s="1819"/>
      <c r="G599" s="1819"/>
      <c r="H599" s="1819"/>
      <c r="I599" s="1819"/>
      <c r="J599" s="1882">
        <f>J597*J598</f>
        <v>11106191</v>
      </c>
      <c r="K599" s="1882"/>
      <c r="L599" s="1819"/>
      <c r="M599" s="1882">
        <f>+M597</f>
        <v>0</v>
      </c>
      <c r="N599" s="1882"/>
      <c r="O599" s="1819"/>
      <c r="P599" s="1882">
        <f>P597*P598</f>
        <v>0</v>
      </c>
      <c r="Q599" s="1882"/>
      <c r="R599" s="1822"/>
      <c r="S599" s="1822"/>
      <c r="T599" s="1822"/>
      <c r="U599" s="1819"/>
      <c r="V599" s="1862"/>
      <c r="W599" s="1772"/>
      <c r="X599" s="1772"/>
    </row>
    <row r="600" spans="1:24" ht="13.8">
      <c r="A600" s="1819"/>
      <c r="B600" s="1819" t="s">
        <v>2475</v>
      </c>
      <c r="C600" s="1819"/>
      <c r="D600" s="1819"/>
      <c r="E600" s="1819"/>
      <c r="F600" s="1819"/>
      <c r="G600" s="1819"/>
      <c r="H600" s="1819"/>
      <c r="I600" s="1819"/>
      <c r="J600" s="1883">
        <f>MIN('Part VI-Revenues &amp; Expenses'!$P$63/'Part VI-Revenues &amp; Expenses'!$P$65,'Part VI-Revenues &amp; Expenses'!$P$166/'Part VI-Revenues &amp; Expenses'!$P$168)</f>
        <v>1</v>
      </c>
      <c r="K600" s="1883"/>
      <c r="L600" s="1819"/>
      <c r="M600" s="1883">
        <f>MIN('Part VI-Revenues &amp; Expenses'!$P$63/'Part VI-Revenues &amp; Expenses'!$P$65,'Part VI-Revenues &amp; Expenses'!$P$166/'Part VI-Revenues &amp; Expenses'!$P$168)</f>
        <v>1</v>
      </c>
      <c r="N600" s="1883"/>
      <c r="O600" s="1819"/>
      <c r="P600" s="1883">
        <f>MIN('Part VI-Revenues &amp; Expenses'!$P$63/'Part VI-Revenues &amp; Expenses'!$P$65,'Part VI-Revenues &amp; Expenses'!$P$166/'Part VI-Revenues &amp; Expenses'!$P$168)</f>
        <v>1</v>
      </c>
      <c r="Q600" s="1883"/>
      <c r="R600" s="1822"/>
      <c r="S600" s="1822"/>
      <c r="T600" s="1822"/>
      <c r="U600" s="1819"/>
      <c r="V600" s="1862"/>
      <c r="W600" s="1772"/>
      <c r="X600" s="1772"/>
    </row>
    <row r="601" spans="1:24" ht="13.8">
      <c r="A601" s="1819"/>
      <c r="B601" s="1819" t="s">
        <v>1997</v>
      </c>
      <c r="C601" s="1819"/>
      <c r="D601" s="1819"/>
      <c r="E601" s="1819"/>
      <c r="F601" s="1819"/>
      <c r="G601" s="1819"/>
      <c r="H601" s="1819"/>
      <c r="I601" s="1819"/>
      <c r="J601" s="1882">
        <f>J599*J600</f>
        <v>11106191</v>
      </c>
      <c r="K601" s="1882"/>
      <c r="L601" s="1819"/>
      <c r="M601" s="1882">
        <f>M599*M600</f>
        <v>0</v>
      </c>
      <c r="N601" s="1882"/>
      <c r="O601" s="1819"/>
      <c r="P601" s="1882">
        <f>P599*P600</f>
        <v>0</v>
      </c>
      <c r="Q601" s="1882"/>
      <c r="R601" s="1819"/>
      <c r="S601" s="1819"/>
      <c r="T601" s="1819"/>
      <c r="U601" s="1819"/>
      <c r="V601" s="1862"/>
      <c r="W601" s="1772"/>
      <c r="X601" s="1772"/>
    </row>
    <row r="602" spans="1:24" ht="13.8">
      <c r="A602" s="1819"/>
      <c r="B602" s="1819" t="s">
        <v>1998</v>
      </c>
      <c r="C602" s="1819"/>
      <c r="D602" s="1819"/>
      <c r="E602" s="1819"/>
      <c r="F602" s="1819"/>
      <c r="G602" s="1819"/>
      <c r="H602" s="1819"/>
      <c r="I602" s="1819"/>
      <c r="J602" s="1883">
        <f>'Part IV-A-Uses of Funds'!J156</f>
        <v>0.09</v>
      </c>
      <c r="K602" s="1883"/>
      <c r="L602" s="1819"/>
      <c r="M602" s="1883">
        <f>'Part IV-A-Uses of Funds'!M156</f>
        <v>0</v>
      </c>
      <c r="N602" s="1883"/>
      <c r="O602" s="1819"/>
      <c r="P602" s="1883">
        <f>'Part IV-A-Uses of Funds'!P156</f>
        <v>0</v>
      </c>
      <c r="Q602" s="1883"/>
      <c r="R602" s="1819"/>
      <c r="S602" s="1819"/>
      <c r="T602" s="1819"/>
      <c r="U602" s="1819"/>
      <c r="V602" s="1862"/>
      <c r="W602" s="1772"/>
      <c r="X602" s="1772"/>
    </row>
    <row r="603" spans="1:24" ht="13.8">
      <c r="A603" s="1819"/>
      <c r="B603" s="1819" t="s">
        <v>2476</v>
      </c>
      <c r="C603" s="1819"/>
      <c r="D603" s="1819"/>
      <c r="E603" s="1819"/>
      <c r="F603" s="1819"/>
      <c r="G603" s="1819"/>
      <c r="H603" s="1819"/>
      <c r="I603" s="1819"/>
      <c r="J603" s="1882">
        <f>J601*J602</f>
        <v>999557.19</v>
      </c>
      <c r="K603" s="1882"/>
      <c r="L603" s="1819"/>
      <c r="M603" s="1882">
        <f>M601*M602</f>
        <v>0</v>
      </c>
      <c r="N603" s="1882"/>
      <c r="O603" s="1819"/>
      <c r="P603" s="1882">
        <f>P601*P602</f>
        <v>0</v>
      </c>
      <c r="Q603" s="1882"/>
      <c r="R603" s="1819"/>
      <c r="S603" s="1819"/>
      <c r="T603" s="1819"/>
      <c r="U603" s="1819"/>
      <c r="V603" s="1862"/>
      <c r="W603" s="1772"/>
      <c r="X603" s="1772"/>
    </row>
    <row r="604" spans="1:24" ht="13.8">
      <c r="A604" s="1819"/>
      <c r="B604" s="1819" t="s">
        <v>1396</v>
      </c>
      <c r="C604" s="1819"/>
      <c r="D604" s="1819"/>
      <c r="E604" s="1819"/>
      <c r="F604" s="1819"/>
      <c r="G604" s="1819"/>
      <c r="H604" s="1819"/>
      <c r="I604" s="1819"/>
      <c r="J604" s="1882">
        <f>ROUNDDOWN(J603+M603+P603,0)</f>
        <v>999557</v>
      </c>
      <c r="K604" s="1882"/>
      <c r="L604" s="1882"/>
      <c r="M604" s="1882"/>
      <c r="N604" s="1882"/>
      <c r="O604" s="1882"/>
      <c r="P604" s="1882"/>
      <c r="Q604" s="1882"/>
      <c r="R604" s="1819"/>
      <c r="S604" s="1819"/>
      <c r="T604" s="1819"/>
      <c r="U604" s="1819"/>
      <c r="V604" s="1862"/>
      <c r="W604" s="1910"/>
      <c r="X604" s="1910"/>
    </row>
    <row r="605" spans="1:24" ht="13.8">
      <c r="A605" s="1819"/>
      <c r="B605" s="1884"/>
      <c r="C605" s="1819"/>
      <c r="D605" s="1819"/>
      <c r="E605" s="1819"/>
      <c r="F605" s="1819"/>
      <c r="G605" s="1819"/>
      <c r="H605" s="1819"/>
      <c r="I605" s="1819"/>
      <c r="J605" s="1819"/>
      <c r="K605" s="1819"/>
      <c r="L605" s="1889"/>
      <c r="M605" s="1889"/>
      <c r="N605" s="1889"/>
      <c r="O605" s="1889"/>
      <c r="P605" s="1819"/>
      <c r="Q605" s="1819"/>
      <c r="R605" s="1819"/>
      <c r="S605" s="1819"/>
      <c r="T605" s="1819"/>
      <c r="U605" s="1819"/>
      <c r="V605" s="1862"/>
      <c r="W605" s="1819"/>
      <c r="X605" s="1819"/>
    </row>
    <row r="606" spans="1:24" ht="13.8">
      <c r="A606" s="1963" t="s">
        <v>724</v>
      </c>
      <c r="B606" s="1963" t="s">
        <v>1399</v>
      </c>
      <c r="C606" s="1819"/>
      <c r="D606" s="1819"/>
      <c r="E606" s="1819"/>
      <c r="F606" s="1819"/>
      <c r="G606" s="1819"/>
      <c r="H606" s="1878"/>
      <c r="I606" s="1878"/>
      <c r="J606" s="1819"/>
      <c r="K606" s="1819"/>
      <c r="L606" s="1819"/>
      <c r="M606" s="1885"/>
      <c r="N606" s="1819"/>
      <c r="O606" s="1819"/>
      <c r="P606" s="1819"/>
      <c r="Q606" s="1819"/>
      <c r="R606" s="1819"/>
      <c r="S606" s="1819"/>
      <c r="T606" s="1819"/>
      <c r="U606" s="1819"/>
      <c r="V606" s="1862"/>
      <c r="W606" s="1819"/>
      <c r="X606" s="1819"/>
    </row>
    <row r="607" spans="1:24" ht="13.8">
      <c r="A607" s="1819"/>
      <c r="B607" s="1819"/>
      <c r="C607" s="1819"/>
      <c r="D607" s="1819"/>
      <c r="E607" s="1819"/>
      <c r="F607" s="1819"/>
      <c r="G607" s="1819"/>
      <c r="H607" s="1878"/>
      <c r="I607" s="1878"/>
      <c r="J607" s="1819"/>
      <c r="K607" s="1819"/>
      <c r="L607" s="1819"/>
      <c r="M607" s="1885"/>
      <c r="N607" s="1819"/>
      <c r="O607" s="1819"/>
      <c r="P607" s="1819"/>
      <c r="Q607" s="1819"/>
      <c r="R607" s="1819"/>
      <c r="S607" s="1819"/>
      <c r="T607" s="1819"/>
      <c r="U607" s="1819"/>
      <c r="V607" s="1819"/>
      <c r="W607" s="1819"/>
      <c r="X607" s="1819"/>
    </row>
    <row r="608" spans="1:24" ht="13.8">
      <c r="A608" s="1819"/>
      <c r="B608" s="1819" t="s">
        <v>4524</v>
      </c>
      <c r="C608" s="1819"/>
      <c r="D608" s="1819"/>
      <c r="E608" s="1819"/>
      <c r="F608" s="1819"/>
      <c r="G608" s="1819"/>
      <c r="H608" s="1878"/>
      <c r="I608" s="1878"/>
      <c r="J608" s="1819"/>
      <c r="K608" s="1819"/>
      <c r="L608" s="1819"/>
      <c r="M608" s="1885"/>
      <c r="N608" s="1819"/>
      <c r="O608" s="1821"/>
      <c r="P608" s="1821"/>
      <c r="Q608" s="1821"/>
      <c r="R608" s="1821"/>
      <c r="S608" s="1821"/>
      <c r="T608" s="1821"/>
      <c r="U608" s="1821"/>
      <c r="V608" s="1821"/>
      <c r="W608" s="1819"/>
      <c r="X608" s="1819"/>
    </row>
    <row r="609" spans="1:24" ht="13.8">
      <c r="A609" s="1819"/>
      <c r="B609" s="1819" t="s">
        <v>6903</v>
      </c>
      <c r="C609" s="1819"/>
      <c r="D609" s="1819"/>
      <c r="E609" s="1819"/>
      <c r="F609" s="1819"/>
      <c r="G609" s="1819"/>
      <c r="H609" s="1819"/>
      <c r="I609" s="1819"/>
      <c r="J609" s="2200">
        <f>G578</f>
        <v>12452350</v>
      </c>
      <c r="K609" s="2200"/>
      <c r="L609" s="2200"/>
      <c r="M609" s="1819"/>
      <c r="N609" s="1819"/>
      <c r="O609" s="1819"/>
      <c r="P609" s="1819"/>
      <c r="Q609" s="1819"/>
      <c r="R609" s="1819"/>
      <c r="S609" s="1819"/>
      <c r="T609" s="1819"/>
      <c r="U609" s="1819"/>
      <c r="V609" s="1862"/>
      <c r="W609" s="1963"/>
      <c r="X609" s="1819"/>
    </row>
    <row r="610" spans="1:24" ht="13.8">
      <c r="A610" s="1819"/>
      <c r="B610" s="1819" t="s">
        <v>4528</v>
      </c>
      <c r="C610" s="1819"/>
      <c r="D610" s="1819"/>
      <c r="E610" s="1819"/>
      <c r="F610" s="1819"/>
      <c r="G610" s="1819"/>
      <c r="H610" s="1819"/>
      <c r="I610" s="1819"/>
      <c r="J610" s="2200">
        <f>'Part IV-A-Uses of Funds'!$G$83+'Part IV-A-Uses of Funds'!$G$105+SUM('Part IV-A-Uses of Funds'!$G$121:$H$123)</f>
        <v>622255</v>
      </c>
      <c r="K610" s="2200"/>
      <c r="L610" s="2200"/>
      <c r="M610" s="1819"/>
      <c r="N610" s="1819"/>
      <c r="O610" s="1819"/>
      <c r="P610" s="1819"/>
      <c r="Q610" s="1819"/>
      <c r="R610" s="1819"/>
      <c r="S610" s="1819"/>
      <c r="T610" s="1819"/>
      <c r="U610" s="1819"/>
      <c r="V610" s="1862"/>
      <c r="W610" s="1963"/>
      <c r="X610" s="1819"/>
    </row>
    <row r="611" spans="1:24" ht="13.8">
      <c r="A611" s="1819"/>
      <c r="B611" s="1823" t="s">
        <v>4527</v>
      </c>
      <c r="C611" s="1819"/>
      <c r="D611" s="1819"/>
      <c r="E611" s="1819"/>
      <c r="F611" s="1819"/>
      <c r="G611" s="1819"/>
      <c r="H611" s="1819"/>
      <c r="I611" s="1819"/>
      <c r="J611" s="2200">
        <f>J609-J610</f>
        <v>11830095</v>
      </c>
      <c r="K611" s="2200"/>
      <c r="L611" s="2200"/>
      <c r="M611" s="1819" t="str">
        <f>IF(J611&lt;=J612, "","Exceeds Project Cost Limit!   Needs Cost Limit waiver.")</f>
        <v/>
      </c>
      <c r="N611" s="1819"/>
      <c r="O611" s="1819"/>
      <c r="P611" s="1819"/>
      <c r="Q611" s="1819"/>
      <c r="R611" s="1819"/>
      <c r="S611" s="1819"/>
      <c r="T611" s="1819"/>
      <c r="U611" s="1819"/>
      <c r="V611" s="1862"/>
      <c r="W611" s="1963"/>
      <c r="X611" s="1819"/>
    </row>
    <row r="612" spans="1:24" ht="13.8">
      <c r="A612" s="1819"/>
      <c r="B612" s="1820" t="s">
        <v>2679</v>
      </c>
      <c r="C612" s="1823"/>
      <c r="D612" s="1823"/>
      <c r="E612" s="1819"/>
      <c r="F612" s="1819"/>
      <c r="G612" s="1819"/>
      <c r="H612" s="1819"/>
      <c r="I612" s="1819"/>
      <c r="J612" s="2200">
        <f>'Part VIII-Threshold Criteria'!$P$63</f>
        <v>15291752.399999999</v>
      </c>
      <c r="K612" s="2200"/>
      <c r="L612" s="2200"/>
      <c r="M612" s="1819"/>
      <c r="N612" s="1819"/>
      <c r="O612" s="1819"/>
      <c r="P612" s="1819"/>
      <c r="Q612" s="1819"/>
      <c r="R612" s="1819"/>
      <c r="S612" s="1819"/>
      <c r="T612" s="1819"/>
      <c r="U612" s="1819"/>
      <c r="V612" s="1862"/>
      <c r="W612" s="1963"/>
      <c r="X612" s="1819"/>
    </row>
    <row r="613" spans="1:24" ht="13.8">
      <c r="A613" s="1819"/>
      <c r="B613" s="1820"/>
      <c r="C613" s="1823"/>
      <c r="D613" s="1823"/>
      <c r="E613" s="1819"/>
      <c r="F613" s="1819"/>
      <c r="G613" s="1819"/>
      <c r="H613" s="1819"/>
      <c r="I613" s="1819"/>
      <c r="J613" s="1839"/>
      <c r="K613" s="1839"/>
      <c r="L613" s="1839"/>
      <c r="M613" s="1819"/>
      <c r="N613" s="1819"/>
      <c r="O613" s="1819"/>
      <c r="P613" s="1819"/>
      <c r="Q613" s="1819"/>
      <c r="R613" s="1819"/>
      <c r="S613" s="1819"/>
      <c r="T613" s="1819"/>
      <c r="U613" s="1819"/>
      <c r="V613" s="1862"/>
      <c r="W613" s="1963"/>
      <c r="X613" s="1819"/>
    </row>
    <row r="614" spans="1:24" ht="13.8">
      <c r="A614" s="1819"/>
      <c r="B614" s="1819" t="s">
        <v>170</v>
      </c>
      <c r="C614" s="1819"/>
      <c r="D614" s="1819"/>
      <c r="E614" s="1819"/>
      <c r="F614" s="1819"/>
      <c r="G614" s="1819"/>
      <c r="H614" s="1819"/>
      <c r="I614" s="1819"/>
      <c r="J614" s="1819"/>
      <c r="K614" s="1819"/>
      <c r="L614" s="1819"/>
      <c r="M614" s="1819"/>
      <c r="N614" s="1819"/>
      <c r="O614" s="1819"/>
      <c r="P614" s="1819"/>
      <c r="Q614" s="1819"/>
      <c r="R614" s="1819"/>
      <c r="S614" s="1819"/>
      <c r="T614" s="1819"/>
      <c r="U614" s="1819"/>
      <c r="V614" s="1862"/>
      <c r="W614" s="1963" t="str">
        <f>B606</f>
        <v>TAX CREDIT CALCULATION - GAP METHOD</v>
      </c>
      <c r="X614" s="1819"/>
    </row>
    <row r="615" spans="1:24" ht="13.95" customHeight="1">
      <c r="A615" s="1819"/>
      <c r="B615" s="1819" t="s">
        <v>4529</v>
      </c>
      <c r="C615" s="1819"/>
      <c r="D615" s="1819"/>
      <c r="E615" s="1819"/>
      <c r="F615" s="1819"/>
      <c r="G615" s="1819"/>
      <c r="H615" s="1819"/>
      <c r="I615" s="1819"/>
      <c r="J615" s="1882">
        <f>'Part IV-A-Uses of Funds'!J169</f>
        <v>12452350</v>
      </c>
      <c r="K615" s="1882"/>
      <c r="L615" s="1882"/>
      <c r="M615" s="1822" t="s">
        <v>4552</v>
      </c>
      <c r="N615" s="1822"/>
      <c r="O615" s="1822"/>
      <c r="P615" s="1822"/>
      <c r="Q615" s="1822"/>
      <c r="R615" s="1822"/>
      <c r="S615" s="1822" t="s">
        <v>3499</v>
      </c>
      <c r="T615" s="1822"/>
      <c r="U615" s="1819"/>
      <c r="V615" s="1862"/>
      <c r="W615" s="1772"/>
      <c r="X615" s="1772"/>
    </row>
    <row r="616" spans="1:24" ht="13.8">
      <c r="A616" s="1819"/>
      <c r="B616" s="1819" t="s">
        <v>258</v>
      </c>
      <c r="C616" s="1819"/>
      <c r="D616" s="1819"/>
      <c r="E616" s="1819"/>
      <c r="F616" s="1819"/>
      <c r="G616" s="1819"/>
      <c r="H616" s="1819"/>
      <c r="I616" s="1819"/>
      <c r="J616" s="1882">
        <f>'Part III-Sources of Funds'!$I$58-'Part III-Sources of Funds'!$I$42-'Part III-Sources of Funds'!$I$43-'Part III-Sources of Funds'!$I$49-'Part III-Sources of Funds'!$I$50</f>
        <v>1555000</v>
      </c>
      <c r="K616" s="1882"/>
      <c r="L616" s="1882"/>
      <c r="M616" s="1822"/>
      <c r="N616" s="1822"/>
      <c r="O616" s="1822"/>
      <c r="P616" s="1822"/>
      <c r="Q616" s="1822"/>
      <c r="R616" s="1822"/>
      <c r="S616" s="1822"/>
      <c r="T616" s="1822"/>
      <c r="U616" s="1819"/>
      <c r="V616" s="1862"/>
      <c r="W616" s="1772"/>
      <c r="X616" s="1772"/>
    </row>
    <row r="617" spans="1:24" ht="13.8">
      <c r="A617" s="1819"/>
      <c r="B617" s="1819" t="s">
        <v>2176</v>
      </c>
      <c r="C617" s="1819"/>
      <c r="D617" s="1819"/>
      <c r="E617" s="1819"/>
      <c r="F617" s="1819"/>
      <c r="G617" s="1819"/>
      <c r="H617" s="1819"/>
      <c r="I617" s="1819"/>
      <c r="J617" s="1882">
        <f>+J615-J616</f>
        <v>10897350</v>
      </c>
      <c r="K617" s="1882"/>
      <c r="L617" s="1882"/>
      <c r="M617" s="1822"/>
      <c r="N617" s="1822"/>
      <c r="O617" s="1822"/>
      <c r="P617" s="1822"/>
      <c r="Q617" s="1822"/>
      <c r="R617" s="1822"/>
      <c r="S617" s="1822"/>
      <c r="T617" s="1822"/>
      <c r="U617" s="1819"/>
      <c r="V617" s="1862"/>
      <c r="W617" s="1772"/>
      <c r="X617" s="1772"/>
    </row>
    <row r="618" spans="1:24" ht="13.8">
      <c r="A618" s="1819"/>
      <c r="B618" s="1819" t="s">
        <v>1260</v>
      </c>
      <c r="C618" s="1819"/>
      <c r="D618" s="1819"/>
      <c r="E618" s="1819"/>
      <c r="F618" s="1819"/>
      <c r="G618" s="1819"/>
      <c r="H618" s="1819"/>
      <c r="I618" s="1819"/>
      <c r="J618" s="1819" t="str">
        <f>"/ 10"</f>
        <v>/ 10</v>
      </c>
      <c r="K618" s="1819"/>
      <c r="L618" s="1819"/>
      <c r="M618" s="1849" t="s">
        <v>2661</v>
      </c>
      <c r="N618" s="1849"/>
      <c r="O618" s="1886">
        <f>'Part III-Sources of Funds'!$I$42</f>
        <v>0</v>
      </c>
      <c r="P618" s="1886"/>
      <c r="Q618" s="1886"/>
      <c r="R618" s="1886"/>
      <c r="S618" s="1887" t="s">
        <v>1623</v>
      </c>
      <c r="T618" s="2205" t="str">
        <f>'Part IV-A-Uses of Funds'!T172</f>
        <v>No</v>
      </c>
      <c r="U618" s="1819"/>
      <c r="V618" s="1862"/>
      <c r="W618" s="1772"/>
      <c r="X618" s="1772"/>
    </row>
    <row r="619" spans="1:24" ht="13.8">
      <c r="A619" s="1819"/>
      <c r="B619" s="1819" t="s">
        <v>1261</v>
      </c>
      <c r="C619" s="1819"/>
      <c r="D619" s="1819"/>
      <c r="E619" s="1819"/>
      <c r="F619" s="1819"/>
      <c r="G619" s="1819"/>
      <c r="H619" s="1819"/>
      <c r="I619" s="1819"/>
      <c r="J619" s="1882">
        <f>J617/10</f>
        <v>1089735</v>
      </c>
      <c r="K619" s="1882"/>
      <c r="L619" s="1882"/>
      <c r="M619" s="1819"/>
      <c r="N619" s="1886"/>
      <c r="O619" s="1886"/>
      <c r="P619" s="1886"/>
      <c r="Q619" s="1886"/>
      <c r="R619" s="1886"/>
      <c r="S619" s="1819"/>
      <c r="T619" s="1819"/>
      <c r="U619" s="1819"/>
      <c r="V619" s="1862"/>
      <c r="W619" s="1772"/>
      <c r="X619" s="1772"/>
    </row>
    <row r="620" spans="1:24" ht="13.8">
      <c r="A620" s="1819"/>
      <c r="B620" s="1819"/>
      <c r="C620" s="1819"/>
      <c r="D620" s="1819"/>
      <c r="E620" s="1819"/>
      <c r="F620" s="1819"/>
      <c r="G620" s="1819"/>
      <c r="H620" s="1819"/>
      <c r="I620" s="1819"/>
      <c r="J620" s="1819"/>
      <c r="K620" s="1819"/>
      <c r="L620" s="1819"/>
      <c r="M620" s="1827"/>
      <c r="N620" s="1819" t="s">
        <v>1262</v>
      </c>
      <c r="O620" s="1819"/>
      <c r="P620" s="1819"/>
      <c r="Q620" s="1819" t="s">
        <v>1754</v>
      </c>
      <c r="R620" s="1819"/>
      <c r="S620" s="1819"/>
      <c r="T620" s="1819"/>
      <c r="U620" s="1819"/>
      <c r="V620" s="1862"/>
      <c r="W620" s="1772"/>
      <c r="X620" s="1772"/>
    </row>
    <row r="621" spans="1:24" ht="13.8">
      <c r="A621" s="1819"/>
      <c r="B621" s="1819" t="s">
        <v>6859</v>
      </c>
      <c r="C621" s="1819"/>
      <c r="D621" s="1819"/>
      <c r="E621" s="1819"/>
      <c r="F621" s="1819"/>
      <c r="G621" s="1819"/>
      <c r="H621" s="1819"/>
      <c r="I621" s="1819"/>
      <c r="J621" s="1888">
        <f>N621+Q621</f>
        <v>1.29</v>
      </c>
      <c r="K621" s="1888"/>
      <c r="L621" s="1888"/>
      <c r="M621" s="1821" t="s">
        <v>1263</v>
      </c>
      <c r="N621" s="2206">
        <f>'Part IV-A-Uses of Funds'!N175</f>
        <v>0.85</v>
      </c>
      <c r="O621" s="2206"/>
      <c r="P621" s="1821" t="s">
        <v>595</v>
      </c>
      <c r="Q621" s="2206">
        <f>'Part IV-A-Uses of Funds'!Q175</f>
        <v>0.44</v>
      </c>
      <c r="R621" s="2206"/>
      <c r="S621" s="1819"/>
      <c r="T621" s="1819"/>
      <c r="U621" s="1819"/>
      <c r="V621" s="1862"/>
      <c r="W621" s="1772"/>
      <c r="X621" s="1772"/>
    </row>
    <row r="622" spans="1:24" ht="13.8">
      <c r="A622" s="1819"/>
      <c r="B622" s="1819" t="s">
        <v>1397</v>
      </c>
      <c r="C622" s="1819"/>
      <c r="D622" s="1819"/>
      <c r="E622" s="1819"/>
      <c r="F622" s="1819"/>
      <c r="G622" s="1819"/>
      <c r="H622" s="1819"/>
      <c r="I622" s="1819"/>
      <c r="J622" s="1882">
        <f>ROUNDDOWN(IF(J621=0,"",J619/J621),0)</f>
        <v>844755</v>
      </c>
      <c r="K622" s="1882"/>
      <c r="L622" s="1882"/>
      <c r="M622" s="1827"/>
      <c r="N622" s="1819"/>
      <c r="O622" s="1819"/>
      <c r="P622" s="1819"/>
      <c r="Q622" s="1819"/>
      <c r="R622" s="1819"/>
      <c r="S622" s="1819"/>
      <c r="T622" s="1819"/>
      <c r="U622" s="1819"/>
      <c r="V622" s="1862"/>
      <c r="W622" s="1772"/>
      <c r="X622" s="1772"/>
    </row>
    <row r="623" spans="1:24" ht="13.8">
      <c r="A623" s="1819"/>
      <c r="B623" s="1819"/>
      <c r="C623" s="1819"/>
      <c r="D623" s="1819"/>
      <c r="E623" s="1819"/>
      <c r="F623" s="1819"/>
      <c r="G623" s="1819"/>
      <c r="H623" s="1819"/>
      <c r="I623" s="1819"/>
      <c r="J623" s="1889"/>
      <c r="K623" s="1889"/>
      <c r="L623" s="1889"/>
      <c r="M623" s="1827"/>
      <c r="N623" s="1821"/>
      <c r="O623" s="1821"/>
      <c r="P623" s="1819"/>
      <c r="Q623" s="1819"/>
      <c r="R623" s="1819"/>
      <c r="S623" s="1819"/>
      <c r="T623" s="1819"/>
      <c r="U623" s="1819"/>
      <c r="V623" s="1862"/>
      <c r="W623" s="1772"/>
      <c r="X623" s="1772"/>
    </row>
    <row r="624" spans="1:24" ht="13.8">
      <c r="A624" s="1963" t="s">
        <v>1748</v>
      </c>
      <c r="B624" s="1963" t="s">
        <v>4525</v>
      </c>
      <c r="C624" s="1819"/>
      <c r="D624" s="1819"/>
      <c r="E624" s="1819"/>
      <c r="F624" s="1819"/>
      <c r="G624" s="1819"/>
      <c r="H624" s="1878"/>
      <c r="I624" s="1878"/>
      <c r="J624" s="1819"/>
      <c r="K624" s="1819"/>
      <c r="L624" s="1819"/>
      <c r="M624" s="1885"/>
      <c r="N624" s="1819"/>
      <c r="O624" s="1819"/>
      <c r="P624" s="1819"/>
      <c r="Q624" s="1819"/>
      <c r="R624" s="1819"/>
      <c r="S624" s="1819"/>
      <c r="T624" s="1819"/>
      <c r="U624" s="1819"/>
      <c r="V624" s="1862"/>
      <c r="W624" s="1819"/>
      <c r="X624" s="1819"/>
    </row>
    <row r="625" spans="1:24" ht="13.8">
      <c r="A625" s="1819"/>
      <c r="B625" s="1819"/>
      <c r="C625" s="1819"/>
      <c r="D625" s="1819"/>
      <c r="E625" s="1819"/>
      <c r="F625" s="1819"/>
      <c r="G625" s="1819"/>
      <c r="H625" s="1878"/>
      <c r="I625" s="1878"/>
      <c r="J625" s="1819"/>
      <c r="K625" s="1819"/>
      <c r="L625" s="1819"/>
      <c r="M625" s="1885"/>
      <c r="N625" s="1819"/>
      <c r="O625" s="1819"/>
      <c r="P625" s="1819"/>
      <c r="Q625" s="1819"/>
      <c r="R625" s="1819"/>
      <c r="S625" s="1819"/>
      <c r="T625" s="1819"/>
      <c r="U625" s="1819"/>
      <c r="V625" s="1819"/>
      <c r="W625" s="1819"/>
      <c r="X625" s="1819"/>
    </row>
    <row r="626" spans="1:24" ht="13.8">
      <c r="A626" s="1819"/>
      <c r="B626" s="1819" t="s">
        <v>6860</v>
      </c>
      <c r="C626" s="1819"/>
      <c r="D626" s="1819"/>
      <c r="E626" s="1819"/>
      <c r="F626" s="1819"/>
      <c r="G626" s="1819"/>
      <c r="H626" s="1819"/>
      <c r="I626" s="1819"/>
      <c r="J626" s="1882">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"Yes")),+MIN(J604,J622,'Part I-Project Information'!$O$185),IF(OR('Part I-Project Information'!$F$11 ="4% Credit/TE Bond",'Part I-Project Information'!$F$11 ="4% Credit/TE Bond &amp; HOME",'Part I-Project Information'!$F$11 ="4% Credit/TE Bond &amp; HOME NOFA"),+MIN(J604,J622),IF(AND('Part I-Project Information'!$H$105="Flexible",'Part I-Project Information'!$I$185 = "Yes"),+MIN(J604,J622,'Part I-Project Information'!$O$185,'DCA Underwriting Assumptions'!$R$6),IF(AND('Part I-Project Information'!$H$105="Rural",'Part I-Project Information'!$I$185 = "Yes"),+MIN(J604,J622,'Part I-Project Information'!$O$185,'DCA Underwriting Assumptions'!$R$7),IF('Part I-Project Information'!$H$105="Flexible",+MIN(J604,J622,'DCA Underwriting Assumptions'!$R$6),IF('Part I-Project Information'!$H$105="Rural",+MIN(J604,J622,'DCA Underwriting Assumptions'!$R$7),+MIN(J604,J622,'DCA Underwriting Assumptions'!$R$6))))))),0)</f>
        <v>844755</v>
      </c>
      <c r="K626" s="1882"/>
      <c r="L626" s="1882"/>
      <c r="M626" s="1827"/>
      <c r="N626" s="1821"/>
      <c r="O626" s="1821"/>
      <c r="P626" s="1819"/>
      <c r="Q626" s="1819"/>
      <c r="R626" s="1819"/>
      <c r="S626" s="1819"/>
      <c r="T626" s="1819"/>
      <c r="U626" s="1819"/>
      <c r="V626" s="1862"/>
      <c r="W626" s="1772"/>
      <c r="X626" s="1772"/>
    </row>
    <row r="627" spans="1:24" ht="13.8">
      <c r="A627" s="1819"/>
      <c r="B627" s="1819"/>
      <c r="C627" s="1819"/>
      <c r="D627" s="1819"/>
      <c r="E627" s="1819"/>
      <c r="F627" s="1819"/>
      <c r="G627" s="1819"/>
      <c r="H627" s="1819"/>
      <c r="I627" s="1819"/>
      <c r="J627" s="1889"/>
      <c r="K627" s="1889"/>
      <c r="L627" s="1889"/>
      <c r="M627" s="1827"/>
      <c r="N627" s="1821"/>
      <c r="O627" s="1821"/>
      <c r="P627" s="1819"/>
      <c r="Q627" s="1819"/>
      <c r="R627" s="1819"/>
      <c r="S627" s="1819"/>
      <c r="T627" s="1819"/>
      <c r="U627" s="1819"/>
      <c r="V627" s="1862"/>
      <c r="W627" s="1910"/>
      <c r="X627" s="1910"/>
    </row>
    <row r="628" spans="1:24" ht="13.8">
      <c r="A628" s="1819"/>
      <c r="B628" s="1819" t="s">
        <v>6861</v>
      </c>
      <c r="C628" s="1819"/>
      <c r="D628" s="1819"/>
      <c r="E628" s="1819"/>
      <c r="F628" s="1819"/>
      <c r="G628" s="1819"/>
      <c r="H628" s="1819"/>
      <c r="I628" s="1819"/>
      <c r="J628" s="1882">
        <f>'Part IV-A-Uses of Funds'!J182</f>
        <v>844755</v>
      </c>
      <c r="K628" s="1882"/>
      <c r="L628" s="1882"/>
      <c r="M628" s="1823" t="str">
        <f>IF(J626=0,"",IF(J628&gt;J626,"ALLOCATION CANNOT EXCEED MAXIMUM - REVISE REQUEST (Try Round Down)!",""))</f>
        <v/>
      </c>
      <c r="N628" s="1821"/>
      <c r="O628" s="1821"/>
      <c r="P628" s="1819"/>
      <c r="Q628" s="1819"/>
      <c r="R628" s="1819"/>
      <c r="S628" s="1819"/>
      <c r="T628" s="1819"/>
      <c r="U628" s="1819"/>
      <c r="V628" s="1862"/>
      <c r="W628" s="1772"/>
      <c r="X628" s="1772"/>
    </row>
    <row r="629" spans="1:24" ht="13.8">
      <c r="A629" s="1819"/>
      <c r="B629" s="1819"/>
      <c r="C629" s="1819"/>
      <c r="D629" s="1819"/>
      <c r="E629" s="1819"/>
      <c r="F629" s="1819"/>
      <c r="G629" s="1819"/>
      <c r="H629" s="1819"/>
      <c r="I629" s="1819"/>
      <c r="J629" s="1889"/>
      <c r="K629" s="1889"/>
      <c r="L629" s="1889"/>
      <c r="M629" s="1827"/>
      <c r="N629" s="1821"/>
      <c r="O629" s="1821"/>
      <c r="P629" s="1819"/>
      <c r="Q629" s="1819"/>
      <c r="R629" s="1819"/>
      <c r="S629" s="1819"/>
      <c r="T629" s="1819"/>
      <c r="U629" s="1819"/>
      <c r="V629" s="1862"/>
      <c r="W629" s="1910"/>
      <c r="X629" s="1910"/>
    </row>
    <row r="630" spans="1:24" ht="13.8">
      <c r="A630" s="1963"/>
      <c r="B630" s="1963" t="s">
        <v>6970</v>
      </c>
      <c r="C630" s="1819"/>
      <c r="D630" s="1827"/>
      <c r="E630" s="1827"/>
      <c r="F630" s="1823"/>
      <c r="G630" s="1819"/>
      <c r="H630" s="1819"/>
      <c r="I630" s="1819"/>
      <c r="J630" s="1882">
        <f>IF(J628="",0,+MIN(J626,J628))</f>
        <v>844755</v>
      </c>
      <c r="K630" s="1882"/>
      <c r="L630" s="1882"/>
      <c r="M630" s="1819"/>
      <c r="N630" s="1827"/>
      <c r="O630" s="1827"/>
      <c r="P630" s="1827"/>
      <c r="Q630" s="1827"/>
      <c r="R630" s="1827"/>
      <c r="S630" s="1827"/>
      <c r="T630" s="1827"/>
      <c r="U630" s="1819"/>
      <c r="V630" s="1862"/>
      <c r="W630" s="1772"/>
      <c r="X630" s="1772"/>
    </row>
    <row r="631" spans="1:24" ht="13.8">
      <c r="A631" s="1827"/>
      <c r="B631" s="1827"/>
      <c r="C631" s="1827"/>
      <c r="D631" s="1827"/>
      <c r="E631" s="1827"/>
      <c r="F631" s="1827"/>
      <c r="G631" s="1827"/>
      <c r="H631" s="1827"/>
      <c r="I631" s="1827"/>
      <c r="J631" s="1827"/>
      <c r="K631" s="1827"/>
      <c r="L631" s="1827"/>
      <c r="M631" s="1827"/>
      <c r="N631" s="1827"/>
      <c r="O631" s="1827"/>
      <c r="P631" s="1827"/>
      <c r="Q631" s="1827"/>
      <c r="R631" s="1827"/>
      <c r="S631" s="1827"/>
      <c r="T631" s="1827"/>
      <c r="U631" s="1827"/>
      <c r="V631" s="1827"/>
      <c r="W631" s="1827"/>
      <c r="X631" s="1827"/>
    </row>
    <row r="632" spans="1:24" ht="13.8">
      <c r="A632" s="1827"/>
      <c r="B632" s="1827"/>
      <c r="C632" s="1827"/>
      <c r="D632" s="1827"/>
      <c r="E632" s="1827"/>
      <c r="F632" s="1827"/>
      <c r="G632" s="1827"/>
      <c r="H632" s="1827"/>
      <c r="I632" s="1827"/>
      <c r="J632" s="1827"/>
      <c r="K632" s="1827"/>
      <c r="L632" s="1827"/>
      <c r="M632" s="1827"/>
      <c r="N632" s="1827"/>
      <c r="O632" s="1827"/>
      <c r="P632" s="1827"/>
      <c r="Q632" s="1827"/>
      <c r="R632" s="1827"/>
      <c r="S632" s="1827"/>
      <c r="T632" s="1827"/>
      <c r="U632" s="1827"/>
      <c r="V632" s="1827"/>
      <c r="W632" s="1827"/>
      <c r="X632" s="1827"/>
    </row>
    <row r="633" spans="1:24" ht="13.8">
      <c r="A633" s="1819" t="s">
        <v>1750</v>
      </c>
      <c r="B633" s="1827" t="s">
        <v>555</v>
      </c>
      <c r="C633" s="1827"/>
      <c r="D633" s="1827"/>
      <c r="E633" s="1827"/>
      <c r="F633" s="1827"/>
      <c r="G633" s="1827"/>
      <c r="H633" s="1827"/>
      <c r="I633" s="1827"/>
      <c r="J633" s="1827"/>
      <c r="K633" s="1827"/>
      <c r="L633" s="1827"/>
      <c r="M633" s="1827"/>
      <c r="N633" s="1819" t="s">
        <v>516</v>
      </c>
      <c r="O633" s="1819" t="s">
        <v>77</v>
      </c>
      <c r="P633" s="1827"/>
      <c r="Q633" s="1827"/>
      <c r="R633" s="1827"/>
      <c r="S633" s="1827"/>
      <c r="T633" s="1827"/>
      <c r="U633" s="1827"/>
      <c r="V633" s="1827"/>
      <c r="W633" s="1827"/>
      <c r="X633" s="1827"/>
    </row>
    <row r="634" spans="1:24" ht="15.6" customHeight="1">
      <c r="A634" s="1887" t="str">
        <f>'Part IV-A-Uses of Funds'!A188</f>
        <v xml:space="preserve">City Plan Review Fee is based on Phase I review costs.
Tap Fees:   Sewer Tap Fees: $500 x 73 units =$36,500..    Water Tap Fees:  $1500x 73 units= $109,500 + 2" building meter $3,425 plus a 2" irrigation meter for $3,425. See TAB 01 for documentation. 
 Building Permit fees are $85 for the first $30,000 of the total hard cost, plus $4 for each additional thousand dollars.  The total hard costs not including contractor services for this project is  $6,857,405.  $85 for the first $30k, plus $4.00 for each additional thousand dollars  ($6,827,4* 4) or  $27,309.60 plus $85. The total is 27,395.   Tab 01 contains a building permit fee schedule from the City of Columbus.
Construction Inspection Fees are based on $700 a month for 16 months.  
 Construction costs are $108,575 /unit which is within the limits of  HUD's 2019 PIH Office of Capital Improvements total development costs for the Columbus MSA .    Costs were determined based upon most current costs from similar projects.   Construction and Permanent  Loan Financing Fees are calculated at 1%.   
DCA requires an Operating Deficit Reserve in the amount of 6 months operating expenses plus 6 months of debt service.  
Developer fee calculation is on DCA's per unit basis of $25K for units 1-50, $20K for units 51-70, and $15K for units 71 and 72.
 Applicant budgeted $1,680,000 for developer fee.
Furniture Fixtures and Equipment include $20,000 for furnishings for the clubhouse and $10,000 for office equipment and $10,000 for computer center equipment. 
Accounting: DCA's  Cost Certification $12,500 and Contractor's Cost Cert $10,000,  +$3,000 for Carryover Report + $4,500 for dscr analysis.    Accessibilty Inspections &amp; Plan Review: Contract will be approximately $12,000 based upon past projects.
 The Synovus Bridge Loan and Construction Loan are are provided by Synovus at 3.75% (.75 LIBOR floor + 325 bps above LIBOR).  We've rounded up to $370,000 and the Construction Interest Expense Estimate can be found TAB 01.  The City of Columbus HOME loan interest is calculated at 1% interest only and this estimate can be found in TAB 01.
The land cost for Phase 2 is $587,095.  This Appliction is one part of a larger parcel.  The cost of the larger parcel has been allocated among three phases on a per unit basis.  Clarification of the land cost is provided in  TAB 44.
Applicant has experience in dealing with asbestos and lead abatement.  Madison Heights II 2019-017 contained lead and Taylor Village 2016-020 contained lead and asbestos which was properly abated. Applicant feels confident that the estimated amount in “Asbestos and Lead Based Paint abatement and disposal” is accurate.  </v>
      </c>
      <c r="B634" s="1887"/>
      <c r="C634" s="1887"/>
      <c r="D634" s="1887"/>
      <c r="E634" s="1887"/>
      <c r="F634" s="1887"/>
      <c r="G634" s="1887"/>
      <c r="H634" s="1887"/>
      <c r="I634" s="1887"/>
      <c r="J634" s="1887"/>
      <c r="K634" s="1887"/>
      <c r="L634" s="1887"/>
      <c r="M634" s="1887"/>
      <c r="N634" s="1887">
        <f>'Part IV-A-Uses of Funds'!N188</f>
        <v>0</v>
      </c>
      <c r="O634" s="1887"/>
      <c r="P634" s="1887"/>
      <c r="Q634" s="1887"/>
      <c r="R634" s="1887"/>
      <c r="S634" s="1887"/>
      <c r="T634" s="1887"/>
      <c r="U634" s="1827"/>
      <c r="V634" s="1844"/>
      <c r="W634" s="1973" t="s">
        <v>2614</v>
      </c>
      <c r="X634" s="1973"/>
    </row>
    <row r="638" spans="1:24" ht="15">
      <c r="A638" s="2094" t="str">
        <f>CONCATENATE("PART FOUR (b) -  OTHER COSTS","  -  ",'Part I-Project Information'!$O$6," - ",'Part I-Project Information'!$F$34,"  -  ",'Part I-Project Information'!$F$38,"  -  ",'Part I-Project Information'!$J$39,",  ","County")</f>
        <v>PART FOUR (b) -  OTHER COSTS  -  2020-074 - Harper Woods II  -  Columbus  -  Muscogee,  County</v>
      </c>
      <c r="B638" s="2094"/>
      <c r="C638" s="2094"/>
      <c r="D638" s="2094"/>
      <c r="E638" s="2094"/>
      <c r="F638" s="2094"/>
      <c r="G638" s="2094"/>
      <c r="H638" s="2094"/>
    </row>
    <row r="639" spans="1:24">
      <c r="A639" s="2207"/>
      <c r="B639" s="2207"/>
      <c r="C639" s="2207"/>
      <c r="D639" s="2207"/>
      <c r="E639" s="2207"/>
      <c r="F639" s="2207"/>
      <c r="G639" s="2207"/>
      <c r="H639" s="2207"/>
    </row>
    <row r="640" spans="1:24" ht="13.95" customHeight="1">
      <c r="A640" s="2208" t="s">
        <v>3533</v>
      </c>
      <c r="B640" s="2208"/>
      <c r="C640" s="2208"/>
      <c r="D640" s="2208"/>
      <c r="E640" s="2208"/>
      <c r="F640" s="2208"/>
      <c r="G640" s="2208"/>
      <c r="H640" s="2208"/>
    </row>
    <row r="641" spans="1:8">
      <c r="A641" s="2207"/>
      <c r="B641" s="2207"/>
      <c r="C641" s="2207"/>
      <c r="D641" s="2207"/>
      <c r="E641" s="2207"/>
      <c r="F641" s="2207"/>
      <c r="G641" s="2207"/>
      <c r="H641" s="2207"/>
    </row>
    <row r="642" spans="1:8" ht="87" customHeight="1">
      <c r="A642" s="2095" t="s">
        <v>6862</v>
      </c>
      <c r="B642" s="2095"/>
      <c r="C642" s="2095"/>
      <c r="D642" s="2095"/>
      <c r="E642" s="2207"/>
      <c r="F642" s="2096" t="s">
        <v>3524</v>
      </c>
      <c r="G642" s="1890"/>
      <c r="H642" s="2096" t="s">
        <v>3525</v>
      </c>
    </row>
    <row r="643" spans="1:8">
      <c r="A643" s="1890"/>
      <c r="B643" s="1890"/>
      <c r="C643" s="1890"/>
      <c r="D643" s="1890"/>
      <c r="E643" s="2207"/>
      <c r="F643" s="2207"/>
      <c r="G643" s="2207"/>
      <c r="H643" s="2207"/>
    </row>
    <row r="644" spans="1:8">
      <c r="A644" s="2097"/>
      <c r="B644" s="2097"/>
      <c r="C644" s="2097"/>
      <c r="D644" s="2097"/>
      <c r="E644" s="2097"/>
      <c r="F644" s="2097"/>
      <c r="G644" s="2097"/>
      <c r="H644" s="2209"/>
    </row>
    <row r="645" spans="1:8">
      <c r="A645" s="1890" t="s">
        <v>99</v>
      </c>
      <c r="B645" s="1891"/>
      <c r="C645" s="1891"/>
      <c r="D645" s="1891"/>
      <c r="E645" s="1891"/>
      <c r="F645" s="1891"/>
      <c r="G645" s="1891"/>
      <c r="H645" s="1891"/>
    </row>
    <row r="646" spans="1:8" ht="13.2" customHeight="1">
      <c r="A646" s="2098" t="str">
        <f>'Part IV-A-Uses of Funds'!$C$14</f>
        <v xml:space="preserve">3rd Party Cost Review </v>
      </c>
      <c r="B646" s="2098"/>
      <c r="C646" s="2098"/>
      <c r="D646" s="2098"/>
      <c r="E646" s="2209"/>
      <c r="F646" s="2210" t="str">
        <f>'Part IV-B-Other Items'!F9</f>
        <v>A third part cost review is required on 9% projects.  Must be approved by DCA prior to closing.</v>
      </c>
      <c r="G646" s="1891"/>
      <c r="H646" s="2210" t="str">
        <f>'Part IV-B-Other Items'!H9</f>
        <v>These costs are related to the construction of the building and are allowed in basis.</v>
      </c>
    </row>
    <row r="647" spans="1:8">
      <c r="A647" s="2098"/>
      <c r="B647" s="2098"/>
      <c r="C647" s="2098"/>
      <c r="D647" s="2098"/>
      <c r="E647" s="2209"/>
      <c r="F647" s="2210"/>
      <c r="G647" s="1891"/>
      <c r="H647" s="2210"/>
    </row>
    <row r="648" spans="1:8">
      <c r="A648" s="2209"/>
      <c r="B648" s="2209"/>
      <c r="C648" s="2209"/>
      <c r="D648" s="2209"/>
      <c r="E648" s="2209"/>
      <c r="F648" s="2210"/>
      <c r="G648" s="1891"/>
      <c r="H648" s="2210"/>
    </row>
    <row r="649" spans="1:8">
      <c r="A649" s="2099" t="s">
        <v>3527</v>
      </c>
      <c r="B649" s="1892">
        <f>'Part IV-A-Uses of Funds'!$G$14</f>
        <v>6500</v>
      </c>
      <c r="C649" s="2099" t="s">
        <v>1746</v>
      </c>
      <c r="D649" s="1892">
        <f>'Part IV-A-Uses of Funds'!$J$14+'Part IV-A-Uses of Funds'!$M$14+'Part IV-A-Uses of Funds'!$P$14</f>
        <v>6500</v>
      </c>
      <c r="E649" s="2209"/>
      <c r="F649" s="2210"/>
      <c r="G649" s="1891"/>
      <c r="H649" s="2210"/>
    </row>
    <row r="650" spans="1:8">
      <c r="A650" s="1891"/>
      <c r="B650" s="1893"/>
      <c r="C650" s="1891"/>
      <c r="D650" s="1891"/>
      <c r="E650" s="2209"/>
      <c r="F650" s="2210"/>
      <c r="G650" s="1894"/>
      <c r="H650" s="2210"/>
    </row>
    <row r="651" spans="1:8" ht="13.2" customHeight="1">
      <c r="A651" s="2098" t="str">
        <f>'Part IV-A-Uses of Funds'!$C$15</f>
        <v>City of Columbus Review Fee</v>
      </c>
      <c r="B651" s="2098"/>
      <c r="C651" s="2098"/>
      <c r="D651" s="2098"/>
      <c r="E651" s="2209"/>
      <c r="F651" s="2210" t="str">
        <f>'Part IV-B-Other Items'!F14</f>
        <v>This review fee is required by the City of Columbus prior to issuing building permits. Cost is based on Phase I review.</v>
      </c>
      <c r="G651" s="1891"/>
      <c r="H651" s="2210" t="str">
        <f>'Part IV-B-Other Items'!H14</f>
        <v xml:space="preserve">This cost is related to the contruction of the building and are allowed in basis. </v>
      </c>
    </row>
    <row r="652" spans="1:8">
      <c r="A652" s="2098"/>
      <c r="B652" s="2098"/>
      <c r="C652" s="2098"/>
      <c r="D652" s="2098"/>
      <c r="E652" s="2209"/>
      <c r="F652" s="2210"/>
      <c r="G652" s="1891"/>
      <c r="H652" s="2210"/>
    </row>
    <row r="653" spans="1:8">
      <c r="A653" s="2209"/>
      <c r="B653" s="2209"/>
      <c r="C653" s="2209"/>
      <c r="D653" s="2209"/>
      <c r="E653" s="2209"/>
      <c r="F653" s="2210"/>
      <c r="G653" s="1891"/>
      <c r="H653" s="2210"/>
    </row>
    <row r="654" spans="1:8">
      <c r="A654" s="2099" t="s">
        <v>3527</v>
      </c>
      <c r="B654" s="1892">
        <f>'Part IV-A-Uses of Funds'!$G$15</f>
        <v>6848</v>
      </c>
      <c r="C654" s="2099" t="s">
        <v>1746</v>
      </c>
      <c r="D654" s="1892">
        <f>'Part IV-A-Uses of Funds'!$J$15+'Part IV-A-Uses of Funds'!$M$15+'Part IV-A-Uses of Funds'!$P$15</f>
        <v>6848</v>
      </c>
      <c r="E654" s="2209"/>
      <c r="F654" s="2210"/>
      <c r="G654" s="1891"/>
      <c r="H654" s="2210"/>
    </row>
    <row r="655" spans="1:8">
      <c r="A655" s="1891"/>
      <c r="B655" s="1893"/>
      <c r="C655" s="1891"/>
      <c r="D655" s="1891"/>
      <c r="E655" s="2209"/>
      <c r="F655" s="2210"/>
      <c r="G655" s="1894"/>
      <c r="H655" s="2210"/>
    </row>
    <row r="656" spans="1:8" ht="13.2" customHeight="1">
      <c r="A656" s="2098" t="str">
        <f>'Part IV-A-Uses of Funds'!$C$16</f>
        <v>Asbestos and Lead Based Paint abatement and disposal</v>
      </c>
      <c r="B656" s="2098"/>
      <c r="C656" s="2098"/>
      <c r="D656" s="2098"/>
      <c r="E656" s="2209"/>
      <c r="F656" s="2210" t="str">
        <f>'Part IV-B-Other Items'!F19</f>
        <v xml:space="preserve">The project site contains small traces of asbestos and lead based paint in the soil. These environmental concerns require abatement and disposal. </v>
      </c>
      <c r="G656" s="1891"/>
      <c r="H656" s="2210" t="str">
        <f>'Part IV-B-Other Items'!H19</f>
        <v xml:space="preserve">This cost is related to the construction of the building and are allowed in basis. </v>
      </c>
    </row>
    <row r="657" spans="1:8">
      <c r="A657" s="2098"/>
      <c r="B657" s="2098"/>
      <c r="C657" s="2098"/>
      <c r="D657" s="2098"/>
      <c r="E657" s="2209"/>
      <c r="F657" s="2210"/>
      <c r="G657" s="1891"/>
      <c r="H657" s="2210"/>
    </row>
    <row r="658" spans="1:8">
      <c r="A658" s="2209"/>
      <c r="B658" s="2209"/>
      <c r="C658" s="2209"/>
      <c r="D658" s="2209"/>
      <c r="E658" s="2209"/>
      <c r="F658" s="2210"/>
      <c r="G658" s="1891"/>
      <c r="H658" s="2210"/>
    </row>
    <row r="659" spans="1:8">
      <c r="A659" s="2099" t="s">
        <v>3527</v>
      </c>
      <c r="B659" s="1892">
        <f>'Part IV-A-Uses of Funds'!$G$16</f>
        <v>4400</v>
      </c>
      <c r="C659" s="2099" t="s">
        <v>1746</v>
      </c>
      <c r="D659" s="1892">
        <f>'Part IV-A-Uses of Funds'!$J$16+'Part IV-A-Uses of Funds'!$M$16+'Part IV-A-Uses of Funds'!$P$16</f>
        <v>4400</v>
      </c>
      <c r="E659" s="2209"/>
      <c r="F659" s="2210"/>
      <c r="G659" s="1891"/>
      <c r="H659" s="2210"/>
    </row>
    <row r="660" spans="1:8">
      <c r="A660" s="1891"/>
      <c r="B660" s="1893"/>
      <c r="C660" s="1891"/>
      <c r="D660" s="1891"/>
      <c r="E660" s="2209"/>
      <c r="F660" s="2210"/>
      <c r="G660" s="1894"/>
      <c r="H660" s="2210"/>
    </row>
    <row r="661" spans="1:8">
      <c r="A661" s="1890" t="s">
        <v>3526</v>
      </c>
      <c r="B661" s="1891"/>
      <c r="C661" s="1891"/>
      <c r="D661" s="1891"/>
      <c r="E661" s="1891"/>
      <c r="F661" s="1891"/>
      <c r="G661" s="1891"/>
      <c r="H661" s="2209"/>
    </row>
    <row r="662" spans="1:8" ht="13.2" customHeight="1">
      <c r="A662" s="2098" t="str">
        <f>'Part IV-A-Uses of Funds'!$C$41</f>
        <v>&lt;&lt; Enter description here; provide detail &amp; justification in tab Part IV-b &gt;&gt;</v>
      </c>
      <c r="B662" s="2098"/>
      <c r="C662" s="2098"/>
      <c r="D662" s="2098"/>
      <c r="E662" s="1891"/>
      <c r="F662" s="2210">
        <f>'Part IV-B-Other Items'!F25</f>
        <v>0</v>
      </c>
      <c r="G662" s="1891"/>
      <c r="H662" s="2210">
        <f>'Part IV-B-Other Items'!H25</f>
        <v>0</v>
      </c>
    </row>
    <row r="663" spans="1:8">
      <c r="A663" s="2098"/>
      <c r="B663" s="2098"/>
      <c r="C663" s="2098"/>
      <c r="D663" s="2098"/>
      <c r="E663" s="1891"/>
      <c r="F663" s="2210"/>
      <c r="G663" s="1891"/>
      <c r="H663" s="2210"/>
    </row>
    <row r="664" spans="1:8">
      <c r="A664" s="1891"/>
      <c r="B664" s="1891"/>
      <c r="C664" s="1891"/>
      <c r="D664" s="1891"/>
      <c r="E664" s="1891"/>
      <c r="F664" s="2210"/>
      <c r="G664" s="1891"/>
      <c r="H664" s="2210"/>
    </row>
    <row r="665" spans="1:8">
      <c r="A665" s="2099" t="s">
        <v>3527</v>
      </c>
      <c r="B665" s="1892">
        <f>'Part IV-A-Uses of Funds'!$G$41</f>
        <v>0</v>
      </c>
      <c r="C665" s="2099" t="s">
        <v>1746</v>
      </c>
      <c r="D665" s="1892">
        <f>'Part IV-A-Uses of Funds'!$J$41+'Part IV-A-Uses of Funds'!$M$41+'Part IV-A-Uses of Funds'!$P$41</f>
        <v>0</v>
      </c>
      <c r="E665" s="1891"/>
      <c r="F665" s="2210"/>
      <c r="G665" s="1891"/>
      <c r="H665" s="2210"/>
    </row>
    <row r="666" spans="1:8">
      <c r="A666" s="1891"/>
      <c r="B666" s="1893"/>
      <c r="C666" s="1891"/>
      <c r="D666" s="1891"/>
      <c r="E666" s="1891"/>
      <c r="F666" s="2210"/>
      <c r="G666" s="1894"/>
      <c r="H666" s="2210"/>
    </row>
    <row r="667" spans="1:8">
      <c r="A667" s="1890" t="s">
        <v>704</v>
      </c>
      <c r="B667" s="1891"/>
      <c r="C667" s="1891"/>
      <c r="D667" s="1891"/>
      <c r="E667" s="1891"/>
      <c r="F667" s="1891"/>
      <c r="G667" s="1891"/>
      <c r="H667" s="2209"/>
    </row>
    <row r="668" spans="1:8" ht="13.2" customHeight="1">
      <c r="A668" s="2098" t="str">
        <f>'Part IV-A-Uses of Funds'!$C$62</f>
        <v xml:space="preserve">Bank Miscellaneous Fees </v>
      </c>
      <c r="B668" s="2098"/>
      <c r="C668" s="2098"/>
      <c r="D668" s="2098"/>
      <c r="E668" s="1891"/>
      <c r="F668" s="2210" t="str">
        <f>'Part IV-B-Other Items'!F31</f>
        <v>When closing the construction loan, the construction lender charges for an up front plan and cost review fee, an appraisal fee, flood certificate, environmental review fee and an accounting forecast charge.</v>
      </c>
      <c r="G668" s="1891"/>
      <c r="H668" s="2210" t="str">
        <f>'Part IV-B-Other Items'!H31</f>
        <v>These costs are related to the construction of the building and are allowed in basis.</v>
      </c>
    </row>
    <row r="669" spans="1:8">
      <c r="A669" s="2098"/>
      <c r="B669" s="2098"/>
      <c r="C669" s="2098"/>
      <c r="D669" s="2098"/>
      <c r="E669" s="1891"/>
      <c r="F669" s="2210"/>
      <c r="G669" s="1891"/>
      <c r="H669" s="2210"/>
    </row>
    <row r="670" spans="1:8">
      <c r="A670" s="1891"/>
      <c r="B670" s="1891"/>
      <c r="C670" s="1891"/>
      <c r="D670" s="1891"/>
      <c r="E670" s="1891"/>
      <c r="F670" s="2210"/>
      <c r="G670" s="1891"/>
      <c r="H670" s="2210"/>
    </row>
    <row r="671" spans="1:8">
      <c r="A671" s="2099" t="s">
        <v>3527</v>
      </c>
      <c r="B671" s="1892">
        <f>'Part IV-A-Uses of Funds'!$G$62</f>
        <v>9000</v>
      </c>
      <c r="C671" s="2099" t="s">
        <v>1746</v>
      </c>
      <c r="D671" s="1892">
        <f>'Part IV-A-Uses of Funds'!$J$62+'Part IV-A-Uses of Funds'!$M$62+'Part IV-A-Uses of Funds'!$P$62</f>
        <v>9000</v>
      </c>
      <c r="E671" s="1891"/>
      <c r="F671" s="2210"/>
      <c r="G671" s="1891"/>
      <c r="H671" s="2210"/>
    </row>
    <row r="672" spans="1:8">
      <c r="A672" s="2209"/>
      <c r="B672" s="2209"/>
      <c r="C672" s="2209"/>
      <c r="D672" s="1891"/>
      <c r="E672" s="1891"/>
      <c r="F672" s="2210"/>
      <c r="G672" s="1894"/>
      <c r="H672" s="2210"/>
    </row>
    <row r="673" spans="1:8" ht="13.2" customHeight="1">
      <c r="A673" s="2098" t="str">
        <f>'Part IV-A-Uses of Funds'!$C$63</f>
        <v>City of Columbus Construction Period Interest</v>
      </c>
      <c r="B673" s="2098"/>
      <c r="C673" s="2098"/>
      <c r="D673" s="2098"/>
      <c r="E673" s="1891"/>
      <c r="F673" s="2210" t="str">
        <f>'Part IV-B-Other Items'!F36</f>
        <v>The Ctty of Columbus is providing an interest only loan at 1% for the construction Period.  See TAB 01 for the calculation of this amount.</v>
      </c>
      <c r="G673" s="1891"/>
      <c r="H673" s="2210" t="str">
        <f>'Part IV-B-Other Items'!H36</f>
        <v>Interest included here pertains to the construction portion of this loan and is eligible.</v>
      </c>
    </row>
    <row r="674" spans="1:8">
      <c r="A674" s="2098"/>
      <c r="B674" s="2098"/>
      <c r="C674" s="2098"/>
      <c r="D674" s="2098"/>
      <c r="E674" s="1891"/>
      <c r="F674" s="2210"/>
      <c r="G674" s="1891"/>
      <c r="H674" s="2210"/>
    </row>
    <row r="675" spans="1:8">
      <c r="A675" s="1891"/>
      <c r="B675" s="1891"/>
      <c r="C675" s="1891"/>
      <c r="D675" s="1891"/>
      <c r="E675" s="1891"/>
      <c r="F675" s="2210"/>
      <c r="G675" s="1891"/>
      <c r="H675" s="2210"/>
    </row>
    <row r="676" spans="1:8">
      <c r="A676" s="2099" t="s">
        <v>3527</v>
      </c>
      <c r="B676" s="1892">
        <f>'Part IV-A-Uses of Funds'!$G$63</f>
        <v>8855</v>
      </c>
      <c r="C676" s="2099" t="s">
        <v>1746</v>
      </c>
      <c r="D676" s="1892">
        <f>'Part IV-A-Uses of Funds'!$J$63+'Part IV-A-Uses of Funds'!$M$63+'Part IV-A-Uses of Funds'!$P$63</f>
        <v>8855</v>
      </c>
      <c r="E676" s="1891"/>
      <c r="F676" s="2210"/>
      <c r="G676" s="1891"/>
      <c r="H676" s="2210"/>
    </row>
    <row r="677" spans="1:8">
      <c r="A677" s="2209"/>
      <c r="B677" s="2209"/>
      <c r="C677" s="2209"/>
      <c r="D677" s="1891"/>
      <c r="E677" s="1891"/>
      <c r="F677" s="2210"/>
      <c r="G677" s="1894"/>
      <c r="H677" s="2210"/>
    </row>
    <row r="678" spans="1:8">
      <c r="A678" s="1890" t="s">
        <v>467</v>
      </c>
      <c r="B678" s="1891"/>
      <c r="C678" s="1891"/>
      <c r="D678" s="1891"/>
      <c r="E678" s="1895"/>
      <c r="F678" s="1895"/>
      <c r="G678" s="1891"/>
      <c r="H678" s="2209"/>
    </row>
    <row r="679" spans="1:8" ht="13.2" customHeight="1">
      <c r="A679" s="2098" t="str">
        <f>'Part IV-A-Uses of Funds'!$C$76</f>
        <v xml:space="preserve">Landscape </v>
      </c>
      <c r="B679" s="2098"/>
      <c r="C679" s="2098"/>
      <c r="D679" s="2098"/>
      <c r="E679" s="2209"/>
      <c r="F679" s="2210" t="str">
        <f>'Part IV-B-Other Items'!F42</f>
        <v>A landscaping plan will be required for permitting.</v>
      </c>
      <c r="G679" s="1891"/>
      <c r="H679" s="2210" t="str">
        <f>'Part IV-B-Other Items'!H42</f>
        <v>This cost is eligible just as are the architectural and civil plans.</v>
      </c>
    </row>
    <row r="680" spans="1:8">
      <c r="A680" s="2098"/>
      <c r="B680" s="2098"/>
      <c r="C680" s="2098"/>
      <c r="D680" s="2098"/>
      <c r="E680" s="1891"/>
      <c r="F680" s="2210"/>
      <c r="G680" s="1891"/>
      <c r="H680" s="2210"/>
    </row>
    <row r="681" spans="1:8">
      <c r="A681" s="1891"/>
      <c r="B681" s="1891"/>
      <c r="C681" s="1891"/>
      <c r="D681" s="1891"/>
      <c r="E681" s="1891"/>
      <c r="F681" s="2210"/>
      <c r="G681" s="1891"/>
      <c r="H681" s="2210"/>
    </row>
    <row r="682" spans="1:8">
      <c r="A682" s="2099" t="s">
        <v>3527</v>
      </c>
      <c r="B682" s="1892">
        <f>'Part IV-A-Uses of Funds'!$G$76</f>
        <v>6500</v>
      </c>
      <c r="C682" s="2099" t="s">
        <v>1746</v>
      </c>
      <c r="D682" s="1892">
        <f>'Part IV-A-Uses of Funds'!$J$76+'Part IV-A-Uses of Funds'!$M$76+'Part IV-A-Uses of Funds'!$P$76</f>
        <v>6500</v>
      </c>
      <c r="E682" s="1891"/>
      <c r="F682" s="2210"/>
      <c r="G682" s="1891"/>
      <c r="H682" s="2210"/>
    </row>
    <row r="683" spans="1:8">
      <c r="A683" s="1891"/>
      <c r="B683" s="1893"/>
      <c r="C683" s="1891"/>
      <c r="D683" s="1891"/>
      <c r="E683" s="1891"/>
      <c r="F683" s="2210"/>
      <c r="G683" s="1894"/>
      <c r="H683" s="2210"/>
    </row>
    <row r="684" spans="1:8">
      <c r="A684" s="1890" t="s">
        <v>706</v>
      </c>
      <c r="B684" s="1891"/>
      <c r="C684" s="1891"/>
      <c r="D684" s="1891"/>
      <c r="E684" s="1891"/>
      <c r="F684" s="1891"/>
      <c r="G684" s="1891"/>
      <c r="H684" s="2209"/>
    </row>
    <row r="685" spans="1:8" ht="13.2" customHeight="1">
      <c r="A685" s="2098" t="str">
        <f>'Part IV-A-Uses of Funds'!$C$90</f>
        <v>Intangible Taxes</v>
      </c>
      <c r="B685" s="2098"/>
      <c r="C685" s="2098"/>
      <c r="D685" s="2098"/>
      <c r="E685" s="2209"/>
      <c r="F685" s="2210" t="str">
        <f>'Part IV-B-Other Items'!F48</f>
        <v>Intangible taxes in Georgia are $1.50 per $500 of the long term debt, capped at $25,000. Our perm loan amount is $930,000.  The loan amount $902,000/ $500 = 2,000 x $1.50 =$2,790.</v>
      </c>
      <c r="G685" s="1891"/>
      <c r="H685" s="2209"/>
    </row>
    <row r="686" spans="1:8">
      <c r="A686" s="2098"/>
      <c r="B686" s="2098"/>
      <c r="C686" s="2098"/>
      <c r="D686" s="2098"/>
      <c r="E686" s="1891"/>
      <c r="F686" s="2210"/>
      <c r="G686" s="1891"/>
      <c r="H686" s="2209"/>
    </row>
    <row r="687" spans="1:8">
      <c r="A687" s="1891"/>
      <c r="B687" s="1891"/>
      <c r="C687" s="1891"/>
      <c r="D687" s="1891"/>
      <c r="E687" s="1891"/>
      <c r="F687" s="2210"/>
      <c r="G687" s="1891"/>
      <c r="H687" s="2209"/>
    </row>
    <row r="688" spans="1:8">
      <c r="A688" s="2099" t="s">
        <v>3527</v>
      </c>
      <c r="B688" s="1892">
        <f>'Part IV-A-Uses of Funds'!$G$90</f>
        <v>2790</v>
      </c>
      <c r="C688" s="2099"/>
      <c r="D688" s="2099"/>
      <c r="E688" s="1891"/>
      <c r="F688" s="2210"/>
      <c r="G688" s="1891"/>
      <c r="H688" s="2209"/>
    </row>
    <row r="689" spans="1:8">
      <c r="A689" s="1891"/>
      <c r="B689" s="1891"/>
      <c r="C689" s="1891"/>
      <c r="D689" s="1891"/>
      <c r="E689" s="1891"/>
      <c r="F689" s="2210"/>
      <c r="G689" s="1894"/>
      <c r="H689" s="2209"/>
    </row>
    <row r="690" spans="1:8">
      <c r="A690" s="1890" t="s">
        <v>6863</v>
      </c>
      <c r="B690" s="1891"/>
      <c r="C690" s="1891"/>
      <c r="D690" s="1891"/>
      <c r="E690" s="1891"/>
      <c r="F690" s="1891"/>
      <c r="G690" s="1891"/>
      <c r="H690" s="2209"/>
    </row>
    <row r="691" spans="1:8" ht="13.2" customHeight="1">
      <c r="A691" s="2098" t="str">
        <f>'Part IV-A-Uses of Funds'!$C$103</f>
        <v>&lt;&lt; Enter description here; provide detail &amp; justification in tab Part IV-b &gt;&gt;</v>
      </c>
      <c r="B691" s="2098"/>
      <c r="C691" s="2098"/>
      <c r="D691" s="2098"/>
      <c r="E691" s="2209"/>
      <c r="F691" s="2210">
        <f>'Part IV-B-Other Items'!F54</f>
        <v>0</v>
      </c>
      <c r="G691" s="1891"/>
      <c r="H691" s="2209"/>
    </row>
    <row r="692" spans="1:8">
      <c r="A692" s="2098"/>
      <c r="B692" s="2098"/>
      <c r="C692" s="2098"/>
      <c r="D692" s="2098"/>
      <c r="E692" s="1891"/>
      <c r="F692" s="2210"/>
      <c r="G692" s="1891"/>
      <c r="H692" s="2209"/>
    </row>
    <row r="693" spans="1:8">
      <c r="A693" s="1891"/>
      <c r="B693" s="1891"/>
      <c r="C693" s="1891"/>
      <c r="D693" s="1891"/>
      <c r="E693" s="1891"/>
      <c r="F693" s="2210"/>
      <c r="G693" s="1891"/>
      <c r="H693" s="2209"/>
    </row>
    <row r="694" spans="1:8">
      <c r="A694" s="2099" t="s">
        <v>3527</v>
      </c>
      <c r="B694" s="1892">
        <f>'Part IV-A-Uses of Funds'!$G$103</f>
        <v>0</v>
      </c>
      <c r="C694" s="2099"/>
      <c r="D694" s="2099"/>
      <c r="E694" s="1891"/>
      <c r="F694" s="2210"/>
      <c r="G694" s="1891"/>
      <c r="H694" s="2209"/>
    </row>
    <row r="695" spans="1:8">
      <c r="A695" s="2097"/>
      <c r="B695" s="2097"/>
      <c r="C695" s="2097"/>
      <c r="D695" s="2097"/>
      <c r="E695" s="2097"/>
      <c r="F695" s="2210"/>
      <c r="G695" s="1894"/>
      <c r="H695" s="2209"/>
    </row>
    <row r="696" spans="1:8" ht="13.2" customHeight="1">
      <c r="A696" s="2098" t="str">
        <f>'Part IV-A-Uses of Funds'!$C$104</f>
        <v>&lt;&lt; Enter description here; provide detail &amp; justification in tab Part IV-b &gt;&gt;</v>
      </c>
      <c r="B696" s="2098"/>
      <c r="C696" s="2098"/>
      <c r="D696" s="2098"/>
      <c r="E696" s="2209"/>
      <c r="F696" s="2210">
        <f>'Part IV-B-Other Items'!F59</f>
        <v>0</v>
      </c>
      <c r="G696" s="1891"/>
      <c r="H696" s="2209"/>
    </row>
    <row r="697" spans="1:8">
      <c r="A697" s="2098"/>
      <c r="B697" s="2098"/>
      <c r="C697" s="2098"/>
      <c r="D697" s="2098"/>
      <c r="E697" s="1891"/>
      <c r="F697" s="2210"/>
      <c r="G697" s="1891"/>
      <c r="H697" s="2209"/>
    </row>
    <row r="698" spans="1:8">
      <c r="A698" s="1891"/>
      <c r="B698" s="1891"/>
      <c r="C698" s="1891"/>
      <c r="D698" s="1891"/>
      <c r="E698" s="1891"/>
      <c r="F698" s="2210"/>
      <c r="G698" s="1891"/>
      <c r="H698" s="2209"/>
    </row>
    <row r="699" spans="1:8">
      <c r="A699" s="2099" t="s">
        <v>3527</v>
      </c>
      <c r="B699" s="1892">
        <f>'Part IV-A-Uses of Funds'!$G$104</f>
        <v>0</v>
      </c>
      <c r="C699" s="2099"/>
      <c r="D699" s="2099"/>
      <c r="E699" s="1891"/>
      <c r="F699" s="2210"/>
      <c r="G699" s="1891"/>
      <c r="H699" s="2209"/>
    </row>
    <row r="700" spans="1:8">
      <c r="A700" s="2097"/>
      <c r="B700" s="2097"/>
      <c r="C700" s="2097"/>
      <c r="D700" s="2097"/>
      <c r="E700" s="2097"/>
      <c r="F700" s="2210"/>
      <c r="G700" s="1894"/>
      <c r="H700" s="2209"/>
    </row>
    <row r="701" spans="1:8">
      <c r="A701" s="1890" t="s">
        <v>6864</v>
      </c>
      <c r="B701" s="1891"/>
      <c r="C701" s="1891"/>
      <c r="D701" s="1891"/>
      <c r="E701" s="1891"/>
      <c r="F701" s="1891"/>
      <c r="G701" s="1891"/>
      <c r="H701" s="2209"/>
    </row>
    <row r="702" spans="1:8" ht="13.2" customHeight="1">
      <c r="A702" s="2098" t="str">
        <f>'Part IV-A-Uses of Funds'!$C$110</f>
        <v>&lt;&lt; Enter description here; provide detail &amp; justification in tab Part IV-b &gt;&gt;</v>
      </c>
      <c r="B702" s="2098"/>
      <c r="C702" s="2098"/>
      <c r="D702" s="2098"/>
      <c r="E702" s="2209"/>
      <c r="F702" s="2210">
        <f>'Part IV-B-Other Items'!F65</f>
        <v>0</v>
      </c>
      <c r="G702" s="1891"/>
      <c r="H702" s="2209"/>
    </row>
    <row r="703" spans="1:8">
      <c r="A703" s="2098"/>
      <c r="B703" s="2098"/>
      <c r="C703" s="2098"/>
      <c r="D703" s="2098"/>
      <c r="E703" s="1891"/>
      <c r="F703" s="2210"/>
      <c r="G703" s="1891"/>
      <c r="H703" s="2209"/>
    </row>
    <row r="704" spans="1:8">
      <c r="A704" s="1891"/>
      <c r="B704" s="1891"/>
      <c r="C704" s="1891"/>
      <c r="D704" s="1891"/>
      <c r="E704" s="1891"/>
      <c r="F704" s="2210"/>
      <c r="G704" s="1891"/>
      <c r="H704" s="2209"/>
    </row>
    <row r="705" spans="1:8">
      <c r="A705" s="2099" t="s">
        <v>3527</v>
      </c>
      <c r="B705" s="1892">
        <f>'Part IV-A-Uses of Funds'!$G$110</f>
        <v>0</v>
      </c>
      <c r="C705" s="2099"/>
      <c r="D705" s="2099"/>
      <c r="E705" s="1891"/>
      <c r="F705" s="2210"/>
      <c r="G705" s="1891"/>
      <c r="H705" s="2209"/>
    </row>
    <row r="706" spans="1:8">
      <c r="A706" s="1891"/>
      <c r="B706" s="1893"/>
      <c r="C706" s="1891"/>
      <c r="D706" s="1891"/>
      <c r="E706" s="1891"/>
      <c r="F706" s="2210"/>
      <c r="G706" s="1894"/>
      <c r="H706" s="2209"/>
    </row>
    <row r="707" spans="1:8">
      <c r="A707" s="1890" t="s">
        <v>1282</v>
      </c>
      <c r="B707" s="1891"/>
      <c r="C707" s="1891"/>
      <c r="D707" s="1891"/>
      <c r="E707" s="1891"/>
      <c r="F707" s="1891"/>
      <c r="G707" s="1891"/>
      <c r="H707" s="2209"/>
    </row>
    <row r="708" spans="1:8" ht="13.2" customHeight="1">
      <c r="A708" s="2098" t="str">
        <f>'Part IV-A-Uses of Funds'!$C$125</f>
        <v>&lt;&lt; Enter description here; provide detail &amp; justification in tab Part IV-b &gt;&gt;</v>
      </c>
      <c r="B708" s="2098"/>
      <c r="C708" s="2098"/>
      <c r="D708" s="2098"/>
      <c r="E708" s="2209"/>
      <c r="F708" s="2210">
        <f>'Part IV-B-Other Items'!F71</f>
        <v>0</v>
      </c>
      <c r="G708" s="1891"/>
      <c r="H708" s="2210">
        <f>'Part IV-B-Other Items'!H71</f>
        <v>0</v>
      </c>
    </row>
    <row r="709" spans="1:8">
      <c r="A709" s="2098"/>
      <c r="B709" s="2098"/>
      <c r="C709" s="2098"/>
      <c r="D709" s="2098"/>
      <c r="E709" s="1891"/>
      <c r="F709" s="2210"/>
      <c r="G709" s="1891"/>
      <c r="H709" s="2210"/>
    </row>
    <row r="710" spans="1:8">
      <c r="A710" s="1891"/>
      <c r="B710" s="1891"/>
      <c r="C710" s="1891"/>
      <c r="D710" s="1891"/>
      <c r="E710" s="1891"/>
      <c r="F710" s="2210"/>
      <c r="G710" s="1891"/>
      <c r="H710" s="2210"/>
    </row>
    <row r="711" spans="1:8">
      <c r="A711" s="2099" t="s">
        <v>3527</v>
      </c>
      <c r="B711" s="1892">
        <f>'Part IV-A-Uses of Funds'!$G$125</f>
        <v>0</v>
      </c>
      <c r="C711" s="2099" t="s">
        <v>1746</v>
      </c>
      <c r="D711" s="1892">
        <f>'Part IV-A-Uses of Funds'!$J$125+'Part IV-A-Uses of Funds'!$M$125+'Part IV-A-Uses of Funds'!$P$125</f>
        <v>0</v>
      </c>
      <c r="E711" s="1891"/>
      <c r="F711" s="2210"/>
      <c r="G711" s="1891"/>
      <c r="H711" s="2210"/>
    </row>
    <row r="712" spans="1:8">
      <c r="A712" s="1891"/>
      <c r="B712" s="1893"/>
      <c r="C712" s="1891"/>
      <c r="D712" s="1891"/>
      <c r="E712" s="1891"/>
      <c r="F712" s="2210"/>
      <c r="G712" s="1894"/>
      <c r="H712" s="2210"/>
    </row>
    <row r="713" spans="1:8">
      <c r="A713" s="1890" t="s">
        <v>6865</v>
      </c>
      <c r="B713" s="1893"/>
      <c r="C713" s="1891"/>
      <c r="D713" s="1891"/>
      <c r="E713" s="1891"/>
      <c r="F713" s="1891"/>
      <c r="G713" s="1894"/>
      <c r="H713" s="2209"/>
    </row>
    <row r="714" spans="1:8" ht="13.2" customHeight="1">
      <c r="A714" s="2098">
        <f>'Part IV-A-Uses of Funds'!$C$129</f>
        <v>0</v>
      </c>
      <c r="B714" s="2098"/>
      <c r="C714" s="2098"/>
      <c r="D714" s="2098"/>
      <c r="E714" s="2209"/>
      <c r="F714" s="2210">
        <f>'Part IV-B-Other Items'!F77</f>
        <v>0</v>
      </c>
      <c r="G714" s="1891"/>
      <c r="H714" s="2210">
        <f>'Part IV-B-Other Items'!H77</f>
        <v>0</v>
      </c>
    </row>
    <row r="715" spans="1:8">
      <c r="A715" s="2098"/>
      <c r="B715" s="2098"/>
      <c r="C715" s="2098"/>
      <c r="D715" s="2098"/>
      <c r="E715" s="1891"/>
      <c r="F715" s="2210"/>
      <c r="G715" s="1891"/>
      <c r="H715" s="2210"/>
    </row>
    <row r="716" spans="1:8">
      <c r="A716" s="1891"/>
      <c r="B716" s="1891"/>
      <c r="C716" s="1891"/>
      <c r="D716" s="1891"/>
      <c r="E716" s="1891"/>
      <c r="F716" s="2210"/>
      <c r="G716" s="1891"/>
      <c r="H716" s="2210"/>
    </row>
    <row r="717" spans="1:8">
      <c r="A717" s="2099" t="s">
        <v>3527</v>
      </c>
      <c r="B717" s="1892">
        <f>'Part IV-A-Uses of Funds'!$G$129</f>
        <v>0</v>
      </c>
      <c r="C717" s="2099" t="s">
        <v>1746</v>
      </c>
      <c r="D717" s="1892">
        <f>'Part IV-A-Uses of Funds'!$J$129+'Part IV-A-Uses of Funds'!$M$129+'Part IV-A-Uses of Funds'!$P$129</f>
        <v>0</v>
      </c>
      <c r="E717" s="1891"/>
      <c r="F717" s="2210"/>
      <c r="G717" s="1891"/>
      <c r="H717" s="2210"/>
    </row>
    <row r="718" spans="1:8">
      <c r="A718" s="2209"/>
      <c r="B718" s="2209"/>
      <c r="C718" s="2209"/>
      <c r="D718" s="1891"/>
      <c r="E718" s="1892"/>
      <c r="F718" s="2210"/>
      <c r="G718" s="1894"/>
      <c r="H718" s="2210"/>
    </row>
    <row r="721" spans="1:13">
      <c r="A721" s="1815" t="str">
        <f>CONCATENATE("PART FIVE - UTILITY ALLOWANCES","  -  ",'Part I-Project Information'!$O$6," ",'Part I-Project Information'!$F$34,", ",'Part I-Project Information'!F758,", ",'Part I-Project Information'!J759," County")</f>
        <v>PART FIVE - UTILITY ALLOWANCES  -  2020-074 Harper Woods II, ,  County</v>
      </c>
      <c r="B721" s="1815"/>
      <c r="C721" s="1815"/>
      <c r="D721" s="1815"/>
      <c r="E721" s="1815"/>
      <c r="F721" s="1815"/>
      <c r="G721" s="1815"/>
      <c r="H721" s="1815"/>
      <c r="I721" s="1815"/>
      <c r="J721" s="1815"/>
      <c r="K721" s="1815"/>
      <c r="L721" s="1815"/>
      <c r="M721" s="1815"/>
    </row>
    <row r="723" spans="1:13">
      <c r="B723" s="2100" t="str">
        <f>'Part I-Project Information'!$B$6</f>
        <v>May 26, 2020 Version</v>
      </c>
      <c r="C723" s="2100"/>
      <c r="D723" s="2100"/>
      <c r="E723" s="2100"/>
      <c r="F723" s="1815" t="s">
        <v>4116</v>
      </c>
      <c r="I723" s="1922" t="str">
        <f>VLOOKUP('Part I-Project Information'!$J$39,'DCA Underwriting Assumptions'!$G$173:$H$332,2)</f>
        <v>Local PHA</v>
      </c>
    </row>
    <row r="725" spans="1:13">
      <c r="A725" s="1918" t="s">
        <v>3610</v>
      </c>
    </row>
    <row r="727" spans="1:13">
      <c r="A727" s="1995" t="s">
        <v>598</v>
      </c>
      <c r="B727" s="1995" t="s">
        <v>2171</v>
      </c>
      <c r="F727" s="1815" t="s">
        <v>2453</v>
      </c>
      <c r="G727" s="1815"/>
      <c r="H727" s="1815"/>
      <c r="I727" s="1815" t="str">
        <f>'Part V-Utility Allowances'!I7</f>
        <v xml:space="preserve">The Housing Authority of Columbus </v>
      </c>
      <c r="J727" s="1815"/>
      <c r="K727" s="1815"/>
      <c r="L727" s="1815"/>
      <c r="M727" s="1815"/>
    </row>
    <row r="728" spans="1:13">
      <c r="F728" s="1815" t="s">
        <v>618</v>
      </c>
      <c r="G728" s="1815"/>
      <c r="H728" s="1815"/>
      <c r="I728" s="2211">
        <f>'Part V-Utility Allowances'!I8</f>
        <v>43658</v>
      </c>
      <c r="J728" s="2211"/>
      <c r="K728" s="1896" t="s">
        <v>525</v>
      </c>
      <c r="L728" s="1815" t="str">
        <f>'Part V-Utility Allowances'!L8</f>
        <v>3+ Story Elevator</v>
      </c>
      <c r="M728" s="1815"/>
    </row>
    <row r="730" spans="1:13">
      <c r="F730" s="1995" t="s">
        <v>592</v>
      </c>
      <c r="I730" s="1995" t="s">
        <v>196</v>
      </c>
    </row>
    <row r="731" spans="1:13">
      <c r="B731" s="1995" t="s">
        <v>778</v>
      </c>
      <c r="D731" s="1995" t="s">
        <v>1566</v>
      </c>
      <c r="F731" s="1874" t="s">
        <v>624</v>
      </c>
      <c r="G731" s="1874" t="s">
        <v>1804</v>
      </c>
      <c r="I731" s="1874" t="s">
        <v>551</v>
      </c>
      <c r="J731" s="1874">
        <v>1</v>
      </c>
      <c r="K731" s="1874">
        <v>2</v>
      </c>
      <c r="L731" s="1874">
        <v>3</v>
      </c>
      <c r="M731" s="1874">
        <v>4</v>
      </c>
    </row>
    <row r="732" spans="1:13">
      <c r="B732" s="1815" t="s">
        <v>1806</v>
      </c>
      <c r="C732" s="1815"/>
      <c r="D732" s="1815" t="str">
        <f>'Part V-Utility Allowances'!D12</f>
        <v>Electric Heat Pump</v>
      </c>
      <c r="E732" s="1815"/>
      <c r="F732" s="2109" t="str">
        <f>'Part V-Utility Allowances'!F12</f>
        <v>X</v>
      </c>
      <c r="G732" s="2109">
        <f>'Part V-Utility Allowances'!G12</f>
        <v>0</v>
      </c>
      <c r="I732" s="1896">
        <f>'Part V-Utility Allowances'!I12</f>
        <v>0</v>
      </c>
      <c r="J732" s="1896">
        <f>'Part V-Utility Allowances'!J12</f>
        <v>12</v>
      </c>
      <c r="K732" s="1896">
        <f>'Part V-Utility Allowances'!K12</f>
        <v>15</v>
      </c>
      <c r="L732" s="1896">
        <f>'Part V-Utility Allowances'!L12</f>
        <v>0</v>
      </c>
      <c r="M732" s="1896">
        <f>'Part V-Utility Allowances'!M12</f>
        <v>0</v>
      </c>
    </row>
    <row r="733" spans="1:13">
      <c r="B733" s="1815" t="s">
        <v>1564</v>
      </c>
      <c r="C733" s="1815"/>
      <c r="D733" s="1815" t="str">
        <f>'Part V-Utility Allowances'!D13</f>
        <v>Electric</v>
      </c>
      <c r="E733" s="1815"/>
      <c r="F733" s="2109" t="str">
        <f>'Part V-Utility Allowances'!F13</f>
        <v>X</v>
      </c>
      <c r="G733" s="2109">
        <f>'Part V-Utility Allowances'!G13</f>
        <v>0</v>
      </c>
      <c r="I733" s="1896">
        <f>'Part V-Utility Allowances'!I13</f>
        <v>0</v>
      </c>
      <c r="J733" s="1896">
        <f>'Part V-Utility Allowances'!J13</f>
        <v>10</v>
      </c>
      <c r="K733" s="1896">
        <f>'Part V-Utility Allowances'!K13</f>
        <v>12</v>
      </c>
      <c r="L733" s="1896">
        <f>'Part V-Utility Allowances'!L13</f>
        <v>0</v>
      </c>
      <c r="M733" s="1896">
        <f>'Part V-Utility Allowances'!M13</f>
        <v>0</v>
      </c>
    </row>
    <row r="734" spans="1:13">
      <c r="B734" s="1815" t="s">
        <v>1565</v>
      </c>
      <c r="C734" s="1815"/>
      <c r="D734" s="1815" t="str">
        <f>'Part V-Utility Allowances'!D14</f>
        <v>Electric</v>
      </c>
      <c r="E734" s="1815"/>
      <c r="F734" s="2109">
        <f>'Part V-Utility Allowances'!F14</f>
        <v>0</v>
      </c>
      <c r="G734" s="2109">
        <f>'Part V-Utility Allowances'!G14</f>
        <v>0</v>
      </c>
      <c r="I734" s="1896">
        <f>'Part V-Utility Allowances'!I14</f>
        <v>0</v>
      </c>
      <c r="J734" s="1896">
        <f>'Part V-Utility Allowances'!J14</f>
        <v>17</v>
      </c>
      <c r="K734" s="1896">
        <f>'Part V-Utility Allowances'!K14</f>
        <v>24</v>
      </c>
      <c r="L734" s="1896">
        <f>'Part V-Utility Allowances'!L14</f>
        <v>0</v>
      </c>
      <c r="M734" s="1896">
        <f>'Part V-Utility Allowances'!M14</f>
        <v>0</v>
      </c>
    </row>
    <row r="735" spans="1:13">
      <c r="B735" s="1815" t="s">
        <v>458</v>
      </c>
      <c r="C735" s="1815"/>
      <c r="D735" s="1815" t="s">
        <v>1563</v>
      </c>
      <c r="F735" s="2109" t="str">
        <f>'Part V-Utility Allowances'!F15</f>
        <v>X</v>
      </c>
      <c r="G735" s="2109">
        <f>'Part V-Utility Allowances'!G15</f>
        <v>0</v>
      </c>
      <c r="I735" s="1896">
        <f>'Part V-Utility Allowances'!I15</f>
        <v>0</v>
      </c>
      <c r="J735" s="1896">
        <f>'Part V-Utility Allowances'!J15</f>
        <v>19</v>
      </c>
      <c r="K735" s="1896">
        <f>'Part V-Utility Allowances'!K15</f>
        <v>24</v>
      </c>
      <c r="L735" s="1896">
        <f>'Part V-Utility Allowances'!L15</f>
        <v>0</v>
      </c>
      <c r="M735" s="1896">
        <f>'Part V-Utility Allowances'!M15</f>
        <v>0</v>
      </c>
    </row>
    <row r="736" spans="1:13">
      <c r="B736" s="1815" t="s">
        <v>3607</v>
      </c>
      <c r="C736" s="1815"/>
      <c r="D736" s="1815" t="s">
        <v>1563</v>
      </c>
      <c r="F736" s="2109">
        <f>'Part V-Utility Allowances'!F16</f>
        <v>0</v>
      </c>
      <c r="G736" s="2109">
        <f>'Part V-Utility Allowances'!G16</f>
        <v>0</v>
      </c>
      <c r="I736" s="1896">
        <f>'Part V-Utility Allowances'!I16</f>
        <v>0</v>
      </c>
      <c r="J736" s="1896">
        <f>'Part V-Utility Allowances'!J16</f>
        <v>0</v>
      </c>
      <c r="K736" s="1896">
        <f>'Part V-Utility Allowances'!K16</f>
        <v>0</v>
      </c>
      <c r="L736" s="1896">
        <f>'Part V-Utility Allowances'!L16</f>
        <v>0</v>
      </c>
      <c r="M736" s="1896">
        <f>'Part V-Utility Allowances'!M16</f>
        <v>0</v>
      </c>
    </row>
    <row r="737" spans="1:13">
      <c r="B737" s="1815" t="s">
        <v>3608</v>
      </c>
      <c r="C737" s="1815"/>
      <c r="D737" s="1815" t="s">
        <v>1563</v>
      </c>
      <c r="F737" s="2109">
        <f>'Part V-Utility Allowances'!F17</f>
        <v>0</v>
      </c>
      <c r="G737" s="2109">
        <f>'Part V-Utility Allowances'!G17</f>
        <v>0</v>
      </c>
      <c r="I737" s="1896">
        <f>'Part V-Utility Allowances'!I17</f>
        <v>0</v>
      </c>
      <c r="J737" s="1896">
        <f>'Part V-Utility Allowances'!J17</f>
        <v>0</v>
      </c>
      <c r="K737" s="1896">
        <f>'Part V-Utility Allowances'!K17</f>
        <v>0</v>
      </c>
      <c r="L737" s="1896">
        <f>'Part V-Utility Allowances'!L17</f>
        <v>0</v>
      </c>
      <c r="M737" s="1896">
        <f>'Part V-Utility Allowances'!M17</f>
        <v>0</v>
      </c>
    </row>
    <row r="738" spans="1:13">
      <c r="B738" s="1815" t="s">
        <v>3609</v>
      </c>
      <c r="C738" s="1815"/>
      <c r="D738" s="1815" t="s">
        <v>1563</v>
      </c>
      <c r="F738" s="2109" t="str">
        <f>'Part V-Utility Allowances'!F18</f>
        <v>X</v>
      </c>
      <c r="G738" s="2109">
        <f>'Part V-Utility Allowances'!G18</f>
        <v>0</v>
      </c>
      <c r="I738" s="1896">
        <f>'Part V-Utility Allowances'!I18</f>
        <v>0</v>
      </c>
      <c r="J738" s="1896">
        <f>'Part V-Utility Allowances'!J18</f>
        <v>32</v>
      </c>
      <c r="K738" s="1896">
        <f>'Part V-Utility Allowances'!K18</f>
        <v>36</v>
      </c>
      <c r="L738" s="1896">
        <f>'Part V-Utility Allowances'!L18</f>
        <v>0</v>
      </c>
      <c r="M738" s="1896">
        <f>'Part V-Utility Allowances'!M18</f>
        <v>0</v>
      </c>
    </row>
    <row r="739" spans="1:13">
      <c r="B739" s="1815" t="s">
        <v>1343</v>
      </c>
      <c r="C739" s="1815"/>
      <c r="D739" s="1815" t="s">
        <v>6809</v>
      </c>
      <c r="E739" s="1896" t="str">
        <f>'Part V-Utility Allowances'!E19</f>
        <v>Yes</v>
      </c>
      <c r="F739" s="2109" t="str">
        <f>'Part V-Utility Allowances'!F19</f>
        <v>X</v>
      </c>
      <c r="G739" s="2109">
        <f>'Part V-Utility Allowances'!G19</f>
        <v>0</v>
      </c>
      <c r="I739" s="1896">
        <f>'Part V-Utility Allowances'!I19</f>
        <v>0</v>
      </c>
      <c r="J739" s="1896">
        <f>'Part V-Utility Allowances'!J19</f>
        <v>31</v>
      </c>
      <c r="K739" s="1896">
        <f>'Part V-Utility Allowances'!K19</f>
        <v>40</v>
      </c>
      <c r="L739" s="1896">
        <f>'Part V-Utility Allowances'!L19</f>
        <v>0</v>
      </c>
      <c r="M739" s="1896">
        <f>'Part V-Utility Allowances'!M19</f>
        <v>0</v>
      </c>
    </row>
    <row r="740" spans="1:13">
      <c r="B740" s="1815" t="s">
        <v>1805</v>
      </c>
      <c r="C740" s="1815"/>
      <c r="F740" s="2109">
        <f>'Part V-Utility Allowances'!F20</f>
        <v>0</v>
      </c>
      <c r="G740" s="2109" t="str">
        <f>'Part V-Utility Allowances'!G20</f>
        <v>X</v>
      </c>
      <c r="I740" s="1896">
        <f>'Part V-Utility Allowances'!I20</f>
        <v>0</v>
      </c>
      <c r="J740" s="1896">
        <f>'Part V-Utility Allowances'!J20</f>
        <v>0</v>
      </c>
      <c r="K740" s="1896">
        <f>'Part V-Utility Allowances'!K20</f>
        <v>0</v>
      </c>
      <c r="L740" s="1896">
        <f>'Part V-Utility Allowances'!L20</f>
        <v>0</v>
      </c>
      <c r="M740" s="1896">
        <f>'Part V-Utility Allowances'!M20</f>
        <v>0</v>
      </c>
    </row>
    <row r="741" spans="1:13">
      <c r="B741" s="1815" t="s">
        <v>723</v>
      </c>
      <c r="C741" s="449">
        <f>'Part V-Utility Allowances'!C21</f>
        <v>0</v>
      </c>
      <c r="D741" s="449"/>
      <c r="E741" s="449"/>
      <c r="F741" s="2109">
        <f>'Part V-Utility Allowances'!F21</f>
        <v>0</v>
      </c>
      <c r="G741" s="2109">
        <f>'Part V-Utility Allowances'!G21</f>
        <v>0</v>
      </c>
      <c r="I741" s="1896">
        <f>'Part V-Utility Allowances'!I21</f>
        <v>0</v>
      </c>
      <c r="J741" s="1896">
        <f>'Part V-Utility Allowances'!J21</f>
        <v>0</v>
      </c>
      <c r="K741" s="1896">
        <f>'Part V-Utility Allowances'!K21</f>
        <v>0</v>
      </c>
      <c r="L741" s="1896">
        <f>'Part V-Utility Allowances'!L21</f>
        <v>0</v>
      </c>
      <c r="M741" s="1896">
        <f>'Part V-Utility Allowances'!M21</f>
        <v>0</v>
      </c>
    </row>
    <row r="742" spans="1:13">
      <c r="B742" s="1995" t="s">
        <v>998</v>
      </c>
      <c r="F742" s="1874"/>
      <c r="G742" s="1874"/>
      <c r="I742" s="1896">
        <f>IF(SUM(I732:I741)=0,0,IF(OR($D732="&lt;&lt;Select Fuel &gt;&gt;",$D733="&lt;&lt;Select Fuel &gt;&gt;",$D734="&lt;&lt;Select Fuel &gt;&gt;"),"Select Fuel",IF($E739="&lt;Select&gt;","Submeter?",SUM(I732:I741))))</f>
        <v>0</v>
      </c>
      <c r="J742" s="1896">
        <f>IF(SUM(J732:J741)=0,0,IF(OR($D732="&lt;&lt;Select Fuel &gt;&gt;",$D733="&lt;&lt;Select Fuel &gt;&gt;",$D734="&lt;&lt;Select Fuel &gt;&gt;"),"Select Fuel",IF($E739="&lt;Select&gt;","Submeter?",SUM(J732:J741))))</f>
        <v>121</v>
      </c>
      <c r="K742" s="1896">
        <f>IF(SUM(K732:K741)=0,0,IF(OR($D732="&lt;&lt;Select Fuel &gt;&gt;",$D733="&lt;&lt;Select Fuel &gt;&gt;",$D734="&lt;&lt;Select Fuel &gt;&gt;"),"Select Fuel",IF($E739="&lt;Select&gt;","Submeter?",SUM(K732:K741))))</f>
        <v>151</v>
      </c>
      <c r="L742" s="1896">
        <f>IF(SUM(L732:L741)=0,0,IF(OR($D732="&lt;&lt;Select Fuel &gt;&gt;",$D733="&lt;&lt;Select Fuel &gt;&gt;",$D734="&lt;&lt;Select Fuel &gt;&gt;"),"Select Fuel",IF($E739="&lt;Select&gt;","Submeter?",SUM(L732:L741))))</f>
        <v>0</v>
      </c>
      <c r="M742" s="1896">
        <f>IF(SUM(M732:M741)=0,0,IF(OR($D732="&lt;&lt;Select Fuel &gt;&gt;",$D733="&lt;&lt;Select Fuel &gt;&gt;",$D734="&lt;&lt;Select Fuel &gt;&gt;"),"Select Fuel",IF($E739="&lt;Select&gt;","Submeter?",SUM(M732:M741))))</f>
        <v>0</v>
      </c>
    </row>
    <row r="744" spans="1:13">
      <c r="A744" s="1995" t="s">
        <v>722</v>
      </c>
      <c r="B744" s="1995" t="s">
        <v>2172</v>
      </c>
      <c r="F744" s="1815" t="s">
        <v>2453</v>
      </c>
      <c r="G744" s="1815"/>
      <c r="H744" s="1815"/>
      <c r="I744" s="1815">
        <f>'Part V-Utility Allowances'!I24</f>
        <v>0</v>
      </c>
      <c r="J744" s="1815"/>
      <c r="K744" s="1815"/>
      <c r="L744" s="1815"/>
      <c r="M744" s="1815"/>
    </row>
    <row r="745" spans="1:13">
      <c r="F745" s="1815" t="s">
        <v>618</v>
      </c>
      <c r="G745" s="1815"/>
      <c r="H745" s="1815"/>
      <c r="I745" s="2211">
        <f>'Part V-Utility Allowances'!I25</f>
        <v>0</v>
      </c>
      <c r="J745" s="2211"/>
      <c r="K745" s="1896" t="s">
        <v>525</v>
      </c>
      <c r="L745" s="1815">
        <f>'Part V-Utility Allowances'!L25</f>
        <v>0</v>
      </c>
      <c r="M745" s="1815"/>
    </row>
    <row r="747" spans="1:13">
      <c r="F747" s="1995" t="s">
        <v>592</v>
      </c>
      <c r="I747" s="1995" t="s">
        <v>196</v>
      </c>
    </row>
    <row r="748" spans="1:13">
      <c r="B748" s="1995" t="s">
        <v>778</v>
      </c>
      <c r="D748" s="1995" t="s">
        <v>1566</v>
      </c>
      <c r="F748" s="1874" t="s">
        <v>624</v>
      </c>
      <c r="G748" s="1874" t="s">
        <v>1804</v>
      </c>
      <c r="I748" s="1874" t="s">
        <v>551</v>
      </c>
      <c r="J748" s="1874">
        <v>1</v>
      </c>
      <c r="K748" s="1874">
        <v>2</v>
      </c>
      <c r="L748" s="1874">
        <v>3</v>
      </c>
      <c r="M748" s="1874">
        <v>4</v>
      </c>
    </row>
    <row r="749" spans="1:13">
      <c r="B749" s="1815" t="s">
        <v>1806</v>
      </c>
      <c r="C749" s="1815"/>
      <c r="D749" s="1815" t="str">
        <f>'Part V-Utility Allowances'!D29</f>
        <v>&lt;&lt;Select Fuel &gt;&gt;</v>
      </c>
      <c r="E749" s="1815"/>
      <c r="F749" s="2109">
        <f>'Part V-Utility Allowances'!F29</f>
        <v>0</v>
      </c>
      <c r="G749" s="2109">
        <f>'Part V-Utility Allowances'!G29</f>
        <v>0</v>
      </c>
      <c r="I749" s="1896">
        <f>'Part V-Utility Allowances'!I29</f>
        <v>0</v>
      </c>
      <c r="J749" s="1896">
        <f>'Part V-Utility Allowances'!J29</f>
        <v>0</v>
      </c>
      <c r="K749" s="1896">
        <f>'Part V-Utility Allowances'!K29</f>
        <v>0</v>
      </c>
      <c r="L749" s="1896">
        <f>'Part V-Utility Allowances'!L29</f>
        <v>0</v>
      </c>
      <c r="M749" s="1896">
        <f>'Part V-Utility Allowances'!M29</f>
        <v>0</v>
      </c>
    </row>
    <row r="750" spans="1:13">
      <c r="B750" s="1815" t="s">
        <v>1564</v>
      </c>
      <c r="C750" s="1815"/>
      <c r="D750" s="1815" t="str">
        <f>'Part V-Utility Allowances'!D30</f>
        <v>&lt;&lt;Select Fuel &gt;&gt;</v>
      </c>
      <c r="E750" s="1815"/>
      <c r="F750" s="2109">
        <f>'Part V-Utility Allowances'!F30</f>
        <v>0</v>
      </c>
      <c r="G750" s="2109">
        <f>'Part V-Utility Allowances'!G30</f>
        <v>0</v>
      </c>
      <c r="I750" s="1896">
        <f>'Part V-Utility Allowances'!I30</f>
        <v>0</v>
      </c>
      <c r="J750" s="1896">
        <f>'Part V-Utility Allowances'!J30</f>
        <v>0</v>
      </c>
      <c r="K750" s="1896">
        <f>'Part V-Utility Allowances'!K30</f>
        <v>0</v>
      </c>
      <c r="L750" s="1896">
        <f>'Part V-Utility Allowances'!L30</f>
        <v>0</v>
      </c>
      <c r="M750" s="1896">
        <f>'Part V-Utility Allowances'!M30</f>
        <v>0</v>
      </c>
    </row>
    <row r="751" spans="1:13">
      <c r="B751" s="1815" t="s">
        <v>1565</v>
      </c>
      <c r="C751" s="1815"/>
      <c r="D751" s="1815" t="str">
        <f>'Part V-Utility Allowances'!D31</f>
        <v>&lt;&lt;Select Fuel &gt;&gt;</v>
      </c>
      <c r="E751" s="1815"/>
      <c r="F751" s="2109">
        <f>'Part V-Utility Allowances'!F31</f>
        <v>0</v>
      </c>
      <c r="G751" s="2109">
        <f>'Part V-Utility Allowances'!G31</f>
        <v>0</v>
      </c>
      <c r="I751" s="1896">
        <f>'Part V-Utility Allowances'!I31</f>
        <v>0</v>
      </c>
      <c r="J751" s="1896">
        <f>'Part V-Utility Allowances'!J31</f>
        <v>0</v>
      </c>
      <c r="K751" s="1896">
        <f>'Part V-Utility Allowances'!K31</f>
        <v>0</v>
      </c>
      <c r="L751" s="1896">
        <f>'Part V-Utility Allowances'!L31</f>
        <v>0</v>
      </c>
      <c r="M751" s="1896">
        <f>'Part V-Utility Allowances'!M31</f>
        <v>0</v>
      </c>
    </row>
    <row r="752" spans="1:13">
      <c r="B752" s="1815" t="s">
        <v>458</v>
      </c>
      <c r="C752" s="1815"/>
      <c r="D752" s="1815" t="s">
        <v>1563</v>
      </c>
      <c r="F752" s="2109">
        <f>'Part V-Utility Allowances'!F32</f>
        <v>0</v>
      </c>
      <c r="G752" s="2109">
        <f>'Part V-Utility Allowances'!G32</f>
        <v>0</v>
      </c>
      <c r="I752" s="1896">
        <f>'Part V-Utility Allowances'!I32</f>
        <v>0</v>
      </c>
      <c r="J752" s="1896">
        <f>'Part V-Utility Allowances'!J32</f>
        <v>0</v>
      </c>
      <c r="K752" s="1896">
        <f>'Part V-Utility Allowances'!K32</f>
        <v>0</v>
      </c>
      <c r="L752" s="1896">
        <f>'Part V-Utility Allowances'!L32</f>
        <v>0</v>
      </c>
      <c r="M752" s="1896">
        <f>'Part V-Utility Allowances'!M32</f>
        <v>0</v>
      </c>
    </row>
    <row r="753" spans="2:13">
      <c r="B753" s="1815" t="s">
        <v>3607</v>
      </c>
      <c r="C753" s="1815"/>
      <c r="D753" s="1815" t="s">
        <v>1563</v>
      </c>
      <c r="F753" s="2109">
        <f>'Part V-Utility Allowances'!F33</f>
        <v>0</v>
      </c>
      <c r="G753" s="2109">
        <f>'Part V-Utility Allowances'!G33</f>
        <v>0</v>
      </c>
      <c r="I753" s="1896">
        <f>'Part V-Utility Allowances'!I33</f>
        <v>0</v>
      </c>
      <c r="J753" s="1896">
        <f>'Part V-Utility Allowances'!J33</f>
        <v>0</v>
      </c>
      <c r="K753" s="1896">
        <f>'Part V-Utility Allowances'!K33</f>
        <v>0</v>
      </c>
      <c r="L753" s="1896">
        <f>'Part V-Utility Allowances'!L33</f>
        <v>0</v>
      </c>
      <c r="M753" s="1896">
        <f>'Part V-Utility Allowances'!M33</f>
        <v>0</v>
      </c>
    </row>
    <row r="754" spans="2:13">
      <c r="B754" s="1815" t="s">
        <v>3608</v>
      </c>
      <c r="C754" s="1815"/>
      <c r="D754" s="1815" t="s">
        <v>1563</v>
      </c>
      <c r="F754" s="2109">
        <f>'Part V-Utility Allowances'!F34</f>
        <v>0</v>
      </c>
      <c r="G754" s="2109">
        <f>'Part V-Utility Allowances'!G34</f>
        <v>0</v>
      </c>
      <c r="I754" s="1896">
        <f>'Part V-Utility Allowances'!I34</f>
        <v>0</v>
      </c>
      <c r="J754" s="1896">
        <f>'Part V-Utility Allowances'!J34</f>
        <v>0</v>
      </c>
      <c r="K754" s="1896">
        <f>'Part V-Utility Allowances'!K34</f>
        <v>0</v>
      </c>
      <c r="L754" s="1896">
        <f>'Part V-Utility Allowances'!L34</f>
        <v>0</v>
      </c>
      <c r="M754" s="1896">
        <f>'Part V-Utility Allowances'!M34</f>
        <v>0</v>
      </c>
    </row>
    <row r="755" spans="2:13">
      <c r="B755" s="1815" t="s">
        <v>3609</v>
      </c>
      <c r="C755" s="1815"/>
      <c r="D755" s="1815" t="s">
        <v>1563</v>
      </c>
      <c r="F755" s="2109">
        <f>'Part V-Utility Allowances'!F35</f>
        <v>0</v>
      </c>
      <c r="G755" s="2109">
        <f>'Part V-Utility Allowances'!G35</f>
        <v>0</v>
      </c>
      <c r="I755" s="1896">
        <f>'Part V-Utility Allowances'!I35</f>
        <v>0</v>
      </c>
      <c r="J755" s="1896">
        <f>'Part V-Utility Allowances'!J35</f>
        <v>0</v>
      </c>
      <c r="K755" s="1896">
        <f>'Part V-Utility Allowances'!K35</f>
        <v>0</v>
      </c>
      <c r="L755" s="1896">
        <f>'Part V-Utility Allowances'!L35</f>
        <v>0</v>
      </c>
      <c r="M755" s="1896">
        <f>'Part V-Utility Allowances'!M35</f>
        <v>0</v>
      </c>
    </row>
    <row r="756" spans="2:13">
      <c r="B756" s="1815" t="s">
        <v>1343</v>
      </c>
      <c r="C756" s="1815"/>
      <c r="D756" s="1815" t="s">
        <v>6809</v>
      </c>
      <c r="E756" s="1896" t="str">
        <f>'Part V-Utility Allowances'!E36</f>
        <v>&lt;Select&gt;</v>
      </c>
      <c r="F756" s="2109">
        <f>'Part V-Utility Allowances'!F36</f>
        <v>0</v>
      </c>
      <c r="G756" s="2109">
        <f>'Part V-Utility Allowances'!G36</f>
        <v>0</v>
      </c>
      <c r="I756" s="1896">
        <f>'Part V-Utility Allowances'!I36</f>
        <v>0</v>
      </c>
      <c r="J756" s="1896">
        <f>'Part V-Utility Allowances'!J36</f>
        <v>0</v>
      </c>
      <c r="K756" s="1896">
        <f>'Part V-Utility Allowances'!K36</f>
        <v>0</v>
      </c>
      <c r="L756" s="1896">
        <f>'Part V-Utility Allowances'!L36</f>
        <v>0</v>
      </c>
      <c r="M756" s="1896">
        <f>'Part V-Utility Allowances'!M36</f>
        <v>0</v>
      </c>
    </row>
    <row r="757" spans="2:13">
      <c r="B757" s="1815" t="s">
        <v>1805</v>
      </c>
      <c r="C757" s="1815"/>
      <c r="F757" s="2109">
        <f>'Part V-Utility Allowances'!F37</f>
        <v>0</v>
      </c>
      <c r="G757" s="2109">
        <f>'Part V-Utility Allowances'!G37</f>
        <v>0</v>
      </c>
      <c r="I757" s="1896">
        <f>'Part V-Utility Allowances'!I37</f>
        <v>0</v>
      </c>
      <c r="J757" s="1896">
        <f>'Part V-Utility Allowances'!J37</f>
        <v>0</v>
      </c>
      <c r="K757" s="1896">
        <f>'Part V-Utility Allowances'!K37</f>
        <v>0</v>
      </c>
      <c r="L757" s="1896">
        <f>'Part V-Utility Allowances'!L37</f>
        <v>0</v>
      </c>
      <c r="M757" s="1896">
        <f>'Part V-Utility Allowances'!M37</f>
        <v>0</v>
      </c>
    </row>
    <row r="758" spans="2:13">
      <c r="B758" s="1815" t="s">
        <v>723</v>
      </c>
      <c r="C758" s="449">
        <f>'Part V-Utility Allowances'!C38</f>
        <v>0</v>
      </c>
      <c r="D758" s="449"/>
      <c r="E758" s="449"/>
      <c r="F758" s="2109">
        <f>'Part V-Utility Allowances'!F38</f>
        <v>0</v>
      </c>
      <c r="G758" s="2109">
        <f>'Part V-Utility Allowances'!G38</f>
        <v>0</v>
      </c>
      <c r="I758" s="1896">
        <f>'Part V-Utility Allowances'!I38</f>
        <v>0</v>
      </c>
      <c r="J758" s="1896">
        <f>'Part V-Utility Allowances'!J38</f>
        <v>0</v>
      </c>
      <c r="K758" s="1896">
        <f>'Part V-Utility Allowances'!K38</f>
        <v>0</v>
      </c>
      <c r="L758" s="1896">
        <f>'Part V-Utility Allowances'!L38</f>
        <v>0</v>
      </c>
      <c r="M758" s="1896">
        <f>'Part V-Utility Allowances'!M38</f>
        <v>0</v>
      </c>
    </row>
    <row r="759" spans="2:13">
      <c r="B759" s="1995" t="s">
        <v>998</v>
      </c>
      <c r="F759" s="1874"/>
      <c r="G759" s="1874"/>
      <c r="I759" s="1896">
        <f>IF(SUM(I749:I758)=0,0,IF(OR($D749="&lt;&lt;Select Fuel &gt;&gt;",$D751="&lt;&lt;Select Fuel &gt;&gt;",$D752="&lt;&lt;Select Fuel &gt;&gt;"),"Select Fuel",IF($E756="&lt;Select&gt;","Submeter?",SUM(I749:I758))))</f>
        <v>0</v>
      </c>
      <c r="J759" s="1896">
        <f>IF(SUM(J749:J758)=0,0,IF(OR($D749="&lt;&lt;Select Fuel &gt;&gt;",$D751="&lt;&lt;Select Fuel &gt;&gt;",$D752="&lt;&lt;Select Fuel &gt;&gt;"),"Select Fuel",IF($E756="&lt;Select&gt;","Submeter?",SUM(J749:J758))))</f>
        <v>0</v>
      </c>
      <c r="K759" s="1896">
        <f>IF(SUM(K749:K758)=0,0,IF(OR($D749="&lt;&lt;Select Fuel &gt;&gt;",$D751="&lt;&lt;Select Fuel &gt;&gt;",$D752="&lt;&lt;Select Fuel &gt;&gt;"),"Select Fuel",IF($E756="&lt;Select&gt;","Submeter?",SUM(K749:K758))))</f>
        <v>0</v>
      </c>
      <c r="L759" s="1896">
        <f>IF(SUM(L749:L758)=0,0,IF(OR($D749="&lt;&lt;Select Fuel &gt;&gt;",$D751="&lt;&lt;Select Fuel &gt;&gt;",$D752="&lt;&lt;Select Fuel &gt;&gt;"),"Select Fuel",IF($E756="&lt;Select&gt;","Submeter?",SUM(L749:L758))))</f>
        <v>0</v>
      </c>
      <c r="M759" s="1896">
        <f>IF(SUM(M749:M758)=0,0,IF(OR($D749="&lt;&lt;Select Fuel &gt;&gt;",$D751="&lt;&lt;Select Fuel &gt;&gt;",$D752="&lt;&lt;Select Fuel &gt;&gt;"),"Select Fuel",IF($E756="&lt;Select&gt;","Submeter?",SUM(M749:M758))))</f>
        <v>0</v>
      </c>
    </row>
    <row r="761" spans="2:13">
      <c r="B761" s="1945" t="s">
        <v>6810</v>
      </c>
      <c r="F761" s="1874"/>
      <c r="G761" s="1874"/>
      <c r="I761" s="1874"/>
      <c r="J761" s="1874"/>
      <c r="K761" s="1874"/>
      <c r="L761" s="1874"/>
      <c r="M761" s="1874"/>
    </row>
    <row r="762" spans="2:13">
      <c r="B762" s="1995" t="s">
        <v>555</v>
      </c>
    </row>
    <row r="763" spans="2:13">
      <c r="B763" s="1772" t="str">
        <f>'Part V-Utility Allowances'!B43</f>
        <v xml:space="preserve"> Documentation regarding utility allowances can be found in TAB 01. Applicant verified with the Columbus Housing Authority  that the utility allowance provided was the most current and in effect as of January 1, 2020.</v>
      </c>
      <c r="C763" s="1772"/>
      <c r="D763" s="1772"/>
      <c r="E763" s="1772"/>
      <c r="F763" s="1772"/>
      <c r="G763" s="1772"/>
      <c r="H763" s="1772"/>
      <c r="I763" s="1772"/>
      <c r="J763" s="1772"/>
      <c r="K763" s="1772"/>
      <c r="L763" s="1772"/>
      <c r="M763" s="1772"/>
    </row>
    <row r="765" spans="2:13">
      <c r="B765" s="1995" t="s">
        <v>1799</v>
      </c>
    </row>
    <row r="766" spans="2:13">
      <c r="B766" s="1772">
        <f>'Part V-Utility Allowances'!B46</f>
        <v>0</v>
      </c>
      <c r="C766" s="1772"/>
      <c r="D766" s="1772"/>
      <c r="E766" s="1772"/>
      <c r="F766" s="1772"/>
      <c r="G766" s="1772"/>
      <c r="H766" s="1772"/>
      <c r="I766" s="1772"/>
      <c r="J766" s="1772"/>
      <c r="K766" s="1772"/>
      <c r="L766" s="1772"/>
      <c r="M766" s="1772"/>
    </row>
    <row r="770" spans="1:368" s="1815" customFormat="1" ht="14.1" customHeight="1">
      <c r="A770" s="1815" t="str">
        <f>CONCATENATE("PART SIX - PROJECTED REVENUES &amp; EXPENSES","  -  ",'Part I-Project Information'!$O$6," ",'Part I-Project Information'!$F$34,", ",'Part I-Project Information'!F807,", ",'Part I-Project Information'!J808," County")</f>
        <v>PART SIX - PROJECTED REVENUES &amp; EXPENSES  -  2020-074 Harper Woods II, ,  County</v>
      </c>
      <c r="T770" s="1815" t="str">
        <f>A770</f>
        <v>PART SIX - PROJECTED REVENUES &amp; EXPENSES  -  2020-074 Harper Woods II, ,  County</v>
      </c>
      <c r="HX770" s="1896"/>
      <c r="HY770" s="1896"/>
      <c r="HZ770" s="1896"/>
      <c r="IA770" s="1896"/>
      <c r="IB770" s="1896"/>
      <c r="IC770" s="1896"/>
      <c r="ID770" s="1896"/>
      <c r="IE770" s="1896"/>
      <c r="IF770" s="1896"/>
      <c r="IG770" s="1896"/>
      <c r="IH770" s="1896"/>
      <c r="II770" s="1896"/>
      <c r="IJ770" s="1896"/>
      <c r="IK770" s="1896"/>
      <c r="IL770" s="1896"/>
      <c r="IM770" s="1896"/>
      <c r="IN770" s="1896"/>
      <c r="IO770" s="1896"/>
      <c r="IP770" s="1896"/>
      <c r="IQ770" s="1896"/>
      <c r="IR770" s="1896"/>
      <c r="IS770" s="1896"/>
      <c r="IT770" s="1896"/>
      <c r="IU770" s="1896"/>
      <c r="IV770" s="1896"/>
      <c r="IW770" s="1896"/>
      <c r="IX770" s="1896"/>
      <c r="IY770" s="1896"/>
      <c r="IZ770" s="1896"/>
      <c r="JA770" s="1896"/>
      <c r="JB770" s="1896"/>
      <c r="JC770" s="1896"/>
      <c r="JD770" s="1896"/>
      <c r="JE770" s="1896"/>
      <c r="JF770" s="1896"/>
      <c r="JG770" s="1896"/>
      <c r="JH770" s="1896"/>
      <c r="JI770" s="1896"/>
      <c r="JJ770" s="1896"/>
      <c r="JK770" s="1896"/>
      <c r="JL770" s="1896"/>
      <c r="JM770" s="1896"/>
      <c r="JN770" s="1896"/>
      <c r="JO770" s="1896"/>
      <c r="JP770" s="1896"/>
      <c r="JQ770" s="1896"/>
      <c r="JR770" s="1896"/>
      <c r="JS770" s="1896"/>
      <c r="JT770" s="1896"/>
      <c r="JU770" s="1896"/>
      <c r="JV770" s="1896"/>
      <c r="JW770" s="1896"/>
      <c r="JX770" s="1896"/>
      <c r="JY770" s="1896"/>
      <c r="JZ770" s="1896"/>
      <c r="KA770" s="1896"/>
      <c r="KB770" s="1896"/>
      <c r="KC770" s="1896"/>
      <c r="KD770" s="1896"/>
      <c r="KE770" s="1896"/>
      <c r="KF770" s="1896"/>
      <c r="KG770" s="1896"/>
      <c r="KH770" s="1896"/>
      <c r="KI770" s="1896"/>
      <c r="KJ770" s="1896"/>
      <c r="KK770" s="1896"/>
      <c r="KL770" s="1896"/>
      <c r="KM770" s="1896"/>
      <c r="KN770" s="1896"/>
      <c r="KO770" s="1896"/>
      <c r="KR770" s="1896"/>
      <c r="KS770" s="1896"/>
      <c r="KT770" s="1896"/>
    </row>
    <row r="771" spans="1:368" ht="6" customHeight="1">
      <c r="X771" s="1918"/>
      <c r="Y771" s="1918"/>
      <c r="Z771" s="1918"/>
      <c r="AA771" s="1918"/>
      <c r="AB771" s="1918"/>
      <c r="AC771" s="1918"/>
      <c r="AD771" s="1918"/>
      <c r="AE771" s="1918"/>
      <c r="AF771" s="1918"/>
      <c r="AG771" s="1918"/>
      <c r="AH771" s="1918"/>
      <c r="AI771" s="1918"/>
      <c r="AJ771" s="1918"/>
      <c r="AK771" s="1918"/>
      <c r="AL771" s="1918"/>
      <c r="AM771" s="1918"/>
      <c r="AN771" s="1918"/>
      <c r="AO771" s="1918"/>
      <c r="AP771" s="1918"/>
      <c r="AQ771" s="1918"/>
      <c r="AR771" s="1918"/>
      <c r="AS771" s="1918"/>
      <c r="AT771" s="1918"/>
      <c r="AU771" s="1918"/>
      <c r="AV771" s="1918"/>
      <c r="AW771" s="1918"/>
      <c r="AX771" s="1918"/>
      <c r="AY771" s="1918"/>
      <c r="AZ771" s="1918"/>
      <c r="BA771" s="1918"/>
      <c r="BB771" s="1918"/>
      <c r="BC771" s="1918"/>
      <c r="BD771" s="1918"/>
      <c r="BE771" s="1918"/>
      <c r="BF771" s="1918"/>
      <c r="BG771" s="1918"/>
      <c r="BH771" s="1918"/>
      <c r="BI771" s="1918"/>
      <c r="BJ771" s="1918"/>
      <c r="BK771" s="1918"/>
      <c r="BL771" s="1918"/>
      <c r="BM771" s="1918"/>
      <c r="BN771" s="1918"/>
      <c r="BO771" s="1918"/>
      <c r="BP771" s="1918"/>
      <c r="BQ771" s="1918"/>
      <c r="BR771" s="1918"/>
      <c r="BS771" s="1918"/>
      <c r="BT771" s="1918"/>
      <c r="BU771" s="1918"/>
      <c r="BV771" s="1918"/>
      <c r="BW771" s="1918"/>
      <c r="BX771" s="1918"/>
      <c r="BY771" s="1918"/>
      <c r="BZ771" s="1918"/>
      <c r="CA771" s="1918"/>
      <c r="CB771" s="1918"/>
      <c r="CC771" s="1918"/>
      <c r="CD771" s="1918"/>
      <c r="CE771" s="1918"/>
      <c r="CF771" s="1918"/>
      <c r="CG771" s="1918"/>
      <c r="CH771" s="1918"/>
      <c r="CI771" s="1918"/>
      <c r="CJ771" s="1918"/>
      <c r="CK771" s="1918"/>
      <c r="CL771" s="1918"/>
      <c r="CM771" s="1918"/>
      <c r="CN771" s="1918"/>
      <c r="CO771" s="1918"/>
      <c r="CP771" s="1918"/>
      <c r="CQ771" s="1918"/>
      <c r="CR771" s="1918"/>
      <c r="CS771" s="1918"/>
      <c r="CT771" s="1918"/>
      <c r="CU771" s="1918"/>
      <c r="CV771" s="1918"/>
      <c r="CW771" s="1918"/>
      <c r="CX771" s="1918"/>
      <c r="CY771" s="1918"/>
      <c r="CZ771" s="1918"/>
      <c r="DA771" s="1918"/>
      <c r="DB771" s="1918"/>
      <c r="DC771" s="1918"/>
      <c r="DD771" s="1918"/>
      <c r="DE771" s="1918"/>
      <c r="DF771" s="1918"/>
      <c r="DG771" s="1918"/>
      <c r="DH771" s="1918"/>
      <c r="DI771" s="1918"/>
      <c r="DJ771" s="1918"/>
      <c r="DK771" s="1918"/>
      <c r="DL771" s="1918"/>
      <c r="DM771" s="1918"/>
      <c r="DN771" s="1918"/>
      <c r="DO771" s="1918"/>
      <c r="DP771" s="1918"/>
      <c r="DQ771" s="1918"/>
      <c r="DR771" s="1918"/>
      <c r="DS771" s="1918"/>
      <c r="DT771" s="1918"/>
      <c r="DU771" s="1918"/>
      <c r="DV771" s="1918"/>
      <c r="DW771" s="1918"/>
      <c r="DX771" s="1918"/>
      <c r="DY771" s="1918"/>
      <c r="DZ771" s="1918"/>
      <c r="EA771" s="1918"/>
      <c r="EB771" s="1918"/>
      <c r="EC771" s="1918"/>
      <c r="ED771" s="1918"/>
      <c r="EE771" s="1918"/>
      <c r="EF771" s="1918"/>
      <c r="EG771" s="1918"/>
      <c r="EH771" s="1918"/>
      <c r="EI771" s="1918"/>
      <c r="EJ771" s="1918"/>
      <c r="EK771" s="1918"/>
      <c r="EL771" s="1918"/>
      <c r="EM771" s="1918"/>
      <c r="EN771" s="1918"/>
      <c r="EO771" s="1918"/>
      <c r="EP771" s="1918"/>
      <c r="EQ771" s="1918"/>
      <c r="ER771" s="1918"/>
      <c r="ES771" s="1918"/>
      <c r="ET771" s="1918"/>
      <c r="EU771" s="1918"/>
      <c r="EV771" s="1918"/>
      <c r="EW771" s="1918"/>
      <c r="EX771" s="1918"/>
      <c r="EY771" s="1918"/>
      <c r="EZ771" s="1918"/>
      <c r="FA771" s="1918"/>
      <c r="FB771" s="1918"/>
      <c r="FC771" s="1918"/>
      <c r="FD771" s="1918"/>
      <c r="FE771" s="1918"/>
      <c r="FF771" s="1918"/>
      <c r="FG771" s="1918"/>
      <c r="FH771" s="1918"/>
      <c r="FI771" s="1918"/>
      <c r="FJ771" s="1918"/>
      <c r="FK771" s="1918"/>
      <c r="FL771" s="1918"/>
      <c r="FM771" s="1918"/>
      <c r="FN771" s="1918"/>
      <c r="FO771" s="1918"/>
      <c r="FP771" s="1918"/>
      <c r="FQ771" s="1918"/>
      <c r="FR771" s="1918"/>
      <c r="FS771" s="1918"/>
      <c r="FT771" s="1918"/>
      <c r="FU771" s="1918"/>
      <c r="FV771" s="1918"/>
      <c r="FW771" s="1918"/>
      <c r="FX771" s="1918"/>
      <c r="FY771" s="1918"/>
      <c r="FZ771" s="1918"/>
      <c r="GA771" s="1918"/>
      <c r="GB771" s="1918"/>
      <c r="GC771" s="1918"/>
      <c r="GD771" s="1918"/>
      <c r="GE771" s="1918"/>
      <c r="GF771" s="1918"/>
      <c r="GG771" s="1918"/>
      <c r="GH771" s="1918"/>
      <c r="GI771" s="1918"/>
      <c r="GJ771" s="1918"/>
      <c r="GK771" s="1918"/>
      <c r="GL771" s="1918"/>
      <c r="GM771" s="1918"/>
      <c r="GN771" s="1918"/>
      <c r="GO771" s="1918"/>
      <c r="GP771" s="1918"/>
      <c r="GQ771" s="1918"/>
      <c r="GR771" s="1918"/>
      <c r="GS771" s="1918"/>
      <c r="GT771" s="1918"/>
      <c r="GU771" s="1918"/>
      <c r="GV771" s="1918"/>
      <c r="GW771" s="1918"/>
      <c r="GX771" s="1918"/>
      <c r="GY771" s="1918"/>
      <c r="GZ771" s="1918"/>
      <c r="HA771" s="1918"/>
      <c r="HB771" s="1918"/>
      <c r="HC771" s="1918"/>
      <c r="HD771" s="1918"/>
      <c r="HE771" s="1918"/>
      <c r="HF771" s="1918"/>
      <c r="HG771" s="1918"/>
      <c r="HH771" s="1918"/>
      <c r="HI771" s="1918"/>
      <c r="HJ771" s="1918"/>
      <c r="HK771" s="1918"/>
      <c r="HL771" s="1918"/>
      <c r="HM771" s="1918"/>
      <c r="HN771" s="1918"/>
      <c r="HO771" s="1918"/>
      <c r="HP771" s="1918"/>
      <c r="HQ771" s="1918"/>
      <c r="HR771" s="1918"/>
      <c r="HS771" s="1918"/>
      <c r="HT771" s="1918"/>
      <c r="HU771" s="1918"/>
      <c r="HV771" s="1918"/>
      <c r="HW771" s="1918"/>
      <c r="HX771" s="1918"/>
      <c r="HY771" s="1918"/>
      <c r="HZ771" s="2240"/>
      <c r="IA771" s="2240"/>
      <c r="IB771" s="2240"/>
      <c r="IC771" s="2240"/>
      <c r="ID771" s="2240"/>
      <c r="IE771" s="2240"/>
      <c r="IF771" s="2240"/>
      <c r="IG771" s="2240"/>
      <c r="IH771" s="2240"/>
      <c r="II771" s="2240"/>
      <c r="IJ771" s="2240"/>
      <c r="IK771" s="2240"/>
      <c r="IL771" s="2240"/>
      <c r="IM771" s="2240"/>
      <c r="IN771" s="2240"/>
      <c r="IO771" s="2240"/>
      <c r="IP771" s="2240"/>
      <c r="IQ771" s="2240"/>
      <c r="IR771" s="2240"/>
      <c r="IS771" s="2240"/>
      <c r="IT771" s="2240"/>
      <c r="IU771" s="2240"/>
      <c r="IV771" s="2240"/>
      <c r="IW771" s="2240"/>
      <c r="IX771" s="2240"/>
      <c r="IY771" s="2240"/>
      <c r="IZ771" s="2240"/>
      <c r="JA771" s="2240"/>
      <c r="JB771" s="2240"/>
      <c r="JC771" s="2240"/>
      <c r="JD771" s="2240"/>
      <c r="JE771" s="2240"/>
      <c r="JF771" s="2240"/>
      <c r="JG771" s="2240"/>
      <c r="JH771" s="2240"/>
      <c r="JI771" s="2240"/>
      <c r="JJ771" s="2240"/>
      <c r="JK771" s="2240"/>
      <c r="JL771" s="2240"/>
      <c r="JM771" s="2240"/>
      <c r="JN771" s="2240"/>
      <c r="JO771" s="2240"/>
      <c r="JP771" s="2240"/>
      <c r="JQ771" s="2240"/>
      <c r="JR771" s="2240"/>
      <c r="JS771" s="2240"/>
      <c r="JT771" s="2240"/>
      <c r="JU771" s="2240"/>
      <c r="JV771" s="2240"/>
      <c r="JW771" s="2240"/>
      <c r="JX771" s="2240"/>
      <c r="JY771" s="2240"/>
      <c r="JZ771" s="2240"/>
      <c r="KA771" s="2240"/>
      <c r="KB771" s="2240"/>
      <c r="KC771" s="2240"/>
      <c r="KD771" s="2240"/>
      <c r="KE771" s="2240"/>
      <c r="KF771" s="2240"/>
      <c r="KG771" s="2240"/>
      <c r="KH771" s="2240"/>
      <c r="KI771" s="2240"/>
      <c r="KJ771" s="2240"/>
      <c r="KK771" s="2240"/>
      <c r="KL771" s="2240"/>
      <c r="KM771" s="2240"/>
      <c r="KN771" s="2240"/>
      <c r="KO771" s="2240"/>
      <c r="KP771" s="2240"/>
      <c r="KQ771" s="2240"/>
      <c r="KR771" s="2240"/>
      <c r="KS771" s="2240"/>
      <c r="KT771" s="2240"/>
      <c r="KU771" s="2240"/>
      <c r="KV771" s="2240"/>
      <c r="KW771" s="1918"/>
      <c r="KX771" s="1918"/>
      <c r="KY771" s="1918"/>
      <c r="KZ771" s="1918"/>
      <c r="LA771" s="1918"/>
      <c r="LB771" s="1918"/>
      <c r="LC771" s="1918"/>
      <c r="LD771" s="1918"/>
      <c r="LE771" s="1918"/>
      <c r="LF771" s="1918"/>
      <c r="LG771" s="1918"/>
      <c r="LH771" s="1918"/>
      <c r="LI771" s="1918"/>
      <c r="LJ771" s="1918"/>
      <c r="LK771" s="1918"/>
      <c r="LL771" s="1918"/>
      <c r="LM771" s="1918"/>
      <c r="LN771" s="1918"/>
      <c r="LO771" s="1918"/>
      <c r="LP771" s="1918"/>
      <c r="LV771" s="1918"/>
      <c r="LW771" s="1918"/>
      <c r="LX771" s="1918"/>
      <c r="LY771" s="1918"/>
      <c r="LZ771" s="1918"/>
      <c r="MA771" s="1918"/>
      <c r="MB771" s="1918"/>
      <c r="MC771" s="1918"/>
      <c r="MD771" s="1918"/>
      <c r="ME771" s="1918"/>
      <c r="MF771" s="1918"/>
      <c r="MG771" s="1918"/>
      <c r="MH771" s="1918"/>
      <c r="MI771" s="1918"/>
      <c r="MJ771" s="1918"/>
      <c r="MK771" s="1918"/>
      <c r="ML771" s="1918"/>
      <c r="MM771" s="1918"/>
      <c r="MN771" s="1918"/>
      <c r="MO771" s="1918"/>
    </row>
    <row r="772" spans="1:368" s="1815" customFormat="1" ht="12.6" customHeight="1">
      <c r="A772" s="1815" t="s">
        <v>598</v>
      </c>
      <c r="B772" s="1815" t="s">
        <v>2306</v>
      </c>
      <c r="D772" s="1822" t="s">
        <v>3435</v>
      </c>
      <c r="T772" s="1815" t="str">
        <f>B772</f>
        <v>RENT SCHEDULE</v>
      </c>
      <c r="X772" s="1897"/>
      <c r="Y772" s="1897"/>
      <c r="Z772" s="1897"/>
      <c r="AA772" s="1897"/>
      <c r="AB772" s="1897"/>
      <c r="AC772" s="1897"/>
      <c r="AD772" s="1897"/>
      <c r="AE772" s="1897"/>
      <c r="AF772" s="1897"/>
      <c r="AG772" s="1897"/>
      <c r="AH772" s="1897"/>
      <c r="AI772" s="1897"/>
      <c r="AJ772" s="1897"/>
      <c r="AK772" s="1897"/>
      <c r="AL772" s="1897"/>
      <c r="AM772" s="1897"/>
      <c r="AN772" s="1897"/>
      <c r="AO772" s="1897"/>
      <c r="AP772" s="1897"/>
      <c r="AQ772" s="1897"/>
      <c r="AR772" s="1897"/>
      <c r="AS772" s="1897"/>
      <c r="AT772" s="1897"/>
      <c r="AU772" s="1897"/>
      <c r="AV772" s="1897"/>
      <c r="AW772" s="1897"/>
      <c r="AX772" s="1897"/>
      <c r="AY772" s="1897"/>
      <c r="AZ772" s="1897"/>
      <c r="BA772" s="1897"/>
      <c r="BB772" s="1897"/>
      <c r="BC772" s="1897"/>
      <c r="BD772" s="1897"/>
      <c r="BE772" s="1897"/>
      <c r="BF772" s="1897"/>
      <c r="BG772" s="1897"/>
      <c r="BH772" s="1897"/>
      <c r="BI772" s="1897"/>
      <c r="BJ772" s="1897"/>
      <c r="BK772" s="1897"/>
      <c r="BL772" s="1897"/>
      <c r="BM772" s="1897"/>
      <c r="BN772" s="1897"/>
      <c r="BO772" s="1897"/>
      <c r="BP772" s="1897"/>
      <c r="BQ772" s="1897"/>
      <c r="BR772" s="1897"/>
      <c r="BS772" s="1897"/>
      <c r="BT772" s="1897"/>
      <c r="BU772" s="1897"/>
      <c r="BV772" s="1897"/>
      <c r="BW772" s="1897"/>
      <c r="BX772" s="1897"/>
      <c r="BY772" s="1897"/>
      <c r="BZ772" s="1897"/>
      <c r="CA772" s="1897"/>
      <c r="CB772" s="1897"/>
      <c r="CC772" s="1897"/>
      <c r="CD772" s="1897"/>
      <c r="CE772" s="1897"/>
      <c r="CF772" s="1897"/>
      <c r="CG772" s="1897"/>
      <c r="CH772" s="1897"/>
      <c r="CI772" s="1897"/>
      <c r="CJ772" s="1897"/>
      <c r="CK772" s="1897"/>
      <c r="CL772" s="1897"/>
      <c r="CM772" s="1897"/>
      <c r="CN772" s="1897"/>
      <c r="CO772" s="1897"/>
      <c r="CP772" s="1897"/>
      <c r="CQ772" s="1897"/>
      <c r="CR772" s="1897"/>
      <c r="CS772" s="1897"/>
      <c r="CT772" s="1897"/>
      <c r="CU772" s="1897"/>
      <c r="CV772" s="1897"/>
      <c r="CW772" s="1897"/>
      <c r="CX772" s="1897"/>
      <c r="CY772" s="1897"/>
      <c r="CZ772" s="1897"/>
      <c r="DA772" s="1897"/>
      <c r="DB772" s="1897"/>
      <c r="DC772" s="1897"/>
      <c r="DD772" s="1897"/>
      <c r="DE772" s="1897"/>
      <c r="DF772" s="1897"/>
      <c r="DG772" s="1897"/>
      <c r="DH772" s="1897"/>
      <c r="DI772" s="1897"/>
      <c r="DJ772" s="1897"/>
      <c r="DK772" s="1897"/>
      <c r="DL772" s="1897"/>
      <c r="DM772" s="1897"/>
      <c r="DN772" s="1897"/>
      <c r="DO772" s="1897"/>
      <c r="DP772" s="1897"/>
      <c r="DQ772" s="1897"/>
      <c r="DR772" s="1897"/>
      <c r="DS772" s="1897"/>
      <c r="DT772" s="1897"/>
      <c r="DU772" s="1897"/>
      <c r="DV772" s="1897"/>
      <c r="DW772" s="1897"/>
      <c r="DX772" s="1897"/>
      <c r="DY772" s="1897"/>
      <c r="DZ772" s="1897"/>
      <c r="EA772" s="1897"/>
      <c r="EB772" s="1897"/>
      <c r="EC772" s="1897"/>
      <c r="ED772" s="1897"/>
      <c r="EE772" s="1897"/>
      <c r="EF772" s="1897"/>
      <c r="EG772" s="1897"/>
      <c r="EH772" s="1897"/>
      <c r="EI772" s="1897"/>
      <c r="EJ772" s="1897"/>
      <c r="EK772" s="1897"/>
      <c r="EL772" s="1897"/>
      <c r="EM772" s="1897"/>
      <c r="EN772" s="1897"/>
      <c r="EO772" s="1897"/>
      <c r="EP772" s="1897"/>
      <c r="EQ772" s="1897"/>
      <c r="ER772" s="1897"/>
      <c r="ES772" s="1897"/>
      <c r="ET772" s="1897"/>
      <c r="EU772" s="1897"/>
      <c r="EV772" s="1897"/>
      <c r="EW772" s="1897"/>
      <c r="EX772" s="1897"/>
      <c r="EY772" s="1897"/>
      <c r="EZ772" s="1897"/>
      <c r="FA772" s="1897"/>
      <c r="FB772" s="1897"/>
      <c r="FC772" s="1897"/>
      <c r="FD772" s="1897"/>
      <c r="FE772" s="1897"/>
      <c r="FF772" s="1897"/>
      <c r="FG772" s="1897"/>
      <c r="FH772" s="1897"/>
      <c r="FI772" s="1897"/>
      <c r="FJ772" s="1897"/>
      <c r="FK772" s="1897"/>
      <c r="FL772" s="1897"/>
      <c r="FM772" s="1897"/>
      <c r="FN772" s="1897"/>
      <c r="FO772" s="1897"/>
      <c r="FP772" s="1897"/>
      <c r="FQ772" s="1897"/>
      <c r="FR772" s="1897"/>
      <c r="FS772" s="1897"/>
      <c r="FT772" s="1897"/>
      <c r="FU772" s="1897"/>
      <c r="FV772" s="1897"/>
      <c r="FW772" s="1897"/>
      <c r="FX772" s="1897"/>
      <c r="FY772" s="1897"/>
      <c r="FZ772" s="1897"/>
      <c r="GA772" s="1897"/>
      <c r="GB772" s="1897"/>
      <c r="GC772" s="1897"/>
      <c r="GD772" s="1897"/>
      <c r="GE772" s="1897"/>
      <c r="GF772" s="1897"/>
      <c r="GG772" s="1897"/>
      <c r="GH772" s="1897"/>
      <c r="GI772" s="1897"/>
      <c r="GJ772" s="1897"/>
      <c r="GK772" s="1897"/>
      <c r="GL772" s="1897"/>
      <c r="GM772" s="1897"/>
      <c r="GN772" s="1897"/>
      <c r="GO772" s="1897"/>
      <c r="GP772" s="1897"/>
      <c r="GQ772" s="1897"/>
      <c r="GR772" s="1897"/>
      <c r="GS772" s="1897"/>
      <c r="GT772" s="1897"/>
      <c r="GU772" s="1897"/>
      <c r="GV772" s="1897"/>
      <c r="GW772" s="1897"/>
      <c r="GX772" s="1897"/>
      <c r="GY772" s="1897"/>
      <c r="GZ772" s="1897"/>
      <c r="HA772" s="1897"/>
      <c r="HB772" s="1897"/>
      <c r="HC772" s="1897"/>
      <c r="HD772" s="1897"/>
      <c r="HE772" s="1897"/>
      <c r="HF772" s="1897"/>
      <c r="HG772" s="1897"/>
      <c r="HH772" s="1897"/>
      <c r="HI772" s="1897"/>
      <c r="HJ772" s="1897"/>
      <c r="HK772" s="1897"/>
      <c r="HL772" s="1897"/>
      <c r="HM772" s="1897"/>
      <c r="HN772" s="1897"/>
      <c r="HO772" s="1897"/>
      <c r="HP772" s="1897"/>
      <c r="HQ772" s="1897"/>
      <c r="HR772" s="1897"/>
      <c r="HS772" s="1897"/>
      <c r="HT772" s="1897"/>
      <c r="HU772" s="1897"/>
      <c r="HV772" s="1897"/>
      <c r="HW772" s="1897"/>
      <c r="HX772" s="1897"/>
      <c r="HY772" s="1897"/>
      <c r="HZ772" s="1732"/>
      <c r="IA772" s="1732"/>
      <c r="IB772" s="1732"/>
      <c r="IC772" s="1732"/>
      <c r="ID772" s="1732"/>
      <c r="IE772" s="2240" t="s">
        <v>476</v>
      </c>
      <c r="IF772" s="2240" t="s">
        <v>2377</v>
      </c>
      <c r="IG772" s="2240" t="s">
        <v>2378</v>
      </c>
      <c r="IH772" s="2240" t="s">
        <v>2379</v>
      </c>
      <c r="II772" s="2240" t="s">
        <v>2380</v>
      </c>
      <c r="IJ772" s="2240" t="s">
        <v>476</v>
      </c>
      <c r="IK772" s="2240" t="s">
        <v>2377</v>
      </c>
      <c r="IL772" s="2240" t="s">
        <v>2378</v>
      </c>
      <c r="IM772" s="2240" t="s">
        <v>2379</v>
      </c>
      <c r="IN772" s="2240" t="s">
        <v>2380</v>
      </c>
      <c r="IO772" s="1732"/>
      <c r="IP772" s="1732"/>
      <c r="IQ772" s="1732"/>
      <c r="IR772" s="1732"/>
      <c r="IS772" s="1732"/>
      <c r="IT772" s="1732"/>
      <c r="IU772" s="1732"/>
      <c r="IV772" s="1732"/>
      <c r="IW772" s="1732"/>
      <c r="IX772" s="1732"/>
      <c r="IY772" s="2240" t="s">
        <v>476</v>
      </c>
      <c r="IZ772" s="2240" t="s">
        <v>2377</v>
      </c>
      <c r="JA772" s="2240" t="s">
        <v>2378</v>
      </c>
      <c r="JB772" s="2240" t="s">
        <v>2379</v>
      </c>
      <c r="JC772" s="2240" t="s">
        <v>2380</v>
      </c>
      <c r="JD772" s="2240" t="s">
        <v>476</v>
      </c>
      <c r="JE772" s="2240" t="s">
        <v>2377</v>
      </c>
      <c r="JF772" s="2240" t="s">
        <v>2378</v>
      </c>
      <c r="JG772" s="2240" t="s">
        <v>2379</v>
      </c>
      <c r="JH772" s="2240" t="s">
        <v>2380</v>
      </c>
      <c r="JI772" s="2240" t="s">
        <v>476</v>
      </c>
      <c r="JJ772" s="2240" t="s">
        <v>2377</v>
      </c>
      <c r="JK772" s="2240" t="s">
        <v>2378</v>
      </c>
      <c r="JL772" s="2240" t="s">
        <v>2379</v>
      </c>
      <c r="JM772" s="2240" t="s">
        <v>2380</v>
      </c>
      <c r="JN772" s="2240" t="s">
        <v>476</v>
      </c>
      <c r="JO772" s="2240" t="s">
        <v>2377</v>
      </c>
      <c r="JP772" s="2240" t="s">
        <v>2378</v>
      </c>
      <c r="JQ772" s="2240" t="s">
        <v>2379</v>
      </c>
      <c r="JR772" s="2240" t="s">
        <v>2380</v>
      </c>
      <c r="JS772" s="2240" t="s">
        <v>476</v>
      </c>
      <c r="JT772" s="2240" t="s">
        <v>2377</v>
      </c>
      <c r="JU772" s="2240" t="s">
        <v>2378</v>
      </c>
      <c r="JV772" s="2240" t="s">
        <v>2379</v>
      </c>
      <c r="JW772" s="2240" t="s">
        <v>2380</v>
      </c>
      <c r="JX772" s="2240" t="s">
        <v>476</v>
      </c>
      <c r="JY772" s="2240" t="s">
        <v>2377</v>
      </c>
      <c r="JZ772" s="2240" t="s">
        <v>2378</v>
      </c>
      <c r="KA772" s="2240" t="s">
        <v>2379</v>
      </c>
      <c r="KB772" s="2240" t="s">
        <v>2380</v>
      </c>
      <c r="KC772" s="2240" t="s">
        <v>476</v>
      </c>
      <c r="KD772" s="2240" t="s">
        <v>2377</v>
      </c>
      <c r="KE772" s="2240" t="s">
        <v>2378</v>
      </c>
      <c r="KF772" s="2240" t="s">
        <v>2379</v>
      </c>
      <c r="KG772" s="2240" t="s">
        <v>2380</v>
      </c>
      <c r="KH772" s="2240" t="s">
        <v>476</v>
      </c>
      <c r="KI772" s="2240" t="s">
        <v>2377</v>
      </c>
      <c r="KJ772" s="2240" t="s">
        <v>2378</v>
      </c>
      <c r="KK772" s="2240" t="s">
        <v>2379</v>
      </c>
      <c r="KL772" s="2240" t="s">
        <v>2380</v>
      </c>
      <c r="KM772" s="2240" t="s">
        <v>476</v>
      </c>
      <c r="KN772" s="2240" t="s">
        <v>2377</v>
      </c>
      <c r="KO772" s="2240" t="s">
        <v>2378</v>
      </c>
      <c r="KP772" s="2240" t="s">
        <v>2379</v>
      </c>
      <c r="KQ772" s="2240" t="s">
        <v>2380</v>
      </c>
      <c r="KR772" s="2240" t="s">
        <v>476</v>
      </c>
      <c r="KS772" s="2240" t="s">
        <v>2377</v>
      </c>
      <c r="KT772" s="2240" t="s">
        <v>2378</v>
      </c>
      <c r="KU772" s="2240" t="s">
        <v>2379</v>
      </c>
      <c r="KV772" s="2240" t="s">
        <v>2380</v>
      </c>
      <c r="KW772" s="2240" t="s">
        <v>476</v>
      </c>
      <c r="KX772" s="2240" t="s">
        <v>2377</v>
      </c>
      <c r="KY772" s="2240" t="s">
        <v>2378</v>
      </c>
      <c r="KZ772" s="2240" t="s">
        <v>2379</v>
      </c>
      <c r="LA772" s="2240" t="s">
        <v>2380</v>
      </c>
      <c r="LB772" s="2240" t="s">
        <v>476</v>
      </c>
      <c r="LC772" s="2240" t="s">
        <v>2377</v>
      </c>
      <c r="LD772" s="2240" t="s">
        <v>2378</v>
      </c>
      <c r="LE772" s="2240" t="s">
        <v>2379</v>
      </c>
      <c r="LF772" s="2240" t="s">
        <v>2380</v>
      </c>
      <c r="LG772" s="2240" t="s">
        <v>476</v>
      </c>
      <c r="LH772" s="2240" t="s">
        <v>2377</v>
      </c>
      <c r="LI772" s="2240" t="s">
        <v>2378</v>
      </c>
      <c r="LJ772" s="2240" t="s">
        <v>2379</v>
      </c>
      <c r="LK772" s="2240" t="s">
        <v>2380</v>
      </c>
      <c r="LL772" s="2240" t="s">
        <v>476</v>
      </c>
      <c r="LM772" s="2240" t="s">
        <v>2377</v>
      </c>
      <c r="LN772" s="2240" t="s">
        <v>2378</v>
      </c>
      <c r="LO772" s="2240" t="s">
        <v>2379</v>
      </c>
      <c r="LP772" s="2240" t="s">
        <v>2380</v>
      </c>
      <c r="LV772" s="1897"/>
      <c r="LW772" s="1897"/>
      <c r="LX772" s="1897"/>
      <c r="LY772" s="1897"/>
      <c r="LZ772" s="1897"/>
      <c r="MA772" s="1897"/>
      <c r="MB772" s="1897"/>
      <c r="MC772" s="1897"/>
      <c r="MD772" s="1897"/>
      <c r="ME772" s="1897"/>
      <c r="MF772" s="1897"/>
      <c r="MG772" s="1897"/>
      <c r="MH772" s="1897"/>
      <c r="MI772" s="1897"/>
      <c r="MJ772" s="1897"/>
      <c r="MK772" s="1897"/>
      <c r="ML772" s="1897"/>
      <c r="MM772" s="1897"/>
      <c r="MN772" s="1897"/>
      <c r="MO772" s="1897"/>
      <c r="MP772" s="1995" t="s">
        <v>3309</v>
      </c>
      <c r="MQ772" s="1995" t="s">
        <v>3310</v>
      </c>
      <c r="MR772" s="1995" t="s">
        <v>3311</v>
      </c>
      <c r="MS772" s="1995" t="s">
        <v>3312</v>
      </c>
      <c r="MT772" s="1995" t="s">
        <v>3313</v>
      </c>
    </row>
    <row r="773" spans="1:368" s="1815" customFormat="1" ht="3" customHeight="1">
      <c r="Q773" s="1918" t="s">
        <v>6823</v>
      </c>
      <c r="R773" s="2240"/>
      <c r="X773" s="1918" t="s">
        <v>4125</v>
      </c>
      <c r="Y773" s="1918" t="s">
        <v>4126</v>
      </c>
      <c r="Z773" s="1918" t="s">
        <v>4127</v>
      </c>
      <c r="AA773" s="1918" t="s">
        <v>4128</v>
      </c>
      <c r="AB773" s="1918" t="s">
        <v>4129</v>
      </c>
      <c r="AC773" s="1918" t="s">
        <v>4130</v>
      </c>
      <c r="AD773" s="1918" t="s">
        <v>4131</v>
      </c>
      <c r="AE773" s="1918" t="s">
        <v>4132</v>
      </c>
      <c r="AF773" s="1918" t="s">
        <v>4133</v>
      </c>
      <c r="AG773" s="1918" t="s">
        <v>4134</v>
      </c>
      <c r="AH773" s="1918" t="s">
        <v>898</v>
      </c>
      <c r="AI773" s="1918" t="s">
        <v>738</v>
      </c>
      <c r="AJ773" s="1918" t="s">
        <v>739</v>
      </c>
      <c r="AK773" s="1918" t="s">
        <v>740</v>
      </c>
      <c r="AL773" s="1918" t="s">
        <v>741</v>
      </c>
      <c r="AM773" s="1918" t="s">
        <v>899</v>
      </c>
      <c r="AN773" s="1918" t="s">
        <v>2251</v>
      </c>
      <c r="AO773" s="1918" t="s">
        <v>2252</v>
      </c>
      <c r="AP773" s="1918" t="s">
        <v>2253</v>
      </c>
      <c r="AQ773" s="1918" t="s">
        <v>2254</v>
      </c>
      <c r="AR773" s="1918" t="s">
        <v>4136</v>
      </c>
      <c r="AS773" s="1918" t="s">
        <v>4137</v>
      </c>
      <c r="AT773" s="1918" t="s">
        <v>4138</v>
      </c>
      <c r="AU773" s="1918" t="s">
        <v>4139</v>
      </c>
      <c r="AV773" s="1918" t="s">
        <v>4135</v>
      </c>
      <c r="AW773" s="1918" t="s">
        <v>900</v>
      </c>
      <c r="AX773" s="1918" t="s">
        <v>2255</v>
      </c>
      <c r="AY773" s="1918" t="s">
        <v>2256</v>
      </c>
      <c r="AZ773" s="1918" t="s">
        <v>2257</v>
      </c>
      <c r="BA773" s="1918" t="s">
        <v>2258</v>
      </c>
      <c r="BB773" s="1918" t="s">
        <v>4140</v>
      </c>
      <c r="BC773" s="1918" t="s">
        <v>4141</v>
      </c>
      <c r="BD773" s="1918" t="s">
        <v>4142</v>
      </c>
      <c r="BE773" s="1918" t="s">
        <v>4143</v>
      </c>
      <c r="BF773" s="1918" t="s">
        <v>4144</v>
      </c>
      <c r="BG773" s="1918" t="s">
        <v>126</v>
      </c>
      <c r="BH773" s="1918" t="s">
        <v>2259</v>
      </c>
      <c r="BI773" s="1918" t="s">
        <v>2260</v>
      </c>
      <c r="BJ773" s="1918" t="s">
        <v>2261</v>
      </c>
      <c r="BK773" s="1918" t="s">
        <v>1126</v>
      </c>
      <c r="BL773" s="1918" t="s">
        <v>4145</v>
      </c>
      <c r="BM773" s="1918" t="s">
        <v>4146</v>
      </c>
      <c r="BN773" s="1918" t="s">
        <v>4147</v>
      </c>
      <c r="BO773" s="1918" t="s">
        <v>4148</v>
      </c>
      <c r="BP773" s="1918" t="s">
        <v>4149</v>
      </c>
      <c r="BQ773" s="1918" t="s">
        <v>540</v>
      </c>
      <c r="BR773" s="1918" t="s">
        <v>541</v>
      </c>
      <c r="BS773" s="1918" t="s">
        <v>560</v>
      </c>
      <c r="BT773" s="1918" t="s">
        <v>561</v>
      </c>
      <c r="BU773" s="1918" t="s">
        <v>562</v>
      </c>
      <c r="BV773" s="1918" t="s">
        <v>4150</v>
      </c>
      <c r="BW773" s="1918" t="s">
        <v>4151</v>
      </c>
      <c r="BX773" s="1918" t="s">
        <v>4152</v>
      </c>
      <c r="BY773" s="1918" t="s">
        <v>4153</v>
      </c>
      <c r="BZ773" s="1918" t="s">
        <v>4154</v>
      </c>
      <c r="CA773" s="1918" t="s">
        <v>563</v>
      </c>
      <c r="CB773" s="1918" t="s">
        <v>564</v>
      </c>
      <c r="CC773" s="1918" t="s">
        <v>565</v>
      </c>
      <c r="CD773" s="1918" t="s">
        <v>566</v>
      </c>
      <c r="CE773" s="1918" t="s">
        <v>567</v>
      </c>
      <c r="CF773" s="1918" t="s">
        <v>568</v>
      </c>
      <c r="CG773" s="1918" t="s">
        <v>569</v>
      </c>
      <c r="CH773" s="1918" t="s">
        <v>909</v>
      </c>
      <c r="CI773" s="1918" t="s">
        <v>910</v>
      </c>
      <c r="CJ773" s="1918" t="s">
        <v>911</v>
      </c>
      <c r="CK773" s="1918" t="s">
        <v>4160</v>
      </c>
      <c r="CL773" s="1918" t="s">
        <v>4161</v>
      </c>
      <c r="CM773" s="1918" t="s">
        <v>4162</v>
      </c>
      <c r="CN773" s="1918" t="s">
        <v>4163</v>
      </c>
      <c r="CO773" s="1918" t="s">
        <v>4164</v>
      </c>
      <c r="CP773" s="1918" t="s">
        <v>4155</v>
      </c>
      <c r="CQ773" s="1918" t="s">
        <v>4156</v>
      </c>
      <c r="CR773" s="1918" t="s">
        <v>4157</v>
      </c>
      <c r="CS773" s="1918" t="s">
        <v>4158</v>
      </c>
      <c r="CT773" s="1918" t="s">
        <v>4159</v>
      </c>
      <c r="CU773" s="1918" t="s">
        <v>4165</v>
      </c>
      <c r="CV773" s="1918" t="s">
        <v>4166</v>
      </c>
      <c r="CW773" s="1918" t="s">
        <v>4167</v>
      </c>
      <c r="CX773" s="1918" t="s">
        <v>4168</v>
      </c>
      <c r="CY773" s="1918" t="s">
        <v>4169</v>
      </c>
      <c r="CZ773" s="1918" t="s">
        <v>485</v>
      </c>
      <c r="DA773" s="1918" t="s">
        <v>486</v>
      </c>
      <c r="DB773" s="1918" t="s">
        <v>487</v>
      </c>
      <c r="DC773" s="1918" t="s">
        <v>488</v>
      </c>
      <c r="DD773" s="1918" t="s">
        <v>489</v>
      </c>
      <c r="DE773" s="1918" t="s">
        <v>4170</v>
      </c>
      <c r="DF773" s="1918" t="s">
        <v>4171</v>
      </c>
      <c r="DG773" s="1918" t="s">
        <v>4172</v>
      </c>
      <c r="DH773" s="1918" t="s">
        <v>4173</v>
      </c>
      <c r="DI773" s="1918" t="s">
        <v>4174</v>
      </c>
      <c r="DJ773" s="1918" t="s">
        <v>859</v>
      </c>
      <c r="DK773" s="1918" t="s">
        <v>860</v>
      </c>
      <c r="DL773" s="1918" t="s">
        <v>861</v>
      </c>
      <c r="DM773" s="1918" t="s">
        <v>862</v>
      </c>
      <c r="DN773" s="1918" t="s">
        <v>863</v>
      </c>
      <c r="DO773" s="1918" t="s">
        <v>864</v>
      </c>
      <c r="DP773" s="1918" t="s">
        <v>865</v>
      </c>
      <c r="DQ773" s="1918" t="s">
        <v>866</v>
      </c>
      <c r="DR773" s="1918" t="s">
        <v>867</v>
      </c>
      <c r="DS773" s="1918" t="s">
        <v>868</v>
      </c>
      <c r="DT773" s="1918" t="s">
        <v>4175</v>
      </c>
      <c r="DU773" s="1918" t="s">
        <v>4176</v>
      </c>
      <c r="DV773" s="1918" t="s">
        <v>4177</v>
      </c>
      <c r="DW773" s="1918" t="s">
        <v>4178</v>
      </c>
      <c r="DX773" s="1918" t="s">
        <v>4179</v>
      </c>
      <c r="DY773" s="1918" t="s">
        <v>4180</v>
      </c>
      <c r="DZ773" s="1918" t="s">
        <v>4181</v>
      </c>
      <c r="EA773" s="1918" t="s">
        <v>4182</v>
      </c>
      <c r="EB773" s="1918" t="s">
        <v>4183</v>
      </c>
      <c r="EC773" s="1918" t="s">
        <v>4184</v>
      </c>
      <c r="ED773" s="1918" t="s">
        <v>2367</v>
      </c>
      <c r="EE773" s="1918" t="s">
        <v>2368</v>
      </c>
      <c r="EF773" s="1918" t="s">
        <v>2369</v>
      </c>
      <c r="EG773" s="1918" t="s">
        <v>2370</v>
      </c>
      <c r="EH773" s="1918" t="s">
        <v>2371</v>
      </c>
      <c r="EI773" s="1918" t="s">
        <v>4185</v>
      </c>
      <c r="EJ773" s="1918" t="s">
        <v>4186</v>
      </c>
      <c r="EK773" s="1918" t="s">
        <v>4187</v>
      </c>
      <c r="EL773" s="1918" t="s">
        <v>4188</v>
      </c>
      <c r="EM773" s="1918" t="s">
        <v>4189</v>
      </c>
      <c r="EN773" s="1918" t="s">
        <v>4190</v>
      </c>
      <c r="EO773" s="1918" t="s">
        <v>4191</v>
      </c>
      <c r="EP773" s="1918" t="s">
        <v>4192</v>
      </c>
      <c r="EQ773" s="1918" t="s">
        <v>4193</v>
      </c>
      <c r="ER773" s="1918" t="s">
        <v>4194</v>
      </c>
      <c r="ES773" s="1995" t="s">
        <v>114</v>
      </c>
      <c r="ET773" s="1995" t="s">
        <v>1129</v>
      </c>
      <c r="EU773" s="1995" t="s">
        <v>1130</v>
      </c>
      <c r="EV773" s="1995" t="s">
        <v>1187</v>
      </c>
      <c r="EW773" s="1995" t="s">
        <v>1188</v>
      </c>
      <c r="EX773" s="1995" t="s">
        <v>129</v>
      </c>
      <c r="EY773" s="1995" t="s">
        <v>1189</v>
      </c>
      <c r="EZ773" s="1995" t="s">
        <v>1190</v>
      </c>
      <c r="FA773" s="1995" t="s">
        <v>1191</v>
      </c>
      <c r="FB773" s="1995" t="s">
        <v>1192</v>
      </c>
      <c r="FC773" s="1918" t="s">
        <v>4195</v>
      </c>
      <c r="FD773" s="1918" t="s">
        <v>4196</v>
      </c>
      <c r="FE773" s="1918" t="s">
        <v>4197</v>
      </c>
      <c r="FF773" s="1918" t="s">
        <v>4198</v>
      </c>
      <c r="FG773" s="1918" t="s">
        <v>4199</v>
      </c>
      <c r="FH773" s="1995" t="s">
        <v>128</v>
      </c>
      <c r="FI773" s="1995" t="s">
        <v>890</v>
      </c>
      <c r="FJ773" s="1995" t="s">
        <v>891</v>
      </c>
      <c r="FK773" s="1995" t="s">
        <v>892</v>
      </c>
      <c r="FL773" s="1995" t="s">
        <v>893</v>
      </c>
      <c r="FM773" s="1918" t="s">
        <v>4200</v>
      </c>
      <c r="FN773" s="1918" t="s">
        <v>4201</v>
      </c>
      <c r="FO773" s="1918" t="s">
        <v>4202</v>
      </c>
      <c r="FP773" s="1918" t="s">
        <v>4203</v>
      </c>
      <c r="FQ773" s="1918" t="s">
        <v>4204</v>
      </c>
      <c r="FR773" s="1995" t="s">
        <v>127</v>
      </c>
      <c r="FS773" s="1995" t="s">
        <v>894</v>
      </c>
      <c r="FT773" s="1995" t="s">
        <v>895</v>
      </c>
      <c r="FU773" s="1995" t="s">
        <v>896</v>
      </c>
      <c r="FV773" s="1995" t="s">
        <v>897</v>
      </c>
      <c r="FW773" s="1995" t="s">
        <v>789</v>
      </c>
      <c r="FX773" s="1995" t="s">
        <v>790</v>
      </c>
      <c r="FY773" s="1995" t="s">
        <v>791</v>
      </c>
      <c r="FZ773" s="1995" t="s">
        <v>792</v>
      </c>
      <c r="GA773" s="1995" t="s">
        <v>793</v>
      </c>
      <c r="GB773" s="1995" t="s">
        <v>935</v>
      </c>
      <c r="GC773" s="1995" t="s">
        <v>936</v>
      </c>
      <c r="GD773" s="1995" t="s">
        <v>937</v>
      </c>
      <c r="GE773" s="1995" t="s">
        <v>938</v>
      </c>
      <c r="GF773" s="1995" t="s">
        <v>2366</v>
      </c>
      <c r="GG773" s="1995" t="s">
        <v>1405</v>
      </c>
      <c r="GH773" s="1995" t="s">
        <v>1406</v>
      </c>
      <c r="GI773" s="1995" t="s">
        <v>1407</v>
      </c>
      <c r="GJ773" s="1995" t="s">
        <v>1408</v>
      </c>
      <c r="GK773" s="1995" t="s">
        <v>1409</v>
      </c>
      <c r="GL773" s="1995" t="s">
        <v>428</v>
      </c>
      <c r="GM773" s="1995" t="s">
        <v>429</v>
      </c>
      <c r="GN773" s="1995" t="s">
        <v>430</v>
      </c>
      <c r="GO773" s="1995" t="s">
        <v>431</v>
      </c>
      <c r="GP773" s="1995" t="s">
        <v>432</v>
      </c>
      <c r="GQ773" s="1995" t="s">
        <v>15</v>
      </c>
      <c r="GR773" s="1995" t="s">
        <v>16</v>
      </c>
      <c r="GS773" s="1995" t="s">
        <v>17</v>
      </c>
      <c r="GT773" s="1995" t="s">
        <v>18</v>
      </c>
      <c r="GU773" s="1995" t="s">
        <v>19</v>
      </c>
      <c r="GV773" s="1995" t="s">
        <v>217</v>
      </c>
      <c r="GW773" s="1995" t="s">
        <v>218</v>
      </c>
      <c r="GX773" s="1995" t="s">
        <v>219</v>
      </c>
      <c r="GY773" s="1995" t="s">
        <v>1765</v>
      </c>
      <c r="GZ773" s="1995" t="s">
        <v>1766</v>
      </c>
      <c r="HA773" s="1995" t="s">
        <v>1767</v>
      </c>
      <c r="HB773" s="1995" t="s">
        <v>575</v>
      </c>
      <c r="HC773" s="1995" t="s">
        <v>576</v>
      </c>
      <c r="HD773" s="1995" t="s">
        <v>577</v>
      </c>
      <c r="HE773" s="1995" t="s">
        <v>578</v>
      </c>
      <c r="HF773" s="1995" t="s">
        <v>20</v>
      </c>
      <c r="HG773" s="1995" t="s">
        <v>21</v>
      </c>
      <c r="HH773" s="1995" t="s">
        <v>22</v>
      </c>
      <c r="HI773" s="1995" t="s">
        <v>23</v>
      </c>
      <c r="HJ773" s="1995" t="s">
        <v>24</v>
      </c>
      <c r="HK773" s="1995" t="s">
        <v>484</v>
      </c>
      <c r="HL773" s="1995" t="s">
        <v>424</v>
      </c>
      <c r="HM773" s="1995" t="s">
        <v>425</v>
      </c>
      <c r="HN773" s="1995" t="s">
        <v>426</v>
      </c>
      <c r="HO773" s="1995" t="s">
        <v>427</v>
      </c>
      <c r="HP773" s="1995" t="s">
        <v>2152</v>
      </c>
      <c r="HQ773" s="1995" t="s">
        <v>2153</v>
      </c>
      <c r="HR773" s="1995" t="s">
        <v>2154</v>
      </c>
      <c r="HS773" s="1995" t="s">
        <v>1448</v>
      </c>
      <c r="HT773" s="1995" t="s">
        <v>1449</v>
      </c>
      <c r="HU773" s="1995" t="s">
        <v>25</v>
      </c>
      <c r="HV773" s="1995" t="s">
        <v>26</v>
      </c>
      <c r="HW773" s="1995" t="s">
        <v>27</v>
      </c>
      <c r="HX773" s="1995" t="s">
        <v>28</v>
      </c>
      <c r="HY773" s="1995" t="s">
        <v>29</v>
      </c>
      <c r="HZ773" s="1896"/>
      <c r="IA773" s="1896"/>
      <c r="IB773" s="1896"/>
      <c r="IC773" s="1896"/>
      <c r="ID773" s="1896"/>
      <c r="IE773" s="1896"/>
      <c r="IF773" s="1896"/>
      <c r="IG773" s="1896"/>
      <c r="IH773" s="1896"/>
      <c r="II773" s="1896"/>
      <c r="IJ773" s="1896"/>
      <c r="IK773" s="1896"/>
      <c r="IL773" s="1896"/>
      <c r="IM773" s="1896"/>
      <c r="IN773" s="1896"/>
      <c r="IO773" s="1896"/>
      <c r="IP773" s="1896"/>
      <c r="IQ773" s="1896"/>
      <c r="IR773" s="1896"/>
      <c r="IS773" s="1896"/>
      <c r="IT773" s="1896"/>
      <c r="IU773" s="1896"/>
      <c r="IV773" s="1896"/>
      <c r="IW773" s="1896"/>
      <c r="IX773" s="1896"/>
      <c r="IY773" s="1896"/>
      <c r="IZ773" s="1896"/>
      <c r="JA773" s="1896"/>
      <c r="JB773" s="1896"/>
      <c r="JC773" s="1896"/>
      <c r="JD773" s="1896"/>
      <c r="JE773" s="1896"/>
      <c r="JF773" s="1896"/>
      <c r="JG773" s="1896"/>
      <c r="JH773" s="1896"/>
      <c r="JI773" s="1896"/>
      <c r="JJ773" s="1896"/>
      <c r="JK773" s="1896"/>
      <c r="JL773" s="1896"/>
      <c r="JM773" s="1896"/>
      <c r="JN773" s="1896"/>
      <c r="JO773" s="1896"/>
      <c r="JP773" s="1896"/>
      <c r="JQ773" s="1896"/>
      <c r="JR773" s="1896"/>
      <c r="JS773" s="1896"/>
      <c r="JT773" s="1896"/>
      <c r="JU773" s="1896"/>
      <c r="JV773" s="1896"/>
      <c r="JW773" s="1896"/>
      <c r="JX773" s="1896"/>
      <c r="JY773" s="1896"/>
      <c r="JZ773" s="1896"/>
      <c r="KA773" s="1896"/>
      <c r="KB773" s="1896"/>
      <c r="KC773" s="1896"/>
      <c r="KD773" s="1896"/>
      <c r="KE773" s="1896"/>
      <c r="KF773" s="1896"/>
      <c r="KG773" s="1896"/>
      <c r="KH773" s="1896"/>
      <c r="KI773" s="1896"/>
      <c r="KJ773" s="1896"/>
      <c r="KK773" s="1896"/>
      <c r="KL773" s="1896"/>
      <c r="KM773" s="1896"/>
      <c r="KN773" s="1896"/>
      <c r="KO773" s="1896"/>
      <c r="KP773" s="1896"/>
      <c r="KQ773" s="1896"/>
      <c r="KR773" s="1896"/>
      <c r="KS773" s="1896"/>
      <c r="KT773" s="1896"/>
      <c r="KU773" s="1896"/>
      <c r="KV773" s="1896"/>
      <c r="LQ773" s="1995" t="s">
        <v>1592</v>
      </c>
      <c r="LR773" s="1995" t="s">
        <v>2457</v>
      </c>
      <c r="LS773" s="1995" t="s">
        <v>2458</v>
      </c>
      <c r="LT773" s="1995" t="s">
        <v>379</v>
      </c>
      <c r="LU773" s="1995" t="s">
        <v>380</v>
      </c>
      <c r="LV773" s="1995" t="s">
        <v>381</v>
      </c>
      <c r="LW773" s="1995" t="s">
        <v>382</v>
      </c>
      <c r="LX773" s="1995" t="s">
        <v>383</v>
      </c>
      <c r="LY773" s="1995" t="s">
        <v>384</v>
      </c>
      <c r="LZ773" s="1995" t="s">
        <v>385</v>
      </c>
      <c r="MA773" s="1995" t="s">
        <v>198</v>
      </c>
      <c r="MB773" s="1995" t="s">
        <v>199</v>
      </c>
      <c r="MC773" s="1995" t="s">
        <v>200</v>
      </c>
      <c r="MD773" s="1995" t="s">
        <v>201</v>
      </c>
      <c r="ME773" s="1995" t="s">
        <v>202</v>
      </c>
      <c r="MF773" s="1995" t="s">
        <v>203</v>
      </c>
      <c r="MG773" s="1995" t="s">
        <v>204</v>
      </c>
      <c r="MH773" s="1995" t="s">
        <v>205</v>
      </c>
      <c r="MI773" s="1995" t="s">
        <v>206</v>
      </c>
      <c r="MJ773" s="1995" t="s">
        <v>207</v>
      </c>
      <c r="MK773" s="1995" t="s">
        <v>208</v>
      </c>
      <c r="ML773" s="1995" t="s">
        <v>209</v>
      </c>
      <c r="MM773" s="1995" t="s">
        <v>210</v>
      </c>
      <c r="MN773" s="1995" t="s">
        <v>211</v>
      </c>
      <c r="MO773" s="1995" t="s">
        <v>212</v>
      </c>
      <c r="MP773" s="1995"/>
      <c r="MQ773" s="1995"/>
      <c r="MR773" s="1995"/>
      <c r="MS773" s="1995"/>
      <c r="MT773" s="1995"/>
    </row>
    <row r="774" spans="1:368" s="1815" customFormat="1" ht="13.35" customHeight="1">
      <c r="A774" s="2101" t="str">
        <f>IF(A817&gt;0,"Finish Row!","")</f>
        <v/>
      </c>
      <c r="B774" s="1815" t="s">
        <v>1800</v>
      </c>
      <c r="G774" s="1896" t="str">
        <f>'Part VI-Revenues &amp; Expenses'!G5</f>
        <v>&lt;Select&gt;</v>
      </c>
      <c r="I774" s="1918" t="s">
        <v>4793</v>
      </c>
      <c r="K774" s="1732" t="s">
        <v>3432</v>
      </c>
      <c r="L774" s="2102" t="str">
        <f>'Part I-Project Information'!$B$6</f>
        <v>May 26, 2020 Version</v>
      </c>
      <c r="M774" s="2103"/>
      <c r="N774" s="1922" t="s">
        <v>559</v>
      </c>
      <c r="P774" s="1896" t="s">
        <v>6824</v>
      </c>
      <c r="Q774" s="1918"/>
      <c r="R774" s="2240"/>
      <c r="X774" s="1918"/>
      <c r="Y774" s="1918"/>
      <c r="Z774" s="1918"/>
      <c r="AA774" s="1918"/>
      <c r="AB774" s="1918"/>
      <c r="AC774" s="1918"/>
      <c r="AD774" s="1918"/>
      <c r="AE774" s="1918"/>
      <c r="AF774" s="1918"/>
      <c r="AG774" s="1918"/>
      <c r="AH774" s="1918"/>
      <c r="AI774" s="1918"/>
      <c r="AJ774" s="1918"/>
      <c r="AK774" s="1918"/>
      <c r="AL774" s="1918"/>
      <c r="AM774" s="1918"/>
      <c r="AN774" s="1918"/>
      <c r="AO774" s="1918"/>
      <c r="AP774" s="1918"/>
      <c r="AQ774" s="1918"/>
      <c r="AR774" s="1918"/>
      <c r="AS774" s="1918"/>
      <c r="AT774" s="1918"/>
      <c r="AU774" s="1918"/>
      <c r="AV774" s="1918"/>
      <c r="AW774" s="1918"/>
      <c r="AX774" s="1918"/>
      <c r="AY774" s="1918"/>
      <c r="AZ774" s="1918"/>
      <c r="BA774" s="1918"/>
      <c r="BB774" s="1918"/>
      <c r="BC774" s="1918"/>
      <c r="BD774" s="1918"/>
      <c r="BE774" s="1918"/>
      <c r="BF774" s="1918"/>
      <c r="BG774" s="1918"/>
      <c r="BH774" s="1918"/>
      <c r="BI774" s="1918"/>
      <c r="BJ774" s="1918"/>
      <c r="BK774" s="1918"/>
      <c r="BL774" s="1918"/>
      <c r="BM774" s="1918"/>
      <c r="BN774" s="1918"/>
      <c r="BO774" s="1918"/>
      <c r="BP774" s="1918"/>
      <c r="BQ774" s="1918"/>
      <c r="BR774" s="1918"/>
      <c r="BS774" s="1918"/>
      <c r="BT774" s="1918"/>
      <c r="BU774" s="1918"/>
      <c r="BV774" s="1918"/>
      <c r="BW774" s="1918"/>
      <c r="BX774" s="1918"/>
      <c r="BY774" s="1918"/>
      <c r="BZ774" s="1918"/>
      <c r="CA774" s="1918"/>
      <c r="CB774" s="1918"/>
      <c r="CC774" s="1918"/>
      <c r="CD774" s="1918"/>
      <c r="CE774" s="1918"/>
      <c r="CF774" s="1918"/>
      <c r="CG774" s="1918"/>
      <c r="CH774" s="1918"/>
      <c r="CI774" s="1918"/>
      <c r="CJ774" s="1918"/>
      <c r="CK774" s="1918"/>
      <c r="CL774" s="1918"/>
      <c r="CM774" s="1918"/>
      <c r="CN774" s="1918"/>
      <c r="CO774" s="1918"/>
      <c r="CP774" s="1918"/>
      <c r="CQ774" s="1918"/>
      <c r="CR774" s="1918"/>
      <c r="CS774" s="1918"/>
      <c r="CT774" s="1918"/>
      <c r="CU774" s="1918"/>
      <c r="CV774" s="1918"/>
      <c r="CW774" s="1918"/>
      <c r="CX774" s="1918"/>
      <c r="CY774" s="1918"/>
      <c r="CZ774" s="1918"/>
      <c r="DA774" s="1918"/>
      <c r="DB774" s="1918"/>
      <c r="DC774" s="1918"/>
      <c r="DD774" s="1918"/>
      <c r="DE774" s="1918"/>
      <c r="DF774" s="1918"/>
      <c r="DG774" s="1918"/>
      <c r="DH774" s="1918"/>
      <c r="DI774" s="1918"/>
      <c r="DJ774" s="1918"/>
      <c r="DK774" s="1918"/>
      <c r="DL774" s="1918"/>
      <c r="DM774" s="1918"/>
      <c r="DN774" s="1918"/>
      <c r="DO774" s="1918"/>
      <c r="DP774" s="1918"/>
      <c r="DQ774" s="1918"/>
      <c r="DR774" s="1918"/>
      <c r="DS774" s="1918"/>
      <c r="DT774" s="1918"/>
      <c r="DU774" s="1918"/>
      <c r="DV774" s="1918"/>
      <c r="DW774" s="1918"/>
      <c r="DX774" s="1918"/>
      <c r="DY774" s="1918"/>
      <c r="DZ774" s="1918"/>
      <c r="EA774" s="1918"/>
      <c r="EB774" s="1918"/>
      <c r="EC774" s="1918"/>
      <c r="ED774" s="1918"/>
      <c r="EE774" s="1918"/>
      <c r="EF774" s="1918"/>
      <c r="EG774" s="1918"/>
      <c r="EH774" s="1918"/>
      <c r="EI774" s="1918"/>
      <c r="EJ774" s="1918"/>
      <c r="EK774" s="1918"/>
      <c r="EL774" s="1918"/>
      <c r="EM774" s="1918"/>
      <c r="EN774" s="1918"/>
      <c r="EO774" s="1918"/>
      <c r="EP774" s="1918"/>
      <c r="EQ774" s="1918"/>
      <c r="ER774" s="1918"/>
      <c r="ES774" s="1995"/>
      <c r="ET774" s="1995"/>
      <c r="EU774" s="1995"/>
      <c r="EV774" s="1995"/>
      <c r="EW774" s="1995"/>
      <c r="EX774" s="1995"/>
      <c r="EY774" s="1995"/>
      <c r="EZ774" s="1995"/>
      <c r="FA774" s="1995"/>
      <c r="FB774" s="1995"/>
      <c r="FC774" s="1918"/>
      <c r="FD774" s="1918"/>
      <c r="FE774" s="1918"/>
      <c r="FF774" s="1918"/>
      <c r="FG774" s="1918"/>
      <c r="FH774" s="1995"/>
      <c r="FI774" s="1995"/>
      <c r="FJ774" s="1995"/>
      <c r="FK774" s="1995"/>
      <c r="FL774" s="1995"/>
      <c r="FM774" s="1918"/>
      <c r="FN774" s="1918"/>
      <c r="FO774" s="1918"/>
      <c r="FP774" s="1918"/>
      <c r="FQ774" s="1918"/>
      <c r="FR774" s="1995"/>
      <c r="FS774" s="1995"/>
      <c r="FT774" s="1995"/>
      <c r="FU774" s="1995"/>
      <c r="FV774" s="1995"/>
      <c r="FW774" s="1995"/>
      <c r="FX774" s="1995"/>
      <c r="FY774" s="1995"/>
      <c r="FZ774" s="1995"/>
      <c r="GA774" s="1995"/>
      <c r="GB774" s="1995"/>
      <c r="GC774" s="1995"/>
      <c r="GD774" s="1995"/>
      <c r="GE774" s="1995"/>
      <c r="GF774" s="1995"/>
      <c r="GG774" s="1995"/>
      <c r="GH774" s="1995"/>
      <c r="GI774" s="1995"/>
      <c r="GJ774" s="1995"/>
      <c r="GK774" s="1995"/>
      <c r="GL774" s="1995"/>
      <c r="GM774" s="1995"/>
      <c r="GN774" s="1995"/>
      <c r="GO774" s="1995"/>
      <c r="GP774" s="1995"/>
      <c r="GQ774" s="1995"/>
      <c r="GR774" s="1995"/>
      <c r="GS774" s="1995"/>
      <c r="GT774" s="1995"/>
      <c r="GU774" s="1995"/>
      <c r="GV774" s="1995"/>
      <c r="GW774" s="1995"/>
      <c r="GX774" s="1995"/>
      <c r="GY774" s="1995"/>
      <c r="GZ774" s="1995"/>
      <c r="HA774" s="1995"/>
      <c r="HB774" s="1995"/>
      <c r="HC774" s="1995"/>
      <c r="HD774" s="1995"/>
      <c r="HE774" s="1995"/>
      <c r="HF774" s="1995"/>
      <c r="HG774" s="1995"/>
      <c r="HH774" s="1995"/>
      <c r="HI774" s="1995"/>
      <c r="HJ774" s="1995"/>
      <c r="HK774" s="1995"/>
      <c r="HL774" s="1995"/>
      <c r="HM774" s="1995"/>
      <c r="HN774" s="1995"/>
      <c r="HO774" s="1995"/>
      <c r="HP774" s="1995"/>
      <c r="HQ774" s="1995"/>
      <c r="HR774" s="1995"/>
      <c r="HS774" s="1995"/>
      <c r="HT774" s="1995"/>
      <c r="HU774" s="1995"/>
      <c r="HV774" s="1995"/>
      <c r="HW774" s="1995"/>
      <c r="HX774" s="1995"/>
      <c r="HY774" s="1995"/>
      <c r="HZ774" s="1896"/>
      <c r="IA774" s="1896"/>
      <c r="IB774" s="1896"/>
      <c r="IC774" s="1896"/>
      <c r="ID774" s="1896"/>
      <c r="IE774" s="1896"/>
      <c r="IF774" s="1896"/>
      <c r="IG774" s="1896"/>
      <c r="IH774" s="1896"/>
      <c r="II774" s="1896"/>
      <c r="IJ774" s="1896"/>
      <c r="IK774" s="1896"/>
      <c r="IL774" s="1896"/>
      <c r="IM774" s="1896"/>
      <c r="IN774" s="1896"/>
      <c r="IO774" s="1896"/>
      <c r="IP774" s="1896"/>
      <c r="IQ774" s="1896"/>
      <c r="IR774" s="1896"/>
      <c r="IS774" s="1896"/>
      <c r="IT774" s="1896"/>
      <c r="IU774" s="1896"/>
      <c r="IV774" s="1896"/>
      <c r="IW774" s="1896"/>
      <c r="IX774" s="1896"/>
      <c r="IY774" s="1896"/>
      <c r="IZ774" s="1896"/>
      <c r="JA774" s="1896"/>
      <c r="JB774" s="1896"/>
      <c r="JC774" s="1896"/>
      <c r="JD774" s="1896"/>
      <c r="JE774" s="1896"/>
      <c r="JF774" s="1896"/>
      <c r="JG774" s="1896"/>
      <c r="JH774" s="1896"/>
      <c r="JI774" s="1896"/>
      <c r="JJ774" s="1896"/>
      <c r="JK774" s="1896"/>
      <c r="JL774" s="1896"/>
      <c r="JM774" s="1896"/>
      <c r="JN774" s="1896"/>
      <c r="JO774" s="1896"/>
      <c r="JP774" s="1896"/>
      <c r="JQ774" s="1896"/>
      <c r="JR774" s="1896"/>
      <c r="JS774" s="1896"/>
      <c r="JT774" s="1896"/>
      <c r="JU774" s="1896"/>
      <c r="JV774" s="1896"/>
      <c r="JW774" s="1896"/>
      <c r="JX774" s="1896"/>
      <c r="JY774" s="1896"/>
      <c r="JZ774" s="1896"/>
      <c r="KA774" s="1896"/>
      <c r="KB774" s="1896"/>
      <c r="KC774" s="1896"/>
      <c r="KD774" s="1896"/>
      <c r="KE774" s="1896"/>
      <c r="KF774" s="1896"/>
      <c r="KG774" s="1896"/>
      <c r="KH774" s="1896"/>
      <c r="KI774" s="1896"/>
      <c r="KJ774" s="1896"/>
      <c r="KK774" s="1896"/>
      <c r="KL774" s="1896"/>
      <c r="KM774" s="1896"/>
      <c r="KN774" s="1896"/>
      <c r="KO774" s="1896"/>
      <c r="KP774" s="1896"/>
      <c r="KQ774" s="1896"/>
      <c r="KR774" s="1896"/>
      <c r="KS774" s="1896"/>
      <c r="KT774" s="1896"/>
      <c r="KU774" s="1896"/>
      <c r="KV774" s="1896"/>
      <c r="LQ774" s="1995"/>
      <c r="LR774" s="1995"/>
      <c r="LS774" s="1995"/>
      <c r="LT774" s="1995"/>
      <c r="LU774" s="1995"/>
      <c r="LV774" s="1995"/>
      <c r="LW774" s="1995"/>
      <c r="LX774" s="1995"/>
      <c r="LY774" s="1995"/>
      <c r="LZ774" s="1995"/>
      <c r="MA774" s="1995"/>
      <c r="MB774" s="1995"/>
      <c r="MC774" s="1995"/>
      <c r="MD774" s="1995"/>
      <c r="ME774" s="1995"/>
      <c r="MF774" s="1995"/>
      <c r="MG774" s="1995"/>
      <c r="MH774" s="1995"/>
      <c r="MI774" s="1995"/>
      <c r="MJ774" s="1995"/>
      <c r="MK774" s="1995"/>
      <c r="ML774" s="1995"/>
      <c r="MM774" s="1995"/>
      <c r="MN774" s="1995"/>
      <c r="MO774" s="1995"/>
      <c r="MP774" s="1995"/>
      <c r="MQ774" s="1995"/>
      <c r="MR774" s="1995"/>
      <c r="MS774" s="1995"/>
      <c r="MT774" s="1995"/>
      <c r="MU774" s="1815" t="s">
        <v>3304</v>
      </c>
      <c r="MV774" s="1815" t="s">
        <v>3305</v>
      </c>
      <c r="MW774" s="1815" t="s">
        <v>3306</v>
      </c>
      <c r="MX774" s="1815" t="s">
        <v>3307</v>
      </c>
      <c r="MY774" s="1815" t="s">
        <v>3308</v>
      </c>
      <c r="MZ774" s="1995" t="s">
        <v>3318</v>
      </c>
      <c r="NA774" s="1995" t="s">
        <v>3320</v>
      </c>
      <c r="NB774" s="1995" t="s">
        <v>3321</v>
      </c>
      <c r="NC774" s="1995" t="s">
        <v>3322</v>
      </c>
      <c r="ND774" s="1995" t="s">
        <v>3323</v>
      </c>
    </row>
    <row r="775" spans="1:368" s="1815" customFormat="1" ht="13.35" customHeight="1">
      <c r="A775" s="2101"/>
      <c r="B775" s="1913" t="s">
        <v>1759</v>
      </c>
      <c r="F775" s="1896" t="str">
        <f>'Part VI-Revenues &amp; Expenses'!F6</f>
        <v>No</v>
      </c>
      <c r="G775" s="1732" t="s">
        <v>3489</v>
      </c>
      <c r="H775" s="1918" t="s">
        <v>3662</v>
      </c>
      <c r="I775" s="1918"/>
      <c r="J775" s="1732" t="s">
        <v>778</v>
      </c>
      <c r="K775" s="1732" t="s">
        <v>3492</v>
      </c>
      <c r="L775" s="2103"/>
      <c r="M775" s="2103"/>
      <c r="N775" s="2104" t="str">
        <f>'Part I-Project Information'!$O$40</f>
        <v>Columbus</v>
      </c>
      <c r="O775" s="2104"/>
      <c r="P775" s="1916">
        <f>VLOOKUP('Part I-Project Information'!$O$40,'DCA Underwriting Assumptions'!$C$173:$D$283,2)</f>
        <v>59600</v>
      </c>
      <c r="Q775" s="1918"/>
      <c r="R775" s="1815" t="s">
        <v>2619</v>
      </c>
      <c r="X775" s="1918"/>
      <c r="Y775" s="1918"/>
      <c r="Z775" s="1918"/>
      <c r="AA775" s="1918"/>
      <c r="AB775" s="1918"/>
      <c r="AC775" s="1918"/>
      <c r="AD775" s="1918"/>
      <c r="AE775" s="1918"/>
      <c r="AF775" s="1918"/>
      <c r="AG775" s="1918"/>
      <c r="AH775" s="1918"/>
      <c r="AI775" s="1918"/>
      <c r="AJ775" s="1918"/>
      <c r="AK775" s="1918"/>
      <c r="AL775" s="1918"/>
      <c r="AM775" s="1918"/>
      <c r="AN775" s="1918"/>
      <c r="AO775" s="1918"/>
      <c r="AP775" s="1918"/>
      <c r="AQ775" s="1918"/>
      <c r="AR775" s="1918"/>
      <c r="AS775" s="1918"/>
      <c r="AT775" s="1918"/>
      <c r="AU775" s="1918"/>
      <c r="AV775" s="1918"/>
      <c r="AW775" s="1918"/>
      <c r="AX775" s="1918"/>
      <c r="AY775" s="1918"/>
      <c r="AZ775" s="1918"/>
      <c r="BA775" s="1918"/>
      <c r="BB775" s="1918"/>
      <c r="BC775" s="1918"/>
      <c r="BD775" s="1918"/>
      <c r="BE775" s="1918"/>
      <c r="BF775" s="1918"/>
      <c r="BG775" s="1918"/>
      <c r="BH775" s="1918"/>
      <c r="BI775" s="1918"/>
      <c r="BJ775" s="1918"/>
      <c r="BK775" s="1918"/>
      <c r="BL775" s="1918"/>
      <c r="BM775" s="1918"/>
      <c r="BN775" s="1918"/>
      <c r="BO775" s="1918"/>
      <c r="BP775" s="1918"/>
      <c r="BQ775" s="1918"/>
      <c r="BR775" s="1918"/>
      <c r="BS775" s="1918"/>
      <c r="BT775" s="1918"/>
      <c r="BU775" s="1918"/>
      <c r="BV775" s="1918"/>
      <c r="BW775" s="1918"/>
      <c r="BX775" s="1918"/>
      <c r="BY775" s="1918"/>
      <c r="BZ775" s="1918"/>
      <c r="CA775" s="1918"/>
      <c r="CB775" s="1918"/>
      <c r="CC775" s="1918"/>
      <c r="CD775" s="1918"/>
      <c r="CE775" s="1918"/>
      <c r="CF775" s="1918"/>
      <c r="CG775" s="1918"/>
      <c r="CH775" s="1918"/>
      <c r="CI775" s="1918"/>
      <c r="CJ775" s="1918"/>
      <c r="CK775" s="1918"/>
      <c r="CL775" s="1918"/>
      <c r="CM775" s="1918"/>
      <c r="CN775" s="1918"/>
      <c r="CO775" s="1918"/>
      <c r="CP775" s="1918"/>
      <c r="CQ775" s="1918"/>
      <c r="CR775" s="1918"/>
      <c r="CS775" s="1918"/>
      <c r="CT775" s="1918"/>
      <c r="CU775" s="1918"/>
      <c r="CV775" s="1918"/>
      <c r="CW775" s="1918"/>
      <c r="CX775" s="1918"/>
      <c r="CY775" s="1918"/>
      <c r="CZ775" s="1918"/>
      <c r="DA775" s="1918"/>
      <c r="DB775" s="1918"/>
      <c r="DC775" s="1918"/>
      <c r="DD775" s="1918"/>
      <c r="DE775" s="1918"/>
      <c r="DF775" s="1918"/>
      <c r="DG775" s="1918"/>
      <c r="DH775" s="1918"/>
      <c r="DI775" s="1918"/>
      <c r="DJ775" s="1918"/>
      <c r="DK775" s="1918"/>
      <c r="DL775" s="1918"/>
      <c r="DM775" s="1918"/>
      <c r="DN775" s="1918"/>
      <c r="DO775" s="1918"/>
      <c r="DP775" s="1918"/>
      <c r="DQ775" s="1918"/>
      <c r="DR775" s="1918"/>
      <c r="DS775" s="1918"/>
      <c r="DT775" s="1918"/>
      <c r="DU775" s="1918"/>
      <c r="DV775" s="1918"/>
      <c r="DW775" s="1918"/>
      <c r="DX775" s="1918"/>
      <c r="DY775" s="1918"/>
      <c r="DZ775" s="1918"/>
      <c r="EA775" s="1918"/>
      <c r="EB775" s="1918"/>
      <c r="EC775" s="1918"/>
      <c r="ED775" s="1918"/>
      <c r="EE775" s="1918"/>
      <c r="EF775" s="1918"/>
      <c r="EG775" s="1918"/>
      <c r="EH775" s="1918"/>
      <c r="EI775" s="1918"/>
      <c r="EJ775" s="1918"/>
      <c r="EK775" s="1918"/>
      <c r="EL775" s="1918"/>
      <c r="EM775" s="1918"/>
      <c r="EN775" s="1918"/>
      <c r="EO775" s="1918"/>
      <c r="EP775" s="1918"/>
      <c r="EQ775" s="1918"/>
      <c r="ER775" s="1918"/>
      <c r="ES775" s="1995"/>
      <c r="ET775" s="1995"/>
      <c r="EU775" s="1995"/>
      <c r="EV775" s="1995"/>
      <c r="EW775" s="1995"/>
      <c r="EX775" s="1995"/>
      <c r="EY775" s="1995"/>
      <c r="EZ775" s="1995"/>
      <c r="FA775" s="1995"/>
      <c r="FB775" s="1995"/>
      <c r="FC775" s="1918"/>
      <c r="FD775" s="1918"/>
      <c r="FE775" s="1918"/>
      <c r="FF775" s="1918"/>
      <c r="FG775" s="1918"/>
      <c r="FH775" s="1995"/>
      <c r="FI775" s="1995"/>
      <c r="FJ775" s="1995"/>
      <c r="FK775" s="1995"/>
      <c r="FL775" s="1995"/>
      <c r="FM775" s="1918"/>
      <c r="FN775" s="1918"/>
      <c r="FO775" s="1918"/>
      <c r="FP775" s="1918"/>
      <c r="FQ775" s="1918"/>
      <c r="FR775" s="1995"/>
      <c r="FS775" s="1995"/>
      <c r="FT775" s="1995"/>
      <c r="FU775" s="1995"/>
      <c r="FV775" s="1995"/>
      <c r="FW775" s="1995"/>
      <c r="FX775" s="1995"/>
      <c r="FY775" s="1995"/>
      <c r="FZ775" s="1995"/>
      <c r="GA775" s="1995"/>
      <c r="GB775" s="1995"/>
      <c r="GC775" s="1995"/>
      <c r="GD775" s="1995"/>
      <c r="GE775" s="1995"/>
      <c r="GF775" s="1995"/>
      <c r="GG775" s="1995"/>
      <c r="GH775" s="1995"/>
      <c r="GI775" s="1995"/>
      <c r="GJ775" s="1995"/>
      <c r="GK775" s="1995"/>
      <c r="GL775" s="1995"/>
      <c r="GM775" s="1995"/>
      <c r="GN775" s="1995"/>
      <c r="GO775" s="1995"/>
      <c r="GP775" s="1995"/>
      <c r="GQ775" s="1995"/>
      <c r="GR775" s="1995"/>
      <c r="GS775" s="1995"/>
      <c r="GT775" s="1995"/>
      <c r="GU775" s="1995"/>
      <c r="GV775" s="1995"/>
      <c r="GW775" s="1995"/>
      <c r="GX775" s="1995"/>
      <c r="GY775" s="1995"/>
      <c r="GZ775" s="1995"/>
      <c r="HA775" s="1995"/>
      <c r="HB775" s="1995"/>
      <c r="HC775" s="1995"/>
      <c r="HD775" s="1995"/>
      <c r="HE775" s="1995"/>
      <c r="HF775" s="1995"/>
      <c r="HG775" s="1995"/>
      <c r="HH775" s="1995"/>
      <c r="HI775" s="1995"/>
      <c r="HJ775" s="1995"/>
      <c r="HK775" s="1995"/>
      <c r="HL775" s="1995"/>
      <c r="HM775" s="1995"/>
      <c r="HN775" s="1995"/>
      <c r="HO775" s="1995"/>
      <c r="HP775" s="1995"/>
      <c r="HQ775" s="1995"/>
      <c r="HR775" s="1995"/>
      <c r="HS775" s="1995"/>
      <c r="HT775" s="1995"/>
      <c r="HU775" s="1995"/>
      <c r="HV775" s="1995"/>
      <c r="HW775" s="1995"/>
      <c r="HX775" s="1995"/>
      <c r="HY775" s="1995"/>
      <c r="HZ775" s="1896"/>
      <c r="IA775" s="1896"/>
      <c r="IB775" s="1896"/>
      <c r="IC775" s="1896"/>
      <c r="ID775" s="1896"/>
      <c r="IE775" s="1896"/>
      <c r="IF775" s="1896"/>
      <c r="IG775" s="1896"/>
      <c r="IH775" s="1896"/>
      <c r="II775" s="1896"/>
      <c r="IJ775" s="1896"/>
      <c r="IK775" s="1896"/>
      <c r="IL775" s="1896"/>
      <c r="IM775" s="1896"/>
      <c r="IN775" s="1896"/>
      <c r="IO775" s="1896"/>
      <c r="IP775" s="1896"/>
      <c r="IQ775" s="1896"/>
      <c r="IR775" s="1896"/>
      <c r="IS775" s="1896"/>
      <c r="IT775" s="1896"/>
      <c r="IU775" s="1896"/>
      <c r="IV775" s="1896"/>
      <c r="IW775" s="1896"/>
      <c r="IX775" s="1896"/>
      <c r="IY775" s="1896"/>
      <c r="IZ775" s="1896"/>
      <c r="JA775" s="1896"/>
      <c r="JB775" s="1896"/>
      <c r="JC775" s="1896"/>
      <c r="JD775" s="1896"/>
      <c r="JE775" s="1896"/>
      <c r="JF775" s="1896"/>
      <c r="JG775" s="1896"/>
      <c r="JH775" s="1896"/>
      <c r="JI775" s="1896"/>
      <c r="JJ775" s="1896"/>
      <c r="JK775" s="1896"/>
      <c r="JL775" s="1896"/>
      <c r="JM775" s="1896"/>
      <c r="JN775" s="1896"/>
      <c r="JO775" s="1896"/>
      <c r="JP775" s="1896"/>
      <c r="JQ775" s="1896"/>
      <c r="JR775" s="1896"/>
      <c r="JS775" s="1896"/>
      <c r="JT775" s="1896"/>
      <c r="JU775" s="1896"/>
      <c r="JV775" s="1896"/>
      <c r="JW775" s="1896"/>
      <c r="JX775" s="1896"/>
      <c r="JY775" s="1896"/>
      <c r="JZ775" s="1896"/>
      <c r="KA775" s="1896"/>
      <c r="KB775" s="1896"/>
      <c r="KC775" s="1896"/>
      <c r="KD775" s="1896"/>
      <c r="KE775" s="1896"/>
      <c r="KF775" s="1896"/>
      <c r="KG775" s="1896"/>
      <c r="KH775" s="1896"/>
      <c r="KI775" s="1896"/>
      <c r="KJ775" s="1896"/>
      <c r="KK775" s="1896"/>
      <c r="KL775" s="1896"/>
      <c r="KM775" s="1896"/>
      <c r="KN775" s="1896"/>
      <c r="KO775" s="1896"/>
      <c r="KP775" s="1896"/>
      <c r="KQ775" s="1896"/>
      <c r="KR775" s="1896"/>
      <c r="KS775" s="1896"/>
      <c r="KT775" s="1896"/>
      <c r="KU775" s="1896"/>
      <c r="KV775" s="1896"/>
      <c r="LQ775" s="1995"/>
      <c r="LR775" s="1995"/>
      <c r="LS775" s="1995"/>
      <c r="LT775" s="1995"/>
      <c r="LU775" s="1995"/>
      <c r="LV775" s="1995"/>
      <c r="LW775" s="1995"/>
      <c r="LX775" s="1995"/>
      <c r="LY775" s="1995"/>
      <c r="LZ775" s="1995"/>
      <c r="MA775" s="1995"/>
      <c r="MB775" s="1995"/>
      <c r="MC775" s="1995"/>
      <c r="MD775" s="1995"/>
      <c r="ME775" s="1995"/>
      <c r="MF775" s="1995"/>
      <c r="MG775" s="1995"/>
      <c r="MH775" s="1995"/>
      <c r="MI775" s="1995"/>
      <c r="MJ775" s="1995"/>
      <c r="MK775" s="1995"/>
      <c r="ML775" s="1995"/>
      <c r="MM775" s="1995"/>
      <c r="MN775" s="1995"/>
      <c r="MO775" s="1995"/>
      <c r="MP775" s="1995"/>
      <c r="MQ775" s="1995"/>
      <c r="MR775" s="1995"/>
      <c r="MS775" s="1995"/>
      <c r="MT775" s="1995"/>
      <c r="MZ775" s="1995"/>
      <c r="NA775" s="1995"/>
      <c r="NB775" s="1995"/>
      <c r="NC775" s="1995"/>
      <c r="ND775" s="1995"/>
    </row>
    <row r="776" spans="1:368" s="1815" customFormat="1" ht="11.25" customHeight="1">
      <c r="A776" s="2101"/>
      <c r="B776" s="1732" t="s">
        <v>4207</v>
      </c>
      <c r="G776" s="1732" t="s">
        <v>3490</v>
      </c>
      <c r="H776" s="1918"/>
      <c r="I776" s="1918"/>
      <c r="J776" s="1732" t="s">
        <v>779</v>
      </c>
      <c r="K776" s="1732" t="s">
        <v>3493</v>
      </c>
      <c r="N776" s="2104"/>
      <c r="O776" s="2104"/>
      <c r="Q776" s="1918"/>
      <c r="S776" s="1896" t="s">
        <v>2616</v>
      </c>
      <c r="X776" s="1918"/>
      <c r="Y776" s="1918"/>
      <c r="Z776" s="1918"/>
      <c r="AA776" s="1918"/>
      <c r="AB776" s="1918"/>
      <c r="AC776" s="1918"/>
      <c r="AD776" s="1918"/>
      <c r="AE776" s="1918"/>
      <c r="AF776" s="1918"/>
      <c r="AG776" s="1918"/>
      <c r="AH776" s="1918"/>
      <c r="AI776" s="1918"/>
      <c r="AJ776" s="1918"/>
      <c r="AK776" s="1918"/>
      <c r="AL776" s="1918"/>
      <c r="AM776" s="1918"/>
      <c r="AN776" s="1918"/>
      <c r="AO776" s="1918"/>
      <c r="AP776" s="1918"/>
      <c r="AQ776" s="1918"/>
      <c r="AR776" s="1918"/>
      <c r="AS776" s="1918"/>
      <c r="AT776" s="1918"/>
      <c r="AU776" s="1918"/>
      <c r="AV776" s="1918"/>
      <c r="AW776" s="1918"/>
      <c r="AX776" s="1918"/>
      <c r="AY776" s="1918"/>
      <c r="AZ776" s="1918"/>
      <c r="BA776" s="1918"/>
      <c r="BB776" s="1918"/>
      <c r="BC776" s="1918"/>
      <c r="BD776" s="1918"/>
      <c r="BE776" s="1918"/>
      <c r="BF776" s="1918"/>
      <c r="BG776" s="1918"/>
      <c r="BH776" s="1918"/>
      <c r="BI776" s="1918"/>
      <c r="BJ776" s="1918"/>
      <c r="BK776" s="1918"/>
      <c r="BL776" s="1918"/>
      <c r="BM776" s="1918"/>
      <c r="BN776" s="1918"/>
      <c r="BO776" s="1918"/>
      <c r="BP776" s="1918"/>
      <c r="BQ776" s="1918"/>
      <c r="BR776" s="1918"/>
      <c r="BS776" s="1918"/>
      <c r="BT776" s="1918"/>
      <c r="BU776" s="1918"/>
      <c r="BV776" s="1918"/>
      <c r="BW776" s="1918"/>
      <c r="BX776" s="1918"/>
      <c r="BY776" s="1918"/>
      <c r="BZ776" s="1918"/>
      <c r="CA776" s="1918"/>
      <c r="CB776" s="1918"/>
      <c r="CC776" s="1918"/>
      <c r="CD776" s="1918"/>
      <c r="CE776" s="1918"/>
      <c r="CF776" s="1918"/>
      <c r="CG776" s="1918"/>
      <c r="CH776" s="1918"/>
      <c r="CI776" s="1918"/>
      <c r="CJ776" s="1918"/>
      <c r="CK776" s="1918"/>
      <c r="CL776" s="1918"/>
      <c r="CM776" s="1918"/>
      <c r="CN776" s="1918"/>
      <c r="CO776" s="1918"/>
      <c r="CP776" s="1918"/>
      <c r="CQ776" s="1918"/>
      <c r="CR776" s="1918"/>
      <c r="CS776" s="1918"/>
      <c r="CT776" s="1918"/>
      <c r="CU776" s="1918"/>
      <c r="CV776" s="1918"/>
      <c r="CW776" s="1918"/>
      <c r="CX776" s="1918"/>
      <c r="CY776" s="1918"/>
      <c r="CZ776" s="1918"/>
      <c r="DA776" s="1918"/>
      <c r="DB776" s="1918"/>
      <c r="DC776" s="1918"/>
      <c r="DD776" s="1918"/>
      <c r="DE776" s="1918"/>
      <c r="DF776" s="1918"/>
      <c r="DG776" s="1918"/>
      <c r="DH776" s="1918"/>
      <c r="DI776" s="1918"/>
      <c r="DJ776" s="1918"/>
      <c r="DK776" s="1918"/>
      <c r="DL776" s="1918"/>
      <c r="DM776" s="1918"/>
      <c r="DN776" s="1918"/>
      <c r="DO776" s="1918"/>
      <c r="DP776" s="1918"/>
      <c r="DQ776" s="1918"/>
      <c r="DR776" s="1918"/>
      <c r="DS776" s="1918"/>
      <c r="DT776" s="1918"/>
      <c r="DU776" s="1918"/>
      <c r="DV776" s="1918"/>
      <c r="DW776" s="1918"/>
      <c r="DX776" s="1918"/>
      <c r="DY776" s="1918"/>
      <c r="DZ776" s="1918"/>
      <c r="EA776" s="1918"/>
      <c r="EB776" s="1918"/>
      <c r="EC776" s="1918"/>
      <c r="ED776" s="1918"/>
      <c r="EE776" s="1918"/>
      <c r="EF776" s="1918"/>
      <c r="EG776" s="1918"/>
      <c r="EH776" s="1918"/>
      <c r="EI776" s="1918"/>
      <c r="EJ776" s="1918"/>
      <c r="EK776" s="1918"/>
      <c r="EL776" s="1918"/>
      <c r="EM776" s="1918"/>
      <c r="EN776" s="1918"/>
      <c r="EO776" s="1918"/>
      <c r="EP776" s="1918"/>
      <c r="EQ776" s="1918"/>
      <c r="ER776" s="1918"/>
      <c r="ES776" s="1995"/>
      <c r="ET776" s="1995"/>
      <c r="EU776" s="1995"/>
      <c r="EV776" s="1995"/>
      <c r="EW776" s="1995"/>
      <c r="EX776" s="1995"/>
      <c r="EY776" s="1995"/>
      <c r="EZ776" s="1995"/>
      <c r="FA776" s="1995"/>
      <c r="FB776" s="1995"/>
      <c r="FC776" s="1918"/>
      <c r="FD776" s="1918"/>
      <c r="FE776" s="1918"/>
      <c r="FF776" s="1918"/>
      <c r="FG776" s="1918"/>
      <c r="FH776" s="1995"/>
      <c r="FI776" s="1995"/>
      <c r="FJ776" s="1995"/>
      <c r="FK776" s="1995"/>
      <c r="FL776" s="1995"/>
      <c r="FM776" s="1918"/>
      <c r="FN776" s="1918"/>
      <c r="FO776" s="1918"/>
      <c r="FP776" s="1918"/>
      <c r="FQ776" s="1918"/>
      <c r="FR776" s="1995"/>
      <c r="FS776" s="1995"/>
      <c r="FT776" s="1995"/>
      <c r="FU776" s="1995"/>
      <c r="FV776" s="1995"/>
      <c r="FW776" s="1995"/>
      <c r="FX776" s="1995"/>
      <c r="FY776" s="1995"/>
      <c r="FZ776" s="1995"/>
      <c r="GA776" s="1995"/>
      <c r="GB776" s="1995"/>
      <c r="GC776" s="1995"/>
      <c r="GD776" s="1995"/>
      <c r="GE776" s="1995"/>
      <c r="GF776" s="1995"/>
      <c r="GG776" s="1995"/>
      <c r="GH776" s="1995"/>
      <c r="GI776" s="1995"/>
      <c r="GJ776" s="1995"/>
      <c r="GK776" s="1995"/>
      <c r="GL776" s="1995"/>
      <c r="GM776" s="1995"/>
      <c r="GN776" s="1995"/>
      <c r="GO776" s="1995"/>
      <c r="GP776" s="1995"/>
      <c r="GQ776" s="1995"/>
      <c r="GR776" s="1995"/>
      <c r="GS776" s="1995"/>
      <c r="GT776" s="1995"/>
      <c r="GU776" s="1995"/>
      <c r="GV776" s="1995"/>
      <c r="GW776" s="1995"/>
      <c r="GX776" s="1995"/>
      <c r="GY776" s="1995"/>
      <c r="GZ776" s="1995"/>
      <c r="HA776" s="1995"/>
      <c r="HB776" s="1995"/>
      <c r="HC776" s="1995"/>
      <c r="HD776" s="1995"/>
      <c r="HE776" s="1995"/>
      <c r="HF776" s="1995"/>
      <c r="HG776" s="1995"/>
      <c r="HH776" s="1995"/>
      <c r="HI776" s="1995"/>
      <c r="HJ776" s="1995"/>
      <c r="HK776" s="1995"/>
      <c r="HL776" s="1995"/>
      <c r="HM776" s="1995"/>
      <c r="HN776" s="1995"/>
      <c r="HO776" s="1995"/>
      <c r="HP776" s="1995"/>
      <c r="HQ776" s="1995"/>
      <c r="HR776" s="1995"/>
      <c r="HS776" s="1995"/>
      <c r="HT776" s="1995"/>
      <c r="HU776" s="1995"/>
      <c r="HV776" s="1995"/>
      <c r="HW776" s="1995"/>
      <c r="HX776" s="1995"/>
      <c r="HY776" s="1995"/>
      <c r="HZ776" s="1896"/>
      <c r="IA776" s="1896"/>
      <c r="IB776" s="1896"/>
      <c r="IC776" s="1896"/>
      <c r="ID776" s="1896"/>
      <c r="IE776" s="1896"/>
      <c r="IF776" s="1896"/>
      <c r="IG776" s="1896"/>
      <c r="IH776" s="1896"/>
      <c r="II776" s="1896"/>
      <c r="IJ776" s="1896"/>
      <c r="IK776" s="1896"/>
      <c r="IL776" s="1896"/>
      <c r="IM776" s="1896"/>
      <c r="IN776" s="1896"/>
      <c r="IO776" s="1896"/>
      <c r="IP776" s="1896"/>
      <c r="IQ776" s="1896"/>
      <c r="IR776" s="1896"/>
      <c r="IS776" s="1896"/>
      <c r="IT776" s="1896"/>
      <c r="IU776" s="1896"/>
      <c r="IV776" s="1896"/>
      <c r="IW776" s="1896"/>
      <c r="IX776" s="1896"/>
      <c r="IY776" s="1874" t="s">
        <v>551</v>
      </c>
      <c r="IZ776" s="1874" t="s">
        <v>2377</v>
      </c>
      <c r="JA776" s="1874" t="s">
        <v>2378</v>
      </c>
      <c r="JB776" s="1874" t="s">
        <v>2379</v>
      </c>
      <c r="JC776" s="1874" t="s">
        <v>2380</v>
      </c>
      <c r="JD776" s="1874" t="s">
        <v>551</v>
      </c>
      <c r="JE776" s="1874" t="s">
        <v>2377</v>
      </c>
      <c r="JF776" s="1874" t="s">
        <v>2378</v>
      </c>
      <c r="JG776" s="1874" t="s">
        <v>2379</v>
      </c>
      <c r="JH776" s="1874" t="s">
        <v>2380</v>
      </c>
      <c r="JI776" s="1874" t="s">
        <v>551</v>
      </c>
      <c r="JJ776" s="1874" t="s">
        <v>2377</v>
      </c>
      <c r="JK776" s="1874" t="s">
        <v>2378</v>
      </c>
      <c r="JL776" s="1874" t="s">
        <v>2379</v>
      </c>
      <c r="JM776" s="1874" t="s">
        <v>2380</v>
      </c>
      <c r="JN776" s="1874" t="s">
        <v>551</v>
      </c>
      <c r="JO776" s="1874" t="s">
        <v>2377</v>
      </c>
      <c r="JP776" s="1874" t="s">
        <v>2378</v>
      </c>
      <c r="JQ776" s="1874" t="s">
        <v>2379</v>
      </c>
      <c r="JR776" s="1874" t="s">
        <v>2380</v>
      </c>
      <c r="JS776" s="1874" t="s">
        <v>551</v>
      </c>
      <c r="JT776" s="1874" t="s">
        <v>2377</v>
      </c>
      <c r="JU776" s="1874" t="s">
        <v>2378</v>
      </c>
      <c r="JV776" s="1874" t="s">
        <v>2379</v>
      </c>
      <c r="JW776" s="1874" t="s">
        <v>2380</v>
      </c>
      <c r="JX776" s="1874" t="s">
        <v>551</v>
      </c>
      <c r="JY776" s="1874" t="s">
        <v>2377</v>
      </c>
      <c r="JZ776" s="1874" t="s">
        <v>2378</v>
      </c>
      <c r="KA776" s="1874" t="s">
        <v>2379</v>
      </c>
      <c r="KB776" s="1874" t="s">
        <v>2380</v>
      </c>
      <c r="KC776" s="1874" t="s">
        <v>551</v>
      </c>
      <c r="KD776" s="1874" t="s">
        <v>2377</v>
      </c>
      <c r="KE776" s="1874" t="s">
        <v>2378</v>
      </c>
      <c r="KF776" s="1874" t="s">
        <v>2379</v>
      </c>
      <c r="KG776" s="1874" t="s">
        <v>2380</v>
      </c>
      <c r="KH776" s="1874" t="s">
        <v>551</v>
      </c>
      <c r="KI776" s="1874" t="s">
        <v>2377</v>
      </c>
      <c r="KJ776" s="1874" t="s">
        <v>2378</v>
      </c>
      <c r="KK776" s="1874" t="s">
        <v>2379</v>
      </c>
      <c r="KL776" s="1874" t="s">
        <v>2380</v>
      </c>
      <c r="KM776" s="1874" t="s">
        <v>551</v>
      </c>
      <c r="KN776" s="1874" t="s">
        <v>2377</v>
      </c>
      <c r="KO776" s="1874" t="s">
        <v>2378</v>
      </c>
      <c r="KP776" s="1874" t="s">
        <v>2379</v>
      </c>
      <c r="KQ776" s="1874" t="s">
        <v>2380</v>
      </c>
      <c r="KR776" s="1874" t="s">
        <v>551</v>
      </c>
      <c r="KS776" s="1874" t="s">
        <v>2377</v>
      </c>
      <c r="KT776" s="1874" t="s">
        <v>2378</v>
      </c>
      <c r="KU776" s="1874" t="s">
        <v>2379</v>
      </c>
      <c r="KV776" s="1874" t="s">
        <v>2380</v>
      </c>
      <c r="KW776" s="1874" t="s">
        <v>551</v>
      </c>
      <c r="KX776" s="1874" t="s">
        <v>2377</v>
      </c>
      <c r="KY776" s="1874" t="s">
        <v>2378</v>
      </c>
      <c r="KZ776" s="1874" t="s">
        <v>2379</v>
      </c>
      <c r="LA776" s="1874" t="s">
        <v>2380</v>
      </c>
      <c r="LB776" s="1874" t="s">
        <v>551</v>
      </c>
      <c r="LC776" s="1874" t="s">
        <v>2377</v>
      </c>
      <c r="LD776" s="1874" t="s">
        <v>2378</v>
      </c>
      <c r="LE776" s="1874" t="s">
        <v>2379</v>
      </c>
      <c r="LF776" s="1874" t="s">
        <v>2380</v>
      </c>
      <c r="LG776" s="1874" t="s">
        <v>551</v>
      </c>
      <c r="LH776" s="1874" t="s">
        <v>2377</v>
      </c>
      <c r="LI776" s="1874" t="s">
        <v>2378</v>
      </c>
      <c r="LJ776" s="1874" t="s">
        <v>2379</v>
      </c>
      <c r="LK776" s="1874" t="s">
        <v>2380</v>
      </c>
      <c r="LL776" s="1874" t="s">
        <v>551</v>
      </c>
      <c r="LM776" s="1874" t="s">
        <v>2377</v>
      </c>
      <c r="LN776" s="1874" t="s">
        <v>2378</v>
      </c>
      <c r="LO776" s="1874" t="s">
        <v>2379</v>
      </c>
      <c r="LP776" s="1874" t="s">
        <v>2380</v>
      </c>
      <c r="LQ776" s="1995"/>
      <c r="LR776" s="1995"/>
      <c r="LS776" s="1995"/>
      <c r="LT776" s="1995"/>
      <c r="LU776" s="1995"/>
      <c r="LV776" s="1995"/>
      <c r="LW776" s="1995"/>
      <c r="LX776" s="1995"/>
      <c r="LY776" s="1995"/>
      <c r="LZ776" s="1995"/>
      <c r="MA776" s="1995"/>
      <c r="MB776" s="1995"/>
      <c r="MC776" s="1995"/>
      <c r="MD776" s="1995"/>
      <c r="ME776" s="1995"/>
      <c r="MF776" s="1995"/>
      <c r="MG776" s="1995"/>
      <c r="MH776" s="1995"/>
      <c r="MI776" s="1995"/>
      <c r="MJ776" s="1995"/>
      <c r="MK776" s="1995"/>
      <c r="ML776" s="1995"/>
      <c r="MM776" s="1995"/>
      <c r="MN776" s="1995"/>
      <c r="MO776" s="1995"/>
      <c r="MP776" s="1995"/>
      <c r="MQ776" s="1995"/>
      <c r="MR776" s="1995"/>
      <c r="MS776" s="1995"/>
      <c r="MT776" s="1995"/>
      <c r="MZ776" s="1995"/>
      <c r="NA776" s="1995"/>
      <c r="NB776" s="1995"/>
      <c r="NC776" s="1995"/>
      <c r="ND776" s="1995"/>
    </row>
    <row r="777" spans="1:368" s="1918" customFormat="1" ht="11.25" customHeight="1">
      <c r="A777" s="2101"/>
      <c r="B777" s="1732" t="s">
        <v>4208</v>
      </c>
      <c r="C777" s="1732" t="s">
        <v>168</v>
      </c>
      <c r="D777" s="1732" t="s">
        <v>530</v>
      </c>
      <c r="E777" s="1732" t="s">
        <v>1445</v>
      </c>
      <c r="F777" s="1732" t="s">
        <v>1445</v>
      </c>
      <c r="G777" s="1732" t="s">
        <v>1447</v>
      </c>
      <c r="H777" s="1732" t="s">
        <v>3490</v>
      </c>
      <c r="J777" s="2105" t="s">
        <v>4475</v>
      </c>
      <c r="K777" s="1732" t="s">
        <v>6971</v>
      </c>
      <c r="L777" s="1897" t="s">
        <v>142</v>
      </c>
      <c r="M777" s="1897"/>
      <c r="N777" s="1732" t="s">
        <v>2307</v>
      </c>
      <c r="O777" s="1732" t="s">
        <v>4788</v>
      </c>
      <c r="P777" s="1732" t="s">
        <v>377</v>
      </c>
      <c r="R777" s="1732" t="s">
        <v>2615</v>
      </c>
      <c r="S777" s="1732" t="s">
        <v>2617</v>
      </c>
      <c r="T777" s="1732"/>
      <c r="ES777" s="1995"/>
      <c r="ET777" s="1995"/>
      <c r="EU777" s="1995"/>
      <c r="EV777" s="1995"/>
      <c r="EW777" s="1995"/>
      <c r="EX777" s="1995"/>
      <c r="EY777" s="1995"/>
      <c r="EZ777" s="1995"/>
      <c r="FA777" s="1995"/>
      <c r="FB777" s="1995"/>
      <c r="FH777" s="1995"/>
      <c r="FI777" s="1995"/>
      <c r="FJ777" s="1995"/>
      <c r="FK777" s="1995"/>
      <c r="FL777" s="1995"/>
      <c r="FR777" s="1995"/>
      <c r="FS777" s="1995"/>
      <c r="FT777" s="1995"/>
      <c r="FU777" s="1995"/>
      <c r="FV777" s="1995"/>
      <c r="FW777" s="1995"/>
      <c r="FX777" s="1995"/>
      <c r="FY777" s="1995"/>
      <c r="FZ777" s="1995"/>
      <c r="GA777" s="1995"/>
      <c r="GB777" s="1995"/>
      <c r="GC777" s="1995"/>
      <c r="GD777" s="1995"/>
      <c r="GE777" s="1995"/>
      <c r="GF777" s="1995"/>
      <c r="GG777" s="1995"/>
      <c r="GH777" s="1995"/>
      <c r="GI777" s="1995"/>
      <c r="GJ777" s="1995"/>
      <c r="GK777" s="1995"/>
      <c r="GL777" s="1995"/>
      <c r="GM777" s="1995"/>
      <c r="GN777" s="1995"/>
      <c r="GO777" s="1995"/>
      <c r="GP777" s="1995"/>
      <c r="GQ777" s="1995"/>
      <c r="GR777" s="1995"/>
      <c r="GS777" s="1995"/>
      <c r="GT777" s="1995"/>
      <c r="GU777" s="1995"/>
      <c r="GV777" s="1995"/>
      <c r="GW777" s="1995"/>
      <c r="GX777" s="1995"/>
      <c r="GY777" s="1995"/>
      <c r="GZ777" s="1995"/>
      <c r="HA777" s="1995"/>
      <c r="HB777" s="1995"/>
      <c r="HC777" s="1995"/>
      <c r="HD777" s="1995"/>
      <c r="HE777" s="1995"/>
      <c r="HF777" s="1995"/>
      <c r="HG777" s="1995"/>
      <c r="HH777" s="1995"/>
      <c r="HI777" s="1995"/>
      <c r="HJ777" s="1995"/>
      <c r="HK777" s="1995"/>
      <c r="HL777" s="1995"/>
      <c r="HM777" s="1995"/>
      <c r="HN777" s="1995"/>
      <c r="HO777" s="1995"/>
      <c r="HP777" s="1995"/>
      <c r="HQ777" s="1995"/>
      <c r="HR777" s="1995"/>
      <c r="HS777" s="1995"/>
      <c r="HT777" s="1995"/>
      <c r="HU777" s="1995"/>
      <c r="HV777" s="1995"/>
      <c r="HW777" s="1995"/>
      <c r="HX777" s="1995"/>
      <c r="HY777" s="1995"/>
      <c r="HZ777" s="1995" t="s">
        <v>1433</v>
      </c>
      <c r="IA777" s="1874" t="s">
        <v>2377</v>
      </c>
      <c r="IB777" s="1874" t="s">
        <v>2378</v>
      </c>
      <c r="IC777" s="1874" t="s">
        <v>2379</v>
      </c>
      <c r="ID777" s="1874" t="s">
        <v>2380</v>
      </c>
      <c r="IE777" s="1995" t="s">
        <v>2432</v>
      </c>
      <c r="IF777" s="1995" t="s">
        <v>2432</v>
      </c>
      <c r="IG777" s="1995" t="s">
        <v>2432</v>
      </c>
      <c r="IH777" s="1995" t="s">
        <v>2432</v>
      </c>
      <c r="II777" s="1995" t="s">
        <v>2432</v>
      </c>
      <c r="IJ777" s="1995" t="s">
        <v>3260</v>
      </c>
      <c r="IK777" s="1995" t="s">
        <v>3260</v>
      </c>
      <c r="IL777" s="1995" t="s">
        <v>3260</v>
      </c>
      <c r="IM777" s="1995" t="s">
        <v>3260</v>
      </c>
      <c r="IN777" s="1995" t="s">
        <v>3260</v>
      </c>
      <c r="IO777" s="1874" t="s">
        <v>551</v>
      </c>
      <c r="IP777" s="1874" t="s">
        <v>2377</v>
      </c>
      <c r="IQ777" s="1874" t="s">
        <v>2378</v>
      </c>
      <c r="IR777" s="1874" t="s">
        <v>2379</v>
      </c>
      <c r="IS777" s="1874" t="s">
        <v>2380</v>
      </c>
      <c r="IT777" s="1874" t="s">
        <v>551</v>
      </c>
      <c r="IU777" s="1874" t="s">
        <v>2377</v>
      </c>
      <c r="IV777" s="1874" t="s">
        <v>2378</v>
      </c>
      <c r="IW777" s="1874" t="s">
        <v>2379</v>
      </c>
      <c r="IX777" s="1874" t="s">
        <v>2380</v>
      </c>
      <c r="IY777" s="1995" t="s">
        <v>2434</v>
      </c>
      <c r="IZ777" s="1995" t="s">
        <v>2434</v>
      </c>
      <c r="JA777" s="1995" t="s">
        <v>2434</v>
      </c>
      <c r="JB777" s="1995" t="s">
        <v>2434</v>
      </c>
      <c r="JC777" s="1995" t="s">
        <v>2434</v>
      </c>
      <c r="JD777" s="1995" t="s">
        <v>3256</v>
      </c>
      <c r="JE777" s="1995" t="s">
        <v>3256</v>
      </c>
      <c r="JF777" s="1995" t="s">
        <v>3256</v>
      </c>
      <c r="JG777" s="1995" t="s">
        <v>3256</v>
      </c>
      <c r="JH777" s="1995" t="s">
        <v>3256</v>
      </c>
      <c r="JI777" s="1995" t="s">
        <v>352</v>
      </c>
      <c r="JJ777" s="1995" t="s">
        <v>352</v>
      </c>
      <c r="JK777" s="1995" t="s">
        <v>352</v>
      </c>
      <c r="JL777" s="1995" t="s">
        <v>352</v>
      </c>
      <c r="JM777" s="1995" t="s">
        <v>352</v>
      </c>
      <c r="JN777" s="1995" t="s">
        <v>3255</v>
      </c>
      <c r="JO777" s="1995" t="s">
        <v>3255</v>
      </c>
      <c r="JP777" s="1995" t="s">
        <v>3255</v>
      </c>
      <c r="JQ777" s="1995" t="s">
        <v>3255</v>
      </c>
      <c r="JR777" s="1995" t="s">
        <v>3255</v>
      </c>
      <c r="JS777" s="1995" t="s">
        <v>353</v>
      </c>
      <c r="JT777" s="1995" t="s">
        <v>353</v>
      </c>
      <c r="JU777" s="1995" t="s">
        <v>353</v>
      </c>
      <c r="JV777" s="1995" t="s">
        <v>353</v>
      </c>
      <c r="JW777" s="1995" t="s">
        <v>353</v>
      </c>
      <c r="JX777" s="1995" t="s">
        <v>3254</v>
      </c>
      <c r="JY777" s="1995" t="s">
        <v>3254</v>
      </c>
      <c r="JZ777" s="1995" t="s">
        <v>3254</v>
      </c>
      <c r="KA777" s="1995" t="s">
        <v>3254</v>
      </c>
      <c r="KB777" s="1995" t="s">
        <v>3254</v>
      </c>
      <c r="KC777" s="1995" t="s">
        <v>354</v>
      </c>
      <c r="KD777" s="1995" t="s">
        <v>354</v>
      </c>
      <c r="KE777" s="1995" t="s">
        <v>354</v>
      </c>
      <c r="KF777" s="1995" t="s">
        <v>354</v>
      </c>
      <c r="KG777" s="1995" t="s">
        <v>354</v>
      </c>
      <c r="KH777" s="1995" t="s">
        <v>3257</v>
      </c>
      <c r="KI777" s="1995" t="s">
        <v>3257</v>
      </c>
      <c r="KJ777" s="1995" t="s">
        <v>3257</v>
      </c>
      <c r="KK777" s="1995" t="s">
        <v>3257</v>
      </c>
      <c r="KL777" s="1995" t="s">
        <v>3257</v>
      </c>
      <c r="KM777" s="1995" t="s">
        <v>355</v>
      </c>
      <c r="KN777" s="1995" t="s">
        <v>355</v>
      </c>
      <c r="KO777" s="1995" t="s">
        <v>355</v>
      </c>
      <c r="KP777" s="1995" t="s">
        <v>355</v>
      </c>
      <c r="KQ777" s="1995" t="s">
        <v>355</v>
      </c>
      <c r="KR777" s="1995" t="s">
        <v>3258</v>
      </c>
      <c r="KS777" s="1995" t="s">
        <v>3258</v>
      </c>
      <c r="KT777" s="1995" t="s">
        <v>3258</v>
      </c>
      <c r="KU777" s="1995" t="s">
        <v>3258</v>
      </c>
      <c r="KV777" s="1995" t="s">
        <v>3258</v>
      </c>
      <c r="KW777" s="1995" t="s">
        <v>1432</v>
      </c>
      <c r="KX777" s="1995" t="s">
        <v>1432</v>
      </c>
      <c r="KY777" s="1995" t="s">
        <v>1432</v>
      </c>
      <c r="KZ777" s="1995" t="s">
        <v>1432</v>
      </c>
      <c r="LA777" s="1995" t="s">
        <v>1432</v>
      </c>
      <c r="LB777" s="1995" t="s">
        <v>3259</v>
      </c>
      <c r="LC777" s="1995" t="s">
        <v>3259</v>
      </c>
      <c r="LD777" s="1995" t="s">
        <v>3259</v>
      </c>
      <c r="LE777" s="1995" t="s">
        <v>3259</v>
      </c>
      <c r="LF777" s="1995" t="s">
        <v>3259</v>
      </c>
      <c r="LG777" s="1995" t="s">
        <v>4794</v>
      </c>
      <c r="LH777" s="1995" t="s">
        <v>4794</v>
      </c>
      <c r="LI777" s="1995" t="s">
        <v>4794</v>
      </c>
      <c r="LJ777" s="1995" t="s">
        <v>4794</v>
      </c>
      <c r="LK777" s="1995" t="s">
        <v>4794</v>
      </c>
      <c r="LL777" s="1995" t="s">
        <v>4795</v>
      </c>
      <c r="LM777" s="1995" t="s">
        <v>4795</v>
      </c>
      <c r="LN777" s="1995" t="s">
        <v>4795</v>
      </c>
      <c r="LO777" s="1995" t="s">
        <v>4795</v>
      </c>
      <c r="LP777" s="1995" t="s">
        <v>4795</v>
      </c>
      <c r="LQ777" s="1995"/>
      <c r="LR777" s="1995"/>
      <c r="LS777" s="1995"/>
      <c r="LT777" s="1995"/>
      <c r="LU777" s="1995"/>
      <c r="LV777" s="1995"/>
      <c r="LW777" s="1995"/>
      <c r="LX777" s="1995"/>
      <c r="LY777" s="1995"/>
      <c r="LZ777" s="1995"/>
      <c r="MA777" s="1995"/>
      <c r="MB777" s="1995"/>
      <c r="MC777" s="1995"/>
      <c r="MD777" s="1995"/>
      <c r="ME777" s="1995"/>
      <c r="MF777" s="1995"/>
      <c r="MG777" s="1995"/>
      <c r="MH777" s="1995"/>
      <c r="MI777" s="1995"/>
      <c r="MJ777" s="1995"/>
      <c r="MK777" s="1995"/>
      <c r="ML777" s="1995"/>
      <c r="MM777" s="1995"/>
      <c r="MN777" s="1995"/>
      <c r="MO777" s="1995"/>
      <c r="MP777" s="1995"/>
      <c r="MQ777" s="1995"/>
      <c r="MR777" s="1995"/>
      <c r="MS777" s="1995"/>
      <c r="MT777" s="1995"/>
      <c r="MU777" s="1815"/>
      <c r="MV777" s="1815"/>
      <c r="MW777" s="1815"/>
      <c r="MX777" s="1815"/>
      <c r="MY777" s="1815"/>
      <c r="MZ777" s="1995"/>
      <c r="NA777" s="1995"/>
      <c r="NB777" s="1995"/>
      <c r="NC777" s="1995"/>
      <c r="ND777" s="1995"/>
    </row>
    <row r="778" spans="1:368" s="1918" customFormat="1" ht="11.25" customHeight="1">
      <c r="A778" s="2101"/>
      <c r="B778" s="2106" t="s">
        <v>4521</v>
      </c>
      <c r="C778" s="1732" t="s">
        <v>167</v>
      </c>
      <c r="D778" s="1732" t="s">
        <v>169</v>
      </c>
      <c r="E778" s="1732" t="s">
        <v>1446</v>
      </c>
      <c r="F778" s="1732" t="s">
        <v>1253</v>
      </c>
      <c r="G778" s="1732" t="s">
        <v>3491</v>
      </c>
      <c r="H778" s="1732" t="s">
        <v>1447</v>
      </c>
      <c r="J778" s="2105"/>
      <c r="K778" s="1898" t="s">
        <v>344</v>
      </c>
      <c r="L778" s="1732" t="s">
        <v>1498</v>
      </c>
      <c r="M778" s="1732" t="s">
        <v>524</v>
      </c>
      <c r="N778" s="1732" t="s">
        <v>1445</v>
      </c>
      <c r="O778" s="1732" t="s">
        <v>3210</v>
      </c>
      <c r="P778" s="1732" t="s">
        <v>378</v>
      </c>
      <c r="R778" s="1732" t="s">
        <v>1447</v>
      </c>
      <c r="S778" s="1732" t="s">
        <v>2618</v>
      </c>
      <c r="T778" s="1995" t="s">
        <v>1799</v>
      </c>
      <c r="W778" s="1995"/>
      <c r="ES778" s="1995"/>
      <c r="ET778" s="1995"/>
      <c r="EU778" s="1995"/>
      <c r="EV778" s="1995"/>
      <c r="EW778" s="1995"/>
      <c r="EX778" s="1995"/>
      <c r="EY778" s="1995"/>
      <c r="EZ778" s="1995"/>
      <c r="FA778" s="1995"/>
      <c r="FB778" s="1995"/>
      <c r="FH778" s="1995"/>
      <c r="FI778" s="1995"/>
      <c r="FJ778" s="1995"/>
      <c r="FK778" s="1995"/>
      <c r="FL778" s="1995"/>
      <c r="FR778" s="1995"/>
      <c r="FS778" s="1995"/>
      <c r="FT778" s="1995"/>
      <c r="FU778" s="1995"/>
      <c r="FV778" s="1995"/>
      <c r="FW778" s="1995"/>
      <c r="FX778" s="1995"/>
      <c r="FY778" s="1995"/>
      <c r="FZ778" s="1995"/>
      <c r="GA778" s="1995"/>
      <c r="GB778" s="1995"/>
      <c r="GC778" s="1995"/>
      <c r="GD778" s="1995"/>
      <c r="GE778" s="1995"/>
      <c r="GF778" s="1995"/>
      <c r="GG778" s="1995"/>
      <c r="GH778" s="1995"/>
      <c r="GI778" s="1995"/>
      <c r="GJ778" s="1995"/>
      <c r="GK778" s="1995"/>
      <c r="GL778" s="1995"/>
      <c r="GM778" s="1995"/>
      <c r="GN778" s="1995"/>
      <c r="GO778" s="1995"/>
      <c r="GP778" s="1995"/>
      <c r="GQ778" s="1995"/>
      <c r="GR778" s="1995"/>
      <c r="GS778" s="1995"/>
      <c r="GT778" s="1995"/>
      <c r="GU778" s="1995"/>
      <c r="GV778" s="1995"/>
      <c r="GW778" s="1995"/>
      <c r="GX778" s="1995"/>
      <c r="GY778" s="1995"/>
      <c r="GZ778" s="1995"/>
      <c r="HA778" s="1995"/>
      <c r="HB778" s="1995"/>
      <c r="HC778" s="1995"/>
      <c r="HD778" s="1995"/>
      <c r="HE778" s="1995"/>
      <c r="HF778" s="1995"/>
      <c r="HG778" s="1995"/>
      <c r="HH778" s="1995"/>
      <c r="HI778" s="1995"/>
      <c r="HJ778" s="1995"/>
      <c r="HK778" s="1995"/>
      <c r="HL778" s="1995"/>
      <c r="HM778" s="1995"/>
      <c r="HN778" s="1995"/>
      <c r="HO778" s="1995"/>
      <c r="HP778" s="1995"/>
      <c r="HQ778" s="1995"/>
      <c r="HR778" s="1995"/>
      <c r="HS778" s="1995"/>
      <c r="HT778" s="1995"/>
      <c r="HU778" s="1995"/>
      <c r="HV778" s="1995"/>
      <c r="HW778" s="1995"/>
      <c r="HX778" s="1995"/>
      <c r="HY778" s="1995"/>
      <c r="HZ778" s="1995"/>
      <c r="IA778" s="1874" t="s">
        <v>2431</v>
      </c>
      <c r="IB778" s="1874" t="s">
        <v>2431</v>
      </c>
      <c r="IC778" s="1874" t="s">
        <v>2431</v>
      </c>
      <c r="ID778" s="1874" t="s">
        <v>2431</v>
      </c>
      <c r="IE778" s="1995"/>
      <c r="IF778" s="1995"/>
      <c r="IG778" s="1995"/>
      <c r="IH778" s="1995"/>
      <c r="II778" s="1995"/>
      <c r="IJ778" s="1995"/>
      <c r="IK778" s="1995"/>
      <c r="IL778" s="1995"/>
      <c r="IM778" s="1995"/>
      <c r="IN778" s="1995"/>
      <c r="IO778" s="1874" t="s">
        <v>2433</v>
      </c>
      <c r="IP778" s="1874" t="s">
        <v>2433</v>
      </c>
      <c r="IQ778" s="1874" t="s">
        <v>2433</v>
      </c>
      <c r="IR778" s="1874" t="s">
        <v>2433</v>
      </c>
      <c r="IS778" s="1874" t="s">
        <v>2433</v>
      </c>
      <c r="IT778" s="1874" t="s">
        <v>3261</v>
      </c>
      <c r="IU778" s="1874" t="s">
        <v>3261</v>
      </c>
      <c r="IV778" s="1874" t="s">
        <v>3261</v>
      </c>
      <c r="IW778" s="1874" t="s">
        <v>3261</v>
      </c>
      <c r="IX778" s="1874" t="s">
        <v>3261</v>
      </c>
      <c r="IY778" s="1995"/>
      <c r="IZ778" s="1995"/>
      <c r="JA778" s="1995"/>
      <c r="JB778" s="1995"/>
      <c r="JC778" s="1995"/>
      <c r="JD778" s="1995"/>
      <c r="JE778" s="1995"/>
      <c r="JF778" s="1995"/>
      <c r="JG778" s="1995"/>
      <c r="JH778" s="1995"/>
      <c r="JI778" s="1995"/>
      <c r="JJ778" s="1995"/>
      <c r="JK778" s="1995"/>
      <c r="JL778" s="1995"/>
      <c r="JM778" s="1995"/>
      <c r="JN778" s="1995"/>
      <c r="JO778" s="1995"/>
      <c r="JP778" s="1995"/>
      <c r="JQ778" s="1995"/>
      <c r="JR778" s="1995"/>
      <c r="JS778" s="1995"/>
      <c r="JT778" s="1995"/>
      <c r="JU778" s="1995"/>
      <c r="JV778" s="1995"/>
      <c r="JW778" s="1995"/>
      <c r="JX778" s="1995"/>
      <c r="JY778" s="1995"/>
      <c r="JZ778" s="1995"/>
      <c r="KA778" s="1995"/>
      <c r="KB778" s="1995"/>
      <c r="KC778" s="1995"/>
      <c r="KD778" s="1995"/>
      <c r="KE778" s="1995"/>
      <c r="KF778" s="1995"/>
      <c r="KG778" s="1995"/>
      <c r="KH778" s="1995"/>
      <c r="KI778" s="1995"/>
      <c r="KJ778" s="1995"/>
      <c r="KK778" s="1995"/>
      <c r="KL778" s="1995"/>
      <c r="KM778" s="1995"/>
      <c r="KN778" s="1995"/>
      <c r="KO778" s="1995"/>
      <c r="KP778" s="1995"/>
      <c r="KQ778" s="1995"/>
      <c r="KR778" s="1995"/>
      <c r="KS778" s="1995"/>
      <c r="KT778" s="1995"/>
      <c r="KU778" s="1995"/>
      <c r="KV778" s="1995"/>
      <c r="KW778" s="1995"/>
      <c r="KX778" s="1995"/>
      <c r="KY778" s="1995"/>
      <c r="KZ778" s="1995"/>
      <c r="LA778" s="1995"/>
      <c r="LB778" s="1995"/>
      <c r="LC778" s="1995"/>
      <c r="LD778" s="1995"/>
      <c r="LE778" s="1995"/>
      <c r="LF778" s="1995"/>
      <c r="LG778" s="1995"/>
      <c r="LH778" s="1995"/>
      <c r="LI778" s="1995"/>
      <c r="LJ778" s="1995"/>
      <c r="LK778" s="1995"/>
      <c r="LL778" s="1995"/>
      <c r="LM778" s="1995"/>
      <c r="LN778" s="1995"/>
      <c r="LO778" s="1995"/>
      <c r="LP778" s="1995"/>
      <c r="LQ778" s="1995"/>
      <c r="LR778" s="1995"/>
      <c r="LS778" s="1995"/>
      <c r="LT778" s="1995"/>
      <c r="LU778" s="1995"/>
      <c r="LV778" s="1995"/>
      <c r="LW778" s="1995"/>
      <c r="LX778" s="1995"/>
      <c r="LY778" s="1995"/>
      <c r="LZ778" s="1995"/>
      <c r="MA778" s="1995"/>
      <c r="MB778" s="1995"/>
      <c r="MC778" s="1995"/>
      <c r="MD778" s="1995"/>
      <c r="ME778" s="1995"/>
      <c r="MF778" s="1995"/>
      <c r="MG778" s="1995"/>
      <c r="MH778" s="1995"/>
      <c r="MI778" s="1995"/>
      <c r="MJ778" s="1995"/>
      <c r="MK778" s="1995"/>
      <c r="ML778" s="1995"/>
      <c r="MM778" s="1995"/>
      <c r="MN778" s="1995"/>
      <c r="MO778" s="1995"/>
      <c r="MP778" s="1995"/>
      <c r="MQ778" s="1995"/>
      <c r="MR778" s="1995"/>
      <c r="MS778" s="1995"/>
      <c r="MT778" s="1995"/>
      <c r="MU778" s="1815"/>
      <c r="MV778" s="1815"/>
      <c r="MW778" s="1815"/>
      <c r="MX778" s="1815"/>
      <c r="MY778" s="1815"/>
      <c r="MZ778" s="1995"/>
      <c r="NA778" s="1995"/>
      <c r="NB778" s="1995"/>
      <c r="NC778" s="1995"/>
      <c r="ND778" s="1995"/>
    </row>
    <row r="779" spans="1:368" ht="13.95" customHeight="1">
      <c r="A779" s="1896" t="str">
        <f>IF(AND(E779&gt;0,OR(B779="",C779="",D779="",F779="",G779="", H779="",I779="",N779="",O779="",P779="",Q779="")),1,"")</f>
        <v/>
      </c>
      <c r="B779" s="2212" t="str">
        <f>'Part VI-Revenues &amp; Expenses'!B10</f>
        <v>N/A-CS</v>
      </c>
      <c r="C779" s="2213">
        <f>'Part VI-Revenues &amp; Expenses'!C10</f>
        <v>0</v>
      </c>
      <c r="D779" s="2214">
        <f>'Part VI-Revenues &amp; Expenses'!D10</f>
        <v>0</v>
      </c>
      <c r="E779" s="2215">
        <f>'Part VI-Revenues &amp; Expenses'!E10</f>
        <v>0</v>
      </c>
      <c r="F779" s="2215">
        <f>'Part VI-Revenues &amp; Expenses'!F10</f>
        <v>0</v>
      </c>
      <c r="G779" s="2215">
        <f>'Part VI-Revenues &amp; Expenses'!G10</f>
        <v>0</v>
      </c>
      <c r="H779" s="2215">
        <f>'Part VI-Revenues &amp; Expenses'!H10</f>
        <v>0</v>
      </c>
      <c r="I779" s="2215">
        <f>'Part VI-Revenues &amp; Expenses'!I10</f>
        <v>0</v>
      </c>
      <c r="J779" s="2215">
        <f>'Part VI-Revenues &amp; Expenses'!J10</f>
        <v>0</v>
      </c>
      <c r="K779" s="2216">
        <f>'Part VI-Revenues &amp; Expenses'!K10</f>
        <v>0</v>
      </c>
      <c r="L779" s="1899">
        <f t="shared" ref="L779:L816" si="0">MAX(0,H779-I779-J779)</f>
        <v>0</v>
      </c>
      <c r="M779" s="1899">
        <f t="shared" ref="M779:M816" si="1">MAX(0,E779*L779)</f>
        <v>0</v>
      </c>
      <c r="N779" s="2074">
        <f>'Part VI-Revenues &amp; Expenses'!N10</f>
        <v>0</v>
      </c>
      <c r="O779" s="2074">
        <f>'Part VI-Revenues &amp; Expenses'!O10</f>
        <v>0</v>
      </c>
      <c r="P779" s="2074">
        <f>'Part VI-Revenues &amp; Expenses'!P10</f>
        <v>0</v>
      </c>
      <c r="Q779" s="1732">
        <f>'Part VI-Revenues &amp; Expenses'!Q10</f>
        <v>0</v>
      </c>
      <c r="R779" s="1926"/>
      <c r="S779" s="2148"/>
      <c r="T779" s="1910"/>
      <c r="U779" s="1910"/>
      <c r="V779" s="1910"/>
      <c r="W779" s="1910"/>
      <c r="X779" s="1995" t="str">
        <f t="shared" ref="X779:X816" si="2">IF(AND(C779="Efficiency",B779=80,NOT(N779="Common Space")),E779,"")</f>
        <v/>
      </c>
      <c r="Y779" s="1995" t="str">
        <f t="shared" ref="Y779:Y816" si="3">IF(AND(C779=1,B779=80,NOT(N779="Common Space")),E779,"")</f>
        <v/>
      </c>
      <c r="Z779" s="1995" t="str">
        <f t="shared" ref="Z779:Z816" si="4">IF(AND(C779=2,B779=80,NOT(N779="Common Space")),E779,"")</f>
        <v/>
      </c>
      <c r="AA779" s="1995" t="str">
        <f t="shared" ref="AA779:AA816" si="5">IF(AND(C779=3,B779=80,NOT(N779="Common Space")),E779,"")</f>
        <v/>
      </c>
      <c r="AB779" s="1995" t="str">
        <f t="shared" ref="AB779:AB816" si="6">IF(AND(C779=4,B779=80,NOT(N779="Common Space")),E779,"")</f>
        <v/>
      </c>
      <c r="AC779" s="1995" t="str">
        <f t="shared" ref="AC779:AC816" si="7">IF(AND(C779="Efficiency",B779=70,NOT(N779="Common Space")),E779,"")</f>
        <v/>
      </c>
      <c r="AD779" s="1995" t="str">
        <f t="shared" ref="AD779:AD816" si="8">IF(AND(C779=1,B779=70,NOT(N779="Common Space")),E779,"")</f>
        <v/>
      </c>
      <c r="AE779" s="1995" t="str">
        <f t="shared" ref="AE779:AE816" si="9">IF(AND(C779=2,B779=70,NOT(N779="Common Space")),E779,"")</f>
        <v/>
      </c>
      <c r="AF779" s="1995" t="str">
        <f t="shared" ref="AF779:AF816" si="10">IF(AND(C779=3,B779=70,NOT(N779="Common Space")),E779,"")</f>
        <v/>
      </c>
      <c r="AG779" s="1995" t="str">
        <f t="shared" ref="AG779:AG816" si="11">IF(AND(C779=4,B779=70,NOT(N779="Common Space")),E779,"")</f>
        <v/>
      </c>
      <c r="AH779" s="1995" t="str">
        <f t="shared" ref="AH779:AH816" si="12">IF(AND(C779="Efficiency",B779=60,NOT(N779="Common Space")),E779,"")</f>
        <v/>
      </c>
      <c r="AI779" s="1995" t="str">
        <f t="shared" ref="AI779:AI816" si="13">IF(AND(C779=1,B779=60,NOT(N779="Common Space")),E779,"")</f>
        <v/>
      </c>
      <c r="AJ779" s="1995" t="str">
        <f t="shared" ref="AJ779:AJ816" si="14">IF(AND(C779=2,B779=60,NOT(N779="Common Space")),E779,"")</f>
        <v/>
      </c>
      <c r="AK779" s="1995" t="str">
        <f t="shared" ref="AK779:AK816" si="15">IF(AND(C779=3,B779=60,NOT(N779="Common Space")),E779,"")</f>
        <v/>
      </c>
      <c r="AL779" s="1995" t="str">
        <f t="shared" ref="AL779:AL816" si="16">IF(AND(C779=4,B779=60,NOT(N779="Common Space")),E779,"")</f>
        <v/>
      </c>
      <c r="AM779" s="1995" t="str">
        <f t="shared" ref="AM779:AM816" si="17">IF(AND(C779="Efficiency",B779=50,NOT(N779="Common Space")),E779,"")</f>
        <v/>
      </c>
      <c r="AN779" s="1995" t="str">
        <f t="shared" ref="AN779:AN816" si="18">IF(AND(C779=1,B779=50,NOT(N779="Common Space")),E779,"")</f>
        <v/>
      </c>
      <c r="AO779" s="1995" t="str">
        <f t="shared" ref="AO779:AO816" si="19">IF(AND(C779=2,B779=50,NOT(N779="Common Space")),E779,"")</f>
        <v/>
      </c>
      <c r="AP779" s="1995" t="str">
        <f t="shared" ref="AP779:AP816" si="20">IF(AND(C779=3,B779=50,NOT(N779="Common Space")),E779,"")</f>
        <v/>
      </c>
      <c r="AQ779" s="1995" t="str">
        <f t="shared" ref="AQ779:AQ816" si="21">IF(AND(C779=4,B779=50,NOT(N779="Common Space")),E779,"")</f>
        <v/>
      </c>
      <c r="AR779" s="1995" t="str">
        <f t="shared" ref="AR779:AR816" si="22">IF(AND(C779="Efficiency",B779=40,NOT(N779="Common Space")),E779,"")</f>
        <v/>
      </c>
      <c r="AS779" s="1995" t="str">
        <f t="shared" ref="AS779:AS816" si="23">IF(AND(C779=1,B779=40,NOT(N779="Common Space")),E779,"")</f>
        <v/>
      </c>
      <c r="AT779" s="1995" t="str">
        <f t="shared" ref="AT779:AT816" si="24">IF(AND(C779=2,B779=40,NOT(N779="Common Space")),E779,"")</f>
        <v/>
      </c>
      <c r="AU779" s="1995" t="str">
        <f t="shared" ref="AU779:AU816" si="25">IF(AND(C779=3,B779=40,NOT(N779="Common Space")),E779,"")</f>
        <v/>
      </c>
      <c r="AV779" s="1995" t="str">
        <f t="shared" ref="AV779:AV816" si="26">IF(AND(C779=4,B779=40,NOT(N779="Common Space")),E779,"")</f>
        <v/>
      </c>
      <c r="AW779" s="1995" t="str">
        <f t="shared" ref="AW779:AW816" si="27">IF(AND(C779="Efficiency",B779=30,NOT(N779="Common Space")),E779,"")</f>
        <v/>
      </c>
      <c r="AX779" s="1995" t="str">
        <f t="shared" ref="AX779:AX816" si="28">IF(AND(C779=1,B779=30,NOT(N779="Common Space")),E779,"")</f>
        <v/>
      </c>
      <c r="AY779" s="1995" t="str">
        <f t="shared" ref="AY779:AY816" si="29">IF(AND(C779=2,B779=30,NOT(N779="Common Space")),E779,"")</f>
        <v/>
      </c>
      <c r="AZ779" s="1995" t="str">
        <f t="shared" ref="AZ779:AZ816" si="30">IF(AND(C779=3,B779=30,NOT(N779="Common Space")),E779,"")</f>
        <v/>
      </c>
      <c r="BA779" s="1995" t="str">
        <f t="shared" ref="BA779:BA816" si="31">IF(AND(C779=4,B779=30,NOT(N779="Common Space")),E779,"")</f>
        <v/>
      </c>
      <c r="BB779" s="1995" t="str">
        <f t="shared" ref="BB779:BB816" si="32">IF(AND(C779="Efficiency",B779=20,NOT(N779="Common Space")),E779,"")</f>
        <v/>
      </c>
      <c r="BC779" s="1995" t="str">
        <f t="shared" ref="BC779:BC816" si="33">IF(AND(C779=1,B779=20,NOT(N779="Common Space")),E779,"")</f>
        <v/>
      </c>
      <c r="BD779" s="1995" t="str">
        <f t="shared" ref="BD779:BD816" si="34">IF(AND(C779=2,B779=20,NOT(N779="Common Space")),E779,"")</f>
        <v/>
      </c>
      <c r="BE779" s="1995" t="str">
        <f t="shared" ref="BE779:BE816" si="35">IF(AND(C779=3,B779=20,NOT(N779="Common Space")),E779,"")</f>
        <v/>
      </c>
      <c r="BF779" s="1995" t="str">
        <f t="shared" ref="BF779:BF816" si="36">IF(AND(C779=4,B779=20,NOT(N779="Common Space")),E779,"")</f>
        <v/>
      </c>
      <c r="BG779" s="1995" t="str">
        <f t="shared" ref="BG779:BG816" si="37">IF(AND(C779="Efficiency",B779="Unrestricted",NOT(N779="Common Space")),E779,"")</f>
        <v/>
      </c>
      <c r="BH779" s="1995" t="str">
        <f t="shared" ref="BH779:BH816" si="38">IF(AND(C779=1,B779="Unrestricted",NOT(N779="Common Space")),E779,"")</f>
        <v/>
      </c>
      <c r="BI779" s="1995" t="str">
        <f t="shared" ref="BI779:BI816" si="39">IF(AND(C779=2,B779="Unrestricted",NOT(N779="Common Space")),E779,"")</f>
        <v/>
      </c>
      <c r="BJ779" s="1995" t="str">
        <f t="shared" ref="BJ779:BJ816" si="40">IF(AND(C779=3,B779="Unrestricted",NOT(N779="Common Space")),E779,"")</f>
        <v/>
      </c>
      <c r="BK779" s="1995" t="str">
        <f t="shared" ref="BK779:BK816" si="41">IF(AND(C779=4,B779="Unrestricted",NOT(N779="Common Space")),E779,"")</f>
        <v/>
      </c>
      <c r="BL779" s="1995" t="str">
        <f t="shared" ref="BL779:BL816" si="42">IF(OR(AND($C779="Efficiency",NOT($K779=""),NOT($K779="PHA Oper Sub"),$B779=20,NOT($N779="Common Space")),AND($C779="Efficiency",NOT($K779=""),NOT($K779="PHA Oper Sub"),$B779="HOME 20",NOT($N779="Common Space"))),$E779,"")</f>
        <v/>
      </c>
      <c r="BM779" s="1995" t="str">
        <f t="shared" ref="BM779:BM816" si="43">IF(OR(AND($C779=1,NOT($K779=""),NOT($K779="PHA Oper Sub"),$B779=20,NOT($N779="Common Space")),AND($C779=1,NOT($K779=""),NOT($K779="PHA Oper Sub"),$B779="HOME 20",NOT($N779="Common Space"))),$E779,"")</f>
        <v/>
      </c>
      <c r="BN779" s="1995" t="str">
        <f t="shared" ref="BN779:BN816" si="44">IF(OR(AND($C779=2,NOT($K779=""),NOT($K779="PHA Oper Sub"),$B779=20,NOT($N779="Common Space")),AND($C779=2,NOT($K779=""),NOT($K779="PHA Oper Sub"),$B779="HOME 20",NOT($N779="Common Space"))),$E779,"")</f>
        <v/>
      </c>
      <c r="BO779" s="1995" t="str">
        <f t="shared" ref="BO779:BO816" si="45">IF(OR(AND($C779=3,NOT($K779=""),NOT($K779="PHA Oper Sub"),$B779=20,NOT($N779="Common Space")),AND($C779=3,NOT($K779=""),NOT($K779="PHA Oper Sub"),$B779="HOME 20",NOT($N779="Common Space"))),$E779,"")</f>
        <v/>
      </c>
      <c r="BP779" s="1995" t="str">
        <f t="shared" ref="BP779:BP816" si="46">IF(OR(AND($C779=4,NOT($K779=""),NOT($K779="PHA Oper Sub"),$B779=20,NOT($N779="Common Space")),AND($C779=4,NOT($K779=""),NOT($K779="PHA Oper Sub"),$B779="HOME 20",NOT($N779="Common Space"))),$E779,"")</f>
        <v/>
      </c>
      <c r="BQ779" s="1995" t="str">
        <f t="shared" ref="BQ779:BQ816" si="47">IF(OR(AND($C779="Efficiency",NOT($K779=""),NOT($K779="PHA Oper Sub"),$B779=30,NOT($N779="Common Space")),AND($C779="Efficiency",NOT($K779=""),NOT($K779="PHA Oper Sub"),$B779="HOME 30",NOT($N779="Common Space"))),$E779,"")</f>
        <v/>
      </c>
      <c r="BR779" s="1995" t="str">
        <f t="shared" ref="BR779:BR816" si="48">IF(OR(AND($C779=1,NOT($K779=""),NOT($K779="PHA Oper Sub"),$B779=30,NOT($N779="Common Space")),AND($C779=1,NOT($K779=""),NOT($K779="PHA Oper Sub"),$B779="HOME 30",NOT($N779="Common Space"))),$E779,"")</f>
        <v/>
      </c>
      <c r="BS779" s="1995" t="str">
        <f t="shared" ref="BS779:BS816" si="49">IF(OR(AND($C779=2,NOT($K779=""),NOT($K779="PHA Oper Sub"),$B779=30,NOT($N779="Common Space")),AND($C779=2,NOT($K779=""),NOT($K779="PHA Oper Sub"),$B779="HOME 30",NOT($N779="Common Space"))),$E779,"")</f>
        <v/>
      </c>
      <c r="BT779" s="1995" t="str">
        <f t="shared" ref="BT779:BT816" si="50">IF(OR(AND($C779=3,NOT($K779=""),NOT($K779="PHA Oper Sub"),$B779=30,NOT($N779="Common Space")),AND($C779=3,NOT($K779=""),NOT($K779="PHA Oper Sub"),$B779="HOME 30",NOT($N779="Common Space"))),$E779,"")</f>
        <v/>
      </c>
      <c r="BU779" s="1995" t="str">
        <f t="shared" ref="BU779:BU816" si="51">IF(OR(AND($C779=4,NOT($K779=""),NOT($K779="PHA Oper Sub"),$B779=30,NOT($N779="Common Space")),AND($C779=4,NOT($K779=""),NOT($K779="PHA Oper Sub"),$B779="HOME 30",NOT($N779="Common Space"))),$E779,"")</f>
        <v/>
      </c>
      <c r="BV779" s="1995" t="str">
        <f t="shared" ref="BV779:BV816" si="52">IF(OR(AND($C779="Efficiency",NOT($K779=""),NOT($K779="PHA Oper Sub"),$B779=40,NOT($N779="Common Space")),AND($C779="Efficiency",NOT($K779=""),NOT($K779="PHA Oper Sub"),$B779="HOME 40",NOT($N779="Common Space"))),$E779,"")</f>
        <v/>
      </c>
      <c r="BW779" s="1995" t="str">
        <f t="shared" ref="BW779:BW816" si="53">IF(OR(AND($C779=1,NOT($K779=""),NOT($K779="PHA Oper Sub"),$B779=40,NOT($N779="Common Space")),AND($C779=1,NOT($K779=""),NOT($K779="PHA Oper Sub"),$B779="HOME 40",NOT($N779="Common Space"))),$E779,"")</f>
        <v/>
      </c>
      <c r="BX779" s="1995" t="str">
        <f t="shared" ref="BX779:BX816" si="54">IF(OR(AND($C779=2,NOT($K779=""),NOT($K779="PHA Oper Sub"),$B779=40,NOT($N779="Common Space")),AND($C779=2,NOT($K779=""),NOT($K779="PHA Oper Sub"),$B779="HOME 40",NOT($N779="Common Space"))),$E779,"")</f>
        <v/>
      </c>
      <c r="BY779" s="1995" t="str">
        <f t="shared" ref="BY779:BY816" si="55">IF(OR(AND($C779=3,NOT($K779=""),NOT($K779="PHA Oper Sub"),$B779=40,NOT($N779="Common Space")),AND($C779=3,NOT($K779=""),NOT($K779="PHA Oper Sub"),$B779="HOME 40",NOT($N779="Common Space"))),$E779,"")</f>
        <v/>
      </c>
      <c r="BZ779" s="1995" t="str">
        <f t="shared" ref="BZ779:BZ816" si="56">IF(OR(AND($C779=4,NOT($K779=""),NOT($K779="PHA Oper Sub"),$B779=40,NOT($N779="Common Space")),AND($C779=4,NOT($K779=""),NOT($K779="PHA Oper Sub"),$B779="HOME 40",NOT($N779="Common Space"))),$E779,"")</f>
        <v/>
      </c>
      <c r="CA779" s="1995" t="str">
        <f t="shared" ref="CA779:CA816" si="57">IF(OR(AND($C779="Efficiency",NOT($K779=""),NOT($K779="PHA Oper Sub"),NOT($K779=0),$B779=50,NOT($N779="Common Space")),AND($C779="Efficiency",NOT($K779=""),NOT($K779=0),NOT($K779="PHA Oper Sub"),$B779="HOME 50",NOT($N779="Common Space"))),$E779,"")</f>
        <v/>
      </c>
      <c r="CB779" s="1995" t="str">
        <f t="shared" ref="CB779:CB816" si="58">IF(OR(AND($C779=1,NOT($K779=""),NOT($K779=0),NOT($K779="PHA Oper Sub"),$B779=50,NOT($N779="Common Space")),AND($C779=1,NOT($K779=""),NOT($K779=0),NOT($K779="PHA Oper Sub"),$B779="HOME 50",NOT($N779="Common Space"))),$E779,"")</f>
        <v/>
      </c>
      <c r="CC779" s="1995" t="str">
        <f t="shared" ref="CC779:CC816" si="59">IF(OR(AND($C779=2,NOT($K779=""),NOT($K779=0),NOT($K779="PHA Oper Sub"),$B779=50,NOT($N779="Common Space")),AND($C779=2,NOT($K779=""),NOT($K779=0),NOT($K779="PHA Oper Sub"),$B779="HOME 50",NOT($N779="Common Space"))),$E779,"")</f>
        <v/>
      </c>
      <c r="CD779" s="1995" t="str">
        <f t="shared" ref="CD779:CD816" si="60">IF(OR(AND($C779=3,NOT($K779=""),NOT($K779=0),NOT($K779="PHA Oper Sub"),$B779=50,NOT($N779="Common Space")),AND($C779=3,NOT($K779=""),NOT($K779=0),NOT($K779="PHA Oper Sub"),$B779="HOME 50",NOT($N779="Common Space"))),$E779,"")</f>
        <v/>
      </c>
      <c r="CE779" s="1995" t="str">
        <f t="shared" ref="CE779:CE816" si="61">IF(OR(AND($C779=4,NOT($K779=""),NOT($K779=0),NOT($K779="PHA Oper Sub"),$B779=50,NOT($N779="Common Space")),AND($C779=4,NOT($K779=""),NOT($K779=0),NOT($K779="PHA Oper Sub"),$B779="HOME 50",NOT($N779="Common Space"))),$E779,"")</f>
        <v/>
      </c>
      <c r="CF779" s="1995" t="str">
        <f t="shared" ref="CF779:CF816" si="62">IF(OR(AND($C779="Efficiency",NOT($K779=""),NOT($K779=0),NOT($K779="PHA Oper Sub"),$B779=60,NOT($N779="Common Space")),AND($C779="Efficiency",NOT($K779=""),NOT($K779=0),NOT($K779="PHA Oper Sub"),$B779="HOME 60",NOT($N779="Common Space"))),$E779,"")</f>
        <v/>
      </c>
      <c r="CG779" s="1995" t="str">
        <f t="shared" ref="CG779:CG816" si="63">IF(OR(AND($C779=1,NOT($K779=""),NOT($K779=0),NOT($K779="PHA Oper Sub"),$B779=60,NOT($N779="Common Space")),AND($C779=1,NOT($K779=""),NOT($K779=0),NOT($K779="PHA Oper Sub"),$B779="HOME 60",NOT($N779="Common Space"))),$E779,"")</f>
        <v/>
      </c>
      <c r="CH779" s="1995" t="str">
        <f t="shared" ref="CH779:CH816" si="64">IF(OR(AND($C779=2,NOT($K779=""),NOT($K779=0),NOT($K779="PHA Oper Sub"),$B779=60,NOT($N779="Common Space")),AND($C779=2,NOT($K779=""),NOT($K779=0),NOT($K779="PHA Oper Sub"),$B779="HOME 60",NOT($N779="Common Space"))),$E779,"")</f>
        <v/>
      </c>
      <c r="CI779" s="1995" t="str">
        <f t="shared" ref="CI779:CI816" si="65">IF(OR(AND($C779=3,NOT($K779=""),NOT($K779=0),NOT($K779="PHA Oper Sub"),$B779=60,NOT($N779="Common Space")),AND($C779=3,NOT($K779=""),NOT($K779=0),NOT($K779="PHA Oper Sub"),$B779="HOME 60",NOT($N779="Common Space"))),$E779,"")</f>
        <v/>
      </c>
      <c r="CJ779" s="1995" t="str">
        <f t="shared" ref="CJ779:CJ816" si="66">IF(OR(AND($C779=4,NOT($K779=""),NOT($K779=0),NOT($K779="PHA Oper Sub"),$B779=60,NOT($N779="Common Space")),AND($C779=4,NOT($K779=""),NOT($K779=0),NOT($K779="PHA Oper Sub"),$B779="HOME 60",NOT($N779="Common Space"))),$E779,"")</f>
        <v/>
      </c>
      <c r="CK779" s="1995" t="str">
        <f t="shared" ref="CK779:CK816" si="67">IF(OR(AND($C779="Efficiency",NOT($K779=""),NOT($K779="PHA Oper Sub"),$B779=70,NOT($N779="Common Space")),AND($C779="Efficiency",NOT($K779=""),NOT($K779="PHA Oper Sub"),$B779="HOME 70",NOT($N779="Common Space"))),$E779,"")</f>
        <v/>
      </c>
      <c r="CL779" s="1995" t="str">
        <f t="shared" ref="CL779:CL816" si="68">IF(OR(AND($C779=1,NOT($K779=""),NOT($K779="PHA Oper Sub"),$B779=70,NOT($N779="Common Space")),AND($C779=1,NOT($K779=""),NOT($K779="PHA Oper Sub"),$B779="HOME 70",NOT($N779="Common Space"))),$E779,"")</f>
        <v/>
      </c>
      <c r="CM779" s="1995" t="str">
        <f t="shared" ref="CM779:CM816" si="69">IF(OR(AND($C779=2,NOT($K779=""),NOT($K779="PHA Oper Sub"),$B779=70,NOT($N779="Common Space")),AND($C779=2,NOT($K779=""),NOT($K779="PHA Oper Sub"),$B779="HOME 70",NOT($N779="Common Space"))),$E779,"")</f>
        <v/>
      </c>
      <c r="CN779" s="1995" t="str">
        <f t="shared" ref="CN779:CN816" si="70">IF(OR(AND($C779=3,NOT($K779=""),NOT($K779="PHA Oper Sub"),$B779=70,NOT($N779="Common Space")),AND($C779=3,NOT($K779=""),NOT($K779="PHA Oper Sub"),$B779="HOME 70",NOT($N779="Common Space"))),$E779,"")</f>
        <v/>
      </c>
      <c r="CO779" s="1995" t="str">
        <f t="shared" ref="CO779:CO816" si="71">IF(OR(AND($C779=4,NOT($K779=""),NOT($K779="PHA Oper Sub"),$B779=70,NOT($N779="Common Space")),AND($C779=4,NOT($K779=""),NOT($K779="PHA Oper Sub"),$B779="HOME 70",NOT($N779="Common Space"))),$E779,"")</f>
        <v/>
      </c>
      <c r="CP779" s="1995" t="str">
        <f t="shared" ref="CP779:CP816" si="72">IF(OR(AND($C779="Efficiency",NOT($K779=""),NOT($K779="PHA Oper Sub"),$B779=80,NOT($N779="Common Space")),AND($C779="Efficiency",NOT($K779=""),NOT($K779="PHA Oper Sub"),$B779="HOME 80",NOT($N779="Common Space"))),$E779,"")</f>
        <v/>
      </c>
      <c r="CQ779" s="1995" t="str">
        <f t="shared" ref="CQ779:CQ816" si="73">IF(OR(AND($C779=1,NOT($K779=""),NOT($K779="PHA Oper Sub"),$B779=80,NOT($N779="Common Space")),AND($C779=1,NOT($K779=""),NOT($K779="PHA Oper Sub"),$B779="HOME 80",NOT($N779="Common Space"))),$E779,"")</f>
        <v/>
      </c>
      <c r="CR779" s="1995" t="str">
        <f t="shared" ref="CR779:CR816" si="74">IF(OR(AND($C779=2,NOT($K779=""),NOT($K779="PHA Oper Sub"),$B779=80,NOT($N779="Common Space")),AND($C779=2,NOT($K779=""),NOT($K779="PHA Oper Sub"),$B779="HOME 80",NOT($N779="Common Space"))),$E779,"")</f>
        <v/>
      </c>
      <c r="CS779" s="1995" t="str">
        <f t="shared" ref="CS779:CS816" si="75">IF(OR(AND($C779=3,NOT($K779=""),NOT($K779="PHA Oper Sub"),$B779=80,NOT($N779="Common Space")),AND($C779=3,NOT($K779=""),NOT($K779="PHA Oper Sub"),$B779="HOME 80",NOT($N779="Common Space"))),$E779,"")</f>
        <v/>
      </c>
      <c r="CT779" s="1995" t="str">
        <f t="shared" ref="CT779:CT816" si="76">IF(OR(AND($C779=4,NOT($K779=""),NOT($K779="PHA Oper Sub"),$B779=80,NOT($N779="Common Space")),AND($C779=4,NOT($K779=""),NOT($K779="PHA Oper Sub"),$B779="HOME 80",NOT($N779="Common Space"))),$E779,"")</f>
        <v/>
      </c>
      <c r="CU779" s="1995" t="str">
        <f t="shared" ref="CU779:CU816" si="77">IF(OR(AND($C779="Efficiency",$K779="PHA Oper Sub",$B779=20,NOT($N779="Common Space")),AND($C779="Efficiency",$K779="PHA Oper Sub",$B779="HOME 20",NOT($N779="Common Space"))),$E779,"")</f>
        <v/>
      </c>
      <c r="CV779" s="1995" t="str">
        <f t="shared" ref="CV779:CV816" si="78">IF(OR(AND($C779=1,$K779="PHA Oper Sub",$B779=20,NOT($N779="Common Space")),AND($C779=1,$K779="PHA Oper Sub",$B779="HOME 20",NOT($N779="Common Space"))),$E779,"")</f>
        <v/>
      </c>
      <c r="CW779" s="1995" t="str">
        <f t="shared" ref="CW779:CW816" si="79">IF(OR(AND($C779=2,$K779="PHA Oper Sub",$B779=20,NOT($N779="Common Space")),AND($C779=2,$K779="PHA Oper Sub",$B779="HOME 20",NOT($N779="Common Space"))),$E779,"")</f>
        <v/>
      </c>
      <c r="CX779" s="1995" t="str">
        <f t="shared" ref="CX779:CX816" si="80">IF(OR(AND($C779=3,$K779="PHA Oper Sub",$B779=20,NOT($N779="Common Space")),AND($C779=3,$K779="PHA Oper Sub",$B779="HOME 20",NOT($N779="Common Space"))),$E779,"")</f>
        <v/>
      </c>
      <c r="CY779" s="1995" t="str">
        <f t="shared" ref="CY779:CY816" si="81">IF(OR(AND($C779=4,$K779="PHA Oper Sub",$B779=20,NOT($N779="Common Space")),AND($C779=4,$K779="PHA Oper Sub",$B779="HOME 20",NOT($N779="Common Space"))),$E779,"")</f>
        <v/>
      </c>
      <c r="CZ779" s="1995" t="str">
        <f t="shared" ref="CZ779:CZ816" si="82">IF(OR(AND($C779="Efficiency",$K779="PHA Oper Sub",$B779=30,NOT($N779="Common Space")),AND($C779="Efficiency",$K779="PHA Oper Sub",$B779="HOME 30",NOT($N779="Common Space"))),$E779,"")</f>
        <v/>
      </c>
      <c r="DA779" s="1995" t="str">
        <f t="shared" ref="DA779:DA816" si="83">IF(OR(AND($C779=1,$K779="PHA Oper Sub",$B779=30,NOT($N779="Common Space")),AND($C779=1,$K779="PHA Oper Sub",$B779="HOME 30",NOT($N779="Common Space"))),$E779,"")</f>
        <v/>
      </c>
      <c r="DB779" s="1995" t="str">
        <f t="shared" ref="DB779:DB816" si="84">IF(OR(AND($C779=2,$K779="PHA Oper Sub",$B779=30,NOT($N779="Common Space")),AND($C779=2,$K779="PHA Oper Sub",$B779="HOME 30",NOT($N779="Common Space"))),$E779,"")</f>
        <v/>
      </c>
      <c r="DC779" s="1995" t="str">
        <f t="shared" ref="DC779:DC816" si="85">IF(OR(AND($C779=3,$K779="PHA Oper Sub",$B779=30,NOT($N779="Common Space")),AND($C779=3,$K779="PHA Oper Sub",$B779="HOME 30",NOT($N779="Common Space"))),$E779,"")</f>
        <v/>
      </c>
      <c r="DD779" s="1995" t="str">
        <f t="shared" ref="DD779:DD816" si="86">IF(OR(AND($C779=4,$K779="PHA Oper Sub",$B779=30,NOT($N779="Common Space")),AND($C779=4,$K779="PHA Oper Sub",$B779="HOME 30",NOT($N779="Common Space"))),$E779,"")</f>
        <v/>
      </c>
      <c r="DE779" s="1995" t="str">
        <f t="shared" ref="DE779:DE816" si="87">IF(OR(AND($C779="Efficiency",$K779="PHA Oper Sub",$B779=40,NOT($N779="Common Space")),AND($C779="Efficiency",$K779="PHA Oper Sub",$B779="HOME 40",NOT($N779="Common Space"))),$E779,"")</f>
        <v/>
      </c>
      <c r="DF779" s="1995" t="str">
        <f t="shared" ref="DF779:DF816" si="88">IF(OR(AND($C779=1,$K779="PHA Oper Sub",$B779=40,NOT($N779="Common Space")),AND($C779=1,$K779="PHA Oper Sub",$B779="HOME 40",NOT($N779="Common Space"))),$E779,"")</f>
        <v/>
      </c>
      <c r="DG779" s="1995" t="str">
        <f t="shared" ref="DG779:DG816" si="89">IF(OR(AND($C779=2,$K779="PHA Oper Sub",$B779=40,NOT($N779="Common Space")),AND($C779=2,$K779="PHA Oper Sub",$B779="HOME 40",NOT($N779="Common Space"))),$E779,"")</f>
        <v/>
      </c>
      <c r="DH779" s="1995" t="str">
        <f t="shared" ref="DH779:DH816" si="90">IF(OR(AND($C779=3,$K779="PHA Oper Sub",$B779=40,NOT($N779="Common Space")),AND($C779=3,$K779="PHA Oper Sub",$B779="HOME 40",NOT($N779="Common Space"))),$E779,"")</f>
        <v/>
      </c>
      <c r="DI779" s="1995" t="str">
        <f t="shared" ref="DI779:DI816" si="91">IF(OR(AND($C779=4,$K779="PHA Oper Sub",$B779=40,NOT($N779="Common Space")),AND($C779=4,$K779="PHA Oper Sub",$B779="HOME 40",NOT($N779="Common Space"))),$E779,"")</f>
        <v/>
      </c>
      <c r="DJ779" s="1995" t="str">
        <f t="shared" ref="DJ779:DJ816" si="92">IF(OR(AND($C779="Efficiency",$K779="PHA Oper Sub",$B779=50,NOT($N779="Common Space")),AND($C779="Efficiency",$K779="PHA Oper Sub",$B779="HOME 50",NOT($N779="Common Space"))),$E779,"")</f>
        <v/>
      </c>
      <c r="DK779" s="1995" t="str">
        <f t="shared" ref="DK779:DK816" si="93">IF(OR(AND($C779=1,$K779="PHA Oper Sub",$B779=50,NOT($N779="Common Space")),AND($C779=1,$K779="PHA Oper Sub",$B779="HOME 50",NOT($N779="Common Space"))),$E779,"")</f>
        <v/>
      </c>
      <c r="DL779" s="1995" t="str">
        <f t="shared" ref="DL779:DL816" si="94">IF(OR(AND($C779=2,$K779="PHA Oper Sub",$B779=50,NOT($N779="Common Space")),AND($C779=2,$K779="PHA Oper Sub",$B779="HOME 50",NOT($N779="Common Space"))),$E779,"")</f>
        <v/>
      </c>
      <c r="DM779" s="1995" t="str">
        <f t="shared" ref="DM779:DM816" si="95">IF(OR(AND($C779=3,$K779="PHA Oper Sub",$B779=50,NOT($N779="Common Space")),AND($C779=3,$K779="PHA Oper Sub",$B779="HOME 50",NOT($N779="Common Space"))),$E779,"")</f>
        <v/>
      </c>
      <c r="DN779" s="1995" t="str">
        <f t="shared" ref="DN779:DN816" si="96">IF(OR(AND($C779=4,$K779="PHA Oper Sub",$B779=50,NOT($N779="Common Space")),AND($C779=4,$K779="PHA Oper Sub",$B779="HOME 50",NOT($N779="Common Space"))),$E779,"")</f>
        <v/>
      </c>
      <c r="DO779" s="1995" t="str">
        <f t="shared" ref="DO779:DO816" si="97">IF(OR(AND($C779="Efficiency",$K779="PHA Oper Sub",$B779=60,NOT($N779="Common Space")),AND($C779="Efficiency",$K779="PHA Oper Sub",$B779="HOME 60",NOT($N779="Common Space"))),$E779,"")</f>
        <v/>
      </c>
      <c r="DP779" s="1995" t="str">
        <f t="shared" ref="DP779:DP816" si="98">IF(OR(AND($C779=1,$K779="PHA Oper Sub",$B779=60,NOT($N779="Common Space")),AND($C779=1,$K779="PHA Oper Sub",$B779="HOME 60",NOT($N779="Common Space"))),$E779,"")</f>
        <v/>
      </c>
      <c r="DQ779" s="1995" t="str">
        <f t="shared" ref="DQ779:DQ816" si="99">IF(OR(AND($C779=2,$K779="PHA Oper Sub",$B779=60,NOT($N779="Common Space")),AND($C779=2,$K779="PHA Oper Sub",$B779="HOME 60",NOT($N779="Common Space"))),$E779,"")</f>
        <v/>
      </c>
      <c r="DR779" s="1995" t="str">
        <f t="shared" ref="DR779:DR816" si="100">IF(OR(AND($C779=3,$K779="PHA Oper Sub",$B779=60,NOT($N779="Common Space")),AND($C779=3,$K779="PHA Oper Sub",$B779="HOME 60",NOT($N779="Common Space"))),$E779,"")</f>
        <v/>
      </c>
      <c r="DS779" s="1995" t="str">
        <f t="shared" ref="DS779:DS816" si="101">IF(OR(AND($C779=4,$K779="PHA Oper Sub",$B779=60,NOT($N779="Common Space")),AND($C779=4,$K779="PHA Oper Sub",$B779="HOME 60",NOT($N779="Common Space"))),$E779,"")</f>
        <v/>
      </c>
      <c r="DT779" s="1995" t="str">
        <f t="shared" ref="DT779:DT816" si="102">IF(OR(AND($C779="Efficiency",$K779="PHA Oper Sub",$B779=70,NOT($N779="Common Space")),AND($C779="Efficiency",$K779="PHA Oper Sub",$B779="HOME 70",NOT($N779="Common Space"))),$E779,"")</f>
        <v/>
      </c>
      <c r="DU779" s="1995" t="str">
        <f t="shared" ref="DU779:DU816" si="103">IF(OR(AND($C779=1,$K779="PHA Oper Sub",$B779=70,NOT($N779="Common Space")),AND($C779=1,$K779="PHA Oper Sub",$B779="HOME 70",NOT($N779="Common Space"))),$E779,"")</f>
        <v/>
      </c>
      <c r="DV779" s="1995" t="str">
        <f t="shared" ref="DV779:DV816" si="104">IF(OR(AND($C779=2,$K779="PHA Oper Sub",$B779=70,NOT($N779="Common Space")),AND($C779=2,$K779="PHA Oper Sub",$B779="HOME 70",NOT($N779="Common Space"))),$E779,"")</f>
        <v/>
      </c>
      <c r="DW779" s="1995" t="str">
        <f t="shared" ref="DW779:DW816" si="105">IF(OR(AND($C779=3,$K779="PHA Oper Sub",$B779=70,NOT($N779="Common Space")),AND($C779=3,$K779="PHA Oper Sub",$B779="HOME 70",NOT($N779="Common Space"))),$E779,"")</f>
        <v/>
      </c>
      <c r="DX779" s="1995" t="str">
        <f t="shared" ref="DX779:DX816" si="106">IF(OR(AND($C779=4,$K779="PHA Oper Sub",$B779=70,NOT($N779="Common Space")),AND($C779=4,$K779="PHA Oper Sub",$B779="HOME 70",NOT($N779="Common Space"))),$E779,"")</f>
        <v/>
      </c>
      <c r="DY779" s="1995" t="str">
        <f t="shared" ref="DY779:DY816" si="107">IF(OR(AND($C779="Efficiency",$K779="PHA Oper Sub",$B779=80,NOT($N779="Common Space")),AND($C779="Efficiency",$K779="PHA Oper Sub",$B779="HOME 80",NOT($N779="Common Space"))),$E779,"")</f>
        <v/>
      </c>
      <c r="DZ779" s="1995" t="str">
        <f t="shared" ref="DZ779:DZ816" si="108">IF(OR(AND($C779=1,$K779="PHA Oper Sub",$B779=80,NOT($N779="Common Space")),AND($C779=1,$K779="PHA Oper Sub",$B779="HOME 80",NOT($N779="Common Space"))),$E779,"")</f>
        <v/>
      </c>
      <c r="EA779" s="1995" t="str">
        <f t="shared" ref="EA779:EA816" si="109">IF(OR(AND($C779=2,$K779="PHA Oper Sub",$B779=80,NOT($N779="Common Space")),AND($C779=2,$K779="PHA Oper Sub",$B779="HOME 80",NOT($N779="Common Space"))),$E779,"")</f>
        <v/>
      </c>
      <c r="EB779" s="1995" t="str">
        <f t="shared" ref="EB779:EB816" si="110">IF(OR(AND($C779=3,$K779="PHA Oper Sub",$B779=80,NOT($N779="Common Space")),AND($C779=3,$K779="PHA Oper Sub",$B779="HOME 80",NOT($N779="Common Space"))),$E779,"")</f>
        <v/>
      </c>
      <c r="EC779" s="1995" t="str">
        <f t="shared" ref="EC779:EC816" si="111">IF(OR(AND($C779=4,$K779="PHA Oper Sub",$B779=80,NOT($N779="Common Space")),AND($C779=4,$K779="PHA Oper Sub",$B779="HOME 80",NOT($N779="Common Space"))),$E779,"")</f>
        <v/>
      </c>
      <c r="ED779" s="1995" t="str">
        <f t="shared" ref="ED779:ED816" si="112">IF(AND(C779="Efficiency",N779="Common Space"),E779,"")</f>
        <v/>
      </c>
      <c r="EE779" s="1995" t="str">
        <f t="shared" ref="EE779:EE816" si="113">IF(AND(C779=1,N779="Common Space"),E779,"")</f>
        <v/>
      </c>
      <c r="EF779" s="1995" t="str">
        <f t="shared" ref="EF779:EF816" si="114">IF(AND(C779=2,N779="Common Space"),E779,"")</f>
        <v/>
      </c>
      <c r="EG779" s="1995" t="str">
        <f t="shared" ref="EG779:EG816" si="115">IF(AND(C779=3,N779="Common Space"),E779,"")</f>
        <v/>
      </c>
      <c r="EH779" s="1995" t="str">
        <f t="shared" ref="EH779:EH816" si="116">IF(AND(C779=4,N779="Common Space"),E779,"")</f>
        <v/>
      </c>
      <c r="EI779" s="1995" t="str">
        <f t="shared" ref="EI779:EI816" si="117">IF(OR(AND($C779="Efficiency",$B779=80,NOT($N779="Common Space")),AND($C779="Efficiency",$B779="HOME 80",NOT($N779="Common Space"))),$E779*$F779,"")</f>
        <v/>
      </c>
      <c r="EJ779" s="1995" t="str">
        <f t="shared" ref="EJ779:EJ816" si="118">IF(OR(AND($C779=1,$B779=80,NOT($N779="Common Space")),AND($C779=1,$B779="HOME 80",NOT($N779="Common Space"))),$E779*$F779,"")</f>
        <v/>
      </c>
      <c r="EK779" s="1995" t="str">
        <f t="shared" ref="EK779:EK816" si="119">IF(OR(AND($C779=2,$B779=80,NOT($N779="Common Space")),AND($C779=2,$B779="HOME 80",NOT($N779="Common Space"))),$E779*$F779,"")</f>
        <v/>
      </c>
      <c r="EL779" s="1995" t="str">
        <f t="shared" ref="EL779:EL816" si="120">IF(OR(AND($C779=3,$B779=80,NOT($N779="Common Space")),AND($C779=3,$B779="HOME 80",NOT($N779="Common Space"))),$E779*$F779,"")</f>
        <v/>
      </c>
      <c r="EM779" s="1995" t="str">
        <f t="shared" ref="EM779:EM816" si="121">IF(OR(AND($C779=4,$B779=80,NOT($N779="Common Space")),AND($C779=4,$B779="HOME 80",NOT($N779="Common Space"))),$E779*$F779,"")</f>
        <v/>
      </c>
      <c r="EN779" s="1995" t="str">
        <f t="shared" ref="EN779:EN816" si="122">IF(OR(AND($C779="Efficiency",$B779=70,NOT($N779="Common Space")),AND($C779="Efficiency",$B779="HOME 70",NOT($N779="Common Space"))),$E779*$F779,"")</f>
        <v/>
      </c>
      <c r="EO779" s="1995" t="str">
        <f t="shared" ref="EO779:EO816" si="123">IF(OR(AND($C779=1,$B779=70,NOT($N779="Common Space")),AND($C779=1,$B779="HOME 70",NOT($N779="Common Space"))),$E779*$F779,"")</f>
        <v/>
      </c>
      <c r="EP779" s="1995" t="str">
        <f t="shared" ref="EP779:EP816" si="124">IF(OR(AND($C779=2,$B779=70,NOT($N779="Common Space")),AND($C779=2,$B779="HOME 70",NOT($N779="Common Space"))),$E779*$F779,"")</f>
        <v/>
      </c>
      <c r="EQ779" s="1995" t="str">
        <f t="shared" ref="EQ779:EQ816" si="125">IF(OR(AND($C779=3,$B779=70,NOT($N779="Common Space")),AND($C779=3,$B779="HOME 70",NOT($N779="Common Space"))),$E779*$F779,"")</f>
        <v/>
      </c>
      <c r="ER779" s="1995" t="str">
        <f t="shared" ref="ER779:ER816" si="126">IF(OR(AND($C779=4,$B779=70,NOT($N779="Common Space")),AND($C779=4,$B779="HOME 70",NOT($N779="Common Space"))),$E779*$F779,"")</f>
        <v/>
      </c>
      <c r="ES779" s="1995" t="str">
        <f t="shared" ref="ES779:ES816" si="127">IF(OR(AND($C779="Efficiency",$B779=60,NOT($N779="Common Space")),AND($C779="Efficiency",$B779="HOME 60",NOT($N779="Common Space"))),$E779*$F779,"")</f>
        <v/>
      </c>
      <c r="ET779" s="1995" t="str">
        <f t="shared" ref="ET779:ET816" si="128">IF(OR(AND($C779=1,$B779=60,NOT($N779="Common Space")),AND($C779=1,$B779="HOME 60",NOT($N779="Common Space"))),$E779*$F779,"")</f>
        <v/>
      </c>
      <c r="EU779" s="1995" t="str">
        <f t="shared" ref="EU779:EU816" si="129">IF(OR(AND($C779=2,$B779=60,NOT($N779="Common Space")),AND($C779=2,$B779="HOME 60",NOT($N779="Common Space"))),$E779*$F779,"")</f>
        <v/>
      </c>
      <c r="EV779" s="1995" t="str">
        <f t="shared" ref="EV779:EV816" si="130">IF(OR(AND($C779=3,$B779=60,NOT($N779="Common Space")),AND($C779=3,$B779="HOME 60",NOT($N779="Common Space"))),$E779*$F779,"")</f>
        <v/>
      </c>
      <c r="EW779" s="1995" t="str">
        <f t="shared" ref="EW779:EW816" si="131">IF(OR(AND($C779=4,$B779=60,NOT($N779="Common Space")),AND($C779=4,$B779="HOME 60",NOT($N779="Common Space"))),$E779*$F779,"")</f>
        <v/>
      </c>
      <c r="EX779" s="1995" t="str">
        <f t="shared" ref="EX779:EX816" si="132">IF(OR(AND($C779="Efficiency",$B779=50,NOT($N779="Common Space")),AND($C779="Efficiency",$B779="HOME 50",NOT($N779="Common Space"))),$E779*$F779,"")</f>
        <v/>
      </c>
      <c r="EY779" s="1995" t="str">
        <f t="shared" ref="EY779:EY816" si="133">IF(OR(AND($C779=1,$B779=50,NOT($N779="Common Space")),AND($C779=1,$B779="HOME 50",NOT($N779="Common Space"))),$E779*$F779,"")</f>
        <v/>
      </c>
      <c r="EZ779" s="1995" t="str">
        <f t="shared" ref="EZ779:EZ816" si="134">IF(OR(AND($C779=2,$B779=50,NOT($N779="Common Space")),AND($C779=2,$B779="HOME 50",NOT($N779="Common Space"))),$E779*$F779,"")</f>
        <v/>
      </c>
      <c r="FA779" s="1995" t="str">
        <f t="shared" ref="FA779:FA816" si="135">IF(OR(AND($C779=3,$B779=50,NOT($N779="Common Space")),AND($C779=3,$B779="HOME 50",NOT($N779="Common Space"))),$E779*$F779,"")</f>
        <v/>
      </c>
      <c r="FB779" s="1995" t="str">
        <f t="shared" ref="FB779:FB816" si="136">IF(OR(AND($C779=4,$B779=50,NOT($N779="Common Space")),AND($C779=4,$B779="HOME 50",NOT($N779="Common Space"))),$E779*$F779,"")</f>
        <v/>
      </c>
      <c r="FC779" s="1995" t="str">
        <f t="shared" ref="FC779:FC816" si="137">IF(OR(AND($C779="Efficiency",$B779=40,NOT($N779="Common Space")),AND($C779="Efficiency",$B779="HOME 40",NOT($N779="Common Space"))),$E779*$F779,"")</f>
        <v/>
      </c>
      <c r="FD779" s="1995" t="str">
        <f t="shared" ref="FD779:FD816" si="138">IF(OR(AND($C779=1,$B779=40,NOT($N779="Common Space")),AND($C779=1,$B779="HOME 40",NOT($N779="Common Space"))),$E779*$F779,"")</f>
        <v/>
      </c>
      <c r="FE779" s="1995" t="str">
        <f t="shared" ref="FE779:FE816" si="139">IF(OR(AND($C779=2,$B779=40,NOT($N779="Common Space")),AND($C779=2,$B779="HOME 40",NOT($N779="Common Space"))),$E779*$F779,"")</f>
        <v/>
      </c>
      <c r="FF779" s="1995" t="str">
        <f t="shared" ref="FF779:FF816" si="140">IF(OR(AND($C779=3,$B779=40,NOT($N779="Common Space")),AND($C779=3,$B779="HOME 40",NOT($N779="Common Space"))),$E779*$F779,"")</f>
        <v/>
      </c>
      <c r="FG779" s="1995" t="str">
        <f t="shared" ref="FG779:FG816" si="141">IF(OR(AND($C779=4,$B779=40,NOT($N779="Common Space")),AND($C779=4,$B779="HOME 40",NOT($N779="Common Space"))),$E779*$F779,"")</f>
        <v/>
      </c>
      <c r="FH779" s="1995" t="str">
        <f t="shared" ref="FH779:FH816" si="142">IF(OR(AND($C779="Efficiency",$B779=30,NOT($N779="Common Space")),AND($C779="Efficiency",$B779="HOME 30",NOT($N779="Common Space"))),$E779*$F779,"")</f>
        <v/>
      </c>
      <c r="FI779" s="1995" t="str">
        <f t="shared" ref="FI779:FI816" si="143">IF(OR(AND($C779=1,$B779=30,NOT($N779="Common Space")),AND($C779=1,$B779="HOME 30",NOT($N779="Common Space"))),$E779*$F779,"")</f>
        <v/>
      </c>
      <c r="FJ779" s="1995" t="str">
        <f t="shared" ref="FJ779:FJ816" si="144">IF(OR(AND($C779=2,$B779=30,NOT($N779="Common Space")),AND($C779=2,$B779="HOME 30",NOT($N779="Common Space"))),$E779*$F779,"")</f>
        <v/>
      </c>
      <c r="FK779" s="1995" t="str">
        <f t="shared" ref="FK779:FK816" si="145">IF(OR(AND($C779=3,$B779=30,NOT($N779="Common Space")),AND($C779=3,$B779="HOME 30",NOT($N779="Common Space"))),$E779*$F779,"")</f>
        <v/>
      </c>
      <c r="FL779" s="1995" t="str">
        <f t="shared" ref="FL779:FL816" si="146">IF(OR(AND($C779=4,$B779=30,NOT($N779="Common Space")),AND($C779=4,$B779="HOME 30",NOT($N779="Common Space"))),$E779*$F779,"")</f>
        <v/>
      </c>
      <c r="FM779" s="1995" t="str">
        <f t="shared" ref="FM779:FM816" si="147">IF(OR(AND($C779="Efficiency",$B779=20,NOT($N779="Common Space")),AND($C779="Efficiency",$B779="HOME 20",NOT($N779="Common Space"))),$E779*$F779,"")</f>
        <v/>
      </c>
      <c r="FN779" s="1995" t="str">
        <f t="shared" ref="FN779:FN816" si="148">IF(OR(AND($C779=1,$B779=20,NOT($N779="Common Space")),AND($C779=1,$B779="HOME 20",NOT($N779="Common Space"))),$E779*$F779,"")</f>
        <v/>
      </c>
      <c r="FO779" s="1995" t="str">
        <f t="shared" ref="FO779:FO816" si="149">IF(OR(AND($C779=2,$B779=20,NOT($N779="Common Space")),AND($C779=2,$B779="HOME 20",NOT($N779="Common Space"))),$E779*$F779,"")</f>
        <v/>
      </c>
      <c r="FP779" s="1995" t="str">
        <f t="shared" ref="FP779:FP816" si="150">IF(OR(AND($C779=3,$B779=20,NOT($N779="Common Space")),AND($C779=3,$B779="HOME 20",NOT($N779="Common Space"))),$E779*$F779,"")</f>
        <v/>
      </c>
      <c r="FQ779" s="1995" t="str">
        <f t="shared" ref="FQ779:FQ816" si="151">IF(OR(AND($C779=4,$B779=20,NOT($N779="Common Space")),AND($C779=4,$B779="HOME 20",NOT($N779="Common Space"))),$E779*$F779,"")</f>
        <v/>
      </c>
      <c r="FR779" s="1995" t="str">
        <f t="shared" ref="FR779:FR816" si="152">IF(AND(C779="Efficiency",B779="Unrestricted",NOT(N779="Common Space")),E779*F779,"")</f>
        <v/>
      </c>
      <c r="FS779" s="1995" t="str">
        <f t="shared" ref="FS779:FS816" si="153">IF(AND(C779=1,B779="Unrestricted",NOT(N779="Common Space")),E779*F779,"")</f>
        <v/>
      </c>
      <c r="FT779" s="1995" t="str">
        <f t="shared" ref="FT779:FT816" si="154">IF(AND(C779=2,B779="Unrestricted",NOT(N779="Common Space")),E779*F779,"")</f>
        <v/>
      </c>
      <c r="FU779" s="1995" t="str">
        <f t="shared" ref="FU779:FU816" si="155">IF(AND(C779=3,B779="Unrestricted",NOT(N779="Common Space")),E779*F779,"")</f>
        <v/>
      </c>
      <c r="FV779" s="1995" t="str">
        <f t="shared" ref="FV779:FV816" si="156">IF(AND(C779=4,B779="Unrestricted",NOT(N779="Common Space")),E779*F779,"")</f>
        <v/>
      </c>
      <c r="FW779" s="1995" t="str">
        <f t="shared" ref="FW779:FW816" si="157">IF(AND(C779="Efficiency",NOT(K779=""),NOT($K779=0),NOT(N779="Common Space")),E779*F779,"")</f>
        <v/>
      </c>
      <c r="FX779" s="1995" t="str">
        <f t="shared" ref="FX779:FX816" si="158">IF(AND(C779=1,NOT(K779=""),NOT($K779=0),NOT(N779="Common Space")),E779*F779,"")</f>
        <v/>
      </c>
      <c r="FY779" s="1995" t="str">
        <f t="shared" ref="FY779:FY816" si="159">IF(AND(C779=2,NOT(K779=""),NOT($K779=0),NOT(N779="Common Space")),E779*F779,"")</f>
        <v/>
      </c>
      <c r="FZ779" s="1995" t="str">
        <f t="shared" ref="FZ779:FZ816" si="160">IF(AND(C779=3,NOT(K779=""),NOT($K779=0),NOT(N779="Common Space")),E779*F779,"")</f>
        <v/>
      </c>
      <c r="GA779" s="1995" t="str">
        <f t="shared" ref="GA779:GA816" si="161">IF(AND(C779=4,NOT(K779=""),NOT($K779=0),NOT(N779="Common Space")),E779*F779,"")</f>
        <v/>
      </c>
      <c r="GB779" s="1995" t="str">
        <f t="shared" ref="GB779:GB816" si="162">IF(AND(C779="Efficiency",N779="Common Space"),E779*F779,"")</f>
        <v/>
      </c>
      <c r="GC779" s="1995" t="str">
        <f t="shared" ref="GC779:GC816" si="163">IF(AND(C779=1,N779="Common Space"),E779*F779,"")</f>
        <v/>
      </c>
      <c r="GD779" s="1995" t="str">
        <f t="shared" ref="GD779:GD816" si="164">IF(AND(C779=2,N779="Common Space"),E779*F779,"")</f>
        <v/>
      </c>
      <c r="GE779" s="1995" t="str">
        <f t="shared" ref="GE779:GE816" si="165">IF(AND(C779=3,N779="Common Space"),E779*F779,"")</f>
        <v/>
      </c>
      <c r="GF779" s="1995" t="str">
        <f t="shared" ref="GF779:GF816" si="166">IF(AND(C779=4,N779="Common Space"),E779*F779,"")</f>
        <v/>
      </c>
      <c r="GG779" s="1995" t="str">
        <f t="shared" ref="GG779:GG816" si="167">IF(AND($C779="Efficiency", $P779="New Construction",NOT($B779="Unrestricted"),NOT($B779="NSP 120"),NOT($B779="N/A-CS"),NOT($N779="Common Space")),$E779,"")</f>
        <v/>
      </c>
      <c r="GH779" s="1995" t="str">
        <f t="shared" ref="GH779:GH816" si="168">IF(AND($C779=1, $P779="New Construction",NOT($B779="Unrestricted"),NOT($B779="NSP 120"),NOT($B779="N/A-CS"),NOT($N779="Common Space")),$E779,"")</f>
        <v/>
      </c>
      <c r="GI779" s="1995" t="str">
        <f t="shared" ref="GI779:GI816" si="169">IF(AND($C779=2, $P779="New Construction",NOT($B779="Unrestricted"),NOT($B779="NSP 120"),NOT($B779="N/A-CS"),NOT($N779="Common Space")),$E779,"")</f>
        <v/>
      </c>
      <c r="GJ779" s="1995" t="str">
        <f t="shared" ref="GJ779:GJ816" si="170">IF(AND($C779=3, $P779="New Construction",NOT($B779="Unrestricted"),NOT($B779="NSP 120"),NOT($B779="N/A-CS"),NOT($N779="Common Space")),$E779,"")</f>
        <v/>
      </c>
      <c r="GK779" s="1995" t="str">
        <f t="shared" ref="GK779:GK816" si="171">IF(AND($C779=4, $P779="New Construction",NOT($B779="Unrestricted"),NOT($B779="NSP 120"),NOT($B779="N/A-CS"),NOT($N779="Common Space")),$E779,"")</f>
        <v/>
      </c>
      <c r="GL779" s="1995" t="str">
        <f t="shared" ref="GL779:GL816" si="172">IF(AND($C779="Efficiency", $P779="New Construction",$B779="Unrestricted",NOT($B779="N/A-CS"),NOT($N779="Common Space")),$E779,"")</f>
        <v/>
      </c>
      <c r="GM779" s="1995" t="str">
        <f t="shared" ref="GM779:GM816" si="173">IF(AND($C779=1, $P779="New Construction",$B779="Unrestricted",NOT($B779="N/A-CS"),NOT($N779="Common Space")),$E779,"")</f>
        <v/>
      </c>
      <c r="GN779" s="1995" t="str">
        <f t="shared" ref="GN779:GN816" si="174">IF(AND($C779=2, $P779="New Construction",$B779="Unrestricted",NOT($B779="N/A-CS"),NOT($N779="Common Space")),$E779,"")</f>
        <v/>
      </c>
      <c r="GO779" s="1995" t="str">
        <f t="shared" ref="GO779:GO816" si="175">IF(AND($C779=3, $P779="New Construction",$B779="Unrestricted",NOT($B779="N/A-CS"),NOT($N779="Common Space")),$E779,"")</f>
        <v/>
      </c>
      <c r="GP779" s="1995" t="str">
        <f t="shared" ref="GP779:GP816" si="176">IF(AND($C779=4, $P779="New Construction",$B779="Unrestricted",NOT($B779="N/A-CS"),NOT($N779="Common Space")),$E779,"")</f>
        <v/>
      </c>
      <c r="GQ779" s="1995" t="str">
        <f t="shared" ref="GQ779:GQ816" si="177">IF(AND($C779="Efficiency", $P779="New Construction",$B779="N/A-CS",$N779="Common Space"),$E779,"")</f>
        <v/>
      </c>
      <c r="GR779" s="1995" t="str">
        <f t="shared" ref="GR779:GR816" si="178">IF(AND($C779=1, $P779="New Construction",$B779="N/A-CS",$N779="Common Space"),$E779,"")</f>
        <v/>
      </c>
      <c r="GS779" s="1995" t="str">
        <f t="shared" ref="GS779:GS816" si="179">IF(AND($C779=2, $P779="New Construction",$B779="N/A-CS",$N779="Common Space"),$E779,"")</f>
        <v/>
      </c>
      <c r="GT779" s="1995" t="str">
        <f t="shared" ref="GT779:GT816" si="180">IF(AND($C779=3, $P779="New Construction",$B779="N/A-CS",$N779="Common Space"),$E779,"")</f>
        <v/>
      </c>
      <c r="GU779" s="1995" t="str">
        <f t="shared" ref="GU779:GU816" si="181">IF(AND($C779=4, $P779="New Construction",$B779="N/A-CS",$N779="Common Space"),$E779,"")</f>
        <v/>
      </c>
      <c r="GV779" s="1995" t="str">
        <f t="shared" ref="GV779:GV816" si="182">IF(AND($C779="Efficiency", $P779="Acquisition/Rehab",NOT($B779="Unrestricted"),NOT($B779="NSP 120"),NOT($B779="N/A-CS"),NOT($N779="Common Space")),$E779,"")</f>
        <v/>
      </c>
      <c r="GW779" s="1995" t="str">
        <f t="shared" ref="GW779:GW816" si="183">IF(AND($C779=1, $P779="Acquisition/Rehab",NOT($B779="Unrestricted"),NOT($B779="NSP 120"),NOT($B779="N/A-CS"),NOT($N779="Common Space")),$E779,"")</f>
        <v/>
      </c>
      <c r="GX779" s="1995" t="str">
        <f t="shared" ref="GX779:GX816" si="184">IF(AND($C779=2, $P779="Acquisition/Rehab",NOT($B779="Unrestricted"),NOT($B779="NSP 120"),NOT($B779="N/A-CS"),NOT($N779="Common Space")),$E779,"")</f>
        <v/>
      </c>
      <c r="GY779" s="1995" t="str">
        <f t="shared" ref="GY779:GY816" si="185">IF(AND($C779=3, $P779="Acquisition/Rehab",NOT($B779="Unrestricted"),NOT($B779="NSP 120"),NOT($B779="N/A-CS"),NOT($N779="Common Space")),$E779,"")</f>
        <v/>
      </c>
      <c r="GZ779" s="1995" t="str">
        <f t="shared" ref="GZ779:GZ816" si="186">IF(AND($C779=4, $P779="Acquisition/Rehab",NOT($B779="Unrestricted"),NOT($B779="NSP 120"),NOT($B779="N/A-CS"),NOT($N779="Common Space")),$E779,"")</f>
        <v/>
      </c>
      <c r="HA779" s="1995" t="str">
        <f t="shared" ref="HA779:HA816" si="187">IF(AND($C779="Efficiency", $P779="Acquisition/Rehab",$B779="Unrestricted",NOT($B779="N/A-CS"),NOT($N779="Common Space")),$E779,"")</f>
        <v/>
      </c>
      <c r="HB779" s="1995" t="str">
        <f t="shared" ref="HB779:HB816" si="188">IF(AND($C779=1, $P779="Acquisition/Rehab",$B779="Unrestricted",NOT($B779="N/A-CS"),NOT($N779="Common Space")),$E779,"")</f>
        <v/>
      </c>
      <c r="HC779" s="1995" t="str">
        <f t="shared" ref="HC779:HC816" si="189">IF(AND($C779=2, $P779="Acquisition/Rehab",$B779="Unrestricted",NOT($B779="N/A-CS"),NOT($N779="Common Space")),$E779,"")</f>
        <v/>
      </c>
      <c r="HD779" s="1995" t="str">
        <f t="shared" ref="HD779:HD816" si="190">IF(AND($C779=3, $P779="Acquisition/Rehab",$B779="Unrestricted",NOT($B779="N/A-CS"),NOT($N779="Common Space")),$E779,"")</f>
        <v/>
      </c>
      <c r="HE779" s="1995" t="str">
        <f t="shared" ref="HE779:HE816" si="191">IF(AND($C779=4, $P779="Acquisition/Rehab",$B779="Unrestricted",NOT($B779="N/A-CS"),NOT($N779="Common Space")),$E779,"")</f>
        <v/>
      </c>
      <c r="HF779" s="1995" t="str">
        <f t="shared" ref="HF779:HF816" si="192">IF(AND($C779="Efficiency", $P779="Acquisition/Rehab",$B779="N/A-CS",$N779="Common Space"),$E779,"")</f>
        <v/>
      </c>
      <c r="HG779" s="1995" t="str">
        <f t="shared" ref="HG779:HG816" si="193">IF(AND($C779=1, $P779="Acquisition/Rehab",$B779="N/A-CS",$N779="Common Space"),$E779,"")</f>
        <v/>
      </c>
      <c r="HH779" s="1995" t="str">
        <f t="shared" ref="HH779:HH816" si="194">IF(AND($C779=2, $P779="Acquisition/Rehab",$B779="N/A-CS",$N779="Common Space"),$E779,"")</f>
        <v/>
      </c>
      <c r="HI779" s="1995" t="str">
        <f t="shared" ref="HI779:HI816" si="195">IF(AND($C779=3, $P779="Acquisition/Rehab",$B779="N/A-CS",$N779="Common Space"),$E779,"")</f>
        <v/>
      </c>
      <c r="HJ779" s="1995" t="str">
        <f t="shared" ref="HJ779:HJ816" si="196">IF(AND($C779=4, $P779="Acquisition/Rehab",$B779="N/A-CS",$N779="Common Space"),$E779,"")</f>
        <v/>
      </c>
      <c r="HK779" s="1995" t="str">
        <f t="shared" ref="HK779:HK816" si="197">IF(AND($C779="Efficiency", $P779="Rehabilitation",NOT($B779="Unrestricted"),NOT($B779="NSP 120"),NOT($B779="N/A-CS"),NOT($N779="Common Space")),$E779,"")</f>
        <v/>
      </c>
      <c r="HL779" s="1995" t="str">
        <f t="shared" ref="HL779:HL816" si="198">IF(AND($C779=1, $P779="Rehabilitation",NOT($B779="Unrestricted"),NOT($B779="NSP 120"),NOT($B779="N/A-CS"),NOT($N779="Common Space")),$E779,"")</f>
        <v/>
      </c>
      <c r="HM779" s="1995" t="str">
        <f t="shared" ref="HM779:HM816" si="199">IF(AND($C779=2, $P779="Rehabilitation",NOT($B779="Unrestricted"),NOT($B779="NSP 120"),NOT($B779="N/A-CS"),NOT($N779="Common Space")),$E779,"")</f>
        <v/>
      </c>
      <c r="HN779" s="1995" t="str">
        <f t="shared" ref="HN779:HN816" si="200">IF(AND($C779=3, $P779="Rehabilitation",NOT($B779="Unrestricted"),NOT($B779="NSP 120"),NOT($B779="N/A-CS"),NOT($N779="Common Space")),$E779,"")</f>
        <v/>
      </c>
      <c r="HO779" s="1995" t="str">
        <f t="shared" ref="HO779:HO816" si="201">IF(AND($C779=4, $P779="Rehabilitation",NOT($B779="Unrestricted"),NOT($B779="NSP 120"),NOT($B779="N/A-CS"),NOT($N779="Common Space")),$E779,"")</f>
        <v/>
      </c>
      <c r="HP779" s="1995" t="str">
        <f t="shared" ref="HP779:HP816" si="202">IF(AND($C779="Efficiency", $P779="Rehabilitation",$B779="Unrestricted",NOT($B779="N/A-CS"),NOT($N779="Common Space")),$E779,"")</f>
        <v/>
      </c>
      <c r="HQ779" s="1995" t="str">
        <f t="shared" ref="HQ779:HQ816" si="203">IF(AND($C779=1, $P779="Rehabilitation",$B779="Unrestricted",NOT($B779="N/A-CS"),NOT($N779="Common Space")),$E779,"")</f>
        <v/>
      </c>
      <c r="HR779" s="1995" t="str">
        <f t="shared" ref="HR779:HR816" si="204">IF(AND($C779=2, $P779="Rehabilitation",$B779="Unrestricted",NOT($B779="N/A-CS"),NOT($N779="Common Space")),$E779,"")</f>
        <v/>
      </c>
      <c r="HS779" s="1995" t="str">
        <f t="shared" ref="HS779:HS816" si="205">IF(AND($C779=3, $P779="Rehabilitation",$B779="Unrestricted",NOT($B779="N/A-CS"),NOT($N779="Common Space")),$E779,"")</f>
        <v/>
      </c>
      <c r="HT779" s="1995" t="str">
        <f t="shared" ref="HT779:HT816" si="206">IF(AND($C779=4, $P779="Rehabilitation",$B779="Unrestricted",NOT($B779="N/A-CS"),NOT($N779="Common Space")),$E779,"")</f>
        <v/>
      </c>
      <c r="HU779" s="1995" t="str">
        <f t="shared" ref="HU779:HU816" si="207">IF(AND($C779="Efficiency", $P779="Rehabilitation",$B779="N/A-CS",$N779="Common Space"),$E779,"")</f>
        <v/>
      </c>
      <c r="HV779" s="1995" t="str">
        <f t="shared" ref="HV779:HV816" si="208">IF(AND($C779=1, $P779="Rehabilitation",$B779="N/A-CS",$N779="Common Space"),$E779,"")</f>
        <v/>
      </c>
      <c r="HW779" s="1995" t="str">
        <f t="shared" ref="HW779:HW816" si="209">IF(AND($C779=2, $P779="Rehabilitation",$B779="N/A-CS",$N779="Common Space"),$E779,"")</f>
        <v/>
      </c>
      <c r="HX779" s="1995" t="str">
        <f t="shared" ref="HX779:HX816" si="210">IF(AND($C779=3, $P779="Rehabilitation",$B779="N/A-CS",$N779="Common Space"),$E779,"")</f>
        <v/>
      </c>
      <c r="HY779" s="1995" t="str">
        <f t="shared" ref="HY779:HY816" si="211">IF(AND($C779=4, $P779="Rehabilitation",$B779="N/A-CS",$N779="Common Space"),$E779,"")</f>
        <v/>
      </c>
      <c r="HZ779" s="1900" t="str">
        <f t="shared" ref="HZ779:HZ816" si="212">IF(AND($C779="Efficiency", NOT(OR($O779="SF Detached",$O779="Mfd Home",$O779="Duplex",$O779="Townhome"))),$E779,"")</f>
        <v/>
      </c>
      <c r="IA779" s="1900" t="str">
        <f t="shared" ref="IA779:IA816" si="213">IF(AND($C779=1, NOT(OR($O779="SF Detached",$O779="Mfd Home",$O779="Duplex",$O779="Townhome"))),$E779,"")</f>
        <v/>
      </c>
      <c r="IB779" s="1900" t="str">
        <f t="shared" ref="IB779:IB816" si="214">IF(AND($C779=2, NOT(OR($O779="SF Detached",$O779="Mfd Home",$O779="Duplex",$O779="Townhome"))),$E779,"")</f>
        <v/>
      </c>
      <c r="IC779" s="1900" t="str">
        <f t="shared" ref="IC779:IC816" si="215">IF(AND($C779=3, NOT(OR($O779="SF Detached",$O779="Mfd Home",$O779="Duplex",$O779="Townhome"))),$E779,"")</f>
        <v/>
      </c>
      <c r="ID779" s="1900" t="str">
        <f t="shared" ref="ID779:ID816" si="216">IF(AND($C779=4, NOT(OR($O779="SF Detached",$O779="Mfd Home",$O779="Duplex",$O779="Townhome"))),$E779,"")</f>
        <v/>
      </c>
      <c r="IE779" s="1900" t="str">
        <f t="shared" ref="IE779:IE816" si="217">IF(AND($C779="Efficiency", $O779="SF Detached",NOT($Q779="Yes")),$E779,"")</f>
        <v/>
      </c>
      <c r="IF779" s="1900" t="str">
        <f t="shared" ref="IF779:IF816" si="218">IF(AND($C779=1, $O779="SF Detached",NOT($Q779="Yes")),$E779,"")</f>
        <v/>
      </c>
      <c r="IG779" s="1900" t="str">
        <f t="shared" ref="IG779:IG816" si="219">IF(AND($C779=2, $O779="SF Detached",NOT($Q779="Yes")),$E779,"")</f>
        <v/>
      </c>
      <c r="IH779" s="1900" t="str">
        <f t="shared" ref="IH779:IH816" si="220">IF(AND($C779=3, $O779="SF Detached",NOT($Q779="Yes")),$E779,"")</f>
        <v/>
      </c>
      <c r="II779" s="1900" t="str">
        <f t="shared" ref="II779:II816" si="221">IF(AND($C779=4, $O779="SF Detached",NOT($Q779="Yes")),$E779,"")</f>
        <v/>
      </c>
      <c r="IJ779" s="1900" t="str">
        <f t="shared" ref="IJ779:IJ816" si="222">IF(AND($C779="Efficiency", $O779="SF Detached",$Q779="Yes"),$E779,"")</f>
        <v/>
      </c>
      <c r="IK779" s="1900" t="str">
        <f t="shared" ref="IK779:IK816" si="223">IF(AND($C779=1, $O779="SF Detached",$Q779="Yes"),$E779,"")</f>
        <v/>
      </c>
      <c r="IL779" s="1900" t="str">
        <f t="shared" ref="IL779:IL816" si="224">IF(AND($C779=2, $O779="SF Detached",$Q779="Yes"),$E779,"")</f>
        <v/>
      </c>
      <c r="IM779" s="1900" t="str">
        <f t="shared" ref="IM779:IM816" si="225">IF(AND($C779=3, $O779="SF Detached",$Q779="Yes"),$E779,"")</f>
        <v/>
      </c>
      <c r="IN779" s="1900" t="str">
        <f t="shared" ref="IN779:IN816" si="226">IF(AND($C779=4, $O779="SF Detached",$Q779="Yes"),$E779,"")</f>
        <v/>
      </c>
      <c r="IO779" s="1900" t="str">
        <f t="shared" ref="IO779:IO816" si="227">IF(AND($C779="Efficiency", $O779="Mfd Home",NOT($Q779="Yes")),$E779,"")</f>
        <v/>
      </c>
      <c r="IP779" s="1900" t="str">
        <f t="shared" ref="IP779:IP816" si="228">IF(AND($C779=1, $O779="Mfd Home",NOT($Q779="Yes")),$E779,"")</f>
        <v/>
      </c>
      <c r="IQ779" s="1900" t="str">
        <f t="shared" ref="IQ779:IQ816" si="229">IF(AND($C779=2, $O779="Mfd Home",NOT($Q779="Yes")),$E779,"")</f>
        <v/>
      </c>
      <c r="IR779" s="1900" t="str">
        <f t="shared" ref="IR779:IR816" si="230">IF(AND($C779=3, $O779="Mfd Home",NOT($Q779="Yes")),$E779,"")</f>
        <v/>
      </c>
      <c r="IS779" s="1900" t="str">
        <f t="shared" ref="IS779:IS816" si="231">IF(AND($C779=4, $O779="Mfd Home",NOT($Q779="Yes")),$E779,"")</f>
        <v/>
      </c>
      <c r="IT779" s="1900" t="str">
        <f t="shared" ref="IT779:IT816" si="232">IF(AND($C779="Efficiency", $O779="Mfd Home",$Q779="Yes"),$E779,"")</f>
        <v/>
      </c>
      <c r="IU779" s="1900" t="str">
        <f t="shared" ref="IU779:IU816" si="233">IF(AND($C779=1, $O779="Mfd Home",$Q779="Yes"),$E779,"")</f>
        <v/>
      </c>
      <c r="IV779" s="1900" t="str">
        <f t="shared" ref="IV779:IV816" si="234">IF(AND($C779=2, $O779="Mfd Home",$Q779="Yes"),$E779,"")</f>
        <v/>
      </c>
      <c r="IW779" s="1900" t="str">
        <f t="shared" ref="IW779:IW816" si="235">IF(AND($C779=3, $O779="Mfd Home",$Q779="Yes"),$E779,"")</f>
        <v/>
      </c>
      <c r="IX779" s="1900" t="str">
        <f t="shared" ref="IX779:IX816" si="236">IF(AND($C779=4, $O779="Mfd Home",$Q779="Yes"),$E779,"")</f>
        <v/>
      </c>
      <c r="IY779" s="1900" t="str">
        <f t="shared" ref="IY779:IY816" si="237">IF(AND($C779="Efficiency", $O779="Duplex",NOT($Q779="Yes")),$E779,"")</f>
        <v/>
      </c>
      <c r="IZ779" s="1900" t="str">
        <f t="shared" ref="IZ779:IZ816" si="238">IF(AND($C779=1, $O779="Duplex",NOT($Q779="Yes")),$E779,"")</f>
        <v/>
      </c>
      <c r="JA779" s="1900" t="str">
        <f t="shared" ref="JA779:JA816" si="239">IF(AND($C779=2, $O779="Duplex",NOT($Q779="Yes")),$E779,"")</f>
        <v/>
      </c>
      <c r="JB779" s="1900" t="str">
        <f t="shared" ref="JB779:JB816" si="240">IF(AND($C779=3, $O779="Duplex",NOT($Q779="Yes")),$E779,"")</f>
        <v/>
      </c>
      <c r="JC779" s="1900" t="str">
        <f t="shared" ref="JC779:JC816" si="241">IF(AND($C779=4, $O779="Duplex",NOT($Q779="Yes")),$E779,"")</f>
        <v/>
      </c>
      <c r="JD779" s="1900" t="str">
        <f t="shared" ref="JD779:JD816" si="242">IF(AND($C779="Efficiency", $O779="Duplex",$Q779="Yes"),$E779,"")</f>
        <v/>
      </c>
      <c r="JE779" s="1900" t="str">
        <f t="shared" ref="JE779:JE816" si="243">IF(AND($C779=1, $O779="Duplex",$Q779="Yes"),$E779,"")</f>
        <v/>
      </c>
      <c r="JF779" s="1900" t="str">
        <f t="shared" ref="JF779:JF816" si="244">IF(AND($C779=2, $O779="Duplex",$Q779="Yes"),$E779,"")</f>
        <v/>
      </c>
      <c r="JG779" s="1900" t="str">
        <f t="shared" ref="JG779:JG816" si="245">IF(AND($C779=3, $O779="Duplex",$Q779="Yes"),$E779,"")</f>
        <v/>
      </c>
      <c r="JH779" s="1900" t="str">
        <f t="shared" ref="JH779:JH816" si="246">IF(AND($C779=4, $O779="Duplex",$Q779="Yes"),$E779,"")</f>
        <v/>
      </c>
      <c r="JI779" s="1900" t="str">
        <f t="shared" ref="JI779:JI816" si="247">IF(AND($C779="Efficiency", $O779="Townhome",NOT($Q779="Yes")),$E779,"")</f>
        <v/>
      </c>
      <c r="JJ779" s="1900" t="str">
        <f t="shared" ref="JJ779:JJ816" si="248">IF(AND($C779=1, $O779="Townhome",NOT($Q779="Yes")),$E779,"")</f>
        <v/>
      </c>
      <c r="JK779" s="1900" t="str">
        <f t="shared" ref="JK779:JK816" si="249">IF(AND($C779=2, $O779="Townhome",NOT($Q779="Yes")),$E779,"")</f>
        <v/>
      </c>
      <c r="JL779" s="1900" t="str">
        <f t="shared" ref="JL779:JL816" si="250">IF(AND($C779=3, $O779="Townhome",NOT($Q779="Yes")),$E779,"")</f>
        <v/>
      </c>
      <c r="JM779" s="1900" t="str">
        <f t="shared" ref="JM779:JM816" si="251">IF(AND($C779=4, $O779="Townhome",NOT($Q779="Yes")),$E779,"")</f>
        <v/>
      </c>
      <c r="JN779" s="1900" t="str">
        <f t="shared" ref="JN779:JN816" si="252">IF(AND($C779="Efficiency", $O779="Townhome",$Q779="Yes"),$E779,"")</f>
        <v/>
      </c>
      <c r="JO779" s="1900" t="str">
        <f t="shared" ref="JO779:JO816" si="253">IF(AND($C779=1, $O779="Townhome",$Q779="Yes"),$E779,"")</f>
        <v/>
      </c>
      <c r="JP779" s="1900" t="str">
        <f t="shared" ref="JP779:JP816" si="254">IF(AND($C779=2, $O779="Townhome",$Q779="Yes"),$E779,"")</f>
        <v/>
      </c>
      <c r="JQ779" s="1900" t="str">
        <f t="shared" ref="JQ779:JQ816" si="255">IF(AND($C779=3, $O779="Townhome",$Q779="Yes"),$E779,"")</f>
        <v/>
      </c>
      <c r="JR779" s="1900" t="str">
        <f t="shared" ref="JR779:JR816" si="256">IF(AND($C779=4, $O779="Townhome",$Q779="Yes"),$E779,"")</f>
        <v/>
      </c>
      <c r="JS779" s="1900" t="str">
        <f t="shared" ref="JS779:JS816" si="257">IF(AND($C779="Efficiency", $O779="1-Story",NOT($Q779="Yes")),$E779,"")</f>
        <v/>
      </c>
      <c r="JT779" s="1900" t="str">
        <f t="shared" ref="JT779:JT816" si="258">IF(AND($C779=1, $O779="1-Story",NOT($Q779="Yes")),$E779,"")</f>
        <v/>
      </c>
      <c r="JU779" s="1900" t="str">
        <f t="shared" ref="JU779:JU816" si="259">IF(AND($C779=2, $O779="1-Story",NOT($Q779="Yes")),$E779,"")</f>
        <v/>
      </c>
      <c r="JV779" s="1900" t="str">
        <f t="shared" ref="JV779:JV816" si="260">IF(AND($C779=3, $O779="1-Story",NOT($Q779="Yes")),$E779,"")</f>
        <v/>
      </c>
      <c r="JW779" s="1900" t="str">
        <f t="shared" ref="JW779:JW816" si="261">IF(AND($C779=4, $O779="1-Story",NOT($Q779="Yes")),$E779,"")</f>
        <v/>
      </c>
      <c r="JX779" s="1900" t="str">
        <f t="shared" ref="JX779:JX816" si="262">IF(AND($C779="Efficiency", $O779="1-Story",$Q779="Yes"),$E779,"")</f>
        <v/>
      </c>
      <c r="JY779" s="1900" t="str">
        <f t="shared" ref="JY779:JY816" si="263">IF(AND($C779=1, $O779="1-Story",$Q779="Yes"),$E779,"")</f>
        <v/>
      </c>
      <c r="JZ779" s="1900" t="str">
        <f t="shared" ref="JZ779:JZ816" si="264">IF(AND($C779=2, $O779="1-Story",$Q779="Yes"),$E779,"")</f>
        <v/>
      </c>
      <c r="KA779" s="1900" t="str">
        <f t="shared" ref="KA779:KA816" si="265">IF(AND($C779=3, $O779="1-Story",$Q779="Yes"),$E779,"")</f>
        <v/>
      </c>
      <c r="KB779" s="1900" t="str">
        <f t="shared" ref="KB779:KB816" si="266">IF(AND($C779=4, $O779="1-Story",$Q779="Yes"),$E779,"")</f>
        <v/>
      </c>
      <c r="KC779" s="1900" t="str">
        <f t="shared" ref="KC779:KC816" si="267">IF(AND($C779="Efficiency", $O779="2-Story",NOT($Q779="Yes")),$E779,"")</f>
        <v/>
      </c>
      <c r="KD779" s="1900" t="str">
        <f t="shared" ref="KD779:KD816" si="268">IF(AND($C779=1, $O779="2-Story",NOT($Q779="Yes")),$E779,"")</f>
        <v/>
      </c>
      <c r="KE779" s="1900" t="str">
        <f t="shared" ref="KE779:KE816" si="269">IF(AND($C779=2, $O779="2-Story",NOT($Q779="Yes")),$E779,"")</f>
        <v/>
      </c>
      <c r="KF779" s="1900" t="str">
        <f t="shared" ref="KF779:KF816" si="270">IF(AND($C779=3, $O779="2-Story",NOT($Q779="Yes")),$E779,"")</f>
        <v/>
      </c>
      <c r="KG779" s="1900" t="str">
        <f t="shared" ref="KG779:KG816" si="271">IF(AND($C779=4, $O779="2-Story",NOT($Q779="Yes")),$E779,"")</f>
        <v/>
      </c>
      <c r="KH779" s="1900" t="str">
        <f t="shared" ref="KH779:KH816" si="272">IF(AND($C779="Efficiency", $O779="2-Story",$Q779="Yes"),$E779,"")</f>
        <v/>
      </c>
      <c r="KI779" s="1900" t="str">
        <f t="shared" ref="KI779:KI816" si="273">IF(AND($C779=1, $O779="2-Story",$Q779="Yes"),$E779,"")</f>
        <v/>
      </c>
      <c r="KJ779" s="1900" t="str">
        <f t="shared" ref="KJ779:KJ816" si="274">IF(AND($C779=2, $O779="2-Story",$Q779="Yes"),$E779,"")</f>
        <v/>
      </c>
      <c r="KK779" s="1900" t="str">
        <f t="shared" ref="KK779:KK816" si="275">IF(AND($C779=3, $O779="2-Story",$Q779="Yes"),$E779,"")</f>
        <v/>
      </c>
      <c r="KL779" s="1900" t="str">
        <f t="shared" ref="KL779:KL816" si="276">IF(AND($C779=4, $O779="2-Story",$Q779="Yes"),$E779,"")</f>
        <v/>
      </c>
      <c r="KM779" s="1900" t="str">
        <f t="shared" ref="KM779:KM816" si="277">IF(AND($C779="Efficiency", $O779="2-Story Walkup",NOT($Q779="Yes")),$E779,"")</f>
        <v/>
      </c>
      <c r="KN779" s="1900" t="str">
        <f t="shared" ref="KN779:KN816" si="278">IF(AND($C779=1, $O779="2-Story Walkup",NOT($Q779="Yes")),$E779,"")</f>
        <v/>
      </c>
      <c r="KO779" s="1900" t="str">
        <f t="shared" ref="KO779:KO816" si="279">IF(AND($C779=2, $O779="2-Story Walkup",NOT($Q779="Yes")),$E779,"")</f>
        <v/>
      </c>
      <c r="KP779" s="1900" t="str">
        <f t="shared" ref="KP779:KP816" si="280">IF(AND($C779=3, $O779="2-Story Walkup",NOT($Q779="Yes")),$E779,"")</f>
        <v/>
      </c>
      <c r="KQ779" s="1900" t="str">
        <f t="shared" ref="KQ779:KQ816" si="281">IF(AND($C779=4, $O779="2-Story Walkup",NOT($Q779="Yes")),$E779,"")</f>
        <v/>
      </c>
      <c r="KR779" s="1900" t="str">
        <f t="shared" ref="KR779:KR816" si="282">IF(AND($C779="Efficiency", $O779="2-Story Walkup",$Q779="Yes"),$E779,"")</f>
        <v/>
      </c>
      <c r="KS779" s="1900" t="str">
        <f t="shared" ref="KS779:KS816" si="283">IF(AND($C779=1, $O779="2-Story Walkup",$Q779="Yes"),$E779,"")</f>
        <v/>
      </c>
      <c r="KT779" s="1900" t="str">
        <f t="shared" ref="KT779:KT816" si="284">IF(AND($C779=2, $O779="2-Story Walkup",$Q779="Yes"),$E779,"")</f>
        <v/>
      </c>
      <c r="KU779" s="1900" t="str">
        <f t="shared" ref="KU779:KU816" si="285">IF(AND($C779=3, $O779="2-Story Walkup",$Q779="Yes"),$E779,"")</f>
        <v/>
      </c>
      <c r="KV779" s="1900" t="str">
        <f t="shared" ref="KV779:KV816" si="286">IF(AND($C779=4, $O779="2-Story Walkup",$Q779="Yes"),$E779,"")</f>
        <v/>
      </c>
      <c r="KW779" s="1900" t="str">
        <f t="shared" ref="KW779:KW816" si="287">IF(AND($C779="Efficiency", $O779="3+ Story",NOT($Q779="Yes")),$E779,"")</f>
        <v/>
      </c>
      <c r="KX779" s="1900" t="str">
        <f t="shared" ref="KX779:KX816" si="288">IF(AND($C779=1, $O779="3+ Story",NOT($Q779="Yes")),$E779,"")</f>
        <v/>
      </c>
      <c r="KY779" s="1900" t="str">
        <f t="shared" ref="KY779:KY816" si="289">IF(AND($C779=2, $O779="3+ Story",NOT($Q779="Yes")),$E779,"")</f>
        <v/>
      </c>
      <c r="KZ779" s="1900" t="str">
        <f t="shared" ref="KZ779:KZ816" si="290">IF(AND($C779=3, $O779="3+ Story",NOT($Q779="Yes")),$E779,"")</f>
        <v/>
      </c>
      <c r="LA779" s="1900" t="str">
        <f t="shared" ref="LA779:LA816" si="291">IF(AND($C779=4, $O779="3+ Story",NOT($Q779="Yes")),$E779,"")</f>
        <v/>
      </c>
      <c r="LB779" s="1900" t="str">
        <f t="shared" ref="LB779:LB816" si="292">IF(AND($C779="Efficiency", $O779="3+ Story",$Q779="Yes"),$E779,"")</f>
        <v/>
      </c>
      <c r="LC779" s="1900" t="str">
        <f t="shared" ref="LC779:LC816" si="293">IF(AND($C779=1, $O779="3+ Story",$Q779="Yes"),$E779,"")</f>
        <v/>
      </c>
      <c r="LD779" s="1900" t="str">
        <f t="shared" ref="LD779:LD816" si="294">IF(AND($C779=2, $O779="3+ Story",$Q779="Yes"),$E779,"")</f>
        <v/>
      </c>
      <c r="LE779" s="1900" t="str">
        <f t="shared" ref="LE779:LE816" si="295">IF(AND($C779=3, $O779="3+ Story",$Q779="Yes"),$E779,"")</f>
        <v/>
      </c>
      <c r="LF779" s="1900" t="str">
        <f t="shared" ref="LF779:LF816" si="296">IF(AND($C779=4, $O779="3+ Story",$Q779="Yes"),$E779,"")</f>
        <v/>
      </c>
      <c r="LG779" s="1900" t="str">
        <f t="shared" ref="LG779:LG816" si="297">IF(AND($C779="Efficiency", $O779="3+ Story Elevator",NOT($Q779="Yes")),$E779,"")</f>
        <v/>
      </c>
      <c r="LH779" s="1900" t="str">
        <f t="shared" ref="LH779:LH816" si="298">IF(AND($C779=1, $O779="3+ Story Elevator",NOT($Q779="Yes")),$E779,"")</f>
        <v/>
      </c>
      <c r="LI779" s="1900" t="str">
        <f t="shared" ref="LI779:LI816" si="299">IF(AND($C779=2, $O779="3+ Story Elevator",NOT($Q779="Yes")),$E779,"")</f>
        <v/>
      </c>
      <c r="LJ779" s="1900" t="str">
        <f t="shared" ref="LJ779:LJ816" si="300">IF(AND($C779=3, $O779="3+ Story Elevator",NOT($Q779="Yes")),$E779,"")</f>
        <v/>
      </c>
      <c r="LK779" s="1900" t="str">
        <f t="shared" ref="LK779:LK816" si="301">IF(AND($C779=4, $O779="3+ Story Elevator",NOT($Q779="Yes")),$E779,"")</f>
        <v/>
      </c>
      <c r="LL779" s="1900" t="str">
        <f t="shared" ref="LL779:LL816" si="302">IF(AND($C779="Efficiency", $O779="3+ Story Elevator",$Q779="Yes"),$E779,"")</f>
        <v/>
      </c>
      <c r="LM779" s="1900" t="str">
        <f t="shared" ref="LM779:LM816" si="303">IF(AND($C779=1, $O779="3+ Story Elevator",$Q779="Yes"),$E779,"")</f>
        <v/>
      </c>
      <c r="LN779" s="1900" t="str">
        <f t="shared" ref="LN779:LN816" si="304">IF(AND($C779=2, $O779="3+ Story Elevator",$Q779="Yes"),$E779,"")</f>
        <v/>
      </c>
      <c r="LO779" s="1900" t="str">
        <f t="shared" ref="LO779:LO816" si="305">IF(AND($C779=3, $O779="3+ Story Elevator",$Q779="Yes"),$E779,"")</f>
        <v/>
      </c>
      <c r="LP779" s="1900" t="str">
        <f t="shared" ref="LP779:LP816" si="306">IF(AND($C779=4, $O779="3+ Story Elevator",$Q779="Yes"),$E779,"")</f>
        <v/>
      </c>
      <c r="LQ779" s="1874" t="str">
        <f t="shared" ref="LQ779:LQ816" si="307">IF(AND($B779="NSP 120% AMI",$C779="Efficiency", NOT($N779="Common Space")),$E779,"")</f>
        <v/>
      </c>
      <c r="LR779" s="1874" t="str">
        <f t="shared" ref="LR779:LR816" si="308">IF(AND($B779="NSP 120% AMI",$C779=1,NOT($N779="Common Space")),$E779,"")</f>
        <v/>
      </c>
      <c r="LS779" s="1874" t="str">
        <f t="shared" ref="LS779:LS816" si="309">IF(AND($B779="NSP 120% AMI",$C779=2,NOT($N779="Common Space")),$E779,"")</f>
        <v/>
      </c>
      <c r="LT779" s="1874" t="str">
        <f t="shared" ref="LT779:LT816" si="310">IF(AND($B779="NSP 120% AMI",$C779=3,NOT($N779="Common Space")),$E779,"")</f>
        <v/>
      </c>
      <c r="LU779" s="1874" t="str">
        <f t="shared" ref="LU779:LU816" si="311">IF(AND($B779="NSP 120% AMI",$C779=4,NOT($N779="Common Space")),$E779,"")</f>
        <v/>
      </c>
      <c r="LV779" s="1995" t="str">
        <f t="shared" ref="LV779:LV816" si="312">IF(AND(C779="Efficiency",B779="NSP 120% AMI",NOT(N779="Common Space")),E779*F779,"")</f>
        <v/>
      </c>
      <c r="LW779" s="1995" t="str">
        <f t="shared" ref="LW779:LW816" si="313">IF(AND(C779=1,B779="NSP 120% AMI",NOT(N779="Common Space")),E779*F779,"")</f>
        <v/>
      </c>
      <c r="LX779" s="1995" t="str">
        <f t="shared" ref="LX779:LX816" si="314">IF(AND(C779=2,B779="NSP 120% AMI",NOT(N779="Common Space")),E779*F779,"")</f>
        <v/>
      </c>
      <c r="LY779" s="1995" t="str">
        <f t="shared" ref="LY779:LY816" si="315">IF(AND(C779=3,B779="NSP 120% AMI",NOT(N779="Common Space")),E779*F779,"")</f>
        <v/>
      </c>
      <c r="LZ779" s="1995" t="str">
        <f t="shared" ref="LZ779:LZ816" si="316">IF(AND(C779=4,B779="NSP 120% AMI",NOT(N779="Common Space")),E779*F779,"")</f>
        <v/>
      </c>
      <c r="MA779" s="1995" t="str">
        <f t="shared" ref="MA779:MA816" si="317">IF(AND($C779="Efficiency", $P779="New Construction",$B779="NSP 120% AMI",NOT($N779="Common Space")),$E779,"")</f>
        <v/>
      </c>
      <c r="MB779" s="1995" t="str">
        <f t="shared" ref="MB779:MB816" si="318">IF(AND($C779=1, $P779="New Construction",$B779="NSP 120% AMI",NOT($N779="Common Space")),$E779,"")</f>
        <v/>
      </c>
      <c r="MC779" s="1995" t="str">
        <f t="shared" ref="MC779:MC816" si="319">IF(AND($C779=2, $P779="New Construction",$B779="NSP 120% AMI",NOT($N779="Common Space")),$E779,"")</f>
        <v/>
      </c>
      <c r="MD779" s="1995" t="str">
        <f t="shared" ref="MD779:MD816" si="320">IF(AND($C779=3, $P779="New Construction",$B779="NSP 120% AMI",NOT($N779="Common Space")),$E779,"")</f>
        <v/>
      </c>
      <c r="ME779" s="1995" t="str">
        <f t="shared" ref="ME779:ME816" si="321">IF(AND($C779=4, $P779="New Construction",$B779="NSP 120% AMI",NOT($N779="Common Space")),$E779,"")</f>
        <v/>
      </c>
      <c r="MF779" s="1995" t="str">
        <f t="shared" ref="MF779:MF816" si="322">IF(AND($C779="Efficiency", $P779="Acquisition/Rehab",$B779="NSP 120% AMI",NOT($N779="Common Space")),$E779,"")</f>
        <v/>
      </c>
      <c r="MG779" s="1995" t="str">
        <f t="shared" ref="MG779:MG816" si="323">IF(AND($C779=1, $P779="Acquisition/Rehab",$B779="NSP 120% AMI",NOT($N779="Common Space")),$E779,"")</f>
        <v/>
      </c>
      <c r="MH779" s="1995" t="str">
        <f t="shared" ref="MH779:MH816" si="324">IF(AND($C779=2, $P779="Acquisition/Rehab",$B779="NSP 120% AMI",NOT($N779="Common Space")),$E779,"")</f>
        <v/>
      </c>
      <c r="MI779" s="1995" t="str">
        <f t="shared" ref="MI779:MI816" si="325">IF(AND($C779=3, $P779="Acquisition/Rehab",$B779="NSP 120% AMI",NOT($N779="Common Space")),$E779,"")</f>
        <v/>
      </c>
      <c r="MJ779" s="1995" t="str">
        <f t="shared" ref="MJ779:MJ816" si="326">IF(AND($C779=4, $P779="Acquisition/Rehab",$B779="NSP 120% AMI",NOT($N779="Common Space")),$E779,"")</f>
        <v/>
      </c>
      <c r="MK779" s="1995" t="str">
        <f t="shared" ref="MK779:MK816" si="327">IF(AND($C779="Efficiency", $P779="Rehabilitation",$B779="NSP 120% AMI",NOT($N779="Common Space")),$E779,"")</f>
        <v/>
      </c>
      <c r="ML779" s="1995" t="str">
        <f t="shared" ref="ML779:ML816" si="328">IF(AND($C779=1, $P779="Rehabilitation",$B779="NSP 120% AMI",NOT($N779="Common Space")),$E779,"")</f>
        <v/>
      </c>
      <c r="MM779" s="1995" t="str">
        <f t="shared" ref="MM779:MM816" si="329">IF(AND($C779=2, $P779="Rehabilitation",$B779="NSP 120% AMI",NOT($N779="Common Space")),$E779,"")</f>
        <v/>
      </c>
      <c r="MN779" s="1995" t="str">
        <f t="shared" ref="MN779:MN816" si="330">IF(AND($C779=3, $P779="Rehabilitation",$B779="NSP 120% AMI",NOT($N779="Common Space")),$E779,"")</f>
        <v/>
      </c>
      <c r="MO779" s="1995" t="str">
        <f t="shared" ref="MO779:MO816" si="331">IF(AND($C779=4, $P779="Rehabilitation",$B779="NSP 120% AMI",NOT($N779="Common Space")),$E779,"")</f>
        <v/>
      </c>
      <c r="MP779" s="1874">
        <f>IF(AND($C779="Efficiency",$E779&gt;0,OR($O779="1-Story",$O779="2-Story",$O779="3+ Story",$O779="3+ Story Elevator",$O779="2-Story Walkup",$O779="Townhome"),OR($P779="Acquisition/Rehab",$P779="Rehabilitation"),NOT($Q779="Yes")),$E779,0)</f>
        <v>0</v>
      </c>
      <c r="MQ779" s="1874">
        <f>IF(AND($C779=1,$E779&gt;0,OR($O779="1-Story",$O779="2-Story",$O779="3+ Story",$O779="3+ Story Elevator",$O779="2-Story Walkup",$O779="Townhome"),OR($P779="Acquisition/Rehab",$P779="Rehabilitation"),NOT($Q779="Yes")),$E779,0)</f>
        <v>0</v>
      </c>
      <c r="MR779" s="1874">
        <f>IF(AND($C779=2,$E779&gt;0,OR($O779="1-Story",$O779="2-Story",$O779="3+ Story",$O779="3+ Story Elevator",$O779="2-Story Walkup",$O779="Townhome"),OR($P779="Acquisition/Rehab",$P779="Rehabilitation"),NOT($Q779="Yes")),$E779,0)</f>
        <v>0</v>
      </c>
      <c r="MS779" s="1874">
        <f>IF(AND($C779=3,$E779&gt;0,OR($O779="1-Story",$O779="2-Story",$O779="3+ Story",$O779="3+ Story Elevator",$O779="2-Story Walkup",$O779="Townhome"),OR($P779="Acquisition/Rehab",$P779="Rehabilitation"),NOT($Q779="Yes")),$E779,0)</f>
        <v>0</v>
      </c>
      <c r="MT779" s="1874">
        <f>IF(AND($C779=4,$E779&gt;0,OR($O779="1-Story",$O779="2-Story",$O779="3+ Story",$O779="3+ Story Elevator",$O779="2-Story Walkup",$O779="Townhome"),OR($P779="Acquisition/Rehab",$P779="Rehabilitation"),NOT($Q779="Yes")),$E779,0)</f>
        <v>0</v>
      </c>
      <c r="MU779" s="1874">
        <f>IF(AND($C779="Efficiency",$E779&gt;0,OR($O779="1-Story",$O779="2-Story",$O779="3+ Story",$O779="3+ Story Elevator",$O779="2-Story Walkup",$O779="Townhome"),$P779="New Construction"),$E779,0)</f>
        <v>0</v>
      </c>
      <c r="MV779" s="1874">
        <f>IF(AND($C779=1,$E779&gt;0,OR($O779="1-Story",$O779="2-Story",$O779="3+ Story",$O779="3+ Story Elevator",$O779="2-Story Walkup",$O779="Townhome"),$P779="New Construction"),$E779,0)</f>
        <v>0</v>
      </c>
      <c r="MW779" s="1874">
        <f>IF(AND($C779=2,$E779&gt;0,OR($O779="1-Story",$O779="2-Story",$O779="3+ Story",$O779="3+ Story Elevator",$O779="2-Story Walkup",$O779="Townhome"),$P779="New Construction"),$E779,0)</f>
        <v>0</v>
      </c>
      <c r="MX779" s="1874">
        <f>IF(AND($C779=3,$E779&gt;0,OR($O779="1-Story",$O779="2-Story",$O779="3+ Story",$O779="3+ Story Elevator",$O779="2-Story Walkup",$O779="Townhome"),$P779="New Construction"),$E779,0)</f>
        <v>0</v>
      </c>
      <c r="MY779" s="1874">
        <f>IF(AND($C779=4,$E779&gt;0,OR($O779="1-Story",$O779="2-Story",$O779="3+ Story",$O779="3+ Story Elevator",$O779="2-Story Walkup",$O779="Townhome"),$P779="New Construction"),$E779,0)</f>
        <v>0</v>
      </c>
      <c r="MZ779" s="1874">
        <f t="shared" ref="MZ779:MZ816" si="332">IF(AND($C779="Efficiency",$E779&gt;0,OR($O779="SF Detached",$O779="Duplex",$O779="Mfd Home"),NOT($Q779="Yes")),$E779,0)</f>
        <v>0</v>
      </c>
      <c r="NA779" s="1874">
        <f t="shared" ref="NA779:NA816" si="333">IF(AND($C779=1,$E779&gt;0,OR($O779="SF Detached",$O779="Duplex",$O779="Mfd Home"),NOT($Q779="Yes")),$E779,0)</f>
        <v>0</v>
      </c>
      <c r="NB779" s="1874">
        <f t="shared" ref="NB779:NB816" si="334">IF(AND($C779=2,$E779&gt;0,OR($O779="SF Detached",$O779="Duplex",$O779="Mfd Home"),NOT($Q779="Yes")),$E779,0)</f>
        <v>0</v>
      </c>
      <c r="NC779" s="1874">
        <f t="shared" ref="NC779:NC816" si="335">IF(AND($C779=3,$E779&gt;0,OR($O779="SF Detached",$O779="Duplex",$O779="Mfd Home"),NOT($Q779="Yes")),$E779,0)</f>
        <v>0</v>
      </c>
      <c r="ND779" s="1874">
        <f t="shared" ref="ND779:ND816" si="336">IF(AND($C779=4,$E779&gt;0,OR($O779="SF Detached",$O779="Duplex",$O779="Mfd Home"),NOT($Q779="Yes")),$E779,0)</f>
        <v>0</v>
      </c>
    </row>
    <row r="780" spans="1:368" ht="13.95" customHeight="1">
      <c r="A780" s="1896" t="str">
        <f t="shared" ref="A780:A816" si="337">IF(AND(E780&gt;0,OR(B780="",C780="",D780="",F780="",G780="", H780="",I780="",N780="",O780="",P780="",Q780="")),1,"")</f>
        <v/>
      </c>
      <c r="B780" s="2212" t="str">
        <f>'Part VI-Revenues &amp; Expenses'!B11</f>
        <v>N/A-CS</v>
      </c>
      <c r="C780" s="2213">
        <f>'Part VI-Revenues &amp; Expenses'!C11</f>
        <v>0</v>
      </c>
      <c r="D780" s="2214">
        <f>'Part VI-Revenues &amp; Expenses'!D11</f>
        <v>0</v>
      </c>
      <c r="E780" s="2215">
        <f>'Part VI-Revenues &amp; Expenses'!E11</f>
        <v>0</v>
      </c>
      <c r="F780" s="2215">
        <f>'Part VI-Revenues &amp; Expenses'!F11</f>
        <v>0</v>
      </c>
      <c r="G780" s="2215">
        <f>'Part VI-Revenues &amp; Expenses'!G11</f>
        <v>0</v>
      </c>
      <c r="H780" s="2215">
        <f>'Part VI-Revenues &amp; Expenses'!H11</f>
        <v>0</v>
      </c>
      <c r="I780" s="2215">
        <f>'Part VI-Revenues &amp; Expenses'!I11</f>
        <v>0</v>
      </c>
      <c r="J780" s="2215">
        <f>'Part VI-Revenues &amp; Expenses'!J11</f>
        <v>0</v>
      </c>
      <c r="K780" s="2216">
        <f>'Part VI-Revenues &amp; Expenses'!K11</f>
        <v>0</v>
      </c>
      <c r="L780" s="1899">
        <f t="shared" si="0"/>
        <v>0</v>
      </c>
      <c r="M780" s="1899">
        <f t="shared" si="1"/>
        <v>0</v>
      </c>
      <c r="N780" s="2074">
        <f>'Part VI-Revenues &amp; Expenses'!N11</f>
        <v>0</v>
      </c>
      <c r="O780" s="2074">
        <f>'Part VI-Revenues &amp; Expenses'!O11</f>
        <v>0</v>
      </c>
      <c r="P780" s="2074">
        <f>'Part VI-Revenues &amp; Expenses'!P11</f>
        <v>0</v>
      </c>
      <c r="Q780" s="1732">
        <f>'Part VI-Revenues &amp; Expenses'!Q11</f>
        <v>0</v>
      </c>
      <c r="R780" s="1926"/>
      <c r="S780" s="2148"/>
      <c r="T780" s="1910"/>
      <c r="U780" s="1910"/>
      <c r="V780" s="1910"/>
      <c r="W780" s="1910"/>
      <c r="X780" s="1995" t="str">
        <f t="shared" si="2"/>
        <v/>
      </c>
      <c r="Y780" s="1995" t="str">
        <f t="shared" si="3"/>
        <v/>
      </c>
      <c r="Z780" s="1995" t="str">
        <f t="shared" si="4"/>
        <v/>
      </c>
      <c r="AA780" s="1995" t="str">
        <f t="shared" si="5"/>
        <v/>
      </c>
      <c r="AB780" s="1995" t="str">
        <f t="shared" si="6"/>
        <v/>
      </c>
      <c r="AC780" s="1995" t="str">
        <f t="shared" si="7"/>
        <v/>
      </c>
      <c r="AD780" s="1995" t="str">
        <f t="shared" si="8"/>
        <v/>
      </c>
      <c r="AE780" s="1995" t="str">
        <f t="shared" si="9"/>
        <v/>
      </c>
      <c r="AF780" s="1995" t="str">
        <f t="shared" si="10"/>
        <v/>
      </c>
      <c r="AG780" s="1995" t="str">
        <f t="shared" si="11"/>
        <v/>
      </c>
      <c r="AH780" s="1995" t="str">
        <f t="shared" si="12"/>
        <v/>
      </c>
      <c r="AI780" s="1995" t="str">
        <f t="shared" si="13"/>
        <v/>
      </c>
      <c r="AJ780" s="1995" t="str">
        <f t="shared" si="14"/>
        <v/>
      </c>
      <c r="AK780" s="1995" t="str">
        <f t="shared" si="15"/>
        <v/>
      </c>
      <c r="AL780" s="1995" t="str">
        <f t="shared" si="16"/>
        <v/>
      </c>
      <c r="AM780" s="1995" t="str">
        <f t="shared" si="17"/>
        <v/>
      </c>
      <c r="AN780" s="1995" t="str">
        <f t="shared" si="18"/>
        <v/>
      </c>
      <c r="AO780" s="1995" t="str">
        <f t="shared" si="19"/>
        <v/>
      </c>
      <c r="AP780" s="1995" t="str">
        <f t="shared" si="20"/>
        <v/>
      </c>
      <c r="AQ780" s="1995" t="str">
        <f t="shared" si="21"/>
        <v/>
      </c>
      <c r="AR780" s="1995" t="str">
        <f t="shared" si="22"/>
        <v/>
      </c>
      <c r="AS780" s="1995" t="str">
        <f t="shared" si="23"/>
        <v/>
      </c>
      <c r="AT780" s="1995" t="str">
        <f t="shared" si="24"/>
        <v/>
      </c>
      <c r="AU780" s="1995" t="str">
        <f t="shared" si="25"/>
        <v/>
      </c>
      <c r="AV780" s="1995" t="str">
        <f t="shared" si="26"/>
        <v/>
      </c>
      <c r="AW780" s="1995" t="str">
        <f t="shared" si="27"/>
        <v/>
      </c>
      <c r="AX780" s="1995" t="str">
        <f t="shared" si="28"/>
        <v/>
      </c>
      <c r="AY780" s="1995" t="str">
        <f t="shared" si="29"/>
        <v/>
      </c>
      <c r="AZ780" s="1995" t="str">
        <f t="shared" si="30"/>
        <v/>
      </c>
      <c r="BA780" s="1995" t="str">
        <f t="shared" si="31"/>
        <v/>
      </c>
      <c r="BB780" s="1995" t="str">
        <f t="shared" si="32"/>
        <v/>
      </c>
      <c r="BC780" s="1995" t="str">
        <f t="shared" si="33"/>
        <v/>
      </c>
      <c r="BD780" s="1995" t="str">
        <f t="shared" si="34"/>
        <v/>
      </c>
      <c r="BE780" s="1995" t="str">
        <f t="shared" si="35"/>
        <v/>
      </c>
      <c r="BF780" s="1995" t="str">
        <f t="shared" si="36"/>
        <v/>
      </c>
      <c r="BG780" s="1995" t="str">
        <f t="shared" si="37"/>
        <v/>
      </c>
      <c r="BH780" s="1995" t="str">
        <f t="shared" si="38"/>
        <v/>
      </c>
      <c r="BI780" s="1995" t="str">
        <f t="shared" si="39"/>
        <v/>
      </c>
      <c r="BJ780" s="1995" t="str">
        <f t="shared" si="40"/>
        <v/>
      </c>
      <c r="BK780" s="1995" t="str">
        <f t="shared" si="41"/>
        <v/>
      </c>
      <c r="BL780" s="1995" t="str">
        <f t="shared" si="42"/>
        <v/>
      </c>
      <c r="BM780" s="1995" t="str">
        <f t="shared" si="43"/>
        <v/>
      </c>
      <c r="BN780" s="1995" t="str">
        <f t="shared" si="44"/>
        <v/>
      </c>
      <c r="BO780" s="1995" t="str">
        <f t="shared" si="45"/>
        <v/>
      </c>
      <c r="BP780" s="1995" t="str">
        <f t="shared" si="46"/>
        <v/>
      </c>
      <c r="BQ780" s="1995" t="str">
        <f t="shared" si="47"/>
        <v/>
      </c>
      <c r="BR780" s="1995" t="str">
        <f t="shared" si="48"/>
        <v/>
      </c>
      <c r="BS780" s="1995" t="str">
        <f t="shared" si="49"/>
        <v/>
      </c>
      <c r="BT780" s="1995" t="str">
        <f t="shared" si="50"/>
        <v/>
      </c>
      <c r="BU780" s="1995" t="str">
        <f t="shared" si="51"/>
        <v/>
      </c>
      <c r="BV780" s="1995" t="str">
        <f t="shared" si="52"/>
        <v/>
      </c>
      <c r="BW780" s="1995" t="str">
        <f t="shared" si="53"/>
        <v/>
      </c>
      <c r="BX780" s="1995" t="str">
        <f t="shared" si="54"/>
        <v/>
      </c>
      <c r="BY780" s="1995" t="str">
        <f t="shared" si="55"/>
        <v/>
      </c>
      <c r="BZ780" s="1995" t="str">
        <f t="shared" si="56"/>
        <v/>
      </c>
      <c r="CA780" s="1995" t="str">
        <f t="shared" si="57"/>
        <v/>
      </c>
      <c r="CB780" s="1995" t="str">
        <f t="shared" si="58"/>
        <v/>
      </c>
      <c r="CC780" s="1995" t="str">
        <f t="shared" si="59"/>
        <v/>
      </c>
      <c r="CD780" s="1995" t="str">
        <f t="shared" si="60"/>
        <v/>
      </c>
      <c r="CE780" s="1995" t="str">
        <f t="shared" si="61"/>
        <v/>
      </c>
      <c r="CF780" s="1995" t="str">
        <f t="shared" si="62"/>
        <v/>
      </c>
      <c r="CG780" s="1995" t="str">
        <f t="shared" si="63"/>
        <v/>
      </c>
      <c r="CH780" s="1995" t="str">
        <f t="shared" si="64"/>
        <v/>
      </c>
      <c r="CI780" s="1995" t="str">
        <f t="shared" si="65"/>
        <v/>
      </c>
      <c r="CJ780" s="1995" t="str">
        <f t="shared" si="66"/>
        <v/>
      </c>
      <c r="CK780" s="1995" t="str">
        <f t="shared" si="67"/>
        <v/>
      </c>
      <c r="CL780" s="1995" t="str">
        <f t="shared" si="68"/>
        <v/>
      </c>
      <c r="CM780" s="1995" t="str">
        <f t="shared" si="69"/>
        <v/>
      </c>
      <c r="CN780" s="1995" t="str">
        <f t="shared" si="70"/>
        <v/>
      </c>
      <c r="CO780" s="1995" t="str">
        <f t="shared" si="71"/>
        <v/>
      </c>
      <c r="CP780" s="1995" t="str">
        <f t="shared" si="72"/>
        <v/>
      </c>
      <c r="CQ780" s="1995" t="str">
        <f t="shared" si="73"/>
        <v/>
      </c>
      <c r="CR780" s="1995" t="str">
        <f t="shared" si="74"/>
        <v/>
      </c>
      <c r="CS780" s="1995" t="str">
        <f t="shared" si="75"/>
        <v/>
      </c>
      <c r="CT780" s="1995" t="str">
        <f t="shared" si="76"/>
        <v/>
      </c>
      <c r="CU780" s="1995" t="str">
        <f t="shared" si="77"/>
        <v/>
      </c>
      <c r="CV780" s="1995" t="str">
        <f t="shared" si="78"/>
        <v/>
      </c>
      <c r="CW780" s="1995" t="str">
        <f t="shared" si="79"/>
        <v/>
      </c>
      <c r="CX780" s="1995" t="str">
        <f t="shared" si="80"/>
        <v/>
      </c>
      <c r="CY780" s="1995" t="str">
        <f t="shared" si="81"/>
        <v/>
      </c>
      <c r="CZ780" s="1995" t="str">
        <f t="shared" si="82"/>
        <v/>
      </c>
      <c r="DA780" s="1995" t="str">
        <f t="shared" si="83"/>
        <v/>
      </c>
      <c r="DB780" s="1995" t="str">
        <f t="shared" si="84"/>
        <v/>
      </c>
      <c r="DC780" s="1995" t="str">
        <f t="shared" si="85"/>
        <v/>
      </c>
      <c r="DD780" s="1995" t="str">
        <f t="shared" si="86"/>
        <v/>
      </c>
      <c r="DE780" s="1995" t="str">
        <f t="shared" si="87"/>
        <v/>
      </c>
      <c r="DF780" s="1995" t="str">
        <f t="shared" si="88"/>
        <v/>
      </c>
      <c r="DG780" s="1995" t="str">
        <f t="shared" si="89"/>
        <v/>
      </c>
      <c r="DH780" s="1995" t="str">
        <f t="shared" si="90"/>
        <v/>
      </c>
      <c r="DI780" s="1995" t="str">
        <f t="shared" si="91"/>
        <v/>
      </c>
      <c r="DJ780" s="1995" t="str">
        <f t="shared" si="92"/>
        <v/>
      </c>
      <c r="DK780" s="1995" t="str">
        <f t="shared" si="93"/>
        <v/>
      </c>
      <c r="DL780" s="1995" t="str">
        <f t="shared" si="94"/>
        <v/>
      </c>
      <c r="DM780" s="1995" t="str">
        <f t="shared" si="95"/>
        <v/>
      </c>
      <c r="DN780" s="1995" t="str">
        <f t="shared" si="96"/>
        <v/>
      </c>
      <c r="DO780" s="1995" t="str">
        <f t="shared" si="97"/>
        <v/>
      </c>
      <c r="DP780" s="1995" t="str">
        <f t="shared" si="98"/>
        <v/>
      </c>
      <c r="DQ780" s="1995" t="str">
        <f t="shared" si="99"/>
        <v/>
      </c>
      <c r="DR780" s="1995" t="str">
        <f t="shared" si="100"/>
        <v/>
      </c>
      <c r="DS780" s="1995" t="str">
        <f t="shared" si="101"/>
        <v/>
      </c>
      <c r="DT780" s="1995" t="str">
        <f t="shared" si="102"/>
        <v/>
      </c>
      <c r="DU780" s="1995" t="str">
        <f t="shared" si="103"/>
        <v/>
      </c>
      <c r="DV780" s="1995" t="str">
        <f t="shared" si="104"/>
        <v/>
      </c>
      <c r="DW780" s="1995" t="str">
        <f t="shared" si="105"/>
        <v/>
      </c>
      <c r="DX780" s="1995" t="str">
        <f t="shared" si="106"/>
        <v/>
      </c>
      <c r="DY780" s="1995" t="str">
        <f t="shared" si="107"/>
        <v/>
      </c>
      <c r="DZ780" s="1995" t="str">
        <f t="shared" si="108"/>
        <v/>
      </c>
      <c r="EA780" s="1995" t="str">
        <f t="shared" si="109"/>
        <v/>
      </c>
      <c r="EB780" s="1995" t="str">
        <f t="shared" si="110"/>
        <v/>
      </c>
      <c r="EC780" s="1995" t="str">
        <f t="shared" si="111"/>
        <v/>
      </c>
      <c r="ED780" s="1995" t="str">
        <f t="shared" si="112"/>
        <v/>
      </c>
      <c r="EE780" s="1995" t="str">
        <f t="shared" si="113"/>
        <v/>
      </c>
      <c r="EF780" s="1995" t="str">
        <f t="shared" si="114"/>
        <v/>
      </c>
      <c r="EG780" s="1995" t="str">
        <f t="shared" si="115"/>
        <v/>
      </c>
      <c r="EH780" s="1995" t="str">
        <f t="shared" si="116"/>
        <v/>
      </c>
      <c r="EI780" s="1995" t="str">
        <f t="shared" si="117"/>
        <v/>
      </c>
      <c r="EJ780" s="1995" t="str">
        <f t="shared" si="118"/>
        <v/>
      </c>
      <c r="EK780" s="1995" t="str">
        <f t="shared" si="119"/>
        <v/>
      </c>
      <c r="EL780" s="1995" t="str">
        <f t="shared" si="120"/>
        <v/>
      </c>
      <c r="EM780" s="1995" t="str">
        <f t="shared" si="121"/>
        <v/>
      </c>
      <c r="EN780" s="1995" t="str">
        <f t="shared" si="122"/>
        <v/>
      </c>
      <c r="EO780" s="1995" t="str">
        <f t="shared" si="123"/>
        <v/>
      </c>
      <c r="EP780" s="1995" t="str">
        <f t="shared" si="124"/>
        <v/>
      </c>
      <c r="EQ780" s="1995" t="str">
        <f t="shared" si="125"/>
        <v/>
      </c>
      <c r="ER780" s="1995" t="str">
        <f t="shared" si="126"/>
        <v/>
      </c>
      <c r="ES780" s="1995" t="str">
        <f t="shared" si="127"/>
        <v/>
      </c>
      <c r="ET780" s="1995" t="str">
        <f t="shared" si="128"/>
        <v/>
      </c>
      <c r="EU780" s="1995" t="str">
        <f t="shared" si="129"/>
        <v/>
      </c>
      <c r="EV780" s="1995" t="str">
        <f t="shared" si="130"/>
        <v/>
      </c>
      <c r="EW780" s="1995" t="str">
        <f t="shared" si="131"/>
        <v/>
      </c>
      <c r="EX780" s="1995" t="str">
        <f t="shared" si="132"/>
        <v/>
      </c>
      <c r="EY780" s="1995" t="str">
        <f t="shared" si="133"/>
        <v/>
      </c>
      <c r="EZ780" s="1995" t="str">
        <f t="shared" si="134"/>
        <v/>
      </c>
      <c r="FA780" s="1995" t="str">
        <f t="shared" si="135"/>
        <v/>
      </c>
      <c r="FB780" s="1995" t="str">
        <f t="shared" si="136"/>
        <v/>
      </c>
      <c r="FC780" s="1995" t="str">
        <f t="shared" si="137"/>
        <v/>
      </c>
      <c r="FD780" s="1995" t="str">
        <f t="shared" si="138"/>
        <v/>
      </c>
      <c r="FE780" s="1995" t="str">
        <f t="shared" si="139"/>
        <v/>
      </c>
      <c r="FF780" s="1995" t="str">
        <f t="shared" si="140"/>
        <v/>
      </c>
      <c r="FG780" s="1995" t="str">
        <f t="shared" si="141"/>
        <v/>
      </c>
      <c r="FH780" s="1995" t="str">
        <f t="shared" si="142"/>
        <v/>
      </c>
      <c r="FI780" s="1995" t="str">
        <f t="shared" si="143"/>
        <v/>
      </c>
      <c r="FJ780" s="1995" t="str">
        <f t="shared" si="144"/>
        <v/>
      </c>
      <c r="FK780" s="1995" t="str">
        <f t="shared" si="145"/>
        <v/>
      </c>
      <c r="FL780" s="1995" t="str">
        <f t="shared" si="146"/>
        <v/>
      </c>
      <c r="FM780" s="1995" t="str">
        <f t="shared" si="147"/>
        <v/>
      </c>
      <c r="FN780" s="1995" t="str">
        <f t="shared" si="148"/>
        <v/>
      </c>
      <c r="FO780" s="1995" t="str">
        <f t="shared" si="149"/>
        <v/>
      </c>
      <c r="FP780" s="1995" t="str">
        <f t="shared" si="150"/>
        <v/>
      </c>
      <c r="FQ780" s="1995" t="str">
        <f t="shared" si="151"/>
        <v/>
      </c>
      <c r="FR780" s="1995" t="str">
        <f t="shared" si="152"/>
        <v/>
      </c>
      <c r="FS780" s="1995" t="str">
        <f t="shared" si="153"/>
        <v/>
      </c>
      <c r="FT780" s="1995" t="str">
        <f t="shared" si="154"/>
        <v/>
      </c>
      <c r="FU780" s="1995" t="str">
        <f t="shared" si="155"/>
        <v/>
      </c>
      <c r="FV780" s="1995" t="str">
        <f t="shared" si="156"/>
        <v/>
      </c>
      <c r="FW780" s="1995" t="str">
        <f t="shared" si="157"/>
        <v/>
      </c>
      <c r="FX780" s="1995" t="str">
        <f t="shared" si="158"/>
        <v/>
      </c>
      <c r="FY780" s="1995" t="str">
        <f t="shared" si="159"/>
        <v/>
      </c>
      <c r="FZ780" s="1995" t="str">
        <f t="shared" si="160"/>
        <v/>
      </c>
      <c r="GA780" s="1995" t="str">
        <f t="shared" si="161"/>
        <v/>
      </c>
      <c r="GB780" s="1995" t="str">
        <f t="shared" si="162"/>
        <v/>
      </c>
      <c r="GC780" s="1995" t="str">
        <f t="shared" si="163"/>
        <v/>
      </c>
      <c r="GD780" s="1995" t="str">
        <f t="shared" si="164"/>
        <v/>
      </c>
      <c r="GE780" s="1995" t="str">
        <f t="shared" si="165"/>
        <v/>
      </c>
      <c r="GF780" s="1995" t="str">
        <f t="shared" si="166"/>
        <v/>
      </c>
      <c r="GG780" s="1995" t="str">
        <f t="shared" si="167"/>
        <v/>
      </c>
      <c r="GH780" s="1995" t="str">
        <f t="shared" si="168"/>
        <v/>
      </c>
      <c r="GI780" s="1995" t="str">
        <f t="shared" si="169"/>
        <v/>
      </c>
      <c r="GJ780" s="1995" t="str">
        <f t="shared" si="170"/>
        <v/>
      </c>
      <c r="GK780" s="1995" t="str">
        <f t="shared" si="171"/>
        <v/>
      </c>
      <c r="GL780" s="1995" t="str">
        <f t="shared" si="172"/>
        <v/>
      </c>
      <c r="GM780" s="1995" t="str">
        <f t="shared" si="173"/>
        <v/>
      </c>
      <c r="GN780" s="1995" t="str">
        <f t="shared" si="174"/>
        <v/>
      </c>
      <c r="GO780" s="1995" t="str">
        <f t="shared" si="175"/>
        <v/>
      </c>
      <c r="GP780" s="1995" t="str">
        <f t="shared" si="176"/>
        <v/>
      </c>
      <c r="GQ780" s="1995" t="str">
        <f t="shared" si="177"/>
        <v/>
      </c>
      <c r="GR780" s="1995" t="str">
        <f t="shared" si="178"/>
        <v/>
      </c>
      <c r="GS780" s="1995" t="str">
        <f t="shared" si="179"/>
        <v/>
      </c>
      <c r="GT780" s="1995" t="str">
        <f t="shared" si="180"/>
        <v/>
      </c>
      <c r="GU780" s="1995" t="str">
        <f t="shared" si="181"/>
        <v/>
      </c>
      <c r="GV780" s="1995" t="str">
        <f t="shared" si="182"/>
        <v/>
      </c>
      <c r="GW780" s="1995" t="str">
        <f t="shared" si="183"/>
        <v/>
      </c>
      <c r="GX780" s="1995" t="str">
        <f t="shared" si="184"/>
        <v/>
      </c>
      <c r="GY780" s="1995" t="str">
        <f t="shared" si="185"/>
        <v/>
      </c>
      <c r="GZ780" s="1995" t="str">
        <f t="shared" si="186"/>
        <v/>
      </c>
      <c r="HA780" s="1995" t="str">
        <f t="shared" si="187"/>
        <v/>
      </c>
      <c r="HB780" s="1995" t="str">
        <f t="shared" si="188"/>
        <v/>
      </c>
      <c r="HC780" s="1995" t="str">
        <f t="shared" si="189"/>
        <v/>
      </c>
      <c r="HD780" s="1995" t="str">
        <f t="shared" si="190"/>
        <v/>
      </c>
      <c r="HE780" s="1995" t="str">
        <f t="shared" si="191"/>
        <v/>
      </c>
      <c r="HF780" s="1995" t="str">
        <f t="shared" si="192"/>
        <v/>
      </c>
      <c r="HG780" s="1995" t="str">
        <f t="shared" si="193"/>
        <v/>
      </c>
      <c r="HH780" s="1995" t="str">
        <f t="shared" si="194"/>
        <v/>
      </c>
      <c r="HI780" s="1995" t="str">
        <f t="shared" si="195"/>
        <v/>
      </c>
      <c r="HJ780" s="1995" t="str">
        <f t="shared" si="196"/>
        <v/>
      </c>
      <c r="HK780" s="1995" t="str">
        <f t="shared" si="197"/>
        <v/>
      </c>
      <c r="HL780" s="1995" t="str">
        <f t="shared" si="198"/>
        <v/>
      </c>
      <c r="HM780" s="1995" t="str">
        <f t="shared" si="199"/>
        <v/>
      </c>
      <c r="HN780" s="1995" t="str">
        <f t="shared" si="200"/>
        <v/>
      </c>
      <c r="HO780" s="1995" t="str">
        <f t="shared" si="201"/>
        <v/>
      </c>
      <c r="HP780" s="1995" t="str">
        <f t="shared" si="202"/>
        <v/>
      </c>
      <c r="HQ780" s="1995" t="str">
        <f t="shared" si="203"/>
        <v/>
      </c>
      <c r="HR780" s="1995" t="str">
        <f t="shared" si="204"/>
        <v/>
      </c>
      <c r="HS780" s="1995" t="str">
        <f t="shared" si="205"/>
        <v/>
      </c>
      <c r="HT780" s="1995" t="str">
        <f t="shared" si="206"/>
        <v/>
      </c>
      <c r="HU780" s="1995" t="str">
        <f t="shared" si="207"/>
        <v/>
      </c>
      <c r="HV780" s="1995" t="str">
        <f t="shared" si="208"/>
        <v/>
      </c>
      <c r="HW780" s="1995" t="str">
        <f t="shared" si="209"/>
        <v/>
      </c>
      <c r="HX780" s="1995" t="str">
        <f t="shared" si="210"/>
        <v/>
      </c>
      <c r="HY780" s="1995" t="str">
        <f t="shared" si="211"/>
        <v/>
      </c>
      <c r="HZ780" s="1900" t="str">
        <f t="shared" si="212"/>
        <v/>
      </c>
      <c r="IA780" s="1900" t="str">
        <f t="shared" si="213"/>
        <v/>
      </c>
      <c r="IB780" s="1900" t="str">
        <f t="shared" si="214"/>
        <v/>
      </c>
      <c r="IC780" s="1900" t="str">
        <f t="shared" si="215"/>
        <v/>
      </c>
      <c r="ID780" s="1900" t="str">
        <f t="shared" si="216"/>
        <v/>
      </c>
      <c r="IE780" s="1900" t="str">
        <f t="shared" si="217"/>
        <v/>
      </c>
      <c r="IF780" s="1900" t="str">
        <f t="shared" si="218"/>
        <v/>
      </c>
      <c r="IG780" s="1900" t="str">
        <f t="shared" si="219"/>
        <v/>
      </c>
      <c r="IH780" s="1900" t="str">
        <f t="shared" si="220"/>
        <v/>
      </c>
      <c r="II780" s="1900" t="str">
        <f t="shared" si="221"/>
        <v/>
      </c>
      <c r="IJ780" s="1900" t="str">
        <f t="shared" si="222"/>
        <v/>
      </c>
      <c r="IK780" s="1900" t="str">
        <f t="shared" si="223"/>
        <v/>
      </c>
      <c r="IL780" s="1900" t="str">
        <f t="shared" si="224"/>
        <v/>
      </c>
      <c r="IM780" s="1900" t="str">
        <f t="shared" si="225"/>
        <v/>
      </c>
      <c r="IN780" s="1900" t="str">
        <f t="shared" si="226"/>
        <v/>
      </c>
      <c r="IO780" s="1900" t="str">
        <f t="shared" si="227"/>
        <v/>
      </c>
      <c r="IP780" s="1900" t="str">
        <f t="shared" si="228"/>
        <v/>
      </c>
      <c r="IQ780" s="1900" t="str">
        <f t="shared" si="229"/>
        <v/>
      </c>
      <c r="IR780" s="1900" t="str">
        <f t="shared" si="230"/>
        <v/>
      </c>
      <c r="IS780" s="1900" t="str">
        <f t="shared" si="231"/>
        <v/>
      </c>
      <c r="IT780" s="1900" t="str">
        <f t="shared" si="232"/>
        <v/>
      </c>
      <c r="IU780" s="1900" t="str">
        <f t="shared" si="233"/>
        <v/>
      </c>
      <c r="IV780" s="1900" t="str">
        <f t="shared" si="234"/>
        <v/>
      </c>
      <c r="IW780" s="1900" t="str">
        <f t="shared" si="235"/>
        <v/>
      </c>
      <c r="IX780" s="1900" t="str">
        <f t="shared" si="236"/>
        <v/>
      </c>
      <c r="IY780" s="1900" t="str">
        <f t="shared" si="237"/>
        <v/>
      </c>
      <c r="IZ780" s="1900" t="str">
        <f t="shared" si="238"/>
        <v/>
      </c>
      <c r="JA780" s="1900" t="str">
        <f t="shared" si="239"/>
        <v/>
      </c>
      <c r="JB780" s="1900" t="str">
        <f t="shared" si="240"/>
        <v/>
      </c>
      <c r="JC780" s="1900" t="str">
        <f t="shared" si="241"/>
        <v/>
      </c>
      <c r="JD780" s="1900" t="str">
        <f t="shared" si="242"/>
        <v/>
      </c>
      <c r="JE780" s="1900" t="str">
        <f t="shared" si="243"/>
        <v/>
      </c>
      <c r="JF780" s="1900" t="str">
        <f t="shared" si="244"/>
        <v/>
      </c>
      <c r="JG780" s="1900" t="str">
        <f t="shared" si="245"/>
        <v/>
      </c>
      <c r="JH780" s="1900" t="str">
        <f t="shared" si="246"/>
        <v/>
      </c>
      <c r="JI780" s="1900" t="str">
        <f t="shared" si="247"/>
        <v/>
      </c>
      <c r="JJ780" s="1900" t="str">
        <f t="shared" si="248"/>
        <v/>
      </c>
      <c r="JK780" s="1900" t="str">
        <f t="shared" si="249"/>
        <v/>
      </c>
      <c r="JL780" s="1900" t="str">
        <f t="shared" si="250"/>
        <v/>
      </c>
      <c r="JM780" s="1900" t="str">
        <f t="shared" si="251"/>
        <v/>
      </c>
      <c r="JN780" s="1900" t="str">
        <f t="shared" si="252"/>
        <v/>
      </c>
      <c r="JO780" s="1900" t="str">
        <f t="shared" si="253"/>
        <v/>
      </c>
      <c r="JP780" s="1900" t="str">
        <f t="shared" si="254"/>
        <v/>
      </c>
      <c r="JQ780" s="1900" t="str">
        <f t="shared" si="255"/>
        <v/>
      </c>
      <c r="JR780" s="1900" t="str">
        <f t="shared" si="256"/>
        <v/>
      </c>
      <c r="JS780" s="1900" t="str">
        <f t="shared" si="257"/>
        <v/>
      </c>
      <c r="JT780" s="1900" t="str">
        <f t="shared" si="258"/>
        <v/>
      </c>
      <c r="JU780" s="1900" t="str">
        <f t="shared" si="259"/>
        <v/>
      </c>
      <c r="JV780" s="1900" t="str">
        <f t="shared" si="260"/>
        <v/>
      </c>
      <c r="JW780" s="1900" t="str">
        <f t="shared" si="261"/>
        <v/>
      </c>
      <c r="JX780" s="1900" t="str">
        <f t="shared" si="262"/>
        <v/>
      </c>
      <c r="JY780" s="1900" t="str">
        <f t="shared" si="263"/>
        <v/>
      </c>
      <c r="JZ780" s="1900" t="str">
        <f t="shared" si="264"/>
        <v/>
      </c>
      <c r="KA780" s="1900" t="str">
        <f t="shared" si="265"/>
        <v/>
      </c>
      <c r="KB780" s="1900" t="str">
        <f t="shared" si="266"/>
        <v/>
      </c>
      <c r="KC780" s="1900" t="str">
        <f t="shared" si="267"/>
        <v/>
      </c>
      <c r="KD780" s="1900" t="str">
        <f t="shared" si="268"/>
        <v/>
      </c>
      <c r="KE780" s="1900" t="str">
        <f t="shared" si="269"/>
        <v/>
      </c>
      <c r="KF780" s="1900" t="str">
        <f t="shared" si="270"/>
        <v/>
      </c>
      <c r="KG780" s="1900" t="str">
        <f t="shared" si="271"/>
        <v/>
      </c>
      <c r="KH780" s="1900" t="str">
        <f t="shared" si="272"/>
        <v/>
      </c>
      <c r="KI780" s="1900" t="str">
        <f t="shared" si="273"/>
        <v/>
      </c>
      <c r="KJ780" s="1900" t="str">
        <f t="shared" si="274"/>
        <v/>
      </c>
      <c r="KK780" s="1900" t="str">
        <f t="shared" si="275"/>
        <v/>
      </c>
      <c r="KL780" s="1900" t="str">
        <f t="shared" si="276"/>
        <v/>
      </c>
      <c r="KM780" s="1900" t="str">
        <f t="shared" si="277"/>
        <v/>
      </c>
      <c r="KN780" s="1900" t="str">
        <f t="shared" si="278"/>
        <v/>
      </c>
      <c r="KO780" s="1900" t="str">
        <f t="shared" si="279"/>
        <v/>
      </c>
      <c r="KP780" s="1900" t="str">
        <f t="shared" si="280"/>
        <v/>
      </c>
      <c r="KQ780" s="1900" t="str">
        <f t="shared" si="281"/>
        <v/>
      </c>
      <c r="KR780" s="1900" t="str">
        <f t="shared" si="282"/>
        <v/>
      </c>
      <c r="KS780" s="1900" t="str">
        <f t="shared" si="283"/>
        <v/>
      </c>
      <c r="KT780" s="1900" t="str">
        <f t="shared" si="284"/>
        <v/>
      </c>
      <c r="KU780" s="1900" t="str">
        <f t="shared" si="285"/>
        <v/>
      </c>
      <c r="KV780" s="1900" t="str">
        <f t="shared" si="286"/>
        <v/>
      </c>
      <c r="KW780" s="1900" t="str">
        <f t="shared" si="287"/>
        <v/>
      </c>
      <c r="KX780" s="1900" t="str">
        <f t="shared" si="288"/>
        <v/>
      </c>
      <c r="KY780" s="1900" t="str">
        <f t="shared" si="289"/>
        <v/>
      </c>
      <c r="KZ780" s="1900" t="str">
        <f t="shared" si="290"/>
        <v/>
      </c>
      <c r="LA780" s="1900" t="str">
        <f t="shared" si="291"/>
        <v/>
      </c>
      <c r="LB780" s="1900" t="str">
        <f t="shared" si="292"/>
        <v/>
      </c>
      <c r="LC780" s="1900" t="str">
        <f t="shared" si="293"/>
        <v/>
      </c>
      <c r="LD780" s="1900" t="str">
        <f t="shared" si="294"/>
        <v/>
      </c>
      <c r="LE780" s="1900" t="str">
        <f t="shared" si="295"/>
        <v/>
      </c>
      <c r="LF780" s="1900" t="str">
        <f t="shared" si="296"/>
        <v/>
      </c>
      <c r="LG780" s="1900" t="str">
        <f t="shared" si="297"/>
        <v/>
      </c>
      <c r="LH780" s="1900" t="str">
        <f t="shared" si="298"/>
        <v/>
      </c>
      <c r="LI780" s="1900" t="str">
        <f t="shared" si="299"/>
        <v/>
      </c>
      <c r="LJ780" s="1900" t="str">
        <f t="shared" si="300"/>
        <v/>
      </c>
      <c r="LK780" s="1900" t="str">
        <f t="shared" si="301"/>
        <v/>
      </c>
      <c r="LL780" s="1900" t="str">
        <f t="shared" si="302"/>
        <v/>
      </c>
      <c r="LM780" s="1900" t="str">
        <f t="shared" si="303"/>
        <v/>
      </c>
      <c r="LN780" s="1900" t="str">
        <f t="shared" si="304"/>
        <v/>
      </c>
      <c r="LO780" s="1900" t="str">
        <f t="shared" si="305"/>
        <v/>
      </c>
      <c r="LP780" s="1900" t="str">
        <f t="shared" si="306"/>
        <v/>
      </c>
      <c r="LQ780" s="1874" t="str">
        <f t="shared" si="307"/>
        <v/>
      </c>
      <c r="LR780" s="1874" t="str">
        <f t="shared" si="308"/>
        <v/>
      </c>
      <c r="LS780" s="1874" t="str">
        <f t="shared" si="309"/>
        <v/>
      </c>
      <c r="LT780" s="1874" t="str">
        <f t="shared" si="310"/>
        <v/>
      </c>
      <c r="LU780" s="1874" t="str">
        <f t="shared" si="311"/>
        <v/>
      </c>
      <c r="LV780" s="1995" t="str">
        <f t="shared" si="312"/>
        <v/>
      </c>
      <c r="LW780" s="1995" t="str">
        <f t="shared" si="313"/>
        <v/>
      </c>
      <c r="LX780" s="1995" t="str">
        <f t="shared" si="314"/>
        <v/>
      </c>
      <c r="LY780" s="1995" t="str">
        <f t="shared" si="315"/>
        <v/>
      </c>
      <c r="LZ780" s="1995" t="str">
        <f t="shared" si="316"/>
        <v/>
      </c>
      <c r="MA780" s="1995" t="str">
        <f t="shared" si="317"/>
        <v/>
      </c>
      <c r="MB780" s="1995" t="str">
        <f t="shared" si="318"/>
        <v/>
      </c>
      <c r="MC780" s="1995" t="str">
        <f t="shared" si="319"/>
        <v/>
      </c>
      <c r="MD780" s="1995" t="str">
        <f t="shared" si="320"/>
        <v/>
      </c>
      <c r="ME780" s="1995" t="str">
        <f t="shared" si="321"/>
        <v/>
      </c>
      <c r="MF780" s="1995" t="str">
        <f t="shared" si="322"/>
        <v/>
      </c>
      <c r="MG780" s="1995" t="str">
        <f t="shared" si="323"/>
        <v/>
      </c>
      <c r="MH780" s="1995" t="str">
        <f t="shared" si="324"/>
        <v/>
      </c>
      <c r="MI780" s="1995" t="str">
        <f t="shared" si="325"/>
        <v/>
      </c>
      <c r="MJ780" s="1995" t="str">
        <f t="shared" si="326"/>
        <v/>
      </c>
      <c r="MK780" s="1995" t="str">
        <f t="shared" si="327"/>
        <v/>
      </c>
      <c r="ML780" s="1995" t="str">
        <f t="shared" si="328"/>
        <v/>
      </c>
      <c r="MM780" s="1995" t="str">
        <f t="shared" si="329"/>
        <v/>
      </c>
      <c r="MN780" s="1995" t="str">
        <f t="shared" si="330"/>
        <v/>
      </c>
      <c r="MO780" s="1995" t="str">
        <f t="shared" si="331"/>
        <v/>
      </c>
      <c r="MP780" s="1874">
        <f t="shared" ref="MP780:MP816" si="338">IF(AND($C780="Efficiency",$E780&gt;0,OR($O780="1-Story",$O780="2-Story",$O780="3+ Story",$O780="3+ Story Elevator",$O780="2-Story Walkup",$O780="Townhome"),OR($P780="Acquisition/Rehab",$P780="Rehabilitation"),NOT($Q780="Yes")),$E780,0)</f>
        <v>0</v>
      </c>
      <c r="MQ780" s="1874">
        <f t="shared" ref="MQ780:MQ816" si="339">IF(AND($C780=1,$E780&gt;0,OR($O780="1-Story",$O780="2-Story",$O780="3+ Story",$O780="3+ Story Elevator",$O780="2-Story Walkup",$O780="Townhome"),OR($P780="Acquisition/Rehab",$P780="Rehabilitation"),NOT($Q780="Yes")),$E780,0)</f>
        <v>0</v>
      </c>
      <c r="MR780" s="1874">
        <f t="shared" ref="MR780:MR816" si="340">IF(AND($C780=2,$E780&gt;0,OR($O780="1-Story",$O780="2-Story",$O780="3+ Story",$O780="3+ Story Elevator",$O780="2-Story Walkup",$O780="Townhome"),OR($P780="Acquisition/Rehab",$P780="Rehabilitation"),NOT($Q780="Yes")),$E780,0)</f>
        <v>0</v>
      </c>
      <c r="MS780" s="1874">
        <f t="shared" ref="MS780:MS816" si="341">IF(AND($C780=3,$E780&gt;0,OR($O780="1-Story",$O780="2-Story",$O780="3+ Story",$O780="3+ Story Elevator",$O780="2-Story Walkup",$O780="Townhome"),OR($P780="Acquisition/Rehab",$P780="Rehabilitation"),NOT($Q780="Yes")),$E780,0)</f>
        <v>0</v>
      </c>
      <c r="MT780" s="1874">
        <f t="shared" ref="MT780:MT816" si="342">IF(AND($C780=4,$E780&gt;0,OR($O780="1-Story",$O780="2-Story",$O780="3+ Story",$O780="3+ Story Elevator",$O780="2-Story Walkup",$O780="Townhome"),OR($P780="Acquisition/Rehab",$P780="Rehabilitation"),NOT($Q780="Yes")),$E780,0)</f>
        <v>0</v>
      </c>
      <c r="MU780" s="1874">
        <f t="shared" ref="MU780:MU816" si="343">IF(AND($C780="Efficiency",$E780&gt;0,OR($O780="1-Story",$O780="2-Story",$O780="3+ Story",$O780="3+ Story Elevator",$O780="2-Story Walkup",$O780="Townhome"),$P780="New Construction"),$E780,0)</f>
        <v>0</v>
      </c>
      <c r="MV780" s="1874">
        <f t="shared" ref="MV780:MV816" si="344">IF(AND($C780=1,$E780&gt;0,OR($O780="1-Story",$O780="2-Story",$O780="3+ Story",$O780="3+ Story Elevator",$O780="2-Story Walkup",$O780="Townhome"),$P780="New Construction"),$E780,0)</f>
        <v>0</v>
      </c>
      <c r="MW780" s="1874">
        <f t="shared" ref="MW780:MW816" si="345">IF(AND($C780=2,$E780&gt;0,OR($O780="1-Story",$O780="2-Story",$O780="3+ Story",$O780="3+ Story Elevator",$O780="2-Story Walkup",$O780="Townhome"),$P780="New Construction"),$E780,0)</f>
        <v>0</v>
      </c>
      <c r="MX780" s="1874">
        <f t="shared" ref="MX780:MX816" si="346">IF(AND($C780=3,$E780&gt;0,OR($O780="1-Story",$O780="2-Story",$O780="3+ Story",$O780="3+ Story Elevator",$O780="2-Story Walkup",$O780="Townhome"),$P780="New Construction"),$E780,0)</f>
        <v>0</v>
      </c>
      <c r="MY780" s="1874">
        <f t="shared" ref="MY780:MY816" si="347">IF(AND($C780=4,$E780&gt;0,OR($O780="1-Story",$O780="2-Story",$O780="3+ Story",$O780="3+ Story Elevator",$O780="2-Story Walkup",$O780="Townhome"),$P780="New Construction"),$E780,0)</f>
        <v>0</v>
      </c>
      <c r="MZ780" s="1874">
        <f t="shared" si="332"/>
        <v>0</v>
      </c>
      <c r="NA780" s="1874">
        <f t="shared" si="333"/>
        <v>0</v>
      </c>
      <c r="NB780" s="1874">
        <f t="shared" si="334"/>
        <v>0</v>
      </c>
      <c r="NC780" s="1874">
        <f t="shared" si="335"/>
        <v>0</v>
      </c>
      <c r="ND780" s="1874">
        <f t="shared" si="336"/>
        <v>0</v>
      </c>
    </row>
    <row r="781" spans="1:368" ht="13.95" customHeight="1">
      <c r="A781" s="1896" t="str">
        <f t="shared" si="337"/>
        <v/>
      </c>
      <c r="B781" s="2212" t="str">
        <f>'Part VI-Revenues &amp; Expenses'!B12</f>
        <v>Unrestricted</v>
      </c>
      <c r="C781" s="2213">
        <f>'Part VI-Revenues &amp; Expenses'!C12</f>
        <v>0</v>
      </c>
      <c r="D781" s="2214">
        <f>'Part VI-Revenues &amp; Expenses'!D12</f>
        <v>0</v>
      </c>
      <c r="E781" s="2215">
        <f>'Part VI-Revenues &amp; Expenses'!E12</f>
        <v>0</v>
      </c>
      <c r="F781" s="2215">
        <f>'Part VI-Revenues &amp; Expenses'!F12</f>
        <v>0</v>
      </c>
      <c r="G781" s="2215">
        <f>'Part VI-Revenues &amp; Expenses'!G12</f>
        <v>0</v>
      </c>
      <c r="H781" s="2215">
        <f>'Part VI-Revenues &amp; Expenses'!H12</f>
        <v>0</v>
      </c>
      <c r="I781" s="2215">
        <f>'Part VI-Revenues &amp; Expenses'!I12</f>
        <v>0</v>
      </c>
      <c r="J781" s="2215">
        <f>'Part VI-Revenues &amp; Expenses'!J12</f>
        <v>0</v>
      </c>
      <c r="K781" s="2216">
        <f>'Part VI-Revenues &amp; Expenses'!K12</f>
        <v>0</v>
      </c>
      <c r="L781" s="1899">
        <f t="shared" si="0"/>
        <v>0</v>
      </c>
      <c r="M781" s="1899">
        <f t="shared" si="1"/>
        <v>0</v>
      </c>
      <c r="N781" s="2074">
        <f>'Part VI-Revenues &amp; Expenses'!N12</f>
        <v>0</v>
      </c>
      <c r="O781" s="2074">
        <f>'Part VI-Revenues &amp; Expenses'!O12</f>
        <v>0</v>
      </c>
      <c r="P781" s="2074">
        <f>'Part VI-Revenues &amp; Expenses'!P12</f>
        <v>0</v>
      </c>
      <c r="Q781" s="1732">
        <f>'Part VI-Revenues &amp; Expenses'!Q12</f>
        <v>0</v>
      </c>
      <c r="R781" s="1926"/>
      <c r="S781" s="2148"/>
      <c r="T781" s="1910"/>
      <c r="U781" s="1910"/>
      <c r="V781" s="1910"/>
      <c r="W781" s="1910"/>
      <c r="X781" s="1995" t="str">
        <f t="shared" si="2"/>
        <v/>
      </c>
      <c r="Y781" s="1995" t="str">
        <f t="shared" si="3"/>
        <v/>
      </c>
      <c r="Z781" s="1995" t="str">
        <f t="shared" si="4"/>
        <v/>
      </c>
      <c r="AA781" s="1995" t="str">
        <f t="shared" si="5"/>
        <v/>
      </c>
      <c r="AB781" s="1995" t="str">
        <f t="shared" si="6"/>
        <v/>
      </c>
      <c r="AC781" s="1995" t="str">
        <f t="shared" si="7"/>
        <v/>
      </c>
      <c r="AD781" s="1995" t="str">
        <f t="shared" si="8"/>
        <v/>
      </c>
      <c r="AE781" s="1995" t="str">
        <f t="shared" si="9"/>
        <v/>
      </c>
      <c r="AF781" s="1995" t="str">
        <f t="shared" si="10"/>
        <v/>
      </c>
      <c r="AG781" s="1995" t="str">
        <f t="shared" si="11"/>
        <v/>
      </c>
      <c r="AH781" s="1995" t="str">
        <f t="shared" si="12"/>
        <v/>
      </c>
      <c r="AI781" s="1995" t="str">
        <f t="shared" si="13"/>
        <v/>
      </c>
      <c r="AJ781" s="1995" t="str">
        <f t="shared" si="14"/>
        <v/>
      </c>
      <c r="AK781" s="1995" t="str">
        <f t="shared" si="15"/>
        <v/>
      </c>
      <c r="AL781" s="1995" t="str">
        <f t="shared" si="16"/>
        <v/>
      </c>
      <c r="AM781" s="1995" t="str">
        <f t="shared" si="17"/>
        <v/>
      </c>
      <c r="AN781" s="1995" t="str">
        <f t="shared" si="18"/>
        <v/>
      </c>
      <c r="AO781" s="1995" t="str">
        <f t="shared" si="19"/>
        <v/>
      </c>
      <c r="AP781" s="1995" t="str">
        <f t="shared" si="20"/>
        <v/>
      </c>
      <c r="AQ781" s="1995" t="str">
        <f t="shared" si="21"/>
        <v/>
      </c>
      <c r="AR781" s="1995" t="str">
        <f t="shared" si="22"/>
        <v/>
      </c>
      <c r="AS781" s="1995" t="str">
        <f t="shared" si="23"/>
        <v/>
      </c>
      <c r="AT781" s="1995" t="str">
        <f t="shared" si="24"/>
        <v/>
      </c>
      <c r="AU781" s="1995" t="str">
        <f t="shared" si="25"/>
        <v/>
      </c>
      <c r="AV781" s="1995" t="str">
        <f t="shared" si="26"/>
        <v/>
      </c>
      <c r="AW781" s="1995" t="str">
        <f t="shared" si="27"/>
        <v/>
      </c>
      <c r="AX781" s="1995" t="str">
        <f t="shared" si="28"/>
        <v/>
      </c>
      <c r="AY781" s="1995" t="str">
        <f t="shared" si="29"/>
        <v/>
      </c>
      <c r="AZ781" s="1995" t="str">
        <f t="shared" si="30"/>
        <v/>
      </c>
      <c r="BA781" s="1995" t="str">
        <f t="shared" si="31"/>
        <v/>
      </c>
      <c r="BB781" s="1995" t="str">
        <f t="shared" si="32"/>
        <v/>
      </c>
      <c r="BC781" s="1995" t="str">
        <f t="shared" si="33"/>
        <v/>
      </c>
      <c r="BD781" s="1995" t="str">
        <f t="shared" si="34"/>
        <v/>
      </c>
      <c r="BE781" s="1995" t="str">
        <f t="shared" si="35"/>
        <v/>
      </c>
      <c r="BF781" s="1995" t="str">
        <f t="shared" si="36"/>
        <v/>
      </c>
      <c r="BG781" s="1995" t="str">
        <f t="shared" si="37"/>
        <v/>
      </c>
      <c r="BH781" s="1995" t="str">
        <f t="shared" si="38"/>
        <v/>
      </c>
      <c r="BI781" s="1995" t="str">
        <f t="shared" si="39"/>
        <v/>
      </c>
      <c r="BJ781" s="1995" t="str">
        <f t="shared" si="40"/>
        <v/>
      </c>
      <c r="BK781" s="1995" t="str">
        <f t="shared" si="41"/>
        <v/>
      </c>
      <c r="BL781" s="1995" t="str">
        <f t="shared" si="42"/>
        <v/>
      </c>
      <c r="BM781" s="1995" t="str">
        <f t="shared" si="43"/>
        <v/>
      </c>
      <c r="BN781" s="1995" t="str">
        <f t="shared" si="44"/>
        <v/>
      </c>
      <c r="BO781" s="1995" t="str">
        <f t="shared" si="45"/>
        <v/>
      </c>
      <c r="BP781" s="1995" t="str">
        <f t="shared" si="46"/>
        <v/>
      </c>
      <c r="BQ781" s="1995" t="str">
        <f t="shared" si="47"/>
        <v/>
      </c>
      <c r="BR781" s="1995" t="str">
        <f t="shared" si="48"/>
        <v/>
      </c>
      <c r="BS781" s="1995" t="str">
        <f t="shared" si="49"/>
        <v/>
      </c>
      <c r="BT781" s="1995" t="str">
        <f t="shared" si="50"/>
        <v/>
      </c>
      <c r="BU781" s="1995" t="str">
        <f t="shared" si="51"/>
        <v/>
      </c>
      <c r="BV781" s="1995" t="str">
        <f t="shared" si="52"/>
        <v/>
      </c>
      <c r="BW781" s="1995" t="str">
        <f t="shared" si="53"/>
        <v/>
      </c>
      <c r="BX781" s="1995" t="str">
        <f t="shared" si="54"/>
        <v/>
      </c>
      <c r="BY781" s="1995" t="str">
        <f t="shared" si="55"/>
        <v/>
      </c>
      <c r="BZ781" s="1995" t="str">
        <f t="shared" si="56"/>
        <v/>
      </c>
      <c r="CA781" s="1995" t="str">
        <f t="shared" si="57"/>
        <v/>
      </c>
      <c r="CB781" s="1995" t="str">
        <f t="shared" si="58"/>
        <v/>
      </c>
      <c r="CC781" s="1995" t="str">
        <f t="shared" si="59"/>
        <v/>
      </c>
      <c r="CD781" s="1995" t="str">
        <f t="shared" si="60"/>
        <v/>
      </c>
      <c r="CE781" s="1995" t="str">
        <f t="shared" si="61"/>
        <v/>
      </c>
      <c r="CF781" s="1995" t="str">
        <f t="shared" si="62"/>
        <v/>
      </c>
      <c r="CG781" s="1995" t="str">
        <f t="shared" si="63"/>
        <v/>
      </c>
      <c r="CH781" s="1995" t="str">
        <f t="shared" si="64"/>
        <v/>
      </c>
      <c r="CI781" s="1995" t="str">
        <f t="shared" si="65"/>
        <v/>
      </c>
      <c r="CJ781" s="1995" t="str">
        <f t="shared" si="66"/>
        <v/>
      </c>
      <c r="CK781" s="1995" t="str">
        <f t="shared" si="67"/>
        <v/>
      </c>
      <c r="CL781" s="1995" t="str">
        <f t="shared" si="68"/>
        <v/>
      </c>
      <c r="CM781" s="1995" t="str">
        <f t="shared" si="69"/>
        <v/>
      </c>
      <c r="CN781" s="1995" t="str">
        <f t="shared" si="70"/>
        <v/>
      </c>
      <c r="CO781" s="1995" t="str">
        <f t="shared" si="71"/>
        <v/>
      </c>
      <c r="CP781" s="1995" t="str">
        <f t="shared" si="72"/>
        <v/>
      </c>
      <c r="CQ781" s="1995" t="str">
        <f t="shared" si="73"/>
        <v/>
      </c>
      <c r="CR781" s="1995" t="str">
        <f t="shared" si="74"/>
        <v/>
      </c>
      <c r="CS781" s="1995" t="str">
        <f t="shared" si="75"/>
        <v/>
      </c>
      <c r="CT781" s="1995" t="str">
        <f t="shared" si="76"/>
        <v/>
      </c>
      <c r="CU781" s="1995" t="str">
        <f t="shared" si="77"/>
        <v/>
      </c>
      <c r="CV781" s="1995" t="str">
        <f t="shared" si="78"/>
        <v/>
      </c>
      <c r="CW781" s="1995" t="str">
        <f t="shared" si="79"/>
        <v/>
      </c>
      <c r="CX781" s="1995" t="str">
        <f t="shared" si="80"/>
        <v/>
      </c>
      <c r="CY781" s="1995" t="str">
        <f t="shared" si="81"/>
        <v/>
      </c>
      <c r="CZ781" s="1995" t="str">
        <f t="shared" si="82"/>
        <v/>
      </c>
      <c r="DA781" s="1995" t="str">
        <f t="shared" si="83"/>
        <v/>
      </c>
      <c r="DB781" s="1995" t="str">
        <f t="shared" si="84"/>
        <v/>
      </c>
      <c r="DC781" s="1995" t="str">
        <f t="shared" si="85"/>
        <v/>
      </c>
      <c r="DD781" s="1995" t="str">
        <f t="shared" si="86"/>
        <v/>
      </c>
      <c r="DE781" s="1995" t="str">
        <f t="shared" si="87"/>
        <v/>
      </c>
      <c r="DF781" s="1995" t="str">
        <f t="shared" si="88"/>
        <v/>
      </c>
      <c r="DG781" s="1995" t="str">
        <f t="shared" si="89"/>
        <v/>
      </c>
      <c r="DH781" s="1995" t="str">
        <f t="shared" si="90"/>
        <v/>
      </c>
      <c r="DI781" s="1995" t="str">
        <f t="shared" si="91"/>
        <v/>
      </c>
      <c r="DJ781" s="1995" t="str">
        <f t="shared" si="92"/>
        <v/>
      </c>
      <c r="DK781" s="1995" t="str">
        <f t="shared" si="93"/>
        <v/>
      </c>
      <c r="DL781" s="1995" t="str">
        <f t="shared" si="94"/>
        <v/>
      </c>
      <c r="DM781" s="1995" t="str">
        <f t="shared" si="95"/>
        <v/>
      </c>
      <c r="DN781" s="1995" t="str">
        <f t="shared" si="96"/>
        <v/>
      </c>
      <c r="DO781" s="1995" t="str">
        <f t="shared" si="97"/>
        <v/>
      </c>
      <c r="DP781" s="1995" t="str">
        <f t="shared" si="98"/>
        <v/>
      </c>
      <c r="DQ781" s="1995" t="str">
        <f t="shared" si="99"/>
        <v/>
      </c>
      <c r="DR781" s="1995" t="str">
        <f t="shared" si="100"/>
        <v/>
      </c>
      <c r="DS781" s="1995" t="str">
        <f t="shared" si="101"/>
        <v/>
      </c>
      <c r="DT781" s="1995" t="str">
        <f t="shared" si="102"/>
        <v/>
      </c>
      <c r="DU781" s="1995" t="str">
        <f t="shared" si="103"/>
        <v/>
      </c>
      <c r="DV781" s="1995" t="str">
        <f t="shared" si="104"/>
        <v/>
      </c>
      <c r="DW781" s="1995" t="str">
        <f t="shared" si="105"/>
        <v/>
      </c>
      <c r="DX781" s="1995" t="str">
        <f t="shared" si="106"/>
        <v/>
      </c>
      <c r="DY781" s="1995" t="str">
        <f t="shared" si="107"/>
        <v/>
      </c>
      <c r="DZ781" s="1995" t="str">
        <f t="shared" si="108"/>
        <v/>
      </c>
      <c r="EA781" s="1995" t="str">
        <f t="shared" si="109"/>
        <v/>
      </c>
      <c r="EB781" s="1995" t="str">
        <f t="shared" si="110"/>
        <v/>
      </c>
      <c r="EC781" s="1995" t="str">
        <f t="shared" si="111"/>
        <v/>
      </c>
      <c r="ED781" s="1995" t="str">
        <f t="shared" si="112"/>
        <v/>
      </c>
      <c r="EE781" s="1995" t="str">
        <f t="shared" si="113"/>
        <v/>
      </c>
      <c r="EF781" s="1995" t="str">
        <f t="shared" si="114"/>
        <v/>
      </c>
      <c r="EG781" s="1995" t="str">
        <f t="shared" si="115"/>
        <v/>
      </c>
      <c r="EH781" s="1995" t="str">
        <f t="shared" si="116"/>
        <v/>
      </c>
      <c r="EI781" s="1995" t="str">
        <f t="shared" si="117"/>
        <v/>
      </c>
      <c r="EJ781" s="1995" t="str">
        <f t="shared" si="118"/>
        <v/>
      </c>
      <c r="EK781" s="1995" t="str">
        <f t="shared" si="119"/>
        <v/>
      </c>
      <c r="EL781" s="1995" t="str">
        <f t="shared" si="120"/>
        <v/>
      </c>
      <c r="EM781" s="1995" t="str">
        <f t="shared" si="121"/>
        <v/>
      </c>
      <c r="EN781" s="1995" t="str">
        <f t="shared" si="122"/>
        <v/>
      </c>
      <c r="EO781" s="1995" t="str">
        <f t="shared" si="123"/>
        <v/>
      </c>
      <c r="EP781" s="1995" t="str">
        <f t="shared" si="124"/>
        <v/>
      </c>
      <c r="EQ781" s="1995" t="str">
        <f t="shared" si="125"/>
        <v/>
      </c>
      <c r="ER781" s="1995" t="str">
        <f t="shared" si="126"/>
        <v/>
      </c>
      <c r="ES781" s="1995" t="str">
        <f t="shared" si="127"/>
        <v/>
      </c>
      <c r="ET781" s="1995" t="str">
        <f t="shared" si="128"/>
        <v/>
      </c>
      <c r="EU781" s="1995" t="str">
        <f t="shared" si="129"/>
        <v/>
      </c>
      <c r="EV781" s="1995" t="str">
        <f t="shared" si="130"/>
        <v/>
      </c>
      <c r="EW781" s="1995" t="str">
        <f t="shared" si="131"/>
        <v/>
      </c>
      <c r="EX781" s="1995" t="str">
        <f t="shared" si="132"/>
        <v/>
      </c>
      <c r="EY781" s="1995" t="str">
        <f t="shared" si="133"/>
        <v/>
      </c>
      <c r="EZ781" s="1995" t="str">
        <f t="shared" si="134"/>
        <v/>
      </c>
      <c r="FA781" s="1995" t="str">
        <f t="shared" si="135"/>
        <v/>
      </c>
      <c r="FB781" s="1995" t="str">
        <f t="shared" si="136"/>
        <v/>
      </c>
      <c r="FC781" s="1995" t="str">
        <f t="shared" si="137"/>
        <v/>
      </c>
      <c r="FD781" s="1995" t="str">
        <f t="shared" si="138"/>
        <v/>
      </c>
      <c r="FE781" s="1995" t="str">
        <f t="shared" si="139"/>
        <v/>
      </c>
      <c r="FF781" s="1995" t="str">
        <f t="shared" si="140"/>
        <v/>
      </c>
      <c r="FG781" s="1995" t="str">
        <f t="shared" si="141"/>
        <v/>
      </c>
      <c r="FH781" s="1995" t="str">
        <f t="shared" si="142"/>
        <v/>
      </c>
      <c r="FI781" s="1995" t="str">
        <f t="shared" si="143"/>
        <v/>
      </c>
      <c r="FJ781" s="1995" t="str">
        <f t="shared" si="144"/>
        <v/>
      </c>
      <c r="FK781" s="1995" t="str">
        <f t="shared" si="145"/>
        <v/>
      </c>
      <c r="FL781" s="1995" t="str">
        <f t="shared" si="146"/>
        <v/>
      </c>
      <c r="FM781" s="1995" t="str">
        <f t="shared" si="147"/>
        <v/>
      </c>
      <c r="FN781" s="1995" t="str">
        <f t="shared" si="148"/>
        <v/>
      </c>
      <c r="FO781" s="1995" t="str">
        <f t="shared" si="149"/>
        <v/>
      </c>
      <c r="FP781" s="1995" t="str">
        <f t="shared" si="150"/>
        <v/>
      </c>
      <c r="FQ781" s="1995" t="str">
        <f t="shared" si="151"/>
        <v/>
      </c>
      <c r="FR781" s="1995" t="str">
        <f t="shared" si="152"/>
        <v/>
      </c>
      <c r="FS781" s="1995" t="str">
        <f t="shared" si="153"/>
        <v/>
      </c>
      <c r="FT781" s="1995" t="str">
        <f t="shared" si="154"/>
        <v/>
      </c>
      <c r="FU781" s="1995" t="str">
        <f t="shared" si="155"/>
        <v/>
      </c>
      <c r="FV781" s="1995" t="str">
        <f t="shared" si="156"/>
        <v/>
      </c>
      <c r="FW781" s="1995" t="str">
        <f t="shared" si="157"/>
        <v/>
      </c>
      <c r="FX781" s="1995" t="str">
        <f t="shared" si="158"/>
        <v/>
      </c>
      <c r="FY781" s="1995" t="str">
        <f t="shared" si="159"/>
        <v/>
      </c>
      <c r="FZ781" s="1995" t="str">
        <f t="shared" si="160"/>
        <v/>
      </c>
      <c r="GA781" s="1995" t="str">
        <f t="shared" si="161"/>
        <v/>
      </c>
      <c r="GB781" s="1995" t="str">
        <f t="shared" si="162"/>
        <v/>
      </c>
      <c r="GC781" s="1995" t="str">
        <f t="shared" si="163"/>
        <v/>
      </c>
      <c r="GD781" s="1995" t="str">
        <f t="shared" si="164"/>
        <v/>
      </c>
      <c r="GE781" s="1995" t="str">
        <f t="shared" si="165"/>
        <v/>
      </c>
      <c r="GF781" s="1995" t="str">
        <f t="shared" si="166"/>
        <v/>
      </c>
      <c r="GG781" s="1995" t="str">
        <f t="shared" si="167"/>
        <v/>
      </c>
      <c r="GH781" s="1995" t="str">
        <f t="shared" si="168"/>
        <v/>
      </c>
      <c r="GI781" s="1995" t="str">
        <f t="shared" si="169"/>
        <v/>
      </c>
      <c r="GJ781" s="1995" t="str">
        <f t="shared" si="170"/>
        <v/>
      </c>
      <c r="GK781" s="1995" t="str">
        <f t="shared" si="171"/>
        <v/>
      </c>
      <c r="GL781" s="1995" t="str">
        <f t="shared" si="172"/>
        <v/>
      </c>
      <c r="GM781" s="1995" t="str">
        <f t="shared" si="173"/>
        <v/>
      </c>
      <c r="GN781" s="1995" t="str">
        <f t="shared" si="174"/>
        <v/>
      </c>
      <c r="GO781" s="1995" t="str">
        <f t="shared" si="175"/>
        <v/>
      </c>
      <c r="GP781" s="1995" t="str">
        <f t="shared" si="176"/>
        <v/>
      </c>
      <c r="GQ781" s="1995" t="str">
        <f t="shared" si="177"/>
        <v/>
      </c>
      <c r="GR781" s="1995" t="str">
        <f t="shared" si="178"/>
        <v/>
      </c>
      <c r="GS781" s="1995" t="str">
        <f t="shared" si="179"/>
        <v/>
      </c>
      <c r="GT781" s="1995" t="str">
        <f t="shared" si="180"/>
        <v/>
      </c>
      <c r="GU781" s="1995" t="str">
        <f t="shared" si="181"/>
        <v/>
      </c>
      <c r="GV781" s="1995" t="str">
        <f t="shared" si="182"/>
        <v/>
      </c>
      <c r="GW781" s="1995" t="str">
        <f t="shared" si="183"/>
        <v/>
      </c>
      <c r="GX781" s="1995" t="str">
        <f t="shared" si="184"/>
        <v/>
      </c>
      <c r="GY781" s="1995" t="str">
        <f t="shared" si="185"/>
        <v/>
      </c>
      <c r="GZ781" s="1995" t="str">
        <f t="shared" si="186"/>
        <v/>
      </c>
      <c r="HA781" s="1995" t="str">
        <f t="shared" si="187"/>
        <v/>
      </c>
      <c r="HB781" s="1995" t="str">
        <f t="shared" si="188"/>
        <v/>
      </c>
      <c r="HC781" s="1995" t="str">
        <f t="shared" si="189"/>
        <v/>
      </c>
      <c r="HD781" s="1995" t="str">
        <f t="shared" si="190"/>
        <v/>
      </c>
      <c r="HE781" s="1995" t="str">
        <f t="shared" si="191"/>
        <v/>
      </c>
      <c r="HF781" s="1995" t="str">
        <f t="shared" si="192"/>
        <v/>
      </c>
      <c r="HG781" s="1995" t="str">
        <f t="shared" si="193"/>
        <v/>
      </c>
      <c r="HH781" s="1995" t="str">
        <f t="shared" si="194"/>
        <v/>
      </c>
      <c r="HI781" s="1995" t="str">
        <f t="shared" si="195"/>
        <v/>
      </c>
      <c r="HJ781" s="1995" t="str">
        <f t="shared" si="196"/>
        <v/>
      </c>
      <c r="HK781" s="1995" t="str">
        <f t="shared" si="197"/>
        <v/>
      </c>
      <c r="HL781" s="1995" t="str">
        <f t="shared" si="198"/>
        <v/>
      </c>
      <c r="HM781" s="1995" t="str">
        <f t="shared" si="199"/>
        <v/>
      </c>
      <c r="HN781" s="1995" t="str">
        <f t="shared" si="200"/>
        <v/>
      </c>
      <c r="HO781" s="1995" t="str">
        <f t="shared" si="201"/>
        <v/>
      </c>
      <c r="HP781" s="1995" t="str">
        <f t="shared" si="202"/>
        <v/>
      </c>
      <c r="HQ781" s="1995" t="str">
        <f t="shared" si="203"/>
        <v/>
      </c>
      <c r="HR781" s="1995" t="str">
        <f t="shared" si="204"/>
        <v/>
      </c>
      <c r="HS781" s="1995" t="str">
        <f t="shared" si="205"/>
        <v/>
      </c>
      <c r="HT781" s="1995" t="str">
        <f t="shared" si="206"/>
        <v/>
      </c>
      <c r="HU781" s="1995" t="str">
        <f t="shared" si="207"/>
        <v/>
      </c>
      <c r="HV781" s="1995" t="str">
        <f t="shared" si="208"/>
        <v/>
      </c>
      <c r="HW781" s="1995" t="str">
        <f t="shared" si="209"/>
        <v/>
      </c>
      <c r="HX781" s="1995" t="str">
        <f t="shared" si="210"/>
        <v/>
      </c>
      <c r="HY781" s="1995" t="str">
        <f t="shared" si="211"/>
        <v/>
      </c>
      <c r="HZ781" s="1900" t="str">
        <f t="shared" si="212"/>
        <v/>
      </c>
      <c r="IA781" s="1900" t="str">
        <f t="shared" si="213"/>
        <v/>
      </c>
      <c r="IB781" s="1900" t="str">
        <f t="shared" si="214"/>
        <v/>
      </c>
      <c r="IC781" s="1900" t="str">
        <f t="shared" si="215"/>
        <v/>
      </c>
      <c r="ID781" s="1900" t="str">
        <f t="shared" si="216"/>
        <v/>
      </c>
      <c r="IE781" s="1900" t="str">
        <f t="shared" si="217"/>
        <v/>
      </c>
      <c r="IF781" s="1900" t="str">
        <f t="shared" si="218"/>
        <v/>
      </c>
      <c r="IG781" s="1900" t="str">
        <f t="shared" si="219"/>
        <v/>
      </c>
      <c r="IH781" s="1900" t="str">
        <f t="shared" si="220"/>
        <v/>
      </c>
      <c r="II781" s="1900" t="str">
        <f t="shared" si="221"/>
        <v/>
      </c>
      <c r="IJ781" s="1900" t="str">
        <f t="shared" si="222"/>
        <v/>
      </c>
      <c r="IK781" s="1900" t="str">
        <f t="shared" si="223"/>
        <v/>
      </c>
      <c r="IL781" s="1900" t="str">
        <f t="shared" si="224"/>
        <v/>
      </c>
      <c r="IM781" s="1900" t="str">
        <f t="shared" si="225"/>
        <v/>
      </c>
      <c r="IN781" s="1900" t="str">
        <f t="shared" si="226"/>
        <v/>
      </c>
      <c r="IO781" s="1900" t="str">
        <f t="shared" si="227"/>
        <v/>
      </c>
      <c r="IP781" s="1900" t="str">
        <f t="shared" si="228"/>
        <v/>
      </c>
      <c r="IQ781" s="1900" t="str">
        <f t="shared" si="229"/>
        <v/>
      </c>
      <c r="IR781" s="1900" t="str">
        <f t="shared" si="230"/>
        <v/>
      </c>
      <c r="IS781" s="1900" t="str">
        <f t="shared" si="231"/>
        <v/>
      </c>
      <c r="IT781" s="1900" t="str">
        <f t="shared" si="232"/>
        <v/>
      </c>
      <c r="IU781" s="1900" t="str">
        <f t="shared" si="233"/>
        <v/>
      </c>
      <c r="IV781" s="1900" t="str">
        <f t="shared" si="234"/>
        <v/>
      </c>
      <c r="IW781" s="1900" t="str">
        <f t="shared" si="235"/>
        <v/>
      </c>
      <c r="IX781" s="1900" t="str">
        <f t="shared" si="236"/>
        <v/>
      </c>
      <c r="IY781" s="1900" t="str">
        <f t="shared" si="237"/>
        <v/>
      </c>
      <c r="IZ781" s="1900" t="str">
        <f t="shared" si="238"/>
        <v/>
      </c>
      <c r="JA781" s="1900" t="str">
        <f t="shared" si="239"/>
        <v/>
      </c>
      <c r="JB781" s="1900" t="str">
        <f t="shared" si="240"/>
        <v/>
      </c>
      <c r="JC781" s="1900" t="str">
        <f t="shared" si="241"/>
        <v/>
      </c>
      <c r="JD781" s="1900" t="str">
        <f t="shared" si="242"/>
        <v/>
      </c>
      <c r="JE781" s="1900" t="str">
        <f t="shared" si="243"/>
        <v/>
      </c>
      <c r="JF781" s="1900" t="str">
        <f t="shared" si="244"/>
        <v/>
      </c>
      <c r="JG781" s="1900" t="str">
        <f t="shared" si="245"/>
        <v/>
      </c>
      <c r="JH781" s="1900" t="str">
        <f t="shared" si="246"/>
        <v/>
      </c>
      <c r="JI781" s="1900" t="str">
        <f t="shared" si="247"/>
        <v/>
      </c>
      <c r="JJ781" s="1900" t="str">
        <f t="shared" si="248"/>
        <v/>
      </c>
      <c r="JK781" s="1900" t="str">
        <f t="shared" si="249"/>
        <v/>
      </c>
      <c r="JL781" s="1900" t="str">
        <f t="shared" si="250"/>
        <v/>
      </c>
      <c r="JM781" s="1900" t="str">
        <f t="shared" si="251"/>
        <v/>
      </c>
      <c r="JN781" s="1900" t="str">
        <f t="shared" si="252"/>
        <v/>
      </c>
      <c r="JO781" s="1900" t="str">
        <f t="shared" si="253"/>
        <v/>
      </c>
      <c r="JP781" s="1900" t="str">
        <f t="shared" si="254"/>
        <v/>
      </c>
      <c r="JQ781" s="1900" t="str">
        <f t="shared" si="255"/>
        <v/>
      </c>
      <c r="JR781" s="1900" t="str">
        <f t="shared" si="256"/>
        <v/>
      </c>
      <c r="JS781" s="1900" t="str">
        <f t="shared" si="257"/>
        <v/>
      </c>
      <c r="JT781" s="1900" t="str">
        <f t="shared" si="258"/>
        <v/>
      </c>
      <c r="JU781" s="1900" t="str">
        <f t="shared" si="259"/>
        <v/>
      </c>
      <c r="JV781" s="1900" t="str">
        <f t="shared" si="260"/>
        <v/>
      </c>
      <c r="JW781" s="1900" t="str">
        <f t="shared" si="261"/>
        <v/>
      </c>
      <c r="JX781" s="1900" t="str">
        <f t="shared" si="262"/>
        <v/>
      </c>
      <c r="JY781" s="1900" t="str">
        <f t="shared" si="263"/>
        <v/>
      </c>
      <c r="JZ781" s="1900" t="str">
        <f t="shared" si="264"/>
        <v/>
      </c>
      <c r="KA781" s="1900" t="str">
        <f t="shared" si="265"/>
        <v/>
      </c>
      <c r="KB781" s="1900" t="str">
        <f t="shared" si="266"/>
        <v/>
      </c>
      <c r="KC781" s="1900" t="str">
        <f t="shared" si="267"/>
        <v/>
      </c>
      <c r="KD781" s="1900" t="str">
        <f t="shared" si="268"/>
        <v/>
      </c>
      <c r="KE781" s="1900" t="str">
        <f t="shared" si="269"/>
        <v/>
      </c>
      <c r="KF781" s="1900" t="str">
        <f t="shared" si="270"/>
        <v/>
      </c>
      <c r="KG781" s="1900" t="str">
        <f t="shared" si="271"/>
        <v/>
      </c>
      <c r="KH781" s="1900" t="str">
        <f t="shared" si="272"/>
        <v/>
      </c>
      <c r="KI781" s="1900" t="str">
        <f t="shared" si="273"/>
        <v/>
      </c>
      <c r="KJ781" s="1900" t="str">
        <f t="shared" si="274"/>
        <v/>
      </c>
      <c r="KK781" s="1900" t="str">
        <f t="shared" si="275"/>
        <v/>
      </c>
      <c r="KL781" s="1900" t="str">
        <f t="shared" si="276"/>
        <v/>
      </c>
      <c r="KM781" s="1900" t="str">
        <f t="shared" si="277"/>
        <v/>
      </c>
      <c r="KN781" s="1900" t="str">
        <f t="shared" si="278"/>
        <v/>
      </c>
      <c r="KO781" s="1900" t="str">
        <f t="shared" si="279"/>
        <v/>
      </c>
      <c r="KP781" s="1900" t="str">
        <f t="shared" si="280"/>
        <v/>
      </c>
      <c r="KQ781" s="1900" t="str">
        <f t="shared" si="281"/>
        <v/>
      </c>
      <c r="KR781" s="1900" t="str">
        <f t="shared" si="282"/>
        <v/>
      </c>
      <c r="KS781" s="1900" t="str">
        <f t="shared" si="283"/>
        <v/>
      </c>
      <c r="KT781" s="1900" t="str">
        <f t="shared" si="284"/>
        <v/>
      </c>
      <c r="KU781" s="1900" t="str">
        <f t="shared" si="285"/>
        <v/>
      </c>
      <c r="KV781" s="1900" t="str">
        <f t="shared" si="286"/>
        <v/>
      </c>
      <c r="KW781" s="1900" t="str">
        <f t="shared" si="287"/>
        <v/>
      </c>
      <c r="KX781" s="1900" t="str">
        <f t="shared" si="288"/>
        <v/>
      </c>
      <c r="KY781" s="1900" t="str">
        <f t="shared" si="289"/>
        <v/>
      </c>
      <c r="KZ781" s="1900" t="str">
        <f t="shared" si="290"/>
        <v/>
      </c>
      <c r="LA781" s="1900" t="str">
        <f t="shared" si="291"/>
        <v/>
      </c>
      <c r="LB781" s="1900" t="str">
        <f t="shared" si="292"/>
        <v/>
      </c>
      <c r="LC781" s="1900" t="str">
        <f t="shared" si="293"/>
        <v/>
      </c>
      <c r="LD781" s="1900" t="str">
        <f t="shared" si="294"/>
        <v/>
      </c>
      <c r="LE781" s="1900" t="str">
        <f t="shared" si="295"/>
        <v/>
      </c>
      <c r="LF781" s="1900" t="str">
        <f t="shared" si="296"/>
        <v/>
      </c>
      <c r="LG781" s="1900" t="str">
        <f t="shared" si="297"/>
        <v/>
      </c>
      <c r="LH781" s="1900" t="str">
        <f t="shared" si="298"/>
        <v/>
      </c>
      <c r="LI781" s="1900" t="str">
        <f t="shared" si="299"/>
        <v/>
      </c>
      <c r="LJ781" s="1900" t="str">
        <f t="shared" si="300"/>
        <v/>
      </c>
      <c r="LK781" s="1900" t="str">
        <f t="shared" si="301"/>
        <v/>
      </c>
      <c r="LL781" s="1900" t="str">
        <f t="shared" si="302"/>
        <v/>
      </c>
      <c r="LM781" s="1900" t="str">
        <f t="shared" si="303"/>
        <v/>
      </c>
      <c r="LN781" s="1900" t="str">
        <f t="shared" si="304"/>
        <v/>
      </c>
      <c r="LO781" s="1900" t="str">
        <f t="shared" si="305"/>
        <v/>
      </c>
      <c r="LP781" s="1900" t="str">
        <f t="shared" si="306"/>
        <v/>
      </c>
      <c r="LQ781" s="1874" t="str">
        <f t="shared" si="307"/>
        <v/>
      </c>
      <c r="LR781" s="1874" t="str">
        <f t="shared" si="308"/>
        <v/>
      </c>
      <c r="LS781" s="1874" t="str">
        <f t="shared" si="309"/>
        <v/>
      </c>
      <c r="LT781" s="1874" t="str">
        <f t="shared" si="310"/>
        <v/>
      </c>
      <c r="LU781" s="1874" t="str">
        <f t="shared" si="311"/>
        <v/>
      </c>
      <c r="LV781" s="1995" t="str">
        <f t="shared" si="312"/>
        <v/>
      </c>
      <c r="LW781" s="1995" t="str">
        <f t="shared" si="313"/>
        <v/>
      </c>
      <c r="LX781" s="1995" t="str">
        <f t="shared" si="314"/>
        <v/>
      </c>
      <c r="LY781" s="1995" t="str">
        <f t="shared" si="315"/>
        <v/>
      </c>
      <c r="LZ781" s="1995" t="str">
        <f t="shared" si="316"/>
        <v/>
      </c>
      <c r="MA781" s="1995" t="str">
        <f t="shared" si="317"/>
        <v/>
      </c>
      <c r="MB781" s="1995" t="str">
        <f t="shared" si="318"/>
        <v/>
      </c>
      <c r="MC781" s="1995" t="str">
        <f t="shared" si="319"/>
        <v/>
      </c>
      <c r="MD781" s="1995" t="str">
        <f t="shared" si="320"/>
        <v/>
      </c>
      <c r="ME781" s="1995" t="str">
        <f t="shared" si="321"/>
        <v/>
      </c>
      <c r="MF781" s="1995" t="str">
        <f t="shared" si="322"/>
        <v/>
      </c>
      <c r="MG781" s="1995" t="str">
        <f t="shared" si="323"/>
        <v/>
      </c>
      <c r="MH781" s="1995" t="str">
        <f t="shared" si="324"/>
        <v/>
      </c>
      <c r="MI781" s="1995" t="str">
        <f t="shared" si="325"/>
        <v/>
      </c>
      <c r="MJ781" s="1995" t="str">
        <f t="shared" si="326"/>
        <v/>
      </c>
      <c r="MK781" s="1995" t="str">
        <f t="shared" si="327"/>
        <v/>
      </c>
      <c r="ML781" s="1995" t="str">
        <f t="shared" si="328"/>
        <v/>
      </c>
      <c r="MM781" s="1995" t="str">
        <f t="shared" si="329"/>
        <v/>
      </c>
      <c r="MN781" s="1995" t="str">
        <f t="shared" si="330"/>
        <v/>
      </c>
      <c r="MO781" s="1995" t="str">
        <f t="shared" si="331"/>
        <v/>
      </c>
      <c r="MP781" s="1874">
        <f t="shared" si="338"/>
        <v>0</v>
      </c>
      <c r="MQ781" s="1874">
        <f t="shared" si="339"/>
        <v>0</v>
      </c>
      <c r="MR781" s="1874">
        <f t="shared" si="340"/>
        <v>0</v>
      </c>
      <c r="MS781" s="1874">
        <f t="shared" si="341"/>
        <v>0</v>
      </c>
      <c r="MT781" s="1874">
        <f t="shared" si="342"/>
        <v>0</v>
      </c>
      <c r="MU781" s="1874">
        <f t="shared" si="343"/>
        <v>0</v>
      </c>
      <c r="MV781" s="1874">
        <f t="shared" si="344"/>
        <v>0</v>
      </c>
      <c r="MW781" s="1874">
        <f t="shared" si="345"/>
        <v>0</v>
      </c>
      <c r="MX781" s="1874">
        <f t="shared" si="346"/>
        <v>0</v>
      </c>
      <c r="MY781" s="1874">
        <f t="shared" si="347"/>
        <v>0</v>
      </c>
      <c r="MZ781" s="1874">
        <f t="shared" si="332"/>
        <v>0</v>
      </c>
      <c r="NA781" s="1874">
        <f t="shared" si="333"/>
        <v>0</v>
      </c>
      <c r="NB781" s="1874">
        <f t="shared" si="334"/>
        <v>0</v>
      </c>
      <c r="NC781" s="1874">
        <f t="shared" si="335"/>
        <v>0</v>
      </c>
      <c r="ND781" s="1874">
        <f t="shared" si="336"/>
        <v>0</v>
      </c>
    </row>
    <row r="782" spans="1:368" ht="13.95" customHeight="1">
      <c r="A782" s="1896" t="str">
        <f t="shared" si="337"/>
        <v/>
      </c>
      <c r="B782" s="2212" t="str">
        <f>'Part VI-Revenues &amp; Expenses'!B13</f>
        <v>Unrestricted</v>
      </c>
      <c r="C782" s="2213">
        <f>'Part VI-Revenues &amp; Expenses'!C13</f>
        <v>0</v>
      </c>
      <c r="D782" s="2214">
        <f>'Part VI-Revenues &amp; Expenses'!D13</f>
        <v>0</v>
      </c>
      <c r="E782" s="2215">
        <f>'Part VI-Revenues &amp; Expenses'!E13</f>
        <v>0</v>
      </c>
      <c r="F782" s="2215">
        <f>'Part VI-Revenues &amp; Expenses'!F13</f>
        <v>0</v>
      </c>
      <c r="G782" s="2215">
        <f>'Part VI-Revenues &amp; Expenses'!G13</f>
        <v>0</v>
      </c>
      <c r="H782" s="2215">
        <f>'Part VI-Revenues &amp; Expenses'!H13</f>
        <v>0</v>
      </c>
      <c r="I782" s="2215">
        <f>'Part VI-Revenues &amp; Expenses'!I13</f>
        <v>0</v>
      </c>
      <c r="J782" s="2215">
        <f>'Part VI-Revenues &amp; Expenses'!J13</f>
        <v>0</v>
      </c>
      <c r="K782" s="2216">
        <f>'Part VI-Revenues &amp; Expenses'!K13</f>
        <v>0</v>
      </c>
      <c r="L782" s="1899">
        <f t="shared" si="0"/>
        <v>0</v>
      </c>
      <c r="M782" s="1899">
        <f t="shared" si="1"/>
        <v>0</v>
      </c>
      <c r="N782" s="2074">
        <f>'Part VI-Revenues &amp; Expenses'!N13</f>
        <v>0</v>
      </c>
      <c r="O782" s="2074">
        <f>'Part VI-Revenues &amp; Expenses'!O13</f>
        <v>0</v>
      </c>
      <c r="P782" s="2074">
        <f>'Part VI-Revenues &amp; Expenses'!P13</f>
        <v>0</v>
      </c>
      <c r="Q782" s="1732">
        <f>'Part VI-Revenues &amp; Expenses'!Q13</f>
        <v>0</v>
      </c>
      <c r="R782" s="1926"/>
      <c r="S782" s="2148"/>
      <c r="T782" s="1910"/>
      <c r="U782" s="1910"/>
      <c r="V782" s="1910"/>
      <c r="W782" s="1910"/>
      <c r="X782" s="1995" t="str">
        <f t="shared" si="2"/>
        <v/>
      </c>
      <c r="Y782" s="1995" t="str">
        <f t="shared" si="3"/>
        <v/>
      </c>
      <c r="Z782" s="1995" t="str">
        <f t="shared" si="4"/>
        <v/>
      </c>
      <c r="AA782" s="1995" t="str">
        <f t="shared" si="5"/>
        <v/>
      </c>
      <c r="AB782" s="1995" t="str">
        <f t="shared" si="6"/>
        <v/>
      </c>
      <c r="AC782" s="1995" t="str">
        <f t="shared" si="7"/>
        <v/>
      </c>
      <c r="AD782" s="1995" t="str">
        <f t="shared" si="8"/>
        <v/>
      </c>
      <c r="AE782" s="1995" t="str">
        <f t="shared" si="9"/>
        <v/>
      </c>
      <c r="AF782" s="1995" t="str">
        <f t="shared" si="10"/>
        <v/>
      </c>
      <c r="AG782" s="1995" t="str">
        <f t="shared" si="11"/>
        <v/>
      </c>
      <c r="AH782" s="1995" t="str">
        <f t="shared" si="12"/>
        <v/>
      </c>
      <c r="AI782" s="1995" t="str">
        <f t="shared" si="13"/>
        <v/>
      </c>
      <c r="AJ782" s="1995" t="str">
        <f t="shared" si="14"/>
        <v/>
      </c>
      <c r="AK782" s="1995" t="str">
        <f t="shared" si="15"/>
        <v/>
      </c>
      <c r="AL782" s="1995" t="str">
        <f t="shared" si="16"/>
        <v/>
      </c>
      <c r="AM782" s="1995" t="str">
        <f t="shared" si="17"/>
        <v/>
      </c>
      <c r="AN782" s="1995" t="str">
        <f t="shared" si="18"/>
        <v/>
      </c>
      <c r="AO782" s="1995" t="str">
        <f t="shared" si="19"/>
        <v/>
      </c>
      <c r="AP782" s="1995" t="str">
        <f t="shared" si="20"/>
        <v/>
      </c>
      <c r="AQ782" s="1995" t="str">
        <f t="shared" si="21"/>
        <v/>
      </c>
      <c r="AR782" s="1995" t="str">
        <f t="shared" si="22"/>
        <v/>
      </c>
      <c r="AS782" s="1995" t="str">
        <f t="shared" si="23"/>
        <v/>
      </c>
      <c r="AT782" s="1995" t="str">
        <f t="shared" si="24"/>
        <v/>
      </c>
      <c r="AU782" s="1995" t="str">
        <f t="shared" si="25"/>
        <v/>
      </c>
      <c r="AV782" s="1995" t="str">
        <f t="shared" si="26"/>
        <v/>
      </c>
      <c r="AW782" s="1995" t="str">
        <f t="shared" si="27"/>
        <v/>
      </c>
      <c r="AX782" s="1995" t="str">
        <f t="shared" si="28"/>
        <v/>
      </c>
      <c r="AY782" s="1995" t="str">
        <f t="shared" si="29"/>
        <v/>
      </c>
      <c r="AZ782" s="1995" t="str">
        <f t="shared" si="30"/>
        <v/>
      </c>
      <c r="BA782" s="1995" t="str">
        <f t="shared" si="31"/>
        <v/>
      </c>
      <c r="BB782" s="1995" t="str">
        <f t="shared" si="32"/>
        <v/>
      </c>
      <c r="BC782" s="1995" t="str">
        <f t="shared" si="33"/>
        <v/>
      </c>
      <c r="BD782" s="1995" t="str">
        <f t="shared" si="34"/>
        <v/>
      </c>
      <c r="BE782" s="1995" t="str">
        <f t="shared" si="35"/>
        <v/>
      </c>
      <c r="BF782" s="1995" t="str">
        <f t="shared" si="36"/>
        <v/>
      </c>
      <c r="BG782" s="1995" t="str">
        <f t="shared" si="37"/>
        <v/>
      </c>
      <c r="BH782" s="1995" t="str">
        <f t="shared" si="38"/>
        <v/>
      </c>
      <c r="BI782" s="1995" t="str">
        <f t="shared" si="39"/>
        <v/>
      </c>
      <c r="BJ782" s="1995" t="str">
        <f t="shared" si="40"/>
        <v/>
      </c>
      <c r="BK782" s="1995" t="str">
        <f t="shared" si="41"/>
        <v/>
      </c>
      <c r="BL782" s="1995" t="str">
        <f t="shared" si="42"/>
        <v/>
      </c>
      <c r="BM782" s="1995" t="str">
        <f t="shared" si="43"/>
        <v/>
      </c>
      <c r="BN782" s="1995" t="str">
        <f t="shared" si="44"/>
        <v/>
      </c>
      <c r="BO782" s="1995" t="str">
        <f t="shared" si="45"/>
        <v/>
      </c>
      <c r="BP782" s="1995" t="str">
        <f t="shared" si="46"/>
        <v/>
      </c>
      <c r="BQ782" s="1995" t="str">
        <f t="shared" si="47"/>
        <v/>
      </c>
      <c r="BR782" s="1995" t="str">
        <f t="shared" si="48"/>
        <v/>
      </c>
      <c r="BS782" s="1995" t="str">
        <f t="shared" si="49"/>
        <v/>
      </c>
      <c r="BT782" s="1995" t="str">
        <f t="shared" si="50"/>
        <v/>
      </c>
      <c r="BU782" s="1995" t="str">
        <f t="shared" si="51"/>
        <v/>
      </c>
      <c r="BV782" s="1995" t="str">
        <f t="shared" si="52"/>
        <v/>
      </c>
      <c r="BW782" s="1995" t="str">
        <f t="shared" si="53"/>
        <v/>
      </c>
      <c r="BX782" s="1995" t="str">
        <f t="shared" si="54"/>
        <v/>
      </c>
      <c r="BY782" s="1995" t="str">
        <f t="shared" si="55"/>
        <v/>
      </c>
      <c r="BZ782" s="1995" t="str">
        <f t="shared" si="56"/>
        <v/>
      </c>
      <c r="CA782" s="1995" t="str">
        <f t="shared" si="57"/>
        <v/>
      </c>
      <c r="CB782" s="1995" t="str">
        <f t="shared" si="58"/>
        <v/>
      </c>
      <c r="CC782" s="1995" t="str">
        <f t="shared" si="59"/>
        <v/>
      </c>
      <c r="CD782" s="1995" t="str">
        <f t="shared" si="60"/>
        <v/>
      </c>
      <c r="CE782" s="1995" t="str">
        <f t="shared" si="61"/>
        <v/>
      </c>
      <c r="CF782" s="1995" t="str">
        <f t="shared" si="62"/>
        <v/>
      </c>
      <c r="CG782" s="1995" t="str">
        <f t="shared" si="63"/>
        <v/>
      </c>
      <c r="CH782" s="1995" t="str">
        <f t="shared" si="64"/>
        <v/>
      </c>
      <c r="CI782" s="1995" t="str">
        <f t="shared" si="65"/>
        <v/>
      </c>
      <c r="CJ782" s="1995" t="str">
        <f t="shared" si="66"/>
        <v/>
      </c>
      <c r="CK782" s="1995" t="str">
        <f t="shared" si="67"/>
        <v/>
      </c>
      <c r="CL782" s="1995" t="str">
        <f t="shared" si="68"/>
        <v/>
      </c>
      <c r="CM782" s="1995" t="str">
        <f t="shared" si="69"/>
        <v/>
      </c>
      <c r="CN782" s="1995" t="str">
        <f t="shared" si="70"/>
        <v/>
      </c>
      <c r="CO782" s="1995" t="str">
        <f t="shared" si="71"/>
        <v/>
      </c>
      <c r="CP782" s="1995" t="str">
        <f t="shared" si="72"/>
        <v/>
      </c>
      <c r="CQ782" s="1995" t="str">
        <f t="shared" si="73"/>
        <v/>
      </c>
      <c r="CR782" s="1995" t="str">
        <f t="shared" si="74"/>
        <v/>
      </c>
      <c r="CS782" s="1995" t="str">
        <f t="shared" si="75"/>
        <v/>
      </c>
      <c r="CT782" s="1995" t="str">
        <f t="shared" si="76"/>
        <v/>
      </c>
      <c r="CU782" s="1995" t="str">
        <f t="shared" si="77"/>
        <v/>
      </c>
      <c r="CV782" s="1995" t="str">
        <f t="shared" si="78"/>
        <v/>
      </c>
      <c r="CW782" s="1995" t="str">
        <f t="shared" si="79"/>
        <v/>
      </c>
      <c r="CX782" s="1995" t="str">
        <f t="shared" si="80"/>
        <v/>
      </c>
      <c r="CY782" s="1995" t="str">
        <f t="shared" si="81"/>
        <v/>
      </c>
      <c r="CZ782" s="1995" t="str">
        <f t="shared" si="82"/>
        <v/>
      </c>
      <c r="DA782" s="1995" t="str">
        <f t="shared" si="83"/>
        <v/>
      </c>
      <c r="DB782" s="1995" t="str">
        <f t="shared" si="84"/>
        <v/>
      </c>
      <c r="DC782" s="1995" t="str">
        <f t="shared" si="85"/>
        <v/>
      </c>
      <c r="DD782" s="1995" t="str">
        <f t="shared" si="86"/>
        <v/>
      </c>
      <c r="DE782" s="1995" t="str">
        <f t="shared" si="87"/>
        <v/>
      </c>
      <c r="DF782" s="1995" t="str">
        <f t="shared" si="88"/>
        <v/>
      </c>
      <c r="DG782" s="1995" t="str">
        <f t="shared" si="89"/>
        <v/>
      </c>
      <c r="DH782" s="1995" t="str">
        <f t="shared" si="90"/>
        <v/>
      </c>
      <c r="DI782" s="1995" t="str">
        <f t="shared" si="91"/>
        <v/>
      </c>
      <c r="DJ782" s="1995" t="str">
        <f t="shared" si="92"/>
        <v/>
      </c>
      <c r="DK782" s="1995" t="str">
        <f t="shared" si="93"/>
        <v/>
      </c>
      <c r="DL782" s="1995" t="str">
        <f t="shared" si="94"/>
        <v/>
      </c>
      <c r="DM782" s="1995" t="str">
        <f t="shared" si="95"/>
        <v/>
      </c>
      <c r="DN782" s="1995" t="str">
        <f t="shared" si="96"/>
        <v/>
      </c>
      <c r="DO782" s="1995" t="str">
        <f t="shared" si="97"/>
        <v/>
      </c>
      <c r="DP782" s="1995" t="str">
        <f t="shared" si="98"/>
        <v/>
      </c>
      <c r="DQ782" s="1995" t="str">
        <f t="shared" si="99"/>
        <v/>
      </c>
      <c r="DR782" s="1995" t="str">
        <f t="shared" si="100"/>
        <v/>
      </c>
      <c r="DS782" s="1995" t="str">
        <f t="shared" si="101"/>
        <v/>
      </c>
      <c r="DT782" s="1995" t="str">
        <f t="shared" si="102"/>
        <v/>
      </c>
      <c r="DU782" s="1995" t="str">
        <f t="shared" si="103"/>
        <v/>
      </c>
      <c r="DV782" s="1995" t="str">
        <f t="shared" si="104"/>
        <v/>
      </c>
      <c r="DW782" s="1995" t="str">
        <f t="shared" si="105"/>
        <v/>
      </c>
      <c r="DX782" s="1995" t="str">
        <f t="shared" si="106"/>
        <v/>
      </c>
      <c r="DY782" s="1995" t="str">
        <f t="shared" si="107"/>
        <v/>
      </c>
      <c r="DZ782" s="1995" t="str">
        <f t="shared" si="108"/>
        <v/>
      </c>
      <c r="EA782" s="1995" t="str">
        <f t="shared" si="109"/>
        <v/>
      </c>
      <c r="EB782" s="1995" t="str">
        <f t="shared" si="110"/>
        <v/>
      </c>
      <c r="EC782" s="1995" t="str">
        <f t="shared" si="111"/>
        <v/>
      </c>
      <c r="ED782" s="1995" t="str">
        <f t="shared" si="112"/>
        <v/>
      </c>
      <c r="EE782" s="1995" t="str">
        <f t="shared" si="113"/>
        <v/>
      </c>
      <c r="EF782" s="1995" t="str">
        <f t="shared" si="114"/>
        <v/>
      </c>
      <c r="EG782" s="1995" t="str">
        <f t="shared" si="115"/>
        <v/>
      </c>
      <c r="EH782" s="1995" t="str">
        <f t="shared" si="116"/>
        <v/>
      </c>
      <c r="EI782" s="1995" t="str">
        <f t="shared" si="117"/>
        <v/>
      </c>
      <c r="EJ782" s="1995" t="str">
        <f t="shared" si="118"/>
        <v/>
      </c>
      <c r="EK782" s="1995" t="str">
        <f t="shared" si="119"/>
        <v/>
      </c>
      <c r="EL782" s="1995" t="str">
        <f t="shared" si="120"/>
        <v/>
      </c>
      <c r="EM782" s="1995" t="str">
        <f t="shared" si="121"/>
        <v/>
      </c>
      <c r="EN782" s="1995" t="str">
        <f t="shared" si="122"/>
        <v/>
      </c>
      <c r="EO782" s="1995" t="str">
        <f t="shared" si="123"/>
        <v/>
      </c>
      <c r="EP782" s="1995" t="str">
        <f t="shared" si="124"/>
        <v/>
      </c>
      <c r="EQ782" s="1995" t="str">
        <f t="shared" si="125"/>
        <v/>
      </c>
      <c r="ER782" s="1995" t="str">
        <f t="shared" si="126"/>
        <v/>
      </c>
      <c r="ES782" s="1995" t="str">
        <f t="shared" si="127"/>
        <v/>
      </c>
      <c r="ET782" s="1995" t="str">
        <f t="shared" si="128"/>
        <v/>
      </c>
      <c r="EU782" s="1995" t="str">
        <f t="shared" si="129"/>
        <v/>
      </c>
      <c r="EV782" s="1995" t="str">
        <f t="shared" si="130"/>
        <v/>
      </c>
      <c r="EW782" s="1995" t="str">
        <f t="shared" si="131"/>
        <v/>
      </c>
      <c r="EX782" s="1995" t="str">
        <f t="shared" si="132"/>
        <v/>
      </c>
      <c r="EY782" s="1995" t="str">
        <f t="shared" si="133"/>
        <v/>
      </c>
      <c r="EZ782" s="1995" t="str">
        <f t="shared" si="134"/>
        <v/>
      </c>
      <c r="FA782" s="1995" t="str">
        <f t="shared" si="135"/>
        <v/>
      </c>
      <c r="FB782" s="1995" t="str">
        <f t="shared" si="136"/>
        <v/>
      </c>
      <c r="FC782" s="1995" t="str">
        <f t="shared" si="137"/>
        <v/>
      </c>
      <c r="FD782" s="1995" t="str">
        <f t="shared" si="138"/>
        <v/>
      </c>
      <c r="FE782" s="1995" t="str">
        <f t="shared" si="139"/>
        <v/>
      </c>
      <c r="FF782" s="1995" t="str">
        <f t="shared" si="140"/>
        <v/>
      </c>
      <c r="FG782" s="1995" t="str">
        <f t="shared" si="141"/>
        <v/>
      </c>
      <c r="FH782" s="1995" t="str">
        <f t="shared" si="142"/>
        <v/>
      </c>
      <c r="FI782" s="1995" t="str">
        <f t="shared" si="143"/>
        <v/>
      </c>
      <c r="FJ782" s="1995" t="str">
        <f t="shared" si="144"/>
        <v/>
      </c>
      <c r="FK782" s="1995" t="str">
        <f t="shared" si="145"/>
        <v/>
      </c>
      <c r="FL782" s="1995" t="str">
        <f t="shared" si="146"/>
        <v/>
      </c>
      <c r="FM782" s="1995" t="str">
        <f t="shared" si="147"/>
        <v/>
      </c>
      <c r="FN782" s="1995" t="str">
        <f t="shared" si="148"/>
        <v/>
      </c>
      <c r="FO782" s="1995" t="str">
        <f t="shared" si="149"/>
        <v/>
      </c>
      <c r="FP782" s="1995" t="str">
        <f t="shared" si="150"/>
        <v/>
      </c>
      <c r="FQ782" s="1995" t="str">
        <f t="shared" si="151"/>
        <v/>
      </c>
      <c r="FR782" s="1995" t="str">
        <f t="shared" si="152"/>
        <v/>
      </c>
      <c r="FS782" s="1995" t="str">
        <f t="shared" si="153"/>
        <v/>
      </c>
      <c r="FT782" s="1995" t="str">
        <f t="shared" si="154"/>
        <v/>
      </c>
      <c r="FU782" s="1995" t="str">
        <f t="shared" si="155"/>
        <v/>
      </c>
      <c r="FV782" s="1995" t="str">
        <f t="shared" si="156"/>
        <v/>
      </c>
      <c r="FW782" s="1995" t="str">
        <f t="shared" si="157"/>
        <v/>
      </c>
      <c r="FX782" s="1995" t="str">
        <f t="shared" si="158"/>
        <v/>
      </c>
      <c r="FY782" s="1995" t="str">
        <f t="shared" si="159"/>
        <v/>
      </c>
      <c r="FZ782" s="1995" t="str">
        <f t="shared" si="160"/>
        <v/>
      </c>
      <c r="GA782" s="1995" t="str">
        <f t="shared" si="161"/>
        <v/>
      </c>
      <c r="GB782" s="1995" t="str">
        <f t="shared" si="162"/>
        <v/>
      </c>
      <c r="GC782" s="1995" t="str">
        <f t="shared" si="163"/>
        <v/>
      </c>
      <c r="GD782" s="1995" t="str">
        <f t="shared" si="164"/>
        <v/>
      </c>
      <c r="GE782" s="1995" t="str">
        <f t="shared" si="165"/>
        <v/>
      </c>
      <c r="GF782" s="1995" t="str">
        <f t="shared" si="166"/>
        <v/>
      </c>
      <c r="GG782" s="1995" t="str">
        <f t="shared" si="167"/>
        <v/>
      </c>
      <c r="GH782" s="1995" t="str">
        <f t="shared" si="168"/>
        <v/>
      </c>
      <c r="GI782" s="1995" t="str">
        <f t="shared" si="169"/>
        <v/>
      </c>
      <c r="GJ782" s="1995" t="str">
        <f t="shared" si="170"/>
        <v/>
      </c>
      <c r="GK782" s="1995" t="str">
        <f t="shared" si="171"/>
        <v/>
      </c>
      <c r="GL782" s="1995" t="str">
        <f t="shared" si="172"/>
        <v/>
      </c>
      <c r="GM782" s="1995" t="str">
        <f t="shared" si="173"/>
        <v/>
      </c>
      <c r="GN782" s="1995" t="str">
        <f t="shared" si="174"/>
        <v/>
      </c>
      <c r="GO782" s="1995" t="str">
        <f t="shared" si="175"/>
        <v/>
      </c>
      <c r="GP782" s="1995" t="str">
        <f t="shared" si="176"/>
        <v/>
      </c>
      <c r="GQ782" s="1995" t="str">
        <f t="shared" si="177"/>
        <v/>
      </c>
      <c r="GR782" s="1995" t="str">
        <f t="shared" si="178"/>
        <v/>
      </c>
      <c r="GS782" s="1995" t="str">
        <f t="shared" si="179"/>
        <v/>
      </c>
      <c r="GT782" s="1995" t="str">
        <f t="shared" si="180"/>
        <v/>
      </c>
      <c r="GU782" s="1995" t="str">
        <f t="shared" si="181"/>
        <v/>
      </c>
      <c r="GV782" s="1995" t="str">
        <f t="shared" si="182"/>
        <v/>
      </c>
      <c r="GW782" s="1995" t="str">
        <f t="shared" si="183"/>
        <v/>
      </c>
      <c r="GX782" s="1995" t="str">
        <f t="shared" si="184"/>
        <v/>
      </c>
      <c r="GY782" s="1995" t="str">
        <f t="shared" si="185"/>
        <v/>
      </c>
      <c r="GZ782" s="1995" t="str">
        <f t="shared" si="186"/>
        <v/>
      </c>
      <c r="HA782" s="1995" t="str">
        <f t="shared" si="187"/>
        <v/>
      </c>
      <c r="HB782" s="1995" t="str">
        <f t="shared" si="188"/>
        <v/>
      </c>
      <c r="HC782" s="1995" t="str">
        <f t="shared" si="189"/>
        <v/>
      </c>
      <c r="HD782" s="1995" t="str">
        <f t="shared" si="190"/>
        <v/>
      </c>
      <c r="HE782" s="1995" t="str">
        <f t="shared" si="191"/>
        <v/>
      </c>
      <c r="HF782" s="1995" t="str">
        <f t="shared" si="192"/>
        <v/>
      </c>
      <c r="HG782" s="1995" t="str">
        <f t="shared" si="193"/>
        <v/>
      </c>
      <c r="HH782" s="1995" t="str">
        <f t="shared" si="194"/>
        <v/>
      </c>
      <c r="HI782" s="1995" t="str">
        <f t="shared" si="195"/>
        <v/>
      </c>
      <c r="HJ782" s="1995" t="str">
        <f t="shared" si="196"/>
        <v/>
      </c>
      <c r="HK782" s="1995" t="str">
        <f t="shared" si="197"/>
        <v/>
      </c>
      <c r="HL782" s="1995" t="str">
        <f t="shared" si="198"/>
        <v/>
      </c>
      <c r="HM782" s="1995" t="str">
        <f t="shared" si="199"/>
        <v/>
      </c>
      <c r="HN782" s="1995" t="str">
        <f t="shared" si="200"/>
        <v/>
      </c>
      <c r="HO782" s="1995" t="str">
        <f t="shared" si="201"/>
        <v/>
      </c>
      <c r="HP782" s="1995" t="str">
        <f t="shared" si="202"/>
        <v/>
      </c>
      <c r="HQ782" s="1995" t="str">
        <f t="shared" si="203"/>
        <v/>
      </c>
      <c r="HR782" s="1995" t="str">
        <f t="shared" si="204"/>
        <v/>
      </c>
      <c r="HS782" s="1995" t="str">
        <f t="shared" si="205"/>
        <v/>
      </c>
      <c r="HT782" s="1995" t="str">
        <f t="shared" si="206"/>
        <v/>
      </c>
      <c r="HU782" s="1995" t="str">
        <f t="shared" si="207"/>
        <v/>
      </c>
      <c r="HV782" s="1995" t="str">
        <f t="shared" si="208"/>
        <v/>
      </c>
      <c r="HW782" s="1995" t="str">
        <f t="shared" si="209"/>
        <v/>
      </c>
      <c r="HX782" s="1995" t="str">
        <f t="shared" si="210"/>
        <v/>
      </c>
      <c r="HY782" s="1995" t="str">
        <f t="shared" si="211"/>
        <v/>
      </c>
      <c r="HZ782" s="1900" t="str">
        <f t="shared" si="212"/>
        <v/>
      </c>
      <c r="IA782" s="1900" t="str">
        <f t="shared" si="213"/>
        <v/>
      </c>
      <c r="IB782" s="1900" t="str">
        <f t="shared" si="214"/>
        <v/>
      </c>
      <c r="IC782" s="1900" t="str">
        <f t="shared" si="215"/>
        <v/>
      </c>
      <c r="ID782" s="1900" t="str">
        <f t="shared" si="216"/>
        <v/>
      </c>
      <c r="IE782" s="1900" t="str">
        <f t="shared" si="217"/>
        <v/>
      </c>
      <c r="IF782" s="1900" t="str">
        <f t="shared" si="218"/>
        <v/>
      </c>
      <c r="IG782" s="1900" t="str">
        <f t="shared" si="219"/>
        <v/>
      </c>
      <c r="IH782" s="1900" t="str">
        <f t="shared" si="220"/>
        <v/>
      </c>
      <c r="II782" s="1900" t="str">
        <f t="shared" si="221"/>
        <v/>
      </c>
      <c r="IJ782" s="1900" t="str">
        <f t="shared" si="222"/>
        <v/>
      </c>
      <c r="IK782" s="1900" t="str">
        <f t="shared" si="223"/>
        <v/>
      </c>
      <c r="IL782" s="1900" t="str">
        <f t="shared" si="224"/>
        <v/>
      </c>
      <c r="IM782" s="1900" t="str">
        <f t="shared" si="225"/>
        <v/>
      </c>
      <c r="IN782" s="1900" t="str">
        <f t="shared" si="226"/>
        <v/>
      </c>
      <c r="IO782" s="1900" t="str">
        <f t="shared" si="227"/>
        <v/>
      </c>
      <c r="IP782" s="1900" t="str">
        <f t="shared" si="228"/>
        <v/>
      </c>
      <c r="IQ782" s="1900" t="str">
        <f t="shared" si="229"/>
        <v/>
      </c>
      <c r="IR782" s="1900" t="str">
        <f t="shared" si="230"/>
        <v/>
      </c>
      <c r="IS782" s="1900" t="str">
        <f t="shared" si="231"/>
        <v/>
      </c>
      <c r="IT782" s="1900" t="str">
        <f t="shared" si="232"/>
        <v/>
      </c>
      <c r="IU782" s="1900" t="str">
        <f t="shared" si="233"/>
        <v/>
      </c>
      <c r="IV782" s="1900" t="str">
        <f t="shared" si="234"/>
        <v/>
      </c>
      <c r="IW782" s="1900" t="str">
        <f t="shared" si="235"/>
        <v/>
      </c>
      <c r="IX782" s="1900" t="str">
        <f t="shared" si="236"/>
        <v/>
      </c>
      <c r="IY782" s="1900" t="str">
        <f t="shared" si="237"/>
        <v/>
      </c>
      <c r="IZ782" s="1900" t="str">
        <f t="shared" si="238"/>
        <v/>
      </c>
      <c r="JA782" s="1900" t="str">
        <f t="shared" si="239"/>
        <v/>
      </c>
      <c r="JB782" s="1900" t="str">
        <f t="shared" si="240"/>
        <v/>
      </c>
      <c r="JC782" s="1900" t="str">
        <f t="shared" si="241"/>
        <v/>
      </c>
      <c r="JD782" s="1900" t="str">
        <f t="shared" si="242"/>
        <v/>
      </c>
      <c r="JE782" s="1900" t="str">
        <f t="shared" si="243"/>
        <v/>
      </c>
      <c r="JF782" s="1900" t="str">
        <f t="shared" si="244"/>
        <v/>
      </c>
      <c r="JG782" s="1900" t="str">
        <f t="shared" si="245"/>
        <v/>
      </c>
      <c r="JH782" s="1900" t="str">
        <f t="shared" si="246"/>
        <v/>
      </c>
      <c r="JI782" s="1900" t="str">
        <f t="shared" si="247"/>
        <v/>
      </c>
      <c r="JJ782" s="1900" t="str">
        <f t="shared" si="248"/>
        <v/>
      </c>
      <c r="JK782" s="1900" t="str">
        <f t="shared" si="249"/>
        <v/>
      </c>
      <c r="JL782" s="1900" t="str">
        <f t="shared" si="250"/>
        <v/>
      </c>
      <c r="JM782" s="1900" t="str">
        <f t="shared" si="251"/>
        <v/>
      </c>
      <c r="JN782" s="1900" t="str">
        <f t="shared" si="252"/>
        <v/>
      </c>
      <c r="JO782" s="1900" t="str">
        <f t="shared" si="253"/>
        <v/>
      </c>
      <c r="JP782" s="1900" t="str">
        <f t="shared" si="254"/>
        <v/>
      </c>
      <c r="JQ782" s="1900" t="str">
        <f t="shared" si="255"/>
        <v/>
      </c>
      <c r="JR782" s="1900" t="str">
        <f t="shared" si="256"/>
        <v/>
      </c>
      <c r="JS782" s="1900" t="str">
        <f t="shared" si="257"/>
        <v/>
      </c>
      <c r="JT782" s="1900" t="str">
        <f t="shared" si="258"/>
        <v/>
      </c>
      <c r="JU782" s="1900" t="str">
        <f t="shared" si="259"/>
        <v/>
      </c>
      <c r="JV782" s="1900" t="str">
        <f t="shared" si="260"/>
        <v/>
      </c>
      <c r="JW782" s="1900" t="str">
        <f t="shared" si="261"/>
        <v/>
      </c>
      <c r="JX782" s="1900" t="str">
        <f t="shared" si="262"/>
        <v/>
      </c>
      <c r="JY782" s="1900" t="str">
        <f t="shared" si="263"/>
        <v/>
      </c>
      <c r="JZ782" s="1900" t="str">
        <f t="shared" si="264"/>
        <v/>
      </c>
      <c r="KA782" s="1900" t="str">
        <f t="shared" si="265"/>
        <v/>
      </c>
      <c r="KB782" s="1900" t="str">
        <f t="shared" si="266"/>
        <v/>
      </c>
      <c r="KC782" s="1900" t="str">
        <f t="shared" si="267"/>
        <v/>
      </c>
      <c r="KD782" s="1900" t="str">
        <f t="shared" si="268"/>
        <v/>
      </c>
      <c r="KE782" s="1900" t="str">
        <f t="shared" si="269"/>
        <v/>
      </c>
      <c r="KF782" s="1900" t="str">
        <f t="shared" si="270"/>
        <v/>
      </c>
      <c r="KG782" s="1900" t="str">
        <f t="shared" si="271"/>
        <v/>
      </c>
      <c r="KH782" s="1900" t="str">
        <f t="shared" si="272"/>
        <v/>
      </c>
      <c r="KI782" s="1900" t="str">
        <f t="shared" si="273"/>
        <v/>
      </c>
      <c r="KJ782" s="1900" t="str">
        <f t="shared" si="274"/>
        <v/>
      </c>
      <c r="KK782" s="1900" t="str">
        <f t="shared" si="275"/>
        <v/>
      </c>
      <c r="KL782" s="1900" t="str">
        <f t="shared" si="276"/>
        <v/>
      </c>
      <c r="KM782" s="1900" t="str">
        <f t="shared" si="277"/>
        <v/>
      </c>
      <c r="KN782" s="1900" t="str">
        <f t="shared" si="278"/>
        <v/>
      </c>
      <c r="KO782" s="1900" t="str">
        <f t="shared" si="279"/>
        <v/>
      </c>
      <c r="KP782" s="1900" t="str">
        <f t="shared" si="280"/>
        <v/>
      </c>
      <c r="KQ782" s="1900" t="str">
        <f t="shared" si="281"/>
        <v/>
      </c>
      <c r="KR782" s="1900" t="str">
        <f t="shared" si="282"/>
        <v/>
      </c>
      <c r="KS782" s="1900" t="str">
        <f t="shared" si="283"/>
        <v/>
      </c>
      <c r="KT782" s="1900" t="str">
        <f t="shared" si="284"/>
        <v/>
      </c>
      <c r="KU782" s="1900" t="str">
        <f t="shared" si="285"/>
        <v/>
      </c>
      <c r="KV782" s="1900" t="str">
        <f t="shared" si="286"/>
        <v/>
      </c>
      <c r="KW782" s="1900" t="str">
        <f t="shared" si="287"/>
        <v/>
      </c>
      <c r="KX782" s="1900" t="str">
        <f t="shared" si="288"/>
        <v/>
      </c>
      <c r="KY782" s="1900" t="str">
        <f t="shared" si="289"/>
        <v/>
      </c>
      <c r="KZ782" s="1900" t="str">
        <f t="shared" si="290"/>
        <v/>
      </c>
      <c r="LA782" s="1900" t="str">
        <f t="shared" si="291"/>
        <v/>
      </c>
      <c r="LB782" s="1900" t="str">
        <f t="shared" si="292"/>
        <v/>
      </c>
      <c r="LC782" s="1900" t="str">
        <f t="shared" si="293"/>
        <v/>
      </c>
      <c r="LD782" s="1900" t="str">
        <f t="shared" si="294"/>
        <v/>
      </c>
      <c r="LE782" s="1900" t="str">
        <f t="shared" si="295"/>
        <v/>
      </c>
      <c r="LF782" s="1900" t="str">
        <f t="shared" si="296"/>
        <v/>
      </c>
      <c r="LG782" s="1900" t="str">
        <f t="shared" si="297"/>
        <v/>
      </c>
      <c r="LH782" s="1900" t="str">
        <f t="shared" si="298"/>
        <v/>
      </c>
      <c r="LI782" s="1900" t="str">
        <f t="shared" si="299"/>
        <v/>
      </c>
      <c r="LJ782" s="1900" t="str">
        <f t="shared" si="300"/>
        <v/>
      </c>
      <c r="LK782" s="1900" t="str">
        <f t="shared" si="301"/>
        <v/>
      </c>
      <c r="LL782" s="1900" t="str">
        <f t="shared" si="302"/>
        <v/>
      </c>
      <c r="LM782" s="1900" t="str">
        <f t="shared" si="303"/>
        <v/>
      </c>
      <c r="LN782" s="1900" t="str">
        <f t="shared" si="304"/>
        <v/>
      </c>
      <c r="LO782" s="1900" t="str">
        <f t="shared" si="305"/>
        <v/>
      </c>
      <c r="LP782" s="1900" t="str">
        <f t="shared" si="306"/>
        <v/>
      </c>
      <c r="LQ782" s="1874" t="str">
        <f t="shared" si="307"/>
        <v/>
      </c>
      <c r="LR782" s="1874" t="str">
        <f t="shared" si="308"/>
        <v/>
      </c>
      <c r="LS782" s="1874" t="str">
        <f t="shared" si="309"/>
        <v/>
      </c>
      <c r="LT782" s="1874" t="str">
        <f t="shared" si="310"/>
        <v/>
      </c>
      <c r="LU782" s="1874" t="str">
        <f t="shared" si="311"/>
        <v/>
      </c>
      <c r="LV782" s="1995" t="str">
        <f t="shared" si="312"/>
        <v/>
      </c>
      <c r="LW782" s="1995" t="str">
        <f t="shared" si="313"/>
        <v/>
      </c>
      <c r="LX782" s="1995" t="str">
        <f t="shared" si="314"/>
        <v/>
      </c>
      <c r="LY782" s="1995" t="str">
        <f t="shared" si="315"/>
        <v/>
      </c>
      <c r="LZ782" s="1995" t="str">
        <f t="shared" si="316"/>
        <v/>
      </c>
      <c r="MA782" s="1995" t="str">
        <f t="shared" si="317"/>
        <v/>
      </c>
      <c r="MB782" s="1995" t="str">
        <f t="shared" si="318"/>
        <v/>
      </c>
      <c r="MC782" s="1995" t="str">
        <f t="shared" si="319"/>
        <v/>
      </c>
      <c r="MD782" s="1995" t="str">
        <f t="shared" si="320"/>
        <v/>
      </c>
      <c r="ME782" s="1995" t="str">
        <f t="shared" si="321"/>
        <v/>
      </c>
      <c r="MF782" s="1995" t="str">
        <f t="shared" si="322"/>
        <v/>
      </c>
      <c r="MG782" s="1995" t="str">
        <f t="shared" si="323"/>
        <v/>
      </c>
      <c r="MH782" s="1995" t="str">
        <f t="shared" si="324"/>
        <v/>
      </c>
      <c r="MI782" s="1995" t="str">
        <f t="shared" si="325"/>
        <v/>
      </c>
      <c r="MJ782" s="1995" t="str">
        <f t="shared" si="326"/>
        <v/>
      </c>
      <c r="MK782" s="1995" t="str">
        <f t="shared" si="327"/>
        <v/>
      </c>
      <c r="ML782" s="1995" t="str">
        <f t="shared" si="328"/>
        <v/>
      </c>
      <c r="MM782" s="1995" t="str">
        <f t="shared" si="329"/>
        <v/>
      </c>
      <c r="MN782" s="1995" t="str">
        <f t="shared" si="330"/>
        <v/>
      </c>
      <c r="MO782" s="1995" t="str">
        <f t="shared" si="331"/>
        <v/>
      </c>
      <c r="MP782" s="1874">
        <f t="shared" si="338"/>
        <v>0</v>
      </c>
      <c r="MQ782" s="1874">
        <f t="shared" si="339"/>
        <v>0</v>
      </c>
      <c r="MR782" s="1874">
        <f t="shared" si="340"/>
        <v>0</v>
      </c>
      <c r="MS782" s="1874">
        <f t="shared" si="341"/>
        <v>0</v>
      </c>
      <c r="MT782" s="1874">
        <f t="shared" si="342"/>
        <v>0</v>
      </c>
      <c r="MU782" s="1874">
        <f t="shared" si="343"/>
        <v>0</v>
      </c>
      <c r="MV782" s="1874">
        <f t="shared" si="344"/>
        <v>0</v>
      </c>
      <c r="MW782" s="1874">
        <f t="shared" si="345"/>
        <v>0</v>
      </c>
      <c r="MX782" s="1874">
        <f t="shared" si="346"/>
        <v>0</v>
      </c>
      <c r="MY782" s="1874">
        <f t="shared" si="347"/>
        <v>0</v>
      </c>
      <c r="MZ782" s="1874">
        <f t="shared" si="332"/>
        <v>0</v>
      </c>
      <c r="NA782" s="1874">
        <f t="shared" si="333"/>
        <v>0</v>
      </c>
      <c r="NB782" s="1874">
        <f t="shared" si="334"/>
        <v>0</v>
      </c>
      <c r="NC782" s="1874">
        <f t="shared" si="335"/>
        <v>0</v>
      </c>
      <c r="ND782" s="1874">
        <f t="shared" si="336"/>
        <v>0</v>
      </c>
    </row>
    <row r="783" spans="1:368" ht="13.95" customHeight="1">
      <c r="A783" s="1896" t="str">
        <f t="shared" si="337"/>
        <v/>
      </c>
      <c r="B783" s="2212" t="str">
        <f>'Part VI-Revenues &amp; Expenses'!B14</f>
        <v>Unrestricted</v>
      </c>
      <c r="C783" s="2213">
        <f>'Part VI-Revenues &amp; Expenses'!C14</f>
        <v>0</v>
      </c>
      <c r="D783" s="2214">
        <f>'Part VI-Revenues &amp; Expenses'!D14</f>
        <v>0</v>
      </c>
      <c r="E783" s="2215">
        <f>'Part VI-Revenues &amp; Expenses'!E14</f>
        <v>0</v>
      </c>
      <c r="F783" s="2215">
        <f>'Part VI-Revenues &amp; Expenses'!F14</f>
        <v>0</v>
      </c>
      <c r="G783" s="2215">
        <f>'Part VI-Revenues &amp; Expenses'!G14</f>
        <v>0</v>
      </c>
      <c r="H783" s="2215">
        <f>'Part VI-Revenues &amp; Expenses'!H14</f>
        <v>0</v>
      </c>
      <c r="I783" s="2215">
        <f>'Part VI-Revenues &amp; Expenses'!I14</f>
        <v>0</v>
      </c>
      <c r="J783" s="2215">
        <f>'Part VI-Revenues &amp; Expenses'!J14</f>
        <v>0</v>
      </c>
      <c r="K783" s="2216">
        <f>'Part VI-Revenues &amp; Expenses'!K14</f>
        <v>0</v>
      </c>
      <c r="L783" s="1899">
        <f t="shared" si="0"/>
        <v>0</v>
      </c>
      <c r="M783" s="1899">
        <f t="shared" si="1"/>
        <v>0</v>
      </c>
      <c r="N783" s="2074">
        <f>'Part VI-Revenues &amp; Expenses'!N14</f>
        <v>0</v>
      </c>
      <c r="O783" s="2074">
        <f>'Part VI-Revenues &amp; Expenses'!O14</f>
        <v>0</v>
      </c>
      <c r="P783" s="2074">
        <f>'Part VI-Revenues &amp; Expenses'!P14</f>
        <v>0</v>
      </c>
      <c r="Q783" s="1732">
        <f>'Part VI-Revenues &amp; Expenses'!Q14</f>
        <v>0</v>
      </c>
      <c r="R783" s="1926"/>
      <c r="S783" s="2148"/>
      <c r="T783" s="1910"/>
      <c r="U783" s="1910"/>
      <c r="V783" s="1910"/>
      <c r="W783" s="1910"/>
      <c r="X783" s="1995" t="str">
        <f t="shared" si="2"/>
        <v/>
      </c>
      <c r="Y783" s="1995" t="str">
        <f t="shared" si="3"/>
        <v/>
      </c>
      <c r="Z783" s="1995" t="str">
        <f t="shared" si="4"/>
        <v/>
      </c>
      <c r="AA783" s="1995" t="str">
        <f t="shared" si="5"/>
        <v/>
      </c>
      <c r="AB783" s="1995" t="str">
        <f t="shared" si="6"/>
        <v/>
      </c>
      <c r="AC783" s="1995" t="str">
        <f t="shared" si="7"/>
        <v/>
      </c>
      <c r="AD783" s="1995" t="str">
        <f t="shared" si="8"/>
        <v/>
      </c>
      <c r="AE783" s="1995" t="str">
        <f t="shared" si="9"/>
        <v/>
      </c>
      <c r="AF783" s="1995" t="str">
        <f t="shared" si="10"/>
        <v/>
      </c>
      <c r="AG783" s="1995" t="str">
        <f t="shared" si="11"/>
        <v/>
      </c>
      <c r="AH783" s="1995" t="str">
        <f t="shared" si="12"/>
        <v/>
      </c>
      <c r="AI783" s="1995" t="str">
        <f t="shared" si="13"/>
        <v/>
      </c>
      <c r="AJ783" s="1995" t="str">
        <f t="shared" si="14"/>
        <v/>
      </c>
      <c r="AK783" s="1995" t="str">
        <f t="shared" si="15"/>
        <v/>
      </c>
      <c r="AL783" s="1995" t="str">
        <f t="shared" si="16"/>
        <v/>
      </c>
      <c r="AM783" s="1995" t="str">
        <f t="shared" si="17"/>
        <v/>
      </c>
      <c r="AN783" s="1995" t="str">
        <f t="shared" si="18"/>
        <v/>
      </c>
      <c r="AO783" s="1995" t="str">
        <f t="shared" si="19"/>
        <v/>
      </c>
      <c r="AP783" s="1995" t="str">
        <f t="shared" si="20"/>
        <v/>
      </c>
      <c r="AQ783" s="1995" t="str">
        <f t="shared" si="21"/>
        <v/>
      </c>
      <c r="AR783" s="1995" t="str">
        <f t="shared" si="22"/>
        <v/>
      </c>
      <c r="AS783" s="1995" t="str">
        <f t="shared" si="23"/>
        <v/>
      </c>
      <c r="AT783" s="1995" t="str">
        <f t="shared" si="24"/>
        <v/>
      </c>
      <c r="AU783" s="1995" t="str">
        <f t="shared" si="25"/>
        <v/>
      </c>
      <c r="AV783" s="1995" t="str">
        <f t="shared" si="26"/>
        <v/>
      </c>
      <c r="AW783" s="1995" t="str">
        <f t="shared" si="27"/>
        <v/>
      </c>
      <c r="AX783" s="1995" t="str">
        <f t="shared" si="28"/>
        <v/>
      </c>
      <c r="AY783" s="1995" t="str">
        <f t="shared" si="29"/>
        <v/>
      </c>
      <c r="AZ783" s="1995" t="str">
        <f t="shared" si="30"/>
        <v/>
      </c>
      <c r="BA783" s="1995" t="str">
        <f t="shared" si="31"/>
        <v/>
      </c>
      <c r="BB783" s="1995" t="str">
        <f t="shared" si="32"/>
        <v/>
      </c>
      <c r="BC783" s="1995" t="str">
        <f t="shared" si="33"/>
        <v/>
      </c>
      <c r="BD783" s="1995" t="str">
        <f t="shared" si="34"/>
        <v/>
      </c>
      <c r="BE783" s="1995" t="str">
        <f t="shared" si="35"/>
        <v/>
      </c>
      <c r="BF783" s="1995" t="str">
        <f t="shared" si="36"/>
        <v/>
      </c>
      <c r="BG783" s="1995" t="str">
        <f t="shared" si="37"/>
        <v/>
      </c>
      <c r="BH783" s="1995" t="str">
        <f t="shared" si="38"/>
        <v/>
      </c>
      <c r="BI783" s="1995" t="str">
        <f t="shared" si="39"/>
        <v/>
      </c>
      <c r="BJ783" s="1995" t="str">
        <f t="shared" si="40"/>
        <v/>
      </c>
      <c r="BK783" s="1995" t="str">
        <f t="shared" si="41"/>
        <v/>
      </c>
      <c r="BL783" s="1995" t="str">
        <f t="shared" si="42"/>
        <v/>
      </c>
      <c r="BM783" s="1995" t="str">
        <f t="shared" si="43"/>
        <v/>
      </c>
      <c r="BN783" s="1995" t="str">
        <f t="shared" si="44"/>
        <v/>
      </c>
      <c r="BO783" s="1995" t="str">
        <f t="shared" si="45"/>
        <v/>
      </c>
      <c r="BP783" s="1995" t="str">
        <f t="shared" si="46"/>
        <v/>
      </c>
      <c r="BQ783" s="1995" t="str">
        <f t="shared" si="47"/>
        <v/>
      </c>
      <c r="BR783" s="1995" t="str">
        <f t="shared" si="48"/>
        <v/>
      </c>
      <c r="BS783" s="1995" t="str">
        <f t="shared" si="49"/>
        <v/>
      </c>
      <c r="BT783" s="1995" t="str">
        <f t="shared" si="50"/>
        <v/>
      </c>
      <c r="BU783" s="1995" t="str">
        <f t="shared" si="51"/>
        <v/>
      </c>
      <c r="BV783" s="1995" t="str">
        <f t="shared" si="52"/>
        <v/>
      </c>
      <c r="BW783" s="1995" t="str">
        <f t="shared" si="53"/>
        <v/>
      </c>
      <c r="BX783" s="1995" t="str">
        <f t="shared" si="54"/>
        <v/>
      </c>
      <c r="BY783" s="1995" t="str">
        <f t="shared" si="55"/>
        <v/>
      </c>
      <c r="BZ783" s="1995" t="str">
        <f t="shared" si="56"/>
        <v/>
      </c>
      <c r="CA783" s="1995" t="str">
        <f t="shared" si="57"/>
        <v/>
      </c>
      <c r="CB783" s="1995" t="str">
        <f t="shared" si="58"/>
        <v/>
      </c>
      <c r="CC783" s="1995" t="str">
        <f t="shared" si="59"/>
        <v/>
      </c>
      <c r="CD783" s="1995" t="str">
        <f t="shared" si="60"/>
        <v/>
      </c>
      <c r="CE783" s="1995" t="str">
        <f t="shared" si="61"/>
        <v/>
      </c>
      <c r="CF783" s="1995" t="str">
        <f t="shared" si="62"/>
        <v/>
      </c>
      <c r="CG783" s="1995" t="str">
        <f t="shared" si="63"/>
        <v/>
      </c>
      <c r="CH783" s="1995" t="str">
        <f t="shared" si="64"/>
        <v/>
      </c>
      <c r="CI783" s="1995" t="str">
        <f t="shared" si="65"/>
        <v/>
      </c>
      <c r="CJ783" s="1995" t="str">
        <f t="shared" si="66"/>
        <v/>
      </c>
      <c r="CK783" s="1995" t="str">
        <f t="shared" si="67"/>
        <v/>
      </c>
      <c r="CL783" s="1995" t="str">
        <f t="shared" si="68"/>
        <v/>
      </c>
      <c r="CM783" s="1995" t="str">
        <f t="shared" si="69"/>
        <v/>
      </c>
      <c r="CN783" s="1995" t="str">
        <f t="shared" si="70"/>
        <v/>
      </c>
      <c r="CO783" s="1995" t="str">
        <f t="shared" si="71"/>
        <v/>
      </c>
      <c r="CP783" s="1995" t="str">
        <f t="shared" si="72"/>
        <v/>
      </c>
      <c r="CQ783" s="1995" t="str">
        <f t="shared" si="73"/>
        <v/>
      </c>
      <c r="CR783" s="1995" t="str">
        <f t="shared" si="74"/>
        <v/>
      </c>
      <c r="CS783" s="1995" t="str">
        <f t="shared" si="75"/>
        <v/>
      </c>
      <c r="CT783" s="1995" t="str">
        <f t="shared" si="76"/>
        <v/>
      </c>
      <c r="CU783" s="1995" t="str">
        <f t="shared" si="77"/>
        <v/>
      </c>
      <c r="CV783" s="1995" t="str">
        <f t="shared" si="78"/>
        <v/>
      </c>
      <c r="CW783" s="1995" t="str">
        <f t="shared" si="79"/>
        <v/>
      </c>
      <c r="CX783" s="1995" t="str">
        <f t="shared" si="80"/>
        <v/>
      </c>
      <c r="CY783" s="1995" t="str">
        <f t="shared" si="81"/>
        <v/>
      </c>
      <c r="CZ783" s="1995" t="str">
        <f t="shared" si="82"/>
        <v/>
      </c>
      <c r="DA783" s="1995" t="str">
        <f t="shared" si="83"/>
        <v/>
      </c>
      <c r="DB783" s="1995" t="str">
        <f t="shared" si="84"/>
        <v/>
      </c>
      <c r="DC783" s="1995" t="str">
        <f t="shared" si="85"/>
        <v/>
      </c>
      <c r="DD783" s="1995" t="str">
        <f t="shared" si="86"/>
        <v/>
      </c>
      <c r="DE783" s="1995" t="str">
        <f t="shared" si="87"/>
        <v/>
      </c>
      <c r="DF783" s="1995" t="str">
        <f t="shared" si="88"/>
        <v/>
      </c>
      <c r="DG783" s="1995" t="str">
        <f t="shared" si="89"/>
        <v/>
      </c>
      <c r="DH783" s="1995" t="str">
        <f t="shared" si="90"/>
        <v/>
      </c>
      <c r="DI783" s="1995" t="str">
        <f t="shared" si="91"/>
        <v/>
      </c>
      <c r="DJ783" s="1995" t="str">
        <f t="shared" si="92"/>
        <v/>
      </c>
      <c r="DK783" s="1995" t="str">
        <f t="shared" si="93"/>
        <v/>
      </c>
      <c r="DL783" s="1995" t="str">
        <f t="shared" si="94"/>
        <v/>
      </c>
      <c r="DM783" s="1995" t="str">
        <f t="shared" si="95"/>
        <v/>
      </c>
      <c r="DN783" s="1995" t="str">
        <f t="shared" si="96"/>
        <v/>
      </c>
      <c r="DO783" s="1995" t="str">
        <f t="shared" si="97"/>
        <v/>
      </c>
      <c r="DP783" s="1995" t="str">
        <f t="shared" si="98"/>
        <v/>
      </c>
      <c r="DQ783" s="1995" t="str">
        <f t="shared" si="99"/>
        <v/>
      </c>
      <c r="DR783" s="1995" t="str">
        <f t="shared" si="100"/>
        <v/>
      </c>
      <c r="DS783" s="1995" t="str">
        <f t="shared" si="101"/>
        <v/>
      </c>
      <c r="DT783" s="1995" t="str">
        <f t="shared" si="102"/>
        <v/>
      </c>
      <c r="DU783" s="1995" t="str">
        <f t="shared" si="103"/>
        <v/>
      </c>
      <c r="DV783" s="1995" t="str">
        <f t="shared" si="104"/>
        <v/>
      </c>
      <c r="DW783" s="1995" t="str">
        <f t="shared" si="105"/>
        <v/>
      </c>
      <c r="DX783" s="1995" t="str">
        <f t="shared" si="106"/>
        <v/>
      </c>
      <c r="DY783" s="1995" t="str">
        <f t="shared" si="107"/>
        <v/>
      </c>
      <c r="DZ783" s="1995" t="str">
        <f t="shared" si="108"/>
        <v/>
      </c>
      <c r="EA783" s="1995" t="str">
        <f t="shared" si="109"/>
        <v/>
      </c>
      <c r="EB783" s="1995" t="str">
        <f t="shared" si="110"/>
        <v/>
      </c>
      <c r="EC783" s="1995" t="str">
        <f t="shared" si="111"/>
        <v/>
      </c>
      <c r="ED783" s="1995" t="str">
        <f t="shared" si="112"/>
        <v/>
      </c>
      <c r="EE783" s="1995" t="str">
        <f t="shared" si="113"/>
        <v/>
      </c>
      <c r="EF783" s="1995" t="str">
        <f t="shared" si="114"/>
        <v/>
      </c>
      <c r="EG783" s="1995" t="str">
        <f t="shared" si="115"/>
        <v/>
      </c>
      <c r="EH783" s="1995" t="str">
        <f t="shared" si="116"/>
        <v/>
      </c>
      <c r="EI783" s="1995" t="str">
        <f t="shared" si="117"/>
        <v/>
      </c>
      <c r="EJ783" s="1995" t="str">
        <f t="shared" si="118"/>
        <v/>
      </c>
      <c r="EK783" s="1995" t="str">
        <f t="shared" si="119"/>
        <v/>
      </c>
      <c r="EL783" s="1995" t="str">
        <f t="shared" si="120"/>
        <v/>
      </c>
      <c r="EM783" s="1995" t="str">
        <f t="shared" si="121"/>
        <v/>
      </c>
      <c r="EN783" s="1995" t="str">
        <f t="shared" si="122"/>
        <v/>
      </c>
      <c r="EO783" s="1995" t="str">
        <f t="shared" si="123"/>
        <v/>
      </c>
      <c r="EP783" s="1995" t="str">
        <f t="shared" si="124"/>
        <v/>
      </c>
      <c r="EQ783" s="1995" t="str">
        <f t="shared" si="125"/>
        <v/>
      </c>
      <c r="ER783" s="1995" t="str">
        <f t="shared" si="126"/>
        <v/>
      </c>
      <c r="ES783" s="1995" t="str">
        <f t="shared" si="127"/>
        <v/>
      </c>
      <c r="ET783" s="1995" t="str">
        <f t="shared" si="128"/>
        <v/>
      </c>
      <c r="EU783" s="1995" t="str">
        <f t="shared" si="129"/>
        <v/>
      </c>
      <c r="EV783" s="1995" t="str">
        <f t="shared" si="130"/>
        <v/>
      </c>
      <c r="EW783" s="1995" t="str">
        <f t="shared" si="131"/>
        <v/>
      </c>
      <c r="EX783" s="1995" t="str">
        <f t="shared" si="132"/>
        <v/>
      </c>
      <c r="EY783" s="1995" t="str">
        <f t="shared" si="133"/>
        <v/>
      </c>
      <c r="EZ783" s="1995" t="str">
        <f t="shared" si="134"/>
        <v/>
      </c>
      <c r="FA783" s="1995" t="str">
        <f t="shared" si="135"/>
        <v/>
      </c>
      <c r="FB783" s="1995" t="str">
        <f t="shared" si="136"/>
        <v/>
      </c>
      <c r="FC783" s="1995" t="str">
        <f t="shared" si="137"/>
        <v/>
      </c>
      <c r="FD783" s="1995" t="str">
        <f t="shared" si="138"/>
        <v/>
      </c>
      <c r="FE783" s="1995" t="str">
        <f t="shared" si="139"/>
        <v/>
      </c>
      <c r="FF783" s="1995" t="str">
        <f t="shared" si="140"/>
        <v/>
      </c>
      <c r="FG783" s="1995" t="str">
        <f t="shared" si="141"/>
        <v/>
      </c>
      <c r="FH783" s="1995" t="str">
        <f t="shared" si="142"/>
        <v/>
      </c>
      <c r="FI783" s="1995" t="str">
        <f t="shared" si="143"/>
        <v/>
      </c>
      <c r="FJ783" s="1995" t="str">
        <f t="shared" si="144"/>
        <v/>
      </c>
      <c r="FK783" s="1995" t="str">
        <f t="shared" si="145"/>
        <v/>
      </c>
      <c r="FL783" s="1995" t="str">
        <f t="shared" si="146"/>
        <v/>
      </c>
      <c r="FM783" s="1995" t="str">
        <f t="shared" si="147"/>
        <v/>
      </c>
      <c r="FN783" s="1995" t="str">
        <f t="shared" si="148"/>
        <v/>
      </c>
      <c r="FO783" s="1995" t="str">
        <f t="shared" si="149"/>
        <v/>
      </c>
      <c r="FP783" s="1995" t="str">
        <f t="shared" si="150"/>
        <v/>
      </c>
      <c r="FQ783" s="1995" t="str">
        <f t="shared" si="151"/>
        <v/>
      </c>
      <c r="FR783" s="1995" t="str">
        <f t="shared" si="152"/>
        <v/>
      </c>
      <c r="FS783" s="1995" t="str">
        <f t="shared" si="153"/>
        <v/>
      </c>
      <c r="FT783" s="1995" t="str">
        <f t="shared" si="154"/>
        <v/>
      </c>
      <c r="FU783" s="1995" t="str">
        <f t="shared" si="155"/>
        <v/>
      </c>
      <c r="FV783" s="1995" t="str">
        <f t="shared" si="156"/>
        <v/>
      </c>
      <c r="FW783" s="1995" t="str">
        <f t="shared" si="157"/>
        <v/>
      </c>
      <c r="FX783" s="1995" t="str">
        <f t="shared" si="158"/>
        <v/>
      </c>
      <c r="FY783" s="1995" t="str">
        <f t="shared" si="159"/>
        <v/>
      </c>
      <c r="FZ783" s="1995" t="str">
        <f t="shared" si="160"/>
        <v/>
      </c>
      <c r="GA783" s="1995" t="str">
        <f t="shared" si="161"/>
        <v/>
      </c>
      <c r="GB783" s="1995" t="str">
        <f t="shared" si="162"/>
        <v/>
      </c>
      <c r="GC783" s="1995" t="str">
        <f t="shared" si="163"/>
        <v/>
      </c>
      <c r="GD783" s="1995" t="str">
        <f t="shared" si="164"/>
        <v/>
      </c>
      <c r="GE783" s="1995" t="str">
        <f t="shared" si="165"/>
        <v/>
      </c>
      <c r="GF783" s="1995" t="str">
        <f t="shared" si="166"/>
        <v/>
      </c>
      <c r="GG783" s="1995" t="str">
        <f t="shared" si="167"/>
        <v/>
      </c>
      <c r="GH783" s="1995" t="str">
        <f t="shared" si="168"/>
        <v/>
      </c>
      <c r="GI783" s="1995" t="str">
        <f t="shared" si="169"/>
        <v/>
      </c>
      <c r="GJ783" s="1995" t="str">
        <f t="shared" si="170"/>
        <v/>
      </c>
      <c r="GK783" s="1995" t="str">
        <f t="shared" si="171"/>
        <v/>
      </c>
      <c r="GL783" s="1995" t="str">
        <f t="shared" si="172"/>
        <v/>
      </c>
      <c r="GM783" s="1995" t="str">
        <f t="shared" si="173"/>
        <v/>
      </c>
      <c r="GN783" s="1995" t="str">
        <f t="shared" si="174"/>
        <v/>
      </c>
      <c r="GO783" s="1995" t="str">
        <f t="shared" si="175"/>
        <v/>
      </c>
      <c r="GP783" s="1995" t="str">
        <f t="shared" si="176"/>
        <v/>
      </c>
      <c r="GQ783" s="1995" t="str">
        <f t="shared" si="177"/>
        <v/>
      </c>
      <c r="GR783" s="1995" t="str">
        <f t="shared" si="178"/>
        <v/>
      </c>
      <c r="GS783" s="1995" t="str">
        <f t="shared" si="179"/>
        <v/>
      </c>
      <c r="GT783" s="1995" t="str">
        <f t="shared" si="180"/>
        <v/>
      </c>
      <c r="GU783" s="1995" t="str">
        <f t="shared" si="181"/>
        <v/>
      </c>
      <c r="GV783" s="1995" t="str">
        <f t="shared" si="182"/>
        <v/>
      </c>
      <c r="GW783" s="1995" t="str">
        <f t="shared" si="183"/>
        <v/>
      </c>
      <c r="GX783" s="1995" t="str">
        <f t="shared" si="184"/>
        <v/>
      </c>
      <c r="GY783" s="1995" t="str">
        <f t="shared" si="185"/>
        <v/>
      </c>
      <c r="GZ783" s="1995" t="str">
        <f t="shared" si="186"/>
        <v/>
      </c>
      <c r="HA783" s="1995" t="str">
        <f t="shared" si="187"/>
        <v/>
      </c>
      <c r="HB783" s="1995" t="str">
        <f t="shared" si="188"/>
        <v/>
      </c>
      <c r="HC783" s="1995" t="str">
        <f t="shared" si="189"/>
        <v/>
      </c>
      <c r="HD783" s="1995" t="str">
        <f t="shared" si="190"/>
        <v/>
      </c>
      <c r="HE783" s="1995" t="str">
        <f t="shared" si="191"/>
        <v/>
      </c>
      <c r="HF783" s="1995" t="str">
        <f t="shared" si="192"/>
        <v/>
      </c>
      <c r="HG783" s="1995" t="str">
        <f t="shared" si="193"/>
        <v/>
      </c>
      <c r="HH783" s="1995" t="str">
        <f t="shared" si="194"/>
        <v/>
      </c>
      <c r="HI783" s="1995" t="str">
        <f t="shared" si="195"/>
        <v/>
      </c>
      <c r="HJ783" s="1995" t="str">
        <f t="shared" si="196"/>
        <v/>
      </c>
      <c r="HK783" s="1995" t="str">
        <f t="shared" si="197"/>
        <v/>
      </c>
      <c r="HL783" s="1995" t="str">
        <f t="shared" si="198"/>
        <v/>
      </c>
      <c r="HM783" s="1995" t="str">
        <f t="shared" si="199"/>
        <v/>
      </c>
      <c r="HN783" s="1995" t="str">
        <f t="shared" si="200"/>
        <v/>
      </c>
      <c r="HO783" s="1995" t="str">
        <f t="shared" si="201"/>
        <v/>
      </c>
      <c r="HP783" s="1995" t="str">
        <f t="shared" si="202"/>
        <v/>
      </c>
      <c r="HQ783" s="1995" t="str">
        <f t="shared" si="203"/>
        <v/>
      </c>
      <c r="HR783" s="1995" t="str">
        <f t="shared" si="204"/>
        <v/>
      </c>
      <c r="HS783" s="1995" t="str">
        <f t="shared" si="205"/>
        <v/>
      </c>
      <c r="HT783" s="1995" t="str">
        <f t="shared" si="206"/>
        <v/>
      </c>
      <c r="HU783" s="1995" t="str">
        <f t="shared" si="207"/>
        <v/>
      </c>
      <c r="HV783" s="1995" t="str">
        <f t="shared" si="208"/>
        <v/>
      </c>
      <c r="HW783" s="1995" t="str">
        <f t="shared" si="209"/>
        <v/>
      </c>
      <c r="HX783" s="1995" t="str">
        <f t="shared" si="210"/>
        <v/>
      </c>
      <c r="HY783" s="1995" t="str">
        <f t="shared" si="211"/>
        <v/>
      </c>
      <c r="HZ783" s="1900" t="str">
        <f t="shared" si="212"/>
        <v/>
      </c>
      <c r="IA783" s="1900" t="str">
        <f t="shared" si="213"/>
        <v/>
      </c>
      <c r="IB783" s="1900" t="str">
        <f t="shared" si="214"/>
        <v/>
      </c>
      <c r="IC783" s="1900" t="str">
        <f t="shared" si="215"/>
        <v/>
      </c>
      <c r="ID783" s="1900" t="str">
        <f t="shared" si="216"/>
        <v/>
      </c>
      <c r="IE783" s="1900" t="str">
        <f t="shared" si="217"/>
        <v/>
      </c>
      <c r="IF783" s="1900" t="str">
        <f t="shared" si="218"/>
        <v/>
      </c>
      <c r="IG783" s="1900" t="str">
        <f t="shared" si="219"/>
        <v/>
      </c>
      <c r="IH783" s="1900" t="str">
        <f t="shared" si="220"/>
        <v/>
      </c>
      <c r="II783" s="1900" t="str">
        <f t="shared" si="221"/>
        <v/>
      </c>
      <c r="IJ783" s="1900" t="str">
        <f t="shared" si="222"/>
        <v/>
      </c>
      <c r="IK783" s="1900" t="str">
        <f t="shared" si="223"/>
        <v/>
      </c>
      <c r="IL783" s="1900" t="str">
        <f t="shared" si="224"/>
        <v/>
      </c>
      <c r="IM783" s="1900" t="str">
        <f t="shared" si="225"/>
        <v/>
      </c>
      <c r="IN783" s="1900" t="str">
        <f t="shared" si="226"/>
        <v/>
      </c>
      <c r="IO783" s="1900" t="str">
        <f t="shared" si="227"/>
        <v/>
      </c>
      <c r="IP783" s="1900" t="str">
        <f t="shared" si="228"/>
        <v/>
      </c>
      <c r="IQ783" s="1900" t="str">
        <f t="shared" si="229"/>
        <v/>
      </c>
      <c r="IR783" s="1900" t="str">
        <f t="shared" si="230"/>
        <v/>
      </c>
      <c r="IS783" s="1900" t="str">
        <f t="shared" si="231"/>
        <v/>
      </c>
      <c r="IT783" s="1900" t="str">
        <f t="shared" si="232"/>
        <v/>
      </c>
      <c r="IU783" s="1900" t="str">
        <f t="shared" si="233"/>
        <v/>
      </c>
      <c r="IV783" s="1900" t="str">
        <f t="shared" si="234"/>
        <v/>
      </c>
      <c r="IW783" s="1900" t="str">
        <f t="shared" si="235"/>
        <v/>
      </c>
      <c r="IX783" s="1900" t="str">
        <f t="shared" si="236"/>
        <v/>
      </c>
      <c r="IY783" s="1900" t="str">
        <f t="shared" si="237"/>
        <v/>
      </c>
      <c r="IZ783" s="1900" t="str">
        <f t="shared" si="238"/>
        <v/>
      </c>
      <c r="JA783" s="1900" t="str">
        <f t="shared" si="239"/>
        <v/>
      </c>
      <c r="JB783" s="1900" t="str">
        <f t="shared" si="240"/>
        <v/>
      </c>
      <c r="JC783" s="1900" t="str">
        <f t="shared" si="241"/>
        <v/>
      </c>
      <c r="JD783" s="1900" t="str">
        <f t="shared" si="242"/>
        <v/>
      </c>
      <c r="JE783" s="1900" t="str">
        <f t="shared" si="243"/>
        <v/>
      </c>
      <c r="JF783" s="1900" t="str">
        <f t="shared" si="244"/>
        <v/>
      </c>
      <c r="JG783" s="1900" t="str">
        <f t="shared" si="245"/>
        <v/>
      </c>
      <c r="JH783" s="1900" t="str">
        <f t="shared" si="246"/>
        <v/>
      </c>
      <c r="JI783" s="1900" t="str">
        <f t="shared" si="247"/>
        <v/>
      </c>
      <c r="JJ783" s="1900" t="str">
        <f t="shared" si="248"/>
        <v/>
      </c>
      <c r="JK783" s="1900" t="str">
        <f t="shared" si="249"/>
        <v/>
      </c>
      <c r="JL783" s="1900" t="str">
        <f t="shared" si="250"/>
        <v/>
      </c>
      <c r="JM783" s="1900" t="str">
        <f t="shared" si="251"/>
        <v/>
      </c>
      <c r="JN783" s="1900" t="str">
        <f t="shared" si="252"/>
        <v/>
      </c>
      <c r="JO783" s="1900" t="str">
        <f t="shared" si="253"/>
        <v/>
      </c>
      <c r="JP783" s="1900" t="str">
        <f t="shared" si="254"/>
        <v/>
      </c>
      <c r="JQ783" s="1900" t="str">
        <f t="shared" si="255"/>
        <v/>
      </c>
      <c r="JR783" s="1900" t="str">
        <f t="shared" si="256"/>
        <v/>
      </c>
      <c r="JS783" s="1900" t="str">
        <f t="shared" si="257"/>
        <v/>
      </c>
      <c r="JT783" s="1900" t="str">
        <f t="shared" si="258"/>
        <v/>
      </c>
      <c r="JU783" s="1900" t="str">
        <f t="shared" si="259"/>
        <v/>
      </c>
      <c r="JV783" s="1900" t="str">
        <f t="shared" si="260"/>
        <v/>
      </c>
      <c r="JW783" s="1900" t="str">
        <f t="shared" si="261"/>
        <v/>
      </c>
      <c r="JX783" s="1900" t="str">
        <f t="shared" si="262"/>
        <v/>
      </c>
      <c r="JY783" s="1900" t="str">
        <f t="shared" si="263"/>
        <v/>
      </c>
      <c r="JZ783" s="1900" t="str">
        <f t="shared" si="264"/>
        <v/>
      </c>
      <c r="KA783" s="1900" t="str">
        <f t="shared" si="265"/>
        <v/>
      </c>
      <c r="KB783" s="1900" t="str">
        <f t="shared" si="266"/>
        <v/>
      </c>
      <c r="KC783" s="1900" t="str">
        <f t="shared" si="267"/>
        <v/>
      </c>
      <c r="KD783" s="1900" t="str">
        <f t="shared" si="268"/>
        <v/>
      </c>
      <c r="KE783" s="1900" t="str">
        <f t="shared" si="269"/>
        <v/>
      </c>
      <c r="KF783" s="1900" t="str">
        <f t="shared" si="270"/>
        <v/>
      </c>
      <c r="KG783" s="1900" t="str">
        <f t="shared" si="271"/>
        <v/>
      </c>
      <c r="KH783" s="1900" t="str">
        <f t="shared" si="272"/>
        <v/>
      </c>
      <c r="KI783" s="1900" t="str">
        <f t="shared" si="273"/>
        <v/>
      </c>
      <c r="KJ783" s="1900" t="str">
        <f t="shared" si="274"/>
        <v/>
      </c>
      <c r="KK783" s="1900" t="str">
        <f t="shared" si="275"/>
        <v/>
      </c>
      <c r="KL783" s="1900" t="str">
        <f t="shared" si="276"/>
        <v/>
      </c>
      <c r="KM783" s="1900" t="str">
        <f t="shared" si="277"/>
        <v/>
      </c>
      <c r="KN783" s="1900" t="str">
        <f t="shared" si="278"/>
        <v/>
      </c>
      <c r="KO783" s="1900" t="str">
        <f t="shared" si="279"/>
        <v/>
      </c>
      <c r="KP783" s="1900" t="str">
        <f t="shared" si="280"/>
        <v/>
      </c>
      <c r="KQ783" s="1900" t="str">
        <f t="shared" si="281"/>
        <v/>
      </c>
      <c r="KR783" s="1900" t="str">
        <f t="shared" si="282"/>
        <v/>
      </c>
      <c r="KS783" s="1900" t="str">
        <f t="shared" si="283"/>
        <v/>
      </c>
      <c r="KT783" s="1900" t="str">
        <f t="shared" si="284"/>
        <v/>
      </c>
      <c r="KU783" s="1900" t="str">
        <f t="shared" si="285"/>
        <v/>
      </c>
      <c r="KV783" s="1900" t="str">
        <f t="shared" si="286"/>
        <v/>
      </c>
      <c r="KW783" s="1900" t="str">
        <f t="shared" si="287"/>
        <v/>
      </c>
      <c r="KX783" s="1900" t="str">
        <f t="shared" si="288"/>
        <v/>
      </c>
      <c r="KY783" s="1900" t="str">
        <f t="shared" si="289"/>
        <v/>
      </c>
      <c r="KZ783" s="1900" t="str">
        <f t="shared" si="290"/>
        <v/>
      </c>
      <c r="LA783" s="1900" t="str">
        <f t="shared" si="291"/>
        <v/>
      </c>
      <c r="LB783" s="1900" t="str">
        <f t="shared" si="292"/>
        <v/>
      </c>
      <c r="LC783" s="1900" t="str">
        <f t="shared" si="293"/>
        <v/>
      </c>
      <c r="LD783" s="1900" t="str">
        <f t="shared" si="294"/>
        <v/>
      </c>
      <c r="LE783" s="1900" t="str">
        <f t="shared" si="295"/>
        <v/>
      </c>
      <c r="LF783" s="1900" t="str">
        <f t="shared" si="296"/>
        <v/>
      </c>
      <c r="LG783" s="1900" t="str">
        <f t="shared" si="297"/>
        <v/>
      </c>
      <c r="LH783" s="1900" t="str">
        <f t="shared" si="298"/>
        <v/>
      </c>
      <c r="LI783" s="1900" t="str">
        <f t="shared" si="299"/>
        <v/>
      </c>
      <c r="LJ783" s="1900" t="str">
        <f t="shared" si="300"/>
        <v/>
      </c>
      <c r="LK783" s="1900" t="str">
        <f t="shared" si="301"/>
        <v/>
      </c>
      <c r="LL783" s="1900" t="str">
        <f t="shared" si="302"/>
        <v/>
      </c>
      <c r="LM783" s="1900" t="str">
        <f t="shared" si="303"/>
        <v/>
      </c>
      <c r="LN783" s="1900" t="str">
        <f t="shared" si="304"/>
        <v/>
      </c>
      <c r="LO783" s="1900" t="str">
        <f t="shared" si="305"/>
        <v/>
      </c>
      <c r="LP783" s="1900" t="str">
        <f t="shared" si="306"/>
        <v/>
      </c>
      <c r="LQ783" s="1874" t="str">
        <f t="shared" si="307"/>
        <v/>
      </c>
      <c r="LR783" s="1874" t="str">
        <f t="shared" si="308"/>
        <v/>
      </c>
      <c r="LS783" s="1874" t="str">
        <f t="shared" si="309"/>
        <v/>
      </c>
      <c r="LT783" s="1874" t="str">
        <f t="shared" si="310"/>
        <v/>
      </c>
      <c r="LU783" s="1874" t="str">
        <f t="shared" si="311"/>
        <v/>
      </c>
      <c r="LV783" s="1995" t="str">
        <f t="shared" si="312"/>
        <v/>
      </c>
      <c r="LW783" s="1995" t="str">
        <f t="shared" si="313"/>
        <v/>
      </c>
      <c r="LX783" s="1995" t="str">
        <f t="shared" si="314"/>
        <v/>
      </c>
      <c r="LY783" s="1995" t="str">
        <f t="shared" si="315"/>
        <v/>
      </c>
      <c r="LZ783" s="1995" t="str">
        <f t="shared" si="316"/>
        <v/>
      </c>
      <c r="MA783" s="1995" t="str">
        <f t="shared" si="317"/>
        <v/>
      </c>
      <c r="MB783" s="1995" t="str">
        <f t="shared" si="318"/>
        <v/>
      </c>
      <c r="MC783" s="1995" t="str">
        <f t="shared" si="319"/>
        <v/>
      </c>
      <c r="MD783" s="1995" t="str">
        <f t="shared" si="320"/>
        <v/>
      </c>
      <c r="ME783" s="1995" t="str">
        <f t="shared" si="321"/>
        <v/>
      </c>
      <c r="MF783" s="1995" t="str">
        <f t="shared" si="322"/>
        <v/>
      </c>
      <c r="MG783" s="1995" t="str">
        <f t="shared" si="323"/>
        <v/>
      </c>
      <c r="MH783" s="1995" t="str">
        <f t="shared" si="324"/>
        <v/>
      </c>
      <c r="MI783" s="1995" t="str">
        <f t="shared" si="325"/>
        <v/>
      </c>
      <c r="MJ783" s="1995" t="str">
        <f t="shared" si="326"/>
        <v/>
      </c>
      <c r="MK783" s="1995" t="str">
        <f t="shared" si="327"/>
        <v/>
      </c>
      <c r="ML783" s="1995" t="str">
        <f t="shared" si="328"/>
        <v/>
      </c>
      <c r="MM783" s="1995" t="str">
        <f t="shared" si="329"/>
        <v/>
      </c>
      <c r="MN783" s="1995" t="str">
        <f t="shared" si="330"/>
        <v/>
      </c>
      <c r="MO783" s="1995" t="str">
        <f t="shared" si="331"/>
        <v/>
      </c>
      <c r="MP783" s="1874">
        <f t="shared" si="338"/>
        <v>0</v>
      </c>
      <c r="MQ783" s="1874">
        <f t="shared" si="339"/>
        <v>0</v>
      </c>
      <c r="MR783" s="1874">
        <f t="shared" si="340"/>
        <v>0</v>
      </c>
      <c r="MS783" s="1874">
        <f t="shared" si="341"/>
        <v>0</v>
      </c>
      <c r="MT783" s="1874">
        <f t="shared" si="342"/>
        <v>0</v>
      </c>
      <c r="MU783" s="1874">
        <f t="shared" si="343"/>
        <v>0</v>
      </c>
      <c r="MV783" s="1874">
        <f t="shared" si="344"/>
        <v>0</v>
      </c>
      <c r="MW783" s="1874">
        <f t="shared" si="345"/>
        <v>0</v>
      </c>
      <c r="MX783" s="1874">
        <f t="shared" si="346"/>
        <v>0</v>
      </c>
      <c r="MY783" s="1874">
        <f t="shared" si="347"/>
        <v>0</v>
      </c>
      <c r="MZ783" s="1874">
        <f t="shared" si="332"/>
        <v>0</v>
      </c>
      <c r="NA783" s="1874">
        <f t="shared" si="333"/>
        <v>0</v>
      </c>
      <c r="NB783" s="1874">
        <f t="shared" si="334"/>
        <v>0</v>
      </c>
      <c r="NC783" s="1874">
        <f t="shared" si="335"/>
        <v>0</v>
      </c>
      <c r="ND783" s="1874">
        <f t="shared" si="336"/>
        <v>0</v>
      </c>
    </row>
    <row r="784" spans="1:368" ht="13.95" customHeight="1">
      <c r="A784" s="1896" t="str">
        <f t="shared" si="337"/>
        <v/>
      </c>
      <c r="B784" s="2212" t="str">
        <f>'Part VI-Revenues &amp; Expenses'!B15</f>
        <v>Unrestricted</v>
      </c>
      <c r="C784" s="2213">
        <f>'Part VI-Revenues &amp; Expenses'!C15</f>
        <v>0</v>
      </c>
      <c r="D784" s="2214">
        <f>'Part VI-Revenues &amp; Expenses'!D15</f>
        <v>0</v>
      </c>
      <c r="E784" s="2215">
        <f>'Part VI-Revenues &amp; Expenses'!E15</f>
        <v>0</v>
      </c>
      <c r="F784" s="2215">
        <f>'Part VI-Revenues &amp; Expenses'!F15</f>
        <v>0</v>
      </c>
      <c r="G784" s="2215">
        <f>'Part VI-Revenues &amp; Expenses'!G15</f>
        <v>0</v>
      </c>
      <c r="H784" s="2215">
        <f>'Part VI-Revenues &amp; Expenses'!H15</f>
        <v>0</v>
      </c>
      <c r="I784" s="2215">
        <f>'Part VI-Revenues &amp; Expenses'!I15</f>
        <v>0</v>
      </c>
      <c r="J784" s="2215">
        <f>'Part VI-Revenues &amp; Expenses'!J15</f>
        <v>0</v>
      </c>
      <c r="K784" s="2216">
        <f>'Part VI-Revenues &amp; Expenses'!K15</f>
        <v>0</v>
      </c>
      <c r="L784" s="1899">
        <f t="shared" si="0"/>
        <v>0</v>
      </c>
      <c r="M784" s="1899">
        <f t="shared" si="1"/>
        <v>0</v>
      </c>
      <c r="N784" s="2074">
        <f>'Part VI-Revenues &amp; Expenses'!N15</f>
        <v>0</v>
      </c>
      <c r="O784" s="2074">
        <f>'Part VI-Revenues &amp; Expenses'!O15</f>
        <v>0</v>
      </c>
      <c r="P784" s="2074">
        <f>'Part VI-Revenues &amp; Expenses'!P15</f>
        <v>0</v>
      </c>
      <c r="Q784" s="1732">
        <f>'Part VI-Revenues &amp; Expenses'!Q15</f>
        <v>0</v>
      </c>
      <c r="R784" s="1926"/>
      <c r="S784" s="2148"/>
      <c r="T784" s="1910"/>
      <c r="U784" s="1910"/>
      <c r="V784" s="1910"/>
      <c r="W784" s="1910"/>
      <c r="X784" s="1995" t="str">
        <f t="shared" si="2"/>
        <v/>
      </c>
      <c r="Y784" s="1995" t="str">
        <f t="shared" si="3"/>
        <v/>
      </c>
      <c r="Z784" s="1995" t="str">
        <f t="shared" si="4"/>
        <v/>
      </c>
      <c r="AA784" s="1995" t="str">
        <f t="shared" si="5"/>
        <v/>
      </c>
      <c r="AB784" s="1995" t="str">
        <f t="shared" si="6"/>
        <v/>
      </c>
      <c r="AC784" s="1995" t="str">
        <f t="shared" si="7"/>
        <v/>
      </c>
      <c r="AD784" s="1995" t="str">
        <f t="shared" si="8"/>
        <v/>
      </c>
      <c r="AE784" s="1995" t="str">
        <f t="shared" si="9"/>
        <v/>
      </c>
      <c r="AF784" s="1995" t="str">
        <f t="shared" si="10"/>
        <v/>
      </c>
      <c r="AG784" s="1995" t="str">
        <f t="shared" si="11"/>
        <v/>
      </c>
      <c r="AH784" s="1995" t="str">
        <f t="shared" si="12"/>
        <v/>
      </c>
      <c r="AI784" s="1995" t="str">
        <f t="shared" si="13"/>
        <v/>
      </c>
      <c r="AJ784" s="1995" t="str">
        <f t="shared" si="14"/>
        <v/>
      </c>
      <c r="AK784" s="1995" t="str">
        <f t="shared" si="15"/>
        <v/>
      </c>
      <c r="AL784" s="1995" t="str">
        <f t="shared" si="16"/>
        <v/>
      </c>
      <c r="AM784" s="1995" t="str">
        <f t="shared" si="17"/>
        <v/>
      </c>
      <c r="AN784" s="1995" t="str">
        <f t="shared" si="18"/>
        <v/>
      </c>
      <c r="AO784" s="1995" t="str">
        <f t="shared" si="19"/>
        <v/>
      </c>
      <c r="AP784" s="1995" t="str">
        <f t="shared" si="20"/>
        <v/>
      </c>
      <c r="AQ784" s="1995" t="str">
        <f t="shared" si="21"/>
        <v/>
      </c>
      <c r="AR784" s="1995" t="str">
        <f t="shared" si="22"/>
        <v/>
      </c>
      <c r="AS784" s="1995" t="str">
        <f t="shared" si="23"/>
        <v/>
      </c>
      <c r="AT784" s="1995" t="str">
        <f t="shared" si="24"/>
        <v/>
      </c>
      <c r="AU784" s="1995" t="str">
        <f t="shared" si="25"/>
        <v/>
      </c>
      <c r="AV784" s="1995" t="str">
        <f t="shared" si="26"/>
        <v/>
      </c>
      <c r="AW784" s="1995" t="str">
        <f t="shared" si="27"/>
        <v/>
      </c>
      <c r="AX784" s="1995" t="str">
        <f t="shared" si="28"/>
        <v/>
      </c>
      <c r="AY784" s="1995" t="str">
        <f t="shared" si="29"/>
        <v/>
      </c>
      <c r="AZ784" s="1995" t="str">
        <f t="shared" si="30"/>
        <v/>
      </c>
      <c r="BA784" s="1995" t="str">
        <f t="shared" si="31"/>
        <v/>
      </c>
      <c r="BB784" s="1995" t="str">
        <f t="shared" si="32"/>
        <v/>
      </c>
      <c r="BC784" s="1995" t="str">
        <f t="shared" si="33"/>
        <v/>
      </c>
      <c r="BD784" s="1995" t="str">
        <f t="shared" si="34"/>
        <v/>
      </c>
      <c r="BE784" s="1995" t="str">
        <f t="shared" si="35"/>
        <v/>
      </c>
      <c r="BF784" s="1995" t="str">
        <f t="shared" si="36"/>
        <v/>
      </c>
      <c r="BG784" s="1995" t="str">
        <f t="shared" si="37"/>
        <v/>
      </c>
      <c r="BH784" s="1995" t="str">
        <f t="shared" si="38"/>
        <v/>
      </c>
      <c r="BI784" s="1995" t="str">
        <f t="shared" si="39"/>
        <v/>
      </c>
      <c r="BJ784" s="1995" t="str">
        <f t="shared" si="40"/>
        <v/>
      </c>
      <c r="BK784" s="1995" t="str">
        <f t="shared" si="41"/>
        <v/>
      </c>
      <c r="BL784" s="1995" t="str">
        <f t="shared" si="42"/>
        <v/>
      </c>
      <c r="BM784" s="1995" t="str">
        <f t="shared" si="43"/>
        <v/>
      </c>
      <c r="BN784" s="1995" t="str">
        <f t="shared" si="44"/>
        <v/>
      </c>
      <c r="BO784" s="1995" t="str">
        <f t="shared" si="45"/>
        <v/>
      </c>
      <c r="BP784" s="1995" t="str">
        <f t="shared" si="46"/>
        <v/>
      </c>
      <c r="BQ784" s="1995" t="str">
        <f t="shared" si="47"/>
        <v/>
      </c>
      <c r="BR784" s="1995" t="str">
        <f t="shared" si="48"/>
        <v/>
      </c>
      <c r="BS784" s="1995" t="str">
        <f t="shared" si="49"/>
        <v/>
      </c>
      <c r="BT784" s="1995" t="str">
        <f t="shared" si="50"/>
        <v/>
      </c>
      <c r="BU784" s="1995" t="str">
        <f t="shared" si="51"/>
        <v/>
      </c>
      <c r="BV784" s="1995" t="str">
        <f t="shared" si="52"/>
        <v/>
      </c>
      <c r="BW784" s="1995" t="str">
        <f t="shared" si="53"/>
        <v/>
      </c>
      <c r="BX784" s="1995" t="str">
        <f t="shared" si="54"/>
        <v/>
      </c>
      <c r="BY784" s="1995" t="str">
        <f t="shared" si="55"/>
        <v/>
      </c>
      <c r="BZ784" s="1995" t="str">
        <f t="shared" si="56"/>
        <v/>
      </c>
      <c r="CA784" s="1995" t="str">
        <f t="shared" si="57"/>
        <v/>
      </c>
      <c r="CB784" s="1995" t="str">
        <f t="shared" si="58"/>
        <v/>
      </c>
      <c r="CC784" s="1995" t="str">
        <f t="shared" si="59"/>
        <v/>
      </c>
      <c r="CD784" s="1995" t="str">
        <f t="shared" si="60"/>
        <v/>
      </c>
      <c r="CE784" s="1995" t="str">
        <f t="shared" si="61"/>
        <v/>
      </c>
      <c r="CF784" s="1995" t="str">
        <f t="shared" si="62"/>
        <v/>
      </c>
      <c r="CG784" s="1995" t="str">
        <f t="shared" si="63"/>
        <v/>
      </c>
      <c r="CH784" s="1995" t="str">
        <f t="shared" si="64"/>
        <v/>
      </c>
      <c r="CI784" s="1995" t="str">
        <f t="shared" si="65"/>
        <v/>
      </c>
      <c r="CJ784" s="1995" t="str">
        <f t="shared" si="66"/>
        <v/>
      </c>
      <c r="CK784" s="1995" t="str">
        <f t="shared" si="67"/>
        <v/>
      </c>
      <c r="CL784" s="1995" t="str">
        <f t="shared" si="68"/>
        <v/>
      </c>
      <c r="CM784" s="1995" t="str">
        <f t="shared" si="69"/>
        <v/>
      </c>
      <c r="CN784" s="1995" t="str">
        <f t="shared" si="70"/>
        <v/>
      </c>
      <c r="CO784" s="1995" t="str">
        <f t="shared" si="71"/>
        <v/>
      </c>
      <c r="CP784" s="1995" t="str">
        <f t="shared" si="72"/>
        <v/>
      </c>
      <c r="CQ784" s="1995" t="str">
        <f t="shared" si="73"/>
        <v/>
      </c>
      <c r="CR784" s="1995" t="str">
        <f t="shared" si="74"/>
        <v/>
      </c>
      <c r="CS784" s="1995" t="str">
        <f t="shared" si="75"/>
        <v/>
      </c>
      <c r="CT784" s="1995" t="str">
        <f t="shared" si="76"/>
        <v/>
      </c>
      <c r="CU784" s="1995" t="str">
        <f t="shared" si="77"/>
        <v/>
      </c>
      <c r="CV784" s="1995" t="str">
        <f t="shared" si="78"/>
        <v/>
      </c>
      <c r="CW784" s="1995" t="str">
        <f t="shared" si="79"/>
        <v/>
      </c>
      <c r="CX784" s="1995" t="str">
        <f t="shared" si="80"/>
        <v/>
      </c>
      <c r="CY784" s="1995" t="str">
        <f t="shared" si="81"/>
        <v/>
      </c>
      <c r="CZ784" s="1995" t="str">
        <f t="shared" si="82"/>
        <v/>
      </c>
      <c r="DA784" s="1995" t="str">
        <f t="shared" si="83"/>
        <v/>
      </c>
      <c r="DB784" s="1995" t="str">
        <f t="shared" si="84"/>
        <v/>
      </c>
      <c r="DC784" s="1995" t="str">
        <f t="shared" si="85"/>
        <v/>
      </c>
      <c r="DD784" s="1995" t="str">
        <f t="shared" si="86"/>
        <v/>
      </c>
      <c r="DE784" s="1995" t="str">
        <f t="shared" si="87"/>
        <v/>
      </c>
      <c r="DF784" s="1995" t="str">
        <f t="shared" si="88"/>
        <v/>
      </c>
      <c r="DG784" s="1995" t="str">
        <f t="shared" si="89"/>
        <v/>
      </c>
      <c r="DH784" s="1995" t="str">
        <f t="shared" si="90"/>
        <v/>
      </c>
      <c r="DI784" s="1995" t="str">
        <f t="shared" si="91"/>
        <v/>
      </c>
      <c r="DJ784" s="1995" t="str">
        <f t="shared" si="92"/>
        <v/>
      </c>
      <c r="DK784" s="1995" t="str">
        <f t="shared" si="93"/>
        <v/>
      </c>
      <c r="DL784" s="1995" t="str">
        <f t="shared" si="94"/>
        <v/>
      </c>
      <c r="DM784" s="1995" t="str">
        <f t="shared" si="95"/>
        <v/>
      </c>
      <c r="DN784" s="1995" t="str">
        <f t="shared" si="96"/>
        <v/>
      </c>
      <c r="DO784" s="1995" t="str">
        <f t="shared" si="97"/>
        <v/>
      </c>
      <c r="DP784" s="1995" t="str">
        <f t="shared" si="98"/>
        <v/>
      </c>
      <c r="DQ784" s="1995" t="str">
        <f t="shared" si="99"/>
        <v/>
      </c>
      <c r="DR784" s="1995" t="str">
        <f t="shared" si="100"/>
        <v/>
      </c>
      <c r="DS784" s="1995" t="str">
        <f t="shared" si="101"/>
        <v/>
      </c>
      <c r="DT784" s="1995" t="str">
        <f t="shared" si="102"/>
        <v/>
      </c>
      <c r="DU784" s="1995" t="str">
        <f t="shared" si="103"/>
        <v/>
      </c>
      <c r="DV784" s="1995" t="str">
        <f t="shared" si="104"/>
        <v/>
      </c>
      <c r="DW784" s="1995" t="str">
        <f t="shared" si="105"/>
        <v/>
      </c>
      <c r="DX784" s="1995" t="str">
        <f t="shared" si="106"/>
        <v/>
      </c>
      <c r="DY784" s="1995" t="str">
        <f t="shared" si="107"/>
        <v/>
      </c>
      <c r="DZ784" s="1995" t="str">
        <f t="shared" si="108"/>
        <v/>
      </c>
      <c r="EA784" s="1995" t="str">
        <f t="shared" si="109"/>
        <v/>
      </c>
      <c r="EB784" s="1995" t="str">
        <f t="shared" si="110"/>
        <v/>
      </c>
      <c r="EC784" s="1995" t="str">
        <f t="shared" si="111"/>
        <v/>
      </c>
      <c r="ED784" s="1995" t="str">
        <f t="shared" si="112"/>
        <v/>
      </c>
      <c r="EE784" s="1995" t="str">
        <f t="shared" si="113"/>
        <v/>
      </c>
      <c r="EF784" s="1995" t="str">
        <f t="shared" si="114"/>
        <v/>
      </c>
      <c r="EG784" s="1995" t="str">
        <f t="shared" si="115"/>
        <v/>
      </c>
      <c r="EH784" s="1995" t="str">
        <f t="shared" si="116"/>
        <v/>
      </c>
      <c r="EI784" s="1995" t="str">
        <f t="shared" si="117"/>
        <v/>
      </c>
      <c r="EJ784" s="1995" t="str">
        <f t="shared" si="118"/>
        <v/>
      </c>
      <c r="EK784" s="1995" t="str">
        <f t="shared" si="119"/>
        <v/>
      </c>
      <c r="EL784" s="1995" t="str">
        <f t="shared" si="120"/>
        <v/>
      </c>
      <c r="EM784" s="1995" t="str">
        <f t="shared" si="121"/>
        <v/>
      </c>
      <c r="EN784" s="1995" t="str">
        <f t="shared" si="122"/>
        <v/>
      </c>
      <c r="EO784" s="1995" t="str">
        <f t="shared" si="123"/>
        <v/>
      </c>
      <c r="EP784" s="1995" t="str">
        <f t="shared" si="124"/>
        <v/>
      </c>
      <c r="EQ784" s="1995" t="str">
        <f t="shared" si="125"/>
        <v/>
      </c>
      <c r="ER784" s="1995" t="str">
        <f t="shared" si="126"/>
        <v/>
      </c>
      <c r="ES784" s="1995" t="str">
        <f t="shared" si="127"/>
        <v/>
      </c>
      <c r="ET784" s="1995" t="str">
        <f t="shared" si="128"/>
        <v/>
      </c>
      <c r="EU784" s="1995" t="str">
        <f t="shared" si="129"/>
        <v/>
      </c>
      <c r="EV784" s="1995" t="str">
        <f t="shared" si="130"/>
        <v/>
      </c>
      <c r="EW784" s="1995" t="str">
        <f t="shared" si="131"/>
        <v/>
      </c>
      <c r="EX784" s="1995" t="str">
        <f t="shared" si="132"/>
        <v/>
      </c>
      <c r="EY784" s="1995" t="str">
        <f t="shared" si="133"/>
        <v/>
      </c>
      <c r="EZ784" s="1995" t="str">
        <f t="shared" si="134"/>
        <v/>
      </c>
      <c r="FA784" s="1995" t="str">
        <f t="shared" si="135"/>
        <v/>
      </c>
      <c r="FB784" s="1995" t="str">
        <f t="shared" si="136"/>
        <v/>
      </c>
      <c r="FC784" s="1995" t="str">
        <f t="shared" si="137"/>
        <v/>
      </c>
      <c r="FD784" s="1995" t="str">
        <f t="shared" si="138"/>
        <v/>
      </c>
      <c r="FE784" s="1995" t="str">
        <f t="shared" si="139"/>
        <v/>
      </c>
      <c r="FF784" s="1995" t="str">
        <f t="shared" si="140"/>
        <v/>
      </c>
      <c r="FG784" s="1995" t="str">
        <f t="shared" si="141"/>
        <v/>
      </c>
      <c r="FH784" s="1995" t="str">
        <f t="shared" si="142"/>
        <v/>
      </c>
      <c r="FI784" s="1995" t="str">
        <f t="shared" si="143"/>
        <v/>
      </c>
      <c r="FJ784" s="1995" t="str">
        <f t="shared" si="144"/>
        <v/>
      </c>
      <c r="FK784" s="1995" t="str">
        <f t="shared" si="145"/>
        <v/>
      </c>
      <c r="FL784" s="1995" t="str">
        <f t="shared" si="146"/>
        <v/>
      </c>
      <c r="FM784" s="1995" t="str">
        <f t="shared" si="147"/>
        <v/>
      </c>
      <c r="FN784" s="1995" t="str">
        <f t="shared" si="148"/>
        <v/>
      </c>
      <c r="FO784" s="1995" t="str">
        <f t="shared" si="149"/>
        <v/>
      </c>
      <c r="FP784" s="1995" t="str">
        <f t="shared" si="150"/>
        <v/>
      </c>
      <c r="FQ784" s="1995" t="str">
        <f t="shared" si="151"/>
        <v/>
      </c>
      <c r="FR784" s="1995" t="str">
        <f t="shared" si="152"/>
        <v/>
      </c>
      <c r="FS784" s="1995" t="str">
        <f t="shared" si="153"/>
        <v/>
      </c>
      <c r="FT784" s="1995" t="str">
        <f t="shared" si="154"/>
        <v/>
      </c>
      <c r="FU784" s="1995" t="str">
        <f t="shared" si="155"/>
        <v/>
      </c>
      <c r="FV784" s="1995" t="str">
        <f t="shared" si="156"/>
        <v/>
      </c>
      <c r="FW784" s="1995" t="str">
        <f t="shared" si="157"/>
        <v/>
      </c>
      <c r="FX784" s="1995" t="str">
        <f t="shared" si="158"/>
        <v/>
      </c>
      <c r="FY784" s="1995" t="str">
        <f t="shared" si="159"/>
        <v/>
      </c>
      <c r="FZ784" s="1995" t="str">
        <f t="shared" si="160"/>
        <v/>
      </c>
      <c r="GA784" s="1995" t="str">
        <f t="shared" si="161"/>
        <v/>
      </c>
      <c r="GB784" s="1995" t="str">
        <f t="shared" si="162"/>
        <v/>
      </c>
      <c r="GC784" s="1995" t="str">
        <f t="shared" si="163"/>
        <v/>
      </c>
      <c r="GD784" s="1995" t="str">
        <f t="shared" si="164"/>
        <v/>
      </c>
      <c r="GE784" s="1995" t="str">
        <f t="shared" si="165"/>
        <v/>
      </c>
      <c r="GF784" s="1995" t="str">
        <f t="shared" si="166"/>
        <v/>
      </c>
      <c r="GG784" s="1995" t="str">
        <f t="shared" si="167"/>
        <v/>
      </c>
      <c r="GH784" s="1995" t="str">
        <f t="shared" si="168"/>
        <v/>
      </c>
      <c r="GI784" s="1995" t="str">
        <f t="shared" si="169"/>
        <v/>
      </c>
      <c r="GJ784" s="1995" t="str">
        <f t="shared" si="170"/>
        <v/>
      </c>
      <c r="GK784" s="1995" t="str">
        <f t="shared" si="171"/>
        <v/>
      </c>
      <c r="GL784" s="1995" t="str">
        <f t="shared" si="172"/>
        <v/>
      </c>
      <c r="GM784" s="1995" t="str">
        <f t="shared" si="173"/>
        <v/>
      </c>
      <c r="GN784" s="1995" t="str">
        <f t="shared" si="174"/>
        <v/>
      </c>
      <c r="GO784" s="1995" t="str">
        <f t="shared" si="175"/>
        <v/>
      </c>
      <c r="GP784" s="1995" t="str">
        <f t="shared" si="176"/>
        <v/>
      </c>
      <c r="GQ784" s="1995" t="str">
        <f t="shared" si="177"/>
        <v/>
      </c>
      <c r="GR784" s="1995" t="str">
        <f t="shared" si="178"/>
        <v/>
      </c>
      <c r="GS784" s="1995" t="str">
        <f t="shared" si="179"/>
        <v/>
      </c>
      <c r="GT784" s="1995" t="str">
        <f t="shared" si="180"/>
        <v/>
      </c>
      <c r="GU784" s="1995" t="str">
        <f t="shared" si="181"/>
        <v/>
      </c>
      <c r="GV784" s="1995" t="str">
        <f t="shared" si="182"/>
        <v/>
      </c>
      <c r="GW784" s="1995" t="str">
        <f t="shared" si="183"/>
        <v/>
      </c>
      <c r="GX784" s="1995" t="str">
        <f t="shared" si="184"/>
        <v/>
      </c>
      <c r="GY784" s="1995" t="str">
        <f t="shared" si="185"/>
        <v/>
      </c>
      <c r="GZ784" s="1995" t="str">
        <f t="shared" si="186"/>
        <v/>
      </c>
      <c r="HA784" s="1995" t="str">
        <f t="shared" si="187"/>
        <v/>
      </c>
      <c r="HB784" s="1995" t="str">
        <f t="shared" si="188"/>
        <v/>
      </c>
      <c r="HC784" s="1995" t="str">
        <f t="shared" si="189"/>
        <v/>
      </c>
      <c r="HD784" s="1995" t="str">
        <f t="shared" si="190"/>
        <v/>
      </c>
      <c r="HE784" s="1995" t="str">
        <f t="shared" si="191"/>
        <v/>
      </c>
      <c r="HF784" s="1995" t="str">
        <f t="shared" si="192"/>
        <v/>
      </c>
      <c r="HG784" s="1995" t="str">
        <f t="shared" si="193"/>
        <v/>
      </c>
      <c r="HH784" s="1995" t="str">
        <f t="shared" si="194"/>
        <v/>
      </c>
      <c r="HI784" s="1995" t="str">
        <f t="shared" si="195"/>
        <v/>
      </c>
      <c r="HJ784" s="1995" t="str">
        <f t="shared" si="196"/>
        <v/>
      </c>
      <c r="HK784" s="1995" t="str">
        <f t="shared" si="197"/>
        <v/>
      </c>
      <c r="HL784" s="1995" t="str">
        <f t="shared" si="198"/>
        <v/>
      </c>
      <c r="HM784" s="1995" t="str">
        <f t="shared" si="199"/>
        <v/>
      </c>
      <c r="HN784" s="1995" t="str">
        <f t="shared" si="200"/>
        <v/>
      </c>
      <c r="HO784" s="1995" t="str">
        <f t="shared" si="201"/>
        <v/>
      </c>
      <c r="HP784" s="1995" t="str">
        <f t="shared" si="202"/>
        <v/>
      </c>
      <c r="HQ784" s="1995" t="str">
        <f t="shared" si="203"/>
        <v/>
      </c>
      <c r="HR784" s="1995" t="str">
        <f t="shared" si="204"/>
        <v/>
      </c>
      <c r="HS784" s="1995" t="str">
        <f t="shared" si="205"/>
        <v/>
      </c>
      <c r="HT784" s="1995" t="str">
        <f t="shared" si="206"/>
        <v/>
      </c>
      <c r="HU784" s="1995" t="str">
        <f t="shared" si="207"/>
        <v/>
      </c>
      <c r="HV784" s="1995" t="str">
        <f t="shared" si="208"/>
        <v/>
      </c>
      <c r="HW784" s="1995" t="str">
        <f t="shared" si="209"/>
        <v/>
      </c>
      <c r="HX784" s="1995" t="str">
        <f t="shared" si="210"/>
        <v/>
      </c>
      <c r="HY784" s="1995" t="str">
        <f t="shared" si="211"/>
        <v/>
      </c>
      <c r="HZ784" s="1900" t="str">
        <f t="shared" si="212"/>
        <v/>
      </c>
      <c r="IA784" s="1900" t="str">
        <f t="shared" si="213"/>
        <v/>
      </c>
      <c r="IB784" s="1900" t="str">
        <f t="shared" si="214"/>
        <v/>
      </c>
      <c r="IC784" s="1900" t="str">
        <f t="shared" si="215"/>
        <v/>
      </c>
      <c r="ID784" s="1900" t="str">
        <f t="shared" si="216"/>
        <v/>
      </c>
      <c r="IE784" s="1900" t="str">
        <f t="shared" si="217"/>
        <v/>
      </c>
      <c r="IF784" s="1900" t="str">
        <f t="shared" si="218"/>
        <v/>
      </c>
      <c r="IG784" s="1900" t="str">
        <f t="shared" si="219"/>
        <v/>
      </c>
      <c r="IH784" s="1900" t="str">
        <f t="shared" si="220"/>
        <v/>
      </c>
      <c r="II784" s="1900" t="str">
        <f t="shared" si="221"/>
        <v/>
      </c>
      <c r="IJ784" s="1900" t="str">
        <f t="shared" si="222"/>
        <v/>
      </c>
      <c r="IK784" s="1900" t="str">
        <f t="shared" si="223"/>
        <v/>
      </c>
      <c r="IL784" s="1900" t="str">
        <f t="shared" si="224"/>
        <v/>
      </c>
      <c r="IM784" s="1900" t="str">
        <f t="shared" si="225"/>
        <v/>
      </c>
      <c r="IN784" s="1900" t="str">
        <f t="shared" si="226"/>
        <v/>
      </c>
      <c r="IO784" s="1900" t="str">
        <f t="shared" si="227"/>
        <v/>
      </c>
      <c r="IP784" s="1900" t="str">
        <f t="shared" si="228"/>
        <v/>
      </c>
      <c r="IQ784" s="1900" t="str">
        <f t="shared" si="229"/>
        <v/>
      </c>
      <c r="IR784" s="1900" t="str">
        <f t="shared" si="230"/>
        <v/>
      </c>
      <c r="IS784" s="1900" t="str">
        <f t="shared" si="231"/>
        <v/>
      </c>
      <c r="IT784" s="1900" t="str">
        <f t="shared" si="232"/>
        <v/>
      </c>
      <c r="IU784" s="1900" t="str">
        <f t="shared" si="233"/>
        <v/>
      </c>
      <c r="IV784" s="1900" t="str">
        <f t="shared" si="234"/>
        <v/>
      </c>
      <c r="IW784" s="1900" t="str">
        <f t="shared" si="235"/>
        <v/>
      </c>
      <c r="IX784" s="1900" t="str">
        <f t="shared" si="236"/>
        <v/>
      </c>
      <c r="IY784" s="1900" t="str">
        <f t="shared" si="237"/>
        <v/>
      </c>
      <c r="IZ784" s="1900" t="str">
        <f t="shared" si="238"/>
        <v/>
      </c>
      <c r="JA784" s="1900" t="str">
        <f t="shared" si="239"/>
        <v/>
      </c>
      <c r="JB784" s="1900" t="str">
        <f t="shared" si="240"/>
        <v/>
      </c>
      <c r="JC784" s="1900" t="str">
        <f t="shared" si="241"/>
        <v/>
      </c>
      <c r="JD784" s="1900" t="str">
        <f t="shared" si="242"/>
        <v/>
      </c>
      <c r="JE784" s="1900" t="str">
        <f t="shared" si="243"/>
        <v/>
      </c>
      <c r="JF784" s="1900" t="str">
        <f t="shared" si="244"/>
        <v/>
      </c>
      <c r="JG784" s="1900" t="str">
        <f t="shared" si="245"/>
        <v/>
      </c>
      <c r="JH784" s="1900" t="str">
        <f t="shared" si="246"/>
        <v/>
      </c>
      <c r="JI784" s="1900" t="str">
        <f t="shared" si="247"/>
        <v/>
      </c>
      <c r="JJ784" s="1900" t="str">
        <f t="shared" si="248"/>
        <v/>
      </c>
      <c r="JK784" s="1900" t="str">
        <f t="shared" si="249"/>
        <v/>
      </c>
      <c r="JL784" s="1900" t="str">
        <f t="shared" si="250"/>
        <v/>
      </c>
      <c r="JM784" s="1900" t="str">
        <f t="shared" si="251"/>
        <v/>
      </c>
      <c r="JN784" s="1900" t="str">
        <f t="shared" si="252"/>
        <v/>
      </c>
      <c r="JO784" s="1900" t="str">
        <f t="shared" si="253"/>
        <v/>
      </c>
      <c r="JP784" s="1900" t="str">
        <f t="shared" si="254"/>
        <v/>
      </c>
      <c r="JQ784" s="1900" t="str">
        <f t="shared" si="255"/>
        <v/>
      </c>
      <c r="JR784" s="1900" t="str">
        <f t="shared" si="256"/>
        <v/>
      </c>
      <c r="JS784" s="1900" t="str">
        <f t="shared" si="257"/>
        <v/>
      </c>
      <c r="JT784" s="1900" t="str">
        <f t="shared" si="258"/>
        <v/>
      </c>
      <c r="JU784" s="1900" t="str">
        <f t="shared" si="259"/>
        <v/>
      </c>
      <c r="JV784" s="1900" t="str">
        <f t="shared" si="260"/>
        <v/>
      </c>
      <c r="JW784" s="1900" t="str">
        <f t="shared" si="261"/>
        <v/>
      </c>
      <c r="JX784" s="1900" t="str">
        <f t="shared" si="262"/>
        <v/>
      </c>
      <c r="JY784" s="1900" t="str">
        <f t="shared" si="263"/>
        <v/>
      </c>
      <c r="JZ784" s="1900" t="str">
        <f t="shared" si="264"/>
        <v/>
      </c>
      <c r="KA784" s="1900" t="str">
        <f t="shared" si="265"/>
        <v/>
      </c>
      <c r="KB784" s="1900" t="str">
        <f t="shared" si="266"/>
        <v/>
      </c>
      <c r="KC784" s="1900" t="str">
        <f t="shared" si="267"/>
        <v/>
      </c>
      <c r="KD784" s="1900" t="str">
        <f t="shared" si="268"/>
        <v/>
      </c>
      <c r="KE784" s="1900" t="str">
        <f t="shared" si="269"/>
        <v/>
      </c>
      <c r="KF784" s="1900" t="str">
        <f t="shared" si="270"/>
        <v/>
      </c>
      <c r="KG784" s="1900" t="str">
        <f t="shared" si="271"/>
        <v/>
      </c>
      <c r="KH784" s="1900" t="str">
        <f t="shared" si="272"/>
        <v/>
      </c>
      <c r="KI784" s="1900" t="str">
        <f t="shared" si="273"/>
        <v/>
      </c>
      <c r="KJ784" s="1900" t="str">
        <f t="shared" si="274"/>
        <v/>
      </c>
      <c r="KK784" s="1900" t="str">
        <f t="shared" si="275"/>
        <v/>
      </c>
      <c r="KL784" s="1900" t="str">
        <f t="shared" si="276"/>
        <v/>
      </c>
      <c r="KM784" s="1900" t="str">
        <f t="shared" si="277"/>
        <v/>
      </c>
      <c r="KN784" s="1900" t="str">
        <f t="shared" si="278"/>
        <v/>
      </c>
      <c r="KO784" s="1900" t="str">
        <f t="shared" si="279"/>
        <v/>
      </c>
      <c r="KP784" s="1900" t="str">
        <f t="shared" si="280"/>
        <v/>
      </c>
      <c r="KQ784" s="1900" t="str">
        <f t="shared" si="281"/>
        <v/>
      </c>
      <c r="KR784" s="1900" t="str">
        <f t="shared" si="282"/>
        <v/>
      </c>
      <c r="KS784" s="1900" t="str">
        <f t="shared" si="283"/>
        <v/>
      </c>
      <c r="KT784" s="1900" t="str">
        <f t="shared" si="284"/>
        <v/>
      </c>
      <c r="KU784" s="1900" t="str">
        <f t="shared" si="285"/>
        <v/>
      </c>
      <c r="KV784" s="1900" t="str">
        <f t="shared" si="286"/>
        <v/>
      </c>
      <c r="KW784" s="1900" t="str">
        <f t="shared" si="287"/>
        <v/>
      </c>
      <c r="KX784" s="1900" t="str">
        <f t="shared" si="288"/>
        <v/>
      </c>
      <c r="KY784" s="1900" t="str">
        <f t="shared" si="289"/>
        <v/>
      </c>
      <c r="KZ784" s="1900" t="str">
        <f t="shared" si="290"/>
        <v/>
      </c>
      <c r="LA784" s="1900" t="str">
        <f t="shared" si="291"/>
        <v/>
      </c>
      <c r="LB784" s="1900" t="str">
        <f t="shared" si="292"/>
        <v/>
      </c>
      <c r="LC784" s="1900" t="str">
        <f t="shared" si="293"/>
        <v/>
      </c>
      <c r="LD784" s="1900" t="str">
        <f t="shared" si="294"/>
        <v/>
      </c>
      <c r="LE784" s="1900" t="str">
        <f t="shared" si="295"/>
        <v/>
      </c>
      <c r="LF784" s="1900" t="str">
        <f t="shared" si="296"/>
        <v/>
      </c>
      <c r="LG784" s="1900" t="str">
        <f t="shared" si="297"/>
        <v/>
      </c>
      <c r="LH784" s="1900" t="str">
        <f t="shared" si="298"/>
        <v/>
      </c>
      <c r="LI784" s="1900" t="str">
        <f t="shared" si="299"/>
        <v/>
      </c>
      <c r="LJ784" s="1900" t="str">
        <f t="shared" si="300"/>
        <v/>
      </c>
      <c r="LK784" s="1900" t="str">
        <f t="shared" si="301"/>
        <v/>
      </c>
      <c r="LL784" s="1900" t="str">
        <f t="shared" si="302"/>
        <v/>
      </c>
      <c r="LM784" s="1900" t="str">
        <f t="shared" si="303"/>
        <v/>
      </c>
      <c r="LN784" s="1900" t="str">
        <f t="shared" si="304"/>
        <v/>
      </c>
      <c r="LO784" s="1900" t="str">
        <f t="shared" si="305"/>
        <v/>
      </c>
      <c r="LP784" s="1900" t="str">
        <f t="shared" si="306"/>
        <v/>
      </c>
      <c r="LQ784" s="1874" t="str">
        <f t="shared" si="307"/>
        <v/>
      </c>
      <c r="LR784" s="1874" t="str">
        <f t="shared" si="308"/>
        <v/>
      </c>
      <c r="LS784" s="1874" t="str">
        <f t="shared" si="309"/>
        <v/>
      </c>
      <c r="LT784" s="1874" t="str">
        <f t="shared" si="310"/>
        <v/>
      </c>
      <c r="LU784" s="1874" t="str">
        <f t="shared" si="311"/>
        <v/>
      </c>
      <c r="LV784" s="1995" t="str">
        <f t="shared" si="312"/>
        <v/>
      </c>
      <c r="LW784" s="1995" t="str">
        <f t="shared" si="313"/>
        <v/>
      </c>
      <c r="LX784" s="1995" t="str">
        <f t="shared" si="314"/>
        <v/>
      </c>
      <c r="LY784" s="1995" t="str">
        <f t="shared" si="315"/>
        <v/>
      </c>
      <c r="LZ784" s="1995" t="str">
        <f t="shared" si="316"/>
        <v/>
      </c>
      <c r="MA784" s="1995" t="str">
        <f t="shared" si="317"/>
        <v/>
      </c>
      <c r="MB784" s="1995" t="str">
        <f t="shared" si="318"/>
        <v/>
      </c>
      <c r="MC784" s="1995" t="str">
        <f t="shared" si="319"/>
        <v/>
      </c>
      <c r="MD784" s="1995" t="str">
        <f t="shared" si="320"/>
        <v/>
      </c>
      <c r="ME784" s="1995" t="str">
        <f t="shared" si="321"/>
        <v/>
      </c>
      <c r="MF784" s="1995" t="str">
        <f t="shared" si="322"/>
        <v/>
      </c>
      <c r="MG784" s="1995" t="str">
        <f t="shared" si="323"/>
        <v/>
      </c>
      <c r="MH784" s="1995" t="str">
        <f t="shared" si="324"/>
        <v/>
      </c>
      <c r="MI784" s="1995" t="str">
        <f t="shared" si="325"/>
        <v/>
      </c>
      <c r="MJ784" s="1995" t="str">
        <f t="shared" si="326"/>
        <v/>
      </c>
      <c r="MK784" s="1995" t="str">
        <f t="shared" si="327"/>
        <v/>
      </c>
      <c r="ML784" s="1995" t="str">
        <f t="shared" si="328"/>
        <v/>
      </c>
      <c r="MM784" s="1995" t="str">
        <f t="shared" si="329"/>
        <v/>
      </c>
      <c r="MN784" s="1995" t="str">
        <f t="shared" si="330"/>
        <v/>
      </c>
      <c r="MO784" s="1995" t="str">
        <f t="shared" si="331"/>
        <v/>
      </c>
      <c r="MP784" s="1874">
        <f t="shared" si="338"/>
        <v>0</v>
      </c>
      <c r="MQ784" s="1874">
        <f t="shared" si="339"/>
        <v>0</v>
      </c>
      <c r="MR784" s="1874">
        <f t="shared" si="340"/>
        <v>0</v>
      </c>
      <c r="MS784" s="1874">
        <f t="shared" si="341"/>
        <v>0</v>
      </c>
      <c r="MT784" s="1874">
        <f t="shared" si="342"/>
        <v>0</v>
      </c>
      <c r="MU784" s="1874">
        <f t="shared" si="343"/>
        <v>0</v>
      </c>
      <c r="MV784" s="1874">
        <f t="shared" si="344"/>
        <v>0</v>
      </c>
      <c r="MW784" s="1874">
        <f t="shared" si="345"/>
        <v>0</v>
      </c>
      <c r="MX784" s="1874">
        <f t="shared" si="346"/>
        <v>0</v>
      </c>
      <c r="MY784" s="1874">
        <f t="shared" si="347"/>
        <v>0</v>
      </c>
      <c r="MZ784" s="1874">
        <f t="shared" si="332"/>
        <v>0</v>
      </c>
      <c r="NA784" s="1874">
        <f t="shared" si="333"/>
        <v>0</v>
      </c>
      <c r="NB784" s="1874">
        <f t="shared" si="334"/>
        <v>0</v>
      </c>
      <c r="NC784" s="1874">
        <f t="shared" si="335"/>
        <v>0</v>
      </c>
      <c r="ND784" s="1874">
        <f t="shared" si="336"/>
        <v>0</v>
      </c>
    </row>
    <row r="785" spans="1:368" ht="13.95" customHeight="1">
      <c r="A785" s="1896" t="str">
        <f t="shared" si="337"/>
        <v/>
      </c>
      <c r="B785" s="2212" t="str">
        <f>'Part VI-Revenues &amp; Expenses'!B16</f>
        <v>Unrestricted</v>
      </c>
      <c r="C785" s="2213">
        <f>'Part VI-Revenues &amp; Expenses'!C16</f>
        <v>0</v>
      </c>
      <c r="D785" s="2214">
        <f>'Part VI-Revenues &amp; Expenses'!D16</f>
        <v>0</v>
      </c>
      <c r="E785" s="2215">
        <f>'Part VI-Revenues &amp; Expenses'!E16</f>
        <v>0</v>
      </c>
      <c r="F785" s="2215">
        <f>'Part VI-Revenues &amp; Expenses'!F16</f>
        <v>0</v>
      </c>
      <c r="G785" s="2215">
        <f>'Part VI-Revenues &amp; Expenses'!G16</f>
        <v>0</v>
      </c>
      <c r="H785" s="2215">
        <f>'Part VI-Revenues &amp; Expenses'!H16</f>
        <v>0</v>
      </c>
      <c r="I785" s="2215">
        <f>'Part VI-Revenues &amp; Expenses'!I16</f>
        <v>0</v>
      </c>
      <c r="J785" s="2215">
        <f>'Part VI-Revenues &amp; Expenses'!J16</f>
        <v>0</v>
      </c>
      <c r="K785" s="2216">
        <f>'Part VI-Revenues &amp; Expenses'!K16</f>
        <v>0</v>
      </c>
      <c r="L785" s="1899">
        <f t="shared" si="0"/>
        <v>0</v>
      </c>
      <c r="M785" s="1899">
        <f t="shared" si="1"/>
        <v>0</v>
      </c>
      <c r="N785" s="2074">
        <f>'Part VI-Revenues &amp; Expenses'!N16</f>
        <v>0</v>
      </c>
      <c r="O785" s="2074">
        <f>'Part VI-Revenues &amp; Expenses'!O16</f>
        <v>0</v>
      </c>
      <c r="P785" s="2074">
        <f>'Part VI-Revenues &amp; Expenses'!P16</f>
        <v>0</v>
      </c>
      <c r="Q785" s="1732">
        <f>'Part VI-Revenues &amp; Expenses'!Q16</f>
        <v>0</v>
      </c>
      <c r="R785" s="1926"/>
      <c r="S785" s="2148"/>
      <c r="T785" s="1910"/>
      <c r="U785" s="1910"/>
      <c r="V785" s="1910"/>
      <c r="W785" s="1910"/>
      <c r="X785" s="1995" t="str">
        <f t="shared" si="2"/>
        <v/>
      </c>
      <c r="Y785" s="1995" t="str">
        <f t="shared" si="3"/>
        <v/>
      </c>
      <c r="Z785" s="1995" t="str">
        <f t="shared" si="4"/>
        <v/>
      </c>
      <c r="AA785" s="1995" t="str">
        <f t="shared" si="5"/>
        <v/>
      </c>
      <c r="AB785" s="1995" t="str">
        <f t="shared" si="6"/>
        <v/>
      </c>
      <c r="AC785" s="1995" t="str">
        <f t="shared" si="7"/>
        <v/>
      </c>
      <c r="AD785" s="1995" t="str">
        <f t="shared" si="8"/>
        <v/>
      </c>
      <c r="AE785" s="1995" t="str">
        <f t="shared" si="9"/>
        <v/>
      </c>
      <c r="AF785" s="1995" t="str">
        <f t="shared" si="10"/>
        <v/>
      </c>
      <c r="AG785" s="1995" t="str">
        <f t="shared" si="11"/>
        <v/>
      </c>
      <c r="AH785" s="1995" t="str">
        <f t="shared" si="12"/>
        <v/>
      </c>
      <c r="AI785" s="1995" t="str">
        <f t="shared" si="13"/>
        <v/>
      </c>
      <c r="AJ785" s="1995" t="str">
        <f t="shared" si="14"/>
        <v/>
      </c>
      <c r="AK785" s="1995" t="str">
        <f t="shared" si="15"/>
        <v/>
      </c>
      <c r="AL785" s="1995" t="str">
        <f t="shared" si="16"/>
        <v/>
      </c>
      <c r="AM785" s="1995" t="str">
        <f t="shared" si="17"/>
        <v/>
      </c>
      <c r="AN785" s="1995" t="str">
        <f t="shared" si="18"/>
        <v/>
      </c>
      <c r="AO785" s="1995" t="str">
        <f t="shared" si="19"/>
        <v/>
      </c>
      <c r="AP785" s="1995" t="str">
        <f t="shared" si="20"/>
        <v/>
      </c>
      <c r="AQ785" s="1995" t="str">
        <f t="shared" si="21"/>
        <v/>
      </c>
      <c r="AR785" s="1995" t="str">
        <f t="shared" si="22"/>
        <v/>
      </c>
      <c r="AS785" s="1995" t="str">
        <f t="shared" si="23"/>
        <v/>
      </c>
      <c r="AT785" s="1995" t="str">
        <f t="shared" si="24"/>
        <v/>
      </c>
      <c r="AU785" s="1995" t="str">
        <f t="shared" si="25"/>
        <v/>
      </c>
      <c r="AV785" s="1995" t="str">
        <f t="shared" si="26"/>
        <v/>
      </c>
      <c r="AW785" s="1995" t="str">
        <f t="shared" si="27"/>
        <v/>
      </c>
      <c r="AX785" s="1995" t="str">
        <f t="shared" si="28"/>
        <v/>
      </c>
      <c r="AY785" s="1995" t="str">
        <f t="shared" si="29"/>
        <v/>
      </c>
      <c r="AZ785" s="1995" t="str">
        <f t="shared" si="30"/>
        <v/>
      </c>
      <c r="BA785" s="1995" t="str">
        <f t="shared" si="31"/>
        <v/>
      </c>
      <c r="BB785" s="1995" t="str">
        <f t="shared" si="32"/>
        <v/>
      </c>
      <c r="BC785" s="1995" t="str">
        <f t="shared" si="33"/>
        <v/>
      </c>
      <c r="BD785" s="1995" t="str">
        <f t="shared" si="34"/>
        <v/>
      </c>
      <c r="BE785" s="1995" t="str">
        <f t="shared" si="35"/>
        <v/>
      </c>
      <c r="BF785" s="1995" t="str">
        <f t="shared" si="36"/>
        <v/>
      </c>
      <c r="BG785" s="1995" t="str">
        <f t="shared" si="37"/>
        <v/>
      </c>
      <c r="BH785" s="1995" t="str">
        <f t="shared" si="38"/>
        <v/>
      </c>
      <c r="BI785" s="1995" t="str">
        <f t="shared" si="39"/>
        <v/>
      </c>
      <c r="BJ785" s="1995" t="str">
        <f t="shared" si="40"/>
        <v/>
      </c>
      <c r="BK785" s="1995" t="str">
        <f t="shared" si="41"/>
        <v/>
      </c>
      <c r="BL785" s="1995" t="str">
        <f t="shared" si="42"/>
        <v/>
      </c>
      <c r="BM785" s="1995" t="str">
        <f t="shared" si="43"/>
        <v/>
      </c>
      <c r="BN785" s="1995" t="str">
        <f t="shared" si="44"/>
        <v/>
      </c>
      <c r="BO785" s="1995" t="str">
        <f t="shared" si="45"/>
        <v/>
      </c>
      <c r="BP785" s="1995" t="str">
        <f t="shared" si="46"/>
        <v/>
      </c>
      <c r="BQ785" s="1995" t="str">
        <f t="shared" si="47"/>
        <v/>
      </c>
      <c r="BR785" s="1995" t="str">
        <f t="shared" si="48"/>
        <v/>
      </c>
      <c r="BS785" s="1995" t="str">
        <f t="shared" si="49"/>
        <v/>
      </c>
      <c r="BT785" s="1995" t="str">
        <f t="shared" si="50"/>
        <v/>
      </c>
      <c r="BU785" s="1995" t="str">
        <f t="shared" si="51"/>
        <v/>
      </c>
      <c r="BV785" s="1995" t="str">
        <f t="shared" si="52"/>
        <v/>
      </c>
      <c r="BW785" s="1995" t="str">
        <f t="shared" si="53"/>
        <v/>
      </c>
      <c r="BX785" s="1995" t="str">
        <f t="shared" si="54"/>
        <v/>
      </c>
      <c r="BY785" s="1995" t="str">
        <f t="shared" si="55"/>
        <v/>
      </c>
      <c r="BZ785" s="1995" t="str">
        <f t="shared" si="56"/>
        <v/>
      </c>
      <c r="CA785" s="1995" t="str">
        <f t="shared" si="57"/>
        <v/>
      </c>
      <c r="CB785" s="1995" t="str">
        <f t="shared" si="58"/>
        <v/>
      </c>
      <c r="CC785" s="1995" t="str">
        <f t="shared" si="59"/>
        <v/>
      </c>
      <c r="CD785" s="1995" t="str">
        <f t="shared" si="60"/>
        <v/>
      </c>
      <c r="CE785" s="1995" t="str">
        <f t="shared" si="61"/>
        <v/>
      </c>
      <c r="CF785" s="1995" t="str">
        <f t="shared" si="62"/>
        <v/>
      </c>
      <c r="CG785" s="1995" t="str">
        <f t="shared" si="63"/>
        <v/>
      </c>
      <c r="CH785" s="1995" t="str">
        <f t="shared" si="64"/>
        <v/>
      </c>
      <c r="CI785" s="1995" t="str">
        <f t="shared" si="65"/>
        <v/>
      </c>
      <c r="CJ785" s="1995" t="str">
        <f t="shared" si="66"/>
        <v/>
      </c>
      <c r="CK785" s="1995" t="str">
        <f t="shared" si="67"/>
        <v/>
      </c>
      <c r="CL785" s="1995" t="str">
        <f t="shared" si="68"/>
        <v/>
      </c>
      <c r="CM785" s="1995" t="str">
        <f t="shared" si="69"/>
        <v/>
      </c>
      <c r="CN785" s="1995" t="str">
        <f t="shared" si="70"/>
        <v/>
      </c>
      <c r="CO785" s="1995" t="str">
        <f t="shared" si="71"/>
        <v/>
      </c>
      <c r="CP785" s="1995" t="str">
        <f t="shared" si="72"/>
        <v/>
      </c>
      <c r="CQ785" s="1995" t="str">
        <f t="shared" si="73"/>
        <v/>
      </c>
      <c r="CR785" s="1995" t="str">
        <f t="shared" si="74"/>
        <v/>
      </c>
      <c r="CS785" s="1995" t="str">
        <f t="shared" si="75"/>
        <v/>
      </c>
      <c r="CT785" s="1995" t="str">
        <f t="shared" si="76"/>
        <v/>
      </c>
      <c r="CU785" s="1995" t="str">
        <f t="shared" si="77"/>
        <v/>
      </c>
      <c r="CV785" s="1995" t="str">
        <f t="shared" si="78"/>
        <v/>
      </c>
      <c r="CW785" s="1995" t="str">
        <f t="shared" si="79"/>
        <v/>
      </c>
      <c r="CX785" s="1995" t="str">
        <f t="shared" si="80"/>
        <v/>
      </c>
      <c r="CY785" s="1995" t="str">
        <f t="shared" si="81"/>
        <v/>
      </c>
      <c r="CZ785" s="1995" t="str">
        <f t="shared" si="82"/>
        <v/>
      </c>
      <c r="DA785" s="1995" t="str">
        <f t="shared" si="83"/>
        <v/>
      </c>
      <c r="DB785" s="1995" t="str">
        <f t="shared" si="84"/>
        <v/>
      </c>
      <c r="DC785" s="1995" t="str">
        <f t="shared" si="85"/>
        <v/>
      </c>
      <c r="DD785" s="1995" t="str">
        <f t="shared" si="86"/>
        <v/>
      </c>
      <c r="DE785" s="1995" t="str">
        <f t="shared" si="87"/>
        <v/>
      </c>
      <c r="DF785" s="1995" t="str">
        <f t="shared" si="88"/>
        <v/>
      </c>
      <c r="DG785" s="1995" t="str">
        <f t="shared" si="89"/>
        <v/>
      </c>
      <c r="DH785" s="1995" t="str">
        <f t="shared" si="90"/>
        <v/>
      </c>
      <c r="DI785" s="1995" t="str">
        <f t="shared" si="91"/>
        <v/>
      </c>
      <c r="DJ785" s="1995" t="str">
        <f t="shared" si="92"/>
        <v/>
      </c>
      <c r="DK785" s="1995" t="str">
        <f t="shared" si="93"/>
        <v/>
      </c>
      <c r="DL785" s="1995" t="str">
        <f t="shared" si="94"/>
        <v/>
      </c>
      <c r="DM785" s="1995" t="str">
        <f t="shared" si="95"/>
        <v/>
      </c>
      <c r="DN785" s="1995" t="str">
        <f t="shared" si="96"/>
        <v/>
      </c>
      <c r="DO785" s="1995" t="str">
        <f t="shared" si="97"/>
        <v/>
      </c>
      <c r="DP785" s="1995" t="str">
        <f t="shared" si="98"/>
        <v/>
      </c>
      <c r="DQ785" s="1995" t="str">
        <f t="shared" si="99"/>
        <v/>
      </c>
      <c r="DR785" s="1995" t="str">
        <f t="shared" si="100"/>
        <v/>
      </c>
      <c r="DS785" s="1995" t="str">
        <f t="shared" si="101"/>
        <v/>
      </c>
      <c r="DT785" s="1995" t="str">
        <f t="shared" si="102"/>
        <v/>
      </c>
      <c r="DU785" s="1995" t="str">
        <f t="shared" si="103"/>
        <v/>
      </c>
      <c r="DV785" s="1995" t="str">
        <f t="shared" si="104"/>
        <v/>
      </c>
      <c r="DW785" s="1995" t="str">
        <f t="shared" si="105"/>
        <v/>
      </c>
      <c r="DX785" s="1995" t="str">
        <f t="shared" si="106"/>
        <v/>
      </c>
      <c r="DY785" s="1995" t="str">
        <f t="shared" si="107"/>
        <v/>
      </c>
      <c r="DZ785" s="1995" t="str">
        <f t="shared" si="108"/>
        <v/>
      </c>
      <c r="EA785" s="1995" t="str">
        <f t="shared" si="109"/>
        <v/>
      </c>
      <c r="EB785" s="1995" t="str">
        <f t="shared" si="110"/>
        <v/>
      </c>
      <c r="EC785" s="1995" t="str">
        <f t="shared" si="111"/>
        <v/>
      </c>
      <c r="ED785" s="1995" t="str">
        <f t="shared" si="112"/>
        <v/>
      </c>
      <c r="EE785" s="1995" t="str">
        <f t="shared" si="113"/>
        <v/>
      </c>
      <c r="EF785" s="1995" t="str">
        <f t="shared" si="114"/>
        <v/>
      </c>
      <c r="EG785" s="1995" t="str">
        <f t="shared" si="115"/>
        <v/>
      </c>
      <c r="EH785" s="1995" t="str">
        <f t="shared" si="116"/>
        <v/>
      </c>
      <c r="EI785" s="1995" t="str">
        <f t="shared" si="117"/>
        <v/>
      </c>
      <c r="EJ785" s="1995" t="str">
        <f t="shared" si="118"/>
        <v/>
      </c>
      <c r="EK785" s="1995" t="str">
        <f t="shared" si="119"/>
        <v/>
      </c>
      <c r="EL785" s="1995" t="str">
        <f t="shared" si="120"/>
        <v/>
      </c>
      <c r="EM785" s="1995" t="str">
        <f t="shared" si="121"/>
        <v/>
      </c>
      <c r="EN785" s="1995" t="str">
        <f t="shared" si="122"/>
        <v/>
      </c>
      <c r="EO785" s="1995" t="str">
        <f t="shared" si="123"/>
        <v/>
      </c>
      <c r="EP785" s="1995" t="str">
        <f t="shared" si="124"/>
        <v/>
      </c>
      <c r="EQ785" s="1995" t="str">
        <f t="shared" si="125"/>
        <v/>
      </c>
      <c r="ER785" s="1995" t="str">
        <f t="shared" si="126"/>
        <v/>
      </c>
      <c r="ES785" s="1995" t="str">
        <f t="shared" si="127"/>
        <v/>
      </c>
      <c r="ET785" s="1995" t="str">
        <f t="shared" si="128"/>
        <v/>
      </c>
      <c r="EU785" s="1995" t="str">
        <f t="shared" si="129"/>
        <v/>
      </c>
      <c r="EV785" s="1995" t="str">
        <f t="shared" si="130"/>
        <v/>
      </c>
      <c r="EW785" s="1995" t="str">
        <f t="shared" si="131"/>
        <v/>
      </c>
      <c r="EX785" s="1995" t="str">
        <f t="shared" si="132"/>
        <v/>
      </c>
      <c r="EY785" s="1995" t="str">
        <f t="shared" si="133"/>
        <v/>
      </c>
      <c r="EZ785" s="1995" t="str">
        <f t="shared" si="134"/>
        <v/>
      </c>
      <c r="FA785" s="1995" t="str">
        <f t="shared" si="135"/>
        <v/>
      </c>
      <c r="FB785" s="1995" t="str">
        <f t="shared" si="136"/>
        <v/>
      </c>
      <c r="FC785" s="1995" t="str">
        <f t="shared" si="137"/>
        <v/>
      </c>
      <c r="FD785" s="1995" t="str">
        <f t="shared" si="138"/>
        <v/>
      </c>
      <c r="FE785" s="1995" t="str">
        <f t="shared" si="139"/>
        <v/>
      </c>
      <c r="FF785" s="1995" t="str">
        <f t="shared" si="140"/>
        <v/>
      </c>
      <c r="FG785" s="1995" t="str">
        <f t="shared" si="141"/>
        <v/>
      </c>
      <c r="FH785" s="1995" t="str">
        <f t="shared" si="142"/>
        <v/>
      </c>
      <c r="FI785" s="1995" t="str">
        <f t="shared" si="143"/>
        <v/>
      </c>
      <c r="FJ785" s="1995" t="str">
        <f t="shared" si="144"/>
        <v/>
      </c>
      <c r="FK785" s="1995" t="str">
        <f t="shared" si="145"/>
        <v/>
      </c>
      <c r="FL785" s="1995" t="str">
        <f t="shared" si="146"/>
        <v/>
      </c>
      <c r="FM785" s="1995" t="str">
        <f t="shared" si="147"/>
        <v/>
      </c>
      <c r="FN785" s="1995" t="str">
        <f t="shared" si="148"/>
        <v/>
      </c>
      <c r="FO785" s="1995" t="str">
        <f t="shared" si="149"/>
        <v/>
      </c>
      <c r="FP785" s="1995" t="str">
        <f t="shared" si="150"/>
        <v/>
      </c>
      <c r="FQ785" s="1995" t="str">
        <f t="shared" si="151"/>
        <v/>
      </c>
      <c r="FR785" s="1995" t="str">
        <f t="shared" si="152"/>
        <v/>
      </c>
      <c r="FS785" s="1995" t="str">
        <f t="shared" si="153"/>
        <v/>
      </c>
      <c r="FT785" s="1995" t="str">
        <f t="shared" si="154"/>
        <v/>
      </c>
      <c r="FU785" s="1995" t="str">
        <f t="shared" si="155"/>
        <v/>
      </c>
      <c r="FV785" s="1995" t="str">
        <f t="shared" si="156"/>
        <v/>
      </c>
      <c r="FW785" s="1995" t="str">
        <f t="shared" si="157"/>
        <v/>
      </c>
      <c r="FX785" s="1995" t="str">
        <f t="shared" si="158"/>
        <v/>
      </c>
      <c r="FY785" s="1995" t="str">
        <f t="shared" si="159"/>
        <v/>
      </c>
      <c r="FZ785" s="1995" t="str">
        <f t="shared" si="160"/>
        <v/>
      </c>
      <c r="GA785" s="1995" t="str">
        <f t="shared" si="161"/>
        <v/>
      </c>
      <c r="GB785" s="1995" t="str">
        <f t="shared" si="162"/>
        <v/>
      </c>
      <c r="GC785" s="1995" t="str">
        <f t="shared" si="163"/>
        <v/>
      </c>
      <c r="GD785" s="1995" t="str">
        <f t="shared" si="164"/>
        <v/>
      </c>
      <c r="GE785" s="1995" t="str">
        <f t="shared" si="165"/>
        <v/>
      </c>
      <c r="GF785" s="1995" t="str">
        <f t="shared" si="166"/>
        <v/>
      </c>
      <c r="GG785" s="1995" t="str">
        <f t="shared" si="167"/>
        <v/>
      </c>
      <c r="GH785" s="1995" t="str">
        <f t="shared" si="168"/>
        <v/>
      </c>
      <c r="GI785" s="1995" t="str">
        <f t="shared" si="169"/>
        <v/>
      </c>
      <c r="GJ785" s="1995" t="str">
        <f t="shared" si="170"/>
        <v/>
      </c>
      <c r="GK785" s="1995" t="str">
        <f t="shared" si="171"/>
        <v/>
      </c>
      <c r="GL785" s="1995" t="str">
        <f t="shared" si="172"/>
        <v/>
      </c>
      <c r="GM785" s="1995" t="str">
        <f t="shared" si="173"/>
        <v/>
      </c>
      <c r="GN785" s="1995" t="str">
        <f t="shared" si="174"/>
        <v/>
      </c>
      <c r="GO785" s="1995" t="str">
        <f t="shared" si="175"/>
        <v/>
      </c>
      <c r="GP785" s="1995" t="str">
        <f t="shared" si="176"/>
        <v/>
      </c>
      <c r="GQ785" s="1995" t="str">
        <f t="shared" si="177"/>
        <v/>
      </c>
      <c r="GR785" s="1995" t="str">
        <f t="shared" si="178"/>
        <v/>
      </c>
      <c r="GS785" s="1995" t="str">
        <f t="shared" si="179"/>
        <v/>
      </c>
      <c r="GT785" s="1995" t="str">
        <f t="shared" si="180"/>
        <v/>
      </c>
      <c r="GU785" s="1995" t="str">
        <f t="shared" si="181"/>
        <v/>
      </c>
      <c r="GV785" s="1995" t="str">
        <f t="shared" si="182"/>
        <v/>
      </c>
      <c r="GW785" s="1995" t="str">
        <f t="shared" si="183"/>
        <v/>
      </c>
      <c r="GX785" s="1995" t="str">
        <f t="shared" si="184"/>
        <v/>
      </c>
      <c r="GY785" s="1995" t="str">
        <f t="shared" si="185"/>
        <v/>
      </c>
      <c r="GZ785" s="1995" t="str">
        <f t="shared" si="186"/>
        <v/>
      </c>
      <c r="HA785" s="1995" t="str">
        <f t="shared" si="187"/>
        <v/>
      </c>
      <c r="HB785" s="1995" t="str">
        <f t="shared" si="188"/>
        <v/>
      </c>
      <c r="HC785" s="1995" t="str">
        <f t="shared" si="189"/>
        <v/>
      </c>
      <c r="HD785" s="1995" t="str">
        <f t="shared" si="190"/>
        <v/>
      </c>
      <c r="HE785" s="1995" t="str">
        <f t="shared" si="191"/>
        <v/>
      </c>
      <c r="HF785" s="1995" t="str">
        <f t="shared" si="192"/>
        <v/>
      </c>
      <c r="HG785" s="1995" t="str">
        <f t="shared" si="193"/>
        <v/>
      </c>
      <c r="HH785" s="1995" t="str">
        <f t="shared" si="194"/>
        <v/>
      </c>
      <c r="HI785" s="1995" t="str">
        <f t="shared" si="195"/>
        <v/>
      </c>
      <c r="HJ785" s="1995" t="str">
        <f t="shared" si="196"/>
        <v/>
      </c>
      <c r="HK785" s="1995" t="str">
        <f t="shared" si="197"/>
        <v/>
      </c>
      <c r="HL785" s="1995" t="str">
        <f t="shared" si="198"/>
        <v/>
      </c>
      <c r="HM785" s="1995" t="str">
        <f t="shared" si="199"/>
        <v/>
      </c>
      <c r="HN785" s="1995" t="str">
        <f t="shared" si="200"/>
        <v/>
      </c>
      <c r="HO785" s="1995" t="str">
        <f t="shared" si="201"/>
        <v/>
      </c>
      <c r="HP785" s="1995" t="str">
        <f t="shared" si="202"/>
        <v/>
      </c>
      <c r="HQ785" s="1995" t="str">
        <f t="shared" si="203"/>
        <v/>
      </c>
      <c r="HR785" s="1995" t="str">
        <f t="shared" si="204"/>
        <v/>
      </c>
      <c r="HS785" s="1995" t="str">
        <f t="shared" si="205"/>
        <v/>
      </c>
      <c r="HT785" s="1995" t="str">
        <f t="shared" si="206"/>
        <v/>
      </c>
      <c r="HU785" s="1995" t="str">
        <f t="shared" si="207"/>
        <v/>
      </c>
      <c r="HV785" s="1995" t="str">
        <f t="shared" si="208"/>
        <v/>
      </c>
      <c r="HW785" s="1995" t="str">
        <f t="shared" si="209"/>
        <v/>
      </c>
      <c r="HX785" s="1995" t="str">
        <f t="shared" si="210"/>
        <v/>
      </c>
      <c r="HY785" s="1995" t="str">
        <f t="shared" si="211"/>
        <v/>
      </c>
      <c r="HZ785" s="1900" t="str">
        <f t="shared" si="212"/>
        <v/>
      </c>
      <c r="IA785" s="1900" t="str">
        <f t="shared" si="213"/>
        <v/>
      </c>
      <c r="IB785" s="1900" t="str">
        <f t="shared" si="214"/>
        <v/>
      </c>
      <c r="IC785" s="1900" t="str">
        <f t="shared" si="215"/>
        <v/>
      </c>
      <c r="ID785" s="1900" t="str">
        <f t="shared" si="216"/>
        <v/>
      </c>
      <c r="IE785" s="1900" t="str">
        <f t="shared" si="217"/>
        <v/>
      </c>
      <c r="IF785" s="1900" t="str">
        <f t="shared" si="218"/>
        <v/>
      </c>
      <c r="IG785" s="1900" t="str">
        <f t="shared" si="219"/>
        <v/>
      </c>
      <c r="IH785" s="1900" t="str">
        <f t="shared" si="220"/>
        <v/>
      </c>
      <c r="II785" s="1900" t="str">
        <f t="shared" si="221"/>
        <v/>
      </c>
      <c r="IJ785" s="1900" t="str">
        <f t="shared" si="222"/>
        <v/>
      </c>
      <c r="IK785" s="1900" t="str">
        <f t="shared" si="223"/>
        <v/>
      </c>
      <c r="IL785" s="1900" t="str">
        <f t="shared" si="224"/>
        <v/>
      </c>
      <c r="IM785" s="1900" t="str">
        <f t="shared" si="225"/>
        <v/>
      </c>
      <c r="IN785" s="1900" t="str">
        <f t="shared" si="226"/>
        <v/>
      </c>
      <c r="IO785" s="1900" t="str">
        <f t="shared" si="227"/>
        <v/>
      </c>
      <c r="IP785" s="1900" t="str">
        <f t="shared" si="228"/>
        <v/>
      </c>
      <c r="IQ785" s="1900" t="str">
        <f t="shared" si="229"/>
        <v/>
      </c>
      <c r="IR785" s="1900" t="str">
        <f t="shared" si="230"/>
        <v/>
      </c>
      <c r="IS785" s="1900" t="str">
        <f t="shared" si="231"/>
        <v/>
      </c>
      <c r="IT785" s="1900" t="str">
        <f t="shared" si="232"/>
        <v/>
      </c>
      <c r="IU785" s="1900" t="str">
        <f t="shared" si="233"/>
        <v/>
      </c>
      <c r="IV785" s="1900" t="str">
        <f t="shared" si="234"/>
        <v/>
      </c>
      <c r="IW785" s="1900" t="str">
        <f t="shared" si="235"/>
        <v/>
      </c>
      <c r="IX785" s="1900" t="str">
        <f t="shared" si="236"/>
        <v/>
      </c>
      <c r="IY785" s="1900" t="str">
        <f t="shared" si="237"/>
        <v/>
      </c>
      <c r="IZ785" s="1900" t="str">
        <f t="shared" si="238"/>
        <v/>
      </c>
      <c r="JA785" s="1900" t="str">
        <f t="shared" si="239"/>
        <v/>
      </c>
      <c r="JB785" s="1900" t="str">
        <f t="shared" si="240"/>
        <v/>
      </c>
      <c r="JC785" s="1900" t="str">
        <f t="shared" si="241"/>
        <v/>
      </c>
      <c r="JD785" s="1900" t="str">
        <f t="shared" si="242"/>
        <v/>
      </c>
      <c r="JE785" s="1900" t="str">
        <f t="shared" si="243"/>
        <v/>
      </c>
      <c r="JF785" s="1900" t="str">
        <f t="shared" si="244"/>
        <v/>
      </c>
      <c r="JG785" s="1900" t="str">
        <f t="shared" si="245"/>
        <v/>
      </c>
      <c r="JH785" s="1900" t="str">
        <f t="shared" si="246"/>
        <v/>
      </c>
      <c r="JI785" s="1900" t="str">
        <f t="shared" si="247"/>
        <v/>
      </c>
      <c r="JJ785" s="1900" t="str">
        <f t="shared" si="248"/>
        <v/>
      </c>
      <c r="JK785" s="1900" t="str">
        <f t="shared" si="249"/>
        <v/>
      </c>
      <c r="JL785" s="1900" t="str">
        <f t="shared" si="250"/>
        <v/>
      </c>
      <c r="JM785" s="1900" t="str">
        <f t="shared" si="251"/>
        <v/>
      </c>
      <c r="JN785" s="1900" t="str">
        <f t="shared" si="252"/>
        <v/>
      </c>
      <c r="JO785" s="1900" t="str">
        <f t="shared" si="253"/>
        <v/>
      </c>
      <c r="JP785" s="1900" t="str">
        <f t="shared" si="254"/>
        <v/>
      </c>
      <c r="JQ785" s="1900" t="str">
        <f t="shared" si="255"/>
        <v/>
      </c>
      <c r="JR785" s="1900" t="str">
        <f t="shared" si="256"/>
        <v/>
      </c>
      <c r="JS785" s="1900" t="str">
        <f t="shared" si="257"/>
        <v/>
      </c>
      <c r="JT785" s="1900" t="str">
        <f t="shared" si="258"/>
        <v/>
      </c>
      <c r="JU785" s="1900" t="str">
        <f t="shared" si="259"/>
        <v/>
      </c>
      <c r="JV785" s="1900" t="str">
        <f t="shared" si="260"/>
        <v/>
      </c>
      <c r="JW785" s="1900" t="str">
        <f t="shared" si="261"/>
        <v/>
      </c>
      <c r="JX785" s="1900" t="str">
        <f t="shared" si="262"/>
        <v/>
      </c>
      <c r="JY785" s="1900" t="str">
        <f t="shared" si="263"/>
        <v/>
      </c>
      <c r="JZ785" s="1900" t="str">
        <f t="shared" si="264"/>
        <v/>
      </c>
      <c r="KA785" s="1900" t="str">
        <f t="shared" si="265"/>
        <v/>
      </c>
      <c r="KB785" s="1900" t="str">
        <f t="shared" si="266"/>
        <v/>
      </c>
      <c r="KC785" s="1900" t="str">
        <f t="shared" si="267"/>
        <v/>
      </c>
      <c r="KD785" s="1900" t="str">
        <f t="shared" si="268"/>
        <v/>
      </c>
      <c r="KE785" s="1900" t="str">
        <f t="shared" si="269"/>
        <v/>
      </c>
      <c r="KF785" s="1900" t="str">
        <f t="shared" si="270"/>
        <v/>
      </c>
      <c r="KG785" s="1900" t="str">
        <f t="shared" si="271"/>
        <v/>
      </c>
      <c r="KH785" s="1900" t="str">
        <f t="shared" si="272"/>
        <v/>
      </c>
      <c r="KI785" s="1900" t="str">
        <f t="shared" si="273"/>
        <v/>
      </c>
      <c r="KJ785" s="1900" t="str">
        <f t="shared" si="274"/>
        <v/>
      </c>
      <c r="KK785" s="1900" t="str">
        <f t="shared" si="275"/>
        <v/>
      </c>
      <c r="KL785" s="1900" t="str">
        <f t="shared" si="276"/>
        <v/>
      </c>
      <c r="KM785" s="1900" t="str">
        <f t="shared" si="277"/>
        <v/>
      </c>
      <c r="KN785" s="1900" t="str">
        <f t="shared" si="278"/>
        <v/>
      </c>
      <c r="KO785" s="1900" t="str">
        <f t="shared" si="279"/>
        <v/>
      </c>
      <c r="KP785" s="1900" t="str">
        <f t="shared" si="280"/>
        <v/>
      </c>
      <c r="KQ785" s="1900" t="str">
        <f t="shared" si="281"/>
        <v/>
      </c>
      <c r="KR785" s="1900" t="str">
        <f t="shared" si="282"/>
        <v/>
      </c>
      <c r="KS785" s="1900" t="str">
        <f t="shared" si="283"/>
        <v/>
      </c>
      <c r="KT785" s="1900" t="str">
        <f t="shared" si="284"/>
        <v/>
      </c>
      <c r="KU785" s="1900" t="str">
        <f t="shared" si="285"/>
        <v/>
      </c>
      <c r="KV785" s="1900" t="str">
        <f t="shared" si="286"/>
        <v/>
      </c>
      <c r="KW785" s="1900" t="str">
        <f t="shared" si="287"/>
        <v/>
      </c>
      <c r="KX785" s="1900" t="str">
        <f t="shared" si="288"/>
        <v/>
      </c>
      <c r="KY785" s="1900" t="str">
        <f t="shared" si="289"/>
        <v/>
      </c>
      <c r="KZ785" s="1900" t="str">
        <f t="shared" si="290"/>
        <v/>
      </c>
      <c r="LA785" s="1900" t="str">
        <f t="shared" si="291"/>
        <v/>
      </c>
      <c r="LB785" s="1900" t="str">
        <f t="shared" si="292"/>
        <v/>
      </c>
      <c r="LC785" s="1900" t="str">
        <f t="shared" si="293"/>
        <v/>
      </c>
      <c r="LD785" s="1900" t="str">
        <f t="shared" si="294"/>
        <v/>
      </c>
      <c r="LE785" s="1900" t="str">
        <f t="shared" si="295"/>
        <v/>
      </c>
      <c r="LF785" s="1900" t="str">
        <f t="shared" si="296"/>
        <v/>
      </c>
      <c r="LG785" s="1900" t="str">
        <f t="shared" si="297"/>
        <v/>
      </c>
      <c r="LH785" s="1900" t="str">
        <f t="shared" si="298"/>
        <v/>
      </c>
      <c r="LI785" s="1900" t="str">
        <f t="shared" si="299"/>
        <v/>
      </c>
      <c r="LJ785" s="1900" t="str">
        <f t="shared" si="300"/>
        <v/>
      </c>
      <c r="LK785" s="1900" t="str">
        <f t="shared" si="301"/>
        <v/>
      </c>
      <c r="LL785" s="1900" t="str">
        <f t="shared" si="302"/>
        <v/>
      </c>
      <c r="LM785" s="1900" t="str">
        <f t="shared" si="303"/>
        <v/>
      </c>
      <c r="LN785" s="1900" t="str">
        <f t="shared" si="304"/>
        <v/>
      </c>
      <c r="LO785" s="1900" t="str">
        <f t="shared" si="305"/>
        <v/>
      </c>
      <c r="LP785" s="1900" t="str">
        <f t="shared" si="306"/>
        <v/>
      </c>
      <c r="LQ785" s="1874" t="str">
        <f t="shared" si="307"/>
        <v/>
      </c>
      <c r="LR785" s="1874" t="str">
        <f t="shared" si="308"/>
        <v/>
      </c>
      <c r="LS785" s="1874" t="str">
        <f t="shared" si="309"/>
        <v/>
      </c>
      <c r="LT785" s="1874" t="str">
        <f t="shared" si="310"/>
        <v/>
      </c>
      <c r="LU785" s="1874" t="str">
        <f t="shared" si="311"/>
        <v/>
      </c>
      <c r="LV785" s="1995" t="str">
        <f t="shared" si="312"/>
        <v/>
      </c>
      <c r="LW785" s="1995" t="str">
        <f t="shared" si="313"/>
        <v/>
      </c>
      <c r="LX785" s="1995" t="str">
        <f t="shared" si="314"/>
        <v/>
      </c>
      <c r="LY785" s="1995" t="str">
        <f t="shared" si="315"/>
        <v/>
      </c>
      <c r="LZ785" s="1995" t="str">
        <f t="shared" si="316"/>
        <v/>
      </c>
      <c r="MA785" s="1995" t="str">
        <f t="shared" si="317"/>
        <v/>
      </c>
      <c r="MB785" s="1995" t="str">
        <f t="shared" si="318"/>
        <v/>
      </c>
      <c r="MC785" s="1995" t="str">
        <f t="shared" si="319"/>
        <v/>
      </c>
      <c r="MD785" s="1995" t="str">
        <f t="shared" si="320"/>
        <v/>
      </c>
      <c r="ME785" s="1995" t="str">
        <f t="shared" si="321"/>
        <v/>
      </c>
      <c r="MF785" s="1995" t="str">
        <f t="shared" si="322"/>
        <v/>
      </c>
      <c r="MG785" s="1995" t="str">
        <f t="shared" si="323"/>
        <v/>
      </c>
      <c r="MH785" s="1995" t="str">
        <f t="shared" si="324"/>
        <v/>
      </c>
      <c r="MI785" s="1995" t="str">
        <f t="shared" si="325"/>
        <v/>
      </c>
      <c r="MJ785" s="1995" t="str">
        <f t="shared" si="326"/>
        <v/>
      </c>
      <c r="MK785" s="1995" t="str">
        <f t="shared" si="327"/>
        <v/>
      </c>
      <c r="ML785" s="1995" t="str">
        <f t="shared" si="328"/>
        <v/>
      </c>
      <c r="MM785" s="1995" t="str">
        <f t="shared" si="329"/>
        <v/>
      </c>
      <c r="MN785" s="1995" t="str">
        <f t="shared" si="330"/>
        <v/>
      </c>
      <c r="MO785" s="1995" t="str">
        <f t="shared" si="331"/>
        <v/>
      </c>
      <c r="MP785" s="1874">
        <f t="shared" si="338"/>
        <v>0</v>
      </c>
      <c r="MQ785" s="1874">
        <f t="shared" si="339"/>
        <v>0</v>
      </c>
      <c r="MR785" s="1874">
        <f t="shared" si="340"/>
        <v>0</v>
      </c>
      <c r="MS785" s="1874">
        <f t="shared" si="341"/>
        <v>0</v>
      </c>
      <c r="MT785" s="1874">
        <f t="shared" si="342"/>
        <v>0</v>
      </c>
      <c r="MU785" s="1874">
        <f t="shared" si="343"/>
        <v>0</v>
      </c>
      <c r="MV785" s="1874">
        <f t="shared" si="344"/>
        <v>0</v>
      </c>
      <c r="MW785" s="1874">
        <f t="shared" si="345"/>
        <v>0</v>
      </c>
      <c r="MX785" s="1874">
        <f t="shared" si="346"/>
        <v>0</v>
      </c>
      <c r="MY785" s="1874">
        <f t="shared" si="347"/>
        <v>0</v>
      </c>
      <c r="MZ785" s="1874">
        <f t="shared" si="332"/>
        <v>0</v>
      </c>
      <c r="NA785" s="1874">
        <f t="shared" si="333"/>
        <v>0</v>
      </c>
      <c r="NB785" s="1874">
        <f t="shared" si="334"/>
        <v>0</v>
      </c>
      <c r="NC785" s="1874">
        <f t="shared" si="335"/>
        <v>0</v>
      </c>
      <c r="ND785" s="1874">
        <f t="shared" si="336"/>
        <v>0</v>
      </c>
    </row>
    <row r="786" spans="1:368" ht="13.95" customHeight="1">
      <c r="A786" s="1896" t="str">
        <f t="shared" si="337"/>
        <v/>
      </c>
      <c r="B786" s="2212">
        <f>'Part VI-Revenues &amp; Expenses'!B17</f>
        <v>40</v>
      </c>
      <c r="C786" s="2213">
        <f>'Part VI-Revenues &amp; Expenses'!C17</f>
        <v>1</v>
      </c>
      <c r="D786" s="2214">
        <f>'Part VI-Revenues &amp; Expenses'!D17</f>
        <v>1</v>
      </c>
      <c r="E786" s="2215">
        <f>'Part VI-Revenues &amp; Expenses'!E17</f>
        <v>6</v>
      </c>
      <c r="F786" s="2215">
        <f>'Part VI-Revenues &amp; Expenses'!F17</f>
        <v>800</v>
      </c>
      <c r="G786" s="2215">
        <f>'Part VI-Revenues &amp; Expenses'!G17</f>
        <v>447</v>
      </c>
      <c r="H786" s="2215">
        <f>'Part VI-Revenues &amp; Expenses'!H17</f>
        <v>447</v>
      </c>
      <c r="I786" s="2215">
        <f>'Part VI-Revenues &amp; Expenses'!I17</f>
        <v>0</v>
      </c>
      <c r="J786" s="2215">
        <f>'Part VI-Revenues &amp; Expenses'!J17</f>
        <v>121</v>
      </c>
      <c r="K786" s="2216">
        <f>'Part VI-Revenues &amp; Expenses'!K17</f>
        <v>0</v>
      </c>
      <c r="L786" s="1899">
        <f t="shared" si="0"/>
        <v>326</v>
      </c>
      <c r="M786" s="1899">
        <f t="shared" si="1"/>
        <v>1956</v>
      </c>
      <c r="N786" s="2074" t="str">
        <f>'Part VI-Revenues &amp; Expenses'!N17</f>
        <v>No</v>
      </c>
      <c r="O786" s="2074" t="str">
        <f>'Part VI-Revenues &amp; Expenses'!O17</f>
        <v>3+ Story Elevator</v>
      </c>
      <c r="P786" s="2074" t="str">
        <f>'Part VI-Revenues &amp; Expenses'!P17</f>
        <v>New Construction</v>
      </c>
      <c r="Q786" s="1732" t="str">
        <f>'Part VI-Revenues &amp; Expenses'!Q17</f>
        <v>No</v>
      </c>
      <c r="R786" s="1926"/>
      <c r="S786" s="2148"/>
      <c r="T786" s="1910"/>
      <c r="U786" s="1910"/>
      <c r="V786" s="1910"/>
      <c r="W786" s="1910"/>
      <c r="X786" s="1995" t="str">
        <f t="shared" si="2"/>
        <v/>
      </c>
      <c r="Y786" s="1995" t="str">
        <f t="shared" si="3"/>
        <v/>
      </c>
      <c r="Z786" s="1995" t="str">
        <f t="shared" si="4"/>
        <v/>
      </c>
      <c r="AA786" s="1995" t="str">
        <f t="shared" si="5"/>
        <v/>
      </c>
      <c r="AB786" s="1995" t="str">
        <f t="shared" si="6"/>
        <v/>
      </c>
      <c r="AC786" s="1995" t="str">
        <f t="shared" si="7"/>
        <v/>
      </c>
      <c r="AD786" s="1995" t="str">
        <f t="shared" si="8"/>
        <v/>
      </c>
      <c r="AE786" s="1995" t="str">
        <f t="shared" si="9"/>
        <v/>
      </c>
      <c r="AF786" s="1995" t="str">
        <f t="shared" si="10"/>
        <v/>
      </c>
      <c r="AG786" s="1995" t="str">
        <f t="shared" si="11"/>
        <v/>
      </c>
      <c r="AH786" s="1995" t="str">
        <f t="shared" si="12"/>
        <v/>
      </c>
      <c r="AI786" s="1995" t="str">
        <f t="shared" si="13"/>
        <v/>
      </c>
      <c r="AJ786" s="1995" t="str">
        <f t="shared" si="14"/>
        <v/>
      </c>
      <c r="AK786" s="1995" t="str">
        <f t="shared" si="15"/>
        <v/>
      </c>
      <c r="AL786" s="1995" t="str">
        <f t="shared" si="16"/>
        <v/>
      </c>
      <c r="AM786" s="1995" t="str">
        <f t="shared" si="17"/>
        <v/>
      </c>
      <c r="AN786" s="1995" t="str">
        <f t="shared" si="18"/>
        <v/>
      </c>
      <c r="AO786" s="1995" t="str">
        <f t="shared" si="19"/>
        <v/>
      </c>
      <c r="AP786" s="1995" t="str">
        <f t="shared" si="20"/>
        <v/>
      </c>
      <c r="AQ786" s="1995" t="str">
        <f t="shared" si="21"/>
        <v/>
      </c>
      <c r="AR786" s="1995" t="str">
        <f t="shared" si="22"/>
        <v/>
      </c>
      <c r="AS786" s="1995">
        <f t="shared" si="23"/>
        <v>6</v>
      </c>
      <c r="AT786" s="1995" t="str">
        <f t="shared" si="24"/>
        <v/>
      </c>
      <c r="AU786" s="1995" t="str">
        <f t="shared" si="25"/>
        <v/>
      </c>
      <c r="AV786" s="1995" t="str">
        <f t="shared" si="26"/>
        <v/>
      </c>
      <c r="AW786" s="1995" t="str">
        <f t="shared" si="27"/>
        <v/>
      </c>
      <c r="AX786" s="1995" t="str">
        <f t="shared" si="28"/>
        <v/>
      </c>
      <c r="AY786" s="1995" t="str">
        <f t="shared" si="29"/>
        <v/>
      </c>
      <c r="AZ786" s="1995" t="str">
        <f t="shared" si="30"/>
        <v/>
      </c>
      <c r="BA786" s="1995" t="str">
        <f t="shared" si="31"/>
        <v/>
      </c>
      <c r="BB786" s="1995" t="str">
        <f t="shared" si="32"/>
        <v/>
      </c>
      <c r="BC786" s="1995" t="str">
        <f t="shared" si="33"/>
        <v/>
      </c>
      <c r="BD786" s="1995" t="str">
        <f t="shared" si="34"/>
        <v/>
      </c>
      <c r="BE786" s="1995" t="str">
        <f t="shared" si="35"/>
        <v/>
      </c>
      <c r="BF786" s="1995" t="str">
        <f t="shared" si="36"/>
        <v/>
      </c>
      <c r="BG786" s="1995" t="str">
        <f t="shared" si="37"/>
        <v/>
      </c>
      <c r="BH786" s="1995" t="str">
        <f t="shared" si="38"/>
        <v/>
      </c>
      <c r="BI786" s="1995" t="str">
        <f t="shared" si="39"/>
        <v/>
      </c>
      <c r="BJ786" s="1995" t="str">
        <f t="shared" si="40"/>
        <v/>
      </c>
      <c r="BK786" s="1995" t="str">
        <f t="shared" si="41"/>
        <v/>
      </c>
      <c r="BL786" s="1995" t="str">
        <f t="shared" si="42"/>
        <v/>
      </c>
      <c r="BM786" s="1995" t="str">
        <f t="shared" si="43"/>
        <v/>
      </c>
      <c r="BN786" s="1995" t="str">
        <f t="shared" si="44"/>
        <v/>
      </c>
      <c r="BO786" s="1995" t="str">
        <f t="shared" si="45"/>
        <v/>
      </c>
      <c r="BP786" s="1995" t="str">
        <f t="shared" si="46"/>
        <v/>
      </c>
      <c r="BQ786" s="1995" t="str">
        <f t="shared" si="47"/>
        <v/>
      </c>
      <c r="BR786" s="1995" t="str">
        <f t="shared" si="48"/>
        <v/>
      </c>
      <c r="BS786" s="1995" t="str">
        <f t="shared" si="49"/>
        <v/>
      </c>
      <c r="BT786" s="1995" t="str">
        <f t="shared" si="50"/>
        <v/>
      </c>
      <c r="BU786" s="1995" t="str">
        <f t="shared" si="51"/>
        <v/>
      </c>
      <c r="BV786" s="1995" t="str">
        <f t="shared" si="52"/>
        <v/>
      </c>
      <c r="BW786" s="1995">
        <f t="shared" si="53"/>
        <v>6</v>
      </c>
      <c r="BX786" s="1995" t="str">
        <f t="shared" si="54"/>
        <v/>
      </c>
      <c r="BY786" s="1995" t="str">
        <f t="shared" si="55"/>
        <v/>
      </c>
      <c r="BZ786" s="1995" t="str">
        <f t="shared" si="56"/>
        <v/>
      </c>
      <c r="CA786" s="1995" t="str">
        <f t="shared" si="57"/>
        <v/>
      </c>
      <c r="CB786" s="1995" t="str">
        <f t="shared" si="58"/>
        <v/>
      </c>
      <c r="CC786" s="1995" t="str">
        <f t="shared" si="59"/>
        <v/>
      </c>
      <c r="CD786" s="1995" t="str">
        <f t="shared" si="60"/>
        <v/>
      </c>
      <c r="CE786" s="1995" t="str">
        <f t="shared" si="61"/>
        <v/>
      </c>
      <c r="CF786" s="1995" t="str">
        <f t="shared" si="62"/>
        <v/>
      </c>
      <c r="CG786" s="1995" t="str">
        <f t="shared" si="63"/>
        <v/>
      </c>
      <c r="CH786" s="1995" t="str">
        <f t="shared" si="64"/>
        <v/>
      </c>
      <c r="CI786" s="1995" t="str">
        <f t="shared" si="65"/>
        <v/>
      </c>
      <c r="CJ786" s="1995" t="str">
        <f t="shared" si="66"/>
        <v/>
      </c>
      <c r="CK786" s="1995" t="str">
        <f t="shared" si="67"/>
        <v/>
      </c>
      <c r="CL786" s="1995" t="str">
        <f t="shared" si="68"/>
        <v/>
      </c>
      <c r="CM786" s="1995" t="str">
        <f t="shared" si="69"/>
        <v/>
      </c>
      <c r="CN786" s="1995" t="str">
        <f t="shared" si="70"/>
        <v/>
      </c>
      <c r="CO786" s="1995" t="str">
        <f t="shared" si="71"/>
        <v/>
      </c>
      <c r="CP786" s="1995" t="str">
        <f t="shared" si="72"/>
        <v/>
      </c>
      <c r="CQ786" s="1995" t="str">
        <f t="shared" si="73"/>
        <v/>
      </c>
      <c r="CR786" s="1995" t="str">
        <f t="shared" si="74"/>
        <v/>
      </c>
      <c r="CS786" s="1995" t="str">
        <f t="shared" si="75"/>
        <v/>
      </c>
      <c r="CT786" s="1995" t="str">
        <f t="shared" si="76"/>
        <v/>
      </c>
      <c r="CU786" s="1995" t="str">
        <f t="shared" si="77"/>
        <v/>
      </c>
      <c r="CV786" s="1995" t="str">
        <f t="shared" si="78"/>
        <v/>
      </c>
      <c r="CW786" s="1995" t="str">
        <f t="shared" si="79"/>
        <v/>
      </c>
      <c r="CX786" s="1995" t="str">
        <f t="shared" si="80"/>
        <v/>
      </c>
      <c r="CY786" s="1995" t="str">
        <f t="shared" si="81"/>
        <v/>
      </c>
      <c r="CZ786" s="1995" t="str">
        <f t="shared" si="82"/>
        <v/>
      </c>
      <c r="DA786" s="1995" t="str">
        <f t="shared" si="83"/>
        <v/>
      </c>
      <c r="DB786" s="1995" t="str">
        <f t="shared" si="84"/>
        <v/>
      </c>
      <c r="DC786" s="1995" t="str">
        <f t="shared" si="85"/>
        <v/>
      </c>
      <c r="DD786" s="1995" t="str">
        <f t="shared" si="86"/>
        <v/>
      </c>
      <c r="DE786" s="1995" t="str">
        <f t="shared" si="87"/>
        <v/>
      </c>
      <c r="DF786" s="1995" t="str">
        <f t="shared" si="88"/>
        <v/>
      </c>
      <c r="DG786" s="1995" t="str">
        <f t="shared" si="89"/>
        <v/>
      </c>
      <c r="DH786" s="1995" t="str">
        <f t="shared" si="90"/>
        <v/>
      </c>
      <c r="DI786" s="1995" t="str">
        <f t="shared" si="91"/>
        <v/>
      </c>
      <c r="DJ786" s="1995" t="str">
        <f t="shared" si="92"/>
        <v/>
      </c>
      <c r="DK786" s="1995" t="str">
        <f t="shared" si="93"/>
        <v/>
      </c>
      <c r="DL786" s="1995" t="str">
        <f t="shared" si="94"/>
        <v/>
      </c>
      <c r="DM786" s="1995" t="str">
        <f t="shared" si="95"/>
        <v/>
      </c>
      <c r="DN786" s="1995" t="str">
        <f t="shared" si="96"/>
        <v/>
      </c>
      <c r="DO786" s="1995" t="str">
        <f t="shared" si="97"/>
        <v/>
      </c>
      <c r="DP786" s="1995" t="str">
        <f t="shared" si="98"/>
        <v/>
      </c>
      <c r="DQ786" s="1995" t="str">
        <f t="shared" si="99"/>
        <v/>
      </c>
      <c r="DR786" s="1995" t="str">
        <f t="shared" si="100"/>
        <v/>
      </c>
      <c r="DS786" s="1995" t="str">
        <f t="shared" si="101"/>
        <v/>
      </c>
      <c r="DT786" s="1995" t="str">
        <f t="shared" si="102"/>
        <v/>
      </c>
      <c r="DU786" s="1995" t="str">
        <f t="shared" si="103"/>
        <v/>
      </c>
      <c r="DV786" s="1995" t="str">
        <f t="shared" si="104"/>
        <v/>
      </c>
      <c r="DW786" s="1995" t="str">
        <f t="shared" si="105"/>
        <v/>
      </c>
      <c r="DX786" s="1995" t="str">
        <f t="shared" si="106"/>
        <v/>
      </c>
      <c r="DY786" s="1995" t="str">
        <f t="shared" si="107"/>
        <v/>
      </c>
      <c r="DZ786" s="1995" t="str">
        <f t="shared" si="108"/>
        <v/>
      </c>
      <c r="EA786" s="1995" t="str">
        <f t="shared" si="109"/>
        <v/>
      </c>
      <c r="EB786" s="1995" t="str">
        <f t="shared" si="110"/>
        <v/>
      </c>
      <c r="EC786" s="1995" t="str">
        <f t="shared" si="111"/>
        <v/>
      </c>
      <c r="ED786" s="1995" t="str">
        <f t="shared" si="112"/>
        <v/>
      </c>
      <c r="EE786" s="1995" t="str">
        <f t="shared" si="113"/>
        <v/>
      </c>
      <c r="EF786" s="1995" t="str">
        <f t="shared" si="114"/>
        <v/>
      </c>
      <c r="EG786" s="1995" t="str">
        <f t="shared" si="115"/>
        <v/>
      </c>
      <c r="EH786" s="1995" t="str">
        <f t="shared" si="116"/>
        <v/>
      </c>
      <c r="EI786" s="1995" t="str">
        <f t="shared" si="117"/>
        <v/>
      </c>
      <c r="EJ786" s="1995" t="str">
        <f t="shared" si="118"/>
        <v/>
      </c>
      <c r="EK786" s="1995" t="str">
        <f t="shared" si="119"/>
        <v/>
      </c>
      <c r="EL786" s="1995" t="str">
        <f t="shared" si="120"/>
        <v/>
      </c>
      <c r="EM786" s="1995" t="str">
        <f t="shared" si="121"/>
        <v/>
      </c>
      <c r="EN786" s="1995" t="str">
        <f t="shared" si="122"/>
        <v/>
      </c>
      <c r="EO786" s="1995" t="str">
        <f t="shared" si="123"/>
        <v/>
      </c>
      <c r="EP786" s="1995" t="str">
        <f t="shared" si="124"/>
        <v/>
      </c>
      <c r="EQ786" s="1995" t="str">
        <f t="shared" si="125"/>
        <v/>
      </c>
      <c r="ER786" s="1995" t="str">
        <f t="shared" si="126"/>
        <v/>
      </c>
      <c r="ES786" s="1995" t="str">
        <f t="shared" si="127"/>
        <v/>
      </c>
      <c r="ET786" s="1995" t="str">
        <f t="shared" si="128"/>
        <v/>
      </c>
      <c r="EU786" s="1995" t="str">
        <f t="shared" si="129"/>
        <v/>
      </c>
      <c r="EV786" s="1995" t="str">
        <f t="shared" si="130"/>
        <v/>
      </c>
      <c r="EW786" s="1995" t="str">
        <f t="shared" si="131"/>
        <v/>
      </c>
      <c r="EX786" s="1995" t="str">
        <f t="shared" si="132"/>
        <v/>
      </c>
      <c r="EY786" s="1995" t="str">
        <f t="shared" si="133"/>
        <v/>
      </c>
      <c r="EZ786" s="1995" t="str">
        <f t="shared" si="134"/>
        <v/>
      </c>
      <c r="FA786" s="1995" t="str">
        <f t="shared" si="135"/>
        <v/>
      </c>
      <c r="FB786" s="1995" t="str">
        <f t="shared" si="136"/>
        <v/>
      </c>
      <c r="FC786" s="1995" t="str">
        <f t="shared" si="137"/>
        <v/>
      </c>
      <c r="FD786" s="1995">
        <f t="shared" si="138"/>
        <v>4800</v>
      </c>
      <c r="FE786" s="1995" t="str">
        <f t="shared" si="139"/>
        <v/>
      </c>
      <c r="FF786" s="1995" t="str">
        <f t="shared" si="140"/>
        <v/>
      </c>
      <c r="FG786" s="1995" t="str">
        <f t="shared" si="141"/>
        <v/>
      </c>
      <c r="FH786" s="1995" t="str">
        <f t="shared" si="142"/>
        <v/>
      </c>
      <c r="FI786" s="1995" t="str">
        <f t="shared" si="143"/>
        <v/>
      </c>
      <c r="FJ786" s="1995" t="str">
        <f t="shared" si="144"/>
        <v/>
      </c>
      <c r="FK786" s="1995" t="str">
        <f t="shared" si="145"/>
        <v/>
      </c>
      <c r="FL786" s="1995" t="str">
        <f t="shared" si="146"/>
        <v/>
      </c>
      <c r="FM786" s="1995" t="str">
        <f t="shared" si="147"/>
        <v/>
      </c>
      <c r="FN786" s="1995" t="str">
        <f t="shared" si="148"/>
        <v/>
      </c>
      <c r="FO786" s="1995" t="str">
        <f t="shared" si="149"/>
        <v/>
      </c>
      <c r="FP786" s="1995" t="str">
        <f t="shared" si="150"/>
        <v/>
      </c>
      <c r="FQ786" s="1995" t="str">
        <f t="shared" si="151"/>
        <v/>
      </c>
      <c r="FR786" s="1995" t="str">
        <f t="shared" si="152"/>
        <v/>
      </c>
      <c r="FS786" s="1995" t="str">
        <f t="shared" si="153"/>
        <v/>
      </c>
      <c r="FT786" s="1995" t="str">
        <f t="shared" si="154"/>
        <v/>
      </c>
      <c r="FU786" s="1995" t="str">
        <f t="shared" si="155"/>
        <v/>
      </c>
      <c r="FV786" s="1995" t="str">
        <f t="shared" si="156"/>
        <v/>
      </c>
      <c r="FW786" s="1995" t="str">
        <f t="shared" si="157"/>
        <v/>
      </c>
      <c r="FX786" s="1995" t="str">
        <f t="shared" si="158"/>
        <v/>
      </c>
      <c r="FY786" s="1995" t="str">
        <f t="shared" si="159"/>
        <v/>
      </c>
      <c r="FZ786" s="1995" t="str">
        <f t="shared" si="160"/>
        <v/>
      </c>
      <c r="GA786" s="1995" t="str">
        <f t="shared" si="161"/>
        <v/>
      </c>
      <c r="GB786" s="1995" t="str">
        <f t="shared" si="162"/>
        <v/>
      </c>
      <c r="GC786" s="1995" t="str">
        <f t="shared" si="163"/>
        <v/>
      </c>
      <c r="GD786" s="1995" t="str">
        <f t="shared" si="164"/>
        <v/>
      </c>
      <c r="GE786" s="1995" t="str">
        <f t="shared" si="165"/>
        <v/>
      </c>
      <c r="GF786" s="1995" t="str">
        <f t="shared" si="166"/>
        <v/>
      </c>
      <c r="GG786" s="1995" t="str">
        <f t="shared" si="167"/>
        <v/>
      </c>
      <c r="GH786" s="1995">
        <f t="shared" si="168"/>
        <v>6</v>
      </c>
      <c r="GI786" s="1995" t="str">
        <f t="shared" si="169"/>
        <v/>
      </c>
      <c r="GJ786" s="1995" t="str">
        <f t="shared" si="170"/>
        <v/>
      </c>
      <c r="GK786" s="1995" t="str">
        <f t="shared" si="171"/>
        <v/>
      </c>
      <c r="GL786" s="1995" t="str">
        <f t="shared" si="172"/>
        <v/>
      </c>
      <c r="GM786" s="1995" t="str">
        <f t="shared" si="173"/>
        <v/>
      </c>
      <c r="GN786" s="1995" t="str">
        <f t="shared" si="174"/>
        <v/>
      </c>
      <c r="GO786" s="1995" t="str">
        <f t="shared" si="175"/>
        <v/>
      </c>
      <c r="GP786" s="1995" t="str">
        <f t="shared" si="176"/>
        <v/>
      </c>
      <c r="GQ786" s="1995" t="str">
        <f t="shared" si="177"/>
        <v/>
      </c>
      <c r="GR786" s="1995" t="str">
        <f t="shared" si="178"/>
        <v/>
      </c>
      <c r="GS786" s="1995" t="str">
        <f t="shared" si="179"/>
        <v/>
      </c>
      <c r="GT786" s="1995" t="str">
        <f t="shared" si="180"/>
        <v/>
      </c>
      <c r="GU786" s="1995" t="str">
        <f t="shared" si="181"/>
        <v/>
      </c>
      <c r="GV786" s="1995" t="str">
        <f t="shared" si="182"/>
        <v/>
      </c>
      <c r="GW786" s="1995" t="str">
        <f t="shared" si="183"/>
        <v/>
      </c>
      <c r="GX786" s="1995" t="str">
        <f t="shared" si="184"/>
        <v/>
      </c>
      <c r="GY786" s="1995" t="str">
        <f t="shared" si="185"/>
        <v/>
      </c>
      <c r="GZ786" s="1995" t="str">
        <f t="shared" si="186"/>
        <v/>
      </c>
      <c r="HA786" s="1995" t="str">
        <f t="shared" si="187"/>
        <v/>
      </c>
      <c r="HB786" s="1995" t="str">
        <f t="shared" si="188"/>
        <v/>
      </c>
      <c r="HC786" s="1995" t="str">
        <f t="shared" si="189"/>
        <v/>
      </c>
      <c r="HD786" s="1995" t="str">
        <f t="shared" si="190"/>
        <v/>
      </c>
      <c r="HE786" s="1995" t="str">
        <f t="shared" si="191"/>
        <v/>
      </c>
      <c r="HF786" s="1995" t="str">
        <f t="shared" si="192"/>
        <v/>
      </c>
      <c r="HG786" s="1995" t="str">
        <f t="shared" si="193"/>
        <v/>
      </c>
      <c r="HH786" s="1995" t="str">
        <f t="shared" si="194"/>
        <v/>
      </c>
      <c r="HI786" s="1995" t="str">
        <f t="shared" si="195"/>
        <v/>
      </c>
      <c r="HJ786" s="1995" t="str">
        <f t="shared" si="196"/>
        <v/>
      </c>
      <c r="HK786" s="1995" t="str">
        <f t="shared" si="197"/>
        <v/>
      </c>
      <c r="HL786" s="1995" t="str">
        <f t="shared" si="198"/>
        <v/>
      </c>
      <c r="HM786" s="1995" t="str">
        <f t="shared" si="199"/>
        <v/>
      </c>
      <c r="HN786" s="1995" t="str">
        <f t="shared" si="200"/>
        <v/>
      </c>
      <c r="HO786" s="1995" t="str">
        <f t="shared" si="201"/>
        <v/>
      </c>
      <c r="HP786" s="1995" t="str">
        <f t="shared" si="202"/>
        <v/>
      </c>
      <c r="HQ786" s="1995" t="str">
        <f t="shared" si="203"/>
        <v/>
      </c>
      <c r="HR786" s="1995" t="str">
        <f t="shared" si="204"/>
        <v/>
      </c>
      <c r="HS786" s="1995" t="str">
        <f t="shared" si="205"/>
        <v/>
      </c>
      <c r="HT786" s="1995" t="str">
        <f t="shared" si="206"/>
        <v/>
      </c>
      <c r="HU786" s="1995" t="str">
        <f t="shared" si="207"/>
        <v/>
      </c>
      <c r="HV786" s="1995" t="str">
        <f t="shared" si="208"/>
        <v/>
      </c>
      <c r="HW786" s="1995" t="str">
        <f t="shared" si="209"/>
        <v/>
      </c>
      <c r="HX786" s="1995" t="str">
        <f t="shared" si="210"/>
        <v/>
      </c>
      <c r="HY786" s="1995" t="str">
        <f t="shared" si="211"/>
        <v/>
      </c>
      <c r="HZ786" s="1900" t="str">
        <f t="shared" si="212"/>
        <v/>
      </c>
      <c r="IA786" s="1900">
        <f t="shared" si="213"/>
        <v>6</v>
      </c>
      <c r="IB786" s="1900" t="str">
        <f t="shared" si="214"/>
        <v/>
      </c>
      <c r="IC786" s="1900" t="str">
        <f t="shared" si="215"/>
        <v/>
      </c>
      <c r="ID786" s="1900" t="str">
        <f t="shared" si="216"/>
        <v/>
      </c>
      <c r="IE786" s="1900" t="str">
        <f t="shared" si="217"/>
        <v/>
      </c>
      <c r="IF786" s="1900" t="str">
        <f t="shared" si="218"/>
        <v/>
      </c>
      <c r="IG786" s="1900" t="str">
        <f t="shared" si="219"/>
        <v/>
      </c>
      <c r="IH786" s="1900" t="str">
        <f t="shared" si="220"/>
        <v/>
      </c>
      <c r="II786" s="1900" t="str">
        <f t="shared" si="221"/>
        <v/>
      </c>
      <c r="IJ786" s="1900" t="str">
        <f t="shared" si="222"/>
        <v/>
      </c>
      <c r="IK786" s="1900" t="str">
        <f t="shared" si="223"/>
        <v/>
      </c>
      <c r="IL786" s="1900" t="str">
        <f t="shared" si="224"/>
        <v/>
      </c>
      <c r="IM786" s="1900" t="str">
        <f t="shared" si="225"/>
        <v/>
      </c>
      <c r="IN786" s="1900" t="str">
        <f t="shared" si="226"/>
        <v/>
      </c>
      <c r="IO786" s="1900" t="str">
        <f t="shared" si="227"/>
        <v/>
      </c>
      <c r="IP786" s="1900" t="str">
        <f t="shared" si="228"/>
        <v/>
      </c>
      <c r="IQ786" s="1900" t="str">
        <f t="shared" si="229"/>
        <v/>
      </c>
      <c r="IR786" s="1900" t="str">
        <f t="shared" si="230"/>
        <v/>
      </c>
      <c r="IS786" s="1900" t="str">
        <f t="shared" si="231"/>
        <v/>
      </c>
      <c r="IT786" s="1900" t="str">
        <f t="shared" si="232"/>
        <v/>
      </c>
      <c r="IU786" s="1900" t="str">
        <f t="shared" si="233"/>
        <v/>
      </c>
      <c r="IV786" s="1900" t="str">
        <f t="shared" si="234"/>
        <v/>
      </c>
      <c r="IW786" s="1900" t="str">
        <f t="shared" si="235"/>
        <v/>
      </c>
      <c r="IX786" s="1900" t="str">
        <f t="shared" si="236"/>
        <v/>
      </c>
      <c r="IY786" s="1900" t="str">
        <f t="shared" si="237"/>
        <v/>
      </c>
      <c r="IZ786" s="1900" t="str">
        <f t="shared" si="238"/>
        <v/>
      </c>
      <c r="JA786" s="1900" t="str">
        <f t="shared" si="239"/>
        <v/>
      </c>
      <c r="JB786" s="1900" t="str">
        <f t="shared" si="240"/>
        <v/>
      </c>
      <c r="JC786" s="1900" t="str">
        <f t="shared" si="241"/>
        <v/>
      </c>
      <c r="JD786" s="1900" t="str">
        <f t="shared" si="242"/>
        <v/>
      </c>
      <c r="JE786" s="1900" t="str">
        <f t="shared" si="243"/>
        <v/>
      </c>
      <c r="JF786" s="1900" t="str">
        <f t="shared" si="244"/>
        <v/>
      </c>
      <c r="JG786" s="1900" t="str">
        <f t="shared" si="245"/>
        <v/>
      </c>
      <c r="JH786" s="1900" t="str">
        <f t="shared" si="246"/>
        <v/>
      </c>
      <c r="JI786" s="1900" t="str">
        <f t="shared" si="247"/>
        <v/>
      </c>
      <c r="JJ786" s="1900" t="str">
        <f t="shared" si="248"/>
        <v/>
      </c>
      <c r="JK786" s="1900" t="str">
        <f t="shared" si="249"/>
        <v/>
      </c>
      <c r="JL786" s="1900" t="str">
        <f t="shared" si="250"/>
        <v/>
      </c>
      <c r="JM786" s="1900" t="str">
        <f t="shared" si="251"/>
        <v/>
      </c>
      <c r="JN786" s="1900" t="str">
        <f t="shared" si="252"/>
        <v/>
      </c>
      <c r="JO786" s="1900" t="str">
        <f t="shared" si="253"/>
        <v/>
      </c>
      <c r="JP786" s="1900" t="str">
        <f t="shared" si="254"/>
        <v/>
      </c>
      <c r="JQ786" s="1900" t="str">
        <f t="shared" si="255"/>
        <v/>
      </c>
      <c r="JR786" s="1900" t="str">
        <f t="shared" si="256"/>
        <v/>
      </c>
      <c r="JS786" s="1900" t="str">
        <f t="shared" si="257"/>
        <v/>
      </c>
      <c r="JT786" s="1900" t="str">
        <f t="shared" si="258"/>
        <v/>
      </c>
      <c r="JU786" s="1900" t="str">
        <f t="shared" si="259"/>
        <v/>
      </c>
      <c r="JV786" s="1900" t="str">
        <f t="shared" si="260"/>
        <v/>
      </c>
      <c r="JW786" s="1900" t="str">
        <f t="shared" si="261"/>
        <v/>
      </c>
      <c r="JX786" s="1900" t="str">
        <f t="shared" si="262"/>
        <v/>
      </c>
      <c r="JY786" s="1900" t="str">
        <f t="shared" si="263"/>
        <v/>
      </c>
      <c r="JZ786" s="1900" t="str">
        <f t="shared" si="264"/>
        <v/>
      </c>
      <c r="KA786" s="1900" t="str">
        <f t="shared" si="265"/>
        <v/>
      </c>
      <c r="KB786" s="1900" t="str">
        <f t="shared" si="266"/>
        <v/>
      </c>
      <c r="KC786" s="1900" t="str">
        <f t="shared" si="267"/>
        <v/>
      </c>
      <c r="KD786" s="1900" t="str">
        <f t="shared" si="268"/>
        <v/>
      </c>
      <c r="KE786" s="1900" t="str">
        <f t="shared" si="269"/>
        <v/>
      </c>
      <c r="KF786" s="1900" t="str">
        <f t="shared" si="270"/>
        <v/>
      </c>
      <c r="KG786" s="1900" t="str">
        <f t="shared" si="271"/>
        <v/>
      </c>
      <c r="KH786" s="1900" t="str">
        <f t="shared" si="272"/>
        <v/>
      </c>
      <c r="KI786" s="1900" t="str">
        <f t="shared" si="273"/>
        <v/>
      </c>
      <c r="KJ786" s="1900" t="str">
        <f t="shared" si="274"/>
        <v/>
      </c>
      <c r="KK786" s="1900" t="str">
        <f t="shared" si="275"/>
        <v/>
      </c>
      <c r="KL786" s="1900" t="str">
        <f t="shared" si="276"/>
        <v/>
      </c>
      <c r="KM786" s="1900" t="str">
        <f t="shared" si="277"/>
        <v/>
      </c>
      <c r="KN786" s="1900" t="str">
        <f t="shared" si="278"/>
        <v/>
      </c>
      <c r="KO786" s="1900" t="str">
        <f t="shared" si="279"/>
        <v/>
      </c>
      <c r="KP786" s="1900" t="str">
        <f t="shared" si="280"/>
        <v/>
      </c>
      <c r="KQ786" s="1900" t="str">
        <f t="shared" si="281"/>
        <v/>
      </c>
      <c r="KR786" s="1900" t="str">
        <f t="shared" si="282"/>
        <v/>
      </c>
      <c r="KS786" s="1900" t="str">
        <f t="shared" si="283"/>
        <v/>
      </c>
      <c r="KT786" s="1900" t="str">
        <f t="shared" si="284"/>
        <v/>
      </c>
      <c r="KU786" s="1900" t="str">
        <f t="shared" si="285"/>
        <v/>
      </c>
      <c r="KV786" s="1900" t="str">
        <f t="shared" si="286"/>
        <v/>
      </c>
      <c r="KW786" s="1900" t="str">
        <f t="shared" si="287"/>
        <v/>
      </c>
      <c r="KX786" s="1900" t="str">
        <f t="shared" si="288"/>
        <v/>
      </c>
      <c r="KY786" s="1900" t="str">
        <f t="shared" si="289"/>
        <v/>
      </c>
      <c r="KZ786" s="1900" t="str">
        <f t="shared" si="290"/>
        <v/>
      </c>
      <c r="LA786" s="1900" t="str">
        <f t="shared" si="291"/>
        <v/>
      </c>
      <c r="LB786" s="1900" t="str">
        <f t="shared" si="292"/>
        <v/>
      </c>
      <c r="LC786" s="1900" t="str">
        <f t="shared" si="293"/>
        <v/>
      </c>
      <c r="LD786" s="1900" t="str">
        <f t="shared" si="294"/>
        <v/>
      </c>
      <c r="LE786" s="1900" t="str">
        <f t="shared" si="295"/>
        <v/>
      </c>
      <c r="LF786" s="1900" t="str">
        <f t="shared" si="296"/>
        <v/>
      </c>
      <c r="LG786" s="1900" t="str">
        <f t="shared" si="297"/>
        <v/>
      </c>
      <c r="LH786" s="1900">
        <f t="shared" si="298"/>
        <v>6</v>
      </c>
      <c r="LI786" s="1900" t="str">
        <f t="shared" si="299"/>
        <v/>
      </c>
      <c r="LJ786" s="1900" t="str">
        <f t="shared" si="300"/>
        <v/>
      </c>
      <c r="LK786" s="1900" t="str">
        <f t="shared" si="301"/>
        <v/>
      </c>
      <c r="LL786" s="1900" t="str">
        <f t="shared" si="302"/>
        <v/>
      </c>
      <c r="LM786" s="1900" t="str">
        <f t="shared" si="303"/>
        <v/>
      </c>
      <c r="LN786" s="1900" t="str">
        <f t="shared" si="304"/>
        <v/>
      </c>
      <c r="LO786" s="1900" t="str">
        <f t="shared" si="305"/>
        <v/>
      </c>
      <c r="LP786" s="1900" t="str">
        <f t="shared" si="306"/>
        <v/>
      </c>
      <c r="LQ786" s="1874" t="str">
        <f t="shared" si="307"/>
        <v/>
      </c>
      <c r="LR786" s="1874" t="str">
        <f t="shared" si="308"/>
        <v/>
      </c>
      <c r="LS786" s="1874" t="str">
        <f t="shared" si="309"/>
        <v/>
      </c>
      <c r="LT786" s="1874" t="str">
        <f t="shared" si="310"/>
        <v/>
      </c>
      <c r="LU786" s="1874" t="str">
        <f t="shared" si="311"/>
        <v/>
      </c>
      <c r="LV786" s="1995" t="str">
        <f t="shared" si="312"/>
        <v/>
      </c>
      <c r="LW786" s="1995" t="str">
        <f t="shared" si="313"/>
        <v/>
      </c>
      <c r="LX786" s="1995" t="str">
        <f t="shared" si="314"/>
        <v/>
      </c>
      <c r="LY786" s="1995" t="str">
        <f t="shared" si="315"/>
        <v/>
      </c>
      <c r="LZ786" s="1995" t="str">
        <f t="shared" si="316"/>
        <v/>
      </c>
      <c r="MA786" s="1995" t="str">
        <f t="shared" si="317"/>
        <v/>
      </c>
      <c r="MB786" s="1995" t="str">
        <f t="shared" si="318"/>
        <v/>
      </c>
      <c r="MC786" s="1995" t="str">
        <f t="shared" si="319"/>
        <v/>
      </c>
      <c r="MD786" s="1995" t="str">
        <f t="shared" si="320"/>
        <v/>
      </c>
      <c r="ME786" s="1995" t="str">
        <f t="shared" si="321"/>
        <v/>
      </c>
      <c r="MF786" s="1995" t="str">
        <f t="shared" si="322"/>
        <v/>
      </c>
      <c r="MG786" s="1995" t="str">
        <f t="shared" si="323"/>
        <v/>
      </c>
      <c r="MH786" s="1995" t="str">
        <f t="shared" si="324"/>
        <v/>
      </c>
      <c r="MI786" s="1995" t="str">
        <f t="shared" si="325"/>
        <v/>
      </c>
      <c r="MJ786" s="1995" t="str">
        <f t="shared" si="326"/>
        <v/>
      </c>
      <c r="MK786" s="1995" t="str">
        <f t="shared" si="327"/>
        <v/>
      </c>
      <c r="ML786" s="1995" t="str">
        <f t="shared" si="328"/>
        <v/>
      </c>
      <c r="MM786" s="1995" t="str">
        <f t="shared" si="329"/>
        <v/>
      </c>
      <c r="MN786" s="1995" t="str">
        <f t="shared" si="330"/>
        <v/>
      </c>
      <c r="MO786" s="1995" t="str">
        <f t="shared" si="331"/>
        <v/>
      </c>
      <c r="MP786" s="1874">
        <f t="shared" si="338"/>
        <v>0</v>
      </c>
      <c r="MQ786" s="1874">
        <f t="shared" si="339"/>
        <v>0</v>
      </c>
      <c r="MR786" s="1874">
        <f t="shared" si="340"/>
        <v>0</v>
      </c>
      <c r="MS786" s="1874">
        <f t="shared" si="341"/>
        <v>0</v>
      </c>
      <c r="MT786" s="1874">
        <f t="shared" si="342"/>
        <v>0</v>
      </c>
      <c r="MU786" s="1874">
        <f t="shared" si="343"/>
        <v>0</v>
      </c>
      <c r="MV786" s="1874">
        <f t="shared" si="344"/>
        <v>6</v>
      </c>
      <c r="MW786" s="1874">
        <f t="shared" si="345"/>
        <v>0</v>
      </c>
      <c r="MX786" s="1874">
        <f t="shared" si="346"/>
        <v>0</v>
      </c>
      <c r="MY786" s="1874">
        <f t="shared" si="347"/>
        <v>0</v>
      </c>
      <c r="MZ786" s="1874">
        <f t="shared" si="332"/>
        <v>0</v>
      </c>
      <c r="NA786" s="1874">
        <f t="shared" si="333"/>
        <v>0</v>
      </c>
      <c r="NB786" s="1874">
        <f t="shared" si="334"/>
        <v>0</v>
      </c>
      <c r="NC786" s="1874">
        <f t="shared" si="335"/>
        <v>0</v>
      </c>
      <c r="ND786" s="1874">
        <f t="shared" si="336"/>
        <v>0</v>
      </c>
    </row>
    <row r="787" spans="1:368" ht="13.95" customHeight="1">
      <c r="A787" s="1896" t="str">
        <f t="shared" si="337"/>
        <v/>
      </c>
      <c r="B787" s="2212">
        <f>'Part VI-Revenues &amp; Expenses'!B18</f>
        <v>40</v>
      </c>
      <c r="C787" s="2213">
        <f>'Part VI-Revenues &amp; Expenses'!C18</f>
        <v>2</v>
      </c>
      <c r="D787" s="2214">
        <f>'Part VI-Revenues &amp; Expenses'!D18</f>
        <v>1</v>
      </c>
      <c r="E787" s="2215">
        <f>'Part VI-Revenues &amp; Expenses'!E18</f>
        <v>18</v>
      </c>
      <c r="F787" s="2215">
        <f>'Part VI-Revenues &amp; Expenses'!F18</f>
        <v>1000</v>
      </c>
      <c r="G787" s="2215">
        <f>'Part VI-Revenues &amp; Expenses'!G18</f>
        <v>537</v>
      </c>
      <c r="H787" s="2215">
        <f>'Part VI-Revenues &amp; Expenses'!H18</f>
        <v>537</v>
      </c>
      <c r="I787" s="2215">
        <f>'Part VI-Revenues &amp; Expenses'!I18</f>
        <v>0</v>
      </c>
      <c r="J787" s="2215">
        <f>'Part VI-Revenues &amp; Expenses'!J18</f>
        <v>151</v>
      </c>
      <c r="K787" s="2216">
        <f>'Part VI-Revenues &amp; Expenses'!K18</f>
        <v>0</v>
      </c>
      <c r="L787" s="1899">
        <f t="shared" si="0"/>
        <v>386</v>
      </c>
      <c r="M787" s="1899">
        <f t="shared" si="1"/>
        <v>6948</v>
      </c>
      <c r="N787" s="2074" t="str">
        <f>'Part VI-Revenues &amp; Expenses'!N18</f>
        <v>No</v>
      </c>
      <c r="O787" s="2074" t="str">
        <f>'Part VI-Revenues &amp; Expenses'!O18</f>
        <v>3+ Story Elevator</v>
      </c>
      <c r="P787" s="2074" t="str">
        <f>'Part VI-Revenues &amp; Expenses'!P18</f>
        <v>New Construction</v>
      </c>
      <c r="Q787" s="1732" t="str">
        <f>'Part VI-Revenues &amp; Expenses'!Q18</f>
        <v>No</v>
      </c>
      <c r="R787" s="1926"/>
      <c r="S787" s="2148"/>
      <c r="T787" s="1910"/>
      <c r="U787" s="1910"/>
      <c r="V787" s="1910"/>
      <c r="W787" s="1910"/>
      <c r="X787" s="1995" t="str">
        <f t="shared" si="2"/>
        <v/>
      </c>
      <c r="Y787" s="1995" t="str">
        <f t="shared" si="3"/>
        <v/>
      </c>
      <c r="Z787" s="1995" t="str">
        <f t="shared" si="4"/>
        <v/>
      </c>
      <c r="AA787" s="1995" t="str">
        <f t="shared" si="5"/>
        <v/>
      </c>
      <c r="AB787" s="1995" t="str">
        <f t="shared" si="6"/>
        <v/>
      </c>
      <c r="AC787" s="1995" t="str">
        <f t="shared" si="7"/>
        <v/>
      </c>
      <c r="AD787" s="1995" t="str">
        <f t="shared" si="8"/>
        <v/>
      </c>
      <c r="AE787" s="1995" t="str">
        <f t="shared" si="9"/>
        <v/>
      </c>
      <c r="AF787" s="1995" t="str">
        <f t="shared" si="10"/>
        <v/>
      </c>
      <c r="AG787" s="1995" t="str">
        <f t="shared" si="11"/>
        <v/>
      </c>
      <c r="AH787" s="1995" t="str">
        <f t="shared" si="12"/>
        <v/>
      </c>
      <c r="AI787" s="1995" t="str">
        <f t="shared" si="13"/>
        <v/>
      </c>
      <c r="AJ787" s="1995" t="str">
        <f t="shared" si="14"/>
        <v/>
      </c>
      <c r="AK787" s="1995" t="str">
        <f t="shared" si="15"/>
        <v/>
      </c>
      <c r="AL787" s="1995" t="str">
        <f t="shared" si="16"/>
        <v/>
      </c>
      <c r="AM787" s="1995" t="str">
        <f t="shared" si="17"/>
        <v/>
      </c>
      <c r="AN787" s="1995" t="str">
        <f t="shared" si="18"/>
        <v/>
      </c>
      <c r="AO787" s="1995" t="str">
        <f t="shared" si="19"/>
        <v/>
      </c>
      <c r="AP787" s="1995" t="str">
        <f t="shared" si="20"/>
        <v/>
      </c>
      <c r="AQ787" s="1995" t="str">
        <f t="shared" si="21"/>
        <v/>
      </c>
      <c r="AR787" s="1995" t="str">
        <f t="shared" si="22"/>
        <v/>
      </c>
      <c r="AS787" s="1995" t="str">
        <f t="shared" si="23"/>
        <v/>
      </c>
      <c r="AT787" s="1995">
        <f t="shared" si="24"/>
        <v>18</v>
      </c>
      <c r="AU787" s="1995" t="str">
        <f t="shared" si="25"/>
        <v/>
      </c>
      <c r="AV787" s="1995" t="str">
        <f t="shared" si="26"/>
        <v/>
      </c>
      <c r="AW787" s="1995" t="str">
        <f t="shared" si="27"/>
        <v/>
      </c>
      <c r="AX787" s="1995" t="str">
        <f t="shared" si="28"/>
        <v/>
      </c>
      <c r="AY787" s="1995" t="str">
        <f t="shared" si="29"/>
        <v/>
      </c>
      <c r="AZ787" s="1995" t="str">
        <f t="shared" si="30"/>
        <v/>
      </c>
      <c r="BA787" s="1995" t="str">
        <f t="shared" si="31"/>
        <v/>
      </c>
      <c r="BB787" s="1995" t="str">
        <f t="shared" si="32"/>
        <v/>
      </c>
      <c r="BC787" s="1995" t="str">
        <f t="shared" si="33"/>
        <v/>
      </c>
      <c r="BD787" s="1995" t="str">
        <f t="shared" si="34"/>
        <v/>
      </c>
      <c r="BE787" s="1995" t="str">
        <f t="shared" si="35"/>
        <v/>
      </c>
      <c r="BF787" s="1995" t="str">
        <f t="shared" si="36"/>
        <v/>
      </c>
      <c r="BG787" s="1995" t="str">
        <f t="shared" si="37"/>
        <v/>
      </c>
      <c r="BH787" s="1995" t="str">
        <f t="shared" si="38"/>
        <v/>
      </c>
      <c r="BI787" s="1995" t="str">
        <f t="shared" si="39"/>
        <v/>
      </c>
      <c r="BJ787" s="1995" t="str">
        <f t="shared" si="40"/>
        <v/>
      </c>
      <c r="BK787" s="1995" t="str">
        <f t="shared" si="41"/>
        <v/>
      </c>
      <c r="BL787" s="1995" t="str">
        <f t="shared" si="42"/>
        <v/>
      </c>
      <c r="BM787" s="1995" t="str">
        <f t="shared" si="43"/>
        <v/>
      </c>
      <c r="BN787" s="1995" t="str">
        <f t="shared" si="44"/>
        <v/>
      </c>
      <c r="BO787" s="1995" t="str">
        <f t="shared" si="45"/>
        <v/>
      </c>
      <c r="BP787" s="1995" t="str">
        <f t="shared" si="46"/>
        <v/>
      </c>
      <c r="BQ787" s="1995" t="str">
        <f t="shared" si="47"/>
        <v/>
      </c>
      <c r="BR787" s="1995" t="str">
        <f t="shared" si="48"/>
        <v/>
      </c>
      <c r="BS787" s="1995" t="str">
        <f t="shared" si="49"/>
        <v/>
      </c>
      <c r="BT787" s="1995" t="str">
        <f t="shared" si="50"/>
        <v/>
      </c>
      <c r="BU787" s="1995" t="str">
        <f t="shared" si="51"/>
        <v/>
      </c>
      <c r="BV787" s="1995" t="str">
        <f t="shared" si="52"/>
        <v/>
      </c>
      <c r="BW787" s="1995" t="str">
        <f t="shared" si="53"/>
        <v/>
      </c>
      <c r="BX787" s="1995">
        <f t="shared" si="54"/>
        <v>18</v>
      </c>
      <c r="BY787" s="1995" t="str">
        <f t="shared" si="55"/>
        <v/>
      </c>
      <c r="BZ787" s="1995" t="str">
        <f t="shared" si="56"/>
        <v/>
      </c>
      <c r="CA787" s="1995" t="str">
        <f t="shared" si="57"/>
        <v/>
      </c>
      <c r="CB787" s="1995" t="str">
        <f t="shared" si="58"/>
        <v/>
      </c>
      <c r="CC787" s="1995" t="str">
        <f t="shared" si="59"/>
        <v/>
      </c>
      <c r="CD787" s="1995" t="str">
        <f t="shared" si="60"/>
        <v/>
      </c>
      <c r="CE787" s="1995" t="str">
        <f t="shared" si="61"/>
        <v/>
      </c>
      <c r="CF787" s="1995" t="str">
        <f t="shared" si="62"/>
        <v/>
      </c>
      <c r="CG787" s="1995" t="str">
        <f t="shared" si="63"/>
        <v/>
      </c>
      <c r="CH787" s="1995" t="str">
        <f t="shared" si="64"/>
        <v/>
      </c>
      <c r="CI787" s="1995" t="str">
        <f t="shared" si="65"/>
        <v/>
      </c>
      <c r="CJ787" s="1995" t="str">
        <f t="shared" si="66"/>
        <v/>
      </c>
      <c r="CK787" s="1995" t="str">
        <f t="shared" si="67"/>
        <v/>
      </c>
      <c r="CL787" s="1995" t="str">
        <f t="shared" si="68"/>
        <v/>
      </c>
      <c r="CM787" s="1995" t="str">
        <f t="shared" si="69"/>
        <v/>
      </c>
      <c r="CN787" s="1995" t="str">
        <f t="shared" si="70"/>
        <v/>
      </c>
      <c r="CO787" s="1995" t="str">
        <f t="shared" si="71"/>
        <v/>
      </c>
      <c r="CP787" s="1995" t="str">
        <f t="shared" si="72"/>
        <v/>
      </c>
      <c r="CQ787" s="1995" t="str">
        <f t="shared" si="73"/>
        <v/>
      </c>
      <c r="CR787" s="1995" t="str">
        <f t="shared" si="74"/>
        <v/>
      </c>
      <c r="CS787" s="1995" t="str">
        <f t="shared" si="75"/>
        <v/>
      </c>
      <c r="CT787" s="1995" t="str">
        <f t="shared" si="76"/>
        <v/>
      </c>
      <c r="CU787" s="1995" t="str">
        <f t="shared" si="77"/>
        <v/>
      </c>
      <c r="CV787" s="1995" t="str">
        <f t="shared" si="78"/>
        <v/>
      </c>
      <c r="CW787" s="1995" t="str">
        <f t="shared" si="79"/>
        <v/>
      </c>
      <c r="CX787" s="1995" t="str">
        <f t="shared" si="80"/>
        <v/>
      </c>
      <c r="CY787" s="1995" t="str">
        <f t="shared" si="81"/>
        <v/>
      </c>
      <c r="CZ787" s="1995" t="str">
        <f t="shared" si="82"/>
        <v/>
      </c>
      <c r="DA787" s="1995" t="str">
        <f t="shared" si="83"/>
        <v/>
      </c>
      <c r="DB787" s="1995" t="str">
        <f t="shared" si="84"/>
        <v/>
      </c>
      <c r="DC787" s="1995" t="str">
        <f t="shared" si="85"/>
        <v/>
      </c>
      <c r="DD787" s="1995" t="str">
        <f t="shared" si="86"/>
        <v/>
      </c>
      <c r="DE787" s="1995" t="str">
        <f t="shared" si="87"/>
        <v/>
      </c>
      <c r="DF787" s="1995" t="str">
        <f t="shared" si="88"/>
        <v/>
      </c>
      <c r="DG787" s="1995" t="str">
        <f t="shared" si="89"/>
        <v/>
      </c>
      <c r="DH787" s="1995" t="str">
        <f t="shared" si="90"/>
        <v/>
      </c>
      <c r="DI787" s="1995" t="str">
        <f t="shared" si="91"/>
        <v/>
      </c>
      <c r="DJ787" s="1995" t="str">
        <f t="shared" si="92"/>
        <v/>
      </c>
      <c r="DK787" s="1995" t="str">
        <f t="shared" si="93"/>
        <v/>
      </c>
      <c r="DL787" s="1995" t="str">
        <f t="shared" si="94"/>
        <v/>
      </c>
      <c r="DM787" s="1995" t="str">
        <f t="shared" si="95"/>
        <v/>
      </c>
      <c r="DN787" s="1995" t="str">
        <f t="shared" si="96"/>
        <v/>
      </c>
      <c r="DO787" s="1995" t="str">
        <f t="shared" si="97"/>
        <v/>
      </c>
      <c r="DP787" s="1995" t="str">
        <f t="shared" si="98"/>
        <v/>
      </c>
      <c r="DQ787" s="1995" t="str">
        <f t="shared" si="99"/>
        <v/>
      </c>
      <c r="DR787" s="1995" t="str">
        <f t="shared" si="100"/>
        <v/>
      </c>
      <c r="DS787" s="1995" t="str">
        <f t="shared" si="101"/>
        <v/>
      </c>
      <c r="DT787" s="1995" t="str">
        <f t="shared" si="102"/>
        <v/>
      </c>
      <c r="DU787" s="1995" t="str">
        <f t="shared" si="103"/>
        <v/>
      </c>
      <c r="DV787" s="1995" t="str">
        <f t="shared" si="104"/>
        <v/>
      </c>
      <c r="DW787" s="1995" t="str">
        <f t="shared" si="105"/>
        <v/>
      </c>
      <c r="DX787" s="1995" t="str">
        <f t="shared" si="106"/>
        <v/>
      </c>
      <c r="DY787" s="1995" t="str">
        <f t="shared" si="107"/>
        <v/>
      </c>
      <c r="DZ787" s="1995" t="str">
        <f t="shared" si="108"/>
        <v/>
      </c>
      <c r="EA787" s="1995" t="str">
        <f t="shared" si="109"/>
        <v/>
      </c>
      <c r="EB787" s="1995" t="str">
        <f t="shared" si="110"/>
        <v/>
      </c>
      <c r="EC787" s="1995" t="str">
        <f t="shared" si="111"/>
        <v/>
      </c>
      <c r="ED787" s="1995" t="str">
        <f t="shared" si="112"/>
        <v/>
      </c>
      <c r="EE787" s="1995" t="str">
        <f t="shared" si="113"/>
        <v/>
      </c>
      <c r="EF787" s="1995" t="str">
        <f t="shared" si="114"/>
        <v/>
      </c>
      <c r="EG787" s="1995" t="str">
        <f t="shared" si="115"/>
        <v/>
      </c>
      <c r="EH787" s="1995" t="str">
        <f t="shared" si="116"/>
        <v/>
      </c>
      <c r="EI787" s="1995" t="str">
        <f t="shared" si="117"/>
        <v/>
      </c>
      <c r="EJ787" s="1995" t="str">
        <f t="shared" si="118"/>
        <v/>
      </c>
      <c r="EK787" s="1995" t="str">
        <f t="shared" si="119"/>
        <v/>
      </c>
      <c r="EL787" s="1995" t="str">
        <f t="shared" si="120"/>
        <v/>
      </c>
      <c r="EM787" s="1995" t="str">
        <f t="shared" si="121"/>
        <v/>
      </c>
      <c r="EN787" s="1995" t="str">
        <f t="shared" si="122"/>
        <v/>
      </c>
      <c r="EO787" s="1995" t="str">
        <f t="shared" si="123"/>
        <v/>
      </c>
      <c r="EP787" s="1995" t="str">
        <f t="shared" si="124"/>
        <v/>
      </c>
      <c r="EQ787" s="1995" t="str">
        <f t="shared" si="125"/>
        <v/>
      </c>
      <c r="ER787" s="1995" t="str">
        <f t="shared" si="126"/>
        <v/>
      </c>
      <c r="ES787" s="1995" t="str">
        <f t="shared" si="127"/>
        <v/>
      </c>
      <c r="ET787" s="1995" t="str">
        <f t="shared" si="128"/>
        <v/>
      </c>
      <c r="EU787" s="1995" t="str">
        <f t="shared" si="129"/>
        <v/>
      </c>
      <c r="EV787" s="1995" t="str">
        <f t="shared" si="130"/>
        <v/>
      </c>
      <c r="EW787" s="1995" t="str">
        <f t="shared" si="131"/>
        <v/>
      </c>
      <c r="EX787" s="1995" t="str">
        <f t="shared" si="132"/>
        <v/>
      </c>
      <c r="EY787" s="1995" t="str">
        <f t="shared" si="133"/>
        <v/>
      </c>
      <c r="EZ787" s="1995" t="str">
        <f t="shared" si="134"/>
        <v/>
      </c>
      <c r="FA787" s="1995" t="str">
        <f t="shared" si="135"/>
        <v/>
      </c>
      <c r="FB787" s="1995" t="str">
        <f t="shared" si="136"/>
        <v/>
      </c>
      <c r="FC787" s="1995" t="str">
        <f t="shared" si="137"/>
        <v/>
      </c>
      <c r="FD787" s="1995" t="str">
        <f t="shared" si="138"/>
        <v/>
      </c>
      <c r="FE787" s="1995">
        <f t="shared" si="139"/>
        <v>18000</v>
      </c>
      <c r="FF787" s="1995" t="str">
        <f t="shared" si="140"/>
        <v/>
      </c>
      <c r="FG787" s="1995" t="str">
        <f t="shared" si="141"/>
        <v/>
      </c>
      <c r="FH787" s="1995" t="str">
        <f t="shared" si="142"/>
        <v/>
      </c>
      <c r="FI787" s="1995" t="str">
        <f t="shared" si="143"/>
        <v/>
      </c>
      <c r="FJ787" s="1995" t="str">
        <f t="shared" si="144"/>
        <v/>
      </c>
      <c r="FK787" s="1995" t="str">
        <f t="shared" si="145"/>
        <v/>
      </c>
      <c r="FL787" s="1995" t="str">
        <f t="shared" si="146"/>
        <v/>
      </c>
      <c r="FM787" s="1995" t="str">
        <f t="shared" si="147"/>
        <v/>
      </c>
      <c r="FN787" s="1995" t="str">
        <f t="shared" si="148"/>
        <v/>
      </c>
      <c r="FO787" s="1995" t="str">
        <f t="shared" si="149"/>
        <v/>
      </c>
      <c r="FP787" s="1995" t="str">
        <f t="shared" si="150"/>
        <v/>
      </c>
      <c r="FQ787" s="1995" t="str">
        <f t="shared" si="151"/>
        <v/>
      </c>
      <c r="FR787" s="1995" t="str">
        <f t="shared" si="152"/>
        <v/>
      </c>
      <c r="FS787" s="1995" t="str">
        <f t="shared" si="153"/>
        <v/>
      </c>
      <c r="FT787" s="1995" t="str">
        <f t="shared" si="154"/>
        <v/>
      </c>
      <c r="FU787" s="1995" t="str">
        <f t="shared" si="155"/>
        <v/>
      </c>
      <c r="FV787" s="1995" t="str">
        <f t="shared" si="156"/>
        <v/>
      </c>
      <c r="FW787" s="1995" t="str">
        <f t="shared" si="157"/>
        <v/>
      </c>
      <c r="FX787" s="1995" t="str">
        <f t="shared" si="158"/>
        <v/>
      </c>
      <c r="FY787" s="1995" t="str">
        <f t="shared" si="159"/>
        <v/>
      </c>
      <c r="FZ787" s="1995" t="str">
        <f t="shared" si="160"/>
        <v/>
      </c>
      <c r="GA787" s="1995" t="str">
        <f t="shared" si="161"/>
        <v/>
      </c>
      <c r="GB787" s="1995" t="str">
        <f t="shared" si="162"/>
        <v/>
      </c>
      <c r="GC787" s="1995" t="str">
        <f t="shared" si="163"/>
        <v/>
      </c>
      <c r="GD787" s="1995" t="str">
        <f t="shared" si="164"/>
        <v/>
      </c>
      <c r="GE787" s="1995" t="str">
        <f t="shared" si="165"/>
        <v/>
      </c>
      <c r="GF787" s="1995" t="str">
        <f t="shared" si="166"/>
        <v/>
      </c>
      <c r="GG787" s="1995" t="str">
        <f t="shared" si="167"/>
        <v/>
      </c>
      <c r="GH787" s="1995" t="str">
        <f t="shared" si="168"/>
        <v/>
      </c>
      <c r="GI787" s="1995">
        <f t="shared" si="169"/>
        <v>18</v>
      </c>
      <c r="GJ787" s="1995" t="str">
        <f t="shared" si="170"/>
        <v/>
      </c>
      <c r="GK787" s="1995" t="str">
        <f t="shared" si="171"/>
        <v/>
      </c>
      <c r="GL787" s="1995" t="str">
        <f t="shared" si="172"/>
        <v/>
      </c>
      <c r="GM787" s="1995" t="str">
        <f t="shared" si="173"/>
        <v/>
      </c>
      <c r="GN787" s="1995" t="str">
        <f t="shared" si="174"/>
        <v/>
      </c>
      <c r="GO787" s="1995" t="str">
        <f t="shared" si="175"/>
        <v/>
      </c>
      <c r="GP787" s="1995" t="str">
        <f t="shared" si="176"/>
        <v/>
      </c>
      <c r="GQ787" s="1995" t="str">
        <f t="shared" si="177"/>
        <v/>
      </c>
      <c r="GR787" s="1995" t="str">
        <f t="shared" si="178"/>
        <v/>
      </c>
      <c r="GS787" s="1995" t="str">
        <f t="shared" si="179"/>
        <v/>
      </c>
      <c r="GT787" s="1995" t="str">
        <f t="shared" si="180"/>
        <v/>
      </c>
      <c r="GU787" s="1995" t="str">
        <f t="shared" si="181"/>
        <v/>
      </c>
      <c r="GV787" s="1995" t="str">
        <f t="shared" si="182"/>
        <v/>
      </c>
      <c r="GW787" s="1995" t="str">
        <f t="shared" si="183"/>
        <v/>
      </c>
      <c r="GX787" s="1995" t="str">
        <f t="shared" si="184"/>
        <v/>
      </c>
      <c r="GY787" s="1995" t="str">
        <f t="shared" si="185"/>
        <v/>
      </c>
      <c r="GZ787" s="1995" t="str">
        <f t="shared" si="186"/>
        <v/>
      </c>
      <c r="HA787" s="1995" t="str">
        <f t="shared" si="187"/>
        <v/>
      </c>
      <c r="HB787" s="1995" t="str">
        <f t="shared" si="188"/>
        <v/>
      </c>
      <c r="HC787" s="1995" t="str">
        <f t="shared" si="189"/>
        <v/>
      </c>
      <c r="HD787" s="1995" t="str">
        <f t="shared" si="190"/>
        <v/>
      </c>
      <c r="HE787" s="1995" t="str">
        <f t="shared" si="191"/>
        <v/>
      </c>
      <c r="HF787" s="1995" t="str">
        <f t="shared" si="192"/>
        <v/>
      </c>
      <c r="HG787" s="1995" t="str">
        <f t="shared" si="193"/>
        <v/>
      </c>
      <c r="HH787" s="1995" t="str">
        <f t="shared" si="194"/>
        <v/>
      </c>
      <c r="HI787" s="1995" t="str">
        <f t="shared" si="195"/>
        <v/>
      </c>
      <c r="HJ787" s="1995" t="str">
        <f t="shared" si="196"/>
        <v/>
      </c>
      <c r="HK787" s="1995" t="str">
        <f t="shared" si="197"/>
        <v/>
      </c>
      <c r="HL787" s="1995" t="str">
        <f t="shared" si="198"/>
        <v/>
      </c>
      <c r="HM787" s="1995" t="str">
        <f t="shared" si="199"/>
        <v/>
      </c>
      <c r="HN787" s="1995" t="str">
        <f t="shared" si="200"/>
        <v/>
      </c>
      <c r="HO787" s="1995" t="str">
        <f t="shared" si="201"/>
        <v/>
      </c>
      <c r="HP787" s="1995" t="str">
        <f t="shared" si="202"/>
        <v/>
      </c>
      <c r="HQ787" s="1995" t="str">
        <f t="shared" si="203"/>
        <v/>
      </c>
      <c r="HR787" s="1995" t="str">
        <f t="shared" si="204"/>
        <v/>
      </c>
      <c r="HS787" s="1995" t="str">
        <f t="shared" si="205"/>
        <v/>
      </c>
      <c r="HT787" s="1995" t="str">
        <f t="shared" si="206"/>
        <v/>
      </c>
      <c r="HU787" s="1995" t="str">
        <f t="shared" si="207"/>
        <v/>
      </c>
      <c r="HV787" s="1995" t="str">
        <f t="shared" si="208"/>
        <v/>
      </c>
      <c r="HW787" s="1995" t="str">
        <f t="shared" si="209"/>
        <v/>
      </c>
      <c r="HX787" s="1995" t="str">
        <f t="shared" si="210"/>
        <v/>
      </c>
      <c r="HY787" s="1995" t="str">
        <f t="shared" si="211"/>
        <v/>
      </c>
      <c r="HZ787" s="1900" t="str">
        <f t="shared" si="212"/>
        <v/>
      </c>
      <c r="IA787" s="1900" t="str">
        <f t="shared" si="213"/>
        <v/>
      </c>
      <c r="IB787" s="1900">
        <f t="shared" si="214"/>
        <v>18</v>
      </c>
      <c r="IC787" s="1900" t="str">
        <f t="shared" si="215"/>
        <v/>
      </c>
      <c r="ID787" s="1900" t="str">
        <f t="shared" si="216"/>
        <v/>
      </c>
      <c r="IE787" s="1900" t="str">
        <f t="shared" si="217"/>
        <v/>
      </c>
      <c r="IF787" s="1900" t="str">
        <f t="shared" si="218"/>
        <v/>
      </c>
      <c r="IG787" s="1900" t="str">
        <f t="shared" si="219"/>
        <v/>
      </c>
      <c r="IH787" s="1900" t="str">
        <f t="shared" si="220"/>
        <v/>
      </c>
      <c r="II787" s="1900" t="str">
        <f t="shared" si="221"/>
        <v/>
      </c>
      <c r="IJ787" s="1900" t="str">
        <f t="shared" si="222"/>
        <v/>
      </c>
      <c r="IK787" s="1900" t="str">
        <f t="shared" si="223"/>
        <v/>
      </c>
      <c r="IL787" s="1900" t="str">
        <f t="shared" si="224"/>
        <v/>
      </c>
      <c r="IM787" s="1900" t="str">
        <f t="shared" si="225"/>
        <v/>
      </c>
      <c r="IN787" s="1900" t="str">
        <f t="shared" si="226"/>
        <v/>
      </c>
      <c r="IO787" s="1900" t="str">
        <f t="shared" si="227"/>
        <v/>
      </c>
      <c r="IP787" s="1900" t="str">
        <f t="shared" si="228"/>
        <v/>
      </c>
      <c r="IQ787" s="1900" t="str">
        <f t="shared" si="229"/>
        <v/>
      </c>
      <c r="IR787" s="1900" t="str">
        <f t="shared" si="230"/>
        <v/>
      </c>
      <c r="IS787" s="1900" t="str">
        <f t="shared" si="231"/>
        <v/>
      </c>
      <c r="IT787" s="1900" t="str">
        <f t="shared" si="232"/>
        <v/>
      </c>
      <c r="IU787" s="1900" t="str">
        <f t="shared" si="233"/>
        <v/>
      </c>
      <c r="IV787" s="1900" t="str">
        <f t="shared" si="234"/>
        <v/>
      </c>
      <c r="IW787" s="1900" t="str">
        <f t="shared" si="235"/>
        <v/>
      </c>
      <c r="IX787" s="1900" t="str">
        <f t="shared" si="236"/>
        <v/>
      </c>
      <c r="IY787" s="1900" t="str">
        <f t="shared" si="237"/>
        <v/>
      </c>
      <c r="IZ787" s="1900" t="str">
        <f t="shared" si="238"/>
        <v/>
      </c>
      <c r="JA787" s="1900" t="str">
        <f t="shared" si="239"/>
        <v/>
      </c>
      <c r="JB787" s="1900" t="str">
        <f t="shared" si="240"/>
        <v/>
      </c>
      <c r="JC787" s="1900" t="str">
        <f t="shared" si="241"/>
        <v/>
      </c>
      <c r="JD787" s="1900" t="str">
        <f t="shared" si="242"/>
        <v/>
      </c>
      <c r="JE787" s="1900" t="str">
        <f t="shared" si="243"/>
        <v/>
      </c>
      <c r="JF787" s="1900" t="str">
        <f t="shared" si="244"/>
        <v/>
      </c>
      <c r="JG787" s="1900" t="str">
        <f t="shared" si="245"/>
        <v/>
      </c>
      <c r="JH787" s="1900" t="str">
        <f t="shared" si="246"/>
        <v/>
      </c>
      <c r="JI787" s="1900" t="str">
        <f t="shared" si="247"/>
        <v/>
      </c>
      <c r="JJ787" s="1900" t="str">
        <f t="shared" si="248"/>
        <v/>
      </c>
      <c r="JK787" s="1900" t="str">
        <f t="shared" si="249"/>
        <v/>
      </c>
      <c r="JL787" s="1900" t="str">
        <f t="shared" si="250"/>
        <v/>
      </c>
      <c r="JM787" s="1900" t="str">
        <f t="shared" si="251"/>
        <v/>
      </c>
      <c r="JN787" s="1900" t="str">
        <f t="shared" si="252"/>
        <v/>
      </c>
      <c r="JO787" s="1900" t="str">
        <f t="shared" si="253"/>
        <v/>
      </c>
      <c r="JP787" s="1900" t="str">
        <f t="shared" si="254"/>
        <v/>
      </c>
      <c r="JQ787" s="1900" t="str">
        <f t="shared" si="255"/>
        <v/>
      </c>
      <c r="JR787" s="1900" t="str">
        <f t="shared" si="256"/>
        <v/>
      </c>
      <c r="JS787" s="1900" t="str">
        <f t="shared" si="257"/>
        <v/>
      </c>
      <c r="JT787" s="1900" t="str">
        <f t="shared" si="258"/>
        <v/>
      </c>
      <c r="JU787" s="1900" t="str">
        <f t="shared" si="259"/>
        <v/>
      </c>
      <c r="JV787" s="1900" t="str">
        <f t="shared" si="260"/>
        <v/>
      </c>
      <c r="JW787" s="1900" t="str">
        <f t="shared" si="261"/>
        <v/>
      </c>
      <c r="JX787" s="1900" t="str">
        <f t="shared" si="262"/>
        <v/>
      </c>
      <c r="JY787" s="1900" t="str">
        <f t="shared" si="263"/>
        <v/>
      </c>
      <c r="JZ787" s="1900" t="str">
        <f t="shared" si="264"/>
        <v/>
      </c>
      <c r="KA787" s="1900" t="str">
        <f t="shared" si="265"/>
        <v/>
      </c>
      <c r="KB787" s="1900" t="str">
        <f t="shared" si="266"/>
        <v/>
      </c>
      <c r="KC787" s="1900" t="str">
        <f t="shared" si="267"/>
        <v/>
      </c>
      <c r="KD787" s="1900" t="str">
        <f t="shared" si="268"/>
        <v/>
      </c>
      <c r="KE787" s="1900" t="str">
        <f t="shared" si="269"/>
        <v/>
      </c>
      <c r="KF787" s="1900" t="str">
        <f t="shared" si="270"/>
        <v/>
      </c>
      <c r="KG787" s="1900" t="str">
        <f t="shared" si="271"/>
        <v/>
      </c>
      <c r="KH787" s="1900" t="str">
        <f t="shared" si="272"/>
        <v/>
      </c>
      <c r="KI787" s="1900" t="str">
        <f t="shared" si="273"/>
        <v/>
      </c>
      <c r="KJ787" s="1900" t="str">
        <f t="shared" si="274"/>
        <v/>
      </c>
      <c r="KK787" s="1900" t="str">
        <f t="shared" si="275"/>
        <v/>
      </c>
      <c r="KL787" s="1900" t="str">
        <f t="shared" si="276"/>
        <v/>
      </c>
      <c r="KM787" s="1900" t="str">
        <f t="shared" si="277"/>
        <v/>
      </c>
      <c r="KN787" s="1900" t="str">
        <f t="shared" si="278"/>
        <v/>
      </c>
      <c r="KO787" s="1900" t="str">
        <f t="shared" si="279"/>
        <v/>
      </c>
      <c r="KP787" s="1900" t="str">
        <f t="shared" si="280"/>
        <v/>
      </c>
      <c r="KQ787" s="1900" t="str">
        <f t="shared" si="281"/>
        <v/>
      </c>
      <c r="KR787" s="1900" t="str">
        <f t="shared" si="282"/>
        <v/>
      </c>
      <c r="KS787" s="1900" t="str">
        <f t="shared" si="283"/>
        <v/>
      </c>
      <c r="KT787" s="1900" t="str">
        <f t="shared" si="284"/>
        <v/>
      </c>
      <c r="KU787" s="1900" t="str">
        <f t="shared" si="285"/>
        <v/>
      </c>
      <c r="KV787" s="1900" t="str">
        <f t="shared" si="286"/>
        <v/>
      </c>
      <c r="KW787" s="1900" t="str">
        <f t="shared" si="287"/>
        <v/>
      </c>
      <c r="KX787" s="1900" t="str">
        <f t="shared" si="288"/>
        <v/>
      </c>
      <c r="KY787" s="1900" t="str">
        <f t="shared" si="289"/>
        <v/>
      </c>
      <c r="KZ787" s="1900" t="str">
        <f t="shared" si="290"/>
        <v/>
      </c>
      <c r="LA787" s="1900" t="str">
        <f t="shared" si="291"/>
        <v/>
      </c>
      <c r="LB787" s="1900" t="str">
        <f t="shared" si="292"/>
        <v/>
      </c>
      <c r="LC787" s="1900" t="str">
        <f t="shared" si="293"/>
        <v/>
      </c>
      <c r="LD787" s="1900" t="str">
        <f t="shared" si="294"/>
        <v/>
      </c>
      <c r="LE787" s="1900" t="str">
        <f t="shared" si="295"/>
        <v/>
      </c>
      <c r="LF787" s="1900" t="str">
        <f t="shared" si="296"/>
        <v/>
      </c>
      <c r="LG787" s="1900" t="str">
        <f t="shared" si="297"/>
        <v/>
      </c>
      <c r="LH787" s="1900" t="str">
        <f t="shared" si="298"/>
        <v/>
      </c>
      <c r="LI787" s="1900">
        <f t="shared" si="299"/>
        <v>18</v>
      </c>
      <c r="LJ787" s="1900" t="str">
        <f t="shared" si="300"/>
        <v/>
      </c>
      <c r="LK787" s="1900" t="str">
        <f t="shared" si="301"/>
        <v/>
      </c>
      <c r="LL787" s="1900" t="str">
        <f t="shared" si="302"/>
        <v/>
      </c>
      <c r="LM787" s="1900" t="str">
        <f t="shared" si="303"/>
        <v/>
      </c>
      <c r="LN787" s="1900" t="str">
        <f t="shared" si="304"/>
        <v/>
      </c>
      <c r="LO787" s="1900" t="str">
        <f t="shared" si="305"/>
        <v/>
      </c>
      <c r="LP787" s="1900" t="str">
        <f t="shared" si="306"/>
        <v/>
      </c>
      <c r="LQ787" s="1874" t="str">
        <f t="shared" si="307"/>
        <v/>
      </c>
      <c r="LR787" s="1874" t="str">
        <f t="shared" si="308"/>
        <v/>
      </c>
      <c r="LS787" s="1874" t="str">
        <f t="shared" si="309"/>
        <v/>
      </c>
      <c r="LT787" s="1874" t="str">
        <f t="shared" si="310"/>
        <v/>
      </c>
      <c r="LU787" s="1874" t="str">
        <f t="shared" si="311"/>
        <v/>
      </c>
      <c r="LV787" s="1995" t="str">
        <f t="shared" si="312"/>
        <v/>
      </c>
      <c r="LW787" s="1995" t="str">
        <f t="shared" si="313"/>
        <v/>
      </c>
      <c r="LX787" s="1995" t="str">
        <f t="shared" si="314"/>
        <v/>
      </c>
      <c r="LY787" s="1995" t="str">
        <f t="shared" si="315"/>
        <v/>
      </c>
      <c r="LZ787" s="1995" t="str">
        <f t="shared" si="316"/>
        <v/>
      </c>
      <c r="MA787" s="1995" t="str">
        <f t="shared" si="317"/>
        <v/>
      </c>
      <c r="MB787" s="1995" t="str">
        <f t="shared" si="318"/>
        <v/>
      </c>
      <c r="MC787" s="1995" t="str">
        <f t="shared" si="319"/>
        <v/>
      </c>
      <c r="MD787" s="1995" t="str">
        <f t="shared" si="320"/>
        <v/>
      </c>
      <c r="ME787" s="1995" t="str">
        <f t="shared" si="321"/>
        <v/>
      </c>
      <c r="MF787" s="1995" t="str">
        <f t="shared" si="322"/>
        <v/>
      </c>
      <c r="MG787" s="1995" t="str">
        <f t="shared" si="323"/>
        <v/>
      </c>
      <c r="MH787" s="1995" t="str">
        <f t="shared" si="324"/>
        <v/>
      </c>
      <c r="MI787" s="1995" t="str">
        <f t="shared" si="325"/>
        <v/>
      </c>
      <c r="MJ787" s="1995" t="str">
        <f t="shared" si="326"/>
        <v/>
      </c>
      <c r="MK787" s="1995" t="str">
        <f t="shared" si="327"/>
        <v/>
      </c>
      <c r="ML787" s="1995" t="str">
        <f t="shared" si="328"/>
        <v/>
      </c>
      <c r="MM787" s="1995" t="str">
        <f t="shared" si="329"/>
        <v/>
      </c>
      <c r="MN787" s="1995" t="str">
        <f t="shared" si="330"/>
        <v/>
      </c>
      <c r="MO787" s="1995" t="str">
        <f t="shared" si="331"/>
        <v/>
      </c>
      <c r="MP787" s="1874">
        <f t="shared" si="338"/>
        <v>0</v>
      </c>
      <c r="MQ787" s="1874">
        <f t="shared" si="339"/>
        <v>0</v>
      </c>
      <c r="MR787" s="1874">
        <f t="shared" si="340"/>
        <v>0</v>
      </c>
      <c r="MS787" s="1874">
        <f t="shared" si="341"/>
        <v>0</v>
      </c>
      <c r="MT787" s="1874">
        <f t="shared" si="342"/>
        <v>0</v>
      </c>
      <c r="MU787" s="1874">
        <f t="shared" si="343"/>
        <v>0</v>
      </c>
      <c r="MV787" s="1874">
        <f t="shared" si="344"/>
        <v>0</v>
      </c>
      <c r="MW787" s="1874">
        <f t="shared" si="345"/>
        <v>18</v>
      </c>
      <c r="MX787" s="1874">
        <f t="shared" si="346"/>
        <v>0</v>
      </c>
      <c r="MY787" s="1874">
        <f t="shared" si="347"/>
        <v>0</v>
      </c>
      <c r="MZ787" s="1874">
        <f t="shared" si="332"/>
        <v>0</v>
      </c>
      <c r="NA787" s="1874">
        <f t="shared" si="333"/>
        <v>0</v>
      </c>
      <c r="NB787" s="1874">
        <f t="shared" si="334"/>
        <v>0</v>
      </c>
      <c r="NC787" s="1874">
        <f t="shared" si="335"/>
        <v>0</v>
      </c>
      <c r="ND787" s="1874">
        <f t="shared" si="336"/>
        <v>0</v>
      </c>
    </row>
    <row r="788" spans="1:368" ht="13.95" customHeight="1">
      <c r="A788" s="1896" t="str">
        <f t="shared" si="337"/>
        <v/>
      </c>
      <c r="B788" s="2212">
        <f>'Part VI-Revenues &amp; Expenses'!B19</f>
        <v>60</v>
      </c>
      <c r="C788" s="2213">
        <f>'Part VI-Revenues &amp; Expenses'!C19</f>
        <v>1</v>
      </c>
      <c r="D788" s="2214">
        <f>'Part VI-Revenues &amp; Expenses'!D19</f>
        <v>1</v>
      </c>
      <c r="E788" s="2215">
        <f>'Part VI-Revenues &amp; Expenses'!E19</f>
        <v>9</v>
      </c>
      <c r="F788" s="2215">
        <f>'Part VI-Revenues &amp; Expenses'!F19</f>
        <v>800</v>
      </c>
      <c r="G788" s="2215">
        <f>'Part VI-Revenues &amp; Expenses'!G19</f>
        <v>671</v>
      </c>
      <c r="H788" s="2215">
        <f>'Part VI-Revenues &amp; Expenses'!H19</f>
        <v>671</v>
      </c>
      <c r="I788" s="2215">
        <f>'Part VI-Revenues &amp; Expenses'!I19</f>
        <v>0</v>
      </c>
      <c r="J788" s="2215">
        <f>'Part VI-Revenues &amp; Expenses'!J19</f>
        <v>121</v>
      </c>
      <c r="K788" s="2216">
        <f>'Part VI-Revenues &amp; Expenses'!K19</f>
        <v>0</v>
      </c>
      <c r="L788" s="1899">
        <f t="shared" si="0"/>
        <v>550</v>
      </c>
      <c r="M788" s="1899">
        <f t="shared" si="1"/>
        <v>4950</v>
      </c>
      <c r="N788" s="2074" t="str">
        <f>'Part VI-Revenues &amp; Expenses'!N19</f>
        <v>No</v>
      </c>
      <c r="O788" s="2074" t="str">
        <f>'Part VI-Revenues &amp; Expenses'!O19</f>
        <v>3+ Story Elevator</v>
      </c>
      <c r="P788" s="2074" t="str">
        <f>'Part VI-Revenues &amp; Expenses'!P19</f>
        <v>New Construction</v>
      </c>
      <c r="Q788" s="1732" t="str">
        <f>'Part VI-Revenues &amp; Expenses'!Q19</f>
        <v>No</v>
      </c>
      <c r="R788" s="1926"/>
      <c r="S788" s="2148"/>
      <c r="T788" s="1910"/>
      <c r="U788" s="1910"/>
      <c r="V788" s="1910"/>
      <c r="W788" s="1910"/>
      <c r="X788" s="1995" t="str">
        <f t="shared" si="2"/>
        <v/>
      </c>
      <c r="Y788" s="1995" t="str">
        <f t="shared" si="3"/>
        <v/>
      </c>
      <c r="Z788" s="1995" t="str">
        <f t="shared" si="4"/>
        <v/>
      </c>
      <c r="AA788" s="1995" t="str">
        <f t="shared" si="5"/>
        <v/>
      </c>
      <c r="AB788" s="1995" t="str">
        <f t="shared" si="6"/>
        <v/>
      </c>
      <c r="AC788" s="1995" t="str">
        <f t="shared" si="7"/>
        <v/>
      </c>
      <c r="AD788" s="1995" t="str">
        <f t="shared" si="8"/>
        <v/>
      </c>
      <c r="AE788" s="1995" t="str">
        <f t="shared" si="9"/>
        <v/>
      </c>
      <c r="AF788" s="1995" t="str">
        <f t="shared" si="10"/>
        <v/>
      </c>
      <c r="AG788" s="1995" t="str">
        <f t="shared" si="11"/>
        <v/>
      </c>
      <c r="AH788" s="1995" t="str">
        <f t="shared" si="12"/>
        <v/>
      </c>
      <c r="AI788" s="1995">
        <f t="shared" si="13"/>
        <v>9</v>
      </c>
      <c r="AJ788" s="1995" t="str">
        <f t="shared" si="14"/>
        <v/>
      </c>
      <c r="AK788" s="1995" t="str">
        <f t="shared" si="15"/>
        <v/>
      </c>
      <c r="AL788" s="1995" t="str">
        <f t="shared" si="16"/>
        <v/>
      </c>
      <c r="AM788" s="1995" t="str">
        <f t="shared" si="17"/>
        <v/>
      </c>
      <c r="AN788" s="1995" t="str">
        <f t="shared" si="18"/>
        <v/>
      </c>
      <c r="AO788" s="1995" t="str">
        <f t="shared" si="19"/>
        <v/>
      </c>
      <c r="AP788" s="1995" t="str">
        <f t="shared" si="20"/>
        <v/>
      </c>
      <c r="AQ788" s="1995" t="str">
        <f t="shared" si="21"/>
        <v/>
      </c>
      <c r="AR788" s="1995" t="str">
        <f t="shared" si="22"/>
        <v/>
      </c>
      <c r="AS788" s="1995" t="str">
        <f t="shared" si="23"/>
        <v/>
      </c>
      <c r="AT788" s="1995" t="str">
        <f t="shared" si="24"/>
        <v/>
      </c>
      <c r="AU788" s="1995" t="str">
        <f t="shared" si="25"/>
        <v/>
      </c>
      <c r="AV788" s="1995" t="str">
        <f t="shared" si="26"/>
        <v/>
      </c>
      <c r="AW788" s="1995" t="str">
        <f t="shared" si="27"/>
        <v/>
      </c>
      <c r="AX788" s="1995" t="str">
        <f t="shared" si="28"/>
        <v/>
      </c>
      <c r="AY788" s="1995" t="str">
        <f t="shared" si="29"/>
        <v/>
      </c>
      <c r="AZ788" s="1995" t="str">
        <f t="shared" si="30"/>
        <v/>
      </c>
      <c r="BA788" s="1995" t="str">
        <f t="shared" si="31"/>
        <v/>
      </c>
      <c r="BB788" s="1995" t="str">
        <f t="shared" si="32"/>
        <v/>
      </c>
      <c r="BC788" s="1995" t="str">
        <f t="shared" si="33"/>
        <v/>
      </c>
      <c r="BD788" s="1995" t="str">
        <f t="shared" si="34"/>
        <v/>
      </c>
      <c r="BE788" s="1995" t="str">
        <f t="shared" si="35"/>
        <v/>
      </c>
      <c r="BF788" s="1995" t="str">
        <f t="shared" si="36"/>
        <v/>
      </c>
      <c r="BG788" s="1995" t="str">
        <f t="shared" si="37"/>
        <v/>
      </c>
      <c r="BH788" s="1995" t="str">
        <f t="shared" si="38"/>
        <v/>
      </c>
      <c r="BI788" s="1995" t="str">
        <f t="shared" si="39"/>
        <v/>
      </c>
      <c r="BJ788" s="1995" t="str">
        <f t="shared" si="40"/>
        <v/>
      </c>
      <c r="BK788" s="1995" t="str">
        <f t="shared" si="41"/>
        <v/>
      </c>
      <c r="BL788" s="1995" t="str">
        <f t="shared" si="42"/>
        <v/>
      </c>
      <c r="BM788" s="1995" t="str">
        <f t="shared" si="43"/>
        <v/>
      </c>
      <c r="BN788" s="1995" t="str">
        <f t="shared" si="44"/>
        <v/>
      </c>
      <c r="BO788" s="1995" t="str">
        <f t="shared" si="45"/>
        <v/>
      </c>
      <c r="BP788" s="1995" t="str">
        <f t="shared" si="46"/>
        <v/>
      </c>
      <c r="BQ788" s="1995" t="str">
        <f t="shared" si="47"/>
        <v/>
      </c>
      <c r="BR788" s="1995" t="str">
        <f t="shared" si="48"/>
        <v/>
      </c>
      <c r="BS788" s="1995" t="str">
        <f t="shared" si="49"/>
        <v/>
      </c>
      <c r="BT788" s="1995" t="str">
        <f t="shared" si="50"/>
        <v/>
      </c>
      <c r="BU788" s="1995" t="str">
        <f t="shared" si="51"/>
        <v/>
      </c>
      <c r="BV788" s="1995" t="str">
        <f t="shared" si="52"/>
        <v/>
      </c>
      <c r="BW788" s="1995" t="str">
        <f t="shared" si="53"/>
        <v/>
      </c>
      <c r="BX788" s="1995" t="str">
        <f t="shared" si="54"/>
        <v/>
      </c>
      <c r="BY788" s="1995" t="str">
        <f t="shared" si="55"/>
        <v/>
      </c>
      <c r="BZ788" s="1995" t="str">
        <f t="shared" si="56"/>
        <v/>
      </c>
      <c r="CA788" s="1995" t="str">
        <f t="shared" si="57"/>
        <v/>
      </c>
      <c r="CB788" s="1995" t="str">
        <f t="shared" si="58"/>
        <v/>
      </c>
      <c r="CC788" s="1995" t="str">
        <f t="shared" si="59"/>
        <v/>
      </c>
      <c r="CD788" s="1995" t="str">
        <f t="shared" si="60"/>
        <v/>
      </c>
      <c r="CE788" s="1995" t="str">
        <f t="shared" si="61"/>
        <v/>
      </c>
      <c r="CF788" s="1995" t="str">
        <f t="shared" si="62"/>
        <v/>
      </c>
      <c r="CG788" s="1995" t="str">
        <f t="shared" si="63"/>
        <v/>
      </c>
      <c r="CH788" s="1995" t="str">
        <f t="shared" si="64"/>
        <v/>
      </c>
      <c r="CI788" s="1995" t="str">
        <f t="shared" si="65"/>
        <v/>
      </c>
      <c r="CJ788" s="1995" t="str">
        <f t="shared" si="66"/>
        <v/>
      </c>
      <c r="CK788" s="1995" t="str">
        <f t="shared" si="67"/>
        <v/>
      </c>
      <c r="CL788" s="1995" t="str">
        <f t="shared" si="68"/>
        <v/>
      </c>
      <c r="CM788" s="1995" t="str">
        <f t="shared" si="69"/>
        <v/>
      </c>
      <c r="CN788" s="1995" t="str">
        <f t="shared" si="70"/>
        <v/>
      </c>
      <c r="CO788" s="1995" t="str">
        <f t="shared" si="71"/>
        <v/>
      </c>
      <c r="CP788" s="1995" t="str">
        <f t="shared" si="72"/>
        <v/>
      </c>
      <c r="CQ788" s="1995" t="str">
        <f t="shared" si="73"/>
        <v/>
      </c>
      <c r="CR788" s="1995" t="str">
        <f t="shared" si="74"/>
        <v/>
      </c>
      <c r="CS788" s="1995" t="str">
        <f t="shared" si="75"/>
        <v/>
      </c>
      <c r="CT788" s="1995" t="str">
        <f t="shared" si="76"/>
        <v/>
      </c>
      <c r="CU788" s="1995" t="str">
        <f t="shared" si="77"/>
        <v/>
      </c>
      <c r="CV788" s="1995" t="str">
        <f t="shared" si="78"/>
        <v/>
      </c>
      <c r="CW788" s="1995" t="str">
        <f t="shared" si="79"/>
        <v/>
      </c>
      <c r="CX788" s="1995" t="str">
        <f t="shared" si="80"/>
        <v/>
      </c>
      <c r="CY788" s="1995" t="str">
        <f t="shared" si="81"/>
        <v/>
      </c>
      <c r="CZ788" s="1995" t="str">
        <f t="shared" si="82"/>
        <v/>
      </c>
      <c r="DA788" s="1995" t="str">
        <f t="shared" si="83"/>
        <v/>
      </c>
      <c r="DB788" s="1995" t="str">
        <f t="shared" si="84"/>
        <v/>
      </c>
      <c r="DC788" s="1995" t="str">
        <f t="shared" si="85"/>
        <v/>
      </c>
      <c r="DD788" s="1995" t="str">
        <f t="shared" si="86"/>
        <v/>
      </c>
      <c r="DE788" s="1995" t="str">
        <f t="shared" si="87"/>
        <v/>
      </c>
      <c r="DF788" s="1995" t="str">
        <f t="shared" si="88"/>
        <v/>
      </c>
      <c r="DG788" s="1995" t="str">
        <f t="shared" si="89"/>
        <v/>
      </c>
      <c r="DH788" s="1995" t="str">
        <f t="shared" si="90"/>
        <v/>
      </c>
      <c r="DI788" s="1995" t="str">
        <f t="shared" si="91"/>
        <v/>
      </c>
      <c r="DJ788" s="1995" t="str">
        <f t="shared" si="92"/>
        <v/>
      </c>
      <c r="DK788" s="1995" t="str">
        <f t="shared" si="93"/>
        <v/>
      </c>
      <c r="DL788" s="1995" t="str">
        <f t="shared" si="94"/>
        <v/>
      </c>
      <c r="DM788" s="1995" t="str">
        <f t="shared" si="95"/>
        <v/>
      </c>
      <c r="DN788" s="1995" t="str">
        <f t="shared" si="96"/>
        <v/>
      </c>
      <c r="DO788" s="1995" t="str">
        <f t="shared" si="97"/>
        <v/>
      </c>
      <c r="DP788" s="1995" t="str">
        <f t="shared" si="98"/>
        <v/>
      </c>
      <c r="DQ788" s="1995" t="str">
        <f t="shared" si="99"/>
        <v/>
      </c>
      <c r="DR788" s="1995" t="str">
        <f t="shared" si="100"/>
        <v/>
      </c>
      <c r="DS788" s="1995" t="str">
        <f t="shared" si="101"/>
        <v/>
      </c>
      <c r="DT788" s="1995" t="str">
        <f t="shared" si="102"/>
        <v/>
      </c>
      <c r="DU788" s="1995" t="str">
        <f t="shared" si="103"/>
        <v/>
      </c>
      <c r="DV788" s="1995" t="str">
        <f t="shared" si="104"/>
        <v/>
      </c>
      <c r="DW788" s="1995" t="str">
        <f t="shared" si="105"/>
        <v/>
      </c>
      <c r="DX788" s="1995" t="str">
        <f t="shared" si="106"/>
        <v/>
      </c>
      <c r="DY788" s="1995" t="str">
        <f t="shared" si="107"/>
        <v/>
      </c>
      <c r="DZ788" s="1995" t="str">
        <f t="shared" si="108"/>
        <v/>
      </c>
      <c r="EA788" s="1995" t="str">
        <f t="shared" si="109"/>
        <v/>
      </c>
      <c r="EB788" s="1995" t="str">
        <f t="shared" si="110"/>
        <v/>
      </c>
      <c r="EC788" s="1995" t="str">
        <f t="shared" si="111"/>
        <v/>
      </c>
      <c r="ED788" s="1995" t="str">
        <f t="shared" si="112"/>
        <v/>
      </c>
      <c r="EE788" s="1995" t="str">
        <f t="shared" si="113"/>
        <v/>
      </c>
      <c r="EF788" s="1995" t="str">
        <f t="shared" si="114"/>
        <v/>
      </c>
      <c r="EG788" s="1995" t="str">
        <f t="shared" si="115"/>
        <v/>
      </c>
      <c r="EH788" s="1995" t="str">
        <f t="shared" si="116"/>
        <v/>
      </c>
      <c r="EI788" s="1995" t="str">
        <f t="shared" si="117"/>
        <v/>
      </c>
      <c r="EJ788" s="1995" t="str">
        <f t="shared" si="118"/>
        <v/>
      </c>
      <c r="EK788" s="1995" t="str">
        <f t="shared" si="119"/>
        <v/>
      </c>
      <c r="EL788" s="1995" t="str">
        <f t="shared" si="120"/>
        <v/>
      </c>
      <c r="EM788" s="1995" t="str">
        <f t="shared" si="121"/>
        <v/>
      </c>
      <c r="EN788" s="1995" t="str">
        <f t="shared" si="122"/>
        <v/>
      </c>
      <c r="EO788" s="1995" t="str">
        <f t="shared" si="123"/>
        <v/>
      </c>
      <c r="EP788" s="1995" t="str">
        <f t="shared" si="124"/>
        <v/>
      </c>
      <c r="EQ788" s="1995" t="str">
        <f t="shared" si="125"/>
        <v/>
      </c>
      <c r="ER788" s="1995" t="str">
        <f t="shared" si="126"/>
        <v/>
      </c>
      <c r="ES788" s="1995" t="str">
        <f t="shared" si="127"/>
        <v/>
      </c>
      <c r="ET788" s="1995">
        <f t="shared" si="128"/>
        <v>7200</v>
      </c>
      <c r="EU788" s="1995" t="str">
        <f t="shared" si="129"/>
        <v/>
      </c>
      <c r="EV788" s="1995" t="str">
        <f t="shared" si="130"/>
        <v/>
      </c>
      <c r="EW788" s="1995" t="str">
        <f t="shared" si="131"/>
        <v/>
      </c>
      <c r="EX788" s="1995" t="str">
        <f t="shared" si="132"/>
        <v/>
      </c>
      <c r="EY788" s="1995" t="str">
        <f t="shared" si="133"/>
        <v/>
      </c>
      <c r="EZ788" s="1995" t="str">
        <f t="shared" si="134"/>
        <v/>
      </c>
      <c r="FA788" s="1995" t="str">
        <f t="shared" si="135"/>
        <v/>
      </c>
      <c r="FB788" s="1995" t="str">
        <f t="shared" si="136"/>
        <v/>
      </c>
      <c r="FC788" s="1995" t="str">
        <f t="shared" si="137"/>
        <v/>
      </c>
      <c r="FD788" s="1995" t="str">
        <f t="shared" si="138"/>
        <v/>
      </c>
      <c r="FE788" s="1995" t="str">
        <f t="shared" si="139"/>
        <v/>
      </c>
      <c r="FF788" s="1995" t="str">
        <f t="shared" si="140"/>
        <v/>
      </c>
      <c r="FG788" s="1995" t="str">
        <f t="shared" si="141"/>
        <v/>
      </c>
      <c r="FH788" s="1995" t="str">
        <f t="shared" si="142"/>
        <v/>
      </c>
      <c r="FI788" s="1995" t="str">
        <f t="shared" si="143"/>
        <v/>
      </c>
      <c r="FJ788" s="1995" t="str">
        <f t="shared" si="144"/>
        <v/>
      </c>
      <c r="FK788" s="1995" t="str">
        <f t="shared" si="145"/>
        <v/>
      </c>
      <c r="FL788" s="1995" t="str">
        <f t="shared" si="146"/>
        <v/>
      </c>
      <c r="FM788" s="1995" t="str">
        <f t="shared" si="147"/>
        <v/>
      </c>
      <c r="FN788" s="1995" t="str">
        <f t="shared" si="148"/>
        <v/>
      </c>
      <c r="FO788" s="1995" t="str">
        <f t="shared" si="149"/>
        <v/>
      </c>
      <c r="FP788" s="1995" t="str">
        <f t="shared" si="150"/>
        <v/>
      </c>
      <c r="FQ788" s="1995" t="str">
        <f t="shared" si="151"/>
        <v/>
      </c>
      <c r="FR788" s="1995" t="str">
        <f t="shared" si="152"/>
        <v/>
      </c>
      <c r="FS788" s="1995" t="str">
        <f t="shared" si="153"/>
        <v/>
      </c>
      <c r="FT788" s="1995" t="str">
        <f t="shared" si="154"/>
        <v/>
      </c>
      <c r="FU788" s="1995" t="str">
        <f t="shared" si="155"/>
        <v/>
      </c>
      <c r="FV788" s="1995" t="str">
        <f t="shared" si="156"/>
        <v/>
      </c>
      <c r="FW788" s="1995" t="str">
        <f t="shared" si="157"/>
        <v/>
      </c>
      <c r="FX788" s="1995" t="str">
        <f t="shared" si="158"/>
        <v/>
      </c>
      <c r="FY788" s="1995" t="str">
        <f t="shared" si="159"/>
        <v/>
      </c>
      <c r="FZ788" s="1995" t="str">
        <f t="shared" si="160"/>
        <v/>
      </c>
      <c r="GA788" s="1995" t="str">
        <f t="shared" si="161"/>
        <v/>
      </c>
      <c r="GB788" s="1995" t="str">
        <f t="shared" si="162"/>
        <v/>
      </c>
      <c r="GC788" s="1995" t="str">
        <f t="shared" si="163"/>
        <v/>
      </c>
      <c r="GD788" s="1995" t="str">
        <f t="shared" si="164"/>
        <v/>
      </c>
      <c r="GE788" s="1995" t="str">
        <f t="shared" si="165"/>
        <v/>
      </c>
      <c r="GF788" s="1995" t="str">
        <f t="shared" si="166"/>
        <v/>
      </c>
      <c r="GG788" s="1995" t="str">
        <f t="shared" si="167"/>
        <v/>
      </c>
      <c r="GH788" s="1995">
        <f t="shared" si="168"/>
        <v>9</v>
      </c>
      <c r="GI788" s="1995" t="str">
        <f t="shared" si="169"/>
        <v/>
      </c>
      <c r="GJ788" s="1995" t="str">
        <f t="shared" si="170"/>
        <v/>
      </c>
      <c r="GK788" s="1995" t="str">
        <f t="shared" si="171"/>
        <v/>
      </c>
      <c r="GL788" s="1995" t="str">
        <f t="shared" si="172"/>
        <v/>
      </c>
      <c r="GM788" s="1995" t="str">
        <f t="shared" si="173"/>
        <v/>
      </c>
      <c r="GN788" s="1995" t="str">
        <f t="shared" si="174"/>
        <v/>
      </c>
      <c r="GO788" s="1995" t="str">
        <f t="shared" si="175"/>
        <v/>
      </c>
      <c r="GP788" s="1995" t="str">
        <f t="shared" si="176"/>
        <v/>
      </c>
      <c r="GQ788" s="1995" t="str">
        <f t="shared" si="177"/>
        <v/>
      </c>
      <c r="GR788" s="1995" t="str">
        <f t="shared" si="178"/>
        <v/>
      </c>
      <c r="GS788" s="1995" t="str">
        <f t="shared" si="179"/>
        <v/>
      </c>
      <c r="GT788" s="1995" t="str">
        <f t="shared" si="180"/>
        <v/>
      </c>
      <c r="GU788" s="1995" t="str">
        <f t="shared" si="181"/>
        <v/>
      </c>
      <c r="GV788" s="1995" t="str">
        <f t="shared" si="182"/>
        <v/>
      </c>
      <c r="GW788" s="1995" t="str">
        <f t="shared" si="183"/>
        <v/>
      </c>
      <c r="GX788" s="1995" t="str">
        <f t="shared" si="184"/>
        <v/>
      </c>
      <c r="GY788" s="1995" t="str">
        <f t="shared" si="185"/>
        <v/>
      </c>
      <c r="GZ788" s="1995" t="str">
        <f t="shared" si="186"/>
        <v/>
      </c>
      <c r="HA788" s="1995" t="str">
        <f t="shared" si="187"/>
        <v/>
      </c>
      <c r="HB788" s="1995" t="str">
        <f t="shared" si="188"/>
        <v/>
      </c>
      <c r="HC788" s="1995" t="str">
        <f t="shared" si="189"/>
        <v/>
      </c>
      <c r="HD788" s="1995" t="str">
        <f t="shared" si="190"/>
        <v/>
      </c>
      <c r="HE788" s="1995" t="str">
        <f t="shared" si="191"/>
        <v/>
      </c>
      <c r="HF788" s="1995" t="str">
        <f t="shared" si="192"/>
        <v/>
      </c>
      <c r="HG788" s="1995" t="str">
        <f t="shared" si="193"/>
        <v/>
      </c>
      <c r="HH788" s="1995" t="str">
        <f t="shared" si="194"/>
        <v/>
      </c>
      <c r="HI788" s="1995" t="str">
        <f t="shared" si="195"/>
        <v/>
      </c>
      <c r="HJ788" s="1995" t="str">
        <f t="shared" si="196"/>
        <v/>
      </c>
      <c r="HK788" s="1995" t="str">
        <f t="shared" si="197"/>
        <v/>
      </c>
      <c r="HL788" s="1995" t="str">
        <f t="shared" si="198"/>
        <v/>
      </c>
      <c r="HM788" s="1995" t="str">
        <f t="shared" si="199"/>
        <v/>
      </c>
      <c r="HN788" s="1995" t="str">
        <f t="shared" si="200"/>
        <v/>
      </c>
      <c r="HO788" s="1995" t="str">
        <f t="shared" si="201"/>
        <v/>
      </c>
      <c r="HP788" s="1995" t="str">
        <f t="shared" si="202"/>
        <v/>
      </c>
      <c r="HQ788" s="1995" t="str">
        <f t="shared" si="203"/>
        <v/>
      </c>
      <c r="HR788" s="1995" t="str">
        <f t="shared" si="204"/>
        <v/>
      </c>
      <c r="HS788" s="1995" t="str">
        <f t="shared" si="205"/>
        <v/>
      </c>
      <c r="HT788" s="1995" t="str">
        <f t="shared" si="206"/>
        <v/>
      </c>
      <c r="HU788" s="1995" t="str">
        <f t="shared" si="207"/>
        <v/>
      </c>
      <c r="HV788" s="1995" t="str">
        <f t="shared" si="208"/>
        <v/>
      </c>
      <c r="HW788" s="1995" t="str">
        <f t="shared" si="209"/>
        <v/>
      </c>
      <c r="HX788" s="1995" t="str">
        <f t="shared" si="210"/>
        <v/>
      </c>
      <c r="HY788" s="1995" t="str">
        <f t="shared" si="211"/>
        <v/>
      </c>
      <c r="HZ788" s="1900" t="str">
        <f t="shared" si="212"/>
        <v/>
      </c>
      <c r="IA788" s="1900">
        <f t="shared" si="213"/>
        <v>9</v>
      </c>
      <c r="IB788" s="1900" t="str">
        <f t="shared" si="214"/>
        <v/>
      </c>
      <c r="IC788" s="1900" t="str">
        <f t="shared" si="215"/>
        <v/>
      </c>
      <c r="ID788" s="1900" t="str">
        <f t="shared" si="216"/>
        <v/>
      </c>
      <c r="IE788" s="1900" t="str">
        <f t="shared" si="217"/>
        <v/>
      </c>
      <c r="IF788" s="1900" t="str">
        <f t="shared" si="218"/>
        <v/>
      </c>
      <c r="IG788" s="1900" t="str">
        <f t="shared" si="219"/>
        <v/>
      </c>
      <c r="IH788" s="1900" t="str">
        <f t="shared" si="220"/>
        <v/>
      </c>
      <c r="II788" s="1900" t="str">
        <f t="shared" si="221"/>
        <v/>
      </c>
      <c r="IJ788" s="1900" t="str">
        <f t="shared" si="222"/>
        <v/>
      </c>
      <c r="IK788" s="1900" t="str">
        <f t="shared" si="223"/>
        <v/>
      </c>
      <c r="IL788" s="1900" t="str">
        <f t="shared" si="224"/>
        <v/>
      </c>
      <c r="IM788" s="1900" t="str">
        <f t="shared" si="225"/>
        <v/>
      </c>
      <c r="IN788" s="1900" t="str">
        <f t="shared" si="226"/>
        <v/>
      </c>
      <c r="IO788" s="1900" t="str">
        <f t="shared" si="227"/>
        <v/>
      </c>
      <c r="IP788" s="1900" t="str">
        <f t="shared" si="228"/>
        <v/>
      </c>
      <c r="IQ788" s="1900" t="str">
        <f t="shared" si="229"/>
        <v/>
      </c>
      <c r="IR788" s="1900" t="str">
        <f t="shared" si="230"/>
        <v/>
      </c>
      <c r="IS788" s="1900" t="str">
        <f t="shared" si="231"/>
        <v/>
      </c>
      <c r="IT788" s="1900" t="str">
        <f t="shared" si="232"/>
        <v/>
      </c>
      <c r="IU788" s="1900" t="str">
        <f t="shared" si="233"/>
        <v/>
      </c>
      <c r="IV788" s="1900" t="str">
        <f t="shared" si="234"/>
        <v/>
      </c>
      <c r="IW788" s="1900" t="str">
        <f t="shared" si="235"/>
        <v/>
      </c>
      <c r="IX788" s="1900" t="str">
        <f t="shared" si="236"/>
        <v/>
      </c>
      <c r="IY788" s="1900" t="str">
        <f t="shared" si="237"/>
        <v/>
      </c>
      <c r="IZ788" s="1900" t="str">
        <f t="shared" si="238"/>
        <v/>
      </c>
      <c r="JA788" s="1900" t="str">
        <f t="shared" si="239"/>
        <v/>
      </c>
      <c r="JB788" s="1900" t="str">
        <f t="shared" si="240"/>
        <v/>
      </c>
      <c r="JC788" s="1900" t="str">
        <f t="shared" si="241"/>
        <v/>
      </c>
      <c r="JD788" s="1900" t="str">
        <f t="shared" si="242"/>
        <v/>
      </c>
      <c r="JE788" s="1900" t="str">
        <f t="shared" si="243"/>
        <v/>
      </c>
      <c r="JF788" s="1900" t="str">
        <f t="shared" si="244"/>
        <v/>
      </c>
      <c r="JG788" s="1900" t="str">
        <f t="shared" si="245"/>
        <v/>
      </c>
      <c r="JH788" s="1900" t="str">
        <f t="shared" si="246"/>
        <v/>
      </c>
      <c r="JI788" s="1900" t="str">
        <f t="shared" si="247"/>
        <v/>
      </c>
      <c r="JJ788" s="1900" t="str">
        <f t="shared" si="248"/>
        <v/>
      </c>
      <c r="JK788" s="1900" t="str">
        <f t="shared" si="249"/>
        <v/>
      </c>
      <c r="JL788" s="1900" t="str">
        <f t="shared" si="250"/>
        <v/>
      </c>
      <c r="JM788" s="1900" t="str">
        <f t="shared" si="251"/>
        <v/>
      </c>
      <c r="JN788" s="1900" t="str">
        <f t="shared" si="252"/>
        <v/>
      </c>
      <c r="JO788" s="1900" t="str">
        <f t="shared" si="253"/>
        <v/>
      </c>
      <c r="JP788" s="1900" t="str">
        <f t="shared" si="254"/>
        <v/>
      </c>
      <c r="JQ788" s="1900" t="str">
        <f t="shared" si="255"/>
        <v/>
      </c>
      <c r="JR788" s="1900" t="str">
        <f t="shared" si="256"/>
        <v/>
      </c>
      <c r="JS788" s="1900" t="str">
        <f t="shared" si="257"/>
        <v/>
      </c>
      <c r="JT788" s="1900" t="str">
        <f t="shared" si="258"/>
        <v/>
      </c>
      <c r="JU788" s="1900" t="str">
        <f t="shared" si="259"/>
        <v/>
      </c>
      <c r="JV788" s="1900" t="str">
        <f t="shared" si="260"/>
        <v/>
      </c>
      <c r="JW788" s="1900" t="str">
        <f t="shared" si="261"/>
        <v/>
      </c>
      <c r="JX788" s="1900" t="str">
        <f t="shared" si="262"/>
        <v/>
      </c>
      <c r="JY788" s="1900" t="str">
        <f t="shared" si="263"/>
        <v/>
      </c>
      <c r="JZ788" s="1900" t="str">
        <f t="shared" si="264"/>
        <v/>
      </c>
      <c r="KA788" s="1900" t="str">
        <f t="shared" si="265"/>
        <v/>
      </c>
      <c r="KB788" s="1900" t="str">
        <f t="shared" si="266"/>
        <v/>
      </c>
      <c r="KC788" s="1900" t="str">
        <f t="shared" si="267"/>
        <v/>
      </c>
      <c r="KD788" s="1900" t="str">
        <f t="shared" si="268"/>
        <v/>
      </c>
      <c r="KE788" s="1900" t="str">
        <f t="shared" si="269"/>
        <v/>
      </c>
      <c r="KF788" s="1900" t="str">
        <f t="shared" si="270"/>
        <v/>
      </c>
      <c r="KG788" s="1900" t="str">
        <f t="shared" si="271"/>
        <v/>
      </c>
      <c r="KH788" s="1900" t="str">
        <f t="shared" si="272"/>
        <v/>
      </c>
      <c r="KI788" s="1900" t="str">
        <f t="shared" si="273"/>
        <v/>
      </c>
      <c r="KJ788" s="1900" t="str">
        <f t="shared" si="274"/>
        <v/>
      </c>
      <c r="KK788" s="1900" t="str">
        <f t="shared" si="275"/>
        <v/>
      </c>
      <c r="KL788" s="1900" t="str">
        <f t="shared" si="276"/>
        <v/>
      </c>
      <c r="KM788" s="1900" t="str">
        <f t="shared" si="277"/>
        <v/>
      </c>
      <c r="KN788" s="1900" t="str">
        <f t="shared" si="278"/>
        <v/>
      </c>
      <c r="KO788" s="1900" t="str">
        <f t="shared" si="279"/>
        <v/>
      </c>
      <c r="KP788" s="1900" t="str">
        <f t="shared" si="280"/>
        <v/>
      </c>
      <c r="KQ788" s="1900" t="str">
        <f t="shared" si="281"/>
        <v/>
      </c>
      <c r="KR788" s="1900" t="str">
        <f t="shared" si="282"/>
        <v/>
      </c>
      <c r="KS788" s="1900" t="str">
        <f t="shared" si="283"/>
        <v/>
      </c>
      <c r="KT788" s="1900" t="str">
        <f t="shared" si="284"/>
        <v/>
      </c>
      <c r="KU788" s="1900" t="str">
        <f t="shared" si="285"/>
        <v/>
      </c>
      <c r="KV788" s="1900" t="str">
        <f t="shared" si="286"/>
        <v/>
      </c>
      <c r="KW788" s="1900" t="str">
        <f t="shared" si="287"/>
        <v/>
      </c>
      <c r="KX788" s="1900" t="str">
        <f t="shared" si="288"/>
        <v/>
      </c>
      <c r="KY788" s="1900" t="str">
        <f t="shared" si="289"/>
        <v/>
      </c>
      <c r="KZ788" s="1900" t="str">
        <f t="shared" si="290"/>
        <v/>
      </c>
      <c r="LA788" s="1900" t="str">
        <f t="shared" si="291"/>
        <v/>
      </c>
      <c r="LB788" s="1900" t="str">
        <f t="shared" si="292"/>
        <v/>
      </c>
      <c r="LC788" s="1900" t="str">
        <f t="shared" si="293"/>
        <v/>
      </c>
      <c r="LD788" s="1900" t="str">
        <f t="shared" si="294"/>
        <v/>
      </c>
      <c r="LE788" s="1900" t="str">
        <f t="shared" si="295"/>
        <v/>
      </c>
      <c r="LF788" s="1900" t="str">
        <f t="shared" si="296"/>
        <v/>
      </c>
      <c r="LG788" s="1900" t="str">
        <f t="shared" si="297"/>
        <v/>
      </c>
      <c r="LH788" s="1900">
        <f t="shared" si="298"/>
        <v>9</v>
      </c>
      <c r="LI788" s="1900" t="str">
        <f t="shared" si="299"/>
        <v/>
      </c>
      <c r="LJ788" s="1900" t="str">
        <f t="shared" si="300"/>
        <v/>
      </c>
      <c r="LK788" s="1900" t="str">
        <f t="shared" si="301"/>
        <v/>
      </c>
      <c r="LL788" s="1900" t="str">
        <f t="shared" si="302"/>
        <v/>
      </c>
      <c r="LM788" s="1900" t="str">
        <f t="shared" si="303"/>
        <v/>
      </c>
      <c r="LN788" s="1900" t="str">
        <f t="shared" si="304"/>
        <v/>
      </c>
      <c r="LO788" s="1900" t="str">
        <f t="shared" si="305"/>
        <v/>
      </c>
      <c r="LP788" s="1900" t="str">
        <f t="shared" si="306"/>
        <v/>
      </c>
      <c r="LQ788" s="1874" t="str">
        <f t="shared" si="307"/>
        <v/>
      </c>
      <c r="LR788" s="1874" t="str">
        <f t="shared" si="308"/>
        <v/>
      </c>
      <c r="LS788" s="1874" t="str">
        <f t="shared" si="309"/>
        <v/>
      </c>
      <c r="LT788" s="1874" t="str">
        <f t="shared" si="310"/>
        <v/>
      </c>
      <c r="LU788" s="1874" t="str">
        <f t="shared" si="311"/>
        <v/>
      </c>
      <c r="LV788" s="1995" t="str">
        <f t="shared" si="312"/>
        <v/>
      </c>
      <c r="LW788" s="1995" t="str">
        <f t="shared" si="313"/>
        <v/>
      </c>
      <c r="LX788" s="1995" t="str">
        <f t="shared" si="314"/>
        <v/>
      </c>
      <c r="LY788" s="1995" t="str">
        <f t="shared" si="315"/>
        <v/>
      </c>
      <c r="LZ788" s="1995" t="str">
        <f t="shared" si="316"/>
        <v/>
      </c>
      <c r="MA788" s="1995" t="str">
        <f t="shared" si="317"/>
        <v/>
      </c>
      <c r="MB788" s="1995" t="str">
        <f t="shared" si="318"/>
        <v/>
      </c>
      <c r="MC788" s="1995" t="str">
        <f t="shared" si="319"/>
        <v/>
      </c>
      <c r="MD788" s="1995" t="str">
        <f t="shared" si="320"/>
        <v/>
      </c>
      <c r="ME788" s="1995" t="str">
        <f t="shared" si="321"/>
        <v/>
      </c>
      <c r="MF788" s="1995" t="str">
        <f t="shared" si="322"/>
        <v/>
      </c>
      <c r="MG788" s="1995" t="str">
        <f t="shared" si="323"/>
        <v/>
      </c>
      <c r="MH788" s="1995" t="str">
        <f t="shared" si="324"/>
        <v/>
      </c>
      <c r="MI788" s="1995" t="str">
        <f t="shared" si="325"/>
        <v/>
      </c>
      <c r="MJ788" s="1995" t="str">
        <f t="shared" si="326"/>
        <v/>
      </c>
      <c r="MK788" s="1995" t="str">
        <f t="shared" si="327"/>
        <v/>
      </c>
      <c r="ML788" s="1995" t="str">
        <f t="shared" si="328"/>
        <v/>
      </c>
      <c r="MM788" s="1995" t="str">
        <f t="shared" si="329"/>
        <v/>
      </c>
      <c r="MN788" s="1995" t="str">
        <f t="shared" si="330"/>
        <v/>
      </c>
      <c r="MO788" s="1995" t="str">
        <f t="shared" si="331"/>
        <v/>
      </c>
      <c r="MP788" s="1874">
        <f t="shared" si="338"/>
        <v>0</v>
      </c>
      <c r="MQ788" s="1874">
        <f t="shared" si="339"/>
        <v>0</v>
      </c>
      <c r="MR788" s="1874">
        <f t="shared" si="340"/>
        <v>0</v>
      </c>
      <c r="MS788" s="1874">
        <f t="shared" si="341"/>
        <v>0</v>
      </c>
      <c r="MT788" s="1874">
        <f t="shared" si="342"/>
        <v>0</v>
      </c>
      <c r="MU788" s="1874">
        <f t="shared" si="343"/>
        <v>0</v>
      </c>
      <c r="MV788" s="1874">
        <f t="shared" si="344"/>
        <v>9</v>
      </c>
      <c r="MW788" s="1874">
        <f t="shared" si="345"/>
        <v>0</v>
      </c>
      <c r="MX788" s="1874">
        <f t="shared" si="346"/>
        <v>0</v>
      </c>
      <c r="MY788" s="1874">
        <f t="shared" si="347"/>
        <v>0</v>
      </c>
      <c r="MZ788" s="1874">
        <f t="shared" si="332"/>
        <v>0</v>
      </c>
      <c r="NA788" s="1874">
        <f t="shared" si="333"/>
        <v>0</v>
      </c>
      <c r="NB788" s="1874">
        <f t="shared" si="334"/>
        <v>0</v>
      </c>
      <c r="NC788" s="1874">
        <f t="shared" si="335"/>
        <v>0</v>
      </c>
      <c r="ND788" s="1874">
        <f t="shared" si="336"/>
        <v>0</v>
      </c>
    </row>
    <row r="789" spans="1:368" ht="13.95" customHeight="1">
      <c r="A789" s="1896" t="str">
        <f t="shared" si="337"/>
        <v/>
      </c>
      <c r="B789" s="2212">
        <f>'Part VI-Revenues &amp; Expenses'!B20</f>
        <v>60</v>
      </c>
      <c r="C789" s="2213">
        <f>'Part VI-Revenues &amp; Expenses'!C20</f>
        <v>2</v>
      </c>
      <c r="D789" s="2214">
        <f>'Part VI-Revenues &amp; Expenses'!D20</f>
        <v>1</v>
      </c>
      <c r="E789" s="2215">
        <f>'Part VI-Revenues &amp; Expenses'!E20</f>
        <v>25</v>
      </c>
      <c r="F789" s="2215">
        <f>'Part VI-Revenues &amp; Expenses'!F20</f>
        <v>1000</v>
      </c>
      <c r="G789" s="2215">
        <f>'Part VI-Revenues &amp; Expenses'!G20</f>
        <v>805</v>
      </c>
      <c r="H789" s="2215">
        <f>'Part VI-Revenues &amp; Expenses'!H20</f>
        <v>805</v>
      </c>
      <c r="I789" s="2215">
        <f>'Part VI-Revenues &amp; Expenses'!I20</f>
        <v>0</v>
      </c>
      <c r="J789" s="2215">
        <f>'Part VI-Revenues &amp; Expenses'!J20</f>
        <v>151</v>
      </c>
      <c r="K789" s="2216">
        <f>'Part VI-Revenues &amp; Expenses'!K20</f>
        <v>0</v>
      </c>
      <c r="L789" s="1899">
        <f t="shared" si="0"/>
        <v>654</v>
      </c>
      <c r="M789" s="1899">
        <f t="shared" si="1"/>
        <v>16350</v>
      </c>
      <c r="N789" s="2074" t="str">
        <f>'Part VI-Revenues &amp; Expenses'!N20</f>
        <v>No</v>
      </c>
      <c r="O789" s="2074" t="str">
        <f>'Part VI-Revenues &amp; Expenses'!O20</f>
        <v>3+ Story Elevator</v>
      </c>
      <c r="P789" s="2074" t="str">
        <f>'Part VI-Revenues &amp; Expenses'!P20</f>
        <v>New Construction</v>
      </c>
      <c r="Q789" s="1732" t="str">
        <f>'Part VI-Revenues &amp; Expenses'!Q20</f>
        <v>No</v>
      </c>
      <c r="R789" s="1926"/>
      <c r="S789" s="2148"/>
      <c r="T789" s="1910"/>
      <c r="U789" s="1910"/>
      <c r="V789" s="1910"/>
      <c r="W789" s="1910"/>
      <c r="X789" s="1995" t="str">
        <f t="shared" si="2"/>
        <v/>
      </c>
      <c r="Y789" s="1995" t="str">
        <f t="shared" si="3"/>
        <v/>
      </c>
      <c r="Z789" s="1995" t="str">
        <f t="shared" si="4"/>
        <v/>
      </c>
      <c r="AA789" s="1995" t="str">
        <f t="shared" si="5"/>
        <v/>
      </c>
      <c r="AB789" s="1995" t="str">
        <f t="shared" si="6"/>
        <v/>
      </c>
      <c r="AC789" s="1995" t="str">
        <f t="shared" si="7"/>
        <v/>
      </c>
      <c r="AD789" s="1995" t="str">
        <f t="shared" si="8"/>
        <v/>
      </c>
      <c r="AE789" s="1995" t="str">
        <f t="shared" si="9"/>
        <v/>
      </c>
      <c r="AF789" s="1995" t="str">
        <f t="shared" si="10"/>
        <v/>
      </c>
      <c r="AG789" s="1995" t="str">
        <f t="shared" si="11"/>
        <v/>
      </c>
      <c r="AH789" s="1995" t="str">
        <f t="shared" si="12"/>
        <v/>
      </c>
      <c r="AI789" s="1995" t="str">
        <f t="shared" si="13"/>
        <v/>
      </c>
      <c r="AJ789" s="1995">
        <f t="shared" si="14"/>
        <v>25</v>
      </c>
      <c r="AK789" s="1995" t="str">
        <f t="shared" si="15"/>
        <v/>
      </c>
      <c r="AL789" s="1995" t="str">
        <f t="shared" si="16"/>
        <v/>
      </c>
      <c r="AM789" s="1995" t="str">
        <f t="shared" si="17"/>
        <v/>
      </c>
      <c r="AN789" s="1995" t="str">
        <f t="shared" si="18"/>
        <v/>
      </c>
      <c r="AO789" s="1995" t="str">
        <f t="shared" si="19"/>
        <v/>
      </c>
      <c r="AP789" s="1995" t="str">
        <f t="shared" si="20"/>
        <v/>
      </c>
      <c r="AQ789" s="1995" t="str">
        <f t="shared" si="21"/>
        <v/>
      </c>
      <c r="AR789" s="1995" t="str">
        <f t="shared" si="22"/>
        <v/>
      </c>
      <c r="AS789" s="1995" t="str">
        <f t="shared" si="23"/>
        <v/>
      </c>
      <c r="AT789" s="1995" t="str">
        <f t="shared" si="24"/>
        <v/>
      </c>
      <c r="AU789" s="1995" t="str">
        <f t="shared" si="25"/>
        <v/>
      </c>
      <c r="AV789" s="1995" t="str">
        <f t="shared" si="26"/>
        <v/>
      </c>
      <c r="AW789" s="1995" t="str">
        <f t="shared" si="27"/>
        <v/>
      </c>
      <c r="AX789" s="1995" t="str">
        <f t="shared" si="28"/>
        <v/>
      </c>
      <c r="AY789" s="1995" t="str">
        <f t="shared" si="29"/>
        <v/>
      </c>
      <c r="AZ789" s="1995" t="str">
        <f t="shared" si="30"/>
        <v/>
      </c>
      <c r="BA789" s="1995" t="str">
        <f t="shared" si="31"/>
        <v/>
      </c>
      <c r="BB789" s="1995" t="str">
        <f t="shared" si="32"/>
        <v/>
      </c>
      <c r="BC789" s="1995" t="str">
        <f t="shared" si="33"/>
        <v/>
      </c>
      <c r="BD789" s="1995" t="str">
        <f t="shared" si="34"/>
        <v/>
      </c>
      <c r="BE789" s="1995" t="str">
        <f t="shared" si="35"/>
        <v/>
      </c>
      <c r="BF789" s="1995" t="str">
        <f t="shared" si="36"/>
        <v/>
      </c>
      <c r="BG789" s="1995" t="str">
        <f t="shared" si="37"/>
        <v/>
      </c>
      <c r="BH789" s="1995" t="str">
        <f t="shared" si="38"/>
        <v/>
      </c>
      <c r="BI789" s="1995" t="str">
        <f t="shared" si="39"/>
        <v/>
      </c>
      <c r="BJ789" s="1995" t="str">
        <f t="shared" si="40"/>
        <v/>
      </c>
      <c r="BK789" s="1995" t="str">
        <f t="shared" si="41"/>
        <v/>
      </c>
      <c r="BL789" s="1995" t="str">
        <f t="shared" si="42"/>
        <v/>
      </c>
      <c r="BM789" s="1995" t="str">
        <f t="shared" si="43"/>
        <v/>
      </c>
      <c r="BN789" s="1995" t="str">
        <f t="shared" si="44"/>
        <v/>
      </c>
      <c r="BO789" s="1995" t="str">
        <f t="shared" si="45"/>
        <v/>
      </c>
      <c r="BP789" s="1995" t="str">
        <f t="shared" si="46"/>
        <v/>
      </c>
      <c r="BQ789" s="1995" t="str">
        <f t="shared" si="47"/>
        <v/>
      </c>
      <c r="BR789" s="1995" t="str">
        <f t="shared" si="48"/>
        <v/>
      </c>
      <c r="BS789" s="1995" t="str">
        <f t="shared" si="49"/>
        <v/>
      </c>
      <c r="BT789" s="1995" t="str">
        <f t="shared" si="50"/>
        <v/>
      </c>
      <c r="BU789" s="1995" t="str">
        <f t="shared" si="51"/>
        <v/>
      </c>
      <c r="BV789" s="1995" t="str">
        <f t="shared" si="52"/>
        <v/>
      </c>
      <c r="BW789" s="1995" t="str">
        <f t="shared" si="53"/>
        <v/>
      </c>
      <c r="BX789" s="1995" t="str">
        <f t="shared" si="54"/>
        <v/>
      </c>
      <c r="BY789" s="1995" t="str">
        <f t="shared" si="55"/>
        <v/>
      </c>
      <c r="BZ789" s="1995" t="str">
        <f t="shared" si="56"/>
        <v/>
      </c>
      <c r="CA789" s="1995" t="str">
        <f t="shared" si="57"/>
        <v/>
      </c>
      <c r="CB789" s="1995" t="str">
        <f t="shared" si="58"/>
        <v/>
      </c>
      <c r="CC789" s="1995" t="str">
        <f t="shared" si="59"/>
        <v/>
      </c>
      <c r="CD789" s="1995" t="str">
        <f t="shared" si="60"/>
        <v/>
      </c>
      <c r="CE789" s="1995" t="str">
        <f t="shared" si="61"/>
        <v/>
      </c>
      <c r="CF789" s="1995" t="str">
        <f t="shared" si="62"/>
        <v/>
      </c>
      <c r="CG789" s="1995" t="str">
        <f t="shared" si="63"/>
        <v/>
      </c>
      <c r="CH789" s="1995" t="str">
        <f t="shared" si="64"/>
        <v/>
      </c>
      <c r="CI789" s="1995" t="str">
        <f t="shared" si="65"/>
        <v/>
      </c>
      <c r="CJ789" s="1995" t="str">
        <f t="shared" si="66"/>
        <v/>
      </c>
      <c r="CK789" s="1995" t="str">
        <f t="shared" si="67"/>
        <v/>
      </c>
      <c r="CL789" s="1995" t="str">
        <f t="shared" si="68"/>
        <v/>
      </c>
      <c r="CM789" s="1995" t="str">
        <f t="shared" si="69"/>
        <v/>
      </c>
      <c r="CN789" s="1995" t="str">
        <f t="shared" si="70"/>
        <v/>
      </c>
      <c r="CO789" s="1995" t="str">
        <f t="shared" si="71"/>
        <v/>
      </c>
      <c r="CP789" s="1995" t="str">
        <f t="shared" si="72"/>
        <v/>
      </c>
      <c r="CQ789" s="1995" t="str">
        <f t="shared" si="73"/>
        <v/>
      </c>
      <c r="CR789" s="1995" t="str">
        <f t="shared" si="74"/>
        <v/>
      </c>
      <c r="CS789" s="1995" t="str">
        <f t="shared" si="75"/>
        <v/>
      </c>
      <c r="CT789" s="1995" t="str">
        <f t="shared" si="76"/>
        <v/>
      </c>
      <c r="CU789" s="1995" t="str">
        <f t="shared" si="77"/>
        <v/>
      </c>
      <c r="CV789" s="1995" t="str">
        <f t="shared" si="78"/>
        <v/>
      </c>
      <c r="CW789" s="1995" t="str">
        <f t="shared" si="79"/>
        <v/>
      </c>
      <c r="CX789" s="1995" t="str">
        <f t="shared" si="80"/>
        <v/>
      </c>
      <c r="CY789" s="1995" t="str">
        <f t="shared" si="81"/>
        <v/>
      </c>
      <c r="CZ789" s="1995" t="str">
        <f t="shared" si="82"/>
        <v/>
      </c>
      <c r="DA789" s="1995" t="str">
        <f t="shared" si="83"/>
        <v/>
      </c>
      <c r="DB789" s="1995" t="str">
        <f t="shared" si="84"/>
        <v/>
      </c>
      <c r="DC789" s="1995" t="str">
        <f t="shared" si="85"/>
        <v/>
      </c>
      <c r="DD789" s="1995" t="str">
        <f t="shared" si="86"/>
        <v/>
      </c>
      <c r="DE789" s="1995" t="str">
        <f t="shared" si="87"/>
        <v/>
      </c>
      <c r="DF789" s="1995" t="str">
        <f t="shared" si="88"/>
        <v/>
      </c>
      <c r="DG789" s="1995" t="str">
        <f t="shared" si="89"/>
        <v/>
      </c>
      <c r="DH789" s="1995" t="str">
        <f t="shared" si="90"/>
        <v/>
      </c>
      <c r="DI789" s="1995" t="str">
        <f t="shared" si="91"/>
        <v/>
      </c>
      <c r="DJ789" s="1995" t="str">
        <f t="shared" si="92"/>
        <v/>
      </c>
      <c r="DK789" s="1995" t="str">
        <f t="shared" si="93"/>
        <v/>
      </c>
      <c r="DL789" s="1995" t="str">
        <f t="shared" si="94"/>
        <v/>
      </c>
      <c r="DM789" s="1995" t="str">
        <f t="shared" si="95"/>
        <v/>
      </c>
      <c r="DN789" s="1995" t="str">
        <f t="shared" si="96"/>
        <v/>
      </c>
      <c r="DO789" s="1995" t="str">
        <f t="shared" si="97"/>
        <v/>
      </c>
      <c r="DP789" s="1995" t="str">
        <f t="shared" si="98"/>
        <v/>
      </c>
      <c r="DQ789" s="1995" t="str">
        <f t="shared" si="99"/>
        <v/>
      </c>
      <c r="DR789" s="1995" t="str">
        <f t="shared" si="100"/>
        <v/>
      </c>
      <c r="DS789" s="1995" t="str">
        <f t="shared" si="101"/>
        <v/>
      </c>
      <c r="DT789" s="1995" t="str">
        <f t="shared" si="102"/>
        <v/>
      </c>
      <c r="DU789" s="1995" t="str">
        <f t="shared" si="103"/>
        <v/>
      </c>
      <c r="DV789" s="1995" t="str">
        <f t="shared" si="104"/>
        <v/>
      </c>
      <c r="DW789" s="1995" t="str">
        <f t="shared" si="105"/>
        <v/>
      </c>
      <c r="DX789" s="1995" t="str">
        <f t="shared" si="106"/>
        <v/>
      </c>
      <c r="DY789" s="1995" t="str">
        <f t="shared" si="107"/>
        <v/>
      </c>
      <c r="DZ789" s="1995" t="str">
        <f t="shared" si="108"/>
        <v/>
      </c>
      <c r="EA789" s="1995" t="str">
        <f t="shared" si="109"/>
        <v/>
      </c>
      <c r="EB789" s="1995" t="str">
        <f t="shared" si="110"/>
        <v/>
      </c>
      <c r="EC789" s="1995" t="str">
        <f t="shared" si="111"/>
        <v/>
      </c>
      <c r="ED789" s="1995" t="str">
        <f t="shared" si="112"/>
        <v/>
      </c>
      <c r="EE789" s="1995" t="str">
        <f t="shared" si="113"/>
        <v/>
      </c>
      <c r="EF789" s="1995" t="str">
        <f t="shared" si="114"/>
        <v/>
      </c>
      <c r="EG789" s="1995" t="str">
        <f t="shared" si="115"/>
        <v/>
      </c>
      <c r="EH789" s="1995" t="str">
        <f t="shared" si="116"/>
        <v/>
      </c>
      <c r="EI789" s="1995" t="str">
        <f t="shared" si="117"/>
        <v/>
      </c>
      <c r="EJ789" s="1995" t="str">
        <f t="shared" si="118"/>
        <v/>
      </c>
      <c r="EK789" s="1995" t="str">
        <f t="shared" si="119"/>
        <v/>
      </c>
      <c r="EL789" s="1995" t="str">
        <f t="shared" si="120"/>
        <v/>
      </c>
      <c r="EM789" s="1995" t="str">
        <f t="shared" si="121"/>
        <v/>
      </c>
      <c r="EN789" s="1995" t="str">
        <f t="shared" si="122"/>
        <v/>
      </c>
      <c r="EO789" s="1995" t="str">
        <f t="shared" si="123"/>
        <v/>
      </c>
      <c r="EP789" s="1995" t="str">
        <f t="shared" si="124"/>
        <v/>
      </c>
      <c r="EQ789" s="1995" t="str">
        <f t="shared" si="125"/>
        <v/>
      </c>
      <c r="ER789" s="1995" t="str">
        <f t="shared" si="126"/>
        <v/>
      </c>
      <c r="ES789" s="1995" t="str">
        <f t="shared" si="127"/>
        <v/>
      </c>
      <c r="ET789" s="1995" t="str">
        <f t="shared" si="128"/>
        <v/>
      </c>
      <c r="EU789" s="1995">
        <f t="shared" si="129"/>
        <v>25000</v>
      </c>
      <c r="EV789" s="1995" t="str">
        <f t="shared" si="130"/>
        <v/>
      </c>
      <c r="EW789" s="1995" t="str">
        <f t="shared" si="131"/>
        <v/>
      </c>
      <c r="EX789" s="1995" t="str">
        <f t="shared" si="132"/>
        <v/>
      </c>
      <c r="EY789" s="1995" t="str">
        <f t="shared" si="133"/>
        <v/>
      </c>
      <c r="EZ789" s="1995" t="str">
        <f t="shared" si="134"/>
        <v/>
      </c>
      <c r="FA789" s="1995" t="str">
        <f t="shared" si="135"/>
        <v/>
      </c>
      <c r="FB789" s="1995" t="str">
        <f t="shared" si="136"/>
        <v/>
      </c>
      <c r="FC789" s="1995" t="str">
        <f t="shared" si="137"/>
        <v/>
      </c>
      <c r="FD789" s="1995" t="str">
        <f t="shared" si="138"/>
        <v/>
      </c>
      <c r="FE789" s="1995" t="str">
        <f t="shared" si="139"/>
        <v/>
      </c>
      <c r="FF789" s="1995" t="str">
        <f t="shared" si="140"/>
        <v/>
      </c>
      <c r="FG789" s="1995" t="str">
        <f t="shared" si="141"/>
        <v/>
      </c>
      <c r="FH789" s="1995" t="str">
        <f t="shared" si="142"/>
        <v/>
      </c>
      <c r="FI789" s="1995" t="str">
        <f t="shared" si="143"/>
        <v/>
      </c>
      <c r="FJ789" s="1995" t="str">
        <f t="shared" si="144"/>
        <v/>
      </c>
      <c r="FK789" s="1995" t="str">
        <f t="shared" si="145"/>
        <v/>
      </c>
      <c r="FL789" s="1995" t="str">
        <f t="shared" si="146"/>
        <v/>
      </c>
      <c r="FM789" s="1995" t="str">
        <f t="shared" si="147"/>
        <v/>
      </c>
      <c r="FN789" s="1995" t="str">
        <f t="shared" si="148"/>
        <v/>
      </c>
      <c r="FO789" s="1995" t="str">
        <f t="shared" si="149"/>
        <v/>
      </c>
      <c r="FP789" s="1995" t="str">
        <f t="shared" si="150"/>
        <v/>
      </c>
      <c r="FQ789" s="1995" t="str">
        <f t="shared" si="151"/>
        <v/>
      </c>
      <c r="FR789" s="1995" t="str">
        <f t="shared" si="152"/>
        <v/>
      </c>
      <c r="FS789" s="1995" t="str">
        <f t="shared" si="153"/>
        <v/>
      </c>
      <c r="FT789" s="1995" t="str">
        <f t="shared" si="154"/>
        <v/>
      </c>
      <c r="FU789" s="1995" t="str">
        <f t="shared" si="155"/>
        <v/>
      </c>
      <c r="FV789" s="1995" t="str">
        <f t="shared" si="156"/>
        <v/>
      </c>
      <c r="FW789" s="1995" t="str">
        <f t="shared" si="157"/>
        <v/>
      </c>
      <c r="FX789" s="1995" t="str">
        <f t="shared" si="158"/>
        <v/>
      </c>
      <c r="FY789" s="1995" t="str">
        <f t="shared" si="159"/>
        <v/>
      </c>
      <c r="FZ789" s="1995" t="str">
        <f t="shared" si="160"/>
        <v/>
      </c>
      <c r="GA789" s="1995" t="str">
        <f t="shared" si="161"/>
        <v/>
      </c>
      <c r="GB789" s="1995" t="str">
        <f t="shared" si="162"/>
        <v/>
      </c>
      <c r="GC789" s="1995" t="str">
        <f t="shared" si="163"/>
        <v/>
      </c>
      <c r="GD789" s="1995" t="str">
        <f t="shared" si="164"/>
        <v/>
      </c>
      <c r="GE789" s="1995" t="str">
        <f t="shared" si="165"/>
        <v/>
      </c>
      <c r="GF789" s="1995" t="str">
        <f t="shared" si="166"/>
        <v/>
      </c>
      <c r="GG789" s="1995" t="str">
        <f t="shared" si="167"/>
        <v/>
      </c>
      <c r="GH789" s="1995" t="str">
        <f t="shared" si="168"/>
        <v/>
      </c>
      <c r="GI789" s="1995">
        <f t="shared" si="169"/>
        <v>25</v>
      </c>
      <c r="GJ789" s="1995" t="str">
        <f t="shared" si="170"/>
        <v/>
      </c>
      <c r="GK789" s="1995" t="str">
        <f t="shared" si="171"/>
        <v/>
      </c>
      <c r="GL789" s="1995" t="str">
        <f t="shared" si="172"/>
        <v/>
      </c>
      <c r="GM789" s="1995" t="str">
        <f t="shared" si="173"/>
        <v/>
      </c>
      <c r="GN789" s="1995" t="str">
        <f t="shared" si="174"/>
        <v/>
      </c>
      <c r="GO789" s="1995" t="str">
        <f t="shared" si="175"/>
        <v/>
      </c>
      <c r="GP789" s="1995" t="str">
        <f t="shared" si="176"/>
        <v/>
      </c>
      <c r="GQ789" s="1995" t="str">
        <f t="shared" si="177"/>
        <v/>
      </c>
      <c r="GR789" s="1995" t="str">
        <f t="shared" si="178"/>
        <v/>
      </c>
      <c r="GS789" s="1995" t="str">
        <f t="shared" si="179"/>
        <v/>
      </c>
      <c r="GT789" s="1995" t="str">
        <f t="shared" si="180"/>
        <v/>
      </c>
      <c r="GU789" s="1995" t="str">
        <f t="shared" si="181"/>
        <v/>
      </c>
      <c r="GV789" s="1995" t="str">
        <f t="shared" si="182"/>
        <v/>
      </c>
      <c r="GW789" s="1995" t="str">
        <f t="shared" si="183"/>
        <v/>
      </c>
      <c r="GX789" s="1995" t="str">
        <f t="shared" si="184"/>
        <v/>
      </c>
      <c r="GY789" s="1995" t="str">
        <f t="shared" si="185"/>
        <v/>
      </c>
      <c r="GZ789" s="1995" t="str">
        <f t="shared" si="186"/>
        <v/>
      </c>
      <c r="HA789" s="1995" t="str">
        <f t="shared" si="187"/>
        <v/>
      </c>
      <c r="HB789" s="1995" t="str">
        <f t="shared" si="188"/>
        <v/>
      </c>
      <c r="HC789" s="1995" t="str">
        <f t="shared" si="189"/>
        <v/>
      </c>
      <c r="HD789" s="1995" t="str">
        <f t="shared" si="190"/>
        <v/>
      </c>
      <c r="HE789" s="1995" t="str">
        <f t="shared" si="191"/>
        <v/>
      </c>
      <c r="HF789" s="1995" t="str">
        <f t="shared" si="192"/>
        <v/>
      </c>
      <c r="HG789" s="1995" t="str">
        <f t="shared" si="193"/>
        <v/>
      </c>
      <c r="HH789" s="1995" t="str">
        <f t="shared" si="194"/>
        <v/>
      </c>
      <c r="HI789" s="1995" t="str">
        <f t="shared" si="195"/>
        <v/>
      </c>
      <c r="HJ789" s="1995" t="str">
        <f t="shared" si="196"/>
        <v/>
      </c>
      <c r="HK789" s="1995" t="str">
        <f t="shared" si="197"/>
        <v/>
      </c>
      <c r="HL789" s="1995" t="str">
        <f t="shared" si="198"/>
        <v/>
      </c>
      <c r="HM789" s="1995" t="str">
        <f t="shared" si="199"/>
        <v/>
      </c>
      <c r="HN789" s="1995" t="str">
        <f t="shared" si="200"/>
        <v/>
      </c>
      <c r="HO789" s="1995" t="str">
        <f t="shared" si="201"/>
        <v/>
      </c>
      <c r="HP789" s="1995" t="str">
        <f t="shared" si="202"/>
        <v/>
      </c>
      <c r="HQ789" s="1995" t="str">
        <f t="shared" si="203"/>
        <v/>
      </c>
      <c r="HR789" s="1995" t="str">
        <f t="shared" si="204"/>
        <v/>
      </c>
      <c r="HS789" s="1995" t="str">
        <f t="shared" si="205"/>
        <v/>
      </c>
      <c r="HT789" s="1995" t="str">
        <f t="shared" si="206"/>
        <v/>
      </c>
      <c r="HU789" s="1995" t="str">
        <f t="shared" si="207"/>
        <v/>
      </c>
      <c r="HV789" s="1995" t="str">
        <f t="shared" si="208"/>
        <v/>
      </c>
      <c r="HW789" s="1995" t="str">
        <f t="shared" si="209"/>
        <v/>
      </c>
      <c r="HX789" s="1995" t="str">
        <f t="shared" si="210"/>
        <v/>
      </c>
      <c r="HY789" s="1995" t="str">
        <f t="shared" si="211"/>
        <v/>
      </c>
      <c r="HZ789" s="1900" t="str">
        <f t="shared" si="212"/>
        <v/>
      </c>
      <c r="IA789" s="1900" t="str">
        <f t="shared" si="213"/>
        <v/>
      </c>
      <c r="IB789" s="1900">
        <f t="shared" si="214"/>
        <v>25</v>
      </c>
      <c r="IC789" s="1900" t="str">
        <f t="shared" si="215"/>
        <v/>
      </c>
      <c r="ID789" s="1900" t="str">
        <f t="shared" si="216"/>
        <v/>
      </c>
      <c r="IE789" s="1900" t="str">
        <f t="shared" si="217"/>
        <v/>
      </c>
      <c r="IF789" s="1900" t="str">
        <f t="shared" si="218"/>
        <v/>
      </c>
      <c r="IG789" s="1900" t="str">
        <f t="shared" si="219"/>
        <v/>
      </c>
      <c r="IH789" s="1900" t="str">
        <f t="shared" si="220"/>
        <v/>
      </c>
      <c r="II789" s="1900" t="str">
        <f t="shared" si="221"/>
        <v/>
      </c>
      <c r="IJ789" s="1900" t="str">
        <f t="shared" si="222"/>
        <v/>
      </c>
      <c r="IK789" s="1900" t="str">
        <f t="shared" si="223"/>
        <v/>
      </c>
      <c r="IL789" s="1900" t="str">
        <f t="shared" si="224"/>
        <v/>
      </c>
      <c r="IM789" s="1900" t="str">
        <f t="shared" si="225"/>
        <v/>
      </c>
      <c r="IN789" s="1900" t="str">
        <f t="shared" si="226"/>
        <v/>
      </c>
      <c r="IO789" s="1900" t="str">
        <f t="shared" si="227"/>
        <v/>
      </c>
      <c r="IP789" s="1900" t="str">
        <f t="shared" si="228"/>
        <v/>
      </c>
      <c r="IQ789" s="1900" t="str">
        <f t="shared" si="229"/>
        <v/>
      </c>
      <c r="IR789" s="1900" t="str">
        <f t="shared" si="230"/>
        <v/>
      </c>
      <c r="IS789" s="1900" t="str">
        <f t="shared" si="231"/>
        <v/>
      </c>
      <c r="IT789" s="1900" t="str">
        <f t="shared" si="232"/>
        <v/>
      </c>
      <c r="IU789" s="1900" t="str">
        <f t="shared" si="233"/>
        <v/>
      </c>
      <c r="IV789" s="1900" t="str">
        <f t="shared" si="234"/>
        <v/>
      </c>
      <c r="IW789" s="1900" t="str">
        <f t="shared" si="235"/>
        <v/>
      </c>
      <c r="IX789" s="1900" t="str">
        <f t="shared" si="236"/>
        <v/>
      </c>
      <c r="IY789" s="1900" t="str">
        <f t="shared" si="237"/>
        <v/>
      </c>
      <c r="IZ789" s="1900" t="str">
        <f t="shared" si="238"/>
        <v/>
      </c>
      <c r="JA789" s="1900" t="str">
        <f t="shared" si="239"/>
        <v/>
      </c>
      <c r="JB789" s="1900" t="str">
        <f t="shared" si="240"/>
        <v/>
      </c>
      <c r="JC789" s="1900" t="str">
        <f t="shared" si="241"/>
        <v/>
      </c>
      <c r="JD789" s="1900" t="str">
        <f t="shared" si="242"/>
        <v/>
      </c>
      <c r="JE789" s="1900" t="str">
        <f t="shared" si="243"/>
        <v/>
      </c>
      <c r="JF789" s="1900" t="str">
        <f t="shared" si="244"/>
        <v/>
      </c>
      <c r="JG789" s="1900" t="str">
        <f t="shared" si="245"/>
        <v/>
      </c>
      <c r="JH789" s="1900" t="str">
        <f t="shared" si="246"/>
        <v/>
      </c>
      <c r="JI789" s="1900" t="str">
        <f t="shared" si="247"/>
        <v/>
      </c>
      <c r="JJ789" s="1900" t="str">
        <f t="shared" si="248"/>
        <v/>
      </c>
      <c r="JK789" s="1900" t="str">
        <f t="shared" si="249"/>
        <v/>
      </c>
      <c r="JL789" s="1900" t="str">
        <f t="shared" si="250"/>
        <v/>
      </c>
      <c r="JM789" s="1900" t="str">
        <f t="shared" si="251"/>
        <v/>
      </c>
      <c r="JN789" s="1900" t="str">
        <f t="shared" si="252"/>
        <v/>
      </c>
      <c r="JO789" s="1900" t="str">
        <f t="shared" si="253"/>
        <v/>
      </c>
      <c r="JP789" s="1900" t="str">
        <f t="shared" si="254"/>
        <v/>
      </c>
      <c r="JQ789" s="1900" t="str">
        <f t="shared" si="255"/>
        <v/>
      </c>
      <c r="JR789" s="1900" t="str">
        <f t="shared" si="256"/>
        <v/>
      </c>
      <c r="JS789" s="1900" t="str">
        <f t="shared" si="257"/>
        <v/>
      </c>
      <c r="JT789" s="1900" t="str">
        <f t="shared" si="258"/>
        <v/>
      </c>
      <c r="JU789" s="1900" t="str">
        <f t="shared" si="259"/>
        <v/>
      </c>
      <c r="JV789" s="1900" t="str">
        <f t="shared" si="260"/>
        <v/>
      </c>
      <c r="JW789" s="1900" t="str">
        <f t="shared" si="261"/>
        <v/>
      </c>
      <c r="JX789" s="1900" t="str">
        <f t="shared" si="262"/>
        <v/>
      </c>
      <c r="JY789" s="1900" t="str">
        <f t="shared" si="263"/>
        <v/>
      </c>
      <c r="JZ789" s="1900" t="str">
        <f t="shared" si="264"/>
        <v/>
      </c>
      <c r="KA789" s="1900" t="str">
        <f t="shared" si="265"/>
        <v/>
      </c>
      <c r="KB789" s="1900" t="str">
        <f t="shared" si="266"/>
        <v/>
      </c>
      <c r="KC789" s="1900" t="str">
        <f t="shared" si="267"/>
        <v/>
      </c>
      <c r="KD789" s="1900" t="str">
        <f t="shared" si="268"/>
        <v/>
      </c>
      <c r="KE789" s="1900" t="str">
        <f t="shared" si="269"/>
        <v/>
      </c>
      <c r="KF789" s="1900" t="str">
        <f t="shared" si="270"/>
        <v/>
      </c>
      <c r="KG789" s="1900" t="str">
        <f t="shared" si="271"/>
        <v/>
      </c>
      <c r="KH789" s="1900" t="str">
        <f t="shared" si="272"/>
        <v/>
      </c>
      <c r="KI789" s="1900" t="str">
        <f t="shared" si="273"/>
        <v/>
      </c>
      <c r="KJ789" s="1900" t="str">
        <f t="shared" si="274"/>
        <v/>
      </c>
      <c r="KK789" s="1900" t="str">
        <f t="shared" si="275"/>
        <v/>
      </c>
      <c r="KL789" s="1900" t="str">
        <f t="shared" si="276"/>
        <v/>
      </c>
      <c r="KM789" s="1900" t="str">
        <f t="shared" si="277"/>
        <v/>
      </c>
      <c r="KN789" s="1900" t="str">
        <f t="shared" si="278"/>
        <v/>
      </c>
      <c r="KO789" s="1900" t="str">
        <f t="shared" si="279"/>
        <v/>
      </c>
      <c r="KP789" s="1900" t="str">
        <f t="shared" si="280"/>
        <v/>
      </c>
      <c r="KQ789" s="1900" t="str">
        <f t="shared" si="281"/>
        <v/>
      </c>
      <c r="KR789" s="1900" t="str">
        <f t="shared" si="282"/>
        <v/>
      </c>
      <c r="KS789" s="1900" t="str">
        <f t="shared" si="283"/>
        <v/>
      </c>
      <c r="KT789" s="1900" t="str">
        <f t="shared" si="284"/>
        <v/>
      </c>
      <c r="KU789" s="1900" t="str">
        <f t="shared" si="285"/>
        <v/>
      </c>
      <c r="KV789" s="1900" t="str">
        <f t="shared" si="286"/>
        <v/>
      </c>
      <c r="KW789" s="1900" t="str">
        <f t="shared" si="287"/>
        <v/>
      </c>
      <c r="KX789" s="1900" t="str">
        <f t="shared" si="288"/>
        <v/>
      </c>
      <c r="KY789" s="1900" t="str">
        <f t="shared" si="289"/>
        <v/>
      </c>
      <c r="KZ789" s="1900" t="str">
        <f t="shared" si="290"/>
        <v/>
      </c>
      <c r="LA789" s="1900" t="str">
        <f t="shared" si="291"/>
        <v/>
      </c>
      <c r="LB789" s="1900" t="str">
        <f t="shared" si="292"/>
        <v/>
      </c>
      <c r="LC789" s="1900" t="str">
        <f t="shared" si="293"/>
        <v/>
      </c>
      <c r="LD789" s="1900" t="str">
        <f t="shared" si="294"/>
        <v/>
      </c>
      <c r="LE789" s="1900" t="str">
        <f t="shared" si="295"/>
        <v/>
      </c>
      <c r="LF789" s="1900" t="str">
        <f t="shared" si="296"/>
        <v/>
      </c>
      <c r="LG789" s="1900" t="str">
        <f t="shared" si="297"/>
        <v/>
      </c>
      <c r="LH789" s="1900" t="str">
        <f t="shared" si="298"/>
        <v/>
      </c>
      <c r="LI789" s="1900">
        <f t="shared" si="299"/>
        <v>25</v>
      </c>
      <c r="LJ789" s="1900" t="str">
        <f t="shared" si="300"/>
        <v/>
      </c>
      <c r="LK789" s="1900" t="str">
        <f t="shared" si="301"/>
        <v/>
      </c>
      <c r="LL789" s="1900" t="str">
        <f t="shared" si="302"/>
        <v/>
      </c>
      <c r="LM789" s="1900" t="str">
        <f t="shared" si="303"/>
        <v/>
      </c>
      <c r="LN789" s="1900" t="str">
        <f t="shared" si="304"/>
        <v/>
      </c>
      <c r="LO789" s="1900" t="str">
        <f t="shared" si="305"/>
        <v/>
      </c>
      <c r="LP789" s="1900" t="str">
        <f t="shared" si="306"/>
        <v/>
      </c>
      <c r="LQ789" s="1874" t="str">
        <f t="shared" si="307"/>
        <v/>
      </c>
      <c r="LR789" s="1874" t="str">
        <f t="shared" si="308"/>
        <v/>
      </c>
      <c r="LS789" s="1874" t="str">
        <f t="shared" si="309"/>
        <v/>
      </c>
      <c r="LT789" s="1874" t="str">
        <f t="shared" si="310"/>
        <v/>
      </c>
      <c r="LU789" s="1874" t="str">
        <f t="shared" si="311"/>
        <v/>
      </c>
      <c r="LV789" s="1995" t="str">
        <f t="shared" si="312"/>
        <v/>
      </c>
      <c r="LW789" s="1995" t="str">
        <f t="shared" si="313"/>
        <v/>
      </c>
      <c r="LX789" s="1995" t="str">
        <f t="shared" si="314"/>
        <v/>
      </c>
      <c r="LY789" s="1995" t="str">
        <f t="shared" si="315"/>
        <v/>
      </c>
      <c r="LZ789" s="1995" t="str">
        <f t="shared" si="316"/>
        <v/>
      </c>
      <c r="MA789" s="1995" t="str">
        <f t="shared" si="317"/>
        <v/>
      </c>
      <c r="MB789" s="1995" t="str">
        <f t="shared" si="318"/>
        <v/>
      </c>
      <c r="MC789" s="1995" t="str">
        <f t="shared" si="319"/>
        <v/>
      </c>
      <c r="MD789" s="1995" t="str">
        <f t="shared" si="320"/>
        <v/>
      </c>
      <c r="ME789" s="1995" t="str">
        <f t="shared" si="321"/>
        <v/>
      </c>
      <c r="MF789" s="1995" t="str">
        <f t="shared" si="322"/>
        <v/>
      </c>
      <c r="MG789" s="1995" t="str">
        <f t="shared" si="323"/>
        <v/>
      </c>
      <c r="MH789" s="1995" t="str">
        <f t="shared" si="324"/>
        <v/>
      </c>
      <c r="MI789" s="1995" t="str">
        <f t="shared" si="325"/>
        <v/>
      </c>
      <c r="MJ789" s="1995" t="str">
        <f t="shared" si="326"/>
        <v/>
      </c>
      <c r="MK789" s="1995" t="str">
        <f t="shared" si="327"/>
        <v/>
      </c>
      <c r="ML789" s="1995" t="str">
        <f t="shared" si="328"/>
        <v/>
      </c>
      <c r="MM789" s="1995" t="str">
        <f t="shared" si="329"/>
        <v/>
      </c>
      <c r="MN789" s="1995" t="str">
        <f t="shared" si="330"/>
        <v/>
      </c>
      <c r="MO789" s="1995" t="str">
        <f t="shared" si="331"/>
        <v/>
      </c>
      <c r="MP789" s="1874">
        <f t="shared" si="338"/>
        <v>0</v>
      </c>
      <c r="MQ789" s="1874">
        <f t="shared" si="339"/>
        <v>0</v>
      </c>
      <c r="MR789" s="1874">
        <f t="shared" si="340"/>
        <v>0</v>
      </c>
      <c r="MS789" s="1874">
        <f t="shared" si="341"/>
        <v>0</v>
      </c>
      <c r="MT789" s="1874">
        <f t="shared" si="342"/>
        <v>0</v>
      </c>
      <c r="MU789" s="1874">
        <f t="shared" si="343"/>
        <v>0</v>
      </c>
      <c r="MV789" s="1874">
        <f t="shared" si="344"/>
        <v>0</v>
      </c>
      <c r="MW789" s="1874">
        <f t="shared" si="345"/>
        <v>25</v>
      </c>
      <c r="MX789" s="1874">
        <f t="shared" si="346"/>
        <v>0</v>
      </c>
      <c r="MY789" s="1874">
        <f t="shared" si="347"/>
        <v>0</v>
      </c>
      <c r="MZ789" s="1874">
        <f t="shared" si="332"/>
        <v>0</v>
      </c>
      <c r="NA789" s="1874">
        <f t="shared" si="333"/>
        <v>0</v>
      </c>
      <c r="NB789" s="1874">
        <f t="shared" si="334"/>
        <v>0</v>
      </c>
      <c r="NC789" s="1874">
        <f t="shared" si="335"/>
        <v>0</v>
      </c>
      <c r="ND789" s="1874">
        <f t="shared" si="336"/>
        <v>0</v>
      </c>
    </row>
    <row r="790" spans="1:368" ht="13.95" customHeight="1">
      <c r="A790" s="1896" t="str">
        <f t="shared" si="337"/>
        <v/>
      </c>
      <c r="B790" s="2212">
        <f>'Part VI-Revenues &amp; Expenses'!B21</f>
        <v>80</v>
      </c>
      <c r="C790" s="2213">
        <f>'Part VI-Revenues &amp; Expenses'!C21</f>
        <v>1</v>
      </c>
      <c r="D790" s="2214">
        <f>'Part VI-Revenues &amp; Expenses'!D21</f>
        <v>1</v>
      </c>
      <c r="E790" s="2215">
        <f>'Part VI-Revenues &amp; Expenses'!E21</f>
        <v>5</v>
      </c>
      <c r="F790" s="2215">
        <f>'Part VI-Revenues &amp; Expenses'!F21</f>
        <v>800</v>
      </c>
      <c r="G790" s="2215">
        <f>'Part VI-Revenues &amp; Expenses'!G21</f>
        <v>895</v>
      </c>
      <c r="H790" s="2215">
        <f>'Part VI-Revenues &amp; Expenses'!H21</f>
        <v>895</v>
      </c>
      <c r="I790" s="2215">
        <f>'Part VI-Revenues &amp; Expenses'!I21</f>
        <v>0</v>
      </c>
      <c r="J790" s="2215">
        <f>'Part VI-Revenues &amp; Expenses'!J21</f>
        <v>121</v>
      </c>
      <c r="K790" s="2216">
        <f>'Part VI-Revenues &amp; Expenses'!K21</f>
        <v>0</v>
      </c>
      <c r="L790" s="1899">
        <f t="shared" si="0"/>
        <v>774</v>
      </c>
      <c r="M790" s="1899">
        <f t="shared" si="1"/>
        <v>3870</v>
      </c>
      <c r="N790" s="2074" t="str">
        <f>'Part VI-Revenues &amp; Expenses'!N21</f>
        <v>No</v>
      </c>
      <c r="O790" s="2074" t="str">
        <f>'Part VI-Revenues &amp; Expenses'!O21</f>
        <v>3+ Story Elevator</v>
      </c>
      <c r="P790" s="2074" t="str">
        <f>'Part VI-Revenues &amp; Expenses'!P21</f>
        <v>New Construction</v>
      </c>
      <c r="Q790" s="1732" t="str">
        <f>'Part VI-Revenues &amp; Expenses'!Q21</f>
        <v>No</v>
      </c>
      <c r="R790" s="1926"/>
      <c r="S790" s="2148"/>
      <c r="T790" s="1910"/>
      <c r="U790" s="1910"/>
      <c r="V790" s="1910"/>
      <c r="W790" s="1910"/>
      <c r="X790" s="1995" t="str">
        <f t="shared" si="2"/>
        <v/>
      </c>
      <c r="Y790" s="1995">
        <f t="shared" si="3"/>
        <v>5</v>
      </c>
      <c r="Z790" s="1995" t="str">
        <f t="shared" si="4"/>
        <v/>
      </c>
      <c r="AA790" s="1995" t="str">
        <f t="shared" si="5"/>
        <v/>
      </c>
      <c r="AB790" s="1995" t="str">
        <f t="shared" si="6"/>
        <v/>
      </c>
      <c r="AC790" s="1995" t="str">
        <f t="shared" si="7"/>
        <v/>
      </c>
      <c r="AD790" s="1995" t="str">
        <f t="shared" si="8"/>
        <v/>
      </c>
      <c r="AE790" s="1995" t="str">
        <f t="shared" si="9"/>
        <v/>
      </c>
      <c r="AF790" s="1995" t="str">
        <f t="shared" si="10"/>
        <v/>
      </c>
      <c r="AG790" s="1995" t="str">
        <f t="shared" si="11"/>
        <v/>
      </c>
      <c r="AH790" s="1995" t="str">
        <f t="shared" si="12"/>
        <v/>
      </c>
      <c r="AI790" s="1995" t="str">
        <f t="shared" si="13"/>
        <v/>
      </c>
      <c r="AJ790" s="1995" t="str">
        <f t="shared" si="14"/>
        <v/>
      </c>
      <c r="AK790" s="1995" t="str">
        <f t="shared" si="15"/>
        <v/>
      </c>
      <c r="AL790" s="1995" t="str">
        <f t="shared" si="16"/>
        <v/>
      </c>
      <c r="AM790" s="1995" t="str">
        <f t="shared" si="17"/>
        <v/>
      </c>
      <c r="AN790" s="1995" t="str">
        <f t="shared" si="18"/>
        <v/>
      </c>
      <c r="AO790" s="1995" t="str">
        <f t="shared" si="19"/>
        <v/>
      </c>
      <c r="AP790" s="1995" t="str">
        <f t="shared" si="20"/>
        <v/>
      </c>
      <c r="AQ790" s="1995" t="str">
        <f t="shared" si="21"/>
        <v/>
      </c>
      <c r="AR790" s="1995" t="str">
        <f t="shared" si="22"/>
        <v/>
      </c>
      <c r="AS790" s="1995" t="str">
        <f t="shared" si="23"/>
        <v/>
      </c>
      <c r="AT790" s="1995" t="str">
        <f t="shared" si="24"/>
        <v/>
      </c>
      <c r="AU790" s="1995" t="str">
        <f t="shared" si="25"/>
        <v/>
      </c>
      <c r="AV790" s="1995" t="str">
        <f t="shared" si="26"/>
        <v/>
      </c>
      <c r="AW790" s="1995" t="str">
        <f t="shared" si="27"/>
        <v/>
      </c>
      <c r="AX790" s="1995" t="str">
        <f t="shared" si="28"/>
        <v/>
      </c>
      <c r="AY790" s="1995" t="str">
        <f t="shared" si="29"/>
        <v/>
      </c>
      <c r="AZ790" s="1995" t="str">
        <f t="shared" si="30"/>
        <v/>
      </c>
      <c r="BA790" s="1995" t="str">
        <f t="shared" si="31"/>
        <v/>
      </c>
      <c r="BB790" s="1995" t="str">
        <f t="shared" si="32"/>
        <v/>
      </c>
      <c r="BC790" s="1995" t="str">
        <f t="shared" si="33"/>
        <v/>
      </c>
      <c r="BD790" s="1995" t="str">
        <f t="shared" si="34"/>
        <v/>
      </c>
      <c r="BE790" s="1995" t="str">
        <f t="shared" si="35"/>
        <v/>
      </c>
      <c r="BF790" s="1995" t="str">
        <f t="shared" si="36"/>
        <v/>
      </c>
      <c r="BG790" s="1995" t="str">
        <f t="shared" si="37"/>
        <v/>
      </c>
      <c r="BH790" s="1995" t="str">
        <f t="shared" si="38"/>
        <v/>
      </c>
      <c r="BI790" s="1995" t="str">
        <f t="shared" si="39"/>
        <v/>
      </c>
      <c r="BJ790" s="1995" t="str">
        <f t="shared" si="40"/>
        <v/>
      </c>
      <c r="BK790" s="1995" t="str">
        <f t="shared" si="41"/>
        <v/>
      </c>
      <c r="BL790" s="1995" t="str">
        <f t="shared" si="42"/>
        <v/>
      </c>
      <c r="BM790" s="1995" t="str">
        <f t="shared" si="43"/>
        <v/>
      </c>
      <c r="BN790" s="1995" t="str">
        <f t="shared" si="44"/>
        <v/>
      </c>
      <c r="BO790" s="1995" t="str">
        <f t="shared" si="45"/>
        <v/>
      </c>
      <c r="BP790" s="1995" t="str">
        <f t="shared" si="46"/>
        <v/>
      </c>
      <c r="BQ790" s="1995" t="str">
        <f t="shared" si="47"/>
        <v/>
      </c>
      <c r="BR790" s="1995" t="str">
        <f t="shared" si="48"/>
        <v/>
      </c>
      <c r="BS790" s="1995" t="str">
        <f t="shared" si="49"/>
        <v/>
      </c>
      <c r="BT790" s="1995" t="str">
        <f t="shared" si="50"/>
        <v/>
      </c>
      <c r="BU790" s="1995" t="str">
        <f t="shared" si="51"/>
        <v/>
      </c>
      <c r="BV790" s="1995" t="str">
        <f t="shared" si="52"/>
        <v/>
      </c>
      <c r="BW790" s="1995" t="str">
        <f t="shared" si="53"/>
        <v/>
      </c>
      <c r="BX790" s="1995" t="str">
        <f t="shared" si="54"/>
        <v/>
      </c>
      <c r="BY790" s="1995" t="str">
        <f t="shared" si="55"/>
        <v/>
      </c>
      <c r="BZ790" s="1995" t="str">
        <f t="shared" si="56"/>
        <v/>
      </c>
      <c r="CA790" s="1995" t="str">
        <f t="shared" si="57"/>
        <v/>
      </c>
      <c r="CB790" s="1995" t="str">
        <f t="shared" si="58"/>
        <v/>
      </c>
      <c r="CC790" s="1995" t="str">
        <f t="shared" si="59"/>
        <v/>
      </c>
      <c r="CD790" s="1995" t="str">
        <f t="shared" si="60"/>
        <v/>
      </c>
      <c r="CE790" s="1995" t="str">
        <f t="shared" si="61"/>
        <v/>
      </c>
      <c r="CF790" s="1995" t="str">
        <f t="shared" si="62"/>
        <v/>
      </c>
      <c r="CG790" s="1995" t="str">
        <f t="shared" si="63"/>
        <v/>
      </c>
      <c r="CH790" s="1995" t="str">
        <f t="shared" si="64"/>
        <v/>
      </c>
      <c r="CI790" s="1995" t="str">
        <f t="shared" si="65"/>
        <v/>
      </c>
      <c r="CJ790" s="1995" t="str">
        <f t="shared" si="66"/>
        <v/>
      </c>
      <c r="CK790" s="1995" t="str">
        <f t="shared" si="67"/>
        <v/>
      </c>
      <c r="CL790" s="1995" t="str">
        <f t="shared" si="68"/>
        <v/>
      </c>
      <c r="CM790" s="1995" t="str">
        <f t="shared" si="69"/>
        <v/>
      </c>
      <c r="CN790" s="1995" t="str">
        <f t="shared" si="70"/>
        <v/>
      </c>
      <c r="CO790" s="1995" t="str">
        <f t="shared" si="71"/>
        <v/>
      </c>
      <c r="CP790" s="1995" t="str">
        <f t="shared" si="72"/>
        <v/>
      </c>
      <c r="CQ790" s="1995">
        <f t="shared" si="73"/>
        <v>5</v>
      </c>
      <c r="CR790" s="1995" t="str">
        <f t="shared" si="74"/>
        <v/>
      </c>
      <c r="CS790" s="1995" t="str">
        <f t="shared" si="75"/>
        <v/>
      </c>
      <c r="CT790" s="1995" t="str">
        <f t="shared" si="76"/>
        <v/>
      </c>
      <c r="CU790" s="1995" t="str">
        <f t="shared" si="77"/>
        <v/>
      </c>
      <c r="CV790" s="1995" t="str">
        <f t="shared" si="78"/>
        <v/>
      </c>
      <c r="CW790" s="1995" t="str">
        <f t="shared" si="79"/>
        <v/>
      </c>
      <c r="CX790" s="1995" t="str">
        <f t="shared" si="80"/>
        <v/>
      </c>
      <c r="CY790" s="1995" t="str">
        <f t="shared" si="81"/>
        <v/>
      </c>
      <c r="CZ790" s="1995" t="str">
        <f t="shared" si="82"/>
        <v/>
      </c>
      <c r="DA790" s="1995" t="str">
        <f t="shared" si="83"/>
        <v/>
      </c>
      <c r="DB790" s="1995" t="str">
        <f t="shared" si="84"/>
        <v/>
      </c>
      <c r="DC790" s="1995" t="str">
        <f t="shared" si="85"/>
        <v/>
      </c>
      <c r="DD790" s="1995" t="str">
        <f t="shared" si="86"/>
        <v/>
      </c>
      <c r="DE790" s="1995" t="str">
        <f t="shared" si="87"/>
        <v/>
      </c>
      <c r="DF790" s="1995" t="str">
        <f t="shared" si="88"/>
        <v/>
      </c>
      <c r="DG790" s="1995" t="str">
        <f t="shared" si="89"/>
        <v/>
      </c>
      <c r="DH790" s="1995" t="str">
        <f t="shared" si="90"/>
        <v/>
      </c>
      <c r="DI790" s="1995" t="str">
        <f t="shared" si="91"/>
        <v/>
      </c>
      <c r="DJ790" s="1995" t="str">
        <f t="shared" si="92"/>
        <v/>
      </c>
      <c r="DK790" s="1995" t="str">
        <f t="shared" si="93"/>
        <v/>
      </c>
      <c r="DL790" s="1995" t="str">
        <f t="shared" si="94"/>
        <v/>
      </c>
      <c r="DM790" s="1995" t="str">
        <f t="shared" si="95"/>
        <v/>
      </c>
      <c r="DN790" s="1995" t="str">
        <f t="shared" si="96"/>
        <v/>
      </c>
      <c r="DO790" s="1995" t="str">
        <f t="shared" si="97"/>
        <v/>
      </c>
      <c r="DP790" s="1995" t="str">
        <f t="shared" si="98"/>
        <v/>
      </c>
      <c r="DQ790" s="1995" t="str">
        <f t="shared" si="99"/>
        <v/>
      </c>
      <c r="DR790" s="1995" t="str">
        <f t="shared" si="100"/>
        <v/>
      </c>
      <c r="DS790" s="1995" t="str">
        <f t="shared" si="101"/>
        <v/>
      </c>
      <c r="DT790" s="1995" t="str">
        <f t="shared" si="102"/>
        <v/>
      </c>
      <c r="DU790" s="1995" t="str">
        <f t="shared" si="103"/>
        <v/>
      </c>
      <c r="DV790" s="1995" t="str">
        <f t="shared" si="104"/>
        <v/>
      </c>
      <c r="DW790" s="1995" t="str">
        <f t="shared" si="105"/>
        <v/>
      </c>
      <c r="DX790" s="1995" t="str">
        <f t="shared" si="106"/>
        <v/>
      </c>
      <c r="DY790" s="1995" t="str">
        <f t="shared" si="107"/>
        <v/>
      </c>
      <c r="DZ790" s="1995" t="str">
        <f t="shared" si="108"/>
        <v/>
      </c>
      <c r="EA790" s="1995" t="str">
        <f t="shared" si="109"/>
        <v/>
      </c>
      <c r="EB790" s="1995" t="str">
        <f t="shared" si="110"/>
        <v/>
      </c>
      <c r="EC790" s="1995" t="str">
        <f t="shared" si="111"/>
        <v/>
      </c>
      <c r="ED790" s="1995" t="str">
        <f t="shared" si="112"/>
        <v/>
      </c>
      <c r="EE790" s="1995" t="str">
        <f t="shared" si="113"/>
        <v/>
      </c>
      <c r="EF790" s="1995" t="str">
        <f t="shared" si="114"/>
        <v/>
      </c>
      <c r="EG790" s="1995" t="str">
        <f t="shared" si="115"/>
        <v/>
      </c>
      <c r="EH790" s="1995" t="str">
        <f t="shared" si="116"/>
        <v/>
      </c>
      <c r="EI790" s="1995" t="str">
        <f t="shared" si="117"/>
        <v/>
      </c>
      <c r="EJ790" s="1995">
        <f t="shared" si="118"/>
        <v>4000</v>
      </c>
      <c r="EK790" s="1995" t="str">
        <f t="shared" si="119"/>
        <v/>
      </c>
      <c r="EL790" s="1995" t="str">
        <f t="shared" si="120"/>
        <v/>
      </c>
      <c r="EM790" s="1995" t="str">
        <f t="shared" si="121"/>
        <v/>
      </c>
      <c r="EN790" s="1995" t="str">
        <f t="shared" si="122"/>
        <v/>
      </c>
      <c r="EO790" s="1995" t="str">
        <f t="shared" si="123"/>
        <v/>
      </c>
      <c r="EP790" s="1995" t="str">
        <f t="shared" si="124"/>
        <v/>
      </c>
      <c r="EQ790" s="1995" t="str">
        <f t="shared" si="125"/>
        <v/>
      </c>
      <c r="ER790" s="1995" t="str">
        <f t="shared" si="126"/>
        <v/>
      </c>
      <c r="ES790" s="1995" t="str">
        <f t="shared" si="127"/>
        <v/>
      </c>
      <c r="ET790" s="1995" t="str">
        <f t="shared" si="128"/>
        <v/>
      </c>
      <c r="EU790" s="1995" t="str">
        <f t="shared" si="129"/>
        <v/>
      </c>
      <c r="EV790" s="1995" t="str">
        <f t="shared" si="130"/>
        <v/>
      </c>
      <c r="EW790" s="1995" t="str">
        <f t="shared" si="131"/>
        <v/>
      </c>
      <c r="EX790" s="1995" t="str">
        <f t="shared" si="132"/>
        <v/>
      </c>
      <c r="EY790" s="1995" t="str">
        <f t="shared" si="133"/>
        <v/>
      </c>
      <c r="EZ790" s="1995" t="str">
        <f t="shared" si="134"/>
        <v/>
      </c>
      <c r="FA790" s="1995" t="str">
        <f t="shared" si="135"/>
        <v/>
      </c>
      <c r="FB790" s="1995" t="str">
        <f t="shared" si="136"/>
        <v/>
      </c>
      <c r="FC790" s="1995" t="str">
        <f t="shared" si="137"/>
        <v/>
      </c>
      <c r="FD790" s="1995" t="str">
        <f t="shared" si="138"/>
        <v/>
      </c>
      <c r="FE790" s="1995" t="str">
        <f t="shared" si="139"/>
        <v/>
      </c>
      <c r="FF790" s="1995" t="str">
        <f t="shared" si="140"/>
        <v/>
      </c>
      <c r="FG790" s="1995" t="str">
        <f t="shared" si="141"/>
        <v/>
      </c>
      <c r="FH790" s="1995" t="str">
        <f t="shared" si="142"/>
        <v/>
      </c>
      <c r="FI790" s="1995" t="str">
        <f t="shared" si="143"/>
        <v/>
      </c>
      <c r="FJ790" s="1995" t="str">
        <f t="shared" si="144"/>
        <v/>
      </c>
      <c r="FK790" s="1995" t="str">
        <f t="shared" si="145"/>
        <v/>
      </c>
      <c r="FL790" s="1995" t="str">
        <f t="shared" si="146"/>
        <v/>
      </c>
      <c r="FM790" s="1995" t="str">
        <f t="shared" si="147"/>
        <v/>
      </c>
      <c r="FN790" s="1995" t="str">
        <f t="shared" si="148"/>
        <v/>
      </c>
      <c r="FO790" s="1995" t="str">
        <f t="shared" si="149"/>
        <v/>
      </c>
      <c r="FP790" s="1995" t="str">
        <f t="shared" si="150"/>
        <v/>
      </c>
      <c r="FQ790" s="1995" t="str">
        <f t="shared" si="151"/>
        <v/>
      </c>
      <c r="FR790" s="1995" t="str">
        <f t="shared" si="152"/>
        <v/>
      </c>
      <c r="FS790" s="1995" t="str">
        <f t="shared" si="153"/>
        <v/>
      </c>
      <c r="FT790" s="1995" t="str">
        <f t="shared" si="154"/>
        <v/>
      </c>
      <c r="FU790" s="1995" t="str">
        <f t="shared" si="155"/>
        <v/>
      </c>
      <c r="FV790" s="1995" t="str">
        <f t="shared" si="156"/>
        <v/>
      </c>
      <c r="FW790" s="1995" t="str">
        <f t="shared" si="157"/>
        <v/>
      </c>
      <c r="FX790" s="1995" t="str">
        <f t="shared" si="158"/>
        <v/>
      </c>
      <c r="FY790" s="1995" t="str">
        <f t="shared" si="159"/>
        <v/>
      </c>
      <c r="FZ790" s="1995" t="str">
        <f t="shared" si="160"/>
        <v/>
      </c>
      <c r="GA790" s="1995" t="str">
        <f t="shared" si="161"/>
        <v/>
      </c>
      <c r="GB790" s="1995" t="str">
        <f t="shared" si="162"/>
        <v/>
      </c>
      <c r="GC790" s="1995" t="str">
        <f t="shared" si="163"/>
        <v/>
      </c>
      <c r="GD790" s="1995" t="str">
        <f t="shared" si="164"/>
        <v/>
      </c>
      <c r="GE790" s="1995" t="str">
        <f t="shared" si="165"/>
        <v/>
      </c>
      <c r="GF790" s="1995" t="str">
        <f t="shared" si="166"/>
        <v/>
      </c>
      <c r="GG790" s="1995" t="str">
        <f t="shared" si="167"/>
        <v/>
      </c>
      <c r="GH790" s="1995">
        <f t="shared" si="168"/>
        <v>5</v>
      </c>
      <c r="GI790" s="1995" t="str">
        <f t="shared" si="169"/>
        <v/>
      </c>
      <c r="GJ790" s="1995" t="str">
        <f t="shared" si="170"/>
        <v/>
      </c>
      <c r="GK790" s="1995" t="str">
        <f t="shared" si="171"/>
        <v/>
      </c>
      <c r="GL790" s="1995" t="str">
        <f t="shared" si="172"/>
        <v/>
      </c>
      <c r="GM790" s="1995" t="str">
        <f t="shared" si="173"/>
        <v/>
      </c>
      <c r="GN790" s="1995" t="str">
        <f t="shared" si="174"/>
        <v/>
      </c>
      <c r="GO790" s="1995" t="str">
        <f t="shared" si="175"/>
        <v/>
      </c>
      <c r="GP790" s="1995" t="str">
        <f t="shared" si="176"/>
        <v/>
      </c>
      <c r="GQ790" s="1995" t="str">
        <f t="shared" si="177"/>
        <v/>
      </c>
      <c r="GR790" s="1995" t="str">
        <f t="shared" si="178"/>
        <v/>
      </c>
      <c r="GS790" s="1995" t="str">
        <f t="shared" si="179"/>
        <v/>
      </c>
      <c r="GT790" s="1995" t="str">
        <f t="shared" si="180"/>
        <v/>
      </c>
      <c r="GU790" s="1995" t="str">
        <f t="shared" si="181"/>
        <v/>
      </c>
      <c r="GV790" s="1995" t="str">
        <f t="shared" si="182"/>
        <v/>
      </c>
      <c r="GW790" s="1995" t="str">
        <f t="shared" si="183"/>
        <v/>
      </c>
      <c r="GX790" s="1995" t="str">
        <f t="shared" si="184"/>
        <v/>
      </c>
      <c r="GY790" s="1995" t="str">
        <f t="shared" si="185"/>
        <v/>
      </c>
      <c r="GZ790" s="1995" t="str">
        <f t="shared" si="186"/>
        <v/>
      </c>
      <c r="HA790" s="1995" t="str">
        <f t="shared" si="187"/>
        <v/>
      </c>
      <c r="HB790" s="1995" t="str">
        <f t="shared" si="188"/>
        <v/>
      </c>
      <c r="HC790" s="1995" t="str">
        <f t="shared" si="189"/>
        <v/>
      </c>
      <c r="HD790" s="1995" t="str">
        <f t="shared" si="190"/>
        <v/>
      </c>
      <c r="HE790" s="1995" t="str">
        <f t="shared" si="191"/>
        <v/>
      </c>
      <c r="HF790" s="1995" t="str">
        <f t="shared" si="192"/>
        <v/>
      </c>
      <c r="HG790" s="1995" t="str">
        <f t="shared" si="193"/>
        <v/>
      </c>
      <c r="HH790" s="1995" t="str">
        <f t="shared" si="194"/>
        <v/>
      </c>
      <c r="HI790" s="1995" t="str">
        <f t="shared" si="195"/>
        <v/>
      </c>
      <c r="HJ790" s="1995" t="str">
        <f t="shared" si="196"/>
        <v/>
      </c>
      <c r="HK790" s="1995" t="str">
        <f t="shared" si="197"/>
        <v/>
      </c>
      <c r="HL790" s="1995" t="str">
        <f t="shared" si="198"/>
        <v/>
      </c>
      <c r="HM790" s="1995" t="str">
        <f t="shared" si="199"/>
        <v/>
      </c>
      <c r="HN790" s="1995" t="str">
        <f t="shared" si="200"/>
        <v/>
      </c>
      <c r="HO790" s="1995" t="str">
        <f t="shared" si="201"/>
        <v/>
      </c>
      <c r="HP790" s="1995" t="str">
        <f t="shared" si="202"/>
        <v/>
      </c>
      <c r="HQ790" s="1995" t="str">
        <f t="shared" si="203"/>
        <v/>
      </c>
      <c r="HR790" s="1995" t="str">
        <f t="shared" si="204"/>
        <v/>
      </c>
      <c r="HS790" s="1995" t="str">
        <f t="shared" si="205"/>
        <v/>
      </c>
      <c r="HT790" s="1995" t="str">
        <f t="shared" si="206"/>
        <v/>
      </c>
      <c r="HU790" s="1995" t="str">
        <f t="shared" si="207"/>
        <v/>
      </c>
      <c r="HV790" s="1995" t="str">
        <f t="shared" si="208"/>
        <v/>
      </c>
      <c r="HW790" s="1995" t="str">
        <f t="shared" si="209"/>
        <v/>
      </c>
      <c r="HX790" s="1995" t="str">
        <f t="shared" si="210"/>
        <v/>
      </c>
      <c r="HY790" s="1995" t="str">
        <f t="shared" si="211"/>
        <v/>
      </c>
      <c r="HZ790" s="1900" t="str">
        <f t="shared" si="212"/>
        <v/>
      </c>
      <c r="IA790" s="1900">
        <f t="shared" si="213"/>
        <v>5</v>
      </c>
      <c r="IB790" s="1900" t="str">
        <f t="shared" si="214"/>
        <v/>
      </c>
      <c r="IC790" s="1900" t="str">
        <f t="shared" si="215"/>
        <v/>
      </c>
      <c r="ID790" s="1900" t="str">
        <f t="shared" si="216"/>
        <v/>
      </c>
      <c r="IE790" s="1900" t="str">
        <f t="shared" si="217"/>
        <v/>
      </c>
      <c r="IF790" s="1900" t="str">
        <f t="shared" si="218"/>
        <v/>
      </c>
      <c r="IG790" s="1900" t="str">
        <f t="shared" si="219"/>
        <v/>
      </c>
      <c r="IH790" s="1900" t="str">
        <f t="shared" si="220"/>
        <v/>
      </c>
      <c r="II790" s="1900" t="str">
        <f t="shared" si="221"/>
        <v/>
      </c>
      <c r="IJ790" s="1900" t="str">
        <f t="shared" si="222"/>
        <v/>
      </c>
      <c r="IK790" s="1900" t="str">
        <f t="shared" si="223"/>
        <v/>
      </c>
      <c r="IL790" s="1900" t="str">
        <f t="shared" si="224"/>
        <v/>
      </c>
      <c r="IM790" s="1900" t="str">
        <f t="shared" si="225"/>
        <v/>
      </c>
      <c r="IN790" s="1900" t="str">
        <f t="shared" si="226"/>
        <v/>
      </c>
      <c r="IO790" s="1900" t="str">
        <f t="shared" si="227"/>
        <v/>
      </c>
      <c r="IP790" s="1900" t="str">
        <f t="shared" si="228"/>
        <v/>
      </c>
      <c r="IQ790" s="1900" t="str">
        <f t="shared" si="229"/>
        <v/>
      </c>
      <c r="IR790" s="1900" t="str">
        <f t="shared" si="230"/>
        <v/>
      </c>
      <c r="IS790" s="1900" t="str">
        <f t="shared" si="231"/>
        <v/>
      </c>
      <c r="IT790" s="1900" t="str">
        <f t="shared" si="232"/>
        <v/>
      </c>
      <c r="IU790" s="1900" t="str">
        <f t="shared" si="233"/>
        <v/>
      </c>
      <c r="IV790" s="1900" t="str">
        <f t="shared" si="234"/>
        <v/>
      </c>
      <c r="IW790" s="1900" t="str">
        <f t="shared" si="235"/>
        <v/>
      </c>
      <c r="IX790" s="1900" t="str">
        <f t="shared" si="236"/>
        <v/>
      </c>
      <c r="IY790" s="1900" t="str">
        <f t="shared" si="237"/>
        <v/>
      </c>
      <c r="IZ790" s="1900" t="str">
        <f t="shared" si="238"/>
        <v/>
      </c>
      <c r="JA790" s="1900" t="str">
        <f t="shared" si="239"/>
        <v/>
      </c>
      <c r="JB790" s="1900" t="str">
        <f t="shared" si="240"/>
        <v/>
      </c>
      <c r="JC790" s="1900" t="str">
        <f t="shared" si="241"/>
        <v/>
      </c>
      <c r="JD790" s="1900" t="str">
        <f t="shared" si="242"/>
        <v/>
      </c>
      <c r="JE790" s="1900" t="str">
        <f t="shared" si="243"/>
        <v/>
      </c>
      <c r="JF790" s="1900" t="str">
        <f t="shared" si="244"/>
        <v/>
      </c>
      <c r="JG790" s="1900" t="str">
        <f t="shared" si="245"/>
        <v/>
      </c>
      <c r="JH790" s="1900" t="str">
        <f t="shared" si="246"/>
        <v/>
      </c>
      <c r="JI790" s="1900" t="str">
        <f t="shared" si="247"/>
        <v/>
      </c>
      <c r="JJ790" s="1900" t="str">
        <f t="shared" si="248"/>
        <v/>
      </c>
      <c r="JK790" s="1900" t="str">
        <f t="shared" si="249"/>
        <v/>
      </c>
      <c r="JL790" s="1900" t="str">
        <f t="shared" si="250"/>
        <v/>
      </c>
      <c r="JM790" s="1900" t="str">
        <f t="shared" si="251"/>
        <v/>
      </c>
      <c r="JN790" s="1900" t="str">
        <f t="shared" si="252"/>
        <v/>
      </c>
      <c r="JO790" s="1900" t="str">
        <f t="shared" si="253"/>
        <v/>
      </c>
      <c r="JP790" s="1900" t="str">
        <f t="shared" si="254"/>
        <v/>
      </c>
      <c r="JQ790" s="1900" t="str">
        <f t="shared" si="255"/>
        <v/>
      </c>
      <c r="JR790" s="1900" t="str">
        <f t="shared" si="256"/>
        <v/>
      </c>
      <c r="JS790" s="1900" t="str">
        <f t="shared" si="257"/>
        <v/>
      </c>
      <c r="JT790" s="1900" t="str">
        <f t="shared" si="258"/>
        <v/>
      </c>
      <c r="JU790" s="1900" t="str">
        <f t="shared" si="259"/>
        <v/>
      </c>
      <c r="JV790" s="1900" t="str">
        <f t="shared" si="260"/>
        <v/>
      </c>
      <c r="JW790" s="1900" t="str">
        <f t="shared" si="261"/>
        <v/>
      </c>
      <c r="JX790" s="1900" t="str">
        <f t="shared" si="262"/>
        <v/>
      </c>
      <c r="JY790" s="1900" t="str">
        <f t="shared" si="263"/>
        <v/>
      </c>
      <c r="JZ790" s="1900" t="str">
        <f t="shared" si="264"/>
        <v/>
      </c>
      <c r="KA790" s="1900" t="str">
        <f t="shared" si="265"/>
        <v/>
      </c>
      <c r="KB790" s="1900" t="str">
        <f t="shared" si="266"/>
        <v/>
      </c>
      <c r="KC790" s="1900" t="str">
        <f t="shared" si="267"/>
        <v/>
      </c>
      <c r="KD790" s="1900" t="str">
        <f t="shared" si="268"/>
        <v/>
      </c>
      <c r="KE790" s="1900" t="str">
        <f t="shared" si="269"/>
        <v/>
      </c>
      <c r="KF790" s="1900" t="str">
        <f t="shared" si="270"/>
        <v/>
      </c>
      <c r="KG790" s="1900" t="str">
        <f t="shared" si="271"/>
        <v/>
      </c>
      <c r="KH790" s="1900" t="str">
        <f t="shared" si="272"/>
        <v/>
      </c>
      <c r="KI790" s="1900" t="str">
        <f t="shared" si="273"/>
        <v/>
      </c>
      <c r="KJ790" s="1900" t="str">
        <f t="shared" si="274"/>
        <v/>
      </c>
      <c r="KK790" s="1900" t="str">
        <f t="shared" si="275"/>
        <v/>
      </c>
      <c r="KL790" s="1900" t="str">
        <f t="shared" si="276"/>
        <v/>
      </c>
      <c r="KM790" s="1900" t="str">
        <f t="shared" si="277"/>
        <v/>
      </c>
      <c r="KN790" s="1900" t="str">
        <f t="shared" si="278"/>
        <v/>
      </c>
      <c r="KO790" s="1900" t="str">
        <f t="shared" si="279"/>
        <v/>
      </c>
      <c r="KP790" s="1900" t="str">
        <f t="shared" si="280"/>
        <v/>
      </c>
      <c r="KQ790" s="1900" t="str">
        <f t="shared" si="281"/>
        <v/>
      </c>
      <c r="KR790" s="1900" t="str">
        <f t="shared" si="282"/>
        <v/>
      </c>
      <c r="KS790" s="1900" t="str">
        <f t="shared" si="283"/>
        <v/>
      </c>
      <c r="KT790" s="1900" t="str">
        <f t="shared" si="284"/>
        <v/>
      </c>
      <c r="KU790" s="1900" t="str">
        <f t="shared" si="285"/>
        <v/>
      </c>
      <c r="KV790" s="1900" t="str">
        <f t="shared" si="286"/>
        <v/>
      </c>
      <c r="KW790" s="1900" t="str">
        <f t="shared" si="287"/>
        <v/>
      </c>
      <c r="KX790" s="1900" t="str">
        <f t="shared" si="288"/>
        <v/>
      </c>
      <c r="KY790" s="1900" t="str">
        <f t="shared" si="289"/>
        <v/>
      </c>
      <c r="KZ790" s="1900" t="str">
        <f t="shared" si="290"/>
        <v/>
      </c>
      <c r="LA790" s="1900" t="str">
        <f t="shared" si="291"/>
        <v/>
      </c>
      <c r="LB790" s="1900" t="str">
        <f t="shared" si="292"/>
        <v/>
      </c>
      <c r="LC790" s="1900" t="str">
        <f t="shared" si="293"/>
        <v/>
      </c>
      <c r="LD790" s="1900" t="str">
        <f t="shared" si="294"/>
        <v/>
      </c>
      <c r="LE790" s="1900" t="str">
        <f t="shared" si="295"/>
        <v/>
      </c>
      <c r="LF790" s="1900" t="str">
        <f t="shared" si="296"/>
        <v/>
      </c>
      <c r="LG790" s="1900" t="str">
        <f t="shared" si="297"/>
        <v/>
      </c>
      <c r="LH790" s="1900">
        <f t="shared" si="298"/>
        <v>5</v>
      </c>
      <c r="LI790" s="1900" t="str">
        <f t="shared" si="299"/>
        <v/>
      </c>
      <c r="LJ790" s="1900" t="str">
        <f t="shared" si="300"/>
        <v/>
      </c>
      <c r="LK790" s="1900" t="str">
        <f t="shared" si="301"/>
        <v/>
      </c>
      <c r="LL790" s="1900" t="str">
        <f t="shared" si="302"/>
        <v/>
      </c>
      <c r="LM790" s="1900" t="str">
        <f t="shared" si="303"/>
        <v/>
      </c>
      <c r="LN790" s="1900" t="str">
        <f t="shared" si="304"/>
        <v/>
      </c>
      <c r="LO790" s="1900" t="str">
        <f t="shared" si="305"/>
        <v/>
      </c>
      <c r="LP790" s="1900" t="str">
        <f t="shared" si="306"/>
        <v/>
      </c>
      <c r="LQ790" s="1874" t="str">
        <f t="shared" si="307"/>
        <v/>
      </c>
      <c r="LR790" s="1874" t="str">
        <f t="shared" si="308"/>
        <v/>
      </c>
      <c r="LS790" s="1874" t="str">
        <f t="shared" si="309"/>
        <v/>
      </c>
      <c r="LT790" s="1874" t="str">
        <f t="shared" si="310"/>
        <v/>
      </c>
      <c r="LU790" s="1874" t="str">
        <f t="shared" si="311"/>
        <v/>
      </c>
      <c r="LV790" s="1995" t="str">
        <f t="shared" si="312"/>
        <v/>
      </c>
      <c r="LW790" s="1995" t="str">
        <f t="shared" si="313"/>
        <v/>
      </c>
      <c r="LX790" s="1995" t="str">
        <f t="shared" si="314"/>
        <v/>
      </c>
      <c r="LY790" s="1995" t="str">
        <f t="shared" si="315"/>
        <v/>
      </c>
      <c r="LZ790" s="1995" t="str">
        <f t="shared" si="316"/>
        <v/>
      </c>
      <c r="MA790" s="1995" t="str">
        <f t="shared" si="317"/>
        <v/>
      </c>
      <c r="MB790" s="1995" t="str">
        <f t="shared" si="318"/>
        <v/>
      </c>
      <c r="MC790" s="1995" t="str">
        <f t="shared" si="319"/>
        <v/>
      </c>
      <c r="MD790" s="1995" t="str">
        <f t="shared" si="320"/>
        <v/>
      </c>
      <c r="ME790" s="1995" t="str">
        <f t="shared" si="321"/>
        <v/>
      </c>
      <c r="MF790" s="1995" t="str">
        <f t="shared" si="322"/>
        <v/>
      </c>
      <c r="MG790" s="1995" t="str">
        <f t="shared" si="323"/>
        <v/>
      </c>
      <c r="MH790" s="1995" t="str">
        <f t="shared" si="324"/>
        <v/>
      </c>
      <c r="MI790" s="1995" t="str">
        <f t="shared" si="325"/>
        <v/>
      </c>
      <c r="MJ790" s="1995" t="str">
        <f t="shared" si="326"/>
        <v/>
      </c>
      <c r="MK790" s="1995" t="str">
        <f t="shared" si="327"/>
        <v/>
      </c>
      <c r="ML790" s="1995" t="str">
        <f t="shared" si="328"/>
        <v/>
      </c>
      <c r="MM790" s="1995" t="str">
        <f t="shared" si="329"/>
        <v/>
      </c>
      <c r="MN790" s="1995" t="str">
        <f t="shared" si="330"/>
        <v/>
      </c>
      <c r="MO790" s="1995" t="str">
        <f t="shared" si="331"/>
        <v/>
      </c>
      <c r="MP790" s="1874">
        <f t="shared" si="338"/>
        <v>0</v>
      </c>
      <c r="MQ790" s="1874">
        <f t="shared" si="339"/>
        <v>0</v>
      </c>
      <c r="MR790" s="1874">
        <f t="shared" si="340"/>
        <v>0</v>
      </c>
      <c r="MS790" s="1874">
        <f t="shared" si="341"/>
        <v>0</v>
      </c>
      <c r="MT790" s="1874">
        <f t="shared" si="342"/>
        <v>0</v>
      </c>
      <c r="MU790" s="1874">
        <f t="shared" si="343"/>
        <v>0</v>
      </c>
      <c r="MV790" s="1874">
        <f t="shared" si="344"/>
        <v>5</v>
      </c>
      <c r="MW790" s="1874">
        <f t="shared" si="345"/>
        <v>0</v>
      </c>
      <c r="MX790" s="1874">
        <f t="shared" si="346"/>
        <v>0</v>
      </c>
      <c r="MY790" s="1874">
        <f t="shared" si="347"/>
        <v>0</v>
      </c>
      <c r="MZ790" s="1874">
        <f t="shared" si="332"/>
        <v>0</v>
      </c>
      <c r="NA790" s="1874">
        <f t="shared" si="333"/>
        <v>0</v>
      </c>
      <c r="NB790" s="1874">
        <f t="shared" si="334"/>
        <v>0</v>
      </c>
      <c r="NC790" s="1874">
        <f t="shared" si="335"/>
        <v>0</v>
      </c>
      <c r="ND790" s="1874">
        <f t="shared" si="336"/>
        <v>0</v>
      </c>
    </row>
    <row r="791" spans="1:368" ht="13.95" customHeight="1">
      <c r="A791" s="1896" t="str">
        <f t="shared" si="337"/>
        <v/>
      </c>
      <c r="B791" s="2212">
        <f>'Part VI-Revenues &amp; Expenses'!B22</f>
        <v>80</v>
      </c>
      <c r="C791" s="2213">
        <f>'Part VI-Revenues &amp; Expenses'!C22</f>
        <v>2</v>
      </c>
      <c r="D791" s="2214">
        <f>'Part VI-Revenues &amp; Expenses'!D22</f>
        <v>1</v>
      </c>
      <c r="E791" s="2215">
        <f>'Part VI-Revenues &amp; Expenses'!E22</f>
        <v>9</v>
      </c>
      <c r="F791" s="2215">
        <f>'Part VI-Revenues &amp; Expenses'!F22</f>
        <v>1000</v>
      </c>
      <c r="G791" s="2215">
        <f>'Part VI-Revenues &amp; Expenses'!G22</f>
        <v>1074</v>
      </c>
      <c r="H791" s="2215">
        <f>'Part VI-Revenues &amp; Expenses'!H22</f>
        <v>1074</v>
      </c>
      <c r="I791" s="2215">
        <f>'Part VI-Revenues &amp; Expenses'!I22</f>
        <v>0</v>
      </c>
      <c r="J791" s="2215">
        <f>'Part VI-Revenues &amp; Expenses'!J22</f>
        <v>151</v>
      </c>
      <c r="K791" s="2216">
        <f>'Part VI-Revenues &amp; Expenses'!K22</f>
        <v>0</v>
      </c>
      <c r="L791" s="1899">
        <f t="shared" si="0"/>
        <v>923</v>
      </c>
      <c r="M791" s="1899">
        <f t="shared" si="1"/>
        <v>8307</v>
      </c>
      <c r="N791" s="2074" t="str">
        <f>'Part VI-Revenues &amp; Expenses'!N22</f>
        <v>No</v>
      </c>
      <c r="O791" s="2074" t="str">
        <f>'Part VI-Revenues &amp; Expenses'!O22</f>
        <v>3+ Story Elevator</v>
      </c>
      <c r="P791" s="2074" t="str">
        <f>'Part VI-Revenues &amp; Expenses'!P22</f>
        <v>New Construction</v>
      </c>
      <c r="Q791" s="1732" t="str">
        <f>'Part VI-Revenues &amp; Expenses'!Q22</f>
        <v>No</v>
      </c>
      <c r="R791" s="1926"/>
      <c r="S791" s="2148"/>
      <c r="T791" s="1910"/>
      <c r="U791" s="1910"/>
      <c r="V791" s="1910"/>
      <c r="W791" s="1910"/>
      <c r="X791" s="1995" t="str">
        <f t="shared" si="2"/>
        <v/>
      </c>
      <c r="Y791" s="1995" t="str">
        <f t="shared" si="3"/>
        <v/>
      </c>
      <c r="Z791" s="1995">
        <f t="shared" si="4"/>
        <v>9</v>
      </c>
      <c r="AA791" s="1995" t="str">
        <f t="shared" si="5"/>
        <v/>
      </c>
      <c r="AB791" s="1995" t="str">
        <f t="shared" si="6"/>
        <v/>
      </c>
      <c r="AC791" s="1995" t="str">
        <f t="shared" si="7"/>
        <v/>
      </c>
      <c r="AD791" s="1995" t="str">
        <f t="shared" si="8"/>
        <v/>
      </c>
      <c r="AE791" s="1995" t="str">
        <f t="shared" si="9"/>
        <v/>
      </c>
      <c r="AF791" s="1995" t="str">
        <f t="shared" si="10"/>
        <v/>
      </c>
      <c r="AG791" s="1995" t="str">
        <f t="shared" si="11"/>
        <v/>
      </c>
      <c r="AH791" s="1995" t="str">
        <f t="shared" si="12"/>
        <v/>
      </c>
      <c r="AI791" s="1995" t="str">
        <f t="shared" si="13"/>
        <v/>
      </c>
      <c r="AJ791" s="1995" t="str">
        <f t="shared" si="14"/>
        <v/>
      </c>
      <c r="AK791" s="1995" t="str">
        <f t="shared" si="15"/>
        <v/>
      </c>
      <c r="AL791" s="1995" t="str">
        <f t="shared" si="16"/>
        <v/>
      </c>
      <c r="AM791" s="1995" t="str">
        <f t="shared" si="17"/>
        <v/>
      </c>
      <c r="AN791" s="1995" t="str">
        <f t="shared" si="18"/>
        <v/>
      </c>
      <c r="AO791" s="1995" t="str">
        <f t="shared" si="19"/>
        <v/>
      </c>
      <c r="AP791" s="1995" t="str">
        <f t="shared" si="20"/>
        <v/>
      </c>
      <c r="AQ791" s="1995" t="str">
        <f t="shared" si="21"/>
        <v/>
      </c>
      <c r="AR791" s="1995" t="str">
        <f t="shared" si="22"/>
        <v/>
      </c>
      <c r="AS791" s="1995" t="str">
        <f t="shared" si="23"/>
        <v/>
      </c>
      <c r="AT791" s="1995" t="str">
        <f t="shared" si="24"/>
        <v/>
      </c>
      <c r="AU791" s="1995" t="str">
        <f t="shared" si="25"/>
        <v/>
      </c>
      <c r="AV791" s="1995" t="str">
        <f t="shared" si="26"/>
        <v/>
      </c>
      <c r="AW791" s="1995" t="str">
        <f t="shared" si="27"/>
        <v/>
      </c>
      <c r="AX791" s="1995" t="str">
        <f t="shared" si="28"/>
        <v/>
      </c>
      <c r="AY791" s="1995" t="str">
        <f t="shared" si="29"/>
        <v/>
      </c>
      <c r="AZ791" s="1995" t="str">
        <f t="shared" si="30"/>
        <v/>
      </c>
      <c r="BA791" s="1995" t="str">
        <f t="shared" si="31"/>
        <v/>
      </c>
      <c r="BB791" s="1995" t="str">
        <f t="shared" si="32"/>
        <v/>
      </c>
      <c r="BC791" s="1995" t="str">
        <f t="shared" si="33"/>
        <v/>
      </c>
      <c r="BD791" s="1995" t="str">
        <f t="shared" si="34"/>
        <v/>
      </c>
      <c r="BE791" s="1995" t="str">
        <f t="shared" si="35"/>
        <v/>
      </c>
      <c r="BF791" s="1995" t="str">
        <f t="shared" si="36"/>
        <v/>
      </c>
      <c r="BG791" s="1995" t="str">
        <f t="shared" si="37"/>
        <v/>
      </c>
      <c r="BH791" s="1995" t="str">
        <f t="shared" si="38"/>
        <v/>
      </c>
      <c r="BI791" s="1995" t="str">
        <f t="shared" si="39"/>
        <v/>
      </c>
      <c r="BJ791" s="1995" t="str">
        <f t="shared" si="40"/>
        <v/>
      </c>
      <c r="BK791" s="1995" t="str">
        <f t="shared" si="41"/>
        <v/>
      </c>
      <c r="BL791" s="1995" t="str">
        <f t="shared" si="42"/>
        <v/>
      </c>
      <c r="BM791" s="1995" t="str">
        <f t="shared" si="43"/>
        <v/>
      </c>
      <c r="BN791" s="1995" t="str">
        <f t="shared" si="44"/>
        <v/>
      </c>
      <c r="BO791" s="1995" t="str">
        <f t="shared" si="45"/>
        <v/>
      </c>
      <c r="BP791" s="1995" t="str">
        <f t="shared" si="46"/>
        <v/>
      </c>
      <c r="BQ791" s="1995" t="str">
        <f t="shared" si="47"/>
        <v/>
      </c>
      <c r="BR791" s="1995" t="str">
        <f t="shared" si="48"/>
        <v/>
      </c>
      <c r="BS791" s="1995" t="str">
        <f t="shared" si="49"/>
        <v/>
      </c>
      <c r="BT791" s="1995" t="str">
        <f t="shared" si="50"/>
        <v/>
      </c>
      <c r="BU791" s="1995" t="str">
        <f t="shared" si="51"/>
        <v/>
      </c>
      <c r="BV791" s="1995" t="str">
        <f t="shared" si="52"/>
        <v/>
      </c>
      <c r="BW791" s="1995" t="str">
        <f t="shared" si="53"/>
        <v/>
      </c>
      <c r="BX791" s="1995" t="str">
        <f t="shared" si="54"/>
        <v/>
      </c>
      <c r="BY791" s="1995" t="str">
        <f t="shared" si="55"/>
        <v/>
      </c>
      <c r="BZ791" s="1995" t="str">
        <f t="shared" si="56"/>
        <v/>
      </c>
      <c r="CA791" s="1995" t="str">
        <f t="shared" si="57"/>
        <v/>
      </c>
      <c r="CB791" s="1995" t="str">
        <f t="shared" si="58"/>
        <v/>
      </c>
      <c r="CC791" s="1995" t="str">
        <f t="shared" si="59"/>
        <v/>
      </c>
      <c r="CD791" s="1995" t="str">
        <f t="shared" si="60"/>
        <v/>
      </c>
      <c r="CE791" s="1995" t="str">
        <f t="shared" si="61"/>
        <v/>
      </c>
      <c r="CF791" s="1995" t="str">
        <f t="shared" si="62"/>
        <v/>
      </c>
      <c r="CG791" s="1995" t="str">
        <f t="shared" si="63"/>
        <v/>
      </c>
      <c r="CH791" s="1995" t="str">
        <f t="shared" si="64"/>
        <v/>
      </c>
      <c r="CI791" s="1995" t="str">
        <f t="shared" si="65"/>
        <v/>
      </c>
      <c r="CJ791" s="1995" t="str">
        <f t="shared" si="66"/>
        <v/>
      </c>
      <c r="CK791" s="1995" t="str">
        <f t="shared" si="67"/>
        <v/>
      </c>
      <c r="CL791" s="1995" t="str">
        <f t="shared" si="68"/>
        <v/>
      </c>
      <c r="CM791" s="1995" t="str">
        <f t="shared" si="69"/>
        <v/>
      </c>
      <c r="CN791" s="1995" t="str">
        <f t="shared" si="70"/>
        <v/>
      </c>
      <c r="CO791" s="1995" t="str">
        <f t="shared" si="71"/>
        <v/>
      </c>
      <c r="CP791" s="1995" t="str">
        <f t="shared" si="72"/>
        <v/>
      </c>
      <c r="CQ791" s="1995" t="str">
        <f t="shared" si="73"/>
        <v/>
      </c>
      <c r="CR791" s="1995">
        <f t="shared" si="74"/>
        <v>9</v>
      </c>
      <c r="CS791" s="1995" t="str">
        <f t="shared" si="75"/>
        <v/>
      </c>
      <c r="CT791" s="1995" t="str">
        <f t="shared" si="76"/>
        <v/>
      </c>
      <c r="CU791" s="1995" t="str">
        <f t="shared" si="77"/>
        <v/>
      </c>
      <c r="CV791" s="1995" t="str">
        <f t="shared" si="78"/>
        <v/>
      </c>
      <c r="CW791" s="1995" t="str">
        <f t="shared" si="79"/>
        <v/>
      </c>
      <c r="CX791" s="1995" t="str">
        <f t="shared" si="80"/>
        <v/>
      </c>
      <c r="CY791" s="1995" t="str">
        <f t="shared" si="81"/>
        <v/>
      </c>
      <c r="CZ791" s="1995" t="str">
        <f t="shared" si="82"/>
        <v/>
      </c>
      <c r="DA791" s="1995" t="str">
        <f t="shared" si="83"/>
        <v/>
      </c>
      <c r="DB791" s="1995" t="str">
        <f t="shared" si="84"/>
        <v/>
      </c>
      <c r="DC791" s="1995" t="str">
        <f t="shared" si="85"/>
        <v/>
      </c>
      <c r="DD791" s="1995" t="str">
        <f t="shared" si="86"/>
        <v/>
      </c>
      <c r="DE791" s="1995" t="str">
        <f t="shared" si="87"/>
        <v/>
      </c>
      <c r="DF791" s="1995" t="str">
        <f t="shared" si="88"/>
        <v/>
      </c>
      <c r="DG791" s="1995" t="str">
        <f t="shared" si="89"/>
        <v/>
      </c>
      <c r="DH791" s="1995" t="str">
        <f t="shared" si="90"/>
        <v/>
      </c>
      <c r="DI791" s="1995" t="str">
        <f t="shared" si="91"/>
        <v/>
      </c>
      <c r="DJ791" s="1995" t="str">
        <f t="shared" si="92"/>
        <v/>
      </c>
      <c r="DK791" s="1995" t="str">
        <f t="shared" si="93"/>
        <v/>
      </c>
      <c r="DL791" s="1995" t="str">
        <f t="shared" si="94"/>
        <v/>
      </c>
      <c r="DM791" s="1995" t="str">
        <f t="shared" si="95"/>
        <v/>
      </c>
      <c r="DN791" s="1995" t="str">
        <f t="shared" si="96"/>
        <v/>
      </c>
      <c r="DO791" s="1995" t="str">
        <f t="shared" si="97"/>
        <v/>
      </c>
      <c r="DP791" s="1995" t="str">
        <f t="shared" si="98"/>
        <v/>
      </c>
      <c r="DQ791" s="1995" t="str">
        <f t="shared" si="99"/>
        <v/>
      </c>
      <c r="DR791" s="1995" t="str">
        <f t="shared" si="100"/>
        <v/>
      </c>
      <c r="DS791" s="1995" t="str">
        <f t="shared" si="101"/>
        <v/>
      </c>
      <c r="DT791" s="1995" t="str">
        <f t="shared" si="102"/>
        <v/>
      </c>
      <c r="DU791" s="1995" t="str">
        <f t="shared" si="103"/>
        <v/>
      </c>
      <c r="DV791" s="1995" t="str">
        <f t="shared" si="104"/>
        <v/>
      </c>
      <c r="DW791" s="1995" t="str">
        <f t="shared" si="105"/>
        <v/>
      </c>
      <c r="DX791" s="1995" t="str">
        <f t="shared" si="106"/>
        <v/>
      </c>
      <c r="DY791" s="1995" t="str">
        <f t="shared" si="107"/>
        <v/>
      </c>
      <c r="DZ791" s="1995" t="str">
        <f t="shared" si="108"/>
        <v/>
      </c>
      <c r="EA791" s="1995" t="str">
        <f t="shared" si="109"/>
        <v/>
      </c>
      <c r="EB791" s="1995" t="str">
        <f t="shared" si="110"/>
        <v/>
      </c>
      <c r="EC791" s="1995" t="str">
        <f t="shared" si="111"/>
        <v/>
      </c>
      <c r="ED791" s="1995" t="str">
        <f t="shared" si="112"/>
        <v/>
      </c>
      <c r="EE791" s="1995" t="str">
        <f t="shared" si="113"/>
        <v/>
      </c>
      <c r="EF791" s="1995" t="str">
        <f t="shared" si="114"/>
        <v/>
      </c>
      <c r="EG791" s="1995" t="str">
        <f t="shared" si="115"/>
        <v/>
      </c>
      <c r="EH791" s="1995" t="str">
        <f t="shared" si="116"/>
        <v/>
      </c>
      <c r="EI791" s="1995" t="str">
        <f t="shared" si="117"/>
        <v/>
      </c>
      <c r="EJ791" s="1995" t="str">
        <f t="shared" si="118"/>
        <v/>
      </c>
      <c r="EK791" s="1995">
        <f t="shared" si="119"/>
        <v>9000</v>
      </c>
      <c r="EL791" s="1995" t="str">
        <f t="shared" si="120"/>
        <v/>
      </c>
      <c r="EM791" s="1995" t="str">
        <f t="shared" si="121"/>
        <v/>
      </c>
      <c r="EN791" s="1995" t="str">
        <f t="shared" si="122"/>
        <v/>
      </c>
      <c r="EO791" s="1995" t="str">
        <f t="shared" si="123"/>
        <v/>
      </c>
      <c r="EP791" s="1995" t="str">
        <f t="shared" si="124"/>
        <v/>
      </c>
      <c r="EQ791" s="1995" t="str">
        <f t="shared" si="125"/>
        <v/>
      </c>
      <c r="ER791" s="1995" t="str">
        <f t="shared" si="126"/>
        <v/>
      </c>
      <c r="ES791" s="1995" t="str">
        <f t="shared" si="127"/>
        <v/>
      </c>
      <c r="ET791" s="1995" t="str">
        <f t="shared" si="128"/>
        <v/>
      </c>
      <c r="EU791" s="1995" t="str">
        <f t="shared" si="129"/>
        <v/>
      </c>
      <c r="EV791" s="1995" t="str">
        <f t="shared" si="130"/>
        <v/>
      </c>
      <c r="EW791" s="1995" t="str">
        <f t="shared" si="131"/>
        <v/>
      </c>
      <c r="EX791" s="1995" t="str">
        <f t="shared" si="132"/>
        <v/>
      </c>
      <c r="EY791" s="1995" t="str">
        <f t="shared" si="133"/>
        <v/>
      </c>
      <c r="EZ791" s="1995" t="str">
        <f t="shared" si="134"/>
        <v/>
      </c>
      <c r="FA791" s="1995" t="str">
        <f t="shared" si="135"/>
        <v/>
      </c>
      <c r="FB791" s="1995" t="str">
        <f t="shared" si="136"/>
        <v/>
      </c>
      <c r="FC791" s="1995" t="str">
        <f t="shared" si="137"/>
        <v/>
      </c>
      <c r="FD791" s="1995" t="str">
        <f t="shared" si="138"/>
        <v/>
      </c>
      <c r="FE791" s="1995" t="str">
        <f t="shared" si="139"/>
        <v/>
      </c>
      <c r="FF791" s="1995" t="str">
        <f t="shared" si="140"/>
        <v/>
      </c>
      <c r="FG791" s="1995" t="str">
        <f t="shared" si="141"/>
        <v/>
      </c>
      <c r="FH791" s="1995" t="str">
        <f t="shared" si="142"/>
        <v/>
      </c>
      <c r="FI791" s="1995" t="str">
        <f t="shared" si="143"/>
        <v/>
      </c>
      <c r="FJ791" s="1995" t="str">
        <f t="shared" si="144"/>
        <v/>
      </c>
      <c r="FK791" s="1995" t="str">
        <f t="shared" si="145"/>
        <v/>
      </c>
      <c r="FL791" s="1995" t="str">
        <f t="shared" si="146"/>
        <v/>
      </c>
      <c r="FM791" s="1995" t="str">
        <f t="shared" si="147"/>
        <v/>
      </c>
      <c r="FN791" s="1995" t="str">
        <f t="shared" si="148"/>
        <v/>
      </c>
      <c r="FO791" s="1995" t="str">
        <f t="shared" si="149"/>
        <v/>
      </c>
      <c r="FP791" s="1995" t="str">
        <f t="shared" si="150"/>
        <v/>
      </c>
      <c r="FQ791" s="1995" t="str">
        <f t="shared" si="151"/>
        <v/>
      </c>
      <c r="FR791" s="1995" t="str">
        <f t="shared" si="152"/>
        <v/>
      </c>
      <c r="FS791" s="1995" t="str">
        <f t="shared" si="153"/>
        <v/>
      </c>
      <c r="FT791" s="1995" t="str">
        <f t="shared" si="154"/>
        <v/>
      </c>
      <c r="FU791" s="1995" t="str">
        <f t="shared" si="155"/>
        <v/>
      </c>
      <c r="FV791" s="1995" t="str">
        <f t="shared" si="156"/>
        <v/>
      </c>
      <c r="FW791" s="1995" t="str">
        <f t="shared" si="157"/>
        <v/>
      </c>
      <c r="FX791" s="1995" t="str">
        <f t="shared" si="158"/>
        <v/>
      </c>
      <c r="FY791" s="1995" t="str">
        <f t="shared" si="159"/>
        <v/>
      </c>
      <c r="FZ791" s="1995" t="str">
        <f t="shared" si="160"/>
        <v/>
      </c>
      <c r="GA791" s="1995" t="str">
        <f t="shared" si="161"/>
        <v/>
      </c>
      <c r="GB791" s="1995" t="str">
        <f t="shared" si="162"/>
        <v/>
      </c>
      <c r="GC791" s="1995" t="str">
        <f t="shared" si="163"/>
        <v/>
      </c>
      <c r="GD791" s="1995" t="str">
        <f t="shared" si="164"/>
        <v/>
      </c>
      <c r="GE791" s="1995" t="str">
        <f t="shared" si="165"/>
        <v/>
      </c>
      <c r="GF791" s="1995" t="str">
        <f t="shared" si="166"/>
        <v/>
      </c>
      <c r="GG791" s="1995" t="str">
        <f t="shared" si="167"/>
        <v/>
      </c>
      <c r="GH791" s="1995" t="str">
        <f t="shared" si="168"/>
        <v/>
      </c>
      <c r="GI791" s="1995">
        <f t="shared" si="169"/>
        <v>9</v>
      </c>
      <c r="GJ791" s="1995" t="str">
        <f t="shared" si="170"/>
        <v/>
      </c>
      <c r="GK791" s="1995" t="str">
        <f t="shared" si="171"/>
        <v/>
      </c>
      <c r="GL791" s="1995" t="str">
        <f t="shared" si="172"/>
        <v/>
      </c>
      <c r="GM791" s="1995" t="str">
        <f t="shared" si="173"/>
        <v/>
      </c>
      <c r="GN791" s="1995" t="str">
        <f t="shared" si="174"/>
        <v/>
      </c>
      <c r="GO791" s="1995" t="str">
        <f t="shared" si="175"/>
        <v/>
      </c>
      <c r="GP791" s="1995" t="str">
        <f t="shared" si="176"/>
        <v/>
      </c>
      <c r="GQ791" s="1995" t="str">
        <f t="shared" si="177"/>
        <v/>
      </c>
      <c r="GR791" s="1995" t="str">
        <f t="shared" si="178"/>
        <v/>
      </c>
      <c r="GS791" s="1995" t="str">
        <f t="shared" si="179"/>
        <v/>
      </c>
      <c r="GT791" s="1995" t="str">
        <f t="shared" si="180"/>
        <v/>
      </c>
      <c r="GU791" s="1995" t="str">
        <f t="shared" si="181"/>
        <v/>
      </c>
      <c r="GV791" s="1995" t="str">
        <f t="shared" si="182"/>
        <v/>
      </c>
      <c r="GW791" s="1995" t="str">
        <f t="shared" si="183"/>
        <v/>
      </c>
      <c r="GX791" s="1995" t="str">
        <f t="shared" si="184"/>
        <v/>
      </c>
      <c r="GY791" s="1995" t="str">
        <f t="shared" si="185"/>
        <v/>
      </c>
      <c r="GZ791" s="1995" t="str">
        <f t="shared" si="186"/>
        <v/>
      </c>
      <c r="HA791" s="1995" t="str">
        <f t="shared" si="187"/>
        <v/>
      </c>
      <c r="HB791" s="1995" t="str">
        <f t="shared" si="188"/>
        <v/>
      </c>
      <c r="HC791" s="1995" t="str">
        <f t="shared" si="189"/>
        <v/>
      </c>
      <c r="HD791" s="1995" t="str">
        <f t="shared" si="190"/>
        <v/>
      </c>
      <c r="HE791" s="1995" t="str">
        <f t="shared" si="191"/>
        <v/>
      </c>
      <c r="HF791" s="1995" t="str">
        <f t="shared" si="192"/>
        <v/>
      </c>
      <c r="HG791" s="1995" t="str">
        <f t="shared" si="193"/>
        <v/>
      </c>
      <c r="HH791" s="1995" t="str">
        <f t="shared" si="194"/>
        <v/>
      </c>
      <c r="HI791" s="1995" t="str">
        <f t="shared" si="195"/>
        <v/>
      </c>
      <c r="HJ791" s="1995" t="str">
        <f t="shared" si="196"/>
        <v/>
      </c>
      <c r="HK791" s="1995" t="str">
        <f t="shared" si="197"/>
        <v/>
      </c>
      <c r="HL791" s="1995" t="str">
        <f t="shared" si="198"/>
        <v/>
      </c>
      <c r="HM791" s="1995" t="str">
        <f t="shared" si="199"/>
        <v/>
      </c>
      <c r="HN791" s="1995" t="str">
        <f t="shared" si="200"/>
        <v/>
      </c>
      <c r="HO791" s="1995" t="str">
        <f t="shared" si="201"/>
        <v/>
      </c>
      <c r="HP791" s="1995" t="str">
        <f t="shared" si="202"/>
        <v/>
      </c>
      <c r="HQ791" s="1995" t="str">
        <f t="shared" si="203"/>
        <v/>
      </c>
      <c r="HR791" s="1995" t="str">
        <f t="shared" si="204"/>
        <v/>
      </c>
      <c r="HS791" s="1995" t="str">
        <f t="shared" si="205"/>
        <v/>
      </c>
      <c r="HT791" s="1995" t="str">
        <f t="shared" si="206"/>
        <v/>
      </c>
      <c r="HU791" s="1995" t="str">
        <f t="shared" si="207"/>
        <v/>
      </c>
      <c r="HV791" s="1995" t="str">
        <f t="shared" si="208"/>
        <v/>
      </c>
      <c r="HW791" s="1995" t="str">
        <f t="shared" si="209"/>
        <v/>
      </c>
      <c r="HX791" s="1995" t="str">
        <f t="shared" si="210"/>
        <v/>
      </c>
      <c r="HY791" s="1995" t="str">
        <f t="shared" si="211"/>
        <v/>
      </c>
      <c r="HZ791" s="1900" t="str">
        <f t="shared" si="212"/>
        <v/>
      </c>
      <c r="IA791" s="1900" t="str">
        <f t="shared" si="213"/>
        <v/>
      </c>
      <c r="IB791" s="1900">
        <f t="shared" si="214"/>
        <v>9</v>
      </c>
      <c r="IC791" s="1900" t="str">
        <f t="shared" si="215"/>
        <v/>
      </c>
      <c r="ID791" s="1900" t="str">
        <f t="shared" si="216"/>
        <v/>
      </c>
      <c r="IE791" s="1900" t="str">
        <f t="shared" si="217"/>
        <v/>
      </c>
      <c r="IF791" s="1900" t="str">
        <f t="shared" si="218"/>
        <v/>
      </c>
      <c r="IG791" s="1900" t="str">
        <f t="shared" si="219"/>
        <v/>
      </c>
      <c r="IH791" s="1900" t="str">
        <f t="shared" si="220"/>
        <v/>
      </c>
      <c r="II791" s="1900" t="str">
        <f t="shared" si="221"/>
        <v/>
      </c>
      <c r="IJ791" s="1900" t="str">
        <f t="shared" si="222"/>
        <v/>
      </c>
      <c r="IK791" s="1900" t="str">
        <f t="shared" si="223"/>
        <v/>
      </c>
      <c r="IL791" s="1900" t="str">
        <f t="shared" si="224"/>
        <v/>
      </c>
      <c r="IM791" s="1900" t="str">
        <f t="shared" si="225"/>
        <v/>
      </c>
      <c r="IN791" s="1900" t="str">
        <f t="shared" si="226"/>
        <v/>
      </c>
      <c r="IO791" s="1900" t="str">
        <f t="shared" si="227"/>
        <v/>
      </c>
      <c r="IP791" s="1900" t="str">
        <f t="shared" si="228"/>
        <v/>
      </c>
      <c r="IQ791" s="1900" t="str">
        <f t="shared" si="229"/>
        <v/>
      </c>
      <c r="IR791" s="1900" t="str">
        <f t="shared" si="230"/>
        <v/>
      </c>
      <c r="IS791" s="1900" t="str">
        <f t="shared" si="231"/>
        <v/>
      </c>
      <c r="IT791" s="1900" t="str">
        <f t="shared" si="232"/>
        <v/>
      </c>
      <c r="IU791" s="1900" t="str">
        <f t="shared" si="233"/>
        <v/>
      </c>
      <c r="IV791" s="1900" t="str">
        <f t="shared" si="234"/>
        <v/>
      </c>
      <c r="IW791" s="1900" t="str">
        <f t="shared" si="235"/>
        <v/>
      </c>
      <c r="IX791" s="1900" t="str">
        <f t="shared" si="236"/>
        <v/>
      </c>
      <c r="IY791" s="1900" t="str">
        <f t="shared" si="237"/>
        <v/>
      </c>
      <c r="IZ791" s="1900" t="str">
        <f t="shared" si="238"/>
        <v/>
      </c>
      <c r="JA791" s="1900" t="str">
        <f t="shared" si="239"/>
        <v/>
      </c>
      <c r="JB791" s="1900" t="str">
        <f t="shared" si="240"/>
        <v/>
      </c>
      <c r="JC791" s="1900" t="str">
        <f t="shared" si="241"/>
        <v/>
      </c>
      <c r="JD791" s="1900" t="str">
        <f t="shared" si="242"/>
        <v/>
      </c>
      <c r="JE791" s="1900" t="str">
        <f t="shared" si="243"/>
        <v/>
      </c>
      <c r="JF791" s="1900" t="str">
        <f t="shared" si="244"/>
        <v/>
      </c>
      <c r="JG791" s="1900" t="str">
        <f t="shared" si="245"/>
        <v/>
      </c>
      <c r="JH791" s="1900" t="str">
        <f t="shared" si="246"/>
        <v/>
      </c>
      <c r="JI791" s="1900" t="str">
        <f t="shared" si="247"/>
        <v/>
      </c>
      <c r="JJ791" s="1900" t="str">
        <f t="shared" si="248"/>
        <v/>
      </c>
      <c r="JK791" s="1900" t="str">
        <f t="shared" si="249"/>
        <v/>
      </c>
      <c r="JL791" s="1900" t="str">
        <f t="shared" si="250"/>
        <v/>
      </c>
      <c r="JM791" s="1900" t="str">
        <f t="shared" si="251"/>
        <v/>
      </c>
      <c r="JN791" s="1900" t="str">
        <f t="shared" si="252"/>
        <v/>
      </c>
      <c r="JO791" s="1900" t="str">
        <f t="shared" si="253"/>
        <v/>
      </c>
      <c r="JP791" s="1900" t="str">
        <f t="shared" si="254"/>
        <v/>
      </c>
      <c r="JQ791" s="1900" t="str">
        <f t="shared" si="255"/>
        <v/>
      </c>
      <c r="JR791" s="1900" t="str">
        <f t="shared" si="256"/>
        <v/>
      </c>
      <c r="JS791" s="1900" t="str">
        <f t="shared" si="257"/>
        <v/>
      </c>
      <c r="JT791" s="1900" t="str">
        <f t="shared" si="258"/>
        <v/>
      </c>
      <c r="JU791" s="1900" t="str">
        <f t="shared" si="259"/>
        <v/>
      </c>
      <c r="JV791" s="1900" t="str">
        <f t="shared" si="260"/>
        <v/>
      </c>
      <c r="JW791" s="1900" t="str">
        <f t="shared" si="261"/>
        <v/>
      </c>
      <c r="JX791" s="1900" t="str">
        <f t="shared" si="262"/>
        <v/>
      </c>
      <c r="JY791" s="1900" t="str">
        <f t="shared" si="263"/>
        <v/>
      </c>
      <c r="JZ791" s="1900" t="str">
        <f t="shared" si="264"/>
        <v/>
      </c>
      <c r="KA791" s="1900" t="str">
        <f t="shared" si="265"/>
        <v/>
      </c>
      <c r="KB791" s="1900" t="str">
        <f t="shared" si="266"/>
        <v/>
      </c>
      <c r="KC791" s="1900" t="str">
        <f t="shared" si="267"/>
        <v/>
      </c>
      <c r="KD791" s="1900" t="str">
        <f t="shared" si="268"/>
        <v/>
      </c>
      <c r="KE791" s="1900" t="str">
        <f t="shared" si="269"/>
        <v/>
      </c>
      <c r="KF791" s="1900" t="str">
        <f t="shared" si="270"/>
        <v/>
      </c>
      <c r="KG791" s="1900" t="str">
        <f t="shared" si="271"/>
        <v/>
      </c>
      <c r="KH791" s="1900" t="str">
        <f t="shared" si="272"/>
        <v/>
      </c>
      <c r="KI791" s="1900" t="str">
        <f t="shared" si="273"/>
        <v/>
      </c>
      <c r="KJ791" s="1900" t="str">
        <f t="shared" si="274"/>
        <v/>
      </c>
      <c r="KK791" s="1900" t="str">
        <f t="shared" si="275"/>
        <v/>
      </c>
      <c r="KL791" s="1900" t="str">
        <f t="shared" si="276"/>
        <v/>
      </c>
      <c r="KM791" s="1900" t="str">
        <f t="shared" si="277"/>
        <v/>
      </c>
      <c r="KN791" s="1900" t="str">
        <f t="shared" si="278"/>
        <v/>
      </c>
      <c r="KO791" s="1900" t="str">
        <f t="shared" si="279"/>
        <v/>
      </c>
      <c r="KP791" s="1900" t="str">
        <f t="shared" si="280"/>
        <v/>
      </c>
      <c r="KQ791" s="1900" t="str">
        <f t="shared" si="281"/>
        <v/>
      </c>
      <c r="KR791" s="1900" t="str">
        <f t="shared" si="282"/>
        <v/>
      </c>
      <c r="KS791" s="1900" t="str">
        <f t="shared" si="283"/>
        <v/>
      </c>
      <c r="KT791" s="1900" t="str">
        <f t="shared" si="284"/>
        <v/>
      </c>
      <c r="KU791" s="1900" t="str">
        <f t="shared" si="285"/>
        <v/>
      </c>
      <c r="KV791" s="1900" t="str">
        <f t="shared" si="286"/>
        <v/>
      </c>
      <c r="KW791" s="1900" t="str">
        <f t="shared" si="287"/>
        <v/>
      </c>
      <c r="KX791" s="1900" t="str">
        <f t="shared" si="288"/>
        <v/>
      </c>
      <c r="KY791" s="1900" t="str">
        <f t="shared" si="289"/>
        <v/>
      </c>
      <c r="KZ791" s="1900" t="str">
        <f t="shared" si="290"/>
        <v/>
      </c>
      <c r="LA791" s="1900" t="str">
        <f t="shared" si="291"/>
        <v/>
      </c>
      <c r="LB791" s="1900" t="str">
        <f t="shared" si="292"/>
        <v/>
      </c>
      <c r="LC791" s="1900" t="str">
        <f t="shared" si="293"/>
        <v/>
      </c>
      <c r="LD791" s="1900" t="str">
        <f t="shared" si="294"/>
        <v/>
      </c>
      <c r="LE791" s="1900" t="str">
        <f t="shared" si="295"/>
        <v/>
      </c>
      <c r="LF791" s="1900" t="str">
        <f t="shared" si="296"/>
        <v/>
      </c>
      <c r="LG791" s="1900" t="str">
        <f t="shared" si="297"/>
        <v/>
      </c>
      <c r="LH791" s="1900" t="str">
        <f t="shared" si="298"/>
        <v/>
      </c>
      <c r="LI791" s="1900">
        <f t="shared" si="299"/>
        <v>9</v>
      </c>
      <c r="LJ791" s="1900" t="str">
        <f t="shared" si="300"/>
        <v/>
      </c>
      <c r="LK791" s="1900" t="str">
        <f t="shared" si="301"/>
        <v/>
      </c>
      <c r="LL791" s="1900" t="str">
        <f t="shared" si="302"/>
        <v/>
      </c>
      <c r="LM791" s="1900" t="str">
        <f t="shared" si="303"/>
        <v/>
      </c>
      <c r="LN791" s="1900" t="str">
        <f t="shared" si="304"/>
        <v/>
      </c>
      <c r="LO791" s="1900" t="str">
        <f t="shared" si="305"/>
        <v/>
      </c>
      <c r="LP791" s="1900" t="str">
        <f t="shared" si="306"/>
        <v/>
      </c>
      <c r="LQ791" s="1874" t="str">
        <f t="shared" si="307"/>
        <v/>
      </c>
      <c r="LR791" s="1874" t="str">
        <f t="shared" si="308"/>
        <v/>
      </c>
      <c r="LS791" s="1874" t="str">
        <f t="shared" si="309"/>
        <v/>
      </c>
      <c r="LT791" s="1874" t="str">
        <f t="shared" si="310"/>
        <v/>
      </c>
      <c r="LU791" s="1874" t="str">
        <f t="shared" si="311"/>
        <v/>
      </c>
      <c r="LV791" s="1995" t="str">
        <f t="shared" si="312"/>
        <v/>
      </c>
      <c r="LW791" s="1995" t="str">
        <f t="shared" si="313"/>
        <v/>
      </c>
      <c r="LX791" s="1995" t="str">
        <f t="shared" si="314"/>
        <v/>
      </c>
      <c r="LY791" s="1995" t="str">
        <f t="shared" si="315"/>
        <v/>
      </c>
      <c r="LZ791" s="1995" t="str">
        <f t="shared" si="316"/>
        <v/>
      </c>
      <c r="MA791" s="1995" t="str">
        <f t="shared" si="317"/>
        <v/>
      </c>
      <c r="MB791" s="1995" t="str">
        <f t="shared" si="318"/>
        <v/>
      </c>
      <c r="MC791" s="1995" t="str">
        <f t="shared" si="319"/>
        <v/>
      </c>
      <c r="MD791" s="1995" t="str">
        <f t="shared" si="320"/>
        <v/>
      </c>
      <c r="ME791" s="1995" t="str">
        <f t="shared" si="321"/>
        <v/>
      </c>
      <c r="MF791" s="1995" t="str">
        <f t="shared" si="322"/>
        <v/>
      </c>
      <c r="MG791" s="1995" t="str">
        <f t="shared" si="323"/>
        <v/>
      </c>
      <c r="MH791" s="1995" t="str">
        <f t="shared" si="324"/>
        <v/>
      </c>
      <c r="MI791" s="1995" t="str">
        <f t="shared" si="325"/>
        <v/>
      </c>
      <c r="MJ791" s="1995" t="str">
        <f t="shared" si="326"/>
        <v/>
      </c>
      <c r="MK791" s="1995" t="str">
        <f t="shared" si="327"/>
        <v/>
      </c>
      <c r="ML791" s="1995" t="str">
        <f t="shared" si="328"/>
        <v/>
      </c>
      <c r="MM791" s="1995" t="str">
        <f t="shared" si="329"/>
        <v/>
      </c>
      <c r="MN791" s="1995" t="str">
        <f t="shared" si="330"/>
        <v/>
      </c>
      <c r="MO791" s="1995" t="str">
        <f t="shared" si="331"/>
        <v/>
      </c>
      <c r="MP791" s="1874">
        <f t="shared" si="338"/>
        <v>0</v>
      </c>
      <c r="MQ791" s="1874">
        <f t="shared" si="339"/>
        <v>0</v>
      </c>
      <c r="MR791" s="1874">
        <f t="shared" si="340"/>
        <v>0</v>
      </c>
      <c r="MS791" s="1874">
        <f t="shared" si="341"/>
        <v>0</v>
      </c>
      <c r="MT791" s="1874">
        <f t="shared" si="342"/>
        <v>0</v>
      </c>
      <c r="MU791" s="1874">
        <f t="shared" si="343"/>
        <v>0</v>
      </c>
      <c r="MV791" s="1874">
        <f t="shared" si="344"/>
        <v>0</v>
      </c>
      <c r="MW791" s="1874">
        <f t="shared" si="345"/>
        <v>9</v>
      </c>
      <c r="MX791" s="1874">
        <f t="shared" si="346"/>
        <v>0</v>
      </c>
      <c r="MY791" s="1874">
        <f t="shared" si="347"/>
        <v>0</v>
      </c>
      <c r="MZ791" s="1874">
        <f t="shared" si="332"/>
        <v>0</v>
      </c>
      <c r="NA791" s="1874">
        <f t="shared" si="333"/>
        <v>0</v>
      </c>
      <c r="NB791" s="1874">
        <f t="shared" si="334"/>
        <v>0</v>
      </c>
      <c r="NC791" s="1874">
        <f t="shared" si="335"/>
        <v>0</v>
      </c>
      <c r="ND791" s="1874">
        <f t="shared" si="336"/>
        <v>0</v>
      </c>
    </row>
    <row r="792" spans="1:368" ht="13.95" customHeight="1">
      <c r="A792" s="1896" t="str">
        <f t="shared" si="337"/>
        <v/>
      </c>
      <c r="B792" s="2212">
        <f>'Part VI-Revenues &amp; Expenses'!B23</f>
        <v>0</v>
      </c>
      <c r="C792" s="2213">
        <f>'Part VI-Revenues &amp; Expenses'!C23</f>
        <v>0</v>
      </c>
      <c r="D792" s="2214">
        <f>'Part VI-Revenues &amp; Expenses'!D23</f>
        <v>0</v>
      </c>
      <c r="E792" s="2215">
        <f>'Part VI-Revenues &amp; Expenses'!E23</f>
        <v>0</v>
      </c>
      <c r="F792" s="2215">
        <f>'Part VI-Revenues &amp; Expenses'!F23</f>
        <v>0</v>
      </c>
      <c r="G792" s="2215">
        <f>'Part VI-Revenues &amp; Expenses'!G23</f>
        <v>0</v>
      </c>
      <c r="H792" s="2215">
        <f>'Part VI-Revenues &amp; Expenses'!H23</f>
        <v>0</v>
      </c>
      <c r="I792" s="2215">
        <f>'Part VI-Revenues &amp; Expenses'!I23</f>
        <v>0</v>
      </c>
      <c r="J792" s="2215">
        <f>'Part VI-Revenues &amp; Expenses'!J23</f>
        <v>0</v>
      </c>
      <c r="K792" s="2216">
        <f>'Part VI-Revenues &amp; Expenses'!K23</f>
        <v>0</v>
      </c>
      <c r="L792" s="1899">
        <f t="shared" si="0"/>
        <v>0</v>
      </c>
      <c r="M792" s="1899">
        <f t="shared" si="1"/>
        <v>0</v>
      </c>
      <c r="N792" s="2074">
        <f>'Part VI-Revenues &amp; Expenses'!N23</f>
        <v>0</v>
      </c>
      <c r="O792" s="2074">
        <f>'Part VI-Revenues &amp; Expenses'!O23</f>
        <v>0</v>
      </c>
      <c r="P792" s="2074">
        <f>'Part VI-Revenues &amp; Expenses'!P23</f>
        <v>0</v>
      </c>
      <c r="Q792" s="1732">
        <f>'Part VI-Revenues &amp; Expenses'!Q23</f>
        <v>0</v>
      </c>
      <c r="R792" s="1926"/>
      <c r="S792" s="2148"/>
      <c r="T792" s="1910"/>
      <c r="U792" s="1910"/>
      <c r="V792" s="1910"/>
      <c r="W792" s="1910"/>
      <c r="X792" s="1995" t="str">
        <f t="shared" si="2"/>
        <v/>
      </c>
      <c r="Y792" s="1995" t="str">
        <f t="shared" si="3"/>
        <v/>
      </c>
      <c r="Z792" s="1995" t="str">
        <f t="shared" si="4"/>
        <v/>
      </c>
      <c r="AA792" s="1995" t="str">
        <f t="shared" si="5"/>
        <v/>
      </c>
      <c r="AB792" s="1995" t="str">
        <f t="shared" si="6"/>
        <v/>
      </c>
      <c r="AC792" s="1995" t="str">
        <f t="shared" si="7"/>
        <v/>
      </c>
      <c r="AD792" s="1995" t="str">
        <f t="shared" si="8"/>
        <v/>
      </c>
      <c r="AE792" s="1995" t="str">
        <f t="shared" si="9"/>
        <v/>
      </c>
      <c r="AF792" s="1995" t="str">
        <f t="shared" si="10"/>
        <v/>
      </c>
      <c r="AG792" s="1995" t="str">
        <f t="shared" si="11"/>
        <v/>
      </c>
      <c r="AH792" s="1995" t="str">
        <f t="shared" si="12"/>
        <v/>
      </c>
      <c r="AI792" s="1995" t="str">
        <f t="shared" si="13"/>
        <v/>
      </c>
      <c r="AJ792" s="1995" t="str">
        <f t="shared" si="14"/>
        <v/>
      </c>
      <c r="AK792" s="1995" t="str">
        <f t="shared" si="15"/>
        <v/>
      </c>
      <c r="AL792" s="1995" t="str">
        <f t="shared" si="16"/>
        <v/>
      </c>
      <c r="AM792" s="1995" t="str">
        <f t="shared" si="17"/>
        <v/>
      </c>
      <c r="AN792" s="1995" t="str">
        <f t="shared" si="18"/>
        <v/>
      </c>
      <c r="AO792" s="1995" t="str">
        <f t="shared" si="19"/>
        <v/>
      </c>
      <c r="AP792" s="1995" t="str">
        <f t="shared" si="20"/>
        <v/>
      </c>
      <c r="AQ792" s="1995" t="str">
        <f t="shared" si="21"/>
        <v/>
      </c>
      <c r="AR792" s="1995" t="str">
        <f t="shared" si="22"/>
        <v/>
      </c>
      <c r="AS792" s="1995" t="str">
        <f t="shared" si="23"/>
        <v/>
      </c>
      <c r="AT792" s="1995" t="str">
        <f t="shared" si="24"/>
        <v/>
      </c>
      <c r="AU792" s="1995" t="str">
        <f t="shared" si="25"/>
        <v/>
      </c>
      <c r="AV792" s="1995" t="str">
        <f t="shared" si="26"/>
        <v/>
      </c>
      <c r="AW792" s="1995" t="str">
        <f t="shared" si="27"/>
        <v/>
      </c>
      <c r="AX792" s="1995" t="str">
        <f t="shared" si="28"/>
        <v/>
      </c>
      <c r="AY792" s="1995" t="str">
        <f t="shared" si="29"/>
        <v/>
      </c>
      <c r="AZ792" s="1995" t="str">
        <f t="shared" si="30"/>
        <v/>
      </c>
      <c r="BA792" s="1995" t="str">
        <f t="shared" si="31"/>
        <v/>
      </c>
      <c r="BB792" s="1995" t="str">
        <f t="shared" si="32"/>
        <v/>
      </c>
      <c r="BC792" s="1995" t="str">
        <f t="shared" si="33"/>
        <v/>
      </c>
      <c r="BD792" s="1995" t="str">
        <f t="shared" si="34"/>
        <v/>
      </c>
      <c r="BE792" s="1995" t="str">
        <f t="shared" si="35"/>
        <v/>
      </c>
      <c r="BF792" s="1995" t="str">
        <f t="shared" si="36"/>
        <v/>
      </c>
      <c r="BG792" s="1995" t="str">
        <f t="shared" si="37"/>
        <v/>
      </c>
      <c r="BH792" s="1995" t="str">
        <f t="shared" si="38"/>
        <v/>
      </c>
      <c r="BI792" s="1995" t="str">
        <f t="shared" si="39"/>
        <v/>
      </c>
      <c r="BJ792" s="1995" t="str">
        <f t="shared" si="40"/>
        <v/>
      </c>
      <c r="BK792" s="1995" t="str">
        <f t="shared" si="41"/>
        <v/>
      </c>
      <c r="BL792" s="1995" t="str">
        <f t="shared" si="42"/>
        <v/>
      </c>
      <c r="BM792" s="1995" t="str">
        <f t="shared" si="43"/>
        <v/>
      </c>
      <c r="BN792" s="1995" t="str">
        <f t="shared" si="44"/>
        <v/>
      </c>
      <c r="BO792" s="1995" t="str">
        <f t="shared" si="45"/>
        <v/>
      </c>
      <c r="BP792" s="1995" t="str">
        <f t="shared" si="46"/>
        <v/>
      </c>
      <c r="BQ792" s="1995" t="str">
        <f t="shared" si="47"/>
        <v/>
      </c>
      <c r="BR792" s="1995" t="str">
        <f t="shared" si="48"/>
        <v/>
      </c>
      <c r="BS792" s="1995" t="str">
        <f t="shared" si="49"/>
        <v/>
      </c>
      <c r="BT792" s="1995" t="str">
        <f t="shared" si="50"/>
        <v/>
      </c>
      <c r="BU792" s="1995" t="str">
        <f t="shared" si="51"/>
        <v/>
      </c>
      <c r="BV792" s="1995" t="str">
        <f t="shared" si="52"/>
        <v/>
      </c>
      <c r="BW792" s="1995" t="str">
        <f t="shared" si="53"/>
        <v/>
      </c>
      <c r="BX792" s="1995" t="str">
        <f t="shared" si="54"/>
        <v/>
      </c>
      <c r="BY792" s="1995" t="str">
        <f t="shared" si="55"/>
        <v/>
      </c>
      <c r="BZ792" s="1995" t="str">
        <f t="shared" si="56"/>
        <v/>
      </c>
      <c r="CA792" s="1995" t="str">
        <f t="shared" si="57"/>
        <v/>
      </c>
      <c r="CB792" s="1995" t="str">
        <f t="shared" si="58"/>
        <v/>
      </c>
      <c r="CC792" s="1995" t="str">
        <f t="shared" si="59"/>
        <v/>
      </c>
      <c r="CD792" s="1995" t="str">
        <f t="shared" si="60"/>
        <v/>
      </c>
      <c r="CE792" s="1995" t="str">
        <f t="shared" si="61"/>
        <v/>
      </c>
      <c r="CF792" s="1995" t="str">
        <f t="shared" si="62"/>
        <v/>
      </c>
      <c r="CG792" s="1995" t="str">
        <f t="shared" si="63"/>
        <v/>
      </c>
      <c r="CH792" s="1995" t="str">
        <f t="shared" si="64"/>
        <v/>
      </c>
      <c r="CI792" s="1995" t="str">
        <f t="shared" si="65"/>
        <v/>
      </c>
      <c r="CJ792" s="1995" t="str">
        <f t="shared" si="66"/>
        <v/>
      </c>
      <c r="CK792" s="1995" t="str">
        <f t="shared" si="67"/>
        <v/>
      </c>
      <c r="CL792" s="1995" t="str">
        <f t="shared" si="68"/>
        <v/>
      </c>
      <c r="CM792" s="1995" t="str">
        <f t="shared" si="69"/>
        <v/>
      </c>
      <c r="CN792" s="1995" t="str">
        <f t="shared" si="70"/>
        <v/>
      </c>
      <c r="CO792" s="1995" t="str">
        <f t="shared" si="71"/>
        <v/>
      </c>
      <c r="CP792" s="1995" t="str">
        <f t="shared" si="72"/>
        <v/>
      </c>
      <c r="CQ792" s="1995" t="str">
        <f t="shared" si="73"/>
        <v/>
      </c>
      <c r="CR792" s="1995" t="str">
        <f t="shared" si="74"/>
        <v/>
      </c>
      <c r="CS792" s="1995" t="str">
        <f t="shared" si="75"/>
        <v/>
      </c>
      <c r="CT792" s="1995" t="str">
        <f t="shared" si="76"/>
        <v/>
      </c>
      <c r="CU792" s="1995" t="str">
        <f t="shared" si="77"/>
        <v/>
      </c>
      <c r="CV792" s="1995" t="str">
        <f t="shared" si="78"/>
        <v/>
      </c>
      <c r="CW792" s="1995" t="str">
        <f t="shared" si="79"/>
        <v/>
      </c>
      <c r="CX792" s="1995" t="str">
        <f t="shared" si="80"/>
        <v/>
      </c>
      <c r="CY792" s="1995" t="str">
        <f t="shared" si="81"/>
        <v/>
      </c>
      <c r="CZ792" s="1995" t="str">
        <f t="shared" si="82"/>
        <v/>
      </c>
      <c r="DA792" s="1995" t="str">
        <f t="shared" si="83"/>
        <v/>
      </c>
      <c r="DB792" s="1995" t="str">
        <f t="shared" si="84"/>
        <v/>
      </c>
      <c r="DC792" s="1995" t="str">
        <f t="shared" si="85"/>
        <v/>
      </c>
      <c r="DD792" s="1995" t="str">
        <f t="shared" si="86"/>
        <v/>
      </c>
      <c r="DE792" s="1995" t="str">
        <f t="shared" si="87"/>
        <v/>
      </c>
      <c r="DF792" s="1995" t="str">
        <f t="shared" si="88"/>
        <v/>
      </c>
      <c r="DG792" s="1995" t="str">
        <f t="shared" si="89"/>
        <v/>
      </c>
      <c r="DH792" s="1995" t="str">
        <f t="shared" si="90"/>
        <v/>
      </c>
      <c r="DI792" s="1995" t="str">
        <f t="shared" si="91"/>
        <v/>
      </c>
      <c r="DJ792" s="1995" t="str">
        <f t="shared" si="92"/>
        <v/>
      </c>
      <c r="DK792" s="1995" t="str">
        <f t="shared" si="93"/>
        <v/>
      </c>
      <c r="DL792" s="1995" t="str">
        <f t="shared" si="94"/>
        <v/>
      </c>
      <c r="DM792" s="1995" t="str">
        <f t="shared" si="95"/>
        <v/>
      </c>
      <c r="DN792" s="1995" t="str">
        <f t="shared" si="96"/>
        <v/>
      </c>
      <c r="DO792" s="1995" t="str">
        <f t="shared" si="97"/>
        <v/>
      </c>
      <c r="DP792" s="1995" t="str">
        <f t="shared" si="98"/>
        <v/>
      </c>
      <c r="DQ792" s="1995" t="str">
        <f t="shared" si="99"/>
        <v/>
      </c>
      <c r="DR792" s="1995" t="str">
        <f t="shared" si="100"/>
        <v/>
      </c>
      <c r="DS792" s="1995" t="str">
        <f t="shared" si="101"/>
        <v/>
      </c>
      <c r="DT792" s="1995" t="str">
        <f t="shared" si="102"/>
        <v/>
      </c>
      <c r="DU792" s="1995" t="str">
        <f t="shared" si="103"/>
        <v/>
      </c>
      <c r="DV792" s="1995" t="str">
        <f t="shared" si="104"/>
        <v/>
      </c>
      <c r="DW792" s="1995" t="str">
        <f t="shared" si="105"/>
        <v/>
      </c>
      <c r="DX792" s="1995" t="str">
        <f t="shared" si="106"/>
        <v/>
      </c>
      <c r="DY792" s="1995" t="str">
        <f t="shared" si="107"/>
        <v/>
      </c>
      <c r="DZ792" s="1995" t="str">
        <f t="shared" si="108"/>
        <v/>
      </c>
      <c r="EA792" s="1995" t="str">
        <f t="shared" si="109"/>
        <v/>
      </c>
      <c r="EB792" s="1995" t="str">
        <f t="shared" si="110"/>
        <v/>
      </c>
      <c r="EC792" s="1995" t="str">
        <f t="shared" si="111"/>
        <v/>
      </c>
      <c r="ED792" s="1995" t="str">
        <f t="shared" si="112"/>
        <v/>
      </c>
      <c r="EE792" s="1995" t="str">
        <f t="shared" si="113"/>
        <v/>
      </c>
      <c r="EF792" s="1995" t="str">
        <f t="shared" si="114"/>
        <v/>
      </c>
      <c r="EG792" s="1995" t="str">
        <f t="shared" si="115"/>
        <v/>
      </c>
      <c r="EH792" s="1995" t="str">
        <f t="shared" si="116"/>
        <v/>
      </c>
      <c r="EI792" s="1995" t="str">
        <f t="shared" si="117"/>
        <v/>
      </c>
      <c r="EJ792" s="1995" t="str">
        <f t="shared" si="118"/>
        <v/>
      </c>
      <c r="EK792" s="1995" t="str">
        <f t="shared" si="119"/>
        <v/>
      </c>
      <c r="EL792" s="1995" t="str">
        <f t="shared" si="120"/>
        <v/>
      </c>
      <c r="EM792" s="1995" t="str">
        <f t="shared" si="121"/>
        <v/>
      </c>
      <c r="EN792" s="1995" t="str">
        <f t="shared" si="122"/>
        <v/>
      </c>
      <c r="EO792" s="1995" t="str">
        <f t="shared" si="123"/>
        <v/>
      </c>
      <c r="EP792" s="1995" t="str">
        <f t="shared" si="124"/>
        <v/>
      </c>
      <c r="EQ792" s="1995" t="str">
        <f t="shared" si="125"/>
        <v/>
      </c>
      <c r="ER792" s="1995" t="str">
        <f t="shared" si="126"/>
        <v/>
      </c>
      <c r="ES792" s="1995" t="str">
        <f t="shared" si="127"/>
        <v/>
      </c>
      <c r="ET792" s="1995" t="str">
        <f t="shared" si="128"/>
        <v/>
      </c>
      <c r="EU792" s="1995" t="str">
        <f t="shared" si="129"/>
        <v/>
      </c>
      <c r="EV792" s="1995" t="str">
        <f t="shared" si="130"/>
        <v/>
      </c>
      <c r="EW792" s="1995" t="str">
        <f t="shared" si="131"/>
        <v/>
      </c>
      <c r="EX792" s="1995" t="str">
        <f t="shared" si="132"/>
        <v/>
      </c>
      <c r="EY792" s="1995" t="str">
        <f t="shared" si="133"/>
        <v/>
      </c>
      <c r="EZ792" s="1995" t="str">
        <f t="shared" si="134"/>
        <v/>
      </c>
      <c r="FA792" s="1995" t="str">
        <f t="shared" si="135"/>
        <v/>
      </c>
      <c r="FB792" s="1995" t="str">
        <f t="shared" si="136"/>
        <v/>
      </c>
      <c r="FC792" s="1995" t="str">
        <f t="shared" si="137"/>
        <v/>
      </c>
      <c r="FD792" s="1995" t="str">
        <f t="shared" si="138"/>
        <v/>
      </c>
      <c r="FE792" s="1995" t="str">
        <f t="shared" si="139"/>
        <v/>
      </c>
      <c r="FF792" s="1995" t="str">
        <f t="shared" si="140"/>
        <v/>
      </c>
      <c r="FG792" s="1995" t="str">
        <f t="shared" si="141"/>
        <v/>
      </c>
      <c r="FH792" s="1995" t="str">
        <f t="shared" si="142"/>
        <v/>
      </c>
      <c r="FI792" s="1995" t="str">
        <f t="shared" si="143"/>
        <v/>
      </c>
      <c r="FJ792" s="1995" t="str">
        <f t="shared" si="144"/>
        <v/>
      </c>
      <c r="FK792" s="1995" t="str">
        <f t="shared" si="145"/>
        <v/>
      </c>
      <c r="FL792" s="1995" t="str">
        <f t="shared" si="146"/>
        <v/>
      </c>
      <c r="FM792" s="1995" t="str">
        <f t="shared" si="147"/>
        <v/>
      </c>
      <c r="FN792" s="1995" t="str">
        <f t="shared" si="148"/>
        <v/>
      </c>
      <c r="FO792" s="1995" t="str">
        <f t="shared" si="149"/>
        <v/>
      </c>
      <c r="FP792" s="1995" t="str">
        <f t="shared" si="150"/>
        <v/>
      </c>
      <c r="FQ792" s="1995" t="str">
        <f t="shared" si="151"/>
        <v/>
      </c>
      <c r="FR792" s="1995" t="str">
        <f t="shared" si="152"/>
        <v/>
      </c>
      <c r="FS792" s="1995" t="str">
        <f t="shared" si="153"/>
        <v/>
      </c>
      <c r="FT792" s="1995" t="str">
        <f t="shared" si="154"/>
        <v/>
      </c>
      <c r="FU792" s="1995" t="str">
        <f t="shared" si="155"/>
        <v/>
      </c>
      <c r="FV792" s="1995" t="str">
        <f t="shared" si="156"/>
        <v/>
      </c>
      <c r="FW792" s="1995" t="str">
        <f t="shared" si="157"/>
        <v/>
      </c>
      <c r="FX792" s="1995" t="str">
        <f t="shared" si="158"/>
        <v/>
      </c>
      <c r="FY792" s="1995" t="str">
        <f t="shared" si="159"/>
        <v/>
      </c>
      <c r="FZ792" s="1995" t="str">
        <f t="shared" si="160"/>
        <v/>
      </c>
      <c r="GA792" s="1995" t="str">
        <f t="shared" si="161"/>
        <v/>
      </c>
      <c r="GB792" s="1995" t="str">
        <f t="shared" si="162"/>
        <v/>
      </c>
      <c r="GC792" s="1995" t="str">
        <f t="shared" si="163"/>
        <v/>
      </c>
      <c r="GD792" s="1995" t="str">
        <f t="shared" si="164"/>
        <v/>
      </c>
      <c r="GE792" s="1995" t="str">
        <f t="shared" si="165"/>
        <v/>
      </c>
      <c r="GF792" s="1995" t="str">
        <f t="shared" si="166"/>
        <v/>
      </c>
      <c r="GG792" s="1995" t="str">
        <f t="shared" si="167"/>
        <v/>
      </c>
      <c r="GH792" s="1995" t="str">
        <f t="shared" si="168"/>
        <v/>
      </c>
      <c r="GI792" s="1995" t="str">
        <f t="shared" si="169"/>
        <v/>
      </c>
      <c r="GJ792" s="1995" t="str">
        <f t="shared" si="170"/>
        <v/>
      </c>
      <c r="GK792" s="1995" t="str">
        <f t="shared" si="171"/>
        <v/>
      </c>
      <c r="GL792" s="1995" t="str">
        <f t="shared" si="172"/>
        <v/>
      </c>
      <c r="GM792" s="1995" t="str">
        <f t="shared" si="173"/>
        <v/>
      </c>
      <c r="GN792" s="1995" t="str">
        <f t="shared" si="174"/>
        <v/>
      </c>
      <c r="GO792" s="1995" t="str">
        <f t="shared" si="175"/>
        <v/>
      </c>
      <c r="GP792" s="1995" t="str">
        <f t="shared" si="176"/>
        <v/>
      </c>
      <c r="GQ792" s="1995" t="str">
        <f t="shared" si="177"/>
        <v/>
      </c>
      <c r="GR792" s="1995" t="str">
        <f t="shared" si="178"/>
        <v/>
      </c>
      <c r="GS792" s="1995" t="str">
        <f t="shared" si="179"/>
        <v/>
      </c>
      <c r="GT792" s="1995" t="str">
        <f t="shared" si="180"/>
        <v/>
      </c>
      <c r="GU792" s="1995" t="str">
        <f t="shared" si="181"/>
        <v/>
      </c>
      <c r="GV792" s="1995" t="str">
        <f t="shared" si="182"/>
        <v/>
      </c>
      <c r="GW792" s="1995" t="str">
        <f t="shared" si="183"/>
        <v/>
      </c>
      <c r="GX792" s="1995" t="str">
        <f t="shared" si="184"/>
        <v/>
      </c>
      <c r="GY792" s="1995" t="str">
        <f t="shared" si="185"/>
        <v/>
      </c>
      <c r="GZ792" s="1995" t="str">
        <f t="shared" si="186"/>
        <v/>
      </c>
      <c r="HA792" s="1995" t="str">
        <f t="shared" si="187"/>
        <v/>
      </c>
      <c r="HB792" s="1995" t="str">
        <f t="shared" si="188"/>
        <v/>
      </c>
      <c r="HC792" s="1995" t="str">
        <f t="shared" si="189"/>
        <v/>
      </c>
      <c r="HD792" s="1995" t="str">
        <f t="shared" si="190"/>
        <v/>
      </c>
      <c r="HE792" s="1995" t="str">
        <f t="shared" si="191"/>
        <v/>
      </c>
      <c r="HF792" s="1995" t="str">
        <f t="shared" si="192"/>
        <v/>
      </c>
      <c r="HG792" s="1995" t="str">
        <f t="shared" si="193"/>
        <v/>
      </c>
      <c r="HH792" s="1995" t="str">
        <f t="shared" si="194"/>
        <v/>
      </c>
      <c r="HI792" s="1995" t="str">
        <f t="shared" si="195"/>
        <v/>
      </c>
      <c r="HJ792" s="1995" t="str">
        <f t="shared" si="196"/>
        <v/>
      </c>
      <c r="HK792" s="1995" t="str">
        <f t="shared" si="197"/>
        <v/>
      </c>
      <c r="HL792" s="1995" t="str">
        <f t="shared" si="198"/>
        <v/>
      </c>
      <c r="HM792" s="1995" t="str">
        <f t="shared" si="199"/>
        <v/>
      </c>
      <c r="HN792" s="1995" t="str">
        <f t="shared" si="200"/>
        <v/>
      </c>
      <c r="HO792" s="1995" t="str">
        <f t="shared" si="201"/>
        <v/>
      </c>
      <c r="HP792" s="1995" t="str">
        <f t="shared" si="202"/>
        <v/>
      </c>
      <c r="HQ792" s="1995" t="str">
        <f t="shared" si="203"/>
        <v/>
      </c>
      <c r="HR792" s="1995" t="str">
        <f t="shared" si="204"/>
        <v/>
      </c>
      <c r="HS792" s="1995" t="str">
        <f t="shared" si="205"/>
        <v/>
      </c>
      <c r="HT792" s="1995" t="str">
        <f t="shared" si="206"/>
        <v/>
      </c>
      <c r="HU792" s="1995" t="str">
        <f t="shared" si="207"/>
        <v/>
      </c>
      <c r="HV792" s="1995" t="str">
        <f t="shared" si="208"/>
        <v/>
      </c>
      <c r="HW792" s="1995" t="str">
        <f t="shared" si="209"/>
        <v/>
      </c>
      <c r="HX792" s="1995" t="str">
        <f t="shared" si="210"/>
        <v/>
      </c>
      <c r="HY792" s="1995" t="str">
        <f t="shared" si="211"/>
        <v/>
      </c>
      <c r="HZ792" s="1900" t="str">
        <f t="shared" si="212"/>
        <v/>
      </c>
      <c r="IA792" s="1900" t="str">
        <f t="shared" si="213"/>
        <v/>
      </c>
      <c r="IB792" s="1900" t="str">
        <f t="shared" si="214"/>
        <v/>
      </c>
      <c r="IC792" s="1900" t="str">
        <f t="shared" si="215"/>
        <v/>
      </c>
      <c r="ID792" s="1900" t="str">
        <f t="shared" si="216"/>
        <v/>
      </c>
      <c r="IE792" s="1900" t="str">
        <f t="shared" si="217"/>
        <v/>
      </c>
      <c r="IF792" s="1900" t="str">
        <f t="shared" si="218"/>
        <v/>
      </c>
      <c r="IG792" s="1900" t="str">
        <f t="shared" si="219"/>
        <v/>
      </c>
      <c r="IH792" s="1900" t="str">
        <f t="shared" si="220"/>
        <v/>
      </c>
      <c r="II792" s="1900" t="str">
        <f t="shared" si="221"/>
        <v/>
      </c>
      <c r="IJ792" s="1900" t="str">
        <f t="shared" si="222"/>
        <v/>
      </c>
      <c r="IK792" s="1900" t="str">
        <f t="shared" si="223"/>
        <v/>
      </c>
      <c r="IL792" s="1900" t="str">
        <f t="shared" si="224"/>
        <v/>
      </c>
      <c r="IM792" s="1900" t="str">
        <f t="shared" si="225"/>
        <v/>
      </c>
      <c r="IN792" s="1900" t="str">
        <f t="shared" si="226"/>
        <v/>
      </c>
      <c r="IO792" s="1900" t="str">
        <f t="shared" si="227"/>
        <v/>
      </c>
      <c r="IP792" s="1900" t="str">
        <f t="shared" si="228"/>
        <v/>
      </c>
      <c r="IQ792" s="1900" t="str">
        <f t="shared" si="229"/>
        <v/>
      </c>
      <c r="IR792" s="1900" t="str">
        <f t="shared" si="230"/>
        <v/>
      </c>
      <c r="IS792" s="1900" t="str">
        <f t="shared" si="231"/>
        <v/>
      </c>
      <c r="IT792" s="1900" t="str">
        <f t="shared" si="232"/>
        <v/>
      </c>
      <c r="IU792" s="1900" t="str">
        <f t="shared" si="233"/>
        <v/>
      </c>
      <c r="IV792" s="1900" t="str">
        <f t="shared" si="234"/>
        <v/>
      </c>
      <c r="IW792" s="1900" t="str">
        <f t="shared" si="235"/>
        <v/>
      </c>
      <c r="IX792" s="1900" t="str">
        <f t="shared" si="236"/>
        <v/>
      </c>
      <c r="IY792" s="1900" t="str">
        <f t="shared" si="237"/>
        <v/>
      </c>
      <c r="IZ792" s="1900" t="str">
        <f t="shared" si="238"/>
        <v/>
      </c>
      <c r="JA792" s="1900" t="str">
        <f t="shared" si="239"/>
        <v/>
      </c>
      <c r="JB792" s="1900" t="str">
        <f t="shared" si="240"/>
        <v/>
      </c>
      <c r="JC792" s="1900" t="str">
        <f t="shared" si="241"/>
        <v/>
      </c>
      <c r="JD792" s="1900" t="str">
        <f t="shared" si="242"/>
        <v/>
      </c>
      <c r="JE792" s="1900" t="str">
        <f t="shared" si="243"/>
        <v/>
      </c>
      <c r="JF792" s="1900" t="str">
        <f t="shared" si="244"/>
        <v/>
      </c>
      <c r="JG792" s="1900" t="str">
        <f t="shared" si="245"/>
        <v/>
      </c>
      <c r="JH792" s="1900" t="str">
        <f t="shared" si="246"/>
        <v/>
      </c>
      <c r="JI792" s="1900" t="str">
        <f t="shared" si="247"/>
        <v/>
      </c>
      <c r="JJ792" s="1900" t="str">
        <f t="shared" si="248"/>
        <v/>
      </c>
      <c r="JK792" s="1900" t="str">
        <f t="shared" si="249"/>
        <v/>
      </c>
      <c r="JL792" s="1900" t="str">
        <f t="shared" si="250"/>
        <v/>
      </c>
      <c r="JM792" s="1900" t="str">
        <f t="shared" si="251"/>
        <v/>
      </c>
      <c r="JN792" s="1900" t="str">
        <f t="shared" si="252"/>
        <v/>
      </c>
      <c r="JO792" s="1900" t="str">
        <f t="shared" si="253"/>
        <v/>
      </c>
      <c r="JP792" s="1900" t="str">
        <f t="shared" si="254"/>
        <v/>
      </c>
      <c r="JQ792" s="1900" t="str">
        <f t="shared" si="255"/>
        <v/>
      </c>
      <c r="JR792" s="1900" t="str">
        <f t="shared" si="256"/>
        <v/>
      </c>
      <c r="JS792" s="1900" t="str">
        <f t="shared" si="257"/>
        <v/>
      </c>
      <c r="JT792" s="1900" t="str">
        <f t="shared" si="258"/>
        <v/>
      </c>
      <c r="JU792" s="1900" t="str">
        <f t="shared" si="259"/>
        <v/>
      </c>
      <c r="JV792" s="1900" t="str">
        <f t="shared" si="260"/>
        <v/>
      </c>
      <c r="JW792" s="1900" t="str">
        <f t="shared" si="261"/>
        <v/>
      </c>
      <c r="JX792" s="1900" t="str">
        <f t="shared" si="262"/>
        <v/>
      </c>
      <c r="JY792" s="1900" t="str">
        <f t="shared" si="263"/>
        <v/>
      </c>
      <c r="JZ792" s="1900" t="str">
        <f t="shared" si="264"/>
        <v/>
      </c>
      <c r="KA792" s="1900" t="str">
        <f t="shared" si="265"/>
        <v/>
      </c>
      <c r="KB792" s="1900" t="str">
        <f t="shared" si="266"/>
        <v/>
      </c>
      <c r="KC792" s="1900" t="str">
        <f t="shared" si="267"/>
        <v/>
      </c>
      <c r="KD792" s="1900" t="str">
        <f t="shared" si="268"/>
        <v/>
      </c>
      <c r="KE792" s="1900" t="str">
        <f t="shared" si="269"/>
        <v/>
      </c>
      <c r="KF792" s="1900" t="str">
        <f t="shared" si="270"/>
        <v/>
      </c>
      <c r="KG792" s="1900" t="str">
        <f t="shared" si="271"/>
        <v/>
      </c>
      <c r="KH792" s="1900" t="str">
        <f t="shared" si="272"/>
        <v/>
      </c>
      <c r="KI792" s="1900" t="str">
        <f t="shared" si="273"/>
        <v/>
      </c>
      <c r="KJ792" s="1900" t="str">
        <f t="shared" si="274"/>
        <v/>
      </c>
      <c r="KK792" s="1900" t="str">
        <f t="shared" si="275"/>
        <v/>
      </c>
      <c r="KL792" s="1900" t="str">
        <f t="shared" si="276"/>
        <v/>
      </c>
      <c r="KM792" s="1900" t="str">
        <f t="shared" si="277"/>
        <v/>
      </c>
      <c r="KN792" s="1900" t="str">
        <f t="shared" si="278"/>
        <v/>
      </c>
      <c r="KO792" s="1900" t="str">
        <f t="shared" si="279"/>
        <v/>
      </c>
      <c r="KP792" s="1900" t="str">
        <f t="shared" si="280"/>
        <v/>
      </c>
      <c r="KQ792" s="1900" t="str">
        <f t="shared" si="281"/>
        <v/>
      </c>
      <c r="KR792" s="1900" t="str">
        <f t="shared" si="282"/>
        <v/>
      </c>
      <c r="KS792" s="1900" t="str">
        <f t="shared" si="283"/>
        <v/>
      </c>
      <c r="KT792" s="1900" t="str">
        <f t="shared" si="284"/>
        <v/>
      </c>
      <c r="KU792" s="1900" t="str">
        <f t="shared" si="285"/>
        <v/>
      </c>
      <c r="KV792" s="1900" t="str">
        <f t="shared" si="286"/>
        <v/>
      </c>
      <c r="KW792" s="1900" t="str">
        <f t="shared" si="287"/>
        <v/>
      </c>
      <c r="KX792" s="1900" t="str">
        <f t="shared" si="288"/>
        <v/>
      </c>
      <c r="KY792" s="1900" t="str">
        <f t="shared" si="289"/>
        <v/>
      </c>
      <c r="KZ792" s="1900" t="str">
        <f t="shared" si="290"/>
        <v/>
      </c>
      <c r="LA792" s="1900" t="str">
        <f t="shared" si="291"/>
        <v/>
      </c>
      <c r="LB792" s="1900" t="str">
        <f t="shared" si="292"/>
        <v/>
      </c>
      <c r="LC792" s="1900" t="str">
        <f t="shared" si="293"/>
        <v/>
      </c>
      <c r="LD792" s="1900" t="str">
        <f t="shared" si="294"/>
        <v/>
      </c>
      <c r="LE792" s="1900" t="str">
        <f t="shared" si="295"/>
        <v/>
      </c>
      <c r="LF792" s="1900" t="str">
        <f t="shared" si="296"/>
        <v/>
      </c>
      <c r="LG792" s="1900" t="str">
        <f t="shared" si="297"/>
        <v/>
      </c>
      <c r="LH792" s="1900" t="str">
        <f t="shared" si="298"/>
        <v/>
      </c>
      <c r="LI792" s="1900" t="str">
        <f t="shared" si="299"/>
        <v/>
      </c>
      <c r="LJ792" s="1900" t="str">
        <f t="shared" si="300"/>
        <v/>
      </c>
      <c r="LK792" s="1900" t="str">
        <f t="shared" si="301"/>
        <v/>
      </c>
      <c r="LL792" s="1900" t="str">
        <f t="shared" si="302"/>
        <v/>
      </c>
      <c r="LM792" s="1900" t="str">
        <f t="shared" si="303"/>
        <v/>
      </c>
      <c r="LN792" s="1900" t="str">
        <f t="shared" si="304"/>
        <v/>
      </c>
      <c r="LO792" s="1900" t="str">
        <f t="shared" si="305"/>
        <v/>
      </c>
      <c r="LP792" s="1900" t="str">
        <f t="shared" si="306"/>
        <v/>
      </c>
      <c r="LQ792" s="1874" t="str">
        <f t="shared" si="307"/>
        <v/>
      </c>
      <c r="LR792" s="1874" t="str">
        <f t="shared" si="308"/>
        <v/>
      </c>
      <c r="LS792" s="1874" t="str">
        <f t="shared" si="309"/>
        <v/>
      </c>
      <c r="LT792" s="1874" t="str">
        <f t="shared" si="310"/>
        <v/>
      </c>
      <c r="LU792" s="1874" t="str">
        <f t="shared" si="311"/>
        <v/>
      </c>
      <c r="LV792" s="1995" t="str">
        <f t="shared" si="312"/>
        <v/>
      </c>
      <c r="LW792" s="1995" t="str">
        <f t="shared" si="313"/>
        <v/>
      </c>
      <c r="LX792" s="1995" t="str">
        <f t="shared" si="314"/>
        <v/>
      </c>
      <c r="LY792" s="1995" t="str">
        <f t="shared" si="315"/>
        <v/>
      </c>
      <c r="LZ792" s="1995" t="str">
        <f t="shared" si="316"/>
        <v/>
      </c>
      <c r="MA792" s="1995" t="str">
        <f t="shared" si="317"/>
        <v/>
      </c>
      <c r="MB792" s="1995" t="str">
        <f t="shared" si="318"/>
        <v/>
      </c>
      <c r="MC792" s="1995" t="str">
        <f t="shared" si="319"/>
        <v/>
      </c>
      <c r="MD792" s="1995" t="str">
        <f t="shared" si="320"/>
        <v/>
      </c>
      <c r="ME792" s="1995" t="str">
        <f t="shared" si="321"/>
        <v/>
      </c>
      <c r="MF792" s="1995" t="str">
        <f t="shared" si="322"/>
        <v/>
      </c>
      <c r="MG792" s="1995" t="str">
        <f t="shared" si="323"/>
        <v/>
      </c>
      <c r="MH792" s="1995" t="str">
        <f t="shared" si="324"/>
        <v/>
      </c>
      <c r="MI792" s="1995" t="str">
        <f t="shared" si="325"/>
        <v/>
      </c>
      <c r="MJ792" s="1995" t="str">
        <f t="shared" si="326"/>
        <v/>
      </c>
      <c r="MK792" s="1995" t="str">
        <f t="shared" si="327"/>
        <v/>
      </c>
      <c r="ML792" s="1995" t="str">
        <f t="shared" si="328"/>
        <v/>
      </c>
      <c r="MM792" s="1995" t="str">
        <f t="shared" si="329"/>
        <v/>
      </c>
      <c r="MN792" s="1995" t="str">
        <f t="shared" si="330"/>
        <v/>
      </c>
      <c r="MO792" s="1995" t="str">
        <f t="shared" si="331"/>
        <v/>
      </c>
      <c r="MP792" s="1874">
        <f t="shared" si="338"/>
        <v>0</v>
      </c>
      <c r="MQ792" s="1874">
        <f t="shared" si="339"/>
        <v>0</v>
      </c>
      <c r="MR792" s="1874">
        <f t="shared" si="340"/>
        <v>0</v>
      </c>
      <c r="MS792" s="1874">
        <f t="shared" si="341"/>
        <v>0</v>
      </c>
      <c r="MT792" s="1874">
        <f t="shared" si="342"/>
        <v>0</v>
      </c>
      <c r="MU792" s="1874">
        <f t="shared" si="343"/>
        <v>0</v>
      </c>
      <c r="MV792" s="1874">
        <f t="shared" si="344"/>
        <v>0</v>
      </c>
      <c r="MW792" s="1874">
        <f t="shared" si="345"/>
        <v>0</v>
      </c>
      <c r="MX792" s="1874">
        <f t="shared" si="346"/>
        <v>0</v>
      </c>
      <c r="MY792" s="1874">
        <f t="shared" si="347"/>
        <v>0</v>
      </c>
      <c r="MZ792" s="1874">
        <f t="shared" si="332"/>
        <v>0</v>
      </c>
      <c r="NA792" s="1874">
        <f t="shared" si="333"/>
        <v>0</v>
      </c>
      <c r="NB792" s="1874">
        <f t="shared" si="334"/>
        <v>0</v>
      </c>
      <c r="NC792" s="1874">
        <f t="shared" si="335"/>
        <v>0</v>
      </c>
      <c r="ND792" s="1874">
        <f t="shared" si="336"/>
        <v>0</v>
      </c>
    </row>
    <row r="793" spans="1:368" ht="13.95" customHeight="1">
      <c r="A793" s="1896" t="str">
        <f t="shared" si="337"/>
        <v/>
      </c>
      <c r="B793" s="2212">
        <f>'Part VI-Revenues &amp; Expenses'!B24</f>
        <v>0</v>
      </c>
      <c r="C793" s="2213">
        <f>'Part VI-Revenues &amp; Expenses'!C24</f>
        <v>0</v>
      </c>
      <c r="D793" s="2214">
        <f>'Part VI-Revenues &amp; Expenses'!D24</f>
        <v>0</v>
      </c>
      <c r="E793" s="2215">
        <f>'Part VI-Revenues &amp; Expenses'!E24</f>
        <v>0</v>
      </c>
      <c r="F793" s="2215">
        <f>'Part VI-Revenues &amp; Expenses'!F24</f>
        <v>0</v>
      </c>
      <c r="G793" s="2215">
        <f>'Part VI-Revenues &amp; Expenses'!G24</f>
        <v>0</v>
      </c>
      <c r="H793" s="2215">
        <f>'Part VI-Revenues &amp; Expenses'!H24</f>
        <v>0</v>
      </c>
      <c r="I793" s="2215">
        <f>'Part VI-Revenues &amp; Expenses'!I24</f>
        <v>0</v>
      </c>
      <c r="J793" s="2215">
        <f>'Part VI-Revenues &amp; Expenses'!J24</f>
        <v>0</v>
      </c>
      <c r="K793" s="2216">
        <f>'Part VI-Revenues &amp; Expenses'!K24</f>
        <v>0</v>
      </c>
      <c r="L793" s="1899">
        <f t="shared" si="0"/>
        <v>0</v>
      </c>
      <c r="M793" s="1899">
        <f t="shared" si="1"/>
        <v>0</v>
      </c>
      <c r="N793" s="2074">
        <f>'Part VI-Revenues &amp; Expenses'!N24</f>
        <v>0</v>
      </c>
      <c r="O793" s="2074">
        <f>'Part VI-Revenues &amp; Expenses'!O24</f>
        <v>0</v>
      </c>
      <c r="P793" s="2074">
        <f>'Part VI-Revenues &amp; Expenses'!P24</f>
        <v>0</v>
      </c>
      <c r="Q793" s="1732">
        <f>'Part VI-Revenues &amp; Expenses'!Q24</f>
        <v>0</v>
      </c>
      <c r="R793" s="1926"/>
      <c r="S793" s="2148"/>
      <c r="T793" s="1910"/>
      <c r="U793" s="1910"/>
      <c r="V793" s="1910"/>
      <c r="W793" s="1910"/>
      <c r="X793" s="1995" t="str">
        <f t="shared" si="2"/>
        <v/>
      </c>
      <c r="Y793" s="1995" t="str">
        <f t="shared" si="3"/>
        <v/>
      </c>
      <c r="Z793" s="1995" t="str">
        <f t="shared" si="4"/>
        <v/>
      </c>
      <c r="AA793" s="1995" t="str">
        <f t="shared" si="5"/>
        <v/>
      </c>
      <c r="AB793" s="1995" t="str">
        <f t="shared" si="6"/>
        <v/>
      </c>
      <c r="AC793" s="1995" t="str">
        <f t="shared" si="7"/>
        <v/>
      </c>
      <c r="AD793" s="1995" t="str">
        <f t="shared" si="8"/>
        <v/>
      </c>
      <c r="AE793" s="1995" t="str">
        <f t="shared" si="9"/>
        <v/>
      </c>
      <c r="AF793" s="1995" t="str">
        <f t="shared" si="10"/>
        <v/>
      </c>
      <c r="AG793" s="1995" t="str">
        <f t="shared" si="11"/>
        <v/>
      </c>
      <c r="AH793" s="1995" t="str">
        <f t="shared" si="12"/>
        <v/>
      </c>
      <c r="AI793" s="1995" t="str">
        <f t="shared" si="13"/>
        <v/>
      </c>
      <c r="AJ793" s="1995" t="str">
        <f t="shared" si="14"/>
        <v/>
      </c>
      <c r="AK793" s="1995" t="str">
        <f t="shared" si="15"/>
        <v/>
      </c>
      <c r="AL793" s="1995" t="str">
        <f t="shared" si="16"/>
        <v/>
      </c>
      <c r="AM793" s="1995" t="str">
        <f t="shared" si="17"/>
        <v/>
      </c>
      <c r="AN793" s="1995" t="str">
        <f t="shared" si="18"/>
        <v/>
      </c>
      <c r="AO793" s="1995" t="str">
        <f t="shared" si="19"/>
        <v/>
      </c>
      <c r="AP793" s="1995" t="str">
        <f t="shared" si="20"/>
        <v/>
      </c>
      <c r="AQ793" s="1995" t="str">
        <f t="shared" si="21"/>
        <v/>
      </c>
      <c r="AR793" s="1995" t="str">
        <f t="shared" si="22"/>
        <v/>
      </c>
      <c r="AS793" s="1995" t="str">
        <f t="shared" si="23"/>
        <v/>
      </c>
      <c r="AT793" s="1995" t="str">
        <f t="shared" si="24"/>
        <v/>
      </c>
      <c r="AU793" s="1995" t="str">
        <f t="shared" si="25"/>
        <v/>
      </c>
      <c r="AV793" s="1995" t="str">
        <f t="shared" si="26"/>
        <v/>
      </c>
      <c r="AW793" s="1995" t="str">
        <f t="shared" si="27"/>
        <v/>
      </c>
      <c r="AX793" s="1995" t="str">
        <f t="shared" si="28"/>
        <v/>
      </c>
      <c r="AY793" s="1995" t="str">
        <f t="shared" si="29"/>
        <v/>
      </c>
      <c r="AZ793" s="1995" t="str">
        <f t="shared" si="30"/>
        <v/>
      </c>
      <c r="BA793" s="1995" t="str">
        <f t="shared" si="31"/>
        <v/>
      </c>
      <c r="BB793" s="1995" t="str">
        <f t="shared" si="32"/>
        <v/>
      </c>
      <c r="BC793" s="1995" t="str">
        <f t="shared" si="33"/>
        <v/>
      </c>
      <c r="BD793" s="1995" t="str">
        <f t="shared" si="34"/>
        <v/>
      </c>
      <c r="BE793" s="1995" t="str">
        <f t="shared" si="35"/>
        <v/>
      </c>
      <c r="BF793" s="1995" t="str">
        <f t="shared" si="36"/>
        <v/>
      </c>
      <c r="BG793" s="1995" t="str">
        <f t="shared" si="37"/>
        <v/>
      </c>
      <c r="BH793" s="1995" t="str">
        <f t="shared" si="38"/>
        <v/>
      </c>
      <c r="BI793" s="1995" t="str">
        <f t="shared" si="39"/>
        <v/>
      </c>
      <c r="BJ793" s="1995" t="str">
        <f t="shared" si="40"/>
        <v/>
      </c>
      <c r="BK793" s="1995" t="str">
        <f t="shared" si="41"/>
        <v/>
      </c>
      <c r="BL793" s="1995" t="str">
        <f t="shared" si="42"/>
        <v/>
      </c>
      <c r="BM793" s="1995" t="str">
        <f t="shared" si="43"/>
        <v/>
      </c>
      <c r="BN793" s="1995" t="str">
        <f t="shared" si="44"/>
        <v/>
      </c>
      <c r="BO793" s="1995" t="str">
        <f t="shared" si="45"/>
        <v/>
      </c>
      <c r="BP793" s="1995" t="str">
        <f t="shared" si="46"/>
        <v/>
      </c>
      <c r="BQ793" s="1995" t="str">
        <f t="shared" si="47"/>
        <v/>
      </c>
      <c r="BR793" s="1995" t="str">
        <f t="shared" si="48"/>
        <v/>
      </c>
      <c r="BS793" s="1995" t="str">
        <f t="shared" si="49"/>
        <v/>
      </c>
      <c r="BT793" s="1995" t="str">
        <f t="shared" si="50"/>
        <v/>
      </c>
      <c r="BU793" s="1995" t="str">
        <f t="shared" si="51"/>
        <v/>
      </c>
      <c r="BV793" s="1995" t="str">
        <f t="shared" si="52"/>
        <v/>
      </c>
      <c r="BW793" s="1995" t="str">
        <f t="shared" si="53"/>
        <v/>
      </c>
      <c r="BX793" s="1995" t="str">
        <f t="shared" si="54"/>
        <v/>
      </c>
      <c r="BY793" s="1995" t="str">
        <f t="shared" si="55"/>
        <v/>
      </c>
      <c r="BZ793" s="1995" t="str">
        <f t="shared" si="56"/>
        <v/>
      </c>
      <c r="CA793" s="1995" t="str">
        <f t="shared" si="57"/>
        <v/>
      </c>
      <c r="CB793" s="1995" t="str">
        <f t="shared" si="58"/>
        <v/>
      </c>
      <c r="CC793" s="1995" t="str">
        <f t="shared" si="59"/>
        <v/>
      </c>
      <c r="CD793" s="1995" t="str">
        <f t="shared" si="60"/>
        <v/>
      </c>
      <c r="CE793" s="1995" t="str">
        <f t="shared" si="61"/>
        <v/>
      </c>
      <c r="CF793" s="1995" t="str">
        <f t="shared" si="62"/>
        <v/>
      </c>
      <c r="CG793" s="1995" t="str">
        <f t="shared" si="63"/>
        <v/>
      </c>
      <c r="CH793" s="1995" t="str">
        <f t="shared" si="64"/>
        <v/>
      </c>
      <c r="CI793" s="1995" t="str">
        <f t="shared" si="65"/>
        <v/>
      </c>
      <c r="CJ793" s="1995" t="str">
        <f t="shared" si="66"/>
        <v/>
      </c>
      <c r="CK793" s="1995" t="str">
        <f t="shared" si="67"/>
        <v/>
      </c>
      <c r="CL793" s="1995" t="str">
        <f t="shared" si="68"/>
        <v/>
      </c>
      <c r="CM793" s="1995" t="str">
        <f t="shared" si="69"/>
        <v/>
      </c>
      <c r="CN793" s="1995" t="str">
        <f t="shared" si="70"/>
        <v/>
      </c>
      <c r="CO793" s="1995" t="str">
        <f t="shared" si="71"/>
        <v/>
      </c>
      <c r="CP793" s="1995" t="str">
        <f t="shared" si="72"/>
        <v/>
      </c>
      <c r="CQ793" s="1995" t="str">
        <f t="shared" si="73"/>
        <v/>
      </c>
      <c r="CR793" s="1995" t="str">
        <f t="shared" si="74"/>
        <v/>
      </c>
      <c r="CS793" s="1995" t="str">
        <f t="shared" si="75"/>
        <v/>
      </c>
      <c r="CT793" s="1995" t="str">
        <f t="shared" si="76"/>
        <v/>
      </c>
      <c r="CU793" s="1995" t="str">
        <f t="shared" si="77"/>
        <v/>
      </c>
      <c r="CV793" s="1995" t="str">
        <f t="shared" si="78"/>
        <v/>
      </c>
      <c r="CW793" s="1995" t="str">
        <f t="shared" si="79"/>
        <v/>
      </c>
      <c r="CX793" s="1995" t="str">
        <f t="shared" si="80"/>
        <v/>
      </c>
      <c r="CY793" s="1995" t="str">
        <f t="shared" si="81"/>
        <v/>
      </c>
      <c r="CZ793" s="1995" t="str">
        <f t="shared" si="82"/>
        <v/>
      </c>
      <c r="DA793" s="1995" t="str">
        <f t="shared" si="83"/>
        <v/>
      </c>
      <c r="DB793" s="1995" t="str">
        <f t="shared" si="84"/>
        <v/>
      </c>
      <c r="DC793" s="1995" t="str">
        <f t="shared" si="85"/>
        <v/>
      </c>
      <c r="DD793" s="1995" t="str">
        <f t="shared" si="86"/>
        <v/>
      </c>
      <c r="DE793" s="1995" t="str">
        <f t="shared" si="87"/>
        <v/>
      </c>
      <c r="DF793" s="1995" t="str">
        <f t="shared" si="88"/>
        <v/>
      </c>
      <c r="DG793" s="1995" t="str">
        <f t="shared" si="89"/>
        <v/>
      </c>
      <c r="DH793" s="1995" t="str">
        <f t="shared" si="90"/>
        <v/>
      </c>
      <c r="DI793" s="1995" t="str">
        <f t="shared" si="91"/>
        <v/>
      </c>
      <c r="DJ793" s="1995" t="str">
        <f t="shared" si="92"/>
        <v/>
      </c>
      <c r="DK793" s="1995" t="str">
        <f t="shared" si="93"/>
        <v/>
      </c>
      <c r="DL793" s="1995" t="str">
        <f t="shared" si="94"/>
        <v/>
      </c>
      <c r="DM793" s="1995" t="str">
        <f t="shared" si="95"/>
        <v/>
      </c>
      <c r="DN793" s="1995" t="str">
        <f t="shared" si="96"/>
        <v/>
      </c>
      <c r="DO793" s="1995" t="str">
        <f t="shared" si="97"/>
        <v/>
      </c>
      <c r="DP793" s="1995" t="str">
        <f t="shared" si="98"/>
        <v/>
      </c>
      <c r="DQ793" s="1995" t="str">
        <f t="shared" si="99"/>
        <v/>
      </c>
      <c r="DR793" s="1995" t="str">
        <f t="shared" si="100"/>
        <v/>
      </c>
      <c r="DS793" s="1995" t="str">
        <f t="shared" si="101"/>
        <v/>
      </c>
      <c r="DT793" s="1995" t="str">
        <f t="shared" si="102"/>
        <v/>
      </c>
      <c r="DU793" s="1995" t="str">
        <f t="shared" si="103"/>
        <v/>
      </c>
      <c r="DV793" s="1995" t="str">
        <f t="shared" si="104"/>
        <v/>
      </c>
      <c r="DW793" s="1995" t="str">
        <f t="shared" si="105"/>
        <v/>
      </c>
      <c r="DX793" s="1995" t="str">
        <f t="shared" si="106"/>
        <v/>
      </c>
      <c r="DY793" s="1995" t="str">
        <f t="shared" si="107"/>
        <v/>
      </c>
      <c r="DZ793" s="1995" t="str">
        <f t="shared" si="108"/>
        <v/>
      </c>
      <c r="EA793" s="1995" t="str">
        <f t="shared" si="109"/>
        <v/>
      </c>
      <c r="EB793" s="1995" t="str">
        <f t="shared" si="110"/>
        <v/>
      </c>
      <c r="EC793" s="1995" t="str">
        <f t="shared" si="111"/>
        <v/>
      </c>
      <c r="ED793" s="1995" t="str">
        <f t="shared" si="112"/>
        <v/>
      </c>
      <c r="EE793" s="1995" t="str">
        <f t="shared" si="113"/>
        <v/>
      </c>
      <c r="EF793" s="1995" t="str">
        <f t="shared" si="114"/>
        <v/>
      </c>
      <c r="EG793" s="1995" t="str">
        <f t="shared" si="115"/>
        <v/>
      </c>
      <c r="EH793" s="1995" t="str">
        <f t="shared" si="116"/>
        <v/>
      </c>
      <c r="EI793" s="1995" t="str">
        <f t="shared" si="117"/>
        <v/>
      </c>
      <c r="EJ793" s="1995" t="str">
        <f t="shared" si="118"/>
        <v/>
      </c>
      <c r="EK793" s="1995" t="str">
        <f t="shared" si="119"/>
        <v/>
      </c>
      <c r="EL793" s="1995" t="str">
        <f t="shared" si="120"/>
        <v/>
      </c>
      <c r="EM793" s="1995" t="str">
        <f t="shared" si="121"/>
        <v/>
      </c>
      <c r="EN793" s="1995" t="str">
        <f t="shared" si="122"/>
        <v/>
      </c>
      <c r="EO793" s="1995" t="str">
        <f t="shared" si="123"/>
        <v/>
      </c>
      <c r="EP793" s="1995" t="str">
        <f t="shared" si="124"/>
        <v/>
      </c>
      <c r="EQ793" s="1995" t="str">
        <f t="shared" si="125"/>
        <v/>
      </c>
      <c r="ER793" s="1995" t="str">
        <f t="shared" si="126"/>
        <v/>
      </c>
      <c r="ES793" s="1995" t="str">
        <f t="shared" si="127"/>
        <v/>
      </c>
      <c r="ET793" s="1995" t="str">
        <f t="shared" si="128"/>
        <v/>
      </c>
      <c r="EU793" s="1995" t="str">
        <f t="shared" si="129"/>
        <v/>
      </c>
      <c r="EV793" s="1995" t="str">
        <f t="shared" si="130"/>
        <v/>
      </c>
      <c r="EW793" s="1995" t="str">
        <f t="shared" si="131"/>
        <v/>
      </c>
      <c r="EX793" s="1995" t="str">
        <f t="shared" si="132"/>
        <v/>
      </c>
      <c r="EY793" s="1995" t="str">
        <f t="shared" si="133"/>
        <v/>
      </c>
      <c r="EZ793" s="1995" t="str">
        <f t="shared" si="134"/>
        <v/>
      </c>
      <c r="FA793" s="1995" t="str">
        <f t="shared" si="135"/>
        <v/>
      </c>
      <c r="FB793" s="1995" t="str">
        <f t="shared" si="136"/>
        <v/>
      </c>
      <c r="FC793" s="1995" t="str">
        <f t="shared" si="137"/>
        <v/>
      </c>
      <c r="FD793" s="1995" t="str">
        <f t="shared" si="138"/>
        <v/>
      </c>
      <c r="FE793" s="1995" t="str">
        <f t="shared" si="139"/>
        <v/>
      </c>
      <c r="FF793" s="1995" t="str">
        <f t="shared" si="140"/>
        <v/>
      </c>
      <c r="FG793" s="1995" t="str">
        <f t="shared" si="141"/>
        <v/>
      </c>
      <c r="FH793" s="1995" t="str">
        <f t="shared" si="142"/>
        <v/>
      </c>
      <c r="FI793" s="1995" t="str">
        <f t="shared" si="143"/>
        <v/>
      </c>
      <c r="FJ793" s="1995" t="str">
        <f t="shared" si="144"/>
        <v/>
      </c>
      <c r="FK793" s="1995" t="str">
        <f t="shared" si="145"/>
        <v/>
      </c>
      <c r="FL793" s="1995" t="str">
        <f t="shared" si="146"/>
        <v/>
      </c>
      <c r="FM793" s="1995" t="str">
        <f t="shared" si="147"/>
        <v/>
      </c>
      <c r="FN793" s="1995" t="str">
        <f t="shared" si="148"/>
        <v/>
      </c>
      <c r="FO793" s="1995" t="str">
        <f t="shared" si="149"/>
        <v/>
      </c>
      <c r="FP793" s="1995" t="str">
        <f t="shared" si="150"/>
        <v/>
      </c>
      <c r="FQ793" s="1995" t="str">
        <f t="shared" si="151"/>
        <v/>
      </c>
      <c r="FR793" s="1995" t="str">
        <f t="shared" si="152"/>
        <v/>
      </c>
      <c r="FS793" s="1995" t="str">
        <f t="shared" si="153"/>
        <v/>
      </c>
      <c r="FT793" s="1995" t="str">
        <f t="shared" si="154"/>
        <v/>
      </c>
      <c r="FU793" s="1995" t="str">
        <f t="shared" si="155"/>
        <v/>
      </c>
      <c r="FV793" s="1995" t="str">
        <f t="shared" si="156"/>
        <v/>
      </c>
      <c r="FW793" s="1995" t="str">
        <f t="shared" si="157"/>
        <v/>
      </c>
      <c r="FX793" s="1995" t="str">
        <f t="shared" si="158"/>
        <v/>
      </c>
      <c r="FY793" s="1995" t="str">
        <f t="shared" si="159"/>
        <v/>
      </c>
      <c r="FZ793" s="1995" t="str">
        <f t="shared" si="160"/>
        <v/>
      </c>
      <c r="GA793" s="1995" t="str">
        <f t="shared" si="161"/>
        <v/>
      </c>
      <c r="GB793" s="1995" t="str">
        <f t="shared" si="162"/>
        <v/>
      </c>
      <c r="GC793" s="1995" t="str">
        <f t="shared" si="163"/>
        <v/>
      </c>
      <c r="GD793" s="1995" t="str">
        <f t="shared" si="164"/>
        <v/>
      </c>
      <c r="GE793" s="1995" t="str">
        <f t="shared" si="165"/>
        <v/>
      </c>
      <c r="GF793" s="1995" t="str">
        <f t="shared" si="166"/>
        <v/>
      </c>
      <c r="GG793" s="1995" t="str">
        <f t="shared" si="167"/>
        <v/>
      </c>
      <c r="GH793" s="1995" t="str">
        <f t="shared" si="168"/>
        <v/>
      </c>
      <c r="GI793" s="1995" t="str">
        <f t="shared" si="169"/>
        <v/>
      </c>
      <c r="GJ793" s="1995" t="str">
        <f t="shared" si="170"/>
        <v/>
      </c>
      <c r="GK793" s="1995" t="str">
        <f t="shared" si="171"/>
        <v/>
      </c>
      <c r="GL793" s="1995" t="str">
        <f t="shared" si="172"/>
        <v/>
      </c>
      <c r="GM793" s="1995" t="str">
        <f t="shared" si="173"/>
        <v/>
      </c>
      <c r="GN793" s="1995" t="str">
        <f t="shared" si="174"/>
        <v/>
      </c>
      <c r="GO793" s="1995" t="str">
        <f t="shared" si="175"/>
        <v/>
      </c>
      <c r="GP793" s="1995" t="str">
        <f t="shared" si="176"/>
        <v/>
      </c>
      <c r="GQ793" s="1995" t="str">
        <f t="shared" si="177"/>
        <v/>
      </c>
      <c r="GR793" s="1995" t="str">
        <f t="shared" si="178"/>
        <v/>
      </c>
      <c r="GS793" s="1995" t="str">
        <f t="shared" si="179"/>
        <v/>
      </c>
      <c r="GT793" s="1995" t="str">
        <f t="shared" si="180"/>
        <v/>
      </c>
      <c r="GU793" s="1995" t="str">
        <f t="shared" si="181"/>
        <v/>
      </c>
      <c r="GV793" s="1995" t="str">
        <f t="shared" si="182"/>
        <v/>
      </c>
      <c r="GW793" s="1995" t="str">
        <f t="shared" si="183"/>
        <v/>
      </c>
      <c r="GX793" s="1995" t="str">
        <f t="shared" si="184"/>
        <v/>
      </c>
      <c r="GY793" s="1995" t="str">
        <f t="shared" si="185"/>
        <v/>
      </c>
      <c r="GZ793" s="1995" t="str">
        <f t="shared" si="186"/>
        <v/>
      </c>
      <c r="HA793" s="1995" t="str">
        <f t="shared" si="187"/>
        <v/>
      </c>
      <c r="HB793" s="1995" t="str">
        <f t="shared" si="188"/>
        <v/>
      </c>
      <c r="HC793" s="1995" t="str">
        <f t="shared" si="189"/>
        <v/>
      </c>
      <c r="HD793" s="1995" t="str">
        <f t="shared" si="190"/>
        <v/>
      </c>
      <c r="HE793" s="1995" t="str">
        <f t="shared" si="191"/>
        <v/>
      </c>
      <c r="HF793" s="1995" t="str">
        <f t="shared" si="192"/>
        <v/>
      </c>
      <c r="HG793" s="1995" t="str">
        <f t="shared" si="193"/>
        <v/>
      </c>
      <c r="HH793" s="1995" t="str">
        <f t="shared" si="194"/>
        <v/>
      </c>
      <c r="HI793" s="1995" t="str">
        <f t="shared" si="195"/>
        <v/>
      </c>
      <c r="HJ793" s="1995" t="str">
        <f t="shared" si="196"/>
        <v/>
      </c>
      <c r="HK793" s="1995" t="str">
        <f t="shared" si="197"/>
        <v/>
      </c>
      <c r="HL793" s="1995" t="str">
        <f t="shared" si="198"/>
        <v/>
      </c>
      <c r="HM793" s="1995" t="str">
        <f t="shared" si="199"/>
        <v/>
      </c>
      <c r="HN793" s="1995" t="str">
        <f t="shared" si="200"/>
        <v/>
      </c>
      <c r="HO793" s="1995" t="str">
        <f t="shared" si="201"/>
        <v/>
      </c>
      <c r="HP793" s="1995" t="str">
        <f t="shared" si="202"/>
        <v/>
      </c>
      <c r="HQ793" s="1995" t="str">
        <f t="shared" si="203"/>
        <v/>
      </c>
      <c r="HR793" s="1995" t="str">
        <f t="shared" si="204"/>
        <v/>
      </c>
      <c r="HS793" s="1995" t="str">
        <f t="shared" si="205"/>
        <v/>
      </c>
      <c r="HT793" s="1995" t="str">
        <f t="shared" si="206"/>
        <v/>
      </c>
      <c r="HU793" s="1995" t="str">
        <f t="shared" si="207"/>
        <v/>
      </c>
      <c r="HV793" s="1995" t="str">
        <f t="shared" si="208"/>
        <v/>
      </c>
      <c r="HW793" s="1995" t="str">
        <f t="shared" si="209"/>
        <v/>
      </c>
      <c r="HX793" s="1995" t="str">
        <f t="shared" si="210"/>
        <v/>
      </c>
      <c r="HY793" s="1995" t="str">
        <f t="shared" si="211"/>
        <v/>
      </c>
      <c r="HZ793" s="1900" t="str">
        <f t="shared" si="212"/>
        <v/>
      </c>
      <c r="IA793" s="1900" t="str">
        <f t="shared" si="213"/>
        <v/>
      </c>
      <c r="IB793" s="1900" t="str">
        <f t="shared" si="214"/>
        <v/>
      </c>
      <c r="IC793" s="1900" t="str">
        <f t="shared" si="215"/>
        <v/>
      </c>
      <c r="ID793" s="1900" t="str">
        <f t="shared" si="216"/>
        <v/>
      </c>
      <c r="IE793" s="1900" t="str">
        <f t="shared" si="217"/>
        <v/>
      </c>
      <c r="IF793" s="1900" t="str">
        <f t="shared" si="218"/>
        <v/>
      </c>
      <c r="IG793" s="1900" t="str">
        <f t="shared" si="219"/>
        <v/>
      </c>
      <c r="IH793" s="1900" t="str">
        <f t="shared" si="220"/>
        <v/>
      </c>
      <c r="II793" s="1900" t="str">
        <f t="shared" si="221"/>
        <v/>
      </c>
      <c r="IJ793" s="1900" t="str">
        <f t="shared" si="222"/>
        <v/>
      </c>
      <c r="IK793" s="1900" t="str">
        <f t="shared" si="223"/>
        <v/>
      </c>
      <c r="IL793" s="1900" t="str">
        <f t="shared" si="224"/>
        <v/>
      </c>
      <c r="IM793" s="1900" t="str">
        <f t="shared" si="225"/>
        <v/>
      </c>
      <c r="IN793" s="1900" t="str">
        <f t="shared" si="226"/>
        <v/>
      </c>
      <c r="IO793" s="1900" t="str">
        <f t="shared" si="227"/>
        <v/>
      </c>
      <c r="IP793" s="1900" t="str">
        <f t="shared" si="228"/>
        <v/>
      </c>
      <c r="IQ793" s="1900" t="str">
        <f t="shared" si="229"/>
        <v/>
      </c>
      <c r="IR793" s="1900" t="str">
        <f t="shared" si="230"/>
        <v/>
      </c>
      <c r="IS793" s="1900" t="str">
        <f t="shared" si="231"/>
        <v/>
      </c>
      <c r="IT793" s="1900" t="str">
        <f t="shared" si="232"/>
        <v/>
      </c>
      <c r="IU793" s="1900" t="str">
        <f t="shared" si="233"/>
        <v/>
      </c>
      <c r="IV793" s="1900" t="str">
        <f t="shared" si="234"/>
        <v/>
      </c>
      <c r="IW793" s="1900" t="str">
        <f t="shared" si="235"/>
        <v/>
      </c>
      <c r="IX793" s="1900" t="str">
        <f t="shared" si="236"/>
        <v/>
      </c>
      <c r="IY793" s="1900" t="str">
        <f t="shared" si="237"/>
        <v/>
      </c>
      <c r="IZ793" s="1900" t="str">
        <f t="shared" si="238"/>
        <v/>
      </c>
      <c r="JA793" s="1900" t="str">
        <f t="shared" si="239"/>
        <v/>
      </c>
      <c r="JB793" s="1900" t="str">
        <f t="shared" si="240"/>
        <v/>
      </c>
      <c r="JC793" s="1900" t="str">
        <f t="shared" si="241"/>
        <v/>
      </c>
      <c r="JD793" s="1900" t="str">
        <f t="shared" si="242"/>
        <v/>
      </c>
      <c r="JE793" s="1900" t="str">
        <f t="shared" si="243"/>
        <v/>
      </c>
      <c r="JF793" s="1900" t="str">
        <f t="shared" si="244"/>
        <v/>
      </c>
      <c r="JG793" s="1900" t="str">
        <f t="shared" si="245"/>
        <v/>
      </c>
      <c r="JH793" s="1900" t="str">
        <f t="shared" si="246"/>
        <v/>
      </c>
      <c r="JI793" s="1900" t="str">
        <f t="shared" si="247"/>
        <v/>
      </c>
      <c r="JJ793" s="1900" t="str">
        <f t="shared" si="248"/>
        <v/>
      </c>
      <c r="JK793" s="1900" t="str">
        <f t="shared" si="249"/>
        <v/>
      </c>
      <c r="JL793" s="1900" t="str">
        <f t="shared" si="250"/>
        <v/>
      </c>
      <c r="JM793" s="1900" t="str">
        <f t="shared" si="251"/>
        <v/>
      </c>
      <c r="JN793" s="1900" t="str">
        <f t="shared" si="252"/>
        <v/>
      </c>
      <c r="JO793" s="1900" t="str">
        <f t="shared" si="253"/>
        <v/>
      </c>
      <c r="JP793" s="1900" t="str">
        <f t="shared" si="254"/>
        <v/>
      </c>
      <c r="JQ793" s="1900" t="str">
        <f t="shared" si="255"/>
        <v/>
      </c>
      <c r="JR793" s="1900" t="str">
        <f t="shared" si="256"/>
        <v/>
      </c>
      <c r="JS793" s="1900" t="str">
        <f t="shared" si="257"/>
        <v/>
      </c>
      <c r="JT793" s="1900" t="str">
        <f t="shared" si="258"/>
        <v/>
      </c>
      <c r="JU793" s="1900" t="str">
        <f t="shared" si="259"/>
        <v/>
      </c>
      <c r="JV793" s="1900" t="str">
        <f t="shared" si="260"/>
        <v/>
      </c>
      <c r="JW793" s="1900" t="str">
        <f t="shared" si="261"/>
        <v/>
      </c>
      <c r="JX793" s="1900" t="str">
        <f t="shared" si="262"/>
        <v/>
      </c>
      <c r="JY793" s="1900" t="str">
        <f t="shared" si="263"/>
        <v/>
      </c>
      <c r="JZ793" s="1900" t="str">
        <f t="shared" si="264"/>
        <v/>
      </c>
      <c r="KA793" s="1900" t="str">
        <f t="shared" si="265"/>
        <v/>
      </c>
      <c r="KB793" s="1900" t="str">
        <f t="shared" si="266"/>
        <v/>
      </c>
      <c r="KC793" s="1900" t="str">
        <f t="shared" si="267"/>
        <v/>
      </c>
      <c r="KD793" s="1900" t="str">
        <f t="shared" si="268"/>
        <v/>
      </c>
      <c r="KE793" s="1900" t="str">
        <f t="shared" si="269"/>
        <v/>
      </c>
      <c r="KF793" s="1900" t="str">
        <f t="shared" si="270"/>
        <v/>
      </c>
      <c r="KG793" s="1900" t="str">
        <f t="shared" si="271"/>
        <v/>
      </c>
      <c r="KH793" s="1900" t="str">
        <f t="shared" si="272"/>
        <v/>
      </c>
      <c r="KI793" s="1900" t="str">
        <f t="shared" si="273"/>
        <v/>
      </c>
      <c r="KJ793" s="1900" t="str">
        <f t="shared" si="274"/>
        <v/>
      </c>
      <c r="KK793" s="1900" t="str">
        <f t="shared" si="275"/>
        <v/>
      </c>
      <c r="KL793" s="1900" t="str">
        <f t="shared" si="276"/>
        <v/>
      </c>
      <c r="KM793" s="1900" t="str">
        <f t="shared" si="277"/>
        <v/>
      </c>
      <c r="KN793" s="1900" t="str">
        <f t="shared" si="278"/>
        <v/>
      </c>
      <c r="KO793" s="1900" t="str">
        <f t="shared" si="279"/>
        <v/>
      </c>
      <c r="KP793" s="1900" t="str">
        <f t="shared" si="280"/>
        <v/>
      </c>
      <c r="KQ793" s="1900" t="str">
        <f t="shared" si="281"/>
        <v/>
      </c>
      <c r="KR793" s="1900" t="str">
        <f t="shared" si="282"/>
        <v/>
      </c>
      <c r="KS793" s="1900" t="str">
        <f t="shared" si="283"/>
        <v/>
      </c>
      <c r="KT793" s="1900" t="str">
        <f t="shared" si="284"/>
        <v/>
      </c>
      <c r="KU793" s="1900" t="str">
        <f t="shared" si="285"/>
        <v/>
      </c>
      <c r="KV793" s="1900" t="str">
        <f t="shared" si="286"/>
        <v/>
      </c>
      <c r="KW793" s="1900" t="str">
        <f t="shared" si="287"/>
        <v/>
      </c>
      <c r="KX793" s="1900" t="str">
        <f t="shared" si="288"/>
        <v/>
      </c>
      <c r="KY793" s="1900" t="str">
        <f t="shared" si="289"/>
        <v/>
      </c>
      <c r="KZ793" s="1900" t="str">
        <f t="shared" si="290"/>
        <v/>
      </c>
      <c r="LA793" s="1900" t="str">
        <f t="shared" si="291"/>
        <v/>
      </c>
      <c r="LB793" s="1900" t="str">
        <f t="shared" si="292"/>
        <v/>
      </c>
      <c r="LC793" s="1900" t="str">
        <f t="shared" si="293"/>
        <v/>
      </c>
      <c r="LD793" s="1900" t="str">
        <f t="shared" si="294"/>
        <v/>
      </c>
      <c r="LE793" s="1900" t="str">
        <f t="shared" si="295"/>
        <v/>
      </c>
      <c r="LF793" s="1900" t="str">
        <f t="shared" si="296"/>
        <v/>
      </c>
      <c r="LG793" s="1900" t="str">
        <f t="shared" si="297"/>
        <v/>
      </c>
      <c r="LH793" s="1900" t="str">
        <f t="shared" si="298"/>
        <v/>
      </c>
      <c r="LI793" s="1900" t="str">
        <f t="shared" si="299"/>
        <v/>
      </c>
      <c r="LJ793" s="1900" t="str">
        <f t="shared" si="300"/>
        <v/>
      </c>
      <c r="LK793" s="1900" t="str">
        <f t="shared" si="301"/>
        <v/>
      </c>
      <c r="LL793" s="1900" t="str">
        <f t="shared" si="302"/>
        <v/>
      </c>
      <c r="LM793" s="1900" t="str">
        <f t="shared" si="303"/>
        <v/>
      </c>
      <c r="LN793" s="1900" t="str">
        <f t="shared" si="304"/>
        <v/>
      </c>
      <c r="LO793" s="1900" t="str">
        <f t="shared" si="305"/>
        <v/>
      </c>
      <c r="LP793" s="1900" t="str">
        <f t="shared" si="306"/>
        <v/>
      </c>
      <c r="LQ793" s="1874" t="str">
        <f t="shared" si="307"/>
        <v/>
      </c>
      <c r="LR793" s="1874" t="str">
        <f t="shared" si="308"/>
        <v/>
      </c>
      <c r="LS793" s="1874" t="str">
        <f t="shared" si="309"/>
        <v/>
      </c>
      <c r="LT793" s="1874" t="str">
        <f t="shared" si="310"/>
        <v/>
      </c>
      <c r="LU793" s="1874" t="str">
        <f t="shared" si="311"/>
        <v/>
      </c>
      <c r="LV793" s="1995" t="str">
        <f t="shared" si="312"/>
        <v/>
      </c>
      <c r="LW793" s="1995" t="str">
        <f t="shared" si="313"/>
        <v/>
      </c>
      <c r="LX793" s="1995" t="str">
        <f t="shared" si="314"/>
        <v/>
      </c>
      <c r="LY793" s="1995" t="str">
        <f t="shared" si="315"/>
        <v/>
      </c>
      <c r="LZ793" s="1995" t="str">
        <f t="shared" si="316"/>
        <v/>
      </c>
      <c r="MA793" s="1995" t="str">
        <f t="shared" si="317"/>
        <v/>
      </c>
      <c r="MB793" s="1995" t="str">
        <f t="shared" si="318"/>
        <v/>
      </c>
      <c r="MC793" s="1995" t="str">
        <f t="shared" si="319"/>
        <v/>
      </c>
      <c r="MD793" s="1995" t="str">
        <f t="shared" si="320"/>
        <v/>
      </c>
      <c r="ME793" s="1995" t="str">
        <f t="shared" si="321"/>
        <v/>
      </c>
      <c r="MF793" s="1995" t="str">
        <f t="shared" si="322"/>
        <v/>
      </c>
      <c r="MG793" s="1995" t="str">
        <f t="shared" si="323"/>
        <v/>
      </c>
      <c r="MH793" s="1995" t="str">
        <f t="shared" si="324"/>
        <v/>
      </c>
      <c r="MI793" s="1995" t="str">
        <f t="shared" si="325"/>
        <v/>
      </c>
      <c r="MJ793" s="1995" t="str">
        <f t="shared" si="326"/>
        <v/>
      </c>
      <c r="MK793" s="1995" t="str">
        <f t="shared" si="327"/>
        <v/>
      </c>
      <c r="ML793" s="1995" t="str">
        <f t="shared" si="328"/>
        <v/>
      </c>
      <c r="MM793" s="1995" t="str">
        <f t="shared" si="329"/>
        <v/>
      </c>
      <c r="MN793" s="1995" t="str">
        <f t="shared" si="330"/>
        <v/>
      </c>
      <c r="MO793" s="1995" t="str">
        <f t="shared" si="331"/>
        <v/>
      </c>
      <c r="MP793" s="1874">
        <f t="shared" si="338"/>
        <v>0</v>
      </c>
      <c r="MQ793" s="1874">
        <f t="shared" si="339"/>
        <v>0</v>
      </c>
      <c r="MR793" s="1874">
        <f t="shared" si="340"/>
        <v>0</v>
      </c>
      <c r="MS793" s="1874">
        <f t="shared" si="341"/>
        <v>0</v>
      </c>
      <c r="MT793" s="1874">
        <f t="shared" si="342"/>
        <v>0</v>
      </c>
      <c r="MU793" s="1874">
        <f t="shared" si="343"/>
        <v>0</v>
      </c>
      <c r="MV793" s="1874">
        <f t="shared" si="344"/>
        <v>0</v>
      </c>
      <c r="MW793" s="1874">
        <f t="shared" si="345"/>
        <v>0</v>
      </c>
      <c r="MX793" s="1874">
        <f t="shared" si="346"/>
        <v>0</v>
      </c>
      <c r="MY793" s="1874">
        <f t="shared" si="347"/>
        <v>0</v>
      </c>
      <c r="MZ793" s="1874">
        <f t="shared" si="332"/>
        <v>0</v>
      </c>
      <c r="NA793" s="1874">
        <f t="shared" si="333"/>
        <v>0</v>
      </c>
      <c r="NB793" s="1874">
        <f t="shared" si="334"/>
        <v>0</v>
      </c>
      <c r="NC793" s="1874">
        <f t="shared" si="335"/>
        <v>0</v>
      </c>
      <c r="ND793" s="1874">
        <f t="shared" si="336"/>
        <v>0</v>
      </c>
    </row>
    <row r="794" spans="1:368" ht="13.95" customHeight="1">
      <c r="A794" s="1896" t="str">
        <f t="shared" si="337"/>
        <v/>
      </c>
      <c r="B794" s="2212">
        <f>'Part VI-Revenues &amp; Expenses'!B25</f>
        <v>0</v>
      </c>
      <c r="C794" s="2213">
        <f>'Part VI-Revenues &amp; Expenses'!C25</f>
        <v>0</v>
      </c>
      <c r="D794" s="2214">
        <f>'Part VI-Revenues &amp; Expenses'!D25</f>
        <v>0</v>
      </c>
      <c r="E794" s="2215">
        <f>'Part VI-Revenues &amp; Expenses'!E25</f>
        <v>0</v>
      </c>
      <c r="F794" s="2215">
        <f>'Part VI-Revenues &amp; Expenses'!F25</f>
        <v>0</v>
      </c>
      <c r="G794" s="2215">
        <f>'Part VI-Revenues &amp; Expenses'!G25</f>
        <v>0</v>
      </c>
      <c r="H794" s="2215">
        <f>'Part VI-Revenues &amp; Expenses'!H25</f>
        <v>0</v>
      </c>
      <c r="I794" s="2215">
        <f>'Part VI-Revenues &amp; Expenses'!I25</f>
        <v>0</v>
      </c>
      <c r="J794" s="2215">
        <f>'Part VI-Revenues &amp; Expenses'!J25</f>
        <v>0</v>
      </c>
      <c r="K794" s="2216">
        <f>'Part VI-Revenues &amp; Expenses'!K25</f>
        <v>0</v>
      </c>
      <c r="L794" s="1899">
        <f t="shared" si="0"/>
        <v>0</v>
      </c>
      <c r="M794" s="1899">
        <f t="shared" si="1"/>
        <v>0</v>
      </c>
      <c r="N794" s="2074">
        <f>'Part VI-Revenues &amp; Expenses'!N25</f>
        <v>0</v>
      </c>
      <c r="O794" s="2074">
        <f>'Part VI-Revenues &amp; Expenses'!O25</f>
        <v>0</v>
      </c>
      <c r="P794" s="2074">
        <f>'Part VI-Revenues &amp; Expenses'!P25</f>
        <v>0</v>
      </c>
      <c r="Q794" s="1732">
        <f>'Part VI-Revenues &amp; Expenses'!Q25</f>
        <v>0</v>
      </c>
      <c r="R794" s="1926"/>
      <c r="S794" s="2148"/>
      <c r="T794" s="1910"/>
      <c r="U794" s="1910"/>
      <c r="V794" s="1910"/>
      <c r="W794" s="1910"/>
      <c r="X794" s="1995" t="str">
        <f t="shared" si="2"/>
        <v/>
      </c>
      <c r="Y794" s="1995" t="str">
        <f t="shared" si="3"/>
        <v/>
      </c>
      <c r="Z794" s="1995" t="str">
        <f t="shared" si="4"/>
        <v/>
      </c>
      <c r="AA794" s="1995" t="str">
        <f t="shared" si="5"/>
        <v/>
      </c>
      <c r="AB794" s="1995" t="str">
        <f t="shared" si="6"/>
        <v/>
      </c>
      <c r="AC794" s="1995" t="str">
        <f t="shared" si="7"/>
        <v/>
      </c>
      <c r="AD794" s="1995" t="str">
        <f t="shared" si="8"/>
        <v/>
      </c>
      <c r="AE794" s="1995" t="str">
        <f t="shared" si="9"/>
        <v/>
      </c>
      <c r="AF794" s="1995" t="str">
        <f t="shared" si="10"/>
        <v/>
      </c>
      <c r="AG794" s="1995" t="str">
        <f t="shared" si="11"/>
        <v/>
      </c>
      <c r="AH794" s="1995" t="str">
        <f t="shared" si="12"/>
        <v/>
      </c>
      <c r="AI794" s="1995" t="str">
        <f t="shared" si="13"/>
        <v/>
      </c>
      <c r="AJ794" s="1995" t="str">
        <f t="shared" si="14"/>
        <v/>
      </c>
      <c r="AK794" s="1995" t="str">
        <f t="shared" si="15"/>
        <v/>
      </c>
      <c r="AL794" s="1995" t="str">
        <f t="shared" si="16"/>
        <v/>
      </c>
      <c r="AM794" s="1995" t="str">
        <f t="shared" si="17"/>
        <v/>
      </c>
      <c r="AN794" s="1995" t="str">
        <f t="shared" si="18"/>
        <v/>
      </c>
      <c r="AO794" s="1995" t="str">
        <f t="shared" si="19"/>
        <v/>
      </c>
      <c r="AP794" s="1995" t="str">
        <f t="shared" si="20"/>
        <v/>
      </c>
      <c r="AQ794" s="1995" t="str">
        <f t="shared" si="21"/>
        <v/>
      </c>
      <c r="AR794" s="1995" t="str">
        <f t="shared" si="22"/>
        <v/>
      </c>
      <c r="AS794" s="1995" t="str">
        <f t="shared" si="23"/>
        <v/>
      </c>
      <c r="AT794" s="1995" t="str">
        <f t="shared" si="24"/>
        <v/>
      </c>
      <c r="AU794" s="1995" t="str">
        <f t="shared" si="25"/>
        <v/>
      </c>
      <c r="AV794" s="1995" t="str">
        <f t="shared" si="26"/>
        <v/>
      </c>
      <c r="AW794" s="1995" t="str">
        <f t="shared" si="27"/>
        <v/>
      </c>
      <c r="AX794" s="1995" t="str">
        <f t="shared" si="28"/>
        <v/>
      </c>
      <c r="AY794" s="1995" t="str">
        <f t="shared" si="29"/>
        <v/>
      </c>
      <c r="AZ794" s="1995" t="str">
        <f t="shared" si="30"/>
        <v/>
      </c>
      <c r="BA794" s="1995" t="str">
        <f t="shared" si="31"/>
        <v/>
      </c>
      <c r="BB794" s="1995" t="str">
        <f t="shared" si="32"/>
        <v/>
      </c>
      <c r="BC794" s="1995" t="str">
        <f t="shared" si="33"/>
        <v/>
      </c>
      <c r="BD794" s="1995" t="str">
        <f t="shared" si="34"/>
        <v/>
      </c>
      <c r="BE794" s="1995" t="str">
        <f t="shared" si="35"/>
        <v/>
      </c>
      <c r="BF794" s="1995" t="str">
        <f t="shared" si="36"/>
        <v/>
      </c>
      <c r="BG794" s="1995" t="str">
        <f t="shared" si="37"/>
        <v/>
      </c>
      <c r="BH794" s="1995" t="str">
        <f t="shared" si="38"/>
        <v/>
      </c>
      <c r="BI794" s="1995" t="str">
        <f t="shared" si="39"/>
        <v/>
      </c>
      <c r="BJ794" s="1995" t="str">
        <f t="shared" si="40"/>
        <v/>
      </c>
      <c r="BK794" s="1995" t="str">
        <f t="shared" si="41"/>
        <v/>
      </c>
      <c r="BL794" s="1995" t="str">
        <f t="shared" si="42"/>
        <v/>
      </c>
      <c r="BM794" s="1995" t="str">
        <f t="shared" si="43"/>
        <v/>
      </c>
      <c r="BN794" s="1995" t="str">
        <f t="shared" si="44"/>
        <v/>
      </c>
      <c r="BO794" s="1995" t="str">
        <f t="shared" si="45"/>
        <v/>
      </c>
      <c r="BP794" s="1995" t="str">
        <f t="shared" si="46"/>
        <v/>
      </c>
      <c r="BQ794" s="1995" t="str">
        <f t="shared" si="47"/>
        <v/>
      </c>
      <c r="BR794" s="1995" t="str">
        <f t="shared" si="48"/>
        <v/>
      </c>
      <c r="BS794" s="1995" t="str">
        <f t="shared" si="49"/>
        <v/>
      </c>
      <c r="BT794" s="1995" t="str">
        <f t="shared" si="50"/>
        <v/>
      </c>
      <c r="BU794" s="1995" t="str">
        <f t="shared" si="51"/>
        <v/>
      </c>
      <c r="BV794" s="1995" t="str">
        <f t="shared" si="52"/>
        <v/>
      </c>
      <c r="BW794" s="1995" t="str">
        <f t="shared" si="53"/>
        <v/>
      </c>
      <c r="BX794" s="1995" t="str">
        <f t="shared" si="54"/>
        <v/>
      </c>
      <c r="BY794" s="1995" t="str">
        <f t="shared" si="55"/>
        <v/>
      </c>
      <c r="BZ794" s="1995" t="str">
        <f t="shared" si="56"/>
        <v/>
      </c>
      <c r="CA794" s="1995" t="str">
        <f t="shared" si="57"/>
        <v/>
      </c>
      <c r="CB794" s="1995" t="str">
        <f t="shared" si="58"/>
        <v/>
      </c>
      <c r="CC794" s="1995" t="str">
        <f t="shared" si="59"/>
        <v/>
      </c>
      <c r="CD794" s="1995" t="str">
        <f t="shared" si="60"/>
        <v/>
      </c>
      <c r="CE794" s="1995" t="str">
        <f t="shared" si="61"/>
        <v/>
      </c>
      <c r="CF794" s="1995" t="str">
        <f t="shared" si="62"/>
        <v/>
      </c>
      <c r="CG794" s="1995" t="str">
        <f t="shared" si="63"/>
        <v/>
      </c>
      <c r="CH794" s="1995" t="str">
        <f t="shared" si="64"/>
        <v/>
      </c>
      <c r="CI794" s="1995" t="str">
        <f t="shared" si="65"/>
        <v/>
      </c>
      <c r="CJ794" s="1995" t="str">
        <f t="shared" si="66"/>
        <v/>
      </c>
      <c r="CK794" s="1995" t="str">
        <f t="shared" si="67"/>
        <v/>
      </c>
      <c r="CL794" s="1995" t="str">
        <f t="shared" si="68"/>
        <v/>
      </c>
      <c r="CM794" s="1995" t="str">
        <f t="shared" si="69"/>
        <v/>
      </c>
      <c r="CN794" s="1995" t="str">
        <f t="shared" si="70"/>
        <v/>
      </c>
      <c r="CO794" s="1995" t="str">
        <f t="shared" si="71"/>
        <v/>
      </c>
      <c r="CP794" s="1995" t="str">
        <f t="shared" si="72"/>
        <v/>
      </c>
      <c r="CQ794" s="1995" t="str">
        <f t="shared" si="73"/>
        <v/>
      </c>
      <c r="CR794" s="1995" t="str">
        <f t="shared" si="74"/>
        <v/>
      </c>
      <c r="CS794" s="1995" t="str">
        <f t="shared" si="75"/>
        <v/>
      </c>
      <c r="CT794" s="1995" t="str">
        <f t="shared" si="76"/>
        <v/>
      </c>
      <c r="CU794" s="1995" t="str">
        <f t="shared" si="77"/>
        <v/>
      </c>
      <c r="CV794" s="1995" t="str">
        <f t="shared" si="78"/>
        <v/>
      </c>
      <c r="CW794" s="1995" t="str">
        <f t="shared" si="79"/>
        <v/>
      </c>
      <c r="CX794" s="1995" t="str">
        <f t="shared" si="80"/>
        <v/>
      </c>
      <c r="CY794" s="1995" t="str">
        <f t="shared" si="81"/>
        <v/>
      </c>
      <c r="CZ794" s="1995" t="str">
        <f t="shared" si="82"/>
        <v/>
      </c>
      <c r="DA794" s="1995" t="str">
        <f t="shared" si="83"/>
        <v/>
      </c>
      <c r="DB794" s="1995" t="str">
        <f t="shared" si="84"/>
        <v/>
      </c>
      <c r="DC794" s="1995" t="str">
        <f t="shared" si="85"/>
        <v/>
      </c>
      <c r="DD794" s="1995" t="str">
        <f t="shared" si="86"/>
        <v/>
      </c>
      <c r="DE794" s="1995" t="str">
        <f t="shared" si="87"/>
        <v/>
      </c>
      <c r="DF794" s="1995" t="str">
        <f t="shared" si="88"/>
        <v/>
      </c>
      <c r="DG794" s="1995" t="str">
        <f t="shared" si="89"/>
        <v/>
      </c>
      <c r="DH794" s="1995" t="str">
        <f t="shared" si="90"/>
        <v/>
      </c>
      <c r="DI794" s="1995" t="str">
        <f t="shared" si="91"/>
        <v/>
      </c>
      <c r="DJ794" s="1995" t="str">
        <f t="shared" si="92"/>
        <v/>
      </c>
      <c r="DK794" s="1995" t="str">
        <f t="shared" si="93"/>
        <v/>
      </c>
      <c r="DL794" s="1995" t="str">
        <f t="shared" si="94"/>
        <v/>
      </c>
      <c r="DM794" s="1995" t="str">
        <f t="shared" si="95"/>
        <v/>
      </c>
      <c r="DN794" s="1995" t="str">
        <f t="shared" si="96"/>
        <v/>
      </c>
      <c r="DO794" s="1995" t="str">
        <f t="shared" si="97"/>
        <v/>
      </c>
      <c r="DP794" s="1995" t="str">
        <f t="shared" si="98"/>
        <v/>
      </c>
      <c r="DQ794" s="1995" t="str">
        <f t="shared" si="99"/>
        <v/>
      </c>
      <c r="DR794" s="1995" t="str">
        <f t="shared" si="100"/>
        <v/>
      </c>
      <c r="DS794" s="1995" t="str">
        <f t="shared" si="101"/>
        <v/>
      </c>
      <c r="DT794" s="1995" t="str">
        <f t="shared" si="102"/>
        <v/>
      </c>
      <c r="DU794" s="1995" t="str">
        <f t="shared" si="103"/>
        <v/>
      </c>
      <c r="DV794" s="1995" t="str">
        <f t="shared" si="104"/>
        <v/>
      </c>
      <c r="DW794" s="1995" t="str">
        <f t="shared" si="105"/>
        <v/>
      </c>
      <c r="DX794" s="1995" t="str">
        <f t="shared" si="106"/>
        <v/>
      </c>
      <c r="DY794" s="1995" t="str">
        <f t="shared" si="107"/>
        <v/>
      </c>
      <c r="DZ794" s="1995" t="str">
        <f t="shared" si="108"/>
        <v/>
      </c>
      <c r="EA794" s="1995" t="str">
        <f t="shared" si="109"/>
        <v/>
      </c>
      <c r="EB794" s="1995" t="str">
        <f t="shared" si="110"/>
        <v/>
      </c>
      <c r="EC794" s="1995" t="str">
        <f t="shared" si="111"/>
        <v/>
      </c>
      <c r="ED794" s="1995" t="str">
        <f t="shared" si="112"/>
        <v/>
      </c>
      <c r="EE794" s="1995" t="str">
        <f t="shared" si="113"/>
        <v/>
      </c>
      <c r="EF794" s="1995" t="str">
        <f t="shared" si="114"/>
        <v/>
      </c>
      <c r="EG794" s="1995" t="str">
        <f t="shared" si="115"/>
        <v/>
      </c>
      <c r="EH794" s="1995" t="str">
        <f t="shared" si="116"/>
        <v/>
      </c>
      <c r="EI794" s="1995" t="str">
        <f t="shared" si="117"/>
        <v/>
      </c>
      <c r="EJ794" s="1995" t="str">
        <f t="shared" si="118"/>
        <v/>
      </c>
      <c r="EK794" s="1995" t="str">
        <f t="shared" si="119"/>
        <v/>
      </c>
      <c r="EL794" s="1995" t="str">
        <f t="shared" si="120"/>
        <v/>
      </c>
      <c r="EM794" s="1995" t="str">
        <f t="shared" si="121"/>
        <v/>
      </c>
      <c r="EN794" s="1995" t="str">
        <f t="shared" si="122"/>
        <v/>
      </c>
      <c r="EO794" s="1995" t="str">
        <f t="shared" si="123"/>
        <v/>
      </c>
      <c r="EP794" s="1995" t="str">
        <f t="shared" si="124"/>
        <v/>
      </c>
      <c r="EQ794" s="1995" t="str">
        <f t="shared" si="125"/>
        <v/>
      </c>
      <c r="ER794" s="1995" t="str">
        <f t="shared" si="126"/>
        <v/>
      </c>
      <c r="ES794" s="1995" t="str">
        <f t="shared" si="127"/>
        <v/>
      </c>
      <c r="ET794" s="1995" t="str">
        <f t="shared" si="128"/>
        <v/>
      </c>
      <c r="EU794" s="1995" t="str">
        <f t="shared" si="129"/>
        <v/>
      </c>
      <c r="EV794" s="1995" t="str">
        <f t="shared" si="130"/>
        <v/>
      </c>
      <c r="EW794" s="1995" t="str">
        <f t="shared" si="131"/>
        <v/>
      </c>
      <c r="EX794" s="1995" t="str">
        <f t="shared" si="132"/>
        <v/>
      </c>
      <c r="EY794" s="1995" t="str">
        <f t="shared" si="133"/>
        <v/>
      </c>
      <c r="EZ794" s="1995" t="str">
        <f t="shared" si="134"/>
        <v/>
      </c>
      <c r="FA794" s="1995" t="str">
        <f t="shared" si="135"/>
        <v/>
      </c>
      <c r="FB794" s="1995" t="str">
        <f t="shared" si="136"/>
        <v/>
      </c>
      <c r="FC794" s="1995" t="str">
        <f t="shared" si="137"/>
        <v/>
      </c>
      <c r="FD794" s="1995" t="str">
        <f t="shared" si="138"/>
        <v/>
      </c>
      <c r="FE794" s="1995" t="str">
        <f t="shared" si="139"/>
        <v/>
      </c>
      <c r="FF794" s="1995" t="str">
        <f t="shared" si="140"/>
        <v/>
      </c>
      <c r="FG794" s="1995" t="str">
        <f t="shared" si="141"/>
        <v/>
      </c>
      <c r="FH794" s="1995" t="str">
        <f t="shared" si="142"/>
        <v/>
      </c>
      <c r="FI794" s="1995" t="str">
        <f t="shared" si="143"/>
        <v/>
      </c>
      <c r="FJ794" s="1995" t="str">
        <f t="shared" si="144"/>
        <v/>
      </c>
      <c r="FK794" s="1995" t="str">
        <f t="shared" si="145"/>
        <v/>
      </c>
      <c r="FL794" s="1995" t="str">
        <f t="shared" si="146"/>
        <v/>
      </c>
      <c r="FM794" s="1995" t="str">
        <f t="shared" si="147"/>
        <v/>
      </c>
      <c r="FN794" s="1995" t="str">
        <f t="shared" si="148"/>
        <v/>
      </c>
      <c r="FO794" s="1995" t="str">
        <f t="shared" si="149"/>
        <v/>
      </c>
      <c r="FP794" s="1995" t="str">
        <f t="shared" si="150"/>
        <v/>
      </c>
      <c r="FQ794" s="1995" t="str">
        <f t="shared" si="151"/>
        <v/>
      </c>
      <c r="FR794" s="1995" t="str">
        <f t="shared" si="152"/>
        <v/>
      </c>
      <c r="FS794" s="1995" t="str">
        <f t="shared" si="153"/>
        <v/>
      </c>
      <c r="FT794" s="1995" t="str">
        <f t="shared" si="154"/>
        <v/>
      </c>
      <c r="FU794" s="1995" t="str">
        <f t="shared" si="155"/>
        <v/>
      </c>
      <c r="FV794" s="1995" t="str">
        <f t="shared" si="156"/>
        <v/>
      </c>
      <c r="FW794" s="1995" t="str">
        <f t="shared" si="157"/>
        <v/>
      </c>
      <c r="FX794" s="1995" t="str">
        <f t="shared" si="158"/>
        <v/>
      </c>
      <c r="FY794" s="1995" t="str">
        <f t="shared" si="159"/>
        <v/>
      </c>
      <c r="FZ794" s="1995" t="str">
        <f t="shared" si="160"/>
        <v/>
      </c>
      <c r="GA794" s="1995" t="str">
        <f t="shared" si="161"/>
        <v/>
      </c>
      <c r="GB794" s="1995" t="str">
        <f t="shared" si="162"/>
        <v/>
      </c>
      <c r="GC794" s="1995" t="str">
        <f t="shared" si="163"/>
        <v/>
      </c>
      <c r="GD794" s="1995" t="str">
        <f t="shared" si="164"/>
        <v/>
      </c>
      <c r="GE794" s="1995" t="str">
        <f t="shared" si="165"/>
        <v/>
      </c>
      <c r="GF794" s="1995" t="str">
        <f t="shared" si="166"/>
        <v/>
      </c>
      <c r="GG794" s="1995" t="str">
        <f t="shared" si="167"/>
        <v/>
      </c>
      <c r="GH794" s="1995" t="str">
        <f t="shared" si="168"/>
        <v/>
      </c>
      <c r="GI794" s="1995" t="str">
        <f t="shared" si="169"/>
        <v/>
      </c>
      <c r="GJ794" s="1995" t="str">
        <f t="shared" si="170"/>
        <v/>
      </c>
      <c r="GK794" s="1995" t="str">
        <f t="shared" si="171"/>
        <v/>
      </c>
      <c r="GL794" s="1995" t="str">
        <f t="shared" si="172"/>
        <v/>
      </c>
      <c r="GM794" s="1995" t="str">
        <f t="shared" si="173"/>
        <v/>
      </c>
      <c r="GN794" s="1995" t="str">
        <f t="shared" si="174"/>
        <v/>
      </c>
      <c r="GO794" s="1995" t="str">
        <f t="shared" si="175"/>
        <v/>
      </c>
      <c r="GP794" s="1995" t="str">
        <f t="shared" si="176"/>
        <v/>
      </c>
      <c r="GQ794" s="1995" t="str">
        <f t="shared" si="177"/>
        <v/>
      </c>
      <c r="GR794" s="1995" t="str">
        <f t="shared" si="178"/>
        <v/>
      </c>
      <c r="GS794" s="1995" t="str">
        <f t="shared" si="179"/>
        <v/>
      </c>
      <c r="GT794" s="1995" t="str">
        <f t="shared" si="180"/>
        <v/>
      </c>
      <c r="GU794" s="1995" t="str">
        <f t="shared" si="181"/>
        <v/>
      </c>
      <c r="GV794" s="1995" t="str">
        <f t="shared" si="182"/>
        <v/>
      </c>
      <c r="GW794" s="1995" t="str">
        <f t="shared" si="183"/>
        <v/>
      </c>
      <c r="GX794" s="1995" t="str">
        <f t="shared" si="184"/>
        <v/>
      </c>
      <c r="GY794" s="1995" t="str">
        <f t="shared" si="185"/>
        <v/>
      </c>
      <c r="GZ794" s="1995" t="str">
        <f t="shared" si="186"/>
        <v/>
      </c>
      <c r="HA794" s="1995" t="str">
        <f t="shared" si="187"/>
        <v/>
      </c>
      <c r="HB794" s="1995" t="str">
        <f t="shared" si="188"/>
        <v/>
      </c>
      <c r="HC794" s="1995" t="str">
        <f t="shared" si="189"/>
        <v/>
      </c>
      <c r="HD794" s="1995" t="str">
        <f t="shared" si="190"/>
        <v/>
      </c>
      <c r="HE794" s="1995" t="str">
        <f t="shared" si="191"/>
        <v/>
      </c>
      <c r="HF794" s="1995" t="str">
        <f t="shared" si="192"/>
        <v/>
      </c>
      <c r="HG794" s="1995" t="str">
        <f t="shared" si="193"/>
        <v/>
      </c>
      <c r="HH794" s="1995" t="str">
        <f t="shared" si="194"/>
        <v/>
      </c>
      <c r="HI794" s="1995" t="str">
        <f t="shared" si="195"/>
        <v/>
      </c>
      <c r="HJ794" s="1995" t="str">
        <f t="shared" si="196"/>
        <v/>
      </c>
      <c r="HK794" s="1995" t="str">
        <f t="shared" si="197"/>
        <v/>
      </c>
      <c r="HL794" s="1995" t="str">
        <f t="shared" si="198"/>
        <v/>
      </c>
      <c r="HM794" s="1995" t="str">
        <f t="shared" si="199"/>
        <v/>
      </c>
      <c r="HN794" s="1995" t="str">
        <f t="shared" si="200"/>
        <v/>
      </c>
      <c r="HO794" s="1995" t="str">
        <f t="shared" si="201"/>
        <v/>
      </c>
      <c r="HP794" s="1995" t="str">
        <f t="shared" si="202"/>
        <v/>
      </c>
      <c r="HQ794" s="1995" t="str">
        <f t="shared" si="203"/>
        <v/>
      </c>
      <c r="HR794" s="1995" t="str">
        <f t="shared" si="204"/>
        <v/>
      </c>
      <c r="HS794" s="1995" t="str">
        <f t="shared" si="205"/>
        <v/>
      </c>
      <c r="HT794" s="1995" t="str">
        <f t="shared" si="206"/>
        <v/>
      </c>
      <c r="HU794" s="1995" t="str">
        <f t="shared" si="207"/>
        <v/>
      </c>
      <c r="HV794" s="1995" t="str">
        <f t="shared" si="208"/>
        <v/>
      </c>
      <c r="HW794" s="1995" t="str">
        <f t="shared" si="209"/>
        <v/>
      </c>
      <c r="HX794" s="1995" t="str">
        <f t="shared" si="210"/>
        <v/>
      </c>
      <c r="HY794" s="1995" t="str">
        <f t="shared" si="211"/>
        <v/>
      </c>
      <c r="HZ794" s="1900" t="str">
        <f t="shared" si="212"/>
        <v/>
      </c>
      <c r="IA794" s="1900" t="str">
        <f t="shared" si="213"/>
        <v/>
      </c>
      <c r="IB794" s="1900" t="str">
        <f t="shared" si="214"/>
        <v/>
      </c>
      <c r="IC794" s="1900" t="str">
        <f t="shared" si="215"/>
        <v/>
      </c>
      <c r="ID794" s="1900" t="str">
        <f t="shared" si="216"/>
        <v/>
      </c>
      <c r="IE794" s="1900" t="str">
        <f t="shared" si="217"/>
        <v/>
      </c>
      <c r="IF794" s="1900" t="str">
        <f t="shared" si="218"/>
        <v/>
      </c>
      <c r="IG794" s="1900" t="str">
        <f t="shared" si="219"/>
        <v/>
      </c>
      <c r="IH794" s="1900" t="str">
        <f t="shared" si="220"/>
        <v/>
      </c>
      <c r="II794" s="1900" t="str">
        <f t="shared" si="221"/>
        <v/>
      </c>
      <c r="IJ794" s="1900" t="str">
        <f t="shared" si="222"/>
        <v/>
      </c>
      <c r="IK794" s="1900" t="str">
        <f t="shared" si="223"/>
        <v/>
      </c>
      <c r="IL794" s="1900" t="str">
        <f t="shared" si="224"/>
        <v/>
      </c>
      <c r="IM794" s="1900" t="str">
        <f t="shared" si="225"/>
        <v/>
      </c>
      <c r="IN794" s="1900" t="str">
        <f t="shared" si="226"/>
        <v/>
      </c>
      <c r="IO794" s="1900" t="str">
        <f t="shared" si="227"/>
        <v/>
      </c>
      <c r="IP794" s="1900" t="str">
        <f t="shared" si="228"/>
        <v/>
      </c>
      <c r="IQ794" s="1900" t="str">
        <f t="shared" si="229"/>
        <v/>
      </c>
      <c r="IR794" s="1900" t="str">
        <f t="shared" si="230"/>
        <v/>
      </c>
      <c r="IS794" s="1900" t="str">
        <f t="shared" si="231"/>
        <v/>
      </c>
      <c r="IT794" s="1900" t="str">
        <f t="shared" si="232"/>
        <v/>
      </c>
      <c r="IU794" s="1900" t="str">
        <f t="shared" si="233"/>
        <v/>
      </c>
      <c r="IV794" s="1900" t="str">
        <f t="shared" si="234"/>
        <v/>
      </c>
      <c r="IW794" s="1900" t="str">
        <f t="shared" si="235"/>
        <v/>
      </c>
      <c r="IX794" s="1900" t="str">
        <f t="shared" si="236"/>
        <v/>
      </c>
      <c r="IY794" s="1900" t="str">
        <f t="shared" si="237"/>
        <v/>
      </c>
      <c r="IZ794" s="1900" t="str">
        <f t="shared" si="238"/>
        <v/>
      </c>
      <c r="JA794" s="1900" t="str">
        <f t="shared" si="239"/>
        <v/>
      </c>
      <c r="JB794" s="1900" t="str">
        <f t="shared" si="240"/>
        <v/>
      </c>
      <c r="JC794" s="1900" t="str">
        <f t="shared" si="241"/>
        <v/>
      </c>
      <c r="JD794" s="1900" t="str">
        <f t="shared" si="242"/>
        <v/>
      </c>
      <c r="JE794" s="1900" t="str">
        <f t="shared" si="243"/>
        <v/>
      </c>
      <c r="JF794" s="1900" t="str">
        <f t="shared" si="244"/>
        <v/>
      </c>
      <c r="JG794" s="1900" t="str">
        <f t="shared" si="245"/>
        <v/>
      </c>
      <c r="JH794" s="1900" t="str">
        <f t="shared" si="246"/>
        <v/>
      </c>
      <c r="JI794" s="1900" t="str">
        <f t="shared" si="247"/>
        <v/>
      </c>
      <c r="JJ794" s="1900" t="str">
        <f t="shared" si="248"/>
        <v/>
      </c>
      <c r="JK794" s="1900" t="str">
        <f t="shared" si="249"/>
        <v/>
      </c>
      <c r="JL794" s="1900" t="str">
        <f t="shared" si="250"/>
        <v/>
      </c>
      <c r="JM794" s="1900" t="str">
        <f t="shared" si="251"/>
        <v/>
      </c>
      <c r="JN794" s="1900" t="str">
        <f t="shared" si="252"/>
        <v/>
      </c>
      <c r="JO794" s="1900" t="str">
        <f t="shared" si="253"/>
        <v/>
      </c>
      <c r="JP794" s="1900" t="str">
        <f t="shared" si="254"/>
        <v/>
      </c>
      <c r="JQ794" s="1900" t="str">
        <f t="shared" si="255"/>
        <v/>
      </c>
      <c r="JR794" s="1900" t="str">
        <f t="shared" si="256"/>
        <v/>
      </c>
      <c r="JS794" s="1900" t="str">
        <f t="shared" si="257"/>
        <v/>
      </c>
      <c r="JT794" s="1900" t="str">
        <f t="shared" si="258"/>
        <v/>
      </c>
      <c r="JU794" s="1900" t="str">
        <f t="shared" si="259"/>
        <v/>
      </c>
      <c r="JV794" s="1900" t="str">
        <f t="shared" si="260"/>
        <v/>
      </c>
      <c r="JW794" s="1900" t="str">
        <f t="shared" si="261"/>
        <v/>
      </c>
      <c r="JX794" s="1900" t="str">
        <f t="shared" si="262"/>
        <v/>
      </c>
      <c r="JY794" s="1900" t="str">
        <f t="shared" si="263"/>
        <v/>
      </c>
      <c r="JZ794" s="1900" t="str">
        <f t="shared" si="264"/>
        <v/>
      </c>
      <c r="KA794" s="1900" t="str">
        <f t="shared" si="265"/>
        <v/>
      </c>
      <c r="KB794" s="1900" t="str">
        <f t="shared" si="266"/>
        <v/>
      </c>
      <c r="KC794" s="1900" t="str">
        <f t="shared" si="267"/>
        <v/>
      </c>
      <c r="KD794" s="1900" t="str">
        <f t="shared" si="268"/>
        <v/>
      </c>
      <c r="KE794" s="1900" t="str">
        <f t="shared" si="269"/>
        <v/>
      </c>
      <c r="KF794" s="1900" t="str">
        <f t="shared" si="270"/>
        <v/>
      </c>
      <c r="KG794" s="1900" t="str">
        <f t="shared" si="271"/>
        <v/>
      </c>
      <c r="KH794" s="1900" t="str">
        <f t="shared" si="272"/>
        <v/>
      </c>
      <c r="KI794" s="1900" t="str">
        <f t="shared" si="273"/>
        <v/>
      </c>
      <c r="KJ794" s="1900" t="str">
        <f t="shared" si="274"/>
        <v/>
      </c>
      <c r="KK794" s="1900" t="str">
        <f t="shared" si="275"/>
        <v/>
      </c>
      <c r="KL794" s="1900" t="str">
        <f t="shared" si="276"/>
        <v/>
      </c>
      <c r="KM794" s="1900" t="str">
        <f t="shared" si="277"/>
        <v/>
      </c>
      <c r="KN794" s="1900" t="str">
        <f t="shared" si="278"/>
        <v/>
      </c>
      <c r="KO794" s="1900" t="str">
        <f t="shared" si="279"/>
        <v/>
      </c>
      <c r="KP794" s="1900" t="str">
        <f t="shared" si="280"/>
        <v/>
      </c>
      <c r="KQ794" s="1900" t="str">
        <f t="shared" si="281"/>
        <v/>
      </c>
      <c r="KR794" s="1900" t="str">
        <f t="shared" si="282"/>
        <v/>
      </c>
      <c r="KS794" s="1900" t="str">
        <f t="shared" si="283"/>
        <v/>
      </c>
      <c r="KT794" s="1900" t="str">
        <f t="shared" si="284"/>
        <v/>
      </c>
      <c r="KU794" s="1900" t="str">
        <f t="shared" si="285"/>
        <v/>
      </c>
      <c r="KV794" s="1900" t="str">
        <f t="shared" si="286"/>
        <v/>
      </c>
      <c r="KW794" s="1900" t="str">
        <f t="shared" si="287"/>
        <v/>
      </c>
      <c r="KX794" s="1900" t="str">
        <f t="shared" si="288"/>
        <v/>
      </c>
      <c r="KY794" s="1900" t="str">
        <f t="shared" si="289"/>
        <v/>
      </c>
      <c r="KZ794" s="1900" t="str">
        <f t="shared" si="290"/>
        <v/>
      </c>
      <c r="LA794" s="1900" t="str">
        <f t="shared" si="291"/>
        <v/>
      </c>
      <c r="LB794" s="1900" t="str">
        <f t="shared" si="292"/>
        <v/>
      </c>
      <c r="LC794" s="1900" t="str">
        <f t="shared" si="293"/>
        <v/>
      </c>
      <c r="LD794" s="1900" t="str">
        <f t="shared" si="294"/>
        <v/>
      </c>
      <c r="LE794" s="1900" t="str">
        <f t="shared" si="295"/>
        <v/>
      </c>
      <c r="LF794" s="1900" t="str">
        <f t="shared" si="296"/>
        <v/>
      </c>
      <c r="LG794" s="1900" t="str">
        <f t="shared" si="297"/>
        <v/>
      </c>
      <c r="LH794" s="1900" t="str">
        <f t="shared" si="298"/>
        <v/>
      </c>
      <c r="LI794" s="1900" t="str">
        <f t="shared" si="299"/>
        <v/>
      </c>
      <c r="LJ794" s="1900" t="str">
        <f t="shared" si="300"/>
        <v/>
      </c>
      <c r="LK794" s="1900" t="str">
        <f t="shared" si="301"/>
        <v/>
      </c>
      <c r="LL794" s="1900" t="str">
        <f t="shared" si="302"/>
        <v/>
      </c>
      <c r="LM794" s="1900" t="str">
        <f t="shared" si="303"/>
        <v/>
      </c>
      <c r="LN794" s="1900" t="str">
        <f t="shared" si="304"/>
        <v/>
      </c>
      <c r="LO794" s="1900" t="str">
        <f t="shared" si="305"/>
        <v/>
      </c>
      <c r="LP794" s="1900" t="str">
        <f t="shared" si="306"/>
        <v/>
      </c>
      <c r="LQ794" s="1874" t="str">
        <f t="shared" si="307"/>
        <v/>
      </c>
      <c r="LR794" s="1874" t="str">
        <f t="shared" si="308"/>
        <v/>
      </c>
      <c r="LS794" s="1874" t="str">
        <f t="shared" si="309"/>
        <v/>
      </c>
      <c r="LT794" s="1874" t="str">
        <f t="shared" si="310"/>
        <v/>
      </c>
      <c r="LU794" s="1874" t="str">
        <f t="shared" si="311"/>
        <v/>
      </c>
      <c r="LV794" s="1995" t="str">
        <f t="shared" si="312"/>
        <v/>
      </c>
      <c r="LW794" s="1995" t="str">
        <f t="shared" si="313"/>
        <v/>
      </c>
      <c r="LX794" s="1995" t="str">
        <f t="shared" si="314"/>
        <v/>
      </c>
      <c r="LY794" s="1995" t="str">
        <f t="shared" si="315"/>
        <v/>
      </c>
      <c r="LZ794" s="1995" t="str">
        <f t="shared" si="316"/>
        <v/>
      </c>
      <c r="MA794" s="1995" t="str">
        <f t="shared" si="317"/>
        <v/>
      </c>
      <c r="MB794" s="1995" t="str">
        <f t="shared" si="318"/>
        <v/>
      </c>
      <c r="MC794" s="1995" t="str">
        <f t="shared" si="319"/>
        <v/>
      </c>
      <c r="MD794" s="1995" t="str">
        <f t="shared" si="320"/>
        <v/>
      </c>
      <c r="ME794" s="1995" t="str">
        <f t="shared" si="321"/>
        <v/>
      </c>
      <c r="MF794" s="1995" t="str">
        <f t="shared" si="322"/>
        <v/>
      </c>
      <c r="MG794" s="1995" t="str">
        <f t="shared" si="323"/>
        <v/>
      </c>
      <c r="MH794" s="1995" t="str">
        <f t="shared" si="324"/>
        <v/>
      </c>
      <c r="MI794" s="1995" t="str">
        <f t="shared" si="325"/>
        <v/>
      </c>
      <c r="MJ794" s="1995" t="str">
        <f t="shared" si="326"/>
        <v/>
      </c>
      <c r="MK794" s="1995" t="str">
        <f t="shared" si="327"/>
        <v/>
      </c>
      <c r="ML794" s="1995" t="str">
        <f t="shared" si="328"/>
        <v/>
      </c>
      <c r="MM794" s="1995" t="str">
        <f t="shared" si="329"/>
        <v/>
      </c>
      <c r="MN794" s="1995" t="str">
        <f t="shared" si="330"/>
        <v/>
      </c>
      <c r="MO794" s="1995" t="str">
        <f t="shared" si="331"/>
        <v/>
      </c>
      <c r="MP794" s="1874">
        <f t="shared" si="338"/>
        <v>0</v>
      </c>
      <c r="MQ794" s="1874">
        <f t="shared" si="339"/>
        <v>0</v>
      </c>
      <c r="MR794" s="1874">
        <f t="shared" si="340"/>
        <v>0</v>
      </c>
      <c r="MS794" s="1874">
        <f t="shared" si="341"/>
        <v>0</v>
      </c>
      <c r="MT794" s="1874">
        <f t="shared" si="342"/>
        <v>0</v>
      </c>
      <c r="MU794" s="1874">
        <f t="shared" si="343"/>
        <v>0</v>
      </c>
      <c r="MV794" s="1874">
        <f t="shared" si="344"/>
        <v>0</v>
      </c>
      <c r="MW794" s="1874">
        <f t="shared" si="345"/>
        <v>0</v>
      </c>
      <c r="MX794" s="1874">
        <f t="shared" si="346"/>
        <v>0</v>
      </c>
      <c r="MY794" s="1874">
        <f t="shared" si="347"/>
        <v>0</v>
      </c>
      <c r="MZ794" s="1874">
        <f t="shared" si="332"/>
        <v>0</v>
      </c>
      <c r="NA794" s="1874">
        <f t="shared" si="333"/>
        <v>0</v>
      </c>
      <c r="NB794" s="1874">
        <f t="shared" si="334"/>
        <v>0</v>
      </c>
      <c r="NC794" s="1874">
        <f t="shared" si="335"/>
        <v>0</v>
      </c>
      <c r="ND794" s="1874">
        <f t="shared" si="336"/>
        <v>0</v>
      </c>
    </row>
    <row r="795" spans="1:368" ht="13.95" customHeight="1">
      <c r="A795" s="1896" t="str">
        <f t="shared" si="337"/>
        <v/>
      </c>
      <c r="B795" s="2212">
        <f>'Part VI-Revenues &amp; Expenses'!B26</f>
        <v>0</v>
      </c>
      <c r="C795" s="2213">
        <f>'Part VI-Revenues &amp; Expenses'!C26</f>
        <v>0</v>
      </c>
      <c r="D795" s="2214">
        <f>'Part VI-Revenues &amp; Expenses'!D26</f>
        <v>0</v>
      </c>
      <c r="E795" s="2215">
        <f>'Part VI-Revenues &amp; Expenses'!E26</f>
        <v>0</v>
      </c>
      <c r="F795" s="2215">
        <f>'Part VI-Revenues &amp; Expenses'!F26</f>
        <v>0</v>
      </c>
      <c r="G795" s="2215">
        <f>'Part VI-Revenues &amp; Expenses'!G26</f>
        <v>0</v>
      </c>
      <c r="H795" s="2215">
        <f>'Part VI-Revenues &amp; Expenses'!H26</f>
        <v>0</v>
      </c>
      <c r="I795" s="2215">
        <f>'Part VI-Revenues &amp; Expenses'!I26</f>
        <v>0</v>
      </c>
      <c r="J795" s="2215">
        <f>'Part VI-Revenues &amp; Expenses'!J26</f>
        <v>0</v>
      </c>
      <c r="K795" s="2216">
        <f>'Part VI-Revenues &amp; Expenses'!K26</f>
        <v>0</v>
      </c>
      <c r="L795" s="1899">
        <f t="shared" si="0"/>
        <v>0</v>
      </c>
      <c r="M795" s="1899">
        <f t="shared" si="1"/>
        <v>0</v>
      </c>
      <c r="N795" s="2074">
        <f>'Part VI-Revenues &amp; Expenses'!N26</f>
        <v>0</v>
      </c>
      <c r="O795" s="2074">
        <f>'Part VI-Revenues &amp; Expenses'!O26</f>
        <v>0</v>
      </c>
      <c r="P795" s="2074">
        <f>'Part VI-Revenues &amp; Expenses'!P26</f>
        <v>0</v>
      </c>
      <c r="Q795" s="1732">
        <f>'Part VI-Revenues &amp; Expenses'!Q26</f>
        <v>0</v>
      </c>
      <c r="R795" s="1926"/>
      <c r="S795" s="2148"/>
      <c r="T795" s="1910"/>
      <c r="U795" s="1910"/>
      <c r="V795" s="1910"/>
      <c r="W795" s="1910"/>
      <c r="X795" s="1995" t="str">
        <f t="shared" si="2"/>
        <v/>
      </c>
      <c r="Y795" s="1995" t="str">
        <f t="shared" si="3"/>
        <v/>
      </c>
      <c r="Z795" s="1995" t="str">
        <f t="shared" si="4"/>
        <v/>
      </c>
      <c r="AA795" s="1995" t="str">
        <f t="shared" si="5"/>
        <v/>
      </c>
      <c r="AB795" s="1995" t="str">
        <f t="shared" si="6"/>
        <v/>
      </c>
      <c r="AC795" s="1995" t="str">
        <f t="shared" si="7"/>
        <v/>
      </c>
      <c r="AD795" s="1995" t="str">
        <f t="shared" si="8"/>
        <v/>
      </c>
      <c r="AE795" s="1995" t="str">
        <f t="shared" si="9"/>
        <v/>
      </c>
      <c r="AF795" s="1995" t="str">
        <f t="shared" si="10"/>
        <v/>
      </c>
      <c r="AG795" s="1995" t="str">
        <f t="shared" si="11"/>
        <v/>
      </c>
      <c r="AH795" s="1995" t="str">
        <f t="shared" si="12"/>
        <v/>
      </c>
      <c r="AI795" s="1995" t="str">
        <f t="shared" si="13"/>
        <v/>
      </c>
      <c r="AJ795" s="1995" t="str">
        <f t="shared" si="14"/>
        <v/>
      </c>
      <c r="AK795" s="1995" t="str">
        <f t="shared" si="15"/>
        <v/>
      </c>
      <c r="AL795" s="1995" t="str">
        <f t="shared" si="16"/>
        <v/>
      </c>
      <c r="AM795" s="1995" t="str">
        <f t="shared" si="17"/>
        <v/>
      </c>
      <c r="AN795" s="1995" t="str">
        <f t="shared" si="18"/>
        <v/>
      </c>
      <c r="AO795" s="1995" t="str">
        <f t="shared" si="19"/>
        <v/>
      </c>
      <c r="AP795" s="1995" t="str">
        <f t="shared" si="20"/>
        <v/>
      </c>
      <c r="AQ795" s="1995" t="str">
        <f t="shared" si="21"/>
        <v/>
      </c>
      <c r="AR795" s="1995" t="str">
        <f t="shared" si="22"/>
        <v/>
      </c>
      <c r="AS795" s="1995" t="str">
        <f t="shared" si="23"/>
        <v/>
      </c>
      <c r="AT795" s="1995" t="str">
        <f t="shared" si="24"/>
        <v/>
      </c>
      <c r="AU795" s="1995" t="str">
        <f t="shared" si="25"/>
        <v/>
      </c>
      <c r="AV795" s="1995" t="str">
        <f t="shared" si="26"/>
        <v/>
      </c>
      <c r="AW795" s="1995" t="str">
        <f t="shared" si="27"/>
        <v/>
      </c>
      <c r="AX795" s="1995" t="str">
        <f t="shared" si="28"/>
        <v/>
      </c>
      <c r="AY795" s="1995" t="str">
        <f t="shared" si="29"/>
        <v/>
      </c>
      <c r="AZ795" s="1995" t="str">
        <f t="shared" si="30"/>
        <v/>
      </c>
      <c r="BA795" s="1995" t="str">
        <f t="shared" si="31"/>
        <v/>
      </c>
      <c r="BB795" s="1995" t="str">
        <f t="shared" si="32"/>
        <v/>
      </c>
      <c r="BC795" s="1995" t="str">
        <f t="shared" si="33"/>
        <v/>
      </c>
      <c r="BD795" s="1995" t="str">
        <f t="shared" si="34"/>
        <v/>
      </c>
      <c r="BE795" s="1995" t="str">
        <f t="shared" si="35"/>
        <v/>
      </c>
      <c r="BF795" s="1995" t="str">
        <f t="shared" si="36"/>
        <v/>
      </c>
      <c r="BG795" s="1995" t="str">
        <f t="shared" si="37"/>
        <v/>
      </c>
      <c r="BH795" s="1995" t="str">
        <f t="shared" si="38"/>
        <v/>
      </c>
      <c r="BI795" s="1995" t="str">
        <f t="shared" si="39"/>
        <v/>
      </c>
      <c r="BJ795" s="1995" t="str">
        <f t="shared" si="40"/>
        <v/>
      </c>
      <c r="BK795" s="1995" t="str">
        <f t="shared" si="41"/>
        <v/>
      </c>
      <c r="BL795" s="1995" t="str">
        <f t="shared" si="42"/>
        <v/>
      </c>
      <c r="BM795" s="1995" t="str">
        <f t="shared" si="43"/>
        <v/>
      </c>
      <c r="BN795" s="1995" t="str">
        <f t="shared" si="44"/>
        <v/>
      </c>
      <c r="BO795" s="1995" t="str">
        <f t="shared" si="45"/>
        <v/>
      </c>
      <c r="BP795" s="1995" t="str">
        <f t="shared" si="46"/>
        <v/>
      </c>
      <c r="BQ795" s="1995" t="str">
        <f t="shared" si="47"/>
        <v/>
      </c>
      <c r="BR795" s="1995" t="str">
        <f t="shared" si="48"/>
        <v/>
      </c>
      <c r="BS795" s="1995" t="str">
        <f t="shared" si="49"/>
        <v/>
      </c>
      <c r="BT795" s="1995" t="str">
        <f t="shared" si="50"/>
        <v/>
      </c>
      <c r="BU795" s="1995" t="str">
        <f t="shared" si="51"/>
        <v/>
      </c>
      <c r="BV795" s="1995" t="str">
        <f t="shared" si="52"/>
        <v/>
      </c>
      <c r="BW795" s="1995" t="str">
        <f t="shared" si="53"/>
        <v/>
      </c>
      <c r="BX795" s="1995" t="str">
        <f t="shared" si="54"/>
        <v/>
      </c>
      <c r="BY795" s="1995" t="str">
        <f t="shared" si="55"/>
        <v/>
      </c>
      <c r="BZ795" s="1995" t="str">
        <f t="shared" si="56"/>
        <v/>
      </c>
      <c r="CA795" s="1995" t="str">
        <f t="shared" si="57"/>
        <v/>
      </c>
      <c r="CB795" s="1995" t="str">
        <f t="shared" si="58"/>
        <v/>
      </c>
      <c r="CC795" s="1995" t="str">
        <f t="shared" si="59"/>
        <v/>
      </c>
      <c r="CD795" s="1995" t="str">
        <f t="shared" si="60"/>
        <v/>
      </c>
      <c r="CE795" s="1995" t="str">
        <f t="shared" si="61"/>
        <v/>
      </c>
      <c r="CF795" s="1995" t="str">
        <f t="shared" si="62"/>
        <v/>
      </c>
      <c r="CG795" s="1995" t="str">
        <f t="shared" si="63"/>
        <v/>
      </c>
      <c r="CH795" s="1995" t="str">
        <f t="shared" si="64"/>
        <v/>
      </c>
      <c r="CI795" s="1995" t="str">
        <f t="shared" si="65"/>
        <v/>
      </c>
      <c r="CJ795" s="1995" t="str">
        <f t="shared" si="66"/>
        <v/>
      </c>
      <c r="CK795" s="1995" t="str">
        <f t="shared" si="67"/>
        <v/>
      </c>
      <c r="CL795" s="1995" t="str">
        <f t="shared" si="68"/>
        <v/>
      </c>
      <c r="CM795" s="1995" t="str">
        <f t="shared" si="69"/>
        <v/>
      </c>
      <c r="CN795" s="1995" t="str">
        <f t="shared" si="70"/>
        <v/>
      </c>
      <c r="CO795" s="1995" t="str">
        <f t="shared" si="71"/>
        <v/>
      </c>
      <c r="CP795" s="1995" t="str">
        <f t="shared" si="72"/>
        <v/>
      </c>
      <c r="CQ795" s="1995" t="str">
        <f t="shared" si="73"/>
        <v/>
      </c>
      <c r="CR795" s="1995" t="str">
        <f t="shared" si="74"/>
        <v/>
      </c>
      <c r="CS795" s="1995" t="str">
        <f t="shared" si="75"/>
        <v/>
      </c>
      <c r="CT795" s="1995" t="str">
        <f t="shared" si="76"/>
        <v/>
      </c>
      <c r="CU795" s="1995" t="str">
        <f t="shared" si="77"/>
        <v/>
      </c>
      <c r="CV795" s="1995" t="str">
        <f t="shared" si="78"/>
        <v/>
      </c>
      <c r="CW795" s="1995" t="str">
        <f t="shared" si="79"/>
        <v/>
      </c>
      <c r="CX795" s="1995" t="str">
        <f t="shared" si="80"/>
        <v/>
      </c>
      <c r="CY795" s="1995" t="str">
        <f t="shared" si="81"/>
        <v/>
      </c>
      <c r="CZ795" s="1995" t="str">
        <f t="shared" si="82"/>
        <v/>
      </c>
      <c r="DA795" s="1995" t="str">
        <f t="shared" si="83"/>
        <v/>
      </c>
      <c r="DB795" s="1995" t="str">
        <f t="shared" si="84"/>
        <v/>
      </c>
      <c r="DC795" s="1995" t="str">
        <f t="shared" si="85"/>
        <v/>
      </c>
      <c r="DD795" s="1995" t="str">
        <f t="shared" si="86"/>
        <v/>
      </c>
      <c r="DE795" s="1995" t="str">
        <f t="shared" si="87"/>
        <v/>
      </c>
      <c r="DF795" s="1995" t="str">
        <f t="shared" si="88"/>
        <v/>
      </c>
      <c r="DG795" s="1995" t="str">
        <f t="shared" si="89"/>
        <v/>
      </c>
      <c r="DH795" s="1995" t="str">
        <f t="shared" si="90"/>
        <v/>
      </c>
      <c r="DI795" s="1995" t="str">
        <f t="shared" si="91"/>
        <v/>
      </c>
      <c r="DJ795" s="1995" t="str">
        <f t="shared" si="92"/>
        <v/>
      </c>
      <c r="DK795" s="1995" t="str">
        <f t="shared" si="93"/>
        <v/>
      </c>
      <c r="DL795" s="1995" t="str">
        <f t="shared" si="94"/>
        <v/>
      </c>
      <c r="DM795" s="1995" t="str">
        <f t="shared" si="95"/>
        <v/>
      </c>
      <c r="DN795" s="1995" t="str">
        <f t="shared" si="96"/>
        <v/>
      </c>
      <c r="DO795" s="1995" t="str">
        <f t="shared" si="97"/>
        <v/>
      </c>
      <c r="DP795" s="1995" t="str">
        <f t="shared" si="98"/>
        <v/>
      </c>
      <c r="DQ795" s="1995" t="str">
        <f t="shared" si="99"/>
        <v/>
      </c>
      <c r="DR795" s="1995" t="str">
        <f t="shared" si="100"/>
        <v/>
      </c>
      <c r="DS795" s="1995" t="str">
        <f t="shared" si="101"/>
        <v/>
      </c>
      <c r="DT795" s="1995" t="str">
        <f t="shared" si="102"/>
        <v/>
      </c>
      <c r="DU795" s="1995" t="str">
        <f t="shared" si="103"/>
        <v/>
      </c>
      <c r="DV795" s="1995" t="str">
        <f t="shared" si="104"/>
        <v/>
      </c>
      <c r="DW795" s="1995" t="str">
        <f t="shared" si="105"/>
        <v/>
      </c>
      <c r="DX795" s="1995" t="str">
        <f t="shared" si="106"/>
        <v/>
      </c>
      <c r="DY795" s="1995" t="str">
        <f t="shared" si="107"/>
        <v/>
      </c>
      <c r="DZ795" s="1995" t="str">
        <f t="shared" si="108"/>
        <v/>
      </c>
      <c r="EA795" s="1995" t="str">
        <f t="shared" si="109"/>
        <v/>
      </c>
      <c r="EB795" s="1995" t="str">
        <f t="shared" si="110"/>
        <v/>
      </c>
      <c r="EC795" s="1995" t="str">
        <f t="shared" si="111"/>
        <v/>
      </c>
      <c r="ED795" s="1995" t="str">
        <f t="shared" si="112"/>
        <v/>
      </c>
      <c r="EE795" s="1995" t="str">
        <f t="shared" si="113"/>
        <v/>
      </c>
      <c r="EF795" s="1995" t="str">
        <f t="shared" si="114"/>
        <v/>
      </c>
      <c r="EG795" s="1995" t="str">
        <f t="shared" si="115"/>
        <v/>
      </c>
      <c r="EH795" s="1995" t="str">
        <f t="shared" si="116"/>
        <v/>
      </c>
      <c r="EI795" s="1995" t="str">
        <f t="shared" si="117"/>
        <v/>
      </c>
      <c r="EJ795" s="1995" t="str">
        <f t="shared" si="118"/>
        <v/>
      </c>
      <c r="EK795" s="1995" t="str">
        <f t="shared" si="119"/>
        <v/>
      </c>
      <c r="EL795" s="1995" t="str">
        <f t="shared" si="120"/>
        <v/>
      </c>
      <c r="EM795" s="1995" t="str">
        <f t="shared" si="121"/>
        <v/>
      </c>
      <c r="EN795" s="1995" t="str">
        <f t="shared" si="122"/>
        <v/>
      </c>
      <c r="EO795" s="1995" t="str">
        <f t="shared" si="123"/>
        <v/>
      </c>
      <c r="EP795" s="1995" t="str">
        <f t="shared" si="124"/>
        <v/>
      </c>
      <c r="EQ795" s="1995" t="str">
        <f t="shared" si="125"/>
        <v/>
      </c>
      <c r="ER795" s="1995" t="str">
        <f t="shared" si="126"/>
        <v/>
      </c>
      <c r="ES795" s="1995" t="str">
        <f t="shared" si="127"/>
        <v/>
      </c>
      <c r="ET795" s="1995" t="str">
        <f t="shared" si="128"/>
        <v/>
      </c>
      <c r="EU795" s="1995" t="str">
        <f t="shared" si="129"/>
        <v/>
      </c>
      <c r="EV795" s="1995" t="str">
        <f t="shared" si="130"/>
        <v/>
      </c>
      <c r="EW795" s="1995" t="str">
        <f t="shared" si="131"/>
        <v/>
      </c>
      <c r="EX795" s="1995" t="str">
        <f t="shared" si="132"/>
        <v/>
      </c>
      <c r="EY795" s="1995" t="str">
        <f t="shared" si="133"/>
        <v/>
      </c>
      <c r="EZ795" s="1995" t="str">
        <f t="shared" si="134"/>
        <v/>
      </c>
      <c r="FA795" s="1995" t="str">
        <f t="shared" si="135"/>
        <v/>
      </c>
      <c r="FB795" s="1995" t="str">
        <f t="shared" si="136"/>
        <v/>
      </c>
      <c r="FC795" s="1995" t="str">
        <f t="shared" si="137"/>
        <v/>
      </c>
      <c r="FD795" s="1995" t="str">
        <f t="shared" si="138"/>
        <v/>
      </c>
      <c r="FE795" s="1995" t="str">
        <f t="shared" si="139"/>
        <v/>
      </c>
      <c r="FF795" s="1995" t="str">
        <f t="shared" si="140"/>
        <v/>
      </c>
      <c r="FG795" s="1995" t="str">
        <f t="shared" si="141"/>
        <v/>
      </c>
      <c r="FH795" s="1995" t="str">
        <f t="shared" si="142"/>
        <v/>
      </c>
      <c r="FI795" s="1995" t="str">
        <f t="shared" si="143"/>
        <v/>
      </c>
      <c r="FJ795" s="1995" t="str">
        <f t="shared" si="144"/>
        <v/>
      </c>
      <c r="FK795" s="1995" t="str">
        <f t="shared" si="145"/>
        <v/>
      </c>
      <c r="FL795" s="1995" t="str">
        <f t="shared" si="146"/>
        <v/>
      </c>
      <c r="FM795" s="1995" t="str">
        <f t="shared" si="147"/>
        <v/>
      </c>
      <c r="FN795" s="1995" t="str">
        <f t="shared" si="148"/>
        <v/>
      </c>
      <c r="FO795" s="1995" t="str">
        <f t="shared" si="149"/>
        <v/>
      </c>
      <c r="FP795" s="1995" t="str">
        <f t="shared" si="150"/>
        <v/>
      </c>
      <c r="FQ795" s="1995" t="str">
        <f t="shared" si="151"/>
        <v/>
      </c>
      <c r="FR795" s="1995" t="str">
        <f t="shared" si="152"/>
        <v/>
      </c>
      <c r="FS795" s="1995" t="str">
        <f t="shared" si="153"/>
        <v/>
      </c>
      <c r="FT795" s="1995" t="str">
        <f t="shared" si="154"/>
        <v/>
      </c>
      <c r="FU795" s="1995" t="str">
        <f t="shared" si="155"/>
        <v/>
      </c>
      <c r="FV795" s="1995" t="str">
        <f t="shared" si="156"/>
        <v/>
      </c>
      <c r="FW795" s="1995" t="str">
        <f t="shared" si="157"/>
        <v/>
      </c>
      <c r="FX795" s="1995" t="str">
        <f t="shared" si="158"/>
        <v/>
      </c>
      <c r="FY795" s="1995" t="str">
        <f t="shared" si="159"/>
        <v/>
      </c>
      <c r="FZ795" s="1995" t="str">
        <f t="shared" si="160"/>
        <v/>
      </c>
      <c r="GA795" s="1995" t="str">
        <f t="shared" si="161"/>
        <v/>
      </c>
      <c r="GB795" s="1995" t="str">
        <f t="shared" si="162"/>
        <v/>
      </c>
      <c r="GC795" s="1995" t="str">
        <f t="shared" si="163"/>
        <v/>
      </c>
      <c r="GD795" s="1995" t="str">
        <f t="shared" si="164"/>
        <v/>
      </c>
      <c r="GE795" s="1995" t="str">
        <f t="shared" si="165"/>
        <v/>
      </c>
      <c r="GF795" s="1995" t="str">
        <f t="shared" si="166"/>
        <v/>
      </c>
      <c r="GG795" s="1995" t="str">
        <f t="shared" si="167"/>
        <v/>
      </c>
      <c r="GH795" s="1995" t="str">
        <f t="shared" si="168"/>
        <v/>
      </c>
      <c r="GI795" s="1995" t="str">
        <f t="shared" si="169"/>
        <v/>
      </c>
      <c r="GJ795" s="1995" t="str">
        <f t="shared" si="170"/>
        <v/>
      </c>
      <c r="GK795" s="1995" t="str">
        <f t="shared" si="171"/>
        <v/>
      </c>
      <c r="GL795" s="1995" t="str">
        <f t="shared" si="172"/>
        <v/>
      </c>
      <c r="GM795" s="1995" t="str">
        <f t="shared" si="173"/>
        <v/>
      </c>
      <c r="GN795" s="1995" t="str">
        <f t="shared" si="174"/>
        <v/>
      </c>
      <c r="GO795" s="1995" t="str">
        <f t="shared" si="175"/>
        <v/>
      </c>
      <c r="GP795" s="1995" t="str">
        <f t="shared" si="176"/>
        <v/>
      </c>
      <c r="GQ795" s="1995" t="str">
        <f t="shared" si="177"/>
        <v/>
      </c>
      <c r="GR795" s="1995" t="str">
        <f t="shared" si="178"/>
        <v/>
      </c>
      <c r="GS795" s="1995" t="str">
        <f t="shared" si="179"/>
        <v/>
      </c>
      <c r="GT795" s="1995" t="str">
        <f t="shared" si="180"/>
        <v/>
      </c>
      <c r="GU795" s="1995" t="str">
        <f t="shared" si="181"/>
        <v/>
      </c>
      <c r="GV795" s="1995" t="str">
        <f t="shared" si="182"/>
        <v/>
      </c>
      <c r="GW795" s="1995" t="str">
        <f t="shared" si="183"/>
        <v/>
      </c>
      <c r="GX795" s="1995" t="str">
        <f t="shared" si="184"/>
        <v/>
      </c>
      <c r="GY795" s="1995" t="str">
        <f t="shared" si="185"/>
        <v/>
      </c>
      <c r="GZ795" s="1995" t="str">
        <f t="shared" si="186"/>
        <v/>
      </c>
      <c r="HA795" s="1995" t="str">
        <f t="shared" si="187"/>
        <v/>
      </c>
      <c r="HB795" s="1995" t="str">
        <f t="shared" si="188"/>
        <v/>
      </c>
      <c r="HC795" s="1995" t="str">
        <f t="shared" si="189"/>
        <v/>
      </c>
      <c r="HD795" s="1995" t="str">
        <f t="shared" si="190"/>
        <v/>
      </c>
      <c r="HE795" s="1995" t="str">
        <f t="shared" si="191"/>
        <v/>
      </c>
      <c r="HF795" s="1995" t="str">
        <f t="shared" si="192"/>
        <v/>
      </c>
      <c r="HG795" s="1995" t="str">
        <f t="shared" si="193"/>
        <v/>
      </c>
      <c r="HH795" s="1995" t="str">
        <f t="shared" si="194"/>
        <v/>
      </c>
      <c r="HI795" s="1995" t="str">
        <f t="shared" si="195"/>
        <v/>
      </c>
      <c r="HJ795" s="1995" t="str">
        <f t="shared" si="196"/>
        <v/>
      </c>
      <c r="HK795" s="1995" t="str">
        <f t="shared" si="197"/>
        <v/>
      </c>
      <c r="HL795" s="1995" t="str">
        <f t="shared" si="198"/>
        <v/>
      </c>
      <c r="HM795" s="1995" t="str">
        <f t="shared" si="199"/>
        <v/>
      </c>
      <c r="HN795" s="1995" t="str">
        <f t="shared" si="200"/>
        <v/>
      </c>
      <c r="HO795" s="1995" t="str">
        <f t="shared" si="201"/>
        <v/>
      </c>
      <c r="HP795" s="1995" t="str">
        <f t="shared" si="202"/>
        <v/>
      </c>
      <c r="HQ795" s="1995" t="str">
        <f t="shared" si="203"/>
        <v/>
      </c>
      <c r="HR795" s="1995" t="str">
        <f t="shared" si="204"/>
        <v/>
      </c>
      <c r="HS795" s="1995" t="str">
        <f t="shared" si="205"/>
        <v/>
      </c>
      <c r="HT795" s="1995" t="str">
        <f t="shared" si="206"/>
        <v/>
      </c>
      <c r="HU795" s="1995" t="str">
        <f t="shared" si="207"/>
        <v/>
      </c>
      <c r="HV795" s="1995" t="str">
        <f t="shared" si="208"/>
        <v/>
      </c>
      <c r="HW795" s="1995" t="str">
        <f t="shared" si="209"/>
        <v/>
      </c>
      <c r="HX795" s="1995" t="str">
        <f t="shared" si="210"/>
        <v/>
      </c>
      <c r="HY795" s="1995" t="str">
        <f t="shared" si="211"/>
        <v/>
      </c>
      <c r="HZ795" s="1900" t="str">
        <f t="shared" si="212"/>
        <v/>
      </c>
      <c r="IA795" s="1900" t="str">
        <f t="shared" si="213"/>
        <v/>
      </c>
      <c r="IB795" s="1900" t="str">
        <f t="shared" si="214"/>
        <v/>
      </c>
      <c r="IC795" s="1900" t="str">
        <f t="shared" si="215"/>
        <v/>
      </c>
      <c r="ID795" s="1900" t="str">
        <f t="shared" si="216"/>
        <v/>
      </c>
      <c r="IE795" s="1900" t="str">
        <f t="shared" si="217"/>
        <v/>
      </c>
      <c r="IF795" s="1900" t="str">
        <f t="shared" si="218"/>
        <v/>
      </c>
      <c r="IG795" s="1900" t="str">
        <f t="shared" si="219"/>
        <v/>
      </c>
      <c r="IH795" s="1900" t="str">
        <f t="shared" si="220"/>
        <v/>
      </c>
      <c r="II795" s="1900" t="str">
        <f t="shared" si="221"/>
        <v/>
      </c>
      <c r="IJ795" s="1900" t="str">
        <f t="shared" si="222"/>
        <v/>
      </c>
      <c r="IK795" s="1900" t="str">
        <f t="shared" si="223"/>
        <v/>
      </c>
      <c r="IL795" s="1900" t="str">
        <f t="shared" si="224"/>
        <v/>
      </c>
      <c r="IM795" s="1900" t="str">
        <f t="shared" si="225"/>
        <v/>
      </c>
      <c r="IN795" s="1900" t="str">
        <f t="shared" si="226"/>
        <v/>
      </c>
      <c r="IO795" s="1900" t="str">
        <f t="shared" si="227"/>
        <v/>
      </c>
      <c r="IP795" s="1900" t="str">
        <f t="shared" si="228"/>
        <v/>
      </c>
      <c r="IQ795" s="1900" t="str">
        <f t="shared" si="229"/>
        <v/>
      </c>
      <c r="IR795" s="1900" t="str">
        <f t="shared" si="230"/>
        <v/>
      </c>
      <c r="IS795" s="1900" t="str">
        <f t="shared" si="231"/>
        <v/>
      </c>
      <c r="IT795" s="1900" t="str">
        <f t="shared" si="232"/>
        <v/>
      </c>
      <c r="IU795" s="1900" t="str">
        <f t="shared" si="233"/>
        <v/>
      </c>
      <c r="IV795" s="1900" t="str">
        <f t="shared" si="234"/>
        <v/>
      </c>
      <c r="IW795" s="1900" t="str">
        <f t="shared" si="235"/>
        <v/>
      </c>
      <c r="IX795" s="1900" t="str">
        <f t="shared" si="236"/>
        <v/>
      </c>
      <c r="IY795" s="1900" t="str">
        <f t="shared" si="237"/>
        <v/>
      </c>
      <c r="IZ795" s="1900" t="str">
        <f t="shared" si="238"/>
        <v/>
      </c>
      <c r="JA795" s="1900" t="str">
        <f t="shared" si="239"/>
        <v/>
      </c>
      <c r="JB795" s="1900" t="str">
        <f t="shared" si="240"/>
        <v/>
      </c>
      <c r="JC795" s="1900" t="str">
        <f t="shared" si="241"/>
        <v/>
      </c>
      <c r="JD795" s="1900" t="str">
        <f t="shared" si="242"/>
        <v/>
      </c>
      <c r="JE795" s="1900" t="str">
        <f t="shared" si="243"/>
        <v/>
      </c>
      <c r="JF795" s="1900" t="str">
        <f t="shared" si="244"/>
        <v/>
      </c>
      <c r="JG795" s="1900" t="str">
        <f t="shared" si="245"/>
        <v/>
      </c>
      <c r="JH795" s="1900" t="str">
        <f t="shared" si="246"/>
        <v/>
      </c>
      <c r="JI795" s="1900" t="str">
        <f t="shared" si="247"/>
        <v/>
      </c>
      <c r="JJ795" s="1900" t="str">
        <f t="shared" si="248"/>
        <v/>
      </c>
      <c r="JK795" s="1900" t="str">
        <f t="shared" si="249"/>
        <v/>
      </c>
      <c r="JL795" s="1900" t="str">
        <f t="shared" si="250"/>
        <v/>
      </c>
      <c r="JM795" s="1900" t="str">
        <f t="shared" si="251"/>
        <v/>
      </c>
      <c r="JN795" s="1900" t="str">
        <f t="shared" si="252"/>
        <v/>
      </c>
      <c r="JO795" s="1900" t="str">
        <f t="shared" si="253"/>
        <v/>
      </c>
      <c r="JP795" s="1900" t="str">
        <f t="shared" si="254"/>
        <v/>
      </c>
      <c r="JQ795" s="1900" t="str">
        <f t="shared" si="255"/>
        <v/>
      </c>
      <c r="JR795" s="1900" t="str">
        <f t="shared" si="256"/>
        <v/>
      </c>
      <c r="JS795" s="1900" t="str">
        <f t="shared" si="257"/>
        <v/>
      </c>
      <c r="JT795" s="1900" t="str">
        <f t="shared" si="258"/>
        <v/>
      </c>
      <c r="JU795" s="1900" t="str">
        <f t="shared" si="259"/>
        <v/>
      </c>
      <c r="JV795" s="1900" t="str">
        <f t="shared" si="260"/>
        <v/>
      </c>
      <c r="JW795" s="1900" t="str">
        <f t="shared" si="261"/>
        <v/>
      </c>
      <c r="JX795" s="1900" t="str">
        <f t="shared" si="262"/>
        <v/>
      </c>
      <c r="JY795" s="1900" t="str">
        <f t="shared" si="263"/>
        <v/>
      </c>
      <c r="JZ795" s="1900" t="str">
        <f t="shared" si="264"/>
        <v/>
      </c>
      <c r="KA795" s="1900" t="str">
        <f t="shared" si="265"/>
        <v/>
      </c>
      <c r="KB795" s="1900" t="str">
        <f t="shared" si="266"/>
        <v/>
      </c>
      <c r="KC795" s="1900" t="str">
        <f t="shared" si="267"/>
        <v/>
      </c>
      <c r="KD795" s="1900" t="str">
        <f t="shared" si="268"/>
        <v/>
      </c>
      <c r="KE795" s="1900" t="str">
        <f t="shared" si="269"/>
        <v/>
      </c>
      <c r="KF795" s="1900" t="str">
        <f t="shared" si="270"/>
        <v/>
      </c>
      <c r="KG795" s="1900" t="str">
        <f t="shared" si="271"/>
        <v/>
      </c>
      <c r="KH795" s="1900" t="str">
        <f t="shared" si="272"/>
        <v/>
      </c>
      <c r="KI795" s="1900" t="str">
        <f t="shared" si="273"/>
        <v/>
      </c>
      <c r="KJ795" s="1900" t="str">
        <f t="shared" si="274"/>
        <v/>
      </c>
      <c r="KK795" s="1900" t="str">
        <f t="shared" si="275"/>
        <v/>
      </c>
      <c r="KL795" s="1900" t="str">
        <f t="shared" si="276"/>
        <v/>
      </c>
      <c r="KM795" s="1900" t="str">
        <f t="shared" si="277"/>
        <v/>
      </c>
      <c r="KN795" s="1900" t="str">
        <f t="shared" si="278"/>
        <v/>
      </c>
      <c r="KO795" s="1900" t="str">
        <f t="shared" si="279"/>
        <v/>
      </c>
      <c r="KP795" s="1900" t="str">
        <f t="shared" si="280"/>
        <v/>
      </c>
      <c r="KQ795" s="1900" t="str">
        <f t="shared" si="281"/>
        <v/>
      </c>
      <c r="KR795" s="1900" t="str">
        <f t="shared" si="282"/>
        <v/>
      </c>
      <c r="KS795" s="1900" t="str">
        <f t="shared" si="283"/>
        <v/>
      </c>
      <c r="KT795" s="1900" t="str">
        <f t="shared" si="284"/>
        <v/>
      </c>
      <c r="KU795" s="1900" t="str">
        <f t="shared" si="285"/>
        <v/>
      </c>
      <c r="KV795" s="1900" t="str">
        <f t="shared" si="286"/>
        <v/>
      </c>
      <c r="KW795" s="1900" t="str">
        <f t="shared" si="287"/>
        <v/>
      </c>
      <c r="KX795" s="1900" t="str">
        <f t="shared" si="288"/>
        <v/>
      </c>
      <c r="KY795" s="1900" t="str">
        <f t="shared" si="289"/>
        <v/>
      </c>
      <c r="KZ795" s="1900" t="str">
        <f t="shared" si="290"/>
        <v/>
      </c>
      <c r="LA795" s="1900" t="str">
        <f t="shared" si="291"/>
        <v/>
      </c>
      <c r="LB795" s="1900" t="str">
        <f t="shared" si="292"/>
        <v/>
      </c>
      <c r="LC795" s="1900" t="str">
        <f t="shared" si="293"/>
        <v/>
      </c>
      <c r="LD795" s="1900" t="str">
        <f t="shared" si="294"/>
        <v/>
      </c>
      <c r="LE795" s="1900" t="str">
        <f t="shared" si="295"/>
        <v/>
      </c>
      <c r="LF795" s="1900" t="str">
        <f t="shared" si="296"/>
        <v/>
      </c>
      <c r="LG795" s="1900" t="str">
        <f t="shared" si="297"/>
        <v/>
      </c>
      <c r="LH795" s="1900" t="str">
        <f t="shared" si="298"/>
        <v/>
      </c>
      <c r="LI795" s="1900" t="str">
        <f t="shared" si="299"/>
        <v/>
      </c>
      <c r="LJ795" s="1900" t="str">
        <f t="shared" si="300"/>
        <v/>
      </c>
      <c r="LK795" s="1900" t="str">
        <f t="shared" si="301"/>
        <v/>
      </c>
      <c r="LL795" s="1900" t="str">
        <f t="shared" si="302"/>
        <v/>
      </c>
      <c r="LM795" s="1900" t="str">
        <f t="shared" si="303"/>
        <v/>
      </c>
      <c r="LN795" s="1900" t="str">
        <f t="shared" si="304"/>
        <v/>
      </c>
      <c r="LO795" s="1900" t="str">
        <f t="shared" si="305"/>
        <v/>
      </c>
      <c r="LP795" s="1900" t="str">
        <f t="shared" si="306"/>
        <v/>
      </c>
      <c r="LQ795" s="1874" t="str">
        <f t="shared" si="307"/>
        <v/>
      </c>
      <c r="LR795" s="1874" t="str">
        <f t="shared" si="308"/>
        <v/>
      </c>
      <c r="LS795" s="1874" t="str">
        <f t="shared" si="309"/>
        <v/>
      </c>
      <c r="LT795" s="1874" t="str">
        <f t="shared" si="310"/>
        <v/>
      </c>
      <c r="LU795" s="1874" t="str">
        <f t="shared" si="311"/>
        <v/>
      </c>
      <c r="LV795" s="1995" t="str">
        <f t="shared" si="312"/>
        <v/>
      </c>
      <c r="LW795" s="1995" t="str">
        <f t="shared" si="313"/>
        <v/>
      </c>
      <c r="LX795" s="1995" t="str">
        <f t="shared" si="314"/>
        <v/>
      </c>
      <c r="LY795" s="1995" t="str">
        <f t="shared" si="315"/>
        <v/>
      </c>
      <c r="LZ795" s="1995" t="str">
        <f t="shared" si="316"/>
        <v/>
      </c>
      <c r="MA795" s="1995" t="str">
        <f t="shared" si="317"/>
        <v/>
      </c>
      <c r="MB795" s="1995" t="str">
        <f t="shared" si="318"/>
        <v/>
      </c>
      <c r="MC795" s="1995" t="str">
        <f t="shared" si="319"/>
        <v/>
      </c>
      <c r="MD795" s="1995" t="str">
        <f t="shared" si="320"/>
        <v/>
      </c>
      <c r="ME795" s="1995" t="str">
        <f t="shared" si="321"/>
        <v/>
      </c>
      <c r="MF795" s="1995" t="str">
        <f t="shared" si="322"/>
        <v/>
      </c>
      <c r="MG795" s="1995" t="str">
        <f t="shared" si="323"/>
        <v/>
      </c>
      <c r="MH795" s="1995" t="str">
        <f t="shared" si="324"/>
        <v/>
      </c>
      <c r="MI795" s="1995" t="str">
        <f t="shared" si="325"/>
        <v/>
      </c>
      <c r="MJ795" s="1995" t="str">
        <f t="shared" si="326"/>
        <v/>
      </c>
      <c r="MK795" s="1995" t="str">
        <f t="shared" si="327"/>
        <v/>
      </c>
      <c r="ML795" s="1995" t="str">
        <f t="shared" si="328"/>
        <v/>
      </c>
      <c r="MM795" s="1995" t="str">
        <f t="shared" si="329"/>
        <v/>
      </c>
      <c r="MN795" s="1995" t="str">
        <f t="shared" si="330"/>
        <v/>
      </c>
      <c r="MO795" s="1995" t="str">
        <f t="shared" si="331"/>
        <v/>
      </c>
      <c r="MP795" s="1874">
        <f t="shared" si="338"/>
        <v>0</v>
      </c>
      <c r="MQ795" s="1874">
        <f t="shared" si="339"/>
        <v>0</v>
      </c>
      <c r="MR795" s="1874">
        <f t="shared" si="340"/>
        <v>0</v>
      </c>
      <c r="MS795" s="1874">
        <f t="shared" si="341"/>
        <v>0</v>
      </c>
      <c r="MT795" s="1874">
        <f t="shared" si="342"/>
        <v>0</v>
      </c>
      <c r="MU795" s="1874">
        <f t="shared" si="343"/>
        <v>0</v>
      </c>
      <c r="MV795" s="1874">
        <f t="shared" si="344"/>
        <v>0</v>
      </c>
      <c r="MW795" s="1874">
        <f t="shared" si="345"/>
        <v>0</v>
      </c>
      <c r="MX795" s="1874">
        <f t="shared" si="346"/>
        <v>0</v>
      </c>
      <c r="MY795" s="1874">
        <f t="shared" si="347"/>
        <v>0</v>
      </c>
      <c r="MZ795" s="1874">
        <f t="shared" si="332"/>
        <v>0</v>
      </c>
      <c r="NA795" s="1874">
        <f t="shared" si="333"/>
        <v>0</v>
      </c>
      <c r="NB795" s="1874">
        <f t="shared" si="334"/>
        <v>0</v>
      </c>
      <c r="NC795" s="1874">
        <f t="shared" si="335"/>
        <v>0</v>
      </c>
      <c r="ND795" s="1874">
        <f t="shared" si="336"/>
        <v>0</v>
      </c>
    </row>
    <row r="796" spans="1:368" ht="13.95" customHeight="1">
      <c r="A796" s="1896" t="str">
        <f t="shared" si="337"/>
        <v/>
      </c>
      <c r="B796" s="2212">
        <f>'Part VI-Revenues &amp; Expenses'!B27</f>
        <v>0</v>
      </c>
      <c r="C796" s="2213">
        <f>'Part VI-Revenues &amp; Expenses'!C27</f>
        <v>0</v>
      </c>
      <c r="D796" s="2214">
        <f>'Part VI-Revenues &amp; Expenses'!D27</f>
        <v>0</v>
      </c>
      <c r="E796" s="2215">
        <f>'Part VI-Revenues &amp; Expenses'!E27</f>
        <v>0</v>
      </c>
      <c r="F796" s="2215">
        <f>'Part VI-Revenues &amp; Expenses'!F27</f>
        <v>0</v>
      </c>
      <c r="G796" s="2215">
        <f>'Part VI-Revenues &amp; Expenses'!G27</f>
        <v>0</v>
      </c>
      <c r="H796" s="2215">
        <f>'Part VI-Revenues &amp; Expenses'!H27</f>
        <v>0</v>
      </c>
      <c r="I796" s="2215">
        <f>'Part VI-Revenues &amp; Expenses'!I27</f>
        <v>0</v>
      </c>
      <c r="J796" s="2215">
        <f>'Part VI-Revenues &amp; Expenses'!J27</f>
        <v>0</v>
      </c>
      <c r="K796" s="2216">
        <f>'Part VI-Revenues &amp; Expenses'!K27</f>
        <v>0</v>
      </c>
      <c r="L796" s="1899">
        <f t="shared" si="0"/>
        <v>0</v>
      </c>
      <c r="M796" s="1899">
        <f t="shared" si="1"/>
        <v>0</v>
      </c>
      <c r="N796" s="2074">
        <f>'Part VI-Revenues &amp; Expenses'!N27</f>
        <v>0</v>
      </c>
      <c r="O796" s="2074">
        <f>'Part VI-Revenues &amp; Expenses'!O27</f>
        <v>0</v>
      </c>
      <c r="P796" s="2074">
        <f>'Part VI-Revenues &amp; Expenses'!P27</f>
        <v>0</v>
      </c>
      <c r="Q796" s="1732">
        <f>'Part VI-Revenues &amp; Expenses'!Q27</f>
        <v>0</v>
      </c>
      <c r="R796" s="1926"/>
      <c r="S796" s="2148"/>
      <c r="T796" s="1910"/>
      <c r="U796" s="1910"/>
      <c r="V796" s="1910"/>
      <c r="W796" s="1910"/>
      <c r="X796" s="1995" t="str">
        <f t="shared" si="2"/>
        <v/>
      </c>
      <c r="Y796" s="1995" t="str">
        <f t="shared" si="3"/>
        <v/>
      </c>
      <c r="Z796" s="1995" t="str">
        <f t="shared" si="4"/>
        <v/>
      </c>
      <c r="AA796" s="1995" t="str">
        <f t="shared" si="5"/>
        <v/>
      </c>
      <c r="AB796" s="1995" t="str">
        <f t="shared" si="6"/>
        <v/>
      </c>
      <c r="AC796" s="1995" t="str">
        <f t="shared" si="7"/>
        <v/>
      </c>
      <c r="AD796" s="1995" t="str">
        <f t="shared" si="8"/>
        <v/>
      </c>
      <c r="AE796" s="1995" t="str">
        <f t="shared" si="9"/>
        <v/>
      </c>
      <c r="AF796" s="1995" t="str">
        <f t="shared" si="10"/>
        <v/>
      </c>
      <c r="AG796" s="1995" t="str">
        <f t="shared" si="11"/>
        <v/>
      </c>
      <c r="AH796" s="1995" t="str">
        <f t="shared" si="12"/>
        <v/>
      </c>
      <c r="AI796" s="1995" t="str">
        <f t="shared" si="13"/>
        <v/>
      </c>
      <c r="AJ796" s="1995" t="str">
        <f t="shared" si="14"/>
        <v/>
      </c>
      <c r="AK796" s="1995" t="str">
        <f t="shared" si="15"/>
        <v/>
      </c>
      <c r="AL796" s="1995" t="str">
        <f t="shared" si="16"/>
        <v/>
      </c>
      <c r="AM796" s="1995" t="str">
        <f t="shared" si="17"/>
        <v/>
      </c>
      <c r="AN796" s="1995" t="str">
        <f t="shared" si="18"/>
        <v/>
      </c>
      <c r="AO796" s="1995" t="str">
        <f t="shared" si="19"/>
        <v/>
      </c>
      <c r="AP796" s="1995" t="str">
        <f t="shared" si="20"/>
        <v/>
      </c>
      <c r="AQ796" s="1995" t="str">
        <f t="shared" si="21"/>
        <v/>
      </c>
      <c r="AR796" s="1995" t="str">
        <f t="shared" si="22"/>
        <v/>
      </c>
      <c r="AS796" s="1995" t="str">
        <f t="shared" si="23"/>
        <v/>
      </c>
      <c r="AT796" s="1995" t="str">
        <f t="shared" si="24"/>
        <v/>
      </c>
      <c r="AU796" s="1995" t="str">
        <f t="shared" si="25"/>
        <v/>
      </c>
      <c r="AV796" s="1995" t="str">
        <f t="shared" si="26"/>
        <v/>
      </c>
      <c r="AW796" s="1995" t="str">
        <f t="shared" si="27"/>
        <v/>
      </c>
      <c r="AX796" s="1995" t="str">
        <f t="shared" si="28"/>
        <v/>
      </c>
      <c r="AY796" s="1995" t="str">
        <f t="shared" si="29"/>
        <v/>
      </c>
      <c r="AZ796" s="1995" t="str">
        <f t="shared" si="30"/>
        <v/>
      </c>
      <c r="BA796" s="1995" t="str">
        <f t="shared" si="31"/>
        <v/>
      </c>
      <c r="BB796" s="1995" t="str">
        <f t="shared" si="32"/>
        <v/>
      </c>
      <c r="BC796" s="1995" t="str">
        <f t="shared" si="33"/>
        <v/>
      </c>
      <c r="BD796" s="1995" t="str">
        <f t="shared" si="34"/>
        <v/>
      </c>
      <c r="BE796" s="1995" t="str">
        <f t="shared" si="35"/>
        <v/>
      </c>
      <c r="BF796" s="1995" t="str">
        <f t="shared" si="36"/>
        <v/>
      </c>
      <c r="BG796" s="1995" t="str">
        <f t="shared" si="37"/>
        <v/>
      </c>
      <c r="BH796" s="1995" t="str">
        <f t="shared" si="38"/>
        <v/>
      </c>
      <c r="BI796" s="1995" t="str">
        <f t="shared" si="39"/>
        <v/>
      </c>
      <c r="BJ796" s="1995" t="str">
        <f t="shared" si="40"/>
        <v/>
      </c>
      <c r="BK796" s="1995" t="str">
        <f t="shared" si="41"/>
        <v/>
      </c>
      <c r="BL796" s="1995" t="str">
        <f t="shared" si="42"/>
        <v/>
      </c>
      <c r="BM796" s="1995" t="str">
        <f t="shared" si="43"/>
        <v/>
      </c>
      <c r="BN796" s="1995" t="str">
        <f t="shared" si="44"/>
        <v/>
      </c>
      <c r="BO796" s="1995" t="str">
        <f t="shared" si="45"/>
        <v/>
      </c>
      <c r="BP796" s="1995" t="str">
        <f t="shared" si="46"/>
        <v/>
      </c>
      <c r="BQ796" s="1995" t="str">
        <f t="shared" si="47"/>
        <v/>
      </c>
      <c r="BR796" s="1995" t="str">
        <f t="shared" si="48"/>
        <v/>
      </c>
      <c r="BS796" s="1995" t="str">
        <f t="shared" si="49"/>
        <v/>
      </c>
      <c r="BT796" s="1995" t="str">
        <f t="shared" si="50"/>
        <v/>
      </c>
      <c r="BU796" s="1995" t="str">
        <f t="shared" si="51"/>
        <v/>
      </c>
      <c r="BV796" s="1995" t="str">
        <f t="shared" si="52"/>
        <v/>
      </c>
      <c r="BW796" s="1995" t="str">
        <f t="shared" si="53"/>
        <v/>
      </c>
      <c r="BX796" s="1995" t="str">
        <f t="shared" si="54"/>
        <v/>
      </c>
      <c r="BY796" s="1995" t="str">
        <f t="shared" si="55"/>
        <v/>
      </c>
      <c r="BZ796" s="1995" t="str">
        <f t="shared" si="56"/>
        <v/>
      </c>
      <c r="CA796" s="1995" t="str">
        <f t="shared" si="57"/>
        <v/>
      </c>
      <c r="CB796" s="1995" t="str">
        <f t="shared" si="58"/>
        <v/>
      </c>
      <c r="CC796" s="1995" t="str">
        <f t="shared" si="59"/>
        <v/>
      </c>
      <c r="CD796" s="1995" t="str">
        <f t="shared" si="60"/>
        <v/>
      </c>
      <c r="CE796" s="1995" t="str">
        <f t="shared" si="61"/>
        <v/>
      </c>
      <c r="CF796" s="1995" t="str">
        <f t="shared" si="62"/>
        <v/>
      </c>
      <c r="CG796" s="1995" t="str">
        <f t="shared" si="63"/>
        <v/>
      </c>
      <c r="CH796" s="1995" t="str">
        <f t="shared" si="64"/>
        <v/>
      </c>
      <c r="CI796" s="1995" t="str">
        <f t="shared" si="65"/>
        <v/>
      </c>
      <c r="CJ796" s="1995" t="str">
        <f t="shared" si="66"/>
        <v/>
      </c>
      <c r="CK796" s="1995" t="str">
        <f t="shared" si="67"/>
        <v/>
      </c>
      <c r="CL796" s="1995" t="str">
        <f t="shared" si="68"/>
        <v/>
      </c>
      <c r="CM796" s="1995" t="str">
        <f t="shared" si="69"/>
        <v/>
      </c>
      <c r="CN796" s="1995" t="str">
        <f t="shared" si="70"/>
        <v/>
      </c>
      <c r="CO796" s="1995" t="str">
        <f t="shared" si="71"/>
        <v/>
      </c>
      <c r="CP796" s="1995" t="str">
        <f t="shared" si="72"/>
        <v/>
      </c>
      <c r="CQ796" s="1995" t="str">
        <f t="shared" si="73"/>
        <v/>
      </c>
      <c r="CR796" s="1995" t="str">
        <f t="shared" si="74"/>
        <v/>
      </c>
      <c r="CS796" s="1995" t="str">
        <f t="shared" si="75"/>
        <v/>
      </c>
      <c r="CT796" s="1995" t="str">
        <f t="shared" si="76"/>
        <v/>
      </c>
      <c r="CU796" s="1995" t="str">
        <f t="shared" si="77"/>
        <v/>
      </c>
      <c r="CV796" s="1995" t="str">
        <f t="shared" si="78"/>
        <v/>
      </c>
      <c r="CW796" s="1995" t="str">
        <f t="shared" si="79"/>
        <v/>
      </c>
      <c r="CX796" s="1995" t="str">
        <f t="shared" si="80"/>
        <v/>
      </c>
      <c r="CY796" s="1995" t="str">
        <f t="shared" si="81"/>
        <v/>
      </c>
      <c r="CZ796" s="1995" t="str">
        <f t="shared" si="82"/>
        <v/>
      </c>
      <c r="DA796" s="1995" t="str">
        <f t="shared" si="83"/>
        <v/>
      </c>
      <c r="DB796" s="1995" t="str">
        <f t="shared" si="84"/>
        <v/>
      </c>
      <c r="DC796" s="1995" t="str">
        <f t="shared" si="85"/>
        <v/>
      </c>
      <c r="DD796" s="1995" t="str">
        <f t="shared" si="86"/>
        <v/>
      </c>
      <c r="DE796" s="1995" t="str">
        <f t="shared" si="87"/>
        <v/>
      </c>
      <c r="DF796" s="1995" t="str">
        <f t="shared" si="88"/>
        <v/>
      </c>
      <c r="DG796" s="1995" t="str">
        <f t="shared" si="89"/>
        <v/>
      </c>
      <c r="DH796" s="1995" t="str">
        <f t="shared" si="90"/>
        <v/>
      </c>
      <c r="DI796" s="1995" t="str">
        <f t="shared" si="91"/>
        <v/>
      </c>
      <c r="DJ796" s="1995" t="str">
        <f t="shared" si="92"/>
        <v/>
      </c>
      <c r="DK796" s="1995" t="str">
        <f t="shared" si="93"/>
        <v/>
      </c>
      <c r="DL796" s="1995" t="str">
        <f t="shared" si="94"/>
        <v/>
      </c>
      <c r="DM796" s="1995" t="str">
        <f t="shared" si="95"/>
        <v/>
      </c>
      <c r="DN796" s="1995" t="str">
        <f t="shared" si="96"/>
        <v/>
      </c>
      <c r="DO796" s="1995" t="str">
        <f t="shared" si="97"/>
        <v/>
      </c>
      <c r="DP796" s="1995" t="str">
        <f t="shared" si="98"/>
        <v/>
      </c>
      <c r="DQ796" s="1995" t="str">
        <f t="shared" si="99"/>
        <v/>
      </c>
      <c r="DR796" s="1995" t="str">
        <f t="shared" si="100"/>
        <v/>
      </c>
      <c r="DS796" s="1995" t="str">
        <f t="shared" si="101"/>
        <v/>
      </c>
      <c r="DT796" s="1995" t="str">
        <f t="shared" si="102"/>
        <v/>
      </c>
      <c r="DU796" s="1995" t="str">
        <f t="shared" si="103"/>
        <v/>
      </c>
      <c r="DV796" s="1995" t="str">
        <f t="shared" si="104"/>
        <v/>
      </c>
      <c r="DW796" s="1995" t="str">
        <f t="shared" si="105"/>
        <v/>
      </c>
      <c r="DX796" s="1995" t="str">
        <f t="shared" si="106"/>
        <v/>
      </c>
      <c r="DY796" s="1995" t="str">
        <f t="shared" si="107"/>
        <v/>
      </c>
      <c r="DZ796" s="1995" t="str">
        <f t="shared" si="108"/>
        <v/>
      </c>
      <c r="EA796" s="1995" t="str">
        <f t="shared" si="109"/>
        <v/>
      </c>
      <c r="EB796" s="1995" t="str">
        <f t="shared" si="110"/>
        <v/>
      </c>
      <c r="EC796" s="1995" t="str">
        <f t="shared" si="111"/>
        <v/>
      </c>
      <c r="ED796" s="1995" t="str">
        <f t="shared" si="112"/>
        <v/>
      </c>
      <c r="EE796" s="1995" t="str">
        <f t="shared" si="113"/>
        <v/>
      </c>
      <c r="EF796" s="1995" t="str">
        <f t="shared" si="114"/>
        <v/>
      </c>
      <c r="EG796" s="1995" t="str">
        <f t="shared" si="115"/>
        <v/>
      </c>
      <c r="EH796" s="1995" t="str">
        <f t="shared" si="116"/>
        <v/>
      </c>
      <c r="EI796" s="1995" t="str">
        <f t="shared" si="117"/>
        <v/>
      </c>
      <c r="EJ796" s="1995" t="str">
        <f t="shared" si="118"/>
        <v/>
      </c>
      <c r="EK796" s="1995" t="str">
        <f t="shared" si="119"/>
        <v/>
      </c>
      <c r="EL796" s="1995" t="str">
        <f t="shared" si="120"/>
        <v/>
      </c>
      <c r="EM796" s="1995" t="str">
        <f t="shared" si="121"/>
        <v/>
      </c>
      <c r="EN796" s="1995" t="str">
        <f t="shared" si="122"/>
        <v/>
      </c>
      <c r="EO796" s="1995" t="str">
        <f t="shared" si="123"/>
        <v/>
      </c>
      <c r="EP796" s="1995" t="str">
        <f t="shared" si="124"/>
        <v/>
      </c>
      <c r="EQ796" s="1995" t="str">
        <f t="shared" si="125"/>
        <v/>
      </c>
      <c r="ER796" s="1995" t="str">
        <f t="shared" si="126"/>
        <v/>
      </c>
      <c r="ES796" s="1995" t="str">
        <f t="shared" si="127"/>
        <v/>
      </c>
      <c r="ET796" s="1995" t="str">
        <f t="shared" si="128"/>
        <v/>
      </c>
      <c r="EU796" s="1995" t="str">
        <f t="shared" si="129"/>
        <v/>
      </c>
      <c r="EV796" s="1995" t="str">
        <f t="shared" si="130"/>
        <v/>
      </c>
      <c r="EW796" s="1995" t="str">
        <f t="shared" si="131"/>
        <v/>
      </c>
      <c r="EX796" s="1995" t="str">
        <f t="shared" si="132"/>
        <v/>
      </c>
      <c r="EY796" s="1995" t="str">
        <f t="shared" si="133"/>
        <v/>
      </c>
      <c r="EZ796" s="1995" t="str">
        <f t="shared" si="134"/>
        <v/>
      </c>
      <c r="FA796" s="1995" t="str">
        <f t="shared" si="135"/>
        <v/>
      </c>
      <c r="FB796" s="1995" t="str">
        <f t="shared" si="136"/>
        <v/>
      </c>
      <c r="FC796" s="1995" t="str">
        <f t="shared" si="137"/>
        <v/>
      </c>
      <c r="FD796" s="1995" t="str">
        <f t="shared" si="138"/>
        <v/>
      </c>
      <c r="FE796" s="1995" t="str">
        <f t="shared" si="139"/>
        <v/>
      </c>
      <c r="FF796" s="1995" t="str">
        <f t="shared" si="140"/>
        <v/>
      </c>
      <c r="FG796" s="1995" t="str">
        <f t="shared" si="141"/>
        <v/>
      </c>
      <c r="FH796" s="1995" t="str">
        <f t="shared" si="142"/>
        <v/>
      </c>
      <c r="FI796" s="1995" t="str">
        <f t="shared" si="143"/>
        <v/>
      </c>
      <c r="FJ796" s="1995" t="str">
        <f t="shared" si="144"/>
        <v/>
      </c>
      <c r="FK796" s="1995" t="str">
        <f t="shared" si="145"/>
        <v/>
      </c>
      <c r="FL796" s="1995" t="str">
        <f t="shared" si="146"/>
        <v/>
      </c>
      <c r="FM796" s="1995" t="str">
        <f t="shared" si="147"/>
        <v/>
      </c>
      <c r="FN796" s="1995" t="str">
        <f t="shared" si="148"/>
        <v/>
      </c>
      <c r="FO796" s="1995" t="str">
        <f t="shared" si="149"/>
        <v/>
      </c>
      <c r="FP796" s="1995" t="str">
        <f t="shared" si="150"/>
        <v/>
      </c>
      <c r="FQ796" s="1995" t="str">
        <f t="shared" si="151"/>
        <v/>
      </c>
      <c r="FR796" s="1995" t="str">
        <f t="shared" si="152"/>
        <v/>
      </c>
      <c r="FS796" s="1995" t="str">
        <f t="shared" si="153"/>
        <v/>
      </c>
      <c r="FT796" s="1995" t="str">
        <f t="shared" si="154"/>
        <v/>
      </c>
      <c r="FU796" s="1995" t="str">
        <f t="shared" si="155"/>
        <v/>
      </c>
      <c r="FV796" s="1995" t="str">
        <f t="shared" si="156"/>
        <v/>
      </c>
      <c r="FW796" s="1995" t="str">
        <f t="shared" si="157"/>
        <v/>
      </c>
      <c r="FX796" s="1995" t="str">
        <f t="shared" si="158"/>
        <v/>
      </c>
      <c r="FY796" s="1995" t="str">
        <f t="shared" si="159"/>
        <v/>
      </c>
      <c r="FZ796" s="1995" t="str">
        <f t="shared" si="160"/>
        <v/>
      </c>
      <c r="GA796" s="1995" t="str">
        <f t="shared" si="161"/>
        <v/>
      </c>
      <c r="GB796" s="1995" t="str">
        <f t="shared" si="162"/>
        <v/>
      </c>
      <c r="GC796" s="1995" t="str">
        <f t="shared" si="163"/>
        <v/>
      </c>
      <c r="GD796" s="1995" t="str">
        <f t="shared" si="164"/>
        <v/>
      </c>
      <c r="GE796" s="1995" t="str">
        <f t="shared" si="165"/>
        <v/>
      </c>
      <c r="GF796" s="1995" t="str">
        <f t="shared" si="166"/>
        <v/>
      </c>
      <c r="GG796" s="1995" t="str">
        <f t="shared" si="167"/>
        <v/>
      </c>
      <c r="GH796" s="1995" t="str">
        <f t="shared" si="168"/>
        <v/>
      </c>
      <c r="GI796" s="1995" t="str">
        <f t="shared" si="169"/>
        <v/>
      </c>
      <c r="GJ796" s="1995" t="str">
        <f t="shared" si="170"/>
        <v/>
      </c>
      <c r="GK796" s="1995" t="str">
        <f t="shared" si="171"/>
        <v/>
      </c>
      <c r="GL796" s="1995" t="str">
        <f t="shared" si="172"/>
        <v/>
      </c>
      <c r="GM796" s="1995" t="str">
        <f t="shared" si="173"/>
        <v/>
      </c>
      <c r="GN796" s="1995" t="str">
        <f t="shared" si="174"/>
        <v/>
      </c>
      <c r="GO796" s="1995" t="str">
        <f t="shared" si="175"/>
        <v/>
      </c>
      <c r="GP796" s="1995" t="str">
        <f t="shared" si="176"/>
        <v/>
      </c>
      <c r="GQ796" s="1995" t="str">
        <f t="shared" si="177"/>
        <v/>
      </c>
      <c r="GR796" s="1995" t="str">
        <f t="shared" si="178"/>
        <v/>
      </c>
      <c r="GS796" s="1995" t="str">
        <f t="shared" si="179"/>
        <v/>
      </c>
      <c r="GT796" s="1995" t="str">
        <f t="shared" si="180"/>
        <v/>
      </c>
      <c r="GU796" s="1995" t="str">
        <f t="shared" si="181"/>
        <v/>
      </c>
      <c r="GV796" s="1995" t="str">
        <f t="shared" si="182"/>
        <v/>
      </c>
      <c r="GW796" s="1995" t="str">
        <f t="shared" si="183"/>
        <v/>
      </c>
      <c r="GX796" s="1995" t="str">
        <f t="shared" si="184"/>
        <v/>
      </c>
      <c r="GY796" s="1995" t="str">
        <f t="shared" si="185"/>
        <v/>
      </c>
      <c r="GZ796" s="1995" t="str">
        <f t="shared" si="186"/>
        <v/>
      </c>
      <c r="HA796" s="1995" t="str">
        <f t="shared" si="187"/>
        <v/>
      </c>
      <c r="HB796" s="1995" t="str">
        <f t="shared" si="188"/>
        <v/>
      </c>
      <c r="HC796" s="1995" t="str">
        <f t="shared" si="189"/>
        <v/>
      </c>
      <c r="HD796" s="1995" t="str">
        <f t="shared" si="190"/>
        <v/>
      </c>
      <c r="HE796" s="1995" t="str">
        <f t="shared" si="191"/>
        <v/>
      </c>
      <c r="HF796" s="1995" t="str">
        <f t="shared" si="192"/>
        <v/>
      </c>
      <c r="HG796" s="1995" t="str">
        <f t="shared" si="193"/>
        <v/>
      </c>
      <c r="HH796" s="1995" t="str">
        <f t="shared" si="194"/>
        <v/>
      </c>
      <c r="HI796" s="1995" t="str">
        <f t="shared" si="195"/>
        <v/>
      </c>
      <c r="HJ796" s="1995" t="str">
        <f t="shared" si="196"/>
        <v/>
      </c>
      <c r="HK796" s="1995" t="str">
        <f t="shared" si="197"/>
        <v/>
      </c>
      <c r="HL796" s="1995" t="str">
        <f t="shared" si="198"/>
        <v/>
      </c>
      <c r="HM796" s="1995" t="str">
        <f t="shared" si="199"/>
        <v/>
      </c>
      <c r="HN796" s="1995" t="str">
        <f t="shared" si="200"/>
        <v/>
      </c>
      <c r="HO796" s="1995" t="str">
        <f t="shared" si="201"/>
        <v/>
      </c>
      <c r="HP796" s="1995" t="str">
        <f t="shared" si="202"/>
        <v/>
      </c>
      <c r="HQ796" s="1995" t="str">
        <f t="shared" si="203"/>
        <v/>
      </c>
      <c r="HR796" s="1995" t="str">
        <f t="shared" si="204"/>
        <v/>
      </c>
      <c r="HS796" s="1995" t="str">
        <f t="shared" si="205"/>
        <v/>
      </c>
      <c r="HT796" s="1995" t="str">
        <f t="shared" si="206"/>
        <v/>
      </c>
      <c r="HU796" s="1995" t="str">
        <f t="shared" si="207"/>
        <v/>
      </c>
      <c r="HV796" s="1995" t="str">
        <f t="shared" si="208"/>
        <v/>
      </c>
      <c r="HW796" s="1995" t="str">
        <f t="shared" si="209"/>
        <v/>
      </c>
      <c r="HX796" s="1995" t="str">
        <f t="shared" si="210"/>
        <v/>
      </c>
      <c r="HY796" s="1995" t="str">
        <f t="shared" si="211"/>
        <v/>
      </c>
      <c r="HZ796" s="1900" t="str">
        <f t="shared" si="212"/>
        <v/>
      </c>
      <c r="IA796" s="1900" t="str">
        <f t="shared" si="213"/>
        <v/>
      </c>
      <c r="IB796" s="1900" t="str">
        <f t="shared" si="214"/>
        <v/>
      </c>
      <c r="IC796" s="1900" t="str">
        <f t="shared" si="215"/>
        <v/>
      </c>
      <c r="ID796" s="1900" t="str">
        <f t="shared" si="216"/>
        <v/>
      </c>
      <c r="IE796" s="1900" t="str">
        <f t="shared" si="217"/>
        <v/>
      </c>
      <c r="IF796" s="1900" t="str">
        <f t="shared" si="218"/>
        <v/>
      </c>
      <c r="IG796" s="1900" t="str">
        <f t="shared" si="219"/>
        <v/>
      </c>
      <c r="IH796" s="1900" t="str">
        <f t="shared" si="220"/>
        <v/>
      </c>
      <c r="II796" s="1900" t="str">
        <f t="shared" si="221"/>
        <v/>
      </c>
      <c r="IJ796" s="1900" t="str">
        <f t="shared" si="222"/>
        <v/>
      </c>
      <c r="IK796" s="1900" t="str">
        <f t="shared" si="223"/>
        <v/>
      </c>
      <c r="IL796" s="1900" t="str">
        <f t="shared" si="224"/>
        <v/>
      </c>
      <c r="IM796" s="1900" t="str">
        <f t="shared" si="225"/>
        <v/>
      </c>
      <c r="IN796" s="1900" t="str">
        <f t="shared" si="226"/>
        <v/>
      </c>
      <c r="IO796" s="1900" t="str">
        <f t="shared" si="227"/>
        <v/>
      </c>
      <c r="IP796" s="1900" t="str">
        <f t="shared" si="228"/>
        <v/>
      </c>
      <c r="IQ796" s="1900" t="str">
        <f t="shared" si="229"/>
        <v/>
      </c>
      <c r="IR796" s="1900" t="str">
        <f t="shared" si="230"/>
        <v/>
      </c>
      <c r="IS796" s="1900" t="str">
        <f t="shared" si="231"/>
        <v/>
      </c>
      <c r="IT796" s="1900" t="str">
        <f t="shared" si="232"/>
        <v/>
      </c>
      <c r="IU796" s="1900" t="str">
        <f t="shared" si="233"/>
        <v/>
      </c>
      <c r="IV796" s="1900" t="str">
        <f t="shared" si="234"/>
        <v/>
      </c>
      <c r="IW796" s="1900" t="str">
        <f t="shared" si="235"/>
        <v/>
      </c>
      <c r="IX796" s="1900" t="str">
        <f t="shared" si="236"/>
        <v/>
      </c>
      <c r="IY796" s="1900" t="str">
        <f t="shared" si="237"/>
        <v/>
      </c>
      <c r="IZ796" s="1900" t="str">
        <f t="shared" si="238"/>
        <v/>
      </c>
      <c r="JA796" s="1900" t="str">
        <f t="shared" si="239"/>
        <v/>
      </c>
      <c r="JB796" s="1900" t="str">
        <f t="shared" si="240"/>
        <v/>
      </c>
      <c r="JC796" s="1900" t="str">
        <f t="shared" si="241"/>
        <v/>
      </c>
      <c r="JD796" s="1900" t="str">
        <f t="shared" si="242"/>
        <v/>
      </c>
      <c r="JE796" s="1900" t="str">
        <f t="shared" si="243"/>
        <v/>
      </c>
      <c r="JF796" s="1900" t="str">
        <f t="shared" si="244"/>
        <v/>
      </c>
      <c r="JG796" s="1900" t="str">
        <f t="shared" si="245"/>
        <v/>
      </c>
      <c r="JH796" s="1900" t="str">
        <f t="shared" si="246"/>
        <v/>
      </c>
      <c r="JI796" s="1900" t="str">
        <f t="shared" si="247"/>
        <v/>
      </c>
      <c r="JJ796" s="1900" t="str">
        <f t="shared" si="248"/>
        <v/>
      </c>
      <c r="JK796" s="1900" t="str">
        <f t="shared" si="249"/>
        <v/>
      </c>
      <c r="JL796" s="1900" t="str">
        <f t="shared" si="250"/>
        <v/>
      </c>
      <c r="JM796" s="1900" t="str">
        <f t="shared" si="251"/>
        <v/>
      </c>
      <c r="JN796" s="1900" t="str">
        <f t="shared" si="252"/>
        <v/>
      </c>
      <c r="JO796" s="1900" t="str">
        <f t="shared" si="253"/>
        <v/>
      </c>
      <c r="JP796" s="1900" t="str">
        <f t="shared" si="254"/>
        <v/>
      </c>
      <c r="JQ796" s="1900" t="str">
        <f t="shared" si="255"/>
        <v/>
      </c>
      <c r="JR796" s="1900" t="str">
        <f t="shared" si="256"/>
        <v/>
      </c>
      <c r="JS796" s="1900" t="str">
        <f t="shared" si="257"/>
        <v/>
      </c>
      <c r="JT796" s="1900" t="str">
        <f t="shared" si="258"/>
        <v/>
      </c>
      <c r="JU796" s="1900" t="str">
        <f t="shared" si="259"/>
        <v/>
      </c>
      <c r="JV796" s="1900" t="str">
        <f t="shared" si="260"/>
        <v/>
      </c>
      <c r="JW796" s="1900" t="str">
        <f t="shared" si="261"/>
        <v/>
      </c>
      <c r="JX796" s="1900" t="str">
        <f t="shared" si="262"/>
        <v/>
      </c>
      <c r="JY796" s="1900" t="str">
        <f t="shared" si="263"/>
        <v/>
      </c>
      <c r="JZ796" s="1900" t="str">
        <f t="shared" si="264"/>
        <v/>
      </c>
      <c r="KA796" s="1900" t="str">
        <f t="shared" si="265"/>
        <v/>
      </c>
      <c r="KB796" s="1900" t="str">
        <f t="shared" si="266"/>
        <v/>
      </c>
      <c r="KC796" s="1900" t="str">
        <f t="shared" si="267"/>
        <v/>
      </c>
      <c r="KD796" s="1900" t="str">
        <f t="shared" si="268"/>
        <v/>
      </c>
      <c r="KE796" s="1900" t="str">
        <f t="shared" si="269"/>
        <v/>
      </c>
      <c r="KF796" s="1900" t="str">
        <f t="shared" si="270"/>
        <v/>
      </c>
      <c r="KG796" s="1900" t="str">
        <f t="shared" si="271"/>
        <v/>
      </c>
      <c r="KH796" s="1900" t="str">
        <f t="shared" si="272"/>
        <v/>
      </c>
      <c r="KI796" s="1900" t="str">
        <f t="shared" si="273"/>
        <v/>
      </c>
      <c r="KJ796" s="1900" t="str">
        <f t="shared" si="274"/>
        <v/>
      </c>
      <c r="KK796" s="1900" t="str">
        <f t="shared" si="275"/>
        <v/>
      </c>
      <c r="KL796" s="1900" t="str">
        <f t="shared" si="276"/>
        <v/>
      </c>
      <c r="KM796" s="1900" t="str">
        <f t="shared" si="277"/>
        <v/>
      </c>
      <c r="KN796" s="1900" t="str">
        <f t="shared" si="278"/>
        <v/>
      </c>
      <c r="KO796" s="1900" t="str">
        <f t="shared" si="279"/>
        <v/>
      </c>
      <c r="KP796" s="1900" t="str">
        <f t="shared" si="280"/>
        <v/>
      </c>
      <c r="KQ796" s="1900" t="str">
        <f t="shared" si="281"/>
        <v/>
      </c>
      <c r="KR796" s="1900" t="str">
        <f t="shared" si="282"/>
        <v/>
      </c>
      <c r="KS796" s="1900" t="str">
        <f t="shared" si="283"/>
        <v/>
      </c>
      <c r="KT796" s="1900" t="str">
        <f t="shared" si="284"/>
        <v/>
      </c>
      <c r="KU796" s="1900" t="str">
        <f t="shared" si="285"/>
        <v/>
      </c>
      <c r="KV796" s="1900" t="str">
        <f t="shared" si="286"/>
        <v/>
      </c>
      <c r="KW796" s="1900" t="str">
        <f t="shared" si="287"/>
        <v/>
      </c>
      <c r="KX796" s="1900" t="str">
        <f t="shared" si="288"/>
        <v/>
      </c>
      <c r="KY796" s="1900" t="str">
        <f t="shared" si="289"/>
        <v/>
      </c>
      <c r="KZ796" s="1900" t="str">
        <f t="shared" si="290"/>
        <v/>
      </c>
      <c r="LA796" s="1900" t="str">
        <f t="shared" si="291"/>
        <v/>
      </c>
      <c r="LB796" s="1900" t="str">
        <f t="shared" si="292"/>
        <v/>
      </c>
      <c r="LC796" s="1900" t="str">
        <f t="shared" si="293"/>
        <v/>
      </c>
      <c r="LD796" s="1900" t="str">
        <f t="shared" si="294"/>
        <v/>
      </c>
      <c r="LE796" s="1900" t="str">
        <f t="shared" si="295"/>
        <v/>
      </c>
      <c r="LF796" s="1900" t="str">
        <f t="shared" si="296"/>
        <v/>
      </c>
      <c r="LG796" s="1900" t="str">
        <f t="shared" si="297"/>
        <v/>
      </c>
      <c r="LH796" s="1900" t="str">
        <f t="shared" si="298"/>
        <v/>
      </c>
      <c r="LI796" s="1900" t="str">
        <f t="shared" si="299"/>
        <v/>
      </c>
      <c r="LJ796" s="1900" t="str">
        <f t="shared" si="300"/>
        <v/>
      </c>
      <c r="LK796" s="1900" t="str">
        <f t="shared" si="301"/>
        <v/>
      </c>
      <c r="LL796" s="1900" t="str">
        <f t="shared" si="302"/>
        <v/>
      </c>
      <c r="LM796" s="1900" t="str">
        <f t="shared" si="303"/>
        <v/>
      </c>
      <c r="LN796" s="1900" t="str">
        <f t="shared" si="304"/>
        <v/>
      </c>
      <c r="LO796" s="1900" t="str">
        <f t="shared" si="305"/>
        <v/>
      </c>
      <c r="LP796" s="1900" t="str">
        <f t="shared" si="306"/>
        <v/>
      </c>
      <c r="LQ796" s="1874" t="str">
        <f t="shared" si="307"/>
        <v/>
      </c>
      <c r="LR796" s="1874" t="str">
        <f t="shared" si="308"/>
        <v/>
      </c>
      <c r="LS796" s="1874" t="str">
        <f t="shared" si="309"/>
        <v/>
      </c>
      <c r="LT796" s="1874" t="str">
        <f t="shared" si="310"/>
        <v/>
      </c>
      <c r="LU796" s="1874" t="str">
        <f t="shared" si="311"/>
        <v/>
      </c>
      <c r="LV796" s="1995" t="str">
        <f t="shared" si="312"/>
        <v/>
      </c>
      <c r="LW796" s="1995" t="str">
        <f t="shared" si="313"/>
        <v/>
      </c>
      <c r="LX796" s="1995" t="str">
        <f t="shared" si="314"/>
        <v/>
      </c>
      <c r="LY796" s="1995" t="str">
        <f t="shared" si="315"/>
        <v/>
      </c>
      <c r="LZ796" s="1995" t="str">
        <f t="shared" si="316"/>
        <v/>
      </c>
      <c r="MA796" s="1995" t="str">
        <f t="shared" si="317"/>
        <v/>
      </c>
      <c r="MB796" s="1995" t="str">
        <f t="shared" si="318"/>
        <v/>
      </c>
      <c r="MC796" s="1995" t="str">
        <f t="shared" si="319"/>
        <v/>
      </c>
      <c r="MD796" s="1995" t="str">
        <f t="shared" si="320"/>
        <v/>
      </c>
      <c r="ME796" s="1995" t="str">
        <f t="shared" si="321"/>
        <v/>
      </c>
      <c r="MF796" s="1995" t="str">
        <f t="shared" si="322"/>
        <v/>
      </c>
      <c r="MG796" s="1995" t="str">
        <f t="shared" si="323"/>
        <v/>
      </c>
      <c r="MH796" s="1995" t="str">
        <f t="shared" si="324"/>
        <v/>
      </c>
      <c r="MI796" s="1995" t="str">
        <f t="shared" si="325"/>
        <v/>
      </c>
      <c r="MJ796" s="1995" t="str">
        <f t="shared" si="326"/>
        <v/>
      </c>
      <c r="MK796" s="1995" t="str">
        <f t="shared" si="327"/>
        <v/>
      </c>
      <c r="ML796" s="1995" t="str">
        <f t="shared" si="328"/>
        <v/>
      </c>
      <c r="MM796" s="1995" t="str">
        <f t="shared" si="329"/>
        <v/>
      </c>
      <c r="MN796" s="1995" t="str">
        <f t="shared" si="330"/>
        <v/>
      </c>
      <c r="MO796" s="1995" t="str">
        <f t="shared" si="331"/>
        <v/>
      </c>
      <c r="MP796" s="1874">
        <f t="shared" si="338"/>
        <v>0</v>
      </c>
      <c r="MQ796" s="1874">
        <f t="shared" si="339"/>
        <v>0</v>
      </c>
      <c r="MR796" s="1874">
        <f t="shared" si="340"/>
        <v>0</v>
      </c>
      <c r="MS796" s="1874">
        <f t="shared" si="341"/>
        <v>0</v>
      </c>
      <c r="MT796" s="1874">
        <f t="shared" si="342"/>
        <v>0</v>
      </c>
      <c r="MU796" s="1874">
        <f t="shared" si="343"/>
        <v>0</v>
      </c>
      <c r="MV796" s="1874">
        <f t="shared" si="344"/>
        <v>0</v>
      </c>
      <c r="MW796" s="1874">
        <f t="shared" si="345"/>
        <v>0</v>
      </c>
      <c r="MX796" s="1874">
        <f t="shared" si="346"/>
        <v>0</v>
      </c>
      <c r="MY796" s="1874">
        <f t="shared" si="347"/>
        <v>0</v>
      </c>
      <c r="MZ796" s="1874">
        <f t="shared" si="332"/>
        <v>0</v>
      </c>
      <c r="NA796" s="1874">
        <f t="shared" si="333"/>
        <v>0</v>
      </c>
      <c r="NB796" s="1874">
        <f t="shared" si="334"/>
        <v>0</v>
      </c>
      <c r="NC796" s="1874">
        <f t="shared" si="335"/>
        <v>0</v>
      </c>
      <c r="ND796" s="1874">
        <f t="shared" si="336"/>
        <v>0</v>
      </c>
    </row>
    <row r="797" spans="1:368" ht="13.95" customHeight="1">
      <c r="A797" s="1896" t="str">
        <f t="shared" si="337"/>
        <v/>
      </c>
      <c r="B797" s="2212">
        <f>'Part VI-Revenues &amp; Expenses'!B28</f>
        <v>0</v>
      </c>
      <c r="C797" s="2213">
        <f>'Part VI-Revenues &amp; Expenses'!C28</f>
        <v>0</v>
      </c>
      <c r="D797" s="2214">
        <f>'Part VI-Revenues &amp; Expenses'!D28</f>
        <v>0</v>
      </c>
      <c r="E797" s="2215">
        <f>'Part VI-Revenues &amp; Expenses'!E28</f>
        <v>0</v>
      </c>
      <c r="F797" s="2215">
        <f>'Part VI-Revenues &amp; Expenses'!F28</f>
        <v>0</v>
      </c>
      <c r="G797" s="2215">
        <f>'Part VI-Revenues &amp; Expenses'!G28</f>
        <v>0</v>
      </c>
      <c r="H797" s="2215">
        <f>'Part VI-Revenues &amp; Expenses'!H28</f>
        <v>0</v>
      </c>
      <c r="I797" s="2215">
        <f>'Part VI-Revenues &amp; Expenses'!I28</f>
        <v>0</v>
      </c>
      <c r="J797" s="2215">
        <f>'Part VI-Revenues &amp; Expenses'!J28</f>
        <v>0</v>
      </c>
      <c r="K797" s="2216">
        <f>'Part VI-Revenues &amp; Expenses'!K28</f>
        <v>0</v>
      </c>
      <c r="L797" s="1899">
        <f t="shared" si="0"/>
        <v>0</v>
      </c>
      <c r="M797" s="1899">
        <f t="shared" si="1"/>
        <v>0</v>
      </c>
      <c r="N797" s="2074">
        <f>'Part VI-Revenues &amp; Expenses'!N28</f>
        <v>0</v>
      </c>
      <c r="O797" s="2074">
        <f>'Part VI-Revenues &amp; Expenses'!O28</f>
        <v>0</v>
      </c>
      <c r="P797" s="2074">
        <f>'Part VI-Revenues &amp; Expenses'!P28</f>
        <v>0</v>
      </c>
      <c r="Q797" s="1732">
        <f>'Part VI-Revenues &amp; Expenses'!Q28</f>
        <v>0</v>
      </c>
      <c r="R797" s="1926"/>
      <c r="S797" s="2148"/>
      <c r="T797" s="1910"/>
      <c r="U797" s="1910"/>
      <c r="V797" s="1910"/>
      <c r="W797" s="1910"/>
      <c r="X797" s="1995" t="str">
        <f t="shared" si="2"/>
        <v/>
      </c>
      <c r="Y797" s="1995" t="str">
        <f t="shared" si="3"/>
        <v/>
      </c>
      <c r="Z797" s="1995" t="str">
        <f t="shared" si="4"/>
        <v/>
      </c>
      <c r="AA797" s="1995" t="str">
        <f t="shared" si="5"/>
        <v/>
      </c>
      <c r="AB797" s="1995" t="str">
        <f t="shared" si="6"/>
        <v/>
      </c>
      <c r="AC797" s="1995" t="str">
        <f t="shared" si="7"/>
        <v/>
      </c>
      <c r="AD797" s="1995" t="str">
        <f t="shared" si="8"/>
        <v/>
      </c>
      <c r="AE797" s="1995" t="str">
        <f t="shared" si="9"/>
        <v/>
      </c>
      <c r="AF797" s="1995" t="str">
        <f t="shared" si="10"/>
        <v/>
      </c>
      <c r="AG797" s="1995" t="str">
        <f t="shared" si="11"/>
        <v/>
      </c>
      <c r="AH797" s="1995" t="str">
        <f t="shared" si="12"/>
        <v/>
      </c>
      <c r="AI797" s="1995" t="str">
        <f t="shared" si="13"/>
        <v/>
      </c>
      <c r="AJ797" s="1995" t="str">
        <f t="shared" si="14"/>
        <v/>
      </c>
      <c r="AK797" s="1995" t="str">
        <f t="shared" si="15"/>
        <v/>
      </c>
      <c r="AL797" s="1995" t="str">
        <f t="shared" si="16"/>
        <v/>
      </c>
      <c r="AM797" s="1995" t="str">
        <f t="shared" si="17"/>
        <v/>
      </c>
      <c r="AN797" s="1995" t="str">
        <f t="shared" si="18"/>
        <v/>
      </c>
      <c r="AO797" s="1995" t="str">
        <f t="shared" si="19"/>
        <v/>
      </c>
      <c r="AP797" s="1995" t="str">
        <f t="shared" si="20"/>
        <v/>
      </c>
      <c r="AQ797" s="1995" t="str">
        <f t="shared" si="21"/>
        <v/>
      </c>
      <c r="AR797" s="1995" t="str">
        <f t="shared" si="22"/>
        <v/>
      </c>
      <c r="AS797" s="1995" t="str">
        <f t="shared" si="23"/>
        <v/>
      </c>
      <c r="AT797" s="1995" t="str">
        <f t="shared" si="24"/>
        <v/>
      </c>
      <c r="AU797" s="1995" t="str">
        <f t="shared" si="25"/>
        <v/>
      </c>
      <c r="AV797" s="1995" t="str">
        <f t="shared" si="26"/>
        <v/>
      </c>
      <c r="AW797" s="1995" t="str">
        <f t="shared" si="27"/>
        <v/>
      </c>
      <c r="AX797" s="1995" t="str">
        <f t="shared" si="28"/>
        <v/>
      </c>
      <c r="AY797" s="1995" t="str">
        <f t="shared" si="29"/>
        <v/>
      </c>
      <c r="AZ797" s="1995" t="str">
        <f t="shared" si="30"/>
        <v/>
      </c>
      <c r="BA797" s="1995" t="str">
        <f t="shared" si="31"/>
        <v/>
      </c>
      <c r="BB797" s="1995" t="str">
        <f t="shared" si="32"/>
        <v/>
      </c>
      <c r="BC797" s="1995" t="str">
        <f t="shared" si="33"/>
        <v/>
      </c>
      <c r="BD797" s="1995" t="str">
        <f t="shared" si="34"/>
        <v/>
      </c>
      <c r="BE797" s="1995" t="str">
        <f t="shared" si="35"/>
        <v/>
      </c>
      <c r="BF797" s="1995" t="str">
        <f t="shared" si="36"/>
        <v/>
      </c>
      <c r="BG797" s="1995" t="str">
        <f t="shared" si="37"/>
        <v/>
      </c>
      <c r="BH797" s="1995" t="str">
        <f t="shared" si="38"/>
        <v/>
      </c>
      <c r="BI797" s="1995" t="str">
        <f t="shared" si="39"/>
        <v/>
      </c>
      <c r="BJ797" s="1995" t="str">
        <f t="shared" si="40"/>
        <v/>
      </c>
      <c r="BK797" s="1995" t="str">
        <f t="shared" si="41"/>
        <v/>
      </c>
      <c r="BL797" s="1995" t="str">
        <f t="shared" si="42"/>
        <v/>
      </c>
      <c r="BM797" s="1995" t="str">
        <f t="shared" si="43"/>
        <v/>
      </c>
      <c r="BN797" s="1995" t="str">
        <f t="shared" si="44"/>
        <v/>
      </c>
      <c r="BO797" s="1995" t="str">
        <f t="shared" si="45"/>
        <v/>
      </c>
      <c r="BP797" s="1995" t="str">
        <f t="shared" si="46"/>
        <v/>
      </c>
      <c r="BQ797" s="1995" t="str">
        <f t="shared" si="47"/>
        <v/>
      </c>
      <c r="BR797" s="1995" t="str">
        <f t="shared" si="48"/>
        <v/>
      </c>
      <c r="BS797" s="1995" t="str">
        <f t="shared" si="49"/>
        <v/>
      </c>
      <c r="BT797" s="1995" t="str">
        <f t="shared" si="50"/>
        <v/>
      </c>
      <c r="BU797" s="1995" t="str">
        <f t="shared" si="51"/>
        <v/>
      </c>
      <c r="BV797" s="1995" t="str">
        <f t="shared" si="52"/>
        <v/>
      </c>
      <c r="BW797" s="1995" t="str">
        <f t="shared" si="53"/>
        <v/>
      </c>
      <c r="BX797" s="1995" t="str">
        <f t="shared" si="54"/>
        <v/>
      </c>
      <c r="BY797" s="1995" t="str">
        <f t="shared" si="55"/>
        <v/>
      </c>
      <c r="BZ797" s="1995" t="str">
        <f t="shared" si="56"/>
        <v/>
      </c>
      <c r="CA797" s="1995" t="str">
        <f t="shared" si="57"/>
        <v/>
      </c>
      <c r="CB797" s="1995" t="str">
        <f t="shared" si="58"/>
        <v/>
      </c>
      <c r="CC797" s="1995" t="str">
        <f t="shared" si="59"/>
        <v/>
      </c>
      <c r="CD797" s="1995" t="str">
        <f t="shared" si="60"/>
        <v/>
      </c>
      <c r="CE797" s="1995" t="str">
        <f t="shared" si="61"/>
        <v/>
      </c>
      <c r="CF797" s="1995" t="str">
        <f t="shared" si="62"/>
        <v/>
      </c>
      <c r="CG797" s="1995" t="str">
        <f t="shared" si="63"/>
        <v/>
      </c>
      <c r="CH797" s="1995" t="str">
        <f t="shared" si="64"/>
        <v/>
      </c>
      <c r="CI797" s="1995" t="str">
        <f t="shared" si="65"/>
        <v/>
      </c>
      <c r="CJ797" s="1995" t="str">
        <f t="shared" si="66"/>
        <v/>
      </c>
      <c r="CK797" s="1995" t="str">
        <f t="shared" si="67"/>
        <v/>
      </c>
      <c r="CL797" s="1995" t="str">
        <f t="shared" si="68"/>
        <v/>
      </c>
      <c r="CM797" s="1995" t="str">
        <f t="shared" si="69"/>
        <v/>
      </c>
      <c r="CN797" s="1995" t="str">
        <f t="shared" si="70"/>
        <v/>
      </c>
      <c r="CO797" s="1995" t="str">
        <f t="shared" si="71"/>
        <v/>
      </c>
      <c r="CP797" s="1995" t="str">
        <f t="shared" si="72"/>
        <v/>
      </c>
      <c r="CQ797" s="1995" t="str">
        <f t="shared" si="73"/>
        <v/>
      </c>
      <c r="CR797" s="1995" t="str">
        <f t="shared" si="74"/>
        <v/>
      </c>
      <c r="CS797" s="1995" t="str">
        <f t="shared" si="75"/>
        <v/>
      </c>
      <c r="CT797" s="1995" t="str">
        <f t="shared" si="76"/>
        <v/>
      </c>
      <c r="CU797" s="1995" t="str">
        <f t="shared" si="77"/>
        <v/>
      </c>
      <c r="CV797" s="1995" t="str">
        <f t="shared" si="78"/>
        <v/>
      </c>
      <c r="CW797" s="1995" t="str">
        <f t="shared" si="79"/>
        <v/>
      </c>
      <c r="CX797" s="1995" t="str">
        <f t="shared" si="80"/>
        <v/>
      </c>
      <c r="CY797" s="1995" t="str">
        <f t="shared" si="81"/>
        <v/>
      </c>
      <c r="CZ797" s="1995" t="str">
        <f t="shared" si="82"/>
        <v/>
      </c>
      <c r="DA797" s="1995" t="str">
        <f t="shared" si="83"/>
        <v/>
      </c>
      <c r="DB797" s="1995" t="str">
        <f t="shared" si="84"/>
        <v/>
      </c>
      <c r="DC797" s="1995" t="str">
        <f t="shared" si="85"/>
        <v/>
      </c>
      <c r="DD797" s="1995" t="str">
        <f t="shared" si="86"/>
        <v/>
      </c>
      <c r="DE797" s="1995" t="str">
        <f t="shared" si="87"/>
        <v/>
      </c>
      <c r="DF797" s="1995" t="str">
        <f t="shared" si="88"/>
        <v/>
      </c>
      <c r="DG797" s="1995" t="str">
        <f t="shared" si="89"/>
        <v/>
      </c>
      <c r="DH797" s="1995" t="str">
        <f t="shared" si="90"/>
        <v/>
      </c>
      <c r="DI797" s="1995" t="str">
        <f t="shared" si="91"/>
        <v/>
      </c>
      <c r="DJ797" s="1995" t="str">
        <f t="shared" si="92"/>
        <v/>
      </c>
      <c r="DK797" s="1995" t="str">
        <f t="shared" si="93"/>
        <v/>
      </c>
      <c r="DL797" s="1995" t="str">
        <f t="shared" si="94"/>
        <v/>
      </c>
      <c r="DM797" s="1995" t="str">
        <f t="shared" si="95"/>
        <v/>
      </c>
      <c r="DN797" s="1995" t="str">
        <f t="shared" si="96"/>
        <v/>
      </c>
      <c r="DO797" s="1995" t="str">
        <f t="shared" si="97"/>
        <v/>
      </c>
      <c r="DP797" s="1995" t="str">
        <f t="shared" si="98"/>
        <v/>
      </c>
      <c r="DQ797" s="1995" t="str">
        <f t="shared" si="99"/>
        <v/>
      </c>
      <c r="DR797" s="1995" t="str">
        <f t="shared" si="100"/>
        <v/>
      </c>
      <c r="DS797" s="1995" t="str">
        <f t="shared" si="101"/>
        <v/>
      </c>
      <c r="DT797" s="1995" t="str">
        <f t="shared" si="102"/>
        <v/>
      </c>
      <c r="DU797" s="1995" t="str">
        <f t="shared" si="103"/>
        <v/>
      </c>
      <c r="DV797" s="1995" t="str">
        <f t="shared" si="104"/>
        <v/>
      </c>
      <c r="DW797" s="1995" t="str">
        <f t="shared" si="105"/>
        <v/>
      </c>
      <c r="DX797" s="1995" t="str">
        <f t="shared" si="106"/>
        <v/>
      </c>
      <c r="DY797" s="1995" t="str">
        <f t="shared" si="107"/>
        <v/>
      </c>
      <c r="DZ797" s="1995" t="str">
        <f t="shared" si="108"/>
        <v/>
      </c>
      <c r="EA797" s="1995" t="str">
        <f t="shared" si="109"/>
        <v/>
      </c>
      <c r="EB797" s="1995" t="str">
        <f t="shared" si="110"/>
        <v/>
      </c>
      <c r="EC797" s="1995" t="str">
        <f t="shared" si="111"/>
        <v/>
      </c>
      <c r="ED797" s="1995" t="str">
        <f t="shared" si="112"/>
        <v/>
      </c>
      <c r="EE797" s="1995" t="str">
        <f t="shared" si="113"/>
        <v/>
      </c>
      <c r="EF797" s="1995" t="str">
        <f t="shared" si="114"/>
        <v/>
      </c>
      <c r="EG797" s="1995" t="str">
        <f t="shared" si="115"/>
        <v/>
      </c>
      <c r="EH797" s="1995" t="str">
        <f t="shared" si="116"/>
        <v/>
      </c>
      <c r="EI797" s="1995" t="str">
        <f t="shared" si="117"/>
        <v/>
      </c>
      <c r="EJ797" s="1995" t="str">
        <f t="shared" si="118"/>
        <v/>
      </c>
      <c r="EK797" s="1995" t="str">
        <f t="shared" si="119"/>
        <v/>
      </c>
      <c r="EL797" s="1995" t="str">
        <f t="shared" si="120"/>
        <v/>
      </c>
      <c r="EM797" s="1995" t="str">
        <f t="shared" si="121"/>
        <v/>
      </c>
      <c r="EN797" s="1995" t="str">
        <f t="shared" si="122"/>
        <v/>
      </c>
      <c r="EO797" s="1995" t="str">
        <f t="shared" si="123"/>
        <v/>
      </c>
      <c r="EP797" s="1995" t="str">
        <f t="shared" si="124"/>
        <v/>
      </c>
      <c r="EQ797" s="1995" t="str">
        <f t="shared" si="125"/>
        <v/>
      </c>
      <c r="ER797" s="1995" t="str">
        <f t="shared" si="126"/>
        <v/>
      </c>
      <c r="ES797" s="1995" t="str">
        <f t="shared" si="127"/>
        <v/>
      </c>
      <c r="ET797" s="1995" t="str">
        <f t="shared" si="128"/>
        <v/>
      </c>
      <c r="EU797" s="1995" t="str">
        <f t="shared" si="129"/>
        <v/>
      </c>
      <c r="EV797" s="1995" t="str">
        <f t="shared" si="130"/>
        <v/>
      </c>
      <c r="EW797" s="1995" t="str">
        <f t="shared" si="131"/>
        <v/>
      </c>
      <c r="EX797" s="1995" t="str">
        <f t="shared" si="132"/>
        <v/>
      </c>
      <c r="EY797" s="1995" t="str">
        <f t="shared" si="133"/>
        <v/>
      </c>
      <c r="EZ797" s="1995" t="str">
        <f t="shared" si="134"/>
        <v/>
      </c>
      <c r="FA797" s="1995" t="str">
        <f t="shared" si="135"/>
        <v/>
      </c>
      <c r="FB797" s="1995" t="str">
        <f t="shared" si="136"/>
        <v/>
      </c>
      <c r="FC797" s="1995" t="str">
        <f t="shared" si="137"/>
        <v/>
      </c>
      <c r="FD797" s="1995" t="str">
        <f t="shared" si="138"/>
        <v/>
      </c>
      <c r="FE797" s="1995" t="str">
        <f t="shared" si="139"/>
        <v/>
      </c>
      <c r="FF797" s="1995" t="str">
        <f t="shared" si="140"/>
        <v/>
      </c>
      <c r="FG797" s="1995" t="str">
        <f t="shared" si="141"/>
        <v/>
      </c>
      <c r="FH797" s="1995" t="str">
        <f t="shared" si="142"/>
        <v/>
      </c>
      <c r="FI797" s="1995" t="str">
        <f t="shared" si="143"/>
        <v/>
      </c>
      <c r="FJ797" s="1995" t="str">
        <f t="shared" si="144"/>
        <v/>
      </c>
      <c r="FK797" s="1995" t="str">
        <f t="shared" si="145"/>
        <v/>
      </c>
      <c r="FL797" s="1995" t="str">
        <f t="shared" si="146"/>
        <v/>
      </c>
      <c r="FM797" s="1995" t="str">
        <f t="shared" si="147"/>
        <v/>
      </c>
      <c r="FN797" s="1995" t="str">
        <f t="shared" si="148"/>
        <v/>
      </c>
      <c r="FO797" s="1995" t="str">
        <f t="shared" si="149"/>
        <v/>
      </c>
      <c r="FP797" s="1995" t="str">
        <f t="shared" si="150"/>
        <v/>
      </c>
      <c r="FQ797" s="1995" t="str">
        <f t="shared" si="151"/>
        <v/>
      </c>
      <c r="FR797" s="1995" t="str">
        <f t="shared" si="152"/>
        <v/>
      </c>
      <c r="FS797" s="1995" t="str">
        <f t="shared" si="153"/>
        <v/>
      </c>
      <c r="FT797" s="1995" t="str">
        <f t="shared" si="154"/>
        <v/>
      </c>
      <c r="FU797" s="1995" t="str">
        <f t="shared" si="155"/>
        <v/>
      </c>
      <c r="FV797" s="1995" t="str">
        <f t="shared" si="156"/>
        <v/>
      </c>
      <c r="FW797" s="1995" t="str">
        <f t="shared" si="157"/>
        <v/>
      </c>
      <c r="FX797" s="1995" t="str">
        <f t="shared" si="158"/>
        <v/>
      </c>
      <c r="FY797" s="1995" t="str">
        <f t="shared" si="159"/>
        <v/>
      </c>
      <c r="FZ797" s="1995" t="str">
        <f t="shared" si="160"/>
        <v/>
      </c>
      <c r="GA797" s="1995" t="str">
        <f t="shared" si="161"/>
        <v/>
      </c>
      <c r="GB797" s="1995" t="str">
        <f t="shared" si="162"/>
        <v/>
      </c>
      <c r="GC797" s="1995" t="str">
        <f t="shared" si="163"/>
        <v/>
      </c>
      <c r="GD797" s="1995" t="str">
        <f t="shared" si="164"/>
        <v/>
      </c>
      <c r="GE797" s="1995" t="str">
        <f t="shared" si="165"/>
        <v/>
      </c>
      <c r="GF797" s="1995" t="str">
        <f t="shared" si="166"/>
        <v/>
      </c>
      <c r="GG797" s="1995" t="str">
        <f t="shared" si="167"/>
        <v/>
      </c>
      <c r="GH797" s="1995" t="str">
        <f t="shared" si="168"/>
        <v/>
      </c>
      <c r="GI797" s="1995" t="str">
        <f t="shared" si="169"/>
        <v/>
      </c>
      <c r="GJ797" s="1995" t="str">
        <f t="shared" si="170"/>
        <v/>
      </c>
      <c r="GK797" s="1995" t="str">
        <f t="shared" si="171"/>
        <v/>
      </c>
      <c r="GL797" s="1995" t="str">
        <f t="shared" si="172"/>
        <v/>
      </c>
      <c r="GM797" s="1995" t="str">
        <f t="shared" si="173"/>
        <v/>
      </c>
      <c r="GN797" s="1995" t="str">
        <f t="shared" si="174"/>
        <v/>
      </c>
      <c r="GO797" s="1995" t="str">
        <f t="shared" si="175"/>
        <v/>
      </c>
      <c r="GP797" s="1995" t="str">
        <f t="shared" si="176"/>
        <v/>
      </c>
      <c r="GQ797" s="1995" t="str">
        <f t="shared" si="177"/>
        <v/>
      </c>
      <c r="GR797" s="1995" t="str">
        <f t="shared" si="178"/>
        <v/>
      </c>
      <c r="GS797" s="1995" t="str">
        <f t="shared" si="179"/>
        <v/>
      </c>
      <c r="GT797" s="1995" t="str">
        <f t="shared" si="180"/>
        <v/>
      </c>
      <c r="GU797" s="1995" t="str">
        <f t="shared" si="181"/>
        <v/>
      </c>
      <c r="GV797" s="1995" t="str">
        <f t="shared" si="182"/>
        <v/>
      </c>
      <c r="GW797" s="1995" t="str">
        <f t="shared" si="183"/>
        <v/>
      </c>
      <c r="GX797" s="1995" t="str">
        <f t="shared" si="184"/>
        <v/>
      </c>
      <c r="GY797" s="1995" t="str">
        <f t="shared" si="185"/>
        <v/>
      </c>
      <c r="GZ797" s="1995" t="str">
        <f t="shared" si="186"/>
        <v/>
      </c>
      <c r="HA797" s="1995" t="str">
        <f t="shared" si="187"/>
        <v/>
      </c>
      <c r="HB797" s="1995" t="str">
        <f t="shared" si="188"/>
        <v/>
      </c>
      <c r="HC797" s="1995" t="str">
        <f t="shared" si="189"/>
        <v/>
      </c>
      <c r="HD797" s="1995" t="str">
        <f t="shared" si="190"/>
        <v/>
      </c>
      <c r="HE797" s="1995" t="str">
        <f t="shared" si="191"/>
        <v/>
      </c>
      <c r="HF797" s="1995" t="str">
        <f t="shared" si="192"/>
        <v/>
      </c>
      <c r="HG797" s="1995" t="str">
        <f t="shared" si="193"/>
        <v/>
      </c>
      <c r="HH797" s="1995" t="str">
        <f t="shared" si="194"/>
        <v/>
      </c>
      <c r="HI797" s="1995" t="str">
        <f t="shared" si="195"/>
        <v/>
      </c>
      <c r="HJ797" s="1995" t="str">
        <f t="shared" si="196"/>
        <v/>
      </c>
      <c r="HK797" s="1995" t="str">
        <f t="shared" si="197"/>
        <v/>
      </c>
      <c r="HL797" s="1995" t="str">
        <f t="shared" si="198"/>
        <v/>
      </c>
      <c r="HM797" s="1995" t="str">
        <f t="shared" si="199"/>
        <v/>
      </c>
      <c r="HN797" s="1995" t="str">
        <f t="shared" si="200"/>
        <v/>
      </c>
      <c r="HO797" s="1995" t="str">
        <f t="shared" si="201"/>
        <v/>
      </c>
      <c r="HP797" s="1995" t="str">
        <f t="shared" si="202"/>
        <v/>
      </c>
      <c r="HQ797" s="1995" t="str">
        <f t="shared" si="203"/>
        <v/>
      </c>
      <c r="HR797" s="1995" t="str">
        <f t="shared" si="204"/>
        <v/>
      </c>
      <c r="HS797" s="1995" t="str">
        <f t="shared" si="205"/>
        <v/>
      </c>
      <c r="HT797" s="1995" t="str">
        <f t="shared" si="206"/>
        <v/>
      </c>
      <c r="HU797" s="1995" t="str">
        <f t="shared" si="207"/>
        <v/>
      </c>
      <c r="HV797" s="1995" t="str">
        <f t="shared" si="208"/>
        <v/>
      </c>
      <c r="HW797" s="1995" t="str">
        <f t="shared" si="209"/>
        <v/>
      </c>
      <c r="HX797" s="1995" t="str">
        <f t="shared" si="210"/>
        <v/>
      </c>
      <c r="HY797" s="1995" t="str">
        <f t="shared" si="211"/>
        <v/>
      </c>
      <c r="HZ797" s="1900" t="str">
        <f t="shared" si="212"/>
        <v/>
      </c>
      <c r="IA797" s="1900" t="str">
        <f t="shared" si="213"/>
        <v/>
      </c>
      <c r="IB797" s="1900" t="str">
        <f t="shared" si="214"/>
        <v/>
      </c>
      <c r="IC797" s="1900" t="str">
        <f t="shared" si="215"/>
        <v/>
      </c>
      <c r="ID797" s="1900" t="str">
        <f t="shared" si="216"/>
        <v/>
      </c>
      <c r="IE797" s="1900" t="str">
        <f t="shared" si="217"/>
        <v/>
      </c>
      <c r="IF797" s="1900" t="str">
        <f t="shared" si="218"/>
        <v/>
      </c>
      <c r="IG797" s="1900" t="str">
        <f t="shared" si="219"/>
        <v/>
      </c>
      <c r="IH797" s="1900" t="str">
        <f t="shared" si="220"/>
        <v/>
      </c>
      <c r="II797" s="1900" t="str">
        <f t="shared" si="221"/>
        <v/>
      </c>
      <c r="IJ797" s="1900" t="str">
        <f t="shared" si="222"/>
        <v/>
      </c>
      <c r="IK797" s="1900" t="str">
        <f t="shared" si="223"/>
        <v/>
      </c>
      <c r="IL797" s="1900" t="str">
        <f t="shared" si="224"/>
        <v/>
      </c>
      <c r="IM797" s="1900" t="str">
        <f t="shared" si="225"/>
        <v/>
      </c>
      <c r="IN797" s="1900" t="str">
        <f t="shared" si="226"/>
        <v/>
      </c>
      <c r="IO797" s="1900" t="str">
        <f t="shared" si="227"/>
        <v/>
      </c>
      <c r="IP797" s="1900" t="str">
        <f t="shared" si="228"/>
        <v/>
      </c>
      <c r="IQ797" s="1900" t="str">
        <f t="shared" si="229"/>
        <v/>
      </c>
      <c r="IR797" s="1900" t="str">
        <f t="shared" si="230"/>
        <v/>
      </c>
      <c r="IS797" s="1900" t="str">
        <f t="shared" si="231"/>
        <v/>
      </c>
      <c r="IT797" s="1900" t="str">
        <f t="shared" si="232"/>
        <v/>
      </c>
      <c r="IU797" s="1900" t="str">
        <f t="shared" si="233"/>
        <v/>
      </c>
      <c r="IV797" s="1900" t="str">
        <f t="shared" si="234"/>
        <v/>
      </c>
      <c r="IW797" s="1900" t="str">
        <f t="shared" si="235"/>
        <v/>
      </c>
      <c r="IX797" s="1900" t="str">
        <f t="shared" si="236"/>
        <v/>
      </c>
      <c r="IY797" s="1900" t="str">
        <f t="shared" si="237"/>
        <v/>
      </c>
      <c r="IZ797" s="1900" t="str">
        <f t="shared" si="238"/>
        <v/>
      </c>
      <c r="JA797" s="1900" t="str">
        <f t="shared" si="239"/>
        <v/>
      </c>
      <c r="JB797" s="1900" t="str">
        <f t="shared" si="240"/>
        <v/>
      </c>
      <c r="JC797" s="1900" t="str">
        <f t="shared" si="241"/>
        <v/>
      </c>
      <c r="JD797" s="1900" t="str">
        <f t="shared" si="242"/>
        <v/>
      </c>
      <c r="JE797" s="1900" t="str">
        <f t="shared" si="243"/>
        <v/>
      </c>
      <c r="JF797" s="1900" t="str">
        <f t="shared" si="244"/>
        <v/>
      </c>
      <c r="JG797" s="1900" t="str">
        <f t="shared" si="245"/>
        <v/>
      </c>
      <c r="JH797" s="1900" t="str">
        <f t="shared" si="246"/>
        <v/>
      </c>
      <c r="JI797" s="1900" t="str">
        <f t="shared" si="247"/>
        <v/>
      </c>
      <c r="JJ797" s="1900" t="str">
        <f t="shared" si="248"/>
        <v/>
      </c>
      <c r="JK797" s="1900" t="str">
        <f t="shared" si="249"/>
        <v/>
      </c>
      <c r="JL797" s="1900" t="str">
        <f t="shared" si="250"/>
        <v/>
      </c>
      <c r="JM797" s="1900" t="str">
        <f t="shared" si="251"/>
        <v/>
      </c>
      <c r="JN797" s="1900" t="str">
        <f t="shared" si="252"/>
        <v/>
      </c>
      <c r="JO797" s="1900" t="str">
        <f t="shared" si="253"/>
        <v/>
      </c>
      <c r="JP797" s="1900" t="str">
        <f t="shared" si="254"/>
        <v/>
      </c>
      <c r="JQ797" s="1900" t="str">
        <f t="shared" si="255"/>
        <v/>
      </c>
      <c r="JR797" s="1900" t="str">
        <f t="shared" si="256"/>
        <v/>
      </c>
      <c r="JS797" s="1900" t="str">
        <f t="shared" si="257"/>
        <v/>
      </c>
      <c r="JT797" s="1900" t="str">
        <f t="shared" si="258"/>
        <v/>
      </c>
      <c r="JU797" s="1900" t="str">
        <f t="shared" si="259"/>
        <v/>
      </c>
      <c r="JV797" s="1900" t="str">
        <f t="shared" si="260"/>
        <v/>
      </c>
      <c r="JW797" s="1900" t="str">
        <f t="shared" si="261"/>
        <v/>
      </c>
      <c r="JX797" s="1900" t="str">
        <f t="shared" si="262"/>
        <v/>
      </c>
      <c r="JY797" s="1900" t="str">
        <f t="shared" si="263"/>
        <v/>
      </c>
      <c r="JZ797" s="1900" t="str">
        <f t="shared" si="264"/>
        <v/>
      </c>
      <c r="KA797" s="1900" t="str">
        <f t="shared" si="265"/>
        <v/>
      </c>
      <c r="KB797" s="1900" t="str">
        <f t="shared" si="266"/>
        <v/>
      </c>
      <c r="KC797" s="1900" t="str">
        <f t="shared" si="267"/>
        <v/>
      </c>
      <c r="KD797" s="1900" t="str">
        <f t="shared" si="268"/>
        <v/>
      </c>
      <c r="KE797" s="1900" t="str">
        <f t="shared" si="269"/>
        <v/>
      </c>
      <c r="KF797" s="1900" t="str">
        <f t="shared" si="270"/>
        <v/>
      </c>
      <c r="KG797" s="1900" t="str">
        <f t="shared" si="271"/>
        <v/>
      </c>
      <c r="KH797" s="1900" t="str">
        <f t="shared" si="272"/>
        <v/>
      </c>
      <c r="KI797" s="1900" t="str">
        <f t="shared" si="273"/>
        <v/>
      </c>
      <c r="KJ797" s="1900" t="str">
        <f t="shared" si="274"/>
        <v/>
      </c>
      <c r="KK797" s="1900" t="str">
        <f t="shared" si="275"/>
        <v/>
      </c>
      <c r="KL797" s="1900" t="str">
        <f t="shared" si="276"/>
        <v/>
      </c>
      <c r="KM797" s="1900" t="str">
        <f t="shared" si="277"/>
        <v/>
      </c>
      <c r="KN797" s="1900" t="str">
        <f t="shared" si="278"/>
        <v/>
      </c>
      <c r="KO797" s="1900" t="str">
        <f t="shared" si="279"/>
        <v/>
      </c>
      <c r="KP797" s="1900" t="str">
        <f t="shared" si="280"/>
        <v/>
      </c>
      <c r="KQ797" s="1900" t="str">
        <f t="shared" si="281"/>
        <v/>
      </c>
      <c r="KR797" s="1900" t="str">
        <f t="shared" si="282"/>
        <v/>
      </c>
      <c r="KS797" s="1900" t="str">
        <f t="shared" si="283"/>
        <v/>
      </c>
      <c r="KT797" s="1900" t="str">
        <f t="shared" si="284"/>
        <v/>
      </c>
      <c r="KU797" s="1900" t="str">
        <f t="shared" si="285"/>
        <v/>
      </c>
      <c r="KV797" s="1900" t="str">
        <f t="shared" si="286"/>
        <v/>
      </c>
      <c r="KW797" s="1900" t="str">
        <f t="shared" si="287"/>
        <v/>
      </c>
      <c r="KX797" s="1900" t="str">
        <f t="shared" si="288"/>
        <v/>
      </c>
      <c r="KY797" s="1900" t="str">
        <f t="shared" si="289"/>
        <v/>
      </c>
      <c r="KZ797" s="1900" t="str">
        <f t="shared" si="290"/>
        <v/>
      </c>
      <c r="LA797" s="1900" t="str">
        <f t="shared" si="291"/>
        <v/>
      </c>
      <c r="LB797" s="1900" t="str">
        <f t="shared" si="292"/>
        <v/>
      </c>
      <c r="LC797" s="1900" t="str">
        <f t="shared" si="293"/>
        <v/>
      </c>
      <c r="LD797" s="1900" t="str">
        <f t="shared" si="294"/>
        <v/>
      </c>
      <c r="LE797" s="1900" t="str">
        <f t="shared" si="295"/>
        <v/>
      </c>
      <c r="LF797" s="1900" t="str">
        <f t="shared" si="296"/>
        <v/>
      </c>
      <c r="LG797" s="1900" t="str">
        <f t="shared" si="297"/>
        <v/>
      </c>
      <c r="LH797" s="1900" t="str">
        <f t="shared" si="298"/>
        <v/>
      </c>
      <c r="LI797" s="1900" t="str">
        <f t="shared" si="299"/>
        <v/>
      </c>
      <c r="LJ797" s="1900" t="str">
        <f t="shared" si="300"/>
        <v/>
      </c>
      <c r="LK797" s="1900" t="str">
        <f t="shared" si="301"/>
        <v/>
      </c>
      <c r="LL797" s="1900" t="str">
        <f t="shared" si="302"/>
        <v/>
      </c>
      <c r="LM797" s="1900" t="str">
        <f t="shared" si="303"/>
        <v/>
      </c>
      <c r="LN797" s="1900" t="str">
        <f t="shared" si="304"/>
        <v/>
      </c>
      <c r="LO797" s="1900" t="str">
        <f t="shared" si="305"/>
        <v/>
      </c>
      <c r="LP797" s="1900" t="str">
        <f t="shared" si="306"/>
        <v/>
      </c>
      <c r="LQ797" s="1874" t="str">
        <f t="shared" si="307"/>
        <v/>
      </c>
      <c r="LR797" s="1874" t="str">
        <f t="shared" si="308"/>
        <v/>
      </c>
      <c r="LS797" s="1874" t="str">
        <f t="shared" si="309"/>
        <v/>
      </c>
      <c r="LT797" s="1874" t="str">
        <f t="shared" si="310"/>
        <v/>
      </c>
      <c r="LU797" s="1874" t="str">
        <f t="shared" si="311"/>
        <v/>
      </c>
      <c r="LV797" s="1995" t="str">
        <f t="shared" si="312"/>
        <v/>
      </c>
      <c r="LW797" s="1995" t="str">
        <f t="shared" si="313"/>
        <v/>
      </c>
      <c r="LX797" s="1995" t="str">
        <f t="shared" si="314"/>
        <v/>
      </c>
      <c r="LY797" s="1995" t="str">
        <f t="shared" si="315"/>
        <v/>
      </c>
      <c r="LZ797" s="1995" t="str">
        <f t="shared" si="316"/>
        <v/>
      </c>
      <c r="MA797" s="1995" t="str">
        <f t="shared" si="317"/>
        <v/>
      </c>
      <c r="MB797" s="1995" t="str">
        <f t="shared" si="318"/>
        <v/>
      </c>
      <c r="MC797" s="1995" t="str">
        <f t="shared" si="319"/>
        <v/>
      </c>
      <c r="MD797" s="1995" t="str">
        <f t="shared" si="320"/>
        <v/>
      </c>
      <c r="ME797" s="1995" t="str">
        <f t="shared" si="321"/>
        <v/>
      </c>
      <c r="MF797" s="1995" t="str">
        <f t="shared" si="322"/>
        <v/>
      </c>
      <c r="MG797" s="1995" t="str">
        <f t="shared" si="323"/>
        <v/>
      </c>
      <c r="MH797" s="1995" t="str">
        <f t="shared" si="324"/>
        <v/>
      </c>
      <c r="MI797" s="1995" t="str">
        <f t="shared" si="325"/>
        <v/>
      </c>
      <c r="MJ797" s="1995" t="str">
        <f t="shared" si="326"/>
        <v/>
      </c>
      <c r="MK797" s="1995" t="str">
        <f t="shared" si="327"/>
        <v/>
      </c>
      <c r="ML797" s="1995" t="str">
        <f t="shared" si="328"/>
        <v/>
      </c>
      <c r="MM797" s="1995" t="str">
        <f t="shared" si="329"/>
        <v/>
      </c>
      <c r="MN797" s="1995" t="str">
        <f t="shared" si="330"/>
        <v/>
      </c>
      <c r="MO797" s="1995" t="str">
        <f t="shared" si="331"/>
        <v/>
      </c>
      <c r="MP797" s="1874">
        <f t="shared" si="338"/>
        <v>0</v>
      </c>
      <c r="MQ797" s="1874">
        <f t="shared" si="339"/>
        <v>0</v>
      </c>
      <c r="MR797" s="1874">
        <f t="shared" si="340"/>
        <v>0</v>
      </c>
      <c r="MS797" s="1874">
        <f t="shared" si="341"/>
        <v>0</v>
      </c>
      <c r="MT797" s="1874">
        <f t="shared" si="342"/>
        <v>0</v>
      </c>
      <c r="MU797" s="1874">
        <f t="shared" si="343"/>
        <v>0</v>
      </c>
      <c r="MV797" s="1874">
        <f t="shared" si="344"/>
        <v>0</v>
      </c>
      <c r="MW797" s="1874">
        <f t="shared" si="345"/>
        <v>0</v>
      </c>
      <c r="MX797" s="1874">
        <f t="shared" si="346"/>
        <v>0</v>
      </c>
      <c r="MY797" s="1874">
        <f t="shared" si="347"/>
        <v>0</v>
      </c>
      <c r="MZ797" s="1874">
        <f t="shared" si="332"/>
        <v>0</v>
      </c>
      <c r="NA797" s="1874">
        <f t="shared" si="333"/>
        <v>0</v>
      </c>
      <c r="NB797" s="1874">
        <f t="shared" si="334"/>
        <v>0</v>
      </c>
      <c r="NC797" s="1874">
        <f t="shared" si="335"/>
        <v>0</v>
      </c>
      <c r="ND797" s="1874">
        <f t="shared" si="336"/>
        <v>0</v>
      </c>
    </row>
    <row r="798" spans="1:368" ht="13.95" customHeight="1">
      <c r="A798" s="1896" t="str">
        <f t="shared" si="337"/>
        <v/>
      </c>
      <c r="B798" s="2212">
        <f>'Part VI-Revenues &amp; Expenses'!B29</f>
        <v>0</v>
      </c>
      <c r="C798" s="2213">
        <f>'Part VI-Revenues &amp; Expenses'!C29</f>
        <v>0</v>
      </c>
      <c r="D798" s="2214">
        <f>'Part VI-Revenues &amp; Expenses'!D29</f>
        <v>0</v>
      </c>
      <c r="E798" s="2215">
        <f>'Part VI-Revenues &amp; Expenses'!E29</f>
        <v>0</v>
      </c>
      <c r="F798" s="2215">
        <f>'Part VI-Revenues &amp; Expenses'!F29</f>
        <v>0</v>
      </c>
      <c r="G798" s="2215">
        <f>'Part VI-Revenues &amp; Expenses'!G29</f>
        <v>0</v>
      </c>
      <c r="H798" s="2215">
        <f>'Part VI-Revenues &amp; Expenses'!H29</f>
        <v>0</v>
      </c>
      <c r="I798" s="2215">
        <f>'Part VI-Revenues &amp; Expenses'!I29</f>
        <v>0</v>
      </c>
      <c r="J798" s="2215">
        <f>'Part VI-Revenues &amp; Expenses'!J29</f>
        <v>0</v>
      </c>
      <c r="K798" s="2216">
        <f>'Part VI-Revenues &amp; Expenses'!K29</f>
        <v>0</v>
      </c>
      <c r="L798" s="1899">
        <f t="shared" si="0"/>
        <v>0</v>
      </c>
      <c r="M798" s="1899">
        <f t="shared" si="1"/>
        <v>0</v>
      </c>
      <c r="N798" s="2074">
        <f>'Part VI-Revenues &amp; Expenses'!N29</f>
        <v>0</v>
      </c>
      <c r="O798" s="2074">
        <f>'Part VI-Revenues &amp; Expenses'!O29</f>
        <v>0</v>
      </c>
      <c r="P798" s="2074">
        <f>'Part VI-Revenues &amp; Expenses'!P29</f>
        <v>0</v>
      </c>
      <c r="Q798" s="1732">
        <f>'Part VI-Revenues &amp; Expenses'!Q29</f>
        <v>0</v>
      </c>
      <c r="R798" s="1926"/>
      <c r="S798" s="2148"/>
      <c r="T798" s="1910"/>
      <c r="U798" s="1910"/>
      <c r="V798" s="1910"/>
      <c r="W798" s="1910"/>
      <c r="X798" s="1995" t="str">
        <f t="shared" si="2"/>
        <v/>
      </c>
      <c r="Y798" s="1995" t="str">
        <f t="shared" si="3"/>
        <v/>
      </c>
      <c r="Z798" s="1995" t="str">
        <f t="shared" si="4"/>
        <v/>
      </c>
      <c r="AA798" s="1995" t="str">
        <f t="shared" si="5"/>
        <v/>
      </c>
      <c r="AB798" s="1995" t="str">
        <f t="shared" si="6"/>
        <v/>
      </c>
      <c r="AC798" s="1995" t="str">
        <f t="shared" si="7"/>
        <v/>
      </c>
      <c r="AD798" s="1995" t="str">
        <f t="shared" si="8"/>
        <v/>
      </c>
      <c r="AE798" s="1995" t="str">
        <f t="shared" si="9"/>
        <v/>
      </c>
      <c r="AF798" s="1995" t="str">
        <f t="shared" si="10"/>
        <v/>
      </c>
      <c r="AG798" s="1995" t="str">
        <f t="shared" si="11"/>
        <v/>
      </c>
      <c r="AH798" s="1995" t="str">
        <f t="shared" si="12"/>
        <v/>
      </c>
      <c r="AI798" s="1995" t="str">
        <f t="shared" si="13"/>
        <v/>
      </c>
      <c r="AJ798" s="1995" t="str">
        <f t="shared" si="14"/>
        <v/>
      </c>
      <c r="AK798" s="1995" t="str">
        <f t="shared" si="15"/>
        <v/>
      </c>
      <c r="AL798" s="1995" t="str">
        <f t="shared" si="16"/>
        <v/>
      </c>
      <c r="AM798" s="1995" t="str">
        <f t="shared" si="17"/>
        <v/>
      </c>
      <c r="AN798" s="1995" t="str">
        <f t="shared" si="18"/>
        <v/>
      </c>
      <c r="AO798" s="1995" t="str">
        <f t="shared" si="19"/>
        <v/>
      </c>
      <c r="AP798" s="1995" t="str">
        <f t="shared" si="20"/>
        <v/>
      </c>
      <c r="AQ798" s="1995" t="str">
        <f t="shared" si="21"/>
        <v/>
      </c>
      <c r="AR798" s="1995" t="str">
        <f t="shared" si="22"/>
        <v/>
      </c>
      <c r="AS798" s="1995" t="str">
        <f t="shared" si="23"/>
        <v/>
      </c>
      <c r="AT798" s="1995" t="str">
        <f t="shared" si="24"/>
        <v/>
      </c>
      <c r="AU798" s="1995" t="str">
        <f t="shared" si="25"/>
        <v/>
      </c>
      <c r="AV798" s="1995" t="str">
        <f t="shared" si="26"/>
        <v/>
      </c>
      <c r="AW798" s="1995" t="str">
        <f t="shared" si="27"/>
        <v/>
      </c>
      <c r="AX798" s="1995" t="str">
        <f t="shared" si="28"/>
        <v/>
      </c>
      <c r="AY798" s="1995" t="str">
        <f t="shared" si="29"/>
        <v/>
      </c>
      <c r="AZ798" s="1995" t="str">
        <f t="shared" si="30"/>
        <v/>
      </c>
      <c r="BA798" s="1995" t="str">
        <f t="shared" si="31"/>
        <v/>
      </c>
      <c r="BB798" s="1995" t="str">
        <f t="shared" si="32"/>
        <v/>
      </c>
      <c r="BC798" s="1995" t="str">
        <f t="shared" si="33"/>
        <v/>
      </c>
      <c r="BD798" s="1995" t="str">
        <f t="shared" si="34"/>
        <v/>
      </c>
      <c r="BE798" s="1995" t="str">
        <f t="shared" si="35"/>
        <v/>
      </c>
      <c r="BF798" s="1995" t="str">
        <f t="shared" si="36"/>
        <v/>
      </c>
      <c r="BG798" s="1995" t="str">
        <f t="shared" si="37"/>
        <v/>
      </c>
      <c r="BH798" s="1995" t="str">
        <f t="shared" si="38"/>
        <v/>
      </c>
      <c r="BI798" s="1995" t="str">
        <f t="shared" si="39"/>
        <v/>
      </c>
      <c r="BJ798" s="1995" t="str">
        <f t="shared" si="40"/>
        <v/>
      </c>
      <c r="BK798" s="1995" t="str">
        <f t="shared" si="41"/>
        <v/>
      </c>
      <c r="BL798" s="1995" t="str">
        <f t="shared" si="42"/>
        <v/>
      </c>
      <c r="BM798" s="1995" t="str">
        <f t="shared" si="43"/>
        <v/>
      </c>
      <c r="BN798" s="1995" t="str">
        <f t="shared" si="44"/>
        <v/>
      </c>
      <c r="BO798" s="1995" t="str">
        <f t="shared" si="45"/>
        <v/>
      </c>
      <c r="BP798" s="1995" t="str">
        <f t="shared" si="46"/>
        <v/>
      </c>
      <c r="BQ798" s="1995" t="str">
        <f t="shared" si="47"/>
        <v/>
      </c>
      <c r="BR798" s="1995" t="str">
        <f t="shared" si="48"/>
        <v/>
      </c>
      <c r="BS798" s="1995" t="str">
        <f t="shared" si="49"/>
        <v/>
      </c>
      <c r="BT798" s="1995" t="str">
        <f t="shared" si="50"/>
        <v/>
      </c>
      <c r="BU798" s="1995" t="str">
        <f t="shared" si="51"/>
        <v/>
      </c>
      <c r="BV798" s="1995" t="str">
        <f t="shared" si="52"/>
        <v/>
      </c>
      <c r="BW798" s="1995" t="str">
        <f t="shared" si="53"/>
        <v/>
      </c>
      <c r="BX798" s="1995" t="str">
        <f t="shared" si="54"/>
        <v/>
      </c>
      <c r="BY798" s="1995" t="str">
        <f t="shared" si="55"/>
        <v/>
      </c>
      <c r="BZ798" s="1995" t="str">
        <f t="shared" si="56"/>
        <v/>
      </c>
      <c r="CA798" s="1995" t="str">
        <f t="shared" si="57"/>
        <v/>
      </c>
      <c r="CB798" s="1995" t="str">
        <f t="shared" si="58"/>
        <v/>
      </c>
      <c r="CC798" s="1995" t="str">
        <f t="shared" si="59"/>
        <v/>
      </c>
      <c r="CD798" s="1995" t="str">
        <f t="shared" si="60"/>
        <v/>
      </c>
      <c r="CE798" s="1995" t="str">
        <f t="shared" si="61"/>
        <v/>
      </c>
      <c r="CF798" s="1995" t="str">
        <f t="shared" si="62"/>
        <v/>
      </c>
      <c r="CG798" s="1995" t="str">
        <f t="shared" si="63"/>
        <v/>
      </c>
      <c r="CH798" s="1995" t="str">
        <f t="shared" si="64"/>
        <v/>
      </c>
      <c r="CI798" s="1995" t="str">
        <f t="shared" si="65"/>
        <v/>
      </c>
      <c r="CJ798" s="1995" t="str">
        <f t="shared" si="66"/>
        <v/>
      </c>
      <c r="CK798" s="1995" t="str">
        <f t="shared" si="67"/>
        <v/>
      </c>
      <c r="CL798" s="1995" t="str">
        <f t="shared" si="68"/>
        <v/>
      </c>
      <c r="CM798" s="1995" t="str">
        <f t="shared" si="69"/>
        <v/>
      </c>
      <c r="CN798" s="1995" t="str">
        <f t="shared" si="70"/>
        <v/>
      </c>
      <c r="CO798" s="1995" t="str">
        <f t="shared" si="71"/>
        <v/>
      </c>
      <c r="CP798" s="1995" t="str">
        <f t="shared" si="72"/>
        <v/>
      </c>
      <c r="CQ798" s="1995" t="str">
        <f t="shared" si="73"/>
        <v/>
      </c>
      <c r="CR798" s="1995" t="str">
        <f t="shared" si="74"/>
        <v/>
      </c>
      <c r="CS798" s="1995" t="str">
        <f t="shared" si="75"/>
        <v/>
      </c>
      <c r="CT798" s="1995" t="str">
        <f t="shared" si="76"/>
        <v/>
      </c>
      <c r="CU798" s="1995" t="str">
        <f t="shared" si="77"/>
        <v/>
      </c>
      <c r="CV798" s="1995" t="str">
        <f t="shared" si="78"/>
        <v/>
      </c>
      <c r="CW798" s="1995" t="str">
        <f t="shared" si="79"/>
        <v/>
      </c>
      <c r="CX798" s="1995" t="str">
        <f t="shared" si="80"/>
        <v/>
      </c>
      <c r="CY798" s="1995" t="str">
        <f t="shared" si="81"/>
        <v/>
      </c>
      <c r="CZ798" s="1995" t="str">
        <f t="shared" si="82"/>
        <v/>
      </c>
      <c r="DA798" s="1995" t="str">
        <f t="shared" si="83"/>
        <v/>
      </c>
      <c r="DB798" s="1995" t="str">
        <f t="shared" si="84"/>
        <v/>
      </c>
      <c r="DC798" s="1995" t="str">
        <f t="shared" si="85"/>
        <v/>
      </c>
      <c r="DD798" s="1995" t="str">
        <f t="shared" si="86"/>
        <v/>
      </c>
      <c r="DE798" s="1995" t="str">
        <f t="shared" si="87"/>
        <v/>
      </c>
      <c r="DF798" s="1995" t="str">
        <f t="shared" si="88"/>
        <v/>
      </c>
      <c r="DG798" s="1995" t="str">
        <f t="shared" si="89"/>
        <v/>
      </c>
      <c r="DH798" s="1995" t="str">
        <f t="shared" si="90"/>
        <v/>
      </c>
      <c r="DI798" s="1995" t="str">
        <f t="shared" si="91"/>
        <v/>
      </c>
      <c r="DJ798" s="1995" t="str">
        <f t="shared" si="92"/>
        <v/>
      </c>
      <c r="DK798" s="1995" t="str">
        <f t="shared" si="93"/>
        <v/>
      </c>
      <c r="DL798" s="1995" t="str">
        <f t="shared" si="94"/>
        <v/>
      </c>
      <c r="DM798" s="1995" t="str">
        <f t="shared" si="95"/>
        <v/>
      </c>
      <c r="DN798" s="1995" t="str">
        <f t="shared" si="96"/>
        <v/>
      </c>
      <c r="DO798" s="1995" t="str">
        <f t="shared" si="97"/>
        <v/>
      </c>
      <c r="DP798" s="1995" t="str">
        <f t="shared" si="98"/>
        <v/>
      </c>
      <c r="DQ798" s="1995" t="str">
        <f t="shared" si="99"/>
        <v/>
      </c>
      <c r="DR798" s="1995" t="str">
        <f t="shared" si="100"/>
        <v/>
      </c>
      <c r="DS798" s="1995" t="str">
        <f t="shared" si="101"/>
        <v/>
      </c>
      <c r="DT798" s="1995" t="str">
        <f t="shared" si="102"/>
        <v/>
      </c>
      <c r="DU798" s="1995" t="str">
        <f t="shared" si="103"/>
        <v/>
      </c>
      <c r="DV798" s="1995" t="str">
        <f t="shared" si="104"/>
        <v/>
      </c>
      <c r="DW798" s="1995" t="str">
        <f t="shared" si="105"/>
        <v/>
      </c>
      <c r="DX798" s="1995" t="str">
        <f t="shared" si="106"/>
        <v/>
      </c>
      <c r="DY798" s="1995" t="str">
        <f t="shared" si="107"/>
        <v/>
      </c>
      <c r="DZ798" s="1995" t="str">
        <f t="shared" si="108"/>
        <v/>
      </c>
      <c r="EA798" s="1995" t="str">
        <f t="shared" si="109"/>
        <v/>
      </c>
      <c r="EB798" s="1995" t="str">
        <f t="shared" si="110"/>
        <v/>
      </c>
      <c r="EC798" s="1995" t="str">
        <f t="shared" si="111"/>
        <v/>
      </c>
      <c r="ED798" s="1995" t="str">
        <f t="shared" si="112"/>
        <v/>
      </c>
      <c r="EE798" s="1995" t="str">
        <f t="shared" si="113"/>
        <v/>
      </c>
      <c r="EF798" s="1995" t="str">
        <f t="shared" si="114"/>
        <v/>
      </c>
      <c r="EG798" s="1995" t="str">
        <f t="shared" si="115"/>
        <v/>
      </c>
      <c r="EH798" s="1995" t="str">
        <f t="shared" si="116"/>
        <v/>
      </c>
      <c r="EI798" s="1995" t="str">
        <f t="shared" si="117"/>
        <v/>
      </c>
      <c r="EJ798" s="1995" t="str">
        <f t="shared" si="118"/>
        <v/>
      </c>
      <c r="EK798" s="1995" t="str">
        <f t="shared" si="119"/>
        <v/>
      </c>
      <c r="EL798" s="1995" t="str">
        <f t="shared" si="120"/>
        <v/>
      </c>
      <c r="EM798" s="1995" t="str">
        <f t="shared" si="121"/>
        <v/>
      </c>
      <c r="EN798" s="1995" t="str">
        <f t="shared" si="122"/>
        <v/>
      </c>
      <c r="EO798" s="1995" t="str">
        <f t="shared" si="123"/>
        <v/>
      </c>
      <c r="EP798" s="1995" t="str">
        <f t="shared" si="124"/>
        <v/>
      </c>
      <c r="EQ798" s="1995" t="str">
        <f t="shared" si="125"/>
        <v/>
      </c>
      <c r="ER798" s="1995" t="str">
        <f t="shared" si="126"/>
        <v/>
      </c>
      <c r="ES798" s="1995" t="str">
        <f t="shared" si="127"/>
        <v/>
      </c>
      <c r="ET798" s="1995" t="str">
        <f t="shared" si="128"/>
        <v/>
      </c>
      <c r="EU798" s="1995" t="str">
        <f t="shared" si="129"/>
        <v/>
      </c>
      <c r="EV798" s="1995" t="str">
        <f t="shared" si="130"/>
        <v/>
      </c>
      <c r="EW798" s="1995" t="str">
        <f t="shared" si="131"/>
        <v/>
      </c>
      <c r="EX798" s="1995" t="str">
        <f t="shared" si="132"/>
        <v/>
      </c>
      <c r="EY798" s="1995" t="str">
        <f t="shared" si="133"/>
        <v/>
      </c>
      <c r="EZ798" s="1995" t="str">
        <f t="shared" si="134"/>
        <v/>
      </c>
      <c r="FA798" s="1995" t="str">
        <f t="shared" si="135"/>
        <v/>
      </c>
      <c r="FB798" s="1995" t="str">
        <f t="shared" si="136"/>
        <v/>
      </c>
      <c r="FC798" s="1995" t="str">
        <f t="shared" si="137"/>
        <v/>
      </c>
      <c r="FD798" s="1995" t="str">
        <f t="shared" si="138"/>
        <v/>
      </c>
      <c r="FE798" s="1995" t="str">
        <f t="shared" si="139"/>
        <v/>
      </c>
      <c r="FF798" s="1995" t="str">
        <f t="shared" si="140"/>
        <v/>
      </c>
      <c r="FG798" s="1995" t="str">
        <f t="shared" si="141"/>
        <v/>
      </c>
      <c r="FH798" s="1995" t="str">
        <f t="shared" si="142"/>
        <v/>
      </c>
      <c r="FI798" s="1995" t="str">
        <f t="shared" si="143"/>
        <v/>
      </c>
      <c r="FJ798" s="1995" t="str">
        <f t="shared" si="144"/>
        <v/>
      </c>
      <c r="FK798" s="1995" t="str">
        <f t="shared" si="145"/>
        <v/>
      </c>
      <c r="FL798" s="1995" t="str">
        <f t="shared" si="146"/>
        <v/>
      </c>
      <c r="FM798" s="1995" t="str">
        <f t="shared" si="147"/>
        <v/>
      </c>
      <c r="FN798" s="1995" t="str">
        <f t="shared" si="148"/>
        <v/>
      </c>
      <c r="FO798" s="1995" t="str">
        <f t="shared" si="149"/>
        <v/>
      </c>
      <c r="FP798" s="1995" t="str">
        <f t="shared" si="150"/>
        <v/>
      </c>
      <c r="FQ798" s="1995" t="str">
        <f t="shared" si="151"/>
        <v/>
      </c>
      <c r="FR798" s="1995" t="str">
        <f t="shared" si="152"/>
        <v/>
      </c>
      <c r="FS798" s="1995" t="str">
        <f t="shared" si="153"/>
        <v/>
      </c>
      <c r="FT798" s="1995" t="str">
        <f t="shared" si="154"/>
        <v/>
      </c>
      <c r="FU798" s="1995" t="str">
        <f t="shared" si="155"/>
        <v/>
      </c>
      <c r="FV798" s="1995" t="str">
        <f t="shared" si="156"/>
        <v/>
      </c>
      <c r="FW798" s="1995" t="str">
        <f t="shared" si="157"/>
        <v/>
      </c>
      <c r="FX798" s="1995" t="str">
        <f t="shared" si="158"/>
        <v/>
      </c>
      <c r="FY798" s="1995" t="str">
        <f t="shared" si="159"/>
        <v/>
      </c>
      <c r="FZ798" s="1995" t="str">
        <f t="shared" si="160"/>
        <v/>
      </c>
      <c r="GA798" s="1995" t="str">
        <f t="shared" si="161"/>
        <v/>
      </c>
      <c r="GB798" s="1995" t="str">
        <f t="shared" si="162"/>
        <v/>
      </c>
      <c r="GC798" s="1995" t="str">
        <f t="shared" si="163"/>
        <v/>
      </c>
      <c r="GD798" s="1995" t="str">
        <f t="shared" si="164"/>
        <v/>
      </c>
      <c r="GE798" s="1995" t="str">
        <f t="shared" si="165"/>
        <v/>
      </c>
      <c r="GF798" s="1995" t="str">
        <f t="shared" si="166"/>
        <v/>
      </c>
      <c r="GG798" s="1995" t="str">
        <f t="shared" si="167"/>
        <v/>
      </c>
      <c r="GH798" s="1995" t="str">
        <f t="shared" si="168"/>
        <v/>
      </c>
      <c r="GI798" s="1995" t="str">
        <f t="shared" si="169"/>
        <v/>
      </c>
      <c r="GJ798" s="1995" t="str">
        <f t="shared" si="170"/>
        <v/>
      </c>
      <c r="GK798" s="1995" t="str">
        <f t="shared" si="171"/>
        <v/>
      </c>
      <c r="GL798" s="1995" t="str">
        <f t="shared" si="172"/>
        <v/>
      </c>
      <c r="GM798" s="1995" t="str">
        <f t="shared" si="173"/>
        <v/>
      </c>
      <c r="GN798" s="1995" t="str">
        <f t="shared" si="174"/>
        <v/>
      </c>
      <c r="GO798" s="1995" t="str">
        <f t="shared" si="175"/>
        <v/>
      </c>
      <c r="GP798" s="1995" t="str">
        <f t="shared" si="176"/>
        <v/>
      </c>
      <c r="GQ798" s="1995" t="str">
        <f t="shared" si="177"/>
        <v/>
      </c>
      <c r="GR798" s="1995" t="str">
        <f t="shared" si="178"/>
        <v/>
      </c>
      <c r="GS798" s="1995" t="str">
        <f t="shared" si="179"/>
        <v/>
      </c>
      <c r="GT798" s="1995" t="str">
        <f t="shared" si="180"/>
        <v/>
      </c>
      <c r="GU798" s="1995" t="str">
        <f t="shared" si="181"/>
        <v/>
      </c>
      <c r="GV798" s="1995" t="str">
        <f t="shared" si="182"/>
        <v/>
      </c>
      <c r="GW798" s="1995" t="str">
        <f t="shared" si="183"/>
        <v/>
      </c>
      <c r="GX798" s="1995" t="str">
        <f t="shared" si="184"/>
        <v/>
      </c>
      <c r="GY798" s="1995" t="str">
        <f t="shared" si="185"/>
        <v/>
      </c>
      <c r="GZ798" s="1995" t="str">
        <f t="shared" si="186"/>
        <v/>
      </c>
      <c r="HA798" s="1995" t="str">
        <f t="shared" si="187"/>
        <v/>
      </c>
      <c r="HB798" s="1995" t="str">
        <f t="shared" si="188"/>
        <v/>
      </c>
      <c r="HC798" s="1995" t="str">
        <f t="shared" si="189"/>
        <v/>
      </c>
      <c r="HD798" s="1995" t="str">
        <f t="shared" si="190"/>
        <v/>
      </c>
      <c r="HE798" s="1995" t="str">
        <f t="shared" si="191"/>
        <v/>
      </c>
      <c r="HF798" s="1995" t="str">
        <f t="shared" si="192"/>
        <v/>
      </c>
      <c r="HG798" s="1995" t="str">
        <f t="shared" si="193"/>
        <v/>
      </c>
      <c r="HH798" s="1995" t="str">
        <f t="shared" si="194"/>
        <v/>
      </c>
      <c r="HI798" s="1995" t="str">
        <f t="shared" si="195"/>
        <v/>
      </c>
      <c r="HJ798" s="1995" t="str">
        <f t="shared" si="196"/>
        <v/>
      </c>
      <c r="HK798" s="1995" t="str">
        <f t="shared" si="197"/>
        <v/>
      </c>
      <c r="HL798" s="1995" t="str">
        <f t="shared" si="198"/>
        <v/>
      </c>
      <c r="HM798" s="1995" t="str">
        <f t="shared" si="199"/>
        <v/>
      </c>
      <c r="HN798" s="1995" t="str">
        <f t="shared" si="200"/>
        <v/>
      </c>
      <c r="HO798" s="1995" t="str">
        <f t="shared" si="201"/>
        <v/>
      </c>
      <c r="HP798" s="1995" t="str">
        <f t="shared" si="202"/>
        <v/>
      </c>
      <c r="HQ798" s="1995" t="str">
        <f t="shared" si="203"/>
        <v/>
      </c>
      <c r="HR798" s="1995" t="str">
        <f t="shared" si="204"/>
        <v/>
      </c>
      <c r="HS798" s="1995" t="str">
        <f t="shared" si="205"/>
        <v/>
      </c>
      <c r="HT798" s="1995" t="str">
        <f t="shared" si="206"/>
        <v/>
      </c>
      <c r="HU798" s="1995" t="str">
        <f t="shared" si="207"/>
        <v/>
      </c>
      <c r="HV798" s="1995" t="str">
        <f t="shared" si="208"/>
        <v/>
      </c>
      <c r="HW798" s="1995" t="str">
        <f t="shared" si="209"/>
        <v/>
      </c>
      <c r="HX798" s="1995" t="str">
        <f t="shared" si="210"/>
        <v/>
      </c>
      <c r="HY798" s="1995" t="str">
        <f t="shared" si="211"/>
        <v/>
      </c>
      <c r="HZ798" s="1900" t="str">
        <f t="shared" si="212"/>
        <v/>
      </c>
      <c r="IA798" s="1900" t="str">
        <f t="shared" si="213"/>
        <v/>
      </c>
      <c r="IB798" s="1900" t="str">
        <f t="shared" si="214"/>
        <v/>
      </c>
      <c r="IC798" s="1900" t="str">
        <f t="shared" si="215"/>
        <v/>
      </c>
      <c r="ID798" s="1900" t="str">
        <f t="shared" si="216"/>
        <v/>
      </c>
      <c r="IE798" s="1900" t="str">
        <f t="shared" si="217"/>
        <v/>
      </c>
      <c r="IF798" s="1900" t="str">
        <f t="shared" si="218"/>
        <v/>
      </c>
      <c r="IG798" s="1900" t="str">
        <f t="shared" si="219"/>
        <v/>
      </c>
      <c r="IH798" s="1900" t="str">
        <f t="shared" si="220"/>
        <v/>
      </c>
      <c r="II798" s="1900" t="str">
        <f t="shared" si="221"/>
        <v/>
      </c>
      <c r="IJ798" s="1900" t="str">
        <f t="shared" si="222"/>
        <v/>
      </c>
      <c r="IK798" s="1900" t="str">
        <f t="shared" si="223"/>
        <v/>
      </c>
      <c r="IL798" s="1900" t="str">
        <f t="shared" si="224"/>
        <v/>
      </c>
      <c r="IM798" s="1900" t="str">
        <f t="shared" si="225"/>
        <v/>
      </c>
      <c r="IN798" s="1900" t="str">
        <f t="shared" si="226"/>
        <v/>
      </c>
      <c r="IO798" s="1900" t="str">
        <f t="shared" si="227"/>
        <v/>
      </c>
      <c r="IP798" s="1900" t="str">
        <f t="shared" si="228"/>
        <v/>
      </c>
      <c r="IQ798" s="1900" t="str">
        <f t="shared" si="229"/>
        <v/>
      </c>
      <c r="IR798" s="1900" t="str">
        <f t="shared" si="230"/>
        <v/>
      </c>
      <c r="IS798" s="1900" t="str">
        <f t="shared" si="231"/>
        <v/>
      </c>
      <c r="IT798" s="1900" t="str">
        <f t="shared" si="232"/>
        <v/>
      </c>
      <c r="IU798" s="1900" t="str">
        <f t="shared" si="233"/>
        <v/>
      </c>
      <c r="IV798" s="1900" t="str">
        <f t="shared" si="234"/>
        <v/>
      </c>
      <c r="IW798" s="1900" t="str">
        <f t="shared" si="235"/>
        <v/>
      </c>
      <c r="IX798" s="1900" t="str">
        <f t="shared" si="236"/>
        <v/>
      </c>
      <c r="IY798" s="1900" t="str">
        <f t="shared" si="237"/>
        <v/>
      </c>
      <c r="IZ798" s="1900" t="str">
        <f t="shared" si="238"/>
        <v/>
      </c>
      <c r="JA798" s="1900" t="str">
        <f t="shared" si="239"/>
        <v/>
      </c>
      <c r="JB798" s="1900" t="str">
        <f t="shared" si="240"/>
        <v/>
      </c>
      <c r="JC798" s="1900" t="str">
        <f t="shared" si="241"/>
        <v/>
      </c>
      <c r="JD798" s="1900" t="str">
        <f t="shared" si="242"/>
        <v/>
      </c>
      <c r="JE798" s="1900" t="str">
        <f t="shared" si="243"/>
        <v/>
      </c>
      <c r="JF798" s="1900" t="str">
        <f t="shared" si="244"/>
        <v/>
      </c>
      <c r="JG798" s="1900" t="str">
        <f t="shared" si="245"/>
        <v/>
      </c>
      <c r="JH798" s="1900" t="str">
        <f t="shared" si="246"/>
        <v/>
      </c>
      <c r="JI798" s="1900" t="str">
        <f t="shared" si="247"/>
        <v/>
      </c>
      <c r="JJ798" s="1900" t="str">
        <f t="shared" si="248"/>
        <v/>
      </c>
      <c r="JK798" s="1900" t="str">
        <f t="shared" si="249"/>
        <v/>
      </c>
      <c r="JL798" s="1900" t="str">
        <f t="shared" si="250"/>
        <v/>
      </c>
      <c r="JM798" s="1900" t="str">
        <f t="shared" si="251"/>
        <v/>
      </c>
      <c r="JN798" s="1900" t="str">
        <f t="shared" si="252"/>
        <v/>
      </c>
      <c r="JO798" s="1900" t="str">
        <f t="shared" si="253"/>
        <v/>
      </c>
      <c r="JP798" s="1900" t="str">
        <f t="shared" si="254"/>
        <v/>
      </c>
      <c r="JQ798" s="1900" t="str">
        <f t="shared" si="255"/>
        <v/>
      </c>
      <c r="JR798" s="1900" t="str">
        <f t="shared" si="256"/>
        <v/>
      </c>
      <c r="JS798" s="1900" t="str">
        <f t="shared" si="257"/>
        <v/>
      </c>
      <c r="JT798" s="1900" t="str">
        <f t="shared" si="258"/>
        <v/>
      </c>
      <c r="JU798" s="1900" t="str">
        <f t="shared" si="259"/>
        <v/>
      </c>
      <c r="JV798" s="1900" t="str">
        <f t="shared" si="260"/>
        <v/>
      </c>
      <c r="JW798" s="1900" t="str">
        <f t="shared" si="261"/>
        <v/>
      </c>
      <c r="JX798" s="1900" t="str">
        <f t="shared" si="262"/>
        <v/>
      </c>
      <c r="JY798" s="1900" t="str">
        <f t="shared" si="263"/>
        <v/>
      </c>
      <c r="JZ798" s="1900" t="str">
        <f t="shared" si="264"/>
        <v/>
      </c>
      <c r="KA798" s="1900" t="str">
        <f t="shared" si="265"/>
        <v/>
      </c>
      <c r="KB798" s="1900" t="str">
        <f t="shared" si="266"/>
        <v/>
      </c>
      <c r="KC798" s="1900" t="str">
        <f t="shared" si="267"/>
        <v/>
      </c>
      <c r="KD798" s="1900" t="str">
        <f t="shared" si="268"/>
        <v/>
      </c>
      <c r="KE798" s="1900" t="str">
        <f t="shared" si="269"/>
        <v/>
      </c>
      <c r="KF798" s="1900" t="str">
        <f t="shared" si="270"/>
        <v/>
      </c>
      <c r="KG798" s="1900" t="str">
        <f t="shared" si="271"/>
        <v/>
      </c>
      <c r="KH798" s="1900" t="str">
        <f t="shared" si="272"/>
        <v/>
      </c>
      <c r="KI798" s="1900" t="str">
        <f t="shared" si="273"/>
        <v/>
      </c>
      <c r="KJ798" s="1900" t="str">
        <f t="shared" si="274"/>
        <v/>
      </c>
      <c r="KK798" s="1900" t="str">
        <f t="shared" si="275"/>
        <v/>
      </c>
      <c r="KL798" s="1900" t="str">
        <f t="shared" si="276"/>
        <v/>
      </c>
      <c r="KM798" s="1900" t="str">
        <f t="shared" si="277"/>
        <v/>
      </c>
      <c r="KN798" s="1900" t="str">
        <f t="shared" si="278"/>
        <v/>
      </c>
      <c r="KO798" s="1900" t="str">
        <f t="shared" si="279"/>
        <v/>
      </c>
      <c r="KP798" s="1900" t="str">
        <f t="shared" si="280"/>
        <v/>
      </c>
      <c r="KQ798" s="1900" t="str">
        <f t="shared" si="281"/>
        <v/>
      </c>
      <c r="KR798" s="1900" t="str">
        <f t="shared" si="282"/>
        <v/>
      </c>
      <c r="KS798" s="1900" t="str">
        <f t="shared" si="283"/>
        <v/>
      </c>
      <c r="KT798" s="1900" t="str">
        <f t="shared" si="284"/>
        <v/>
      </c>
      <c r="KU798" s="1900" t="str">
        <f t="shared" si="285"/>
        <v/>
      </c>
      <c r="KV798" s="1900" t="str">
        <f t="shared" si="286"/>
        <v/>
      </c>
      <c r="KW798" s="1900" t="str">
        <f t="shared" si="287"/>
        <v/>
      </c>
      <c r="KX798" s="1900" t="str">
        <f t="shared" si="288"/>
        <v/>
      </c>
      <c r="KY798" s="1900" t="str">
        <f t="shared" si="289"/>
        <v/>
      </c>
      <c r="KZ798" s="1900" t="str">
        <f t="shared" si="290"/>
        <v/>
      </c>
      <c r="LA798" s="1900" t="str">
        <f t="shared" si="291"/>
        <v/>
      </c>
      <c r="LB798" s="1900" t="str">
        <f t="shared" si="292"/>
        <v/>
      </c>
      <c r="LC798" s="1900" t="str">
        <f t="shared" si="293"/>
        <v/>
      </c>
      <c r="LD798" s="1900" t="str">
        <f t="shared" si="294"/>
        <v/>
      </c>
      <c r="LE798" s="1900" t="str">
        <f t="shared" si="295"/>
        <v/>
      </c>
      <c r="LF798" s="1900" t="str">
        <f t="shared" si="296"/>
        <v/>
      </c>
      <c r="LG798" s="1900" t="str">
        <f t="shared" si="297"/>
        <v/>
      </c>
      <c r="LH798" s="1900" t="str">
        <f t="shared" si="298"/>
        <v/>
      </c>
      <c r="LI798" s="1900" t="str">
        <f t="shared" si="299"/>
        <v/>
      </c>
      <c r="LJ798" s="1900" t="str">
        <f t="shared" si="300"/>
        <v/>
      </c>
      <c r="LK798" s="1900" t="str">
        <f t="shared" si="301"/>
        <v/>
      </c>
      <c r="LL798" s="1900" t="str">
        <f t="shared" si="302"/>
        <v/>
      </c>
      <c r="LM798" s="1900" t="str">
        <f t="shared" si="303"/>
        <v/>
      </c>
      <c r="LN798" s="1900" t="str">
        <f t="shared" si="304"/>
        <v/>
      </c>
      <c r="LO798" s="1900" t="str">
        <f t="shared" si="305"/>
        <v/>
      </c>
      <c r="LP798" s="1900" t="str">
        <f t="shared" si="306"/>
        <v/>
      </c>
      <c r="LQ798" s="1874" t="str">
        <f t="shared" si="307"/>
        <v/>
      </c>
      <c r="LR798" s="1874" t="str">
        <f t="shared" si="308"/>
        <v/>
      </c>
      <c r="LS798" s="1874" t="str">
        <f t="shared" si="309"/>
        <v/>
      </c>
      <c r="LT798" s="1874" t="str">
        <f t="shared" si="310"/>
        <v/>
      </c>
      <c r="LU798" s="1874" t="str">
        <f t="shared" si="311"/>
        <v/>
      </c>
      <c r="LV798" s="1995" t="str">
        <f t="shared" si="312"/>
        <v/>
      </c>
      <c r="LW798" s="1995" t="str">
        <f t="shared" si="313"/>
        <v/>
      </c>
      <c r="LX798" s="1995" t="str">
        <f t="shared" si="314"/>
        <v/>
      </c>
      <c r="LY798" s="1995" t="str">
        <f t="shared" si="315"/>
        <v/>
      </c>
      <c r="LZ798" s="1995" t="str">
        <f t="shared" si="316"/>
        <v/>
      </c>
      <c r="MA798" s="1995" t="str">
        <f t="shared" si="317"/>
        <v/>
      </c>
      <c r="MB798" s="1995" t="str">
        <f t="shared" si="318"/>
        <v/>
      </c>
      <c r="MC798" s="1995" t="str">
        <f t="shared" si="319"/>
        <v/>
      </c>
      <c r="MD798" s="1995" t="str">
        <f t="shared" si="320"/>
        <v/>
      </c>
      <c r="ME798" s="1995" t="str">
        <f t="shared" si="321"/>
        <v/>
      </c>
      <c r="MF798" s="1995" t="str">
        <f t="shared" si="322"/>
        <v/>
      </c>
      <c r="MG798" s="1995" t="str">
        <f t="shared" si="323"/>
        <v/>
      </c>
      <c r="MH798" s="1995" t="str">
        <f t="shared" si="324"/>
        <v/>
      </c>
      <c r="MI798" s="1995" t="str">
        <f t="shared" si="325"/>
        <v/>
      </c>
      <c r="MJ798" s="1995" t="str">
        <f t="shared" si="326"/>
        <v/>
      </c>
      <c r="MK798" s="1995" t="str">
        <f t="shared" si="327"/>
        <v/>
      </c>
      <c r="ML798" s="1995" t="str">
        <f t="shared" si="328"/>
        <v/>
      </c>
      <c r="MM798" s="1995" t="str">
        <f t="shared" si="329"/>
        <v/>
      </c>
      <c r="MN798" s="1995" t="str">
        <f t="shared" si="330"/>
        <v/>
      </c>
      <c r="MO798" s="1995" t="str">
        <f t="shared" si="331"/>
        <v/>
      </c>
      <c r="MP798" s="1874">
        <f t="shared" si="338"/>
        <v>0</v>
      </c>
      <c r="MQ798" s="1874">
        <f t="shared" si="339"/>
        <v>0</v>
      </c>
      <c r="MR798" s="1874">
        <f t="shared" si="340"/>
        <v>0</v>
      </c>
      <c r="MS798" s="1874">
        <f t="shared" si="341"/>
        <v>0</v>
      </c>
      <c r="MT798" s="1874">
        <f t="shared" si="342"/>
        <v>0</v>
      </c>
      <c r="MU798" s="1874">
        <f t="shared" si="343"/>
        <v>0</v>
      </c>
      <c r="MV798" s="1874">
        <f t="shared" si="344"/>
        <v>0</v>
      </c>
      <c r="MW798" s="1874">
        <f t="shared" si="345"/>
        <v>0</v>
      </c>
      <c r="MX798" s="1874">
        <f t="shared" si="346"/>
        <v>0</v>
      </c>
      <c r="MY798" s="1874">
        <f t="shared" si="347"/>
        <v>0</v>
      </c>
      <c r="MZ798" s="1874">
        <f t="shared" si="332"/>
        <v>0</v>
      </c>
      <c r="NA798" s="1874">
        <f t="shared" si="333"/>
        <v>0</v>
      </c>
      <c r="NB798" s="1874">
        <f t="shared" si="334"/>
        <v>0</v>
      </c>
      <c r="NC798" s="1874">
        <f t="shared" si="335"/>
        <v>0</v>
      </c>
      <c r="ND798" s="1874">
        <f t="shared" si="336"/>
        <v>0</v>
      </c>
    </row>
    <row r="799" spans="1:368" ht="13.95" customHeight="1">
      <c r="A799" s="1896" t="str">
        <f t="shared" si="337"/>
        <v/>
      </c>
      <c r="B799" s="2212">
        <f>'Part VI-Revenues &amp; Expenses'!B30</f>
        <v>0</v>
      </c>
      <c r="C799" s="2213">
        <f>'Part VI-Revenues &amp; Expenses'!C30</f>
        <v>0</v>
      </c>
      <c r="D799" s="2214">
        <f>'Part VI-Revenues &amp; Expenses'!D30</f>
        <v>0</v>
      </c>
      <c r="E799" s="2215">
        <f>'Part VI-Revenues &amp; Expenses'!E30</f>
        <v>0</v>
      </c>
      <c r="F799" s="2215">
        <f>'Part VI-Revenues &amp; Expenses'!F30</f>
        <v>0</v>
      </c>
      <c r="G799" s="2215">
        <f>'Part VI-Revenues &amp; Expenses'!G30</f>
        <v>0</v>
      </c>
      <c r="H799" s="2215">
        <f>'Part VI-Revenues &amp; Expenses'!H30</f>
        <v>0</v>
      </c>
      <c r="I799" s="2215">
        <f>'Part VI-Revenues &amp; Expenses'!I30</f>
        <v>0</v>
      </c>
      <c r="J799" s="2215">
        <f>'Part VI-Revenues &amp; Expenses'!J30</f>
        <v>0</v>
      </c>
      <c r="K799" s="2216">
        <f>'Part VI-Revenues &amp; Expenses'!K30</f>
        <v>0</v>
      </c>
      <c r="L799" s="1899">
        <f t="shared" si="0"/>
        <v>0</v>
      </c>
      <c r="M799" s="1899">
        <f t="shared" si="1"/>
        <v>0</v>
      </c>
      <c r="N799" s="2074">
        <f>'Part VI-Revenues &amp; Expenses'!N30</f>
        <v>0</v>
      </c>
      <c r="O799" s="2074">
        <f>'Part VI-Revenues &amp; Expenses'!O30</f>
        <v>0</v>
      </c>
      <c r="P799" s="2074">
        <f>'Part VI-Revenues &amp; Expenses'!P30</f>
        <v>0</v>
      </c>
      <c r="Q799" s="1732">
        <f>'Part VI-Revenues &amp; Expenses'!Q30</f>
        <v>0</v>
      </c>
      <c r="R799" s="1926"/>
      <c r="S799" s="2148"/>
      <c r="T799" s="1910"/>
      <c r="U799" s="1910"/>
      <c r="V799" s="1910"/>
      <c r="W799" s="1910"/>
      <c r="X799" s="1995" t="str">
        <f t="shared" si="2"/>
        <v/>
      </c>
      <c r="Y799" s="1995" t="str">
        <f t="shared" si="3"/>
        <v/>
      </c>
      <c r="Z799" s="1995" t="str">
        <f t="shared" si="4"/>
        <v/>
      </c>
      <c r="AA799" s="1995" t="str">
        <f t="shared" si="5"/>
        <v/>
      </c>
      <c r="AB799" s="1995" t="str">
        <f t="shared" si="6"/>
        <v/>
      </c>
      <c r="AC799" s="1995" t="str">
        <f t="shared" si="7"/>
        <v/>
      </c>
      <c r="AD799" s="1995" t="str">
        <f t="shared" si="8"/>
        <v/>
      </c>
      <c r="AE799" s="1995" t="str">
        <f t="shared" si="9"/>
        <v/>
      </c>
      <c r="AF799" s="1995" t="str">
        <f t="shared" si="10"/>
        <v/>
      </c>
      <c r="AG799" s="1995" t="str">
        <f t="shared" si="11"/>
        <v/>
      </c>
      <c r="AH799" s="1995" t="str">
        <f t="shared" si="12"/>
        <v/>
      </c>
      <c r="AI799" s="1995" t="str">
        <f t="shared" si="13"/>
        <v/>
      </c>
      <c r="AJ799" s="1995" t="str">
        <f t="shared" si="14"/>
        <v/>
      </c>
      <c r="AK799" s="1995" t="str">
        <f t="shared" si="15"/>
        <v/>
      </c>
      <c r="AL799" s="1995" t="str">
        <f t="shared" si="16"/>
        <v/>
      </c>
      <c r="AM799" s="1995" t="str">
        <f t="shared" si="17"/>
        <v/>
      </c>
      <c r="AN799" s="1995" t="str">
        <f t="shared" si="18"/>
        <v/>
      </c>
      <c r="AO799" s="1995" t="str">
        <f t="shared" si="19"/>
        <v/>
      </c>
      <c r="AP799" s="1995" t="str">
        <f t="shared" si="20"/>
        <v/>
      </c>
      <c r="AQ799" s="1995" t="str">
        <f t="shared" si="21"/>
        <v/>
      </c>
      <c r="AR799" s="1995" t="str">
        <f t="shared" si="22"/>
        <v/>
      </c>
      <c r="AS799" s="1995" t="str">
        <f t="shared" si="23"/>
        <v/>
      </c>
      <c r="AT799" s="1995" t="str">
        <f t="shared" si="24"/>
        <v/>
      </c>
      <c r="AU799" s="1995" t="str">
        <f t="shared" si="25"/>
        <v/>
      </c>
      <c r="AV799" s="1995" t="str">
        <f t="shared" si="26"/>
        <v/>
      </c>
      <c r="AW799" s="1995" t="str">
        <f t="shared" si="27"/>
        <v/>
      </c>
      <c r="AX799" s="1995" t="str">
        <f t="shared" si="28"/>
        <v/>
      </c>
      <c r="AY799" s="1995" t="str">
        <f t="shared" si="29"/>
        <v/>
      </c>
      <c r="AZ799" s="1995" t="str">
        <f t="shared" si="30"/>
        <v/>
      </c>
      <c r="BA799" s="1995" t="str">
        <f t="shared" si="31"/>
        <v/>
      </c>
      <c r="BB799" s="1995" t="str">
        <f t="shared" si="32"/>
        <v/>
      </c>
      <c r="BC799" s="1995" t="str">
        <f t="shared" si="33"/>
        <v/>
      </c>
      <c r="BD799" s="1995" t="str">
        <f t="shared" si="34"/>
        <v/>
      </c>
      <c r="BE799" s="1995" t="str">
        <f t="shared" si="35"/>
        <v/>
      </c>
      <c r="BF799" s="1995" t="str">
        <f t="shared" si="36"/>
        <v/>
      </c>
      <c r="BG799" s="1995" t="str">
        <f t="shared" si="37"/>
        <v/>
      </c>
      <c r="BH799" s="1995" t="str">
        <f t="shared" si="38"/>
        <v/>
      </c>
      <c r="BI799" s="1995" t="str">
        <f t="shared" si="39"/>
        <v/>
      </c>
      <c r="BJ799" s="1995" t="str">
        <f t="shared" si="40"/>
        <v/>
      </c>
      <c r="BK799" s="1995" t="str">
        <f t="shared" si="41"/>
        <v/>
      </c>
      <c r="BL799" s="1995" t="str">
        <f t="shared" si="42"/>
        <v/>
      </c>
      <c r="BM799" s="1995" t="str">
        <f t="shared" si="43"/>
        <v/>
      </c>
      <c r="BN799" s="1995" t="str">
        <f t="shared" si="44"/>
        <v/>
      </c>
      <c r="BO799" s="1995" t="str">
        <f t="shared" si="45"/>
        <v/>
      </c>
      <c r="BP799" s="1995" t="str">
        <f t="shared" si="46"/>
        <v/>
      </c>
      <c r="BQ799" s="1995" t="str">
        <f t="shared" si="47"/>
        <v/>
      </c>
      <c r="BR799" s="1995" t="str">
        <f t="shared" si="48"/>
        <v/>
      </c>
      <c r="BS799" s="1995" t="str">
        <f t="shared" si="49"/>
        <v/>
      </c>
      <c r="BT799" s="1995" t="str">
        <f t="shared" si="50"/>
        <v/>
      </c>
      <c r="BU799" s="1995" t="str">
        <f t="shared" si="51"/>
        <v/>
      </c>
      <c r="BV799" s="1995" t="str">
        <f t="shared" si="52"/>
        <v/>
      </c>
      <c r="BW799" s="1995" t="str">
        <f t="shared" si="53"/>
        <v/>
      </c>
      <c r="BX799" s="1995" t="str">
        <f t="shared" si="54"/>
        <v/>
      </c>
      <c r="BY799" s="1995" t="str">
        <f t="shared" si="55"/>
        <v/>
      </c>
      <c r="BZ799" s="1995" t="str">
        <f t="shared" si="56"/>
        <v/>
      </c>
      <c r="CA799" s="1995" t="str">
        <f t="shared" si="57"/>
        <v/>
      </c>
      <c r="CB799" s="1995" t="str">
        <f t="shared" si="58"/>
        <v/>
      </c>
      <c r="CC799" s="1995" t="str">
        <f t="shared" si="59"/>
        <v/>
      </c>
      <c r="CD799" s="1995" t="str">
        <f t="shared" si="60"/>
        <v/>
      </c>
      <c r="CE799" s="1995" t="str">
        <f t="shared" si="61"/>
        <v/>
      </c>
      <c r="CF799" s="1995" t="str">
        <f t="shared" si="62"/>
        <v/>
      </c>
      <c r="CG799" s="1995" t="str">
        <f t="shared" si="63"/>
        <v/>
      </c>
      <c r="CH799" s="1995" t="str">
        <f t="shared" si="64"/>
        <v/>
      </c>
      <c r="CI799" s="1995" t="str">
        <f t="shared" si="65"/>
        <v/>
      </c>
      <c r="CJ799" s="1995" t="str">
        <f t="shared" si="66"/>
        <v/>
      </c>
      <c r="CK799" s="1995" t="str">
        <f t="shared" si="67"/>
        <v/>
      </c>
      <c r="CL799" s="1995" t="str">
        <f t="shared" si="68"/>
        <v/>
      </c>
      <c r="CM799" s="1995" t="str">
        <f t="shared" si="69"/>
        <v/>
      </c>
      <c r="CN799" s="1995" t="str">
        <f t="shared" si="70"/>
        <v/>
      </c>
      <c r="CO799" s="1995" t="str">
        <f t="shared" si="71"/>
        <v/>
      </c>
      <c r="CP799" s="1995" t="str">
        <f t="shared" si="72"/>
        <v/>
      </c>
      <c r="CQ799" s="1995" t="str">
        <f t="shared" si="73"/>
        <v/>
      </c>
      <c r="CR799" s="1995" t="str">
        <f t="shared" si="74"/>
        <v/>
      </c>
      <c r="CS799" s="1995" t="str">
        <f t="shared" si="75"/>
        <v/>
      </c>
      <c r="CT799" s="1995" t="str">
        <f t="shared" si="76"/>
        <v/>
      </c>
      <c r="CU799" s="1995" t="str">
        <f t="shared" si="77"/>
        <v/>
      </c>
      <c r="CV799" s="1995" t="str">
        <f t="shared" si="78"/>
        <v/>
      </c>
      <c r="CW799" s="1995" t="str">
        <f t="shared" si="79"/>
        <v/>
      </c>
      <c r="CX799" s="1995" t="str">
        <f t="shared" si="80"/>
        <v/>
      </c>
      <c r="CY799" s="1995" t="str">
        <f t="shared" si="81"/>
        <v/>
      </c>
      <c r="CZ799" s="1995" t="str">
        <f t="shared" si="82"/>
        <v/>
      </c>
      <c r="DA799" s="1995" t="str">
        <f t="shared" si="83"/>
        <v/>
      </c>
      <c r="DB799" s="1995" t="str">
        <f t="shared" si="84"/>
        <v/>
      </c>
      <c r="DC799" s="1995" t="str">
        <f t="shared" si="85"/>
        <v/>
      </c>
      <c r="DD799" s="1995" t="str">
        <f t="shared" si="86"/>
        <v/>
      </c>
      <c r="DE799" s="1995" t="str">
        <f t="shared" si="87"/>
        <v/>
      </c>
      <c r="DF799" s="1995" t="str">
        <f t="shared" si="88"/>
        <v/>
      </c>
      <c r="DG799" s="1995" t="str">
        <f t="shared" si="89"/>
        <v/>
      </c>
      <c r="DH799" s="1995" t="str">
        <f t="shared" si="90"/>
        <v/>
      </c>
      <c r="DI799" s="1995" t="str">
        <f t="shared" si="91"/>
        <v/>
      </c>
      <c r="DJ799" s="1995" t="str">
        <f t="shared" si="92"/>
        <v/>
      </c>
      <c r="DK799" s="1995" t="str">
        <f t="shared" si="93"/>
        <v/>
      </c>
      <c r="DL799" s="1995" t="str">
        <f t="shared" si="94"/>
        <v/>
      </c>
      <c r="DM799" s="1995" t="str">
        <f t="shared" si="95"/>
        <v/>
      </c>
      <c r="DN799" s="1995" t="str">
        <f t="shared" si="96"/>
        <v/>
      </c>
      <c r="DO799" s="1995" t="str">
        <f t="shared" si="97"/>
        <v/>
      </c>
      <c r="DP799" s="1995" t="str">
        <f t="shared" si="98"/>
        <v/>
      </c>
      <c r="DQ799" s="1995" t="str">
        <f t="shared" si="99"/>
        <v/>
      </c>
      <c r="DR799" s="1995" t="str">
        <f t="shared" si="100"/>
        <v/>
      </c>
      <c r="DS799" s="1995" t="str">
        <f t="shared" si="101"/>
        <v/>
      </c>
      <c r="DT799" s="1995" t="str">
        <f t="shared" si="102"/>
        <v/>
      </c>
      <c r="DU799" s="1995" t="str">
        <f t="shared" si="103"/>
        <v/>
      </c>
      <c r="DV799" s="1995" t="str">
        <f t="shared" si="104"/>
        <v/>
      </c>
      <c r="DW799" s="1995" t="str">
        <f t="shared" si="105"/>
        <v/>
      </c>
      <c r="DX799" s="1995" t="str">
        <f t="shared" si="106"/>
        <v/>
      </c>
      <c r="DY799" s="1995" t="str">
        <f t="shared" si="107"/>
        <v/>
      </c>
      <c r="DZ799" s="1995" t="str">
        <f t="shared" si="108"/>
        <v/>
      </c>
      <c r="EA799" s="1995" t="str">
        <f t="shared" si="109"/>
        <v/>
      </c>
      <c r="EB799" s="1995" t="str">
        <f t="shared" si="110"/>
        <v/>
      </c>
      <c r="EC799" s="1995" t="str">
        <f t="shared" si="111"/>
        <v/>
      </c>
      <c r="ED799" s="1995" t="str">
        <f t="shared" si="112"/>
        <v/>
      </c>
      <c r="EE799" s="1995" t="str">
        <f t="shared" si="113"/>
        <v/>
      </c>
      <c r="EF799" s="1995" t="str">
        <f t="shared" si="114"/>
        <v/>
      </c>
      <c r="EG799" s="1995" t="str">
        <f t="shared" si="115"/>
        <v/>
      </c>
      <c r="EH799" s="1995" t="str">
        <f t="shared" si="116"/>
        <v/>
      </c>
      <c r="EI799" s="1995" t="str">
        <f t="shared" si="117"/>
        <v/>
      </c>
      <c r="EJ799" s="1995" t="str">
        <f t="shared" si="118"/>
        <v/>
      </c>
      <c r="EK799" s="1995" t="str">
        <f t="shared" si="119"/>
        <v/>
      </c>
      <c r="EL799" s="1995" t="str">
        <f t="shared" si="120"/>
        <v/>
      </c>
      <c r="EM799" s="1995" t="str">
        <f t="shared" si="121"/>
        <v/>
      </c>
      <c r="EN799" s="1995" t="str">
        <f t="shared" si="122"/>
        <v/>
      </c>
      <c r="EO799" s="1995" t="str">
        <f t="shared" si="123"/>
        <v/>
      </c>
      <c r="EP799" s="1995" t="str">
        <f t="shared" si="124"/>
        <v/>
      </c>
      <c r="EQ799" s="1995" t="str">
        <f t="shared" si="125"/>
        <v/>
      </c>
      <c r="ER799" s="1995" t="str">
        <f t="shared" si="126"/>
        <v/>
      </c>
      <c r="ES799" s="1995" t="str">
        <f t="shared" si="127"/>
        <v/>
      </c>
      <c r="ET799" s="1995" t="str">
        <f t="shared" si="128"/>
        <v/>
      </c>
      <c r="EU799" s="1995" t="str">
        <f t="shared" si="129"/>
        <v/>
      </c>
      <c r="EV799" s="1995" t="str">
        <f t="shared" si="130"/>
        <v/>
      </c>
      <c r="EW799" s="1995" t="str">
        <f t="shared" si="131"/>
        <v/>
      </c>
      <c r="EX799" s="1995" t="str">
        <f t="shared" si="132"/>
        <v/>
      </c>
      <c r="EY799" s="1995" t="str">
        <f t="shared" si="133"/>
        <v/>
      </c>
      <c r="EZ799" s="1995" t="str">
        <f t="shared" si="134"/>
        <v/>
      </c>
      <c r="FA799" s="1995" t="str">
        <f t="shared" si="135"/>
        <v/>
      </c>
      <c r="FB799" s="1995" t="str">
        <f t="shared" si="136"/>
        <v/>
      </c>
      <c r="FC799" s="1995" t="str">
        <f t="shared" si="137"/>
        <v/>
      </c>
      <c r="FD799" s="1995" t="str">
        <f t="shared" si="138"/>
        <v/>
      </c>
      <c r="FE799" s="1995" t="str">
        <f t="shared" si="139"/>
        <v/>
      </c>
      <c r="FF799" s="1995" t="str">
        <f t="shared" si="140"/>
        <v/>
      </c>
      <c r="FG799" s="1995" t="str">
        <f t="shared" si="141"/>
        <v/>
      </c>
      <c r="FH799" s="1995" t="str">
        <f t="shared" si="142"/>
        <v/>
      </c>
      <c r="FI799" s="1995" t="str">
        <f t="shared" si="143"/>
        <v/>
      </c>
      <c r="FJ799" s="1995" t="str">
        <f t="shared" si="144"/>
        <v/>
      </c>
      <c r="FK799" s="1995" t="str">
        <f t="shared" si="145"/>
        <v/>
      </c>
      <c r="FL799" s="1995" t="str">
        <f t="shared" si="146"/>
        <v/>
      </c>
      <c r="FM799" s="1995" t="str">
        <f t="shared" si="147"/>
        <v/>
      </c>
      <c r="FN799" s="1995" t="str">
        <f t="shared" si="148"/>
        <v/>
      </c>
      <c r="FO799" s="1995" t="str">
        <f t="shared" si="149"/>
        <v/>
      </c>
      <c r="FP799" s="1995" t="str">
        <f t="shared" si="150"/>
        <v/>
      </c>
      <c r="FQ799" s="1995" t="str">
        <f t="shared" si="151"/>
        <v/>
      </c>
      <c r="FR799" s="1995" t="str">
        <f t="shared" si="152"/>
        <v/>
      </c>
      <c r="FS799" s="1995" t="str">
        <f t="shared" si="153"/>
        <v/>
      </c>
      <c r="FT799" s="1995" t="str">
        <f t="shared" si="154"/>
        <v/>
      </c>
      <c r="FU799" s="1995" t="str">
        <f t="shared" si="155"/>
        <v/>
      </c>
      <c r="FV799" s="1995" t="str">
        <f t="shared" si="156"/>
        <v/>
      </c>
      <c r="FW799" s="1995" t="str">
        <f t="shared" si="157"/>
        <v/>
      </c>
      <c r="FX799" s="1995" t="str">
        <f t="shared" si="158"/>
        <v/>
      </c>
      <c r="FY799" s="1995" t="str">
        <f t="shared" si="159"/>
        <v/>
      </c>
      <c r="FZ799" s="1995" t="str">
        <f t="shared" si="160"/>
        <v/>
      </c>
      <c r="GA799" s="1995" t="str">
        <f t="shared" si="161"/>
        <v/>
      </c>
      <c r="GB799" s="1995" t="str">
        <f t="shared" si="162"/>
        <v/>
      </c>
      <c r="GC799" s="1995" t="str">
        <f t="shared" si="163"/>
        <v/>
      </c>
      <c r="GD799" s="1995" t="str">
        <f t="shared" si="164"/>
        <v/>
      </c>
      <c r="GE799" s="1995" t="str">
        <f t="shared" si="165"/>
        <v/>
      </c>
      <c r="GF799" s="1995" t="str">
        <f t="shared" si="166"/>
        <v/>
      </c>
      <c r="GG799" s="1995" t="str">
        <f t="shared" si="167"/>
        <v/>
      </c>
      <c r="GH799" s="1995" t="str">
        <f t="shared" si="168"/>
        <v/>
      </c>
      <c r="GI799" s="1995" t="str">
        <f t="shared" si="169"/>
        <v/>
      </c>
      <c r="GJ799" s="1995" t="str">
        <f t="shared" si="170"/>
        <v/>
      </c>
      <c r="GK799" s="1995" t="str">
        <f t="shared" si="171"/>
        <v/>
      </c>
      <c r="GL799" s="1995" t="str">
        <f t="shared" si="172"/>
        <v/>
      </c>
      <c r="GM799" s="1995" t="str">
        <f t="shared" si="173"/>
        <v/>
      </c>
      <c r="GN799" s="1995" t="str">
        <f t="shared" si="174"/>
        <v/>
      </c>
      <c r="GO799" s="1995" t="str">
        <f t="shared" si="175"/>
        <v/>
      </c>
      <c r="GP799" s="1995" t="str">
        <f t="shared" si="176"/>
        <v/>
      </c>
      <c r="GQ799" s="1995" t="str">
        <f t="shared" si="177"/>
        <v/>
      </c>
      <c r="GR799" s="1995" t="str">
        <f t="shared" si="178"/>
        <v/>
      </c>
      <c r="GS799" s="1995" t="str">
        <f t="shared" si="179"/>
        <v/>
      </c>
      <c r="GT799" s="1995" t="str">
        <f t="shared" si="180"/>
        <v/>
      </c>
      <c r="GU799" s="1995" t="str">
        <f t="shared" si="181"/>
        <v/>
      </c>
      <c r="GV799" s="1995" t="str">
        <f t="shared" si="182"/>
        <v/>
      </c>
      <c r="GW799" s="1995" t="str">
        <f t="shared" si="183"/>
        <v/>
      </c>
      <c r="GX799" s="1995" t="str">
        <f t="shared" si="184"/>
        <v/>
      </c>
      <c r="GY799" s="1995" t="str">
        <f t="shared" si="185"/>
        <v/>
      </c>
      <c r="GZ799" s="1995" t="str">
        <f t="shared" si="186"/>
        <v/>
      </c>
      <c r="HA799" s="1995" t="str">
        <f t="shared" si="187"/>
        <v/>
      </c>
      <c r="HB799" s="1995" t="str">
        <f t="shared" si="188"/>
        <v/>
      </c>
      <c r="HC799" s="1995" t="str">
        <f t="shared" si="189"/>
        <v/>
      </c>
      <c r="HD799" s="1995" t="str">
        <f t="shared" si="190"/>
        <v/>
      </c>
      <c r="HE799" s="1995" t="str">
        <f t="shared" si="191"/>
        <v/>
      </c>
      <c r="HF799" s="1995" t="str">
        <f t="shared" si="192"/>
        <v/>
      </c>
      <c r="HG799" s="1995" t="str">
        <f t="shared" si="193"/>
        <v/>
      </c>
      <c r="HH799" s="1995" t="str">
        <f t="shared" si="194"/>
        <v/>
      </c>
      <c r="HI799" s="1995" t="str">
        <f t="shared" si="195"/>
        <v/>
      </c>
      <c r="HJ799" s="1995" t="str">
        <f t="shared" si="196"/>
        <v/>
      </c>
      <c r="HK799" s="1995" t="str">
        <f t="shared" si="197"/>
        <v/>
      </c>
      <c r="HL799" s="1995" t="str">
        <f t="shared" si="198"/>
        <v/>
      </c>
      <c r="HM799" s="1995" t="str">
        <f t="shared" si="199"/>
        <v/>
      </c>
      <c r="HN799" s="1995" t="str">
        <f t="shared" si="200"/>
        <v/>
      </c>
      <c r="HO799" s="1995" t="str">
        <f t="shared" si="201"/>
        <v/>
      </c>
      <c r="HP799" s="1995" t="str">
        <f t="shared" si="202"/>
        <v/>
      </c>
      <c r="HQ799" s="1995" t="str">
        <f t="shared" si="203"/>
        <v/>
      </c>
      <c r="HR799" s="1995" t="str">
        <f t="shared" si="204"/>
        <v/>
      </c>
      <c r="HS799" s="1995" t="str">
        <f t="shared" si="205"/>
        <v/>
      </c>
      <c r="HT799" s="1995" t="str">
        <f t="shared" si="206"/>
        <v/>
      </c>
      <c r="HU799" s="1995" t="str">
        <f t="shared" si="207"/>
        <v/>
      </c>
      <c r="HV799" s="1995" t="str">
        <f t="shared" si="208"/>
        <v/>
      </c>
      <c r="HW799" s="1995" t="str">
        <f t="shared" si="209"/>
        <v/>
      </c>
      <c r="HX799" s="1995" t="str">
        <f t="shared" si="210"/>
        <v/>
      </c>
      <c r="HY799" s="1995" t="str">
        <f t="shared" si="211"/>
        <v/>
      </c>
      <c r="HZ799" s="1900" t="str">
        <f t="shared" si="212"/>
        <v/>
      </c>
      <c r="IA799" s="1900" t="str">
        <f t="shared" si="213"/>
        <v/>
      </c>
      <c r="IB799" s="1900" t="str">
        <f t="shared" si="214"/>
        <v/>
      </c>
      <c r="IC799" s="1900" t="str">
        <f t="shared" si="215"/>
        <v/>
      </c>
      <c r="ID799" s="1900" t="str">
        <f t="shared" si="216"/>
        <v/>
      </c>
      <c r="IE799" s="1900" t="str">
        <f t="shared" si="217"/>
        <v/>
      </c>
      <c r="IF799" s="1900" t="str">
        <f t="shared" si="218"/>
        <v/>
      </c>
      <c r="IG799" s="1900" t="str">
        <f t="shared" si="219"/>
        <v/>
      </c>
      <c r="IH799" s="1900" t="str">
        <f t="shared" si="220"/>
        <v/>
      </c>
      <c r="II799" s="1900" t="str">
        <f t="shared" si="221"/>
        <v/>
      </c>
      <c r="IJ799" s="1900" t="str">
        <f t="shared" si="222"/>
        <v/>
      </c>
      <c r="IK799" s="1900" t="str">
        <f t="shared" si="223"/>
        <v/>
      </c>
      <c r="IL799" s="1900" t="str">
        <f t="shared" si="224"/>
        <v/>
      </c>
      <c r="IM799" s="1900" t="str">
        <f t="shared" si="225"/>
        <v/>
      </c>
      <c r="IN799" s="1900" t="str">
        <f t="shared" si="226"/>
        <v/>
      </c>
      <c r="IO799" s="1900" t="str">
        <f t="shared" si="227"/>
        <v/>
      </c>
      <c r="IP799" s="1900" t="str">
        <f t="shared" si="228"/>
        <v/>
      </c>
      <c r="IQ799" s="1900" t="str">
        <f t="shared" si="229"/>
        <v/>
      </c>
      <c r="IR799" s="1900" t="str">
        <f t="shared" si="230"/>
        <v/>
      </c>
      <c r="IS799" s="1900" t="str">
        <f t="shared" si="231"/>
        <v/>
      </c>
      <c r="IT799" s="1900" t="str">
        <f t="shared" si="232"/>
        <v/>
      </c>
      <c r="IU799" s="1900" t="str">
        <f t="shared" si="233"/>
        <v/>
      </c>
      <c r="IV799" s="1900" t="str">
        <f t="shared" si="234"/>
        <v/>
      </c>
      <c r="IW799" s="1900" t="str">
        <f t="shared" si="235"/>
        <v/>
      </c>
      <c r="IX799" s="1900" t="str">
        <f t="shared" si="236"/>
        <v/>
      </c>
      <c r="IY799" s="1900" t="str">
        <f t="shared" si="237"/>
        <v/>
      </c>
      <c r="IZ799" s="1900" t="str">
        <f t="shared" si="238"/>
        <v/>
      </c>
      <c r="JA799" s="1900" t="str">
        <f t="shared" si="239"/>
        <v/>
      </c>
      <c r="JB799" s="1900" t="str">
        <f t="shared" si="240"/>
        <v/>
      </c>
      <c r="JC799" s="1900" t="str">
        <f t="shared" si="241"/>
        <v/>
      </c>
      <c r="JD799" s="1900" t="str">
        <f t="shared" si="242"/>
        <v/>
      </c>
      <c r="JE799" s="1900" t="str">
        <f t="shared" si="243"/>
        <v/>
      </c>
      <c r="JF799" s="1900" t="str">
        <f t="shared" si="244"/>
        <v/>
      </c>
      <c r="JG799" s="1900" t="str">
        <f t="shared" si="245"/>
        <v/>
      </c>
      <c r="JH799" s="1900" t="str">
        <f t="shared" si="246"/>
        <v/>
      </c>
      <c r="JI799" s="1900" t="str">
        <f t="shared" si="247"/>
        <v/>
      </c>
      <c r="JJ799" s="1900" t="str">
        <f t="shared" si="248"/>
        <v/>
      </c>
      <c r="JK799" s="1900" t="str">
        <f t="shared" si="249"/>
        <v/>
      </c>
      <c r="JL799" s="1900" t="str">
        <f t="shared" si="250"/>
        <v/>
      </c>
      <c r="JM799" s="1900" t="str">
        <f t="shared" si="251"/>
        <v/>
      </c>
      <c r="JN799" s="1900" t="str">
        <f t="shared" si="252"/>
        <v/>
      </c>
      <c r="JO799" s="1900" t="str">
        <f t="shared" si="253"/>
        <v/>
      </c>
      <c r="JP799" s="1900" t="str">
        <f t="shared" si="254"/>
        <v/>
      </c>
      <c r="JQ799" s="1900" t="str">
        <f t="shared" si="255"/>
        <v/>
      </c>
      <c r="JR799" s="1900" t="str">
        <f t="shared" si="256"/>
        <v/>
      </c>
      <c r="JS799" s="1900" t="str">
        <f t="shared" si="257"/>
        <v/>
      </c>
      <c r="JT799" s="1900" t="str">
        <f t="shared" si="258"/>
        <v/>
      </c>
      <c r="JU799" s="1900" t="str">
        <f t="shared" si="259"/>
        <v/>
      </c>
      <c r="JV799" s="1900" t="str">
        <f t="shared" si="260"/>
        <v/>
      </c>
      <c r="JW799" s="1900" t="str">
        <f t="shared" si="261"/>
        <v/>
      </c>
      <c r="JX799" s="1900" t="str">
        <f t="shared" si="262"/>
        <v/>
      </c>
      <c r="JY799" s="1900" t="str">
        <f t="shared" si="263"/>
        <v/>
      </c>
      <c r="JZ799" s="1900" t="str">
        <f t="shared" si="264"/>
        <v/>
      </c>
      <c r="KA799" s="1900" t="str">
        <f t="shared" si="265"/>
        <v/>
      </c>
      <c r="KB799" s="1900" t="str">
        <f t="shared" si="266"/>
        <v/>
      </c>
      <c r="KC799" s="1900" t="str">
        <f t="shared" si="267"/>
        <v/>
      </c>
      <c r="KD799" s="1900" t="str">
        <f t="shared" si="268"/>
        <v/>
      </c>
      <c r="KE799" s="1900" t="str">
        <f t="shared" si="269"/>
        <v/>
      </c>
      <c r="KF799" s="1900" t="str">
        <f t="shared" si="270"/>
        <v/>
      </c>
      <c r="KG799" s="1900" t="str">
        <f t="shared" si="271"/>
        <v/>
      </c>
      <c r="KH799" s="1900" t="str">
        <f t="shared" si="272"/>
        <v/>
      </c>
      <c r="KI799" s="1900" t="str">
        <f t="shared" si="273"/>
        <v/>
      </c>
      <c r="KJ799" s="1900" t="str">
        <f t="shared" si="274"/>
        <v/>
      </c>
      <c r="KK799" s="1900" t="str">
        <f t="shared" si="275"/>
        <v/>
      </c>
      <c r="KL799" s="1900" t="str">
        <f t="shared" si="276"/>
        <v/>
      </c>
      <c r="KM799" s="1900" t="str">
        <f t="shared" si="277"/>
        <v/>
      </c>
      <c r="KN799" s="1900" t="str">
        <f t="shared" si="278"/>
        <v/>
      </c>
      <c r="KO799" s="1900" t="str">
        <f t="shared" si="279"/>
        <v/>
      </c>
      <c r="KP799" s="1900" t="str">
        <f t="shared" si="280"/>
        <v/>
      </c>
      <c r="KQ799" s="1900" t="str">
        <f t="shared" si="281"/>
        <v/>
      </c>
      <c r="KR799" s="1900" t="str">
        <f t="shared" si="282"/>
        <v/>
      </c>
      <c r="KS799" s="1900" t="str">
        <f t="shared" si="283"/>
        <v/>
      </c>
      <c r="KT799" s="1900" t="str">
        <f t="shared" si="284"/>
        <v/>
      </c>
      <c r="KU799" s="1900" t="str">
        <f t="shared" si="285"/>
        <v/>
      </c>
      <c r="KV799" s="1900" t="str">
        <f t="shared" si="286"/>
        <v/>
      </c>
      <c r="KW799" s="1900" t="str">
        <f t="shared" si="287"/>
        <v/>
      </c>
      <c r="KX799" s="1900" t="str">
        <f t="shared" si="288"/>
        <v/>
      </c>
      <c r="KY799" s="1900" t="str">
        <f t="shared" si="289"/>
        <v/>
      </c>
      <c r="KZ799" s="1900" t="str">
        <f t="shared" si="290"/>
        <v/>
      </c>
      <c r="LA799" s="1900" t="str">
        <f t="shared" si="291"/>
        <v/>
      </c>
      <c r="LB799" s="1900" t="str">
        <f t="shared" si="292"/>
        <v/>
      </c>
      <c r="LC799" s="1900" t="str">
        <f t="shared" si="293"/>
        <v/>
      </c>
      <c r="LD799" s="1900" t="str">
        <f t="shared" si="294"/>
        <v/>
      </c>
      <c r="LE799" s="1900" t="str">
        <f t="shared" si="295"/>
        <v/>
      </c>
      <c r="LF799" s="1900" t="str">
        <f t="shared" si="296"/>
        <v/>
      </c>
      <c r="LG799" s="1900" t="str">
        <f t="shared" si="297"/>
        <v/>
      </c>
      <c r="LH799" s="1900" t="str">
        <f t="shared" si="298"/>
        <v/>
      </c>
      <c r="LI799" s="1900" t="str">
        <f t="shared" si="299"/>
        <v/>
      </c>
      <c r="LJ799" s="1900" t="str">
        <f t="shared" si="300"/>
        <v/>
      </c>
      <c r="LK799" s="1900" t="str">
        <f t="shared" si="301"/>
        <v/>
      </c>
      <c r="LL799" s="1900" t="str">
        <f t="shared" si="302"/>
        <v/>
      </c>
      <c r="LM799" s="1900" t="str">
        <f t="shared" si="303"/>
        <v/>
      </c>
      <c r="LN799" s="1900" t="str">
        <f t="shared" si="304"/>
        <v/>
      </c>
      <c r="LO799" s="1900" t="str">
        <f t="shared" si="305"/>
        <v/>
      </c>
      <c r="LP799" s="1900" t="str">
        <f t="shared" si="306"/>
        <v/>
      </c>
      <c r="LQ799" s="1874" t="str">
        <f t="shared" si="307"/>
        <v/>
      </c>
      <c r="LR799" s="1874" t="str">
        <f t="shared" si="308"/>
        <v/>
      </c>
      <c r="LS799" s="1874" t="str">
        <f t="shared" si="309"/>
        <v/>
      </c>
      <c r="LT799" s="1874" t="str">
        <f t="shared" si="310"/>
        <v/>
      </c>
      <c r="LU799" s="1874" t="str">
        <f t="shared" si="311"/>
        <v/>
      </c>
      <c r="LV799" s="1995" t="str">
        <f t="shared" si="312"/>
        <v/>
      </c>
      <c r="LW799" s="1995" t="str">
        <f t="shared" si="313"/>
        <v/>
      </c>
      <c r="LX799" s="1995" t="str">
        <f t="shared" si="314"/>
        <v/>
      </c>
      <c r="LY799" s="1995" t="str">
        <f t="shared" si="315"/>
        <v/>
      </c>
      <c r="LZ799" s="1995" t="str">
        <f t="shared" si="316"/>
        <v/>
      </c>
      <c r="MA799" s="1995" t="str">
        <f t="shared" si="317"/>
        <v/>
      </c>
      <c r="MB799" s="1995" t="str">
        <f t="shared" si="318"/>
        <v/>
      </c>
      <c r="MC799" s="1995" t="str">
        <f t="shared" si="319"/>
        <v/>
      </c>
      <c r="MD799" s="1995" t="str">
        <f t="shared" si="320"/>
        <v/>
      </c>
      <c r="ME799" s="1995" t="str">
        <f t="shared" si="321"/>
        <v/>
      </c>
      <c r="MF799" s="1995" t="str">
        <f t="shared" si="322"/>
        <v/>
      </c>
      <c r="MG799" s="1995" t="str">
        <f t="shared" si="323"/>
        <v/>
      </c>
      <c r="MH799" s="1995" t="str">
        <f t="shared" si="324"/>
        <v/>
      </c>
      <c r="MI799" s="1995" t="str">
        <f t="shared" si="325"/>
        <v/>
      </c>
      <c r="MJ799" s="1995" t="str">
        <f t="shared" si="326"/>
        <v/>
      </c>
      <c r="MK799" s="1995" t="str">
        <f t="shared" si="327"/>
        <v/>
      </c>
      <c r="ML799" s="1995" t="str">
        <f t="shared" si="328"/>
        <v/>
      </c>
      <c r="MM799" s="1995" t="str">
        <f t="shared" si="329"/>
        <v/>
      </c>
      <c r="MN799" s="1995" t="str">
        <f t="shared" si="330"/>
        <v/>
      </c>
      <c r="MO799" s="1995" t="str">
        <f t="shared" si="331"/>
        <v/>
      </c>
      <c r="MP799" s="1874">
        <f t="shared" si="338"/>
        <v>0</v>
      </c>
      <c r="MQ799" s="1874">
        <f t="shared" si="339"/>
        <v>0</v>
      </c>
      <c r="MR799" s="1874">
        <f t="shared" si="340"/>
        <v>0</v>
      </c>
      <c r="MS799" s="1874">
        <f t="shared" si="341"/>
        <v>0</v>
      </c>
      <c r="MT799" s="1874">
        <f t="shared" si="342"/>
        <v>0</v>
      </c>
      <c r="MU799" s="1874">
        <f t="shared" si="343"/>
        <v>0</v>
      </c>
      <c r="MV799" s="1874">
        <f t="shared" si="344"/>
        <v>0</v>
      </c>
      <c r="MW799" s="1874">
        <f t="shared" si="345"/>
        <v>0</v>
      </c>
      <c r="MX799" s="1874">
        <f t="shared" si="346"/>
        <v>0</v>
      </c>
      <c r="MY799" s="1874">
        <f t="shared" si="347"/>
        <v>0</v>
      </c>
      <c r="MZ799" s="1874">
        <f t="shared" si="332"/>
        <v>0</v>
      </c>
      <c r="NA799" s="1874">
        <f t="shared" si="333"/>
        <v>0</v>
      </c>
      <c r="NB799" s="1874">
        <f t="shared" si="334"/>
        <v>0</v>
      </c>
      <c r="NC799" s="1874">
        <f t="shared" si="335"/>
        <v>0</v>
      </c>
      <c r="ND799" s="1874">
        <f t="shared" si="336"/>
        <v>0</v>
      </c>
    </row>
    <row r="800" spans="1:368" ht="13.95" customHeight="1">
      <c r="A800" s="1896" t="str">
        <f t="shared" si="337"/>
        <v/>
      </c>
      <c r="B800" s="2212">
        <f>'Part VI-Revenues &amp; Expenses'!B31</f>
        <v>0</v>
      </c>
      <c r="C800" s="2213">
        <f>'Part VI-Revenues &amp; Expenses'!C31</f>
        <v>0</v>
      </c>
      <c r="D800" s="2214">
        <f>'Part VI-Revenues &amp; Expenses'!D31</f>
        <v>0</v>
      </c>
      <c r="E800" s="2215">
        <f>'Part VI-Revenues &amp; Expenses'!E31</f>
        <v>0</v>
      </c>
      <c r="F800" s="2215">
        <f>'Part VI-Revenues &amp; Expenses'!F31</f>
        <v>0</v>
      </c>
      <c r="G800" s="2215">
        <f>'Part VI-Revenues &amp; Expenses'!G31</f>
        <v>0</v>
      </c>
      <c r="H800" s="2215">
        <f>'Part VI-Revenues &amp; Expenses'!H31</f>
        <v>0</v>
      </c>
      <c r="I800" s="2215">
        <f>'Part VI-Revenues &amp; Expenses'!I31</f>
        <v>0</v>
      </c>
      <c r="J800" s="2215">
        <f>'Part VI-Revenues &amp; Expenses'!J31</f>
        <v>0</v>
      </c>
      <c r="K800" s="2216">
        <f>'Part VI-Revenues &amp; Expenses'!K31</f>
        <v>0</v>
      </c>
      <c r="L800" s="1899">
        <f t="shared" si="0"/>
        <v>0</v>
      </c>
      <c r="M800" s="1899">
        <f t="shared" si="1"/>
        <v>0</v>
      </c>
      <c r="N800" s="2074">
        <f>'Part VI-Revenues &amp; Expenses'!N31</f>
        <v>0</v>
      </c>
      <c r="O800" s="2074">
        <f>'Part VI-Revenues &amp; Expenses'!O31</f>
        <v>0</v>
      </c>
      <c r="P800" s="2074">
        <f>'Part VI-Revenues &amp; Expenses'!P31</f>
        <v>0</v>
      </c>
      <c r="Q800" s="1732">
        <f>'Part VI-Revenues &amp; Expenses'!Q31</f>
        <v>0</v>
      </c>
      <c r="R800" s="1926"/>
      <c r="S800" s="2148"/>
      <c r="T800" s="1910"/>
      <c r="U800" s="1910"/>
      <c r="V800" s="1910"/>
      <c r="W800" s="1910"/>
      <c r="X800" s="1995" t="str">
        <f t="shared" si="2"/>
        <v/>
      </c>
      <c r="Y800" s="1995" t="str">
        <f t="shared" si="3"/>
        <v/>
      </c>
      <c r="Z800" s="1995" t="str">
        <f t="shared" si="4"/>
        <v/>
      </c>
      <c r="AA800" s="1995" t="str">
        <f t="shared" si="5"/>
        <v/>
      </c>
      <c r="AB800" s="1995" t="str">
        <f t="shared" si="6"/>
        <v/>
      </c>
      <c r="AC800" s="1995" t="str">
        <f t="shared" si="7"/>
        <v/>
      </c>
      <c r="AD800" s="1995" t="str">
        <f t="shared" si="8"/>
        <v/>
      </c>
      <c r="AE800" s="1995" t="str">
        <f t="shared" si="9"/>
        <v/>
      </c>
      <c r="AF800" s="1995" t="str">
        <f t="shared" si="10"/>
        <v/>
      </c>
      <c r="AG800" s="1995" t="str">
        <f t="shared" si="11"/>
        <v/>
      </c>
      <c r="AH800" s="1995" t="str">
        <f t="shared" si="12"/>
        <v/>
      </c>
      <c r="AI800" s="1995" t="str">
        <f t="shared" si="13"/>
        <v/>
      </c>
      <c r="AJ800" s="1995" t="str">
        <f t="shared" si="14"/>
        <v/>
      </c>
      <c r="AK800" s="1995" t="str">
        <f t="shared" si="15"/>
        <v/>
      </c>
      <c r="AL800" s="1995" t="str">
        <f t="shared" si="16"/>
        <v/>
      </c>
      <c r="AM800" s="1995" t="str">
        <f t="shared" si="17"/>
        <v/>
      </c>
      <c r="AN800" s="1995" t="str">
        <f t="shared" si="18"/>
        <v/>
      </c>
      <c r="AO800" s="1995" t="str">
        <f t="shared" si="19"/>
        <v/>
      </c>
      <c r="AP800" s="1995" t="str">
        <f t="shared" si="20"/>
        <v/>
      </c>
      <c r="AQ800" s="1995" t="str">
        <f t="shared" si="21"/>
        <v/>
      </c>
      <c r="AR800" s="1995" t="str">
        <f t="shared" si="22"/>
        <v/>
      </c>
      <c r="AS800" s="1995" t="str">
        <f t="shared" si="23"/>
        <v/>
      </c>
      <c r="AT800" s="1995" t="str">
        <f t="shared" si="24"/>
        <v/>
      </c>
      <c r="AU800" s="1995" t="str">
        <f t="shared" si="25"/>
        <v/>
      </c>
      <c r="AV800" s="1995" t="str">
        <f t="shared" si="26"/>
        <v/>
      </c>
      <c r="AW800" s="1995" t="str">
        <f t="shared" si="27"/>
        <v/>
      </c>
      <c r="AX800" s="1995" t="str">
        <f t="shared" si="28"/>
        <v/>
      </c>
      <c r="AY800" s="1995" t="str">
        <f t="shared" si="29"/>
        <v/>
      </c>
      <c r="AZ800" s="1995" t="str">
        <f t="shared" si="30"/>
        <v/>
      </c>
      <c r="BA800" s="1995" t="str">
        <f t="shared" si="31"/>
        <v/>
      </c>
      <c r="BB800" s="1995" t="str">
        <f t="shared" si="32"/>
        <v/>
      </c>
      <c r="BC800" s="1995" t="str">
        <f t="shared" si="33"/>
        <v/>
      </c>
      <c r="BD800" s="1995" t="str">
        <f t="shared" si="34"/>
        <v/>
      </c>
      <c r="BE800" s="1995" t="str">
        <f t="shared" si="35"/>
        <v/>
      </c>
      <c r="BF800" s="1995" t="str">
        <f t="shared" si="36"/>
        <v/>
      </c>
      <c r="BG800" s="1995" t="str">
        <f t="shared" si="37"/>
        <v/>
      </c>
      <c r="BH800" s="1995" t="str">
        <f t="shared" si="38"/>
        <v/>
      </c>
      <c r="BI800" s="1995" t="str">
        <f t="shared" si="39"/>
        <v/>
      </c>
      <c r="BJ800" s="1995" t="str">
        <f t="shared" si="40"/>
        <v/>
      </c>
      <c r="BK800" s="1995" t="str">
        <f t="shared" si="41"/>
        <v/>
      </c>
      <c r="BL800" s="1995" t="str">
        <f t="shared" si="42"/>
        <v/>
      </c>
      <c r="BM800" s="1995" t="str">
        <f t="shared" si="43"/>
        <v/>
      </c>
      <c r="BN800" s="1995" t="str">
        <f t="shared" si="44"/>
        <v/>
      </c>
      <c r="BO800" s="1995" t="str">
        <f t="shared" si="45"/>
        <v/>
      </c>
      <c r="BP800" s="1995" t="str">
        <f t="shared" si="46"/>
        <v/>
      </c>
      <c r="BQ800" s="1995" t="str">
        <f t="shared" si="47"/>
        <v/>
      </c>
      <c r="BR800" s="1995" t="str">
        <f t="shared" si="48"/>
        <v/>
      </c>
      <c r="BS800" s="1995" t="str">
        <f t="shared" si="49"/>
        <v/>
      </c>
      <c r="BT800" s="1995" t="str">
        <f t="shared" si="50"/>
        <v/>
      </c>
      <c r="BU800" s="1995" t="str">
        <f t="shared" si="51"/>
        <v/>
      </c>
      <c r="BV800" s="1995" t="str">
        <f t="shared" si="52"/>
        <v/>
      </c>
      <c r="BW800" s="1995" t="str">
        <f t="shared" si="53"/>
        <v/>
      </c>
      <c r="BX800" s="1995" t="str">
        <f t="shared" si="54"/>
        <v/>
      </c>
      <c r="BY800" s="1995" t="str">
        <f t="shared" si="55"/>
        <v/>
      </c>
      <c r="BZ800" s="1995" t="str">
        <f t="shared" si="56"/>
        <v/>
      </c>
      <c r="CA800" s="1995" t="str">
        <f t="shared" si="57"/>
        <v/>
      </c>
      <c r="CB800" s="1995" t="str">
        <f t="shared" si="58"/>
        <v/>
      </c>
      <c r="CC800" s="1995" t="str">
        <f t="shared" si="59"/>
        <v/>
      </c>
      <c r="CD800" s="1995" t="str">
        <f t="shared" si="60"/>
        <v/>
      </c>
      <c r="CE800" s="1995" t="str">
        <f t="shared" si="61"/>
        <v/>
      </c>
      <c r="CF800" s="1995" t="str">
        <f t="shared" si="62"/>
        <v/>
      </c>
      <c r="CG800" s="1995" t="str">
        <f t="shared" si="63"/>
        <v/>
      </c>
      <c r="CH800" s="1995" t="str">
        <f t="shared" si="64"/>
        <v/>
      </c>
      <c r="CI800" s="1995" t="str">
        <f t="shared" si="65"/>
        <v/>
      </c>
      <c r="CJ800" s="1995" t="str">
        <f t="shared" si="66"/>
        <v/>
      </c>
      <c r="CK800" s="1995" t="str">
        <f t="shared" si="67"/>
        <v/>
      </c>
      <c r="CL800" s="1995" t="str">
        <f t="shared" si="68"/>
        <v/>
      </c>
      <c r="CM800" s="1995" t="str">
        <f t="shared" si="69"/>
        <v/>
      </c>
      <c r="CN800" s="1995" t="str">
        <f t="shared" si="70"/>
        <v/>
      </c>
      <c r="CO800" s="1995" t="str">
        <f t="shared" si="71"/>
        <v/>
      </c>
      <c r="CP800" s="1995" t="str">
        <f t="shared" si="72"/>
        <v/>
      </c>
      <c r="CQ800" s="1995" t="str">
        <f t="shared" si="73"/>
        <v/>
      </c>
      <c r="CR800" s="1995" t="str">
        <f t="shared" si="74"/>
        <v/>
      </c>
      <c r="CS800" s="1995" t="str">
        <f t="shared" si="75"/>
        <v/>
      </c>
      <c r="CT800" s="1995" t="str">
        <f t="shared" si="76"/>
        <v/>
      </c>
      <c r="CU800" s="1995" t="str">
        <f t="shared" si="77"/>
        <v/>
      </c>
      <c r="CV800" s="1995" t="str">
        <f t="shared" si="78"/>
        <v/>
      </c>
      <c r="CW800" s="1995" t="str">
        <f t="shared" si="79"/>
        <v/>
      </c>
      <c r="CX800" s="1995" t="str">
        <f t="shared" si="80"/>
        <v/>
      </c>
      <c r="CY800" s="1995" t="str">
        <f t="shared" si="81"/>
        <v/>
      </c>
      <c r="CZ800" s="1995" t="str">
        <f t="shared" si="82"/>
        <v/>
      </c>
      <c r="DA800" s="1995" t="str">
        <f t="shared" si="83"/>
        <v/>
      </c>
      <c r="DB800" s="1995" t="str">
        <f t="shared" si="84"/>
        <v/>
      </c>
      <c r="DC800" s="1995" t="str">
        <f t="shared" si="85"/>
        <v/>
      </c>
      <c r="DD800" s="1995" t="str">
        <f t="shared" si="86"/>
        <v/>
      </c>
      <c r="DE800" s="1995" t="str">
        <f t="shared" si="87"/>
        <v/>
      </c>
      <c r="DF800" s="1995" t="str">
        <f t="shared" si="88"/>
        <v/>
      </c>
      <c r="DG800" s="1995" t="str">
        <f t="shared" si="89"/>
        <v/>
      </c>
      <c r="DH800" s="1995" t="str">
        <f t="shared" si="90"/>
        <v/>
      </c>
      <c r="DI800" s="1995" t="str">
        <f t="shared" si="91"/>
        <v/>
      </c>
      <c r="DJ800" s="1995" t="str">
        <f t="shared" si="92"/>
        <v/>
      </c>
      <c r="DK800" s="1995" t="str">
        <f t="shared" si="93"/>
        <v/>
      </c>
      <c r="DL800" s="1995" t="str">
        <f t="shared" si="94"/>
        <v/>
      </c>
      <c r="DM800" s="1995" t="str">
        <f t="shared" si="95"/>
        <v/>
      </c>
      <c r="DN800" s="1995" t="str">
        <f t="shared" si="96"/>
        <v/>
      </c>
      <c r="DO800" s="1995" t="str">
        <f t="shared" si="97"/>
        <v/>
      </c>
      <c r="DP800" s="1995" t="str">
        <f t="shared" si="98"/>
        <v/>
      </c>
      <c r="DQ800" s="1995" t="str">
        <f t="shared" si="99"/>
        <v/>
      </c>
      <c r="DR800" s="1995" t="str">
        <f t="shared" si="100"/>
        <v/>
      </c>
      <c r="DS800" s="1995" t="str">
        <f t="shared" si="101"/>
        <v/>
      </c>
      <c r="DT800" s="1995" t="str">
        <f t="shared" si="102"/>
        <v/>
      </c>
      <c r="DU800" s="1995" t="str">
        <f t="shared" si="103"/>
        <v/>
      </c>
      <c r="DV800" s="1995" t="str">
        <f t="shared" si="104"/>
        <v/>
      </c>
      <c r="DW800" s="1995" t="str">
        <f t="shared" si="105"/>
        <v/>
      </c>
      <c r="DX800" s="1995" t="str">
        <f t="shared" si="106"/>
        <v/>
      </c>
      <c r="DY800" s="1995" t="str">
        <f t="shared" si="107"/>
        <v/>
      </c>
      <c r="DZ800" s="1995" t="str">
        <f t="shared" si="108"/>
        <v/>
      </c>
      <c r="EA800" s="1995" t="str">
        <f t="shared" si="109"/>
        <v/>
      </c>
      <c r="EB800" s="1995" t="str">
        <f t="shared" si="110"/>
        <v/>
      </c>
      <c r="EC800" s="1995" t="str">
        <f t="shared" si="111"/>
        <v/>
      </c>
      <c r="ED800" s="1995" t="str">
        <f t="shared" si="112"/>
        <v/>
      </c>
      <c r="EE800" s="1995" t="str">
        <f t="shared" si="113"/>
        <v/>
      </c>
      <c r="EF800" s="1995" t="str">
        <f t="shared" si="114"/>
        <v/>
      </c>
      <c r="EG800" s="1995" t="str">
        <f t="shared" si="115"/>
        <v/>
      </c>
      <c r="EH800" s="1995" t="str">
        <f t="shared" si="116"/>
        <v/>
      </c>
      <c r="EI800" s="1995" t="str">
        <f t="shared" si="117"/>
        <v/>
      </c>
      <c r="EJ800" s="1995" t="str">
        <f t="shared" si="118"/>
        <v/>
      </c>
      <c r="EK800" s="1995" t="str">
        <f t="shared" si="119"/>
        <v/>
      </c>
      <c r="EL800" s="1995" t="str">
        <f t="shared" si="120"/>
        <v/>
      </c>
      <c r="EM800" s="1995" t="str">
        <f t="shared" si="121"/>
        <v/>
      </c>
      <c r="EN800" s="1995" t="str">
        <f t="shared" si="122"/>
        <v/>
      </c>
      <c r="EO800" s="1995" t="str">
        <f t="shared" si="123"/>
        <v/>
      </c>
      <c r="EP800" s="1995" t="str">
        <f t="shared" si="124"/>
        <v/>
      </c>
      <c r="EQ800" s="1995" t="str">
        <f t="shared" si="125"/>
        <v/>
      </c>
      <c r="ER800" s="1995" t="str">
        <f t="shared" si="126"/>
        <v/>
      </c>
      <c r="ES800" s="1995" t="str">
        <f t="shared" si="127"/>
        <v/>
      </c>
      <c r="ET800" s="1995" t="str">
        <f t="shared" si="128"/>
        <v/>
      </c>
      <c r="EU800" s="1995" t="str">
        <f t="shared" si="129"/>
        <v/>
      </c>
      <c r="EV800" s="1995" t="str">
        <f t="shared" si="130"/>
        <v/>
      </c>
      <c r="EW800" s="1995" t="str">
        <f t="shared" si="131"/>
        <v/>
      </c>
      <c r="EX800" s="1995" t="str">
        <f t="shared" si="132"/>
        <v/>
      </c>
      <c r="EY800" s="1995" t="str">
        <f t="shared" si="133"/>
        <v/>
      </c>
      <c r="EZ800" s="1995" t="str">
        <f t="shared" si="134"/>
        <v/>
      </c>
      <c r="FA800" s="1995" t="str">
        <f t="shared" si="135"/>
        <v/>
      </c>
      <c r="FB800" s="1995" t="str">
        <f t="shared" si="136"/>
        <v/>
      </c>
      <c r="FC800" s="1995" t="str">
        <f t="shared" si="137"/>
        <v/>
      </c>
      <c r="FD800" s="1995" t="str">
        <f t="shared" si="138"/>
        <v/>
      </c>
      <c r="FE800" s="1995" t="str">
        <f t="shared" si="139"/>
        <v/>
      </c>
      <c r="FF800" s="1995" t="str">
        <f t="shared" si="140"/>
        <v/>
      </c>
      <c r="FG800" s="1995" t="str">
        <f t="shared" si="141"/>
        <v/>
      </c>
      <c r="FH800" s="1995" t="str">
        <f t="shared" si="142"/>
        <v/>
      </c>
      <c r="FI800" s="1995" t="str">
        <f t="shared" si="143"/>
        <v/>
      </c>
      <c r="FJ800" s="1995" t="str">
        <f t="shared" si="144"/>
        <v/>
      </c>
      <c r="FK800" s="1995" t="str">
        <f t="shared" si="145"/>
        <v/>
      </c>
      <c r="FL800" s="1995" t="str">
        <f t="shared" si="146"/>
        <v/>
      </c>
      <c r="FM800" s="1995" t="str">
        <f t="shared" si="147"/>
        <v/>
      </c>
      <c r="FN800" s="1995" t="str">
        <f t="shared" si="148"/>
        <v/>
      </c>
      <c r="FO800" s="1995" t="str">
        <f t="shared" si="149"/>
        <v/>
      </c>
      <c r="FP800" s="1995" t="str">
        <f t="shared" si="150"/>
        <v/>
      </c>
      <c r="FQ800" s="1995" t="str">
        <f t="shared" si="151"/>
        <v/>
      </c>
      <c r="FR800" s="1995" t="str">
        <f t="shared" si="152"/>
        <v/>
      </c>
      <c r="FS800" s="1995" t="str">
        <f t="shared" si="153"/>
        <v/>
      </c>
      <c r="FT800" s="1995" t="str">
        <f t="shared" si="154"/>
        <v/>
      </c>
      <c r="FU800" s="1995" t="str">
        <f t="shared" si="155"/>
        <v/>
      </c>
      <c r="FV800" s="1995" t="str">
        <f t="shared" si="156"/>
        <v/>
      </c>
      <c r="FW800" s="1995" t="str">
        <f t="shared" si="157"/>
        <v/>
      </c>
      <c r="FX800" s="1995" t="str">
        <f t="shared" si="158"/>
        <v/>
      </c>
      <c r="FY800" s="1995" t="str">
        <f t="shared" si="159"/>
        <v/>
      </c>
      <c r="FZ800" s="1995" t="str">
        <f t="shared" si="160"/>
        <v/>
      </c>
      <c r="GA800" s="1995" t="str">
        <f t="shared" si="161"/>
        <v/>
      </c>
      <c r="GB800" s="1995" t="str">
        <f t="shared" si="162"/>
        <v/>
      </c>
      <c r="GC800" s="1995" t="str">
        <f t="shared" si="163"/>
        <v/>
      </c>
      <c r="GD800" s="1995" t="str">
        <f t="shared" si="164"/>
        <v/>
      </c>
      <c r="GE800" s="1995" t="str">
        <f t="shared" si="165"/>
        <v/>
      </c>
      <c r="GF800" s="1995" t="str">
        <f t="shared" si="166"/>
        <v/>
      </c>
      <c r="GG800" s="1995" t="str">
        <f t="shared" si="167"/>
        <v/>
      </c>
      <c r="GH800" s="1995" t="str">
        <f t="shared" si="168"/>
        <v/>
      </c>
      <c r="GI800" s="1995" t="str">
        <f t="shared" si="169"/>
        <v/>
      </c>
      <c r="GJ800" s="1995" t="str">
        <f t="shared" si="170"/>
        <v/>
      </c>
      <c r="GK800" s="1995" t="str">
        <f t="shared" si="171"/>
        <v/>
      </c>
      <c r="GL800" s="1995" t="str">
        <f t="shared" si="172"/>
        <v/>
      </c>
      <c r="GM800" s="1995" t="str">
        <f t="shared" si="173"/>
        <v/>
      </c>
      <c r="GN800" s="1995" t="str">
        <f t="shared" si="174"/>
        <v/>
      </c>
      <c r="GO800" s="1995" t="str">
        <f t="shared" si="175"/>
        <v/>
      </c>
      <c r="GP800" s="1995" t="str">
        <f t="shared" si="176"/>
        <v/>
      </c>
      <c r="GQ800" s="1995" t="str">
        <f t="shared" si="177"/>
        <v/>
      </c>
      <c r="GR800" s="1995" t="str">
        <f t="shared" si="178"/>
        <v/>
      </c>
      <c r="GS800" s="1995" t="str">
        <f t="shared" si="179"/>
        <v/>
      </c>
      <c r="GT800" s="1995" t="str">
        <f t="shared" si="180"/>
        <v/>
      </c>
      <c r="GU800" s="1995" t="str">
        <f t="shared" si="181"/>
        <v/>
      </c>
      <c r="GV800" s="1995" t="str">
        <f t="shared" si="182"/>
        <v/>
      </c>
      <c r="GW800" s="1995" t="str">
        <f t="shared" si="183"/>
        <v/>
      </c>
      <c r="GX800" s="1995" t="str">
        <f t="shared" si="184"/>
        <v/>
      </c>
      <c r="GY800" s="1995" t="str">
        <f t="shared" si="185"/>
        <v/>
      </c>
      <c r="GZ800" s="1995" t="str">
        <f t="shared" si="186"/>
        <v/>
      </c>
      <c r="HA800" s="1995" t="str">
        <f t="shared" si="187"/>
        <v/>
      </c>
      <c r="HB800" s="1995" t="str">
        <f t="shared" si="188"/>
        <v/>
      </c>
      <c r="HC800" s="1995" t="str">
        <f t="shared" si="189"/>
        <v/>
      </c>
      <c r="HD800" s="1995" t="str">
        <f t="shared" si="190"/>
        <v/>
      </c>
      <c r="HE800" s="1995" t="str">
        <f t="shared" si="191"/>
        <v/>
      </c>
      <c r="HF800" s="1995" t="str">
        <f t="shared" si="192"/>
        <v/>
      </c>
      <c r="HG800" s="1995" t="str">
        <f t="shared" si="193"/>
        <v/>
      </c>
      <c r="HH800" s="1995" t="str">
        <f t="shared" si="194"/>
        <v/>
      </c>
      <c r="HI800" s="1995" t="str">
        <f t="shared" si="195"/>
        <v/>
      </c>
      <c r="HJ800" s="1995" t="str">
        <f t="shared" si="196"/>
        <v/>
      </c>
      <c r="HK800" s="1995" t="str">
        <f t="shared" si="197"/>
        <v/>
      </c>
      <c r="HL800" s="1995" t="str">
        <f t="shared" si="198"/>
        <v/>
      </c>
      <c r="HM800" s="1995" t="str">
        <f t="shared" si="199"/>
        <v/>
      </c>
      <c r="HN800" s="1995" t="str">
        <f t="shared" si="200"/>
        <v/>
      </c>
      <c r="HO800" s="1995" t="str">
        <f t="shared" si="201"/>
        <v/>
      </c>
      <c r="HP800" s="1995" t="str">
        <f t="shared" si="202"/>
        <v/>
      </c>
      <c r="HQ800" s="1995" t="str">
        <f t="shared" si="203"/>
        <v/>
      </c>
      <c r="HR800" s="1995" t="str">
        <f t="shared" si="204"/>
        <v/>
      </c>
      <c r="HS800" s="1995" t="str">
        <f t="shared" si="205"/>
        <v/>
      </c>
      <c r="HT800" s="1995" t="str">
        <f t="shared" si="206"/>
        <v/>
      </c>
      <c r="HU800" s="1995" t="str">
        <f t="shared" si="207"/>
        <v/>
      </c>
      <c r="HV800" s="1995" t="str">
        <f t="shared" si="208"/>
        <v/>
      </c>
      <c r="HW800" s="1995" t="str">
        <f t="shared" si="209"/>
        <v/>
      </c>
      <c r="HX800" s="1995" t="str">
        <f t="shared" si="210"/>
        <v/>
      </c>
      <c r="HY800" s="1995" t="str">
        <f t="shared" si="211"/>
        <v/>
      </c>
      <c r="HZ800" s="1900" t="str">
        <f t="shared" si="212"/>
        <v/>
      </c>
      <c r="IA800" s="1900" t="str">
        <f t="shared" si="213"/>
        <v/>
      </c>
      <c r="IB800" s="1900" t="str">
        <f t="shared" si="214"/>
        <v/>
      </c>
      <c r="IC800" s="1900" t="str">
        <f t="shared" si="215"/>
        <v/>
      </c>
      <c r="ID800" s="1900" t="str">
        <f t="shared" si="216"/>
        <v/>
      </c>
      <c r="IE800" s="1900" t="str">
        <f t="shared" si="217"/>
        <v/>
      </c>
      <c r="IF800" s="1900" t="str">
        <f t="shared" si="218"/>
        <v/>
      </c>
      <c r="IG800" s="1900" t="str">
        <f t="shared" si="219"/>
        <v/>
      </c>
      <c r="IH800" s="1900" t="str">
        <f t="shared" si="220"/>
        <v/>
      </c>
      <c r="II800" s="1900" t="str">
        <f t="shared" si="221"/>
        <v/>
      </c>
      <c r="IJ800" s="1900" t="str">
        <f t="shared" si="222"/>
        <v/>
      </c>
      <c r="IK800" s="1900" t="str">
        <f t="shared" si="223"/>
        <v/>
      </c>
      <c r="IL800" s="1900" t="str">
        <f t="shared" si="224"/>
        <v/>
      </c>
      <c r="IM800" s="1900" t="str">
        <f t="shared" si="225"/>
        <v/>
      </c>
      <c r="IN800" s="1900" t="str">
        <f t="shared" si="226"/>
        <v/>
      </c>
      <c r="IO800" s="1900" t="str">
        <f t="shared" si="227"/>
        <v/>
      </c>
      <c r="IP800" s="1900" t="str">
        <f t="shared" si="228"/>
        <v/>
      </c>
      <c r="IQ800" s="1900" t="str">
        <f t="shared" si="229"/>
        <v/>
      </c>
      <c r="IR800" s="1900" t="str">
        <f t="shared" si="230"/>
        <v/>
      </c>
      <c r="IS800" s="1900" t="str">
        <f t="shared" si="231"/>
        <v/>
      </c>
      <c r="IT800" s="1900" t="str">
        <f t="shared" si="232"/>
        <v/>
      </c>
      <c r="IU800" s="1900" t="str">
        <f t="shared" si="233"/>
        <v/>
      </c>
      <c r="IV800" s="1900" t="str">
        <f t="shared" si="234"/>
        <v/>
      </c>
      <c r="IW800" s="1900" t="str">
        <f t="shared" si="235"/>
        <v/>
      </c>
      <c r="IX800" s="1900" t="str">
        <f t="shared" si="236"/>
        <v/>
      </c>
      <c r="IY800" s="1900" t="str">
        <f t="shared" si="237"/>
        <v/>
      </c>
      <c r="IZ800" s="1900" t="str">
        <f t="shared" si="238"/>
        <v/>
      </c>
      <c r="JA800" s="1900" t="str">
        <f t="shared" si="239"/>
        <v/>
      </c>
      <c r="JB800" s="1900" t="str">
        <f t="shared" si="240"/>
        <v/>
      </c>
      <c r="JC800" s="1900" t="str">
        <f t="shared" si="241"/>
        <v/>
      </c>
      <c r="JD800" s="1900" t="str">
        <f t="shared" si="242"/>
        <v/>
      </c>
      <c r="JE800" s="1900" t="str">
        <f t="shared" si="243"/>
        <v/>
      </c>
      <c r="JF800" s="1900" t="str">
        <f t="shared" si="244"/>
        <v/>
      </c>
      <c r="JG800" s="1900" t="str">
        <f t="shared" si="245"/>
        <v/>
      </c>
      <c r="JH800" s="1900" t="str">
        <f t="shared" si="246"/>
        <v/>
      </c>
      <c r="JI800" s="1900" t="str">
        <f t="shared" si="247"/>
        <v/>
      </c>
      <c r="JJ800" s="1900" t="str">
        <f t="shared" si="248"/>
        <v/>
      </c>
      <c r="JK800" s="1900" t="str">
        <f t="shared" si="249"/>
        <v/>
      </c>
      <c r="JL800" s="1900" t="str">
        <f t="shared" si="250"/>
        <v/>
      </c>
      <c r="JM800" s="1900" t="str">
        <f t="shared" si="251"/>
        <v/>
      </c>
      <c r="JN800" s="1900" t="str">
        <f t="shared" si="252"/>
        <v/>
      </c>
      <c r="JO800" s="1900" t="str">
        <f t="shared" si="253"/>
        <v/>
      </c>
      <c r="JP800" s="1900" t="str">
        <f t="shared" si="254"/>
        <v/>
      </c>
      <c r="JQ800" s="1900" t="str">
        <f t="shared" si="255"/>
        <v/>
      </c>
      <c r="JR800" s="1900" t="str">
        <f t="shared" si="256"/>
        <v/>
      </c>
      <c r="JS800" s="1900" t="str">
        <f t="shared" si="257"/>
        <v/>
      </c>
      <c r="JT800" s="1900" t="str">
        <f t="shared" si="258"/>
        <v/>
      </c>
      <c r="JU800" s="1900" t="str">
        <f t="shared" si="259"/>
        <v/>
      </c>
      <c r="JV800" s="1900" t="str">
        <f t="shared" si="260"/>
        <v/>
      </c>
      <c r="JW800" s="1900" t="str">
        <f t="shared" si="261"/>
        <v/>
      </c>
      <c r="JX800" s="1900" t="str">
        <f t="shared" si="262"/>
        <v/>
      </c>
      <c r="JY800" s="1900" t="str">
        <f t="shared" si="263"/>
        <v/>
      </c>
      <c r="JZ800" s="1900" t="str">
        <f t="shared" si="264"/>
        <v/>
      </c>
      <c r="KA800" s="1900" t="str">
        <f t="shared" si="265"/>
        <v/>
      </c>
      <c r="KB800" s="1900" t="str">
        <f t="shared" si="266"/>
        <v/>
      </c>
      <c r="KC800" s="1900" t="str">
        <f t="shared" si="267"/>
        <v/>
      </c>
      <c r="KD800" s="1900" t="str">
        <f t="shared" si="268"/>
        <v/>
      </c>
      <c r="KE800" s="1900" t="str">
        <f t="shared" si="269"/>
        <v/>
      </c>
      <c r="KF800" s="1900" t="str">
        <f t="shared" si="270"/>
        <v/>
      </c>
      <c r="KG800" s="1900" t="str">
        <f t="shared" si="271"/>
        <v/>
      </c>
      <c r="KH800" s="1900" t="str">
        <f t="shared" si="272"/>
        <v/>
      </c>
      <c r="KI800" s="1900" t="str">
        <f t="shared" si="273"/>
        <v/>
      </c>
      <c r="KJ800" s="1900" t="str">
        <f t="shared" si="274"/>
        <v/>
      </c>
      <c r="KK800" s="1900" t="str">
        <f t="shared" si="275"/>
        <v/>
      </c>
      <c r="KL800" s="1900" t="str">
        <f t="shared" si="276"/>
        <v/>
      </c>
      <c r="KM800" s="1900" t="str">
        <f t="shared" si="277"/>
        <v/>
      </c>
      <c r="KN800" s="1900" t="str">
        <f t="shared" si="278"/>
        <v/>
      </c>
      <c r="KO800" s="1900" t="str">
        <f t="shared" si="279"/>
        <v/>
      </c>
      <c r="KP800" s="1900" t="str">
        <f t="shared" si="280"/>
        <v/>
      </c>
      <c r="KQ800" s="1900" t="str">
        <f t="shared" si="281"/>
        <v/>
      </c>
      <c r="KR800" s="1900" t="str">
        <f t="shared" si="282"/>
        <v/>
      </c>
      <c r="KS800" s="1900" t="str">
        <f t="shared" si="283"/>
        <v/>
      </c>
      <c r="KT800" s="1900" t="str">
        <f t="shared" si="284"/>
        <v/>
      </c>
      <c r="KU800" s="1900" t="str">
        <f t="shared" si="285"/>
        <v/>
      </c>
      <c r="KV800" s="1900" t="str">
        <f t="shared" si="286"/>
        <v/>
      </c>
      <c r="KW800" s="1900" t="str">
        <f t="shared" si="287"/>
        <v/>
      </c>
      <c r="KX800" s="1900" t="str">
        <f t="shared" si="288"/>
        <v/>
      </c>
      <c r="KY800" s="1900" t="str">
        <f t="shared" si="289"/>
        <v/>
      </c>
      <c r="KZ800" s="1900" t="str">
        <f t="shared" si="290"/>
        <v/>
      </c>
      <c r="LA800" s="1900" t="str">
        <f t="shared" si="291"/>
        <v/>
      </c>
      <c r="LB800" s="1900" t="str">
        <f t="shared" si="292"/>
        <v/>
      </c>
      <c r="LC800" s="1900" t="str">
        <f t="shared" si="293"/>
        <v/>
      </c>
      <c r="LD800" s="1900" t="str">
        <f t="shared" si="294"/>
        <v/>
      </c>
      <c r="LE800" s="1900" t="str">
        <f t="shared" si="295"/>
        <v/>
      </c>
      <c r="LF800" s="1900" t="str">
        <f t="shared" si="296"/>
        <v/>
      </c>
      <c r="LG800" s="1900" t="str">
        <f t="shared" si="297"/>
        <v/>
      </c>
      <c r="LH800" s="1900" t="str">
        <f t="shared" si="298"/>
        <v/>
      </c>
      <c r="LI800" s="1900" t="str">
        <f t="shared" si="299"/>
        <v/>
      </c>
      <c r="LJ800" s="1900" t="str">
        <f t="shared" si="300"/>
        <v/>
      </c>
      <c r="LK800" s="1900" t="str">
        <f t="shared" si="301"/>
        <v/>
      </c>
      <c r="LL800" s="1900" t="str">
        <f t="shared" si="302"/>
        <v/>
      </c>
      <c r="LM800" s="1900" t="str">
        <f t="shared" si="303"/>
        <v/>
      </c>
      <c r="LN800" s="1900" t="str">
        <f t="shared" si="304"/>
        <v/>
      </c>
      <c r="LO800" s="1900" t="str">
        <f t="shared" si="305"/>
        <v/>
      </c>
      <c r="LP800" s="1900" t="str">
        <f t="shared" si="306"/>
        <v/>
      </c>
      <c r="LQ800" s="1874" t="str">
        <f t="shared" si="307"/>
        <v/>
      </c>
      <c r="LR800" s="1874" t="str">
        <f t="shared" si="308"/>
        <v/>
      </c>
      <c r="LS800" s="1874" t="str">
        <f t="shared" si="309"/>
        <v/>
      </c>
      <c r="LT800" s="1874" t="str">
        <f t="shared" si="310"/>
        <v/>
      </c>
      <c r="LU800" s="1874" t="str">
        <f t="shared" si="311"/>
        <v/>
      </c>
      <c r="LV800" s="1995" t="str">
        <f t="shared" si="312"/>
        <v/>
      </c>
      <c r="LW800" s="1995" t="str">
        <f t="shared" si="313"/>
        <v/>
      </c>
      <c r="LX800" s="1995" t="str">
        <f t="shared" si="314"/>
        <v/>
      </c>
      <c r="LY800" s="1995" t="str">
        <f t="shared" si="315"/>
        <v/>
      </c>
      <c r="LZ800" s="1995" t="str">
        <f t="shared" si="316"/>
        <v/>
      </c>
      <c r="MA800" s="1995" t="str">
        <f t="shared" si="317"/>
        <v/>
      </c>
      <c r="MB800" s="1995" t="str">
        <f t="shared" si="318"/>
        <v/>
      </c>
      <c r="MC800" s="1995" t="str">
        <f t="shared" si="319"/>
        <v/>
      </c>
      <c r="MD800" s="1995" t="str">
        <f t="shared" si="320"/>
        <v/>
      </c>
      <c r="ME800" s="1995" t="str">
        <f t="shared" si="321"/>
        <v/>
      </c>
      <c r="MF800" s="1995" t="str">
        <f t="shared" si="322"/>
        <v/>
      </c>
      <c r="MG800" s="1995" t="str">
        <f t="shared" si="323"/>
        <v/>
      </c>
      <c r="MH800" s="1995" t="str">
        <f t="shared" si="324"/>
        <v/>
      </c>
      <c r="MI800" s="1995" t="str">
        <f t="shared" si="325"/>
        <v/>
      </c>
      <c r="MJ800" s="1995" t="str">
        <f t="shared" si="326"/>
        <v/>
      </c>
      <c r="MK800" s="1995" t="str">
        <f t="shared" si="327"/>
        <v/>
      </c>
      <c r="ML800" s="1995" t="str">
        <f t="shared" si="328"/>
        <v/>
      </c>
      <c r="MM800" s="1995" t="str">
        <f t="shared" si="329"/>
        <v/>
      </c>
      <c r="MN800" s="1995" t="str">
        <f t="shared" si="330"/>
        <v/>
      </c>
      <c r="MO800" s="1995" t="str">
        <f t="shared" si="331"/>
        <v/>
      </c>
      <c r="MP800" s="1874">
        <f t="shared" si="338"/>
        <v>0</v>
      </c>
      <c r="MQ800" s="1874">
        <f t="shared" si="339"/>
        <v>0</v>
      </c>
      <c r="MR800" s="1874">
        <f t="shared" si="340"/>
        <v>0</v>
      </c>
      <c r="MS800" s="1874">
        <f t="shared" si="341"/>
        <v>0</v>
      </c>
      <c r="MT800" s="1874">
        <f t="shared" si="342"/>
        <v>0</v>
      </c>
      <c r="MU800" s="1874">
        <f t="shared" si="343"/>
        <v>0</v>
      </c>
      <c r="MV800" s="1874">
        <f t="shared" si="344"/>
        <v>0</v>
      </c>
      <c r="MW800" s="1874">
        <f t="shared" si="345"/>
        <v>0</v>
      </c>
      <c r="MX800" s="1874">
        <f t="shared" si="346"/>
        <v>0</v>
      </c>
      <c r="MY800" s="1874">
        <f t="shared" si="347"/>
        <v>0</v>
      </c>
      <c r="MZ800" s="1874">
        <f t="shared" si="332"/>
        <v>0</v>
      </c>
      <c r="NA800" s="1874">
        <f t="shared" si="333"/>
        <v>0</v>
      </c>
      <c r="NB800" s="1874">
        <f t="shared" si="334"/>
        <v>0</v>
      </c>
      <c r="NC800" s="1874">
        <f t="shared" si="335"/>
        <v>0</v>
      </c>
      <c r="ND800" s="1874">
        <f t="shared" si="336"/>
        <v>0</v>
      </c>
    </row>
    <row r="801" spans="1:368" ht="13.95" customHeight="1">
      <c r="A801" s="1896" t="str">
        <f t="shared" si="337"/>
        <v/>
      </c>
      <c r="B801" s="2212">
        <f>'Part VI-Revenues &amp; Expenses'!B32</f>
        <v>0</v>
      </c>
      <c r="C801" s="2213">
        <f>'Part VI-Revenues &amp; Expenses'!C32</f>
        <v>0</v>
      </c>
      <c r="D801" s="2214">
        <f>'Part VI-Revenues &amp; Expenses'!D32</f>
        <v>0</v>
      </c>
      <c r="E801" s="2215">
        <f>'Part VI-Revenues &amp; Expenses'!E32</f>
        <v>0</v>
      </c>
      <c r="F801" s="2215">
        <f>'Part VI-Revenues &amp; Expenses'!F32</f>
        <v>0</v>
      </c>
      <c r="G801" s="2215">
        <f>'Part VI-Revenues &amp; Expenses'!G32</f>
        <v>0</v>
      </c>
      <c r="H801" s="2215">
        <f>'Part VI-Revenues &amp; Expenses'!H32</f>
        <v>0</v>
      </c>
      <c r="I801" s="2215">
        <f>'Part VI-Revenues &amp; Expenses'!I32</f>
        <v>0</v>
      </c>
      <c r="J801" s="2215">
        <f>'Part VI-Revenues &amp; Expenses'!J32</f>
        <v>0</v>
      </c>
      <c r="K801" s="2216">
        <f>'Part VI-Revenues &amp; Expenses'!K32</f>
        <v>0</v>
      </c>
      <c r="L801" s="1899">
        <f t="shared" si="0"/>
        <v>0</v>
      </c>
      <c r="M801" s="1899">
        <f t="shared" si="1"/>
        <v>0</v>
      </c>
      <c r="N801" s="2074">
        <f>'Part VI-Revenues &amp; Expenses'!N32</f>
        <v>0</v>
      </c>
      <c r="O801" s="2074">
        <f>'Part VI-Revenues &amp; Expenses'!O32</f>
        <v>0</v>
      </c>
      <c r="P801" s="2074">
        <f>'Part VI-Revenues &amp; Expenses'!P32</f>
        <v>0</v>
      </c>
      <c r="Q801" s="1732">
        <f>'Part VI-Revenues &amp; Expenses'!Q32</f>
        <v>0</v>
      </c>
      <c r="R801" s="1926"/>
      <c r="S801" s="2148"/>
      <c r="T801" s="1910"/>
      <c r="U801" s="1910"/>
      <c r="V801" s="1910"/>
      <c r="W801" s="1910"/>
      <c r="X801" s="1995" t="str">
        <f t="shared" si="2"/>
        <v/>
      </c>
      <c r="Y801" s="1995" t="str">
        <f t="shared" si="3"/>
        <v/>
      </c>
      <c r="Z801" s="1995" t="str">
        <f t="shared" si="4"/>
        <v/>
      </c>
      <c r="AA801" s="1995" t="str">
        <f t="shared" si="5"/>
        <v/>
      </c>
      <c r="AB801" s="1995" t="str">
        <f t="shared" si="6"/>
        <v/>
      </c>
      <c r="AC801" s="1995" t="str">
        <f t="shared" si="7"/>
        <v/>
      </c>
      <c r="AD801" s="1995" t="str">
        <f t="shared" si="8"/>
        <v/>
      </c>
      <c r="AE801" s="1995" t="str">
        <f t="shared" si="9"/>
        <v/>
      </c>
      <c r="AF801" s="1995" t="str">
        <f t="shared" si="10"/>
        <v/>
      </c>
      <c r="AG801" s="1995" t="str">
        <f t="shared" si="11"/>
        <v/>
      </c>
      <c r="AH801" s="1995" t="str">
        <f t="shared" si="12"/>
        <v/>
      </c>
      <c r="AI801" s="1995" t="str">
        <f t="shared" si="13"/>
        <v/>
      </c>
      <c r="AJ801" s="1995" t="str">
        <f t="shared" si="14"/>
        <v/>
      </c>
      <c r="AK801" s="1995" t="str">
        <f t="shared" si="15"/>
        <v/>
      </c>
      <c r="AL801" s="1995" t="str">
        <f t="shared" si="16"/>
        <v/>
      </c>
      <c r="AM801" s="1995" t="str">
        <f t="shared" si="17"/>
        <v/>
      </c>
      <c r="AN801" s="1995" t="str">
        <f t="shared" si="18"/>
        <v/>
      </c>
      <c r="AO801" s="1995" t="str">
        <f t="shared" si="19"/>
        <v/>
      </c>
      <c r="AP801" s="1995" t="str">
        <f t="shared" si="20"/>
        <v/>
      </c>
      <c r="AQ801" s="1995" t="str">
        <f t="shared" si="21"/>
        <v/>
      </c>
      <c r="AR801" s="1995" t="str">
        <f t="shared" si="22"/>
        <v/>
      </c>
      <c r="AS801" s="1995" t="str">
        <f t="shared" si="23"/>
        <v/>
      </c>
      <c r="AT801" s="1995" t="str">
        <f t="shared" si="24"/>
        <v/>
      </c>
      <c r="AU801" s="1995" t="str">
        <f t="shared" si="25"/>
        <v/>
      </c>
      <c r="AV801" s="1995" t="str">
        <f t="shared" si="26"/>
        <v/>
      </c>
      <c r="AW801" s="1995" t="str">
        <f t="shared" si="27"/>
        <v/>
      </c>
      <c r="AX801" s="1995" t="str">
        <f t="shared" si="28"/>
        <v/>
      </c>
      <c r="AY801" s="1995" t="str">
        <f t="shared" si="29"/>
        <v/>
      </c>
      <c r="AZ801" s="1995" t="str">
        <f t="shared" si="30"/>
        <v/>
      </c>
      <c r="BA801" s="1995" t="str">
        <f t="shared" si="31"/>
        <v/>
      </c>
      <c r="BB801" s="1995" t="str">
        <f t="shared" si="32"/>
        <v/>
      </c>
      <c r="BC801" s="1995" t="str">
        <f t="shared" si="33"/>
        <v/>
      </c>
      <c r="BD801" s="1995" t="str">
        <f t="shared" si="34"/>
        <v/>
      </c>
      <c r="BE801" s="1995" t="str">
        <f t="shared" si="35"/>
        <v/>
      </c>
      <c r="BF801" s="1995" t="str">
        <f t="shared" si="36"/>
        <v/>
      </c>
      <c r="BG801" s="1995" t="str">
        <f t="shared" si="37"/>
        <v/>
      </c>
      <c r="BH801" s="1995" t="str">
        <f t="shared" si="38"/>
        <v/>
      </c>
      <c r="BI801" s="1995" t="str">
        <f t="shared" si="39"/>
        <v/>
      </c>
      <c r="BJ801" s="1995" t="str">
        <f t="shared" si="40"/>
        <v/>
      </c>
      <c r="BK801" s="1995" t="str">
        <f t="shared" si="41"/>
        <v/>
      </c>
      <c r="BL801" s="1995" t="str">
        <f t="shared" si="42"/>
        <v/>
      </c>
      <c r="BM801" s="1995" t="str">
        <f t="shared" si="43"/>
        <v/>
      </c>
      <c r="BN801" s="1995" t="str">
        <f t="shared" si="44"/>
        <v/>
      </c>
      <c r="BO801" s="1995" t="str">
        <f t="shared" si="45"/>
        <v/>
      </c>
      <c r="BP801" s="1995" t="str">
        <f t="shared" si="46"/>
        <v/>
      </c>
      <c r="BQ801" s="1995" t="str">
        <f t="shared" si="47"/>
        <v/>
      </c>
      <c r="BR801" s="1995" t="str">
        <f t="shared" si="48"/>
        <v/>
      </c>
      <c r="BS801" s="1995" t="str">
        <f t="shared" si="49"/>
        <v/>
      </c>
      <c r="BT801" s="1995" t="str">
        <f t="shared" si="50"/>
        <v/>
      </c>
      <c r="BU801" s="1995" t="str">
        <f t="shared" si="51"/>
        <v/>
      </c>
      <c r="BV801" s="1995" t="str">
        <f t="shared" si="52"/>
        <v/>
      </c>
      <c r="BW801" s="1995" t="str">
        <f t="shared" si="53"/>
        <v/>
      </c>
      <c r="BX801" s="1995" t="str">
        <f t="shared" si="54"/>
        <v/>
      </c>
      <c r="BY801" s="1995" t="str">
        <f t="shared" si="55"/>
        <v/>
      </c>
      <c r="BZ801" s="1995" t="str">
        <f t="shared" si="56"/>
        <v/>
      </c>
      <c r="CA801" s="1995" t="str">
        <f t="shared" si="57"/>
        <v/>
      </c>
      <c r="CB801" s="1995" t="str">
        <f t="shared" si="58"/>
        <v/>
      </c>
      <c r="CC801" s="1995" t="str">
        <f t="shared" si="59"/>
        <v/>
      </c>
      <c r="CD801" s="1995" t="str">
        <f t="shared" si="60"/>
        <v/>
      </c>
      <c r="CE801" s="1995" t="str">
        <f t="shared" si="61"/>
        <v/>
      </c>
      <c r="CF801" s="1995" t="str">
        <f t="shared" si="62"/>
        <v/>
      </c>
      <c r="CG801" s="1995" t="str">
        <f t="shared" si="63"/>
        <v/>
      </c>
      <c r="CH801" s="1995" t="str">
        <f t="shared" si="64"/>
        <v/>
      </c>
      <c r="CI801" s="1995" t="str">
        <f t="shared" si="65"/>
        <v/>
      </c>
      <c r="CJ801" s="1995" t="str">
        <f t="shared" si="66"/>
        <v/>
      </c>
      <c r="CK801" s="1995" t="str">
        <f t="shared" si="67"/>
        <v/>
      </c>
      <c r="CL801" s="1995" t="str">
        <f t="shared" si="68"/>
        <v/>
      </c>
      <c r="CM801" s="1995" t="str">
        <f t="shared" si="69"/>
        <v/>
      </c>
      <c r="CN801" s="1995" t="str">
        <f t="shared" si="70"/>
        <v/>
      </c>
      <c r="CO801" s="1995" t="str">
        <f t="shared" si="71"/>
        <v/>
      </c>
      <c r="CP801" s="1995" t="str">
        <f t="shared" si="72"/>
        <v/>
      </c>
      <c r="CQ801" s="1995" t="str">
        <f t="shared" si="73"/>
        <v/>
      </c>
      <c r="CR801" s="1995" t="str">
        <f t="shared" si="74"/>
        <v/>
      </c>
      <c r="CS801" s="1995" t="str">
        <f t="shared" si="75"/>
        <v/>
      </c>
      <c r="CT801" s="1995" t="str">
        <f t="shared" si="76"/>
        <v/>
      </c>
      <c r="CU801" s="1995" t="str">
        <f t="shared" si="77"/>
        <v/>
      </c>
      <c r="CV801" s="1995" t="str">
        <f t="shared" si="78"/>
        <v/>
      </c>
      <c r="CW801" s="1995" t="str">
        <f t="shared" si="79"/>
        <v/>
      </c>
      <c r="CX801" s="1995" t="str">
        <f t="shared" si="80"/>
        <v/>
      </c>
      <c r="CY801" s="1995" t="str">
        <f t="shared" si="81"/>
        <v/>
      </c>
      <c r="CZ801" s="1995" t="str">
        <f t="shared" si="82"/>
        <v/>
      </c>
      <c r="DA801" s="1995" t="str">
        <f t="shared" si="83"/>
        <v/>
      </c>
      <c r="DB801" s="1995" t="str">
        <f t="shared" si="84"/>
        <v/>
      </c>
      <c r="DC801" s="1995" t="str">
        <f t="shared" si="85"/>
        <v/>
      </c>
      <c r="DD801" s="1995" t="str">
        <f t="shared" si="86"/>
        <v/>
      </c>
      <c r="DE801" s="1995" t="str">
        <f t="shared" si="87"/>
        <v/>
      </c>
      <c r="DF801" s="1995" t="str">
        <f t="shared" si="88"/>
        <v/>
      </c>
      <c r="DG801" s="1995" t="str">
        <f t="shared" si="89"/>
        <v/>
      </c>
      <c r="DH801" s="1995" t="str">
        <f t="shared" si="90"/>
        <v/>
      </c>
      <c r="DI801" s="1995" t="str">
        <f t="shared" si="91"/>
        <v/>
      </c>
      <c r="DJ801" s="1995" t="str">
        <f t="shared" si="92"/>
        <v/>
      </c>
      <c r="DK801" s="1995" t="str">
        <f t="shared" si="93"/>
        <v/>
      </c>
      <c r="DL801" s="1995" t="str">
        <f t="shared" si="94"/>
        <v/>
      </c>
      <c r="DM801" s="1995" t="str">
        <f t="shared" si="95"/>
        <v/>
      </c>
      <c r="DN801" s="1995" t="str">
        <f t="shared" si="96"/>
        <v/>
      </c>
      <c r="DO801" s="1995" t="str">
        <f t="shared" si="97"/>
        <v/>
      </c>
      <c r="DP801" s="1995" t="str">
        <f t="shared" si="98"/>
        <v/>
      </c>
      <c r="DQ801" s="1995" t="str">
        <f t="shared" si="99"/>
        <v/>
      </c>
      <c r="DR801" s="1995" t="str">
        <f t="shared" si="100"/>
        <v/>
      </c>
      <c r="DS801" s="1995" t="str">
        <f t="shared" si="101"/>
        <v/>
      </c>
      <c r="DT801" s="1995" t="str">
        <f t="shared" si="102"/>
        <v/>
      </c>
      <c r="DU801" s="1995" t="str">
        <f t="shared" si="103"/>
        <v/>
      </c>
      <c r="DV801" s="1995" t="str">
        <f t="shared" si="104"/>
        <v/>
      </c>
      <c r="DW801" s="1995" t="str">
        <f t="shared" si="105"/>
        <v/>
      </c>
      <c r="DX801" s="1995" t="str">
        <f t="shared" si="106"/>
        <v/>
      </c>
      <c r="DY801" s="1995" t="str">
        <f t="shared" si="107"/>
        <v/>
      </c>
      <c r="DZ801" s="1995" t="str">
        <f t="shared" si="108"/>
        <v/>
      </c>
      <c r="EA801" s="1995" t="str">
        <f t="shared" si="109"/>
        <v/>
      </c>
      <c r="EB801" s="1995" t="str">
        <f t="shared" si="110"/>
        <v/>
      </c>
      <c r="EC801" s="1995" t="str">
        <f t="shared" si="111"/>
        <v/>
      </c>
      <c r="ED801" s="1995" t="str">
        <f t="shared" si="112"/>
        <v/>
      </c>
      <c r="EE801" s="1995" t="str">
        <f t="shared" si="113"/>
        <v/>
      </c>
      <c r="EF801" s="1995" t="str">
        <f t="shared" si="114"/>
        <v/>
      </c>
      <c r="EG801" s="1995" t="str">
        <f t="shared" si="115"/>
        <v/>
      </c>
      <c r="EH801" s="1995" t="str">
        <f t="shared" si="116"/>
        <v/>
      </c>
      <c r="EI801" s="1995" t="str">
        <f t="shared" si="117"/>
        <v/>
      </c>
      <c r="EJ801" s="1995" t="str">
        <f t="shared" si="118"/>
        <v/>
      </c>
      <c r="EK801" s="1995" t="str">
        <f t="shared" si="119"/>
        <v/>
      </c>
      <c r="EL801" s="1995" t="str">
        <f t="shared" si="120"/>
        <v/>
      </c>
      <c r="EM801" s="1995" t="str">
        <f t="shared" si="121"/>
        <v/>
      </c>
      <c r="EN801" s="1995" t="str">
        <f t="shared" si="122"/>
        <v/>
      </c>
      <c r="EO801" s="1995" t="str">
        <f t="shared" si="123"/>
        <v/>
      </c>
      <c r="EP801" s="1995" t="str">
        <f t="shared" si="124"/>
        <v/>
      </c>
      <c r="EQ801" s="1995" t="str">
        <f t="shared" si="125"/>
        <v/>
      </c>
      <c r="ER801" s="1995" t="str">
        <f t="shared" si="126"/>
        <v/>
      </c>
      <c r="ES801" s="1995" t="str">
        <f t="shared" si="127"/>
        <v/>
      </c>
      <c r="ET801" s="1995" t="str">
        <f t="shared" si="128"/>
        <v/>
      </c>
      <c r="EU801" s="1995" t="str">
        <f t="shared" si="129"/>
        <v/>
      </c>
      <c r="EV801" s="1995" t="str">
        <f t="shared" si="130"/>
        <v/>
      </c>
      <c r="EW801" s="1995" t="str">
        <f t="shared" si="131"/>
        <v/>
      </c>
      <c r="EX801" s="1995" t="str">
        <f t="shared" si="132"/>
        <v/>
      </c>
      <c r="EY801" s="1995" t="str">
        <f t="shared" si="133"/>
        <v/>
      </c>
      <c r="EZ801" s="1995" t="str">
        <f t="shared" si="134"/>
        <v/>
      </c>
      <c r="FA801" s="1995" t="str">
        <f t="shared" si="135"/>
        <v/>
      </c>
      <c r="FB801" s="1995" t="str">
        <f t="shared" si="136"/>
        <v/>
      </c>
      <c r="FC801" s="1995" t="str">
        <f t="shared" si="137"/>
        <v/>
      </c>
      <c r="FD801" s="1995" t="str">
        <f t="shared" si="138"/>
        <v/>
      </c>
      <c r="FE801" s="1995" t="str">
        <f t="shared" si="139"/>
        <v/>
      </c>
      <c r="FF801" s="1995" t="str">
        <f t="shared" si="140"/>
        <v/>
      </c>
      <c r="FG801" s="1995" t="str">
        <f t="shared" si="141"/>
        <v/>
      </c>
      <c r="FH801" s="1995" t="str">
        <f t="shared" si="142"/>
        <v/>
      </c>
      <c r="FI801" s="1995" t="str">
        <f t="shared" si="143"/>
        <v/>
      </c>
      <c r="FJ801" s="1995" t="str">
        <f t="shared" si="144"/>
        <v/>
      </c>
      <c r="FK801" s="1995" t="str">
        <f t="shared" si="145"/>
        <v/>
      </c>
      <c r="FL801" s="1995" t="str">
        <f t="shared" si="146"/>
        <v/>
      </c>
      <c r="FM801" s="1995" t="str">
        <f t="shared" si="147"/>
        <v/>
      </c>
      <c r="FN801" s="1995" t="str">
        <f t="shared" si="148"/>
        <v/>
      </c>
      <c r="FO801" s="1995" t="str">
        <f t="shared" si="149"/>
        <v/>
      </c>
      <c r="FP801" s="1995" t="str">
        <f t="shared" si="150"/>
        <v/>
      </c>
      <c r="FQ801" s="1995" t="str">
        <f t="shared" si="151"/>
        <v/>
      </c>
      <c r="FR801" s="1995" t="str">
        <f t="shared" si="152"/>
        <v/>
      </c>
      <c r="FS801" s="1995" t="str">
        <f t="shared" si="153"/>
        <v/>
      </c>
      <c r="FT801" s="1995" t="str">
        <f t="shared" si="154"/>
        <v/>
      </c>
      <c r="FU801" s="1995" t="str">
        <f t="shared" si="155"/>
        <v/>
      </c>
      <c r="FV801" s="1995" t="str">
        <f t="shared" si="156"/>
        <v/>
      </c>
      <c r="FW801" s="1995" t="str">
        <f t="shared" si="157"/>
        <v/>
      </c>
      <c r="FX801" s="1995" t="str">
        <f t="shared" si="158"/>
        <v/>
      </c>
      <c r="FY801" s="1995" t="str">
        <f t="shared" si="159"/>
        <v/>
      </c>
      <c r="FZ801" s="1995" t="str">
        <f t="shared" si="160"/>
        <v/>
      </c>
      <c r="GA801" s="1995" t="str">
        <f t="shared" si="161"/>
        <v/>
      </c>
      <c r="GB801" s="1995" t="str">
        <f t="shared" si="162"/>
        <v/>
      </c>
      <c r="GC801" s="1995" t="str">
        <f t="shared" si="163"/>
        <v/>
      </c>
      <c r="GD801" s="1995" t="str">
        <f t="shared" si="164"/>
        <v/>
      </c>
      <c r="GE801" s="1995" t="str">
        <f t="shared" si="165"/>
        <v/>
      </c>
      <c r="GF801" s="1995" t="str">
        <f t="shared" si="166"/>
        <v/>
      </c>
      <c r="GG801" s="1995" t="str">
        <f t="shared" si="167"/>
        <v/>
      </c>
      <c r="GH801" s="1995" t="str">
        <f t="shared" si="168"/>
        <v/>
      </c>
      <c r="GI801" s="1995" t="str">
        <f t="shared" si="169"/>
        <v/>
      </c>
      <c r="GJ801" s="1995" t="str">
        <f t="shared" si="170"/>
        <v/>
      </c>
      <c r="GK801" s="1995" t="str">
        <f t="shared" si="171"/>
        <v/>
      </c>
      <c r="GL801" s="1995" t="str">
        <f t="shared" si="172"/>
        <v/>
      </c>
      <c r="GM801" s="1995" t="str">
        <f t="shared" si="173"/>
        <v/>
      </c>
      <c r="GN801" s="1995" t="str">
        <f t="shared" si="174"/>
        <v/>
      </c>
      <c r="GO801" s="1995" t="str">
        <f t="shared" si="175"/>
        <v/>
      </c>
      <c r="GP801" s="1995" t="str">
        <f t="shared" si="176"/>
        <v/>
      </c>
      <c r="GQ801" s="1995" t="str">
        <f t="shared" si="177"/>
        <v/>
      </c>
      <c r="GR801" s="1995" t="str">
        <f t="shared" si="178"/>
        <v/>
      </c>
      <c r="GS801" s="1995" t="str">
        <f t="shared" si="179"/>
        <v/>
      </c>
      <c r="GT801" s="1995" t="str">
        <f t="shared" si="180"/>
        <v/>
      </c>
      <c r="GU801" s="1995" t="str">
        <f t="shared" si="181"/>
        <v/>
      </c>
      <c r="GV801" s="1995" t="str">
        <f t="shared" si="182"/>
        <v/>
      </c>
      <c r="GW801" s="1995" t="str">
        <f t="shared" si="183"/>
        <v/>
      </c>
      <c r="GX801" s="1995" t="str">
        <f t="shared" si="184"/>
        <v/>
      </c>
      <c r="GY801" s="1995" t="str">
        <f t="shared" si="185"/>
        <v/>
      </c>
      <c r="GZ801" s="1995" t="str">
        <f t="shared" si="186"/>
        <v/>
      </c>
      <c r="HA801" s="1995" t="str">
        <f t="shared" si="187"/>
        <v/>
      </c>
      <c r="HB801" s="1995" t="str">
        <f t="shared" si="188"/>
        <v/>
      </c>
      <c r="HC801" s="1995" t="str">
        <f t="shared" si="189"/>
        <v/>
      </c>
      <c r="HD801" s="1995" t="str">
        <f t="shared" si="190"/>
        <v/>
      </c>
      <c r="HE801" s="1995" t="str">
        <f t="shared" si="191"/>
        <v/>
      </c>
      <c r="HF801" s="1995" t="str">
        <f t="shared" si="192"/>
        <v/>
      </c>
      <c r="HG801" s="1995" t="str">
        <f t="shared" si="193"/>
        <v/>
      </c>
      <c r="HH801" s="1995" t="str">
        <f t="shared" si="194"/>
        <v/>
      </c>
      <c r="HI801" s="1995" t="str">
        <f t="shared" si="195"/>
        <v/>
      </c>
      <c r="HJ801" s="1995" t="str">
        <f t="shared" si="196"/>
        <v/>
      </c>
      <c r="HK801" s="1995" t="str">
        <f t="shared" si="197"/>
        <v/>
      </c>
      <c r="HL801" s="1995" t="str">
        <f t="shared" si="198"/>
        <v/>
      </c>
      <c r="HM801" s="1995" t="str">
        <f t="shared" si="199"/>
        <v/>
      </c>
      <c r="HN801" s="1995" t="str">
        <f t="shared" si="200"/>
        <v/>
      </c>
      <c r="HO801" s="1995" t="str">
        <f t="shared" si="201"/>
        <v/>
      </c>
      <c r="HP801" s="1995" t="str">
        <f t="shared" si="202"/>
        <v/>
      </c>
      <c r="HQ801" s="1995" t="str">
        <f t="shared" si="203"/>
        <v/>
      </c>
      <c r="HR801" s="1995" t="str">
        <f t="shared" si="204"/>
        <v/>
      </c>
      <c r="HS801" s="1995" t="str">
        <f t="shared" si="205"/>
        <v/>
      </c>
      <c r="HT801" s="1995" t="str">
        <f t="shared" si="206"/>
        <v/>
      </c>
      <c r="HU801" s="1995" t="str">
        <f t="shared" si="207"/>
        <v/>
      </c>
      <c r="HV801" s="1995" t="str">
        <f t="shared" si="208"/>
        <v/>
      </c>
      <c r="HW801" s="1995" t="str">
        <f t="shared" si="209"/>
        <v/>
      </c>
      <c r="HX801" s="1995" t="str">
        <f t="shared" si="210"/>
        <v/>
      </c>
      <c r="HY801" s="1995" t="str">
        <f t="shared" si="211"/>
        <v/>
      </c>
      <c r="HZ801" s="1900" t="str">
        <f t="shared" si="212"/>
        <v/>
      </c>
      <c r="IA801" s="1900" t="str">
        <f t="shared" si="213"/>
        <v/>
      </c>
      <c r="IB801" s="1900" t="str">
        <f t="shared" si="214"/>
        <v/>
      </c>
      <c r="IC801" s="1900" t="str">
        <f t="shared" si="215"/>
        <v/>
      </c>
      <c r="ID801" s="1900" t="str">
        <f t="shared" si="216"/>
        <v/>
      </c>
      <c r="IE801" s="1900" t="str">
        <f t="shared" si="217"/>
        <v/>
      </c>
      <c r="IF801" s="1900" t="str">
        <f t="shared" si="218"/>
        <v/>
      </c>
      <c r="IG801" s="1900" t="str">
        <f t="shared" si="219"/>
        <v/>
      </c>
      <c r="IH801" s="1900" t="str">
        <f t="shared" si="220"/>
        <v/>
      </c>
      <c r="II801" s="1900" t="str">
        <f t="shared" si="221"/>
        <v/>
      </c>
      <c r="IJ801" s="1900" t="str">
        <f t="shared" si="222"/>
        <v/>
      </c>
      <c r="IK801" s="1900" t="str">
        <f t="shared" si="223"/>
        <v/>
      </c>
      <c r="IL801" s="1900" t="str">
        <f t="shared" si="224"/>
        <v/>
      </c>
      <c r="IM801" s="1900" t="str">
        <f t="shared" si="225"/>
        <v/>
      </c>
      <c r="IN801" s="1900" t="str">
        <f t="shared" si="226"/>
        <v/>
      </c>
      <c r="IO801" s="1900" t="str">
        <f t="shared" si="227"/>
        <v/>
      </c>
      <c r="IP801" s="1900" t="str">
        <f t="shared" si="228"/>
        <v/>
      </c>
      <c r="IQ801" s="1900" t="str">
        <f t="shared" si="229"/>
        <v/>
      </c>
      <c r="IR801" s="1900" t="str">
        <f t="shared" si="230"/>
        <v/>
      </c>
      <c r="IS801" s="1900" t="str">
        <f t="shared" si="231"/>
        <v/>
      </c>
      <c r="IT801" s="1900" t="str">
        <f t="shared" si="232"/>
        <v/>
      </c>
      <c r="IU801" s="1900" t="str">
        <f t="shared" si="233"/>
        <v/>
      </c>
      <c r="IV801" s="1900" t="str">
        <f t="shared" si="234"/>
        <v/>
      </c>
      <c r="IW801" s="1900" t="str">
        <f t="shared" si="235"/>
        <v/>
      </c>
      <c r="IX801" s="1900" t="str">
        <f t="shared" si="236"/>
        <v/>
      </c>
      <c r="IY801" s="1900" t="str">
        <f t="shared" si="237"/>
        <v/>
      </c>
      <c r="IZ801" s="1900" t="str">
        <f t="shared" si="238"/>
        <v/>
      </c>
      <c r="JA801" s="1900" t="str">
        <f t="shared" si="239"/>
        <v/>
      </c>
      <c r="JB801" s="1900" t="str">
        <f t="shared" si="240"/>
        <v/>
      </c>
      <c r="JC801" s="1900" t="str">
        <f t="shared" si="241"/>
        <v/>
      </c>
      <c r="JD801" s="1900" t="str">
        <f t="shared" si="242"/>
        <v/>
      </c>
      <c r="JE801" s="1900" t="str">
        <f t="shared" si="243"/>
        <v/>
      </c>
      <c r="JF801" s="1900" t="str">
        <f t="shared" si="244"/>
        <v/>
      </c>
      <c r="JG801" s="1900" t="str">
        <f t="shared" si="245"/>
        <v/>
      </c>
      <c r="JH801" s="1900" t="str">
        <f t="shared" si="246"/>
        <v/>
      </c>
      <c r="JI801" s="1900" t="str">
        <f t="shared" si="247"/>
        <v/>
      </c>
      <c r="JJ801" s="1900" t="str">
        <f t="shared" si="248"/>
        <v/>
      </c>
      <c r="JK801" s="1900" t="str">
        <f t="shared" si="249"/>
        <v/>
      </c>
      <c r="JL801" s="1900" t="str">
        <f t="shared" si="250"/>
        <v/>
      </c>
      <c r="JM801" s="1900" t="str">
        <f t="shared" si="251"/>
        <v/>
      </c>
      <c r="JN801" s="1900" t="str">
        <f t="shared" si="252"/>
        <v/>
      </c>
      <c r="JO801" s="1900" t="str">
        <f t="shared" si="253"/>
        <v/>
      </c>
      <c r="JP801" s="1900" t="str">
        <f t="shared" si="254"/>
        <v/>
      </c>
      <c r="JQ801" s="1900" t="str">
        <f t="shared" si="255"/>
        <v/>
      </c>
      <c r="JR801" s="1900" t="str">
        <f t="shared" si="256"/>
        <v/>
      </c>
      <c r="JS801" s="1900" t="str">
        <f t="shared" si="257"/>
        <v/>
      </c>
      <c r="JT801" s="1900" t="str">
        <f t="shared" si="258"/>
        <v/>
      </c>
      <c r="JU801" s="1900" t="str">
        <f t="shared" si="259"/>
        <v/>
      </c>
      <c r="JV801" s="1900" t="str">
        <f t="shared" si="260"/>
        <v/>
      </c>
      <c r="JW801" s="1900" t="str">
        <f t="shared" si="261"/>
        <v/>
      </c>
      <c r="JX801" s="1900" t="str">
        <f t="shared" si="262"/>
        <v/>
      </c>
      <c r="JY801" s="1900" t="str">
        <f t="shared" si="263"/>
        <v/>
      </c>
      <c r="JZ801" s="1900" t="str">
        <f t="shared" si="264"/>
        <v/>
      </c>
      <c r="KA801" s="1900" t="str">
        <f t="shared" si="265"/>
        <v/>
      </c>
      <c r="KB801" s="1900" t="str">
        <f t="shared" si="266"/>
        <v/>
      </c>
      <c r="KC801" s="1900" t="str">
        <f t="shared" si="267"/>
        <v/>
      </c>
      <c r="KD801" s="1900" t="str">
        <f t="shared" si="268"/>
        <v/>
      </c>
      <c r="KE801" s="1900" t="str">
        <f t="shared" si="269"/>
        <v/>
      </c>
      <c r="KF801" s="1900" t="str">
        <f t="shared" si="270"/>
        <v/>
      </c>
      <c r="KG801" s="1900" t="str">
        <f t="shared" si="271"/>
        <v/>
      </c>
      <c r="KH801" s="1900" t="str">
        <f t="shared" si="272"/>
        <v/>
      </c>
      <c r="KI801" s="1900" t="str">
        <f t="shared" si="273"/>
        <v/>
      </c>
      <c r="KJ801" s="1900" t="str">
        <f t="shared" si="274"/>
        <v/>
      </c>
      <c r="KK801" s="1900" t="str">
        <f t="shared" si="275"/>
        <v/>
      </c>
      <c r="KL801" s="1900" t="str">
        <f t="shared" si="276"/>
        <v/>
      </c>
      <c r="KM801" s="1900" t="str">
        <f t="shared" si="277"/>
        <v/>
      </c>
      <c r="KN801" s="1900" t="str">
        <f t="shared" si="278"/>
        <v/>
      </c>
      <c r="KO801" s="1900" t="str">
        <f t="shared" si="279"/>
        <v/>
      </c>
      <c r="KP801" s="1900" t="str">
        <f t="shared" si="280"/>
        <v/>
      </c>
      <c r="KQ801" s="1900" t="str">
        <f t="shared" si="281"/>
        <v/>
      </c>
      <c r="KR801" s="1900" t="str">
        <f t="shared" si="282"/>
        <v/>
      </c>
      <c r="KS801" s="1900" t="str">
        <f t="shared" si="283"/>
        <v/>
      </c>
      <c r="KT801" s="1900" t="str">
        <f t="shared" si="284"/>
        <v/>
      </c>
      <c r="KU801" s="1900" t="str">
        <f t="shared" si="285"/>
        <v/>
      </c>
      <c r="KV801" s="1900" t="str">
        <f t="shared" si="286"/>
        <v/>
      </c>
      <c r="KW801" s="1900" t="str">
        <f t="shared" si="287"/>
        <v/>
      </c>
      <c r="KX801" s="1900" t="str">
        <f t="shared" si="288"/>
        <v/>
      </c>
      <c r="KY801" s="1900" t="str">
        <f t="shared" si="289"/>
        <v/>
      </c>
      <c r="KZ801" s="1900" t="str">
        <f t="shared" si="290"/>
        <v/>
      </c>
      <c r="LA801" s="1900" t="str">
        <f t="shared" si="291"/>
        <v/>
      </c>
      <c r="LB801" s="1900" t="str">
        <f t="shared" si="292"/>
        <v/>
      </c>
      <c r="LC801" s="1900" t="str">
        <f t="shared" si="293"/>
        <v/>
      </c>
      <c r="LD801" s="1900" t="str">
        <f t="shared" si="294"/>
        <v/>
      </c>
      <c r="LE801" s="1900" t="str">
        <f t="shared" si="295"/>
        <v/>
      </c>
      <c r="LF801" s="1900" t="str">
        <f t="shared" si="296"/>
        <v/>
      </c>
      <c r="LG801" s="1900" t="str">
        <f t="shared" si="297"/>
        <v/>
      </c>
      <c r="LH801" s="1900" t="str">
        <f t="shared" si="298"/>
        <v/>
      </c>
      <c r="LI801" s="1900" t="str">
        <f t="shared" si="299"/>
        <v/>
      </c>
      <c r="LJ801" s="1900" t="str">
        <f t="shared" si="300"/>
        <v/>
      </c>
      <c r="LK801" s="1900" t="str">
        <f t="shared" si="301"/>
        <v/>
      </c>
      <c r="LL801" s="1900" t="str">
        <f t="shared" si="302"/>
        <v/>
      </c>
      <c r="LM801" s="1900" t="str">
        <f t="shared" si="303"/>
        <v/>
      </c>
      <c r="LN801" s="1900" t="str">
        <f t="shared" si="304"/>
        <v/>
      </c>
      <c r="LO801" s="1900" t="str">
        <f t="shared" si="305"/>
        <v/>
      </c>
      <c r="LP801" s="1900" t="str">
        <f t="shared" si="306"/>
        <v/>
      </c>
      <c r="LQ801" s="1874" t="str">
        <f t="shared" si="307"/>
        <v/>
      </c>
      <c r="LR801" s="1874" t="str">
        <f t="shared" si="308"/>
        <v/>
      </c>
      <c r="LS801" s="1874" t="str">
        <f t="shared" si="309"/>
        <v/>
      </c>
      <c r="LT801" s="1874" t="str">
        <f t="shared" si="310"/>
        <v/>
      </c>
      <c r="LU801" s="1874" t="str">
        <f t="shared" si="311"/>
        <v/>
      </c>
      <c r="LV801" s="1995" t="str">
        <f t="shared" si="312"/>
        <v/>
      </c>
      <c r="LW801" s="1995" t="str">
        <f t="shared" si="313"/>
        <v/>
      </c>
      <c r="LX801" s="1995" t="str">
        <f t="shared" si="314"/>
        <v/>
      </c>
      <c r="LY801" s="1995" t="str">
        <f t="shared" si="315"/>
        <v/>
      </c>
      <c r="LZ801" s="1995" t="str">
        <f t="shared" si="316"/>
        <v/>
      </c>
      <c r="MA801" s="1995" t="str">
        <f t="shared" si="317"/>
        <v/>
      </c>
      <c r="MB801" s="1995" t="str">
        <f t="shared" si="318"/>
        <v/>
      </c>
      <c r="MC801" s="1995" t="str">
        <f t="shared" si="319"/>
        <v/>
      </c>
      <c r="MD801" s="1995" t="str">
        <f t="shared" si="320"/>
        <v/>
      </c>
      <c r="ME801" s="1995" t="str">
        <f t="shared" si="321"/>
        <v/>
      </c>
      <c r="MF801" s="1995" t="str">
        <f t="shared" si="322"/>
        <v/>
      </c>
      <c r="MG801" s="1995" t="str">
        <f t="shared" si="323"/>
        <v/>
      </c>
      <c r="MH801" s="1995" t="str">
        <f t="shared" si="324"/>
        <v/>
      </c>
      <c r="MI801" s="1995" t="str">
        <f t="shared" si="325"/>
        <v/>
      </c>
      <c r="MJ801" s="1995" t="str">
        <f t="shared" si="326"/>
        <v/>
      </c>
      <c r="MK801" s="1995" t="str">
        <f t="shared" si="327"/>
        <v/>
      </c>
      <c r="ML801" s="1995" t="str">
        <f t="shared" si="328"/>
        <v/>
      </c>
      <c r="MM801" s="1995" t="str">
        <f t="shared" si="329"/>
        <v/>
      </c>
      <c r="MN801" s="1995" t="str">
        <f t="shared" si="330"/>
        <v/>
      </c>
      <c r="MO801" s="1995" t="str">
        <f t="shared" si="331"/>
        <v/>
      </c>
      <c r="MP801" s="1874">
        <f t="shared" si="338"/>
        <v>0</v>
      </c>
      <c r="MQ801" s="1874">
        <f t="shared" si="339"/>
        <v>0</v>
      </c>
      <c r="MR801" s="1874">
        <f t="shared" si="340"/>
        <v>0</v>
      </c>
      <c r="MS801" s="1874">
        <f t="shared" si="341"/>
        <v>0</v>
      </c>
      <c r="MT801" s="1874">
        <f t="shared" si="342"/>
        <v>0</v>
      </c>
      <c r="MU801" s="1874">
        <f t="shared" si="343"/>
        <v>0</v>
      </c>
      <c r="MV801" s="1874">
        <f t="shared" si="344"/>
        <v>0</v>
      </c>
      <c r="MW801" s="1874">
        <f t="shared" si="345"/>
        <v>0</v>
      </c>
      <c r="MX801" s="1874">
        <f t="shared" si="346"/>
        <v>0</v>
      </c>
      <c r="MY801" s="1874">
        <f t="shared" si="347"/>
        <v>0</v>
      </c>
      <c r="MZ801" s="1874">
        <f t="shared" si="332"/>
        <v>0</v>
      </c>
      <c r="NA801" s="1874">
        <f t="shared" si="333"/>
        <v>0</v>
      </c>
      <c r="NB801" s="1874">
        <f t="shared" si="334"/>
        <v>0</v>
      </c>
      <c r="NC801" s="1874">
        <f t="shared" si="335"/>
        <v>0</v>
      </c>
      <c r="ND801" s="1874">
        <f t="shared" si="336"/>
        <v>0</v>
      </c>
    </row>
    <row r="802" spans="1:368" ht="13.95" customHeight="1">
      <c r="A802" s="1896" t="str">
        <f t="shared" si="337"/>
        <v/>
      </c>
      <c r="B802" s="2212">
        <f>'Part VI-Revenues &amp; Expenses'!B33</f>
        <v>0</v>
      </c>
      <c r="C802" s="2213">
        <f>'Part VI-Revenues &amp; Expenses'!C33</f>
        <v>0</v>
      </c>
      <c r="D802" s="2214">
        <f>'Part VI-Revenues &amp; Expenses'!D33</f>
        <v>0</v>
      </c>
      <c r="E802" s="2215">
        <f>'Part VI-Revenues &amp; Expenses'!E33</f>
        <v>0</v>
      </c>
      <c r="F802" s="2215">
        <f>'Part VI-Revenues &amp; Expenses'!F33</f>
        <v>0</v>
      </c>
      <c r="G802" s="2215">
        <f>'Part VI-Revenues &amp; Expenses'!G33</f>
        <v>0</v>
      </c>
      <c r="H802" s="2215">
        <f>'Part VI-Revenues &amp; Expenses'!H33</f>
        <v>0</v>
      </c>
      <c r="I802" s="2215">
        <f>'Part VI-Revenues &amp; Expenses'!I33</f>
        <v>0</v>
      </c>
      <c r="J802" s="2215">
        <f>'Part VI-Revenues &amp; Expenses'!J33</f>
        <v>0</v>
      </c>
      <c r="K802" s="2216">
        <f>'Part VI-Revenues &amp; Expenses'!K33</f>
        <v>0</v>
      </c>
      <c r="L802" s="1899">
        <f t="shared" si="0"/>
        <v>0</v>
      </c>
      <c r="M802" s="1899">
        <f t="shared" si="1"/>
        <v>0</v>
      </c>
      <c r="N802" s="2074">
        <f>'Part VI-Revenues &amp; Expenses'!N33</f>
        <v>0</v>
      </c>
      <c r="O802" s="2074">
        <f>'Part VI-Revenues &amp; Expenses'!O33</f>
        <v>0</v>
      </c>
      <c r="P802" s="2074">
        <f>'Part VI-Revenues &amp; Expenses'!P33</f>
        <v>0</v>
      </c>
      <c r="Q802" s="1732">
        <f>'Part VI-Revenues &amp; Expenses'!Q33</f>
        <v>0</v>
      </c>
      <c r="R802" s="1926"/>
      <c r="S802" s="2148"/>
      <c r="T802" s="1910"/>
      <c r="U802" s="1910"/>
      <c r="V802" s="1910"/>
      <c r="W802" s="1910"/>
      <c r="X802" s="1995" t="str">
        <f t="shared" si="2"/>
        <v/>
      </c>
      <c r="Y802" s="1995" t="str">
        <f t="shared" si="3"/>
        <v/>
      </c>
      <c r="Z802" s="1995" t="str">
        <f t="shared" si="4"/>
        <v/>
      </c>
      <c r="AA802" s="1995" t="str">
        <f t="shared" si="5"/>
        <v/>
      </c>
      <c r="AB802" s="1995" t="str">
        <f t="shared" si="6"/>
        <v/>
      </c>
      <c r="AC802" s="1995" t="str">
        <f t="shared" si="7"/>
        <v/>
      </c>
      <c r="AD802" s="1995" t="str">
        <f t="shared" si="8"/>
        <v/>
      </c>
      <c r="AE802" s="1995" t="str">
        <f t="shared" si="9"/>
        <v/>
      </c>
      <c r="AF802" s="1995" t="str">
        <f t="shared" si="10"/>
        <v/>
      </c>
      <c r="AG802" s="1995" t="str">
        <f t="shared" si="11"/>
        <v/>
      </c>
      <c r="AH802" s="1995" t="str">
        <f t="shared" si="12"/>
        <v/>
      </c>
      <c r="AI802" s="1995" t="str">
        <f t="shared" si="13"/>
        <v/>
      </c>
      <c r="AJ802" s="1995" t="str">
        <f t="shared" si="14"/>
        <v/>
      </c>
      <c r="AK802" s="1995" t="str">
        <f t="shared" si="15"/>
        <v/>
      </c>
      <c r="AL802" s="1995" t="str">
        <f t="shared" si="16"/>
        <v/>
      </c>
      <c r="AM802" s="1995" t="str">
        <f t="shared" si="17"/>
        <v/>
      </c>
      <c r="AN802" s="1995" t="str">
        <f t="shared" si="18"/>
        <v/>
      </c>
      <c r="AO802" s="1995" t="str">
        <f t="shared" si="19"/>
        <v/>
      </c>
      <c r="AP802" s="1995" t="str">
        <f t="shared" si="20"/>
        <v/>
      </c>
      <c r="AQ802" s="1995" t="str">
        <f t="shared" si="21"/>
        <v/>
      </c>
      <c r="AR802" s="1995" t="str">
        <f t="shared" si="22"/>
        <v/>
      </c>
      <c r="AS802" s="1995" t="str">
        <f t="shared" si="23"/>
        <v/>
      </c>
      <c r="AT802" s="1995" t="str">
        <f t="shared" si="24"/>
        <v/>
      </c>
      <c r="AU802" s="1995" t="str">
        <f t="shared" si="25"/>
        <v/>
      </c>
      <c r="AV802" s="1995" t="str">
        <f t="shared" si="26"/>
        <v/>
      </c>
      <c r="AW802" s="1995" t="str">
        <f t="shared" si="27"/>
        <v/>
      </c>
      <c r="AX802" s="1995" t="str">
        <f t="shared" si="28"/>
        <v/>
      </c>
      <c r="AY802" s="1995" t="str">
        <f t="shared" si="29"/>
        <v/>
      </c>
      <c r="AZ802" s="1995" t="str">
        <f t="shared" si="30"/>
        <v/>
      </c>
      <c r="BA802" s="1995" t="str">
        <f t="shared" si="31"/>
        <v/>
      </c>
      <c r="BB802" s="1995" t="str">
        <f t="shared" si="32"/>
        <v/>
      </c>
      <c r="BC802" s="1995" t="str">
        <f t="shared" si="33"/>
        <v/>
      </c>
      <c r="BD802" s="1995" t="str">
        <f t="shared" si="34"/>
        <v/>
      </c>
      <c r="BE802" s="1995" t="str">
        <f t="shared" si="35"/>
        <v/>
      </c>
      <c r="BF802" s="1995" t="str">
        <f t="shared" si="36"/>
        <v/>
      </c>
      <c r="BG802" s="1995" t="str">
        <f t="shared" si="37"/>
        <v/>
      </c>
      <c r="BH802" s="1995" t="str">
        <f t="shared" si="38"/>
        <v/>
      </c>
      <c r="BI802" s="1995" t="str">
        <f t="shared" si="39"/>
        <v/>
      </c>
      <c r="BJ802" s="1995" t="str">
        <f t="shared" si="40"/>
        <v/>
      </c>
      <c r="BK802" s="1995" t="str">
        <f t="shared" si="41"/>
        <v/>
      </c>
      <c r="BL802" s="1995" t="str">
        <f t="shared" si="42"/>
        <v/>
      </c>
      <c r="BM802" s="1995" t="str">
        <f t="shared" si="43"/>
        <v/>
      </c>
      <c r="BN802" s="1995" t="str">
        <f t="shared" si="44"/>
        <v/>
      </c>
      <c r="BO802" s="1995" t="str">
        <f t="shared" si="45"/>
        <v/>
      </c>
      <c r="BP802" s="1995" t="str">
        <f t="shared" si="46"/>
        <v/>
      </c>
      <c r="BQ802" s="1995" t="str">
        <f t="shared" si="47"/>
        <v/>
      </c>
      <c r="BR802" s="1995" t="str">
        <f t="shared" si="48"/>
        <v/>
      </c>
      <c r="BS802" s="1995" t="str">
        <f t="shared" si="49"/>
        <v/>
      </c>
      <c r="BT802" s="1995" t="str">
        <f t="shared" si="50"/>
        <v/>
      </c>
      <c r="BU802" s="1995" t="str">
        <f t="shared" si="51"/>
        <v/>
      </c>
      <c r="BV802" s="1995" t="str">
        <f t="shared" si="52"/>
        <v/>
      </c>
      <c r="BW802" s="1995" t="str">
        <f t="shared" si="53"/>
        <v/>
      </c>
      <c r="BX802" s="1995" t="str">
        <f t="shared" si="54"/>
        <v/>
      </c>
      <c r="BY802" s="1995" t="str">
        <f t="shared" si="55"/>
        <v/>
      </c>
      <c r="BZ802" s="1995" t="str">
        <f t="shared" si="56"/>
        <v/>
      </c>
      <c r="CA802" s="1995" t="str">
        <f t="shared" si="57"/>
        <v/>
      </c>
      <c r="CB802" s="1995" t="str">
        <f t="shared" si="58"/>
        <v/>
      </c>
      <c r="CC802" s="1995" t="str">
        <f t="shared" si="59"/>
        <v/>
      </c>
      <c r="CD802" s="1995" t="str">
        <f t="shared" si="60"/>
        <v/>
      </c>
      <c r="CE802" s="1995" t="str">
        <f t="shared" si="61"/>
        <v/>
      </c>
      <c r="CF802" s="1995" t="str">
        <f t="shared" si="62"/>
        <v/>
      </c>
      <c r="CG802" s="1995" t="str">
        <f t="shared" si="63"/>
        <v/>
      </c>
      <c r="CH802" s="1995" t="str">
        <f t="shared" si="64"/>
        <v/>
      </c>
      <c r="CI802" s="1995" t="str">
        <f t="shared" si="65"/>
        <v/>
      </c>
      <c r="CJ802" s="1995" t="str">
        <f t="shared" si="66"/>
        <v/>
      </c>
      <c r="CK802" s="1995" t="str">
        <f t="shared" si="67"/>
        <v/>
      </c>
      <c r="CL802" s="1995" t="str">
        <f t="shared" si="68"/>
        <v/>
      </c>
      <c r="CM802" s="1995" t="str">
        <f t="shared" si="69"/>
        <v/>
      </c>
      <c r="CN802" s="1995" t="str">
        <f t="shared" si="70"/>
        <v/>
      </c>
      <c r="CO802" s="1995" t="str">
        <f t="shared" si="71"/>
        <v/>
      </c>
      <c r="CP802" s="1995" t="str">
        <f t="shared" si="72"/>
        <v/>
      </c>
      <c r="CQ802" s="1995" t="str">
        <f t="shared" si="73"/>
        <v/>
      </c>
      <c r="CR802" s="1995" t="str">
        <f t="shared" si="74"/>
        <v/>
      </c>
      <c r="CS802" s="1995" t="str">
        <f t="shared" si="75"/>
        <v/>
      </c>
      <c r="CT802" s="1995" t="str">
        <f t="shared" si="76"/>
        <v/>
      </c>
      <c r="CU802" s="1995" t="str">
        <f t="shared" si="77"/>
        <v/>
      </c>
      <c r="CV802" s="1995" t="str">
        <f t="shared" si="78"/>
        <v/>
      </c>
      <c r="CW802" s="1995" t="str">
        <f t="shared" si="79"/>
        <v/>
      </c>
      <c r="CX802" s="1995" t="str">
        <f t="shared" si="80"/>
        <v/>
      </c>
      <c r="CY802" s="1995" t="str">
        <f t="shared" si="81"/>
        <v/>
      </c>
      <c r="CZ802" s="1995" t="str">
        <f t="shared" si="82"/>
        <v/>
      </c>
      <c r="DA802" s="1995" t="str">
        <f t="shared" si="83"/>
        <v/>
      </c>
      <c r="DB802" s="1995" t="str">
        <f t="shared" si="84"/>
        <v/>
      </c>
      <c r="DC802" s="1995" t="str">
        <f t="shared" si="85"/>
        <v/>
      </c>
      <c r="DD802" s="1995" t="str">
        <f t="shared" si="86"/>
        <v/>
      </c>
      <c r="DE802" s="1995" t="str">
        <f t="shared" si="87"/>
        <v/>
      </c>
      <c r="DF802" s="1995" t="str">
        <f t="shared" si="88"/>
        <v/>
      </c>
      <c r="DG802" s="1995" t="str">
        <f t="shared" si="89"/>
        <v/>
      </c>
      <c r="DH802" s="1995" t="str">
        <f t="shared" si="90"/>
        <v/>
      </c>
      <c r="DI802" s="1995" t="str">
        <f t="shared" si="91"/>
        <v/>
      </c>
      <c r="DJ802" s="1995" t="str">
        <f t="shared" si="92"/>
        <v/>
      </c>
      <c r="DK802" s="1995" t="str">
        <f t="shared" si="93"/>
        <v/>
      </c>
      <c r="DL802" s="1995" t="str">
        <f t="shared" si="94"/>
        <v/>
      </c>
      <c r="DM802" s="1995" t="str">
        <f t="shared" si="95"/>
        <v/>
      </c>
      <c r="DN802" s="1995" t="str">
        <f t="shared" si="96"/>
        <v/>
      </c>
      <c r="DO802" s="1995" t="str">
        <f t="shared" si="97"/>
        <v/>
      </c>
      <c r="DP802" s="1995" t="str">
        <f t="shared" si="98"/>
        <v/>
      </c>
      <c r="DQ802" s="1995" t="str">
        <f t="shared" si="99"/>
        <v/>
      </c>
      <c r="DR802" s="1995" t="str">
        <f t="shared" si="100"/>
        <v/>
      </c>
      <c r="DS802" s="1995" t="str">
        <f t="shared" si="101"/>
        <v/>
      </c>
      <c r="DT802" s="1995" t="str">
        <f t="shared" si="102"/>
        <v/>
      </c>
      <c r="DU802" s="1995" t="str">
        <f t="shared" si="103"/>
        <v/>
      </c>
      <c r="DV802" s="1995" t="str">
        <f t="shared" si="104"/>
        <v/>
      </c>
      <c r="DW802" s="1995" t="str">
        <f t="shared" si="105"/>
        <v/>
      </c>
      <c r="DX802" s="1995" t="str">
        <f t="shared" si="106"/>
        <v/>
      </c>
      <c r="DY802" s="1995" t="str">
        <f t="shared" si="107"/>
        <v/>
      </c>
      <c r="DZ802" s="1995" t="str">
        <f t="shared" si="108"/>
        <v/>
      </c>
      <c r="EA802" s="1995" t="str">
        <f t="shared" si="109"/>
        <v/>
      </c>
      <c r="EB802" s="1995" t="str">
        <f t="shared" si="110"/>
        <v/>
      </c>
      <c r="EC802" s="1995" t="str">
        <f t="shared" si="111"/>
        <v/>
      </c>
      <c r="ED802" s="1995" t="str">
        <f t="shared" si="112"/>
        <v/>
      </c>
      <c r="EE802" s="1995" t="str">
        <f t="shared" si="113"/>
        <v/>
      </c>
      <c r="EF802" s="1995" t="str">
        <f t="shared" si="114"/>
        <v/>
      </c>
      <c r="EG802" s="1995" t="str">
        <f t="shared" si="115"/>
        <v/>
      </c>
      <c r="EH802" s="1995" t="str">
        <f t="shared" si="116"/>
        <v/>
      </c>
      <c r="EI802" s="1995" t="str">
        <f t="shared" si="117"/>
        <v/>
      </c>
      <c r="EJ802" s="1995" t="str">
        <f t="shared" si="118"/>
        <v/>
      </c>
      <c r="EK802" s="1995" t="str">
        <f t="shared" si="119"/>
        <v/>
      </c>
      <c r="EL802" s="1995" t="str">
        <f t="shared" si="120"/>
        <v/>
      </c>
      <c r="EM802" s="1995" t="str">
        <f t="shared" si="121"/>
        <v/>
      </c>
      <c r="EN802" s="1995" t="str">
        <f t="shared" si="122"/>
        <v/>
      </c>
      <c r="EO802" s="1995" t="str">
        <f t="shared" si="123"/>
        <v/>
      </c>
      <c r="EP802" s="1995" t="str">
        <f t="shared" si="124"/>
        <v/>
      </c>
      <c r="EQ802" s="1995" t="str">
        <f t="shared" si="125"/>
        <v/>
      </c>
      <c r="ER802" s="1995" t="str">
        <f t="shared" si="126"/>
        <v/>
      </c>
      <c r="ES802" s="1995" t="str">
        <f t="shared" si="127"/>
        <v/>
      </c>
      <c r="ET802" s="1995" t="str">
        <f t="shared" si="128"/>
        <v/>
      </c>
      <c r="EU802" s="1995" t="str">
        <f t="shared" si="129"/>
        <v/>
      </c>
      <c r="EV802" s="1995" t="str">
        <f t="shared" si="130"/>
        <v/>
      </c>
      <c r="EW802" s="1995" t="str">
        <f t="shared" si="131"/>
        <v/>
      </c>
      <c r="EX802" s="1995" t="str">
        <f t="shared" si="132"/>
        <v/>
      </c>
      <c r="EY802" s="1995" t="str">
        <f t="shared" si="133"/>
        <v/>
      </c>
      <c r="EZ802" s="1995" t="str">
        <f t="shared" si="134"/>
        <v/>
      </c>
      <c r="FA802" s="1995" t="str">
        <f t="shared" si="135"/>
        <v/>
      </c>
      <c r="FB802" s="1995" t="str">
        <f t="shared" si="136"/>
        <v/>
      </c>
      <c r="FC802" s="1995" t="str">
        <f t="shared" si="137"/>
        <v/>
      </c>
      <c r="FD802" s="1995" t="str">
        <f t="shared" si="138"/>
        <v/>
      </c>
      <c r="FE802" s="1995" t="str">
        <f t="shared" si="139"/>
        <v/>
      </c>
      <c r="FF802" s="1995" t="str">
        <f t="shared" si="140"/>
        <v/>
      </c>
      <c r="FG802" s="1995" t="str">
        <f t="shared" si="141"/>
        <v/>
      </c>
      <c r="FH802" s="1995" t="str">
        <f t="shared" si="142"/>
        <v/>
      </c>
      <c r="FI802" s="1995" t="str">
        <f t="shared" si="143"/>
        <v/>
      </c>
      <c r="FJ802" s="1995" t="str">
        <f t="shared" si="144"/>
        <v/>
      </c>
      <c r="FK802" s="1995" t="str">
        <f t="shared" si="145"/>
        <v/>
      </c>
      <c r="FL802" s="1995" t="str">
        <f t="shared" si="146"/>
        <v/>
      </c>
      <c r="FM802" s="1995" t="str">
        <f t="shared" si="147"/>
        <v/>
      </c>
      <c r="FN802" s="1995" t="str">
        <f t="shared" si="148"/>
        <v/>
      </c>
      <c r="FO802" s="1995" t="str">
        <f t="shared" si="149"/>
        <v/>
      </c>
      <c r="FP802" s="1995" t="str">
        <f t="shared" si="150"/>
        <v/>
      </c>
      <c r="FQ802" s="1995" t="str">
        <f t="shared" si="151"/>
        <v/>
      </c>
      <c r="FR802" s="1995" t="str">
        <f t="shared" si="152"/>
        <v/>
      </c>
      <c r="FS802" s="1995" t="str">
        <f t="shared" si="153"/>
        <v/>
      </c>
      <c r="FT802" s="1995" t="str">
        <f t="shared" si="154"/>
        <v/>
      </c>
      <c r="FU802" s="1995" t="str">
        <f t="shared" si="155"/>
        <v/>
      </c>
      <c r="FV802" s="1995" t="str">
        <f t="shared" si="156"/>
        <v/>
      </c>
      <c r="FW802" s="1995" t="str">
        <f t="shared" si="157"/>
        <v/>
      </c>
      <c r="FX802" s="1995" t="str">
        <f t="shared" si="158"/>
        <v/>
      </c>
      <c r="FY802" s="1995" t="str">
        <f t="shared" si="159"/>
        <v/>
      </c>
      <c r="FZ802" s="1995" t="str">
        <f t="shared" si="160"/>
        <v/>
      </c>
      <c r="GA802" s="1995" t="str">
        <f t="shared" si="161"/>
        <v/>
      </c>
      <c r="GB802" s="1995" t="str">
        <f t="shared" si="162"/>
        <v/>
      </c>
      <c r="GC802" s="1995" t="str">
        <f t="shared" si="163"/>
        <v/>
      </c>
      <c r="GD802" s="1995" t="str">
        <f t="shared" si="164"/>
        <v/>
      </c>
      <c r="GE802" s="1995" t="str">
        <f t="shared" si="165"/>
        <v/>
      </c>
      <c r="GF802" s="1995" t="str">
        <f t="shared" si="166"/>
        <v/>
      </c>
      <c r="GG802" s="1995" t="str">
        <f t="shared" si="167"/>
        <v/>
      </c>
      <c r="GH802" s="1995" t="str">
        <f t="shared" si="168"/>
        <v/>
      </c>
      <c r="GI802" s="1995" t="str">
        <f t="shared" si="169"/>
        <v/>
      </c>
      <c r="GJ802" s="1995" t="str">
        <f t="shared" si="170"/>
        <v/>
      </c>
      <c r="GK802" s="1995" t="str">
        <f t="shared" si="171"/>
        <v/>
      </c>
      <c r="GL802" s="1995" t="str">
        <f t="shared" si="172"/>
        <v/>
      </c>
      <c r="GM802" s="1995" t="str">
        <f t="shared" si="173"/>
        <v/>
      </c>
      <c r="GN802" s="1995" t="str">
        <f t="shared" si="174"/>
        <v/>
      </c>
      <c r="GO802" s="1995" t="str">
        <f t="shared" si="175"/>
        <v/>
      </c>
      <c r="GP802" s="1995" t="str">
        <f t="shared" si="176"/>
        <v/>
      </c>
      <c r="GQ802" s="1995" t="str">
        <f t="shared" si="177"/>
        <v/>
      </c>
      <c r="GR802" s="1995" t="str">
        <f t="shared" si="178"/>
        <v/>
      </c>
      <c r="GS802" s="1995" t="str">
        <f t="shared" si="179"/>
        <v/>
      </c>
      <c r="GT802" s="1995" t="str">
        <f t="shared" si="180"/>
        <v/>
      </c>
      <c r="GU802" s="1995" t="str">
        <f t="shared" si="181"/>
        <v/>
      </c>
      <c r="GV802" s="1995" t="str">
        <f t="shared" si="182"/>
        <v/>
      </c>
      <c r="GW802" s="1995" t="str">
        <f t="shared" si="183"/>
        <v/>
      </c>
      <c r="GX802" s="1995" t="str">
        <f t="shared" si="184"/>
        <v/>
      </c>
      <c r="GY802" s="1995" t="str">
        <f t="shared" si="185"/>
        <v/>
      </c>
      <c r="GZ802" s="1995" t="str">
        <f t="shared" si="186"/>
        <v/>
      </c>
      <c r="HA802" s="1995" t="str">
        <f t="shared" si="187"/>
        <v/>
      </c>
      <c r="HB802" s="1995" t="str">
        <f t="shared" si="188"/>
        <v/>
      </c>
      <c r="HC802" s="1995" t="str">
        <f t="shared" si="189"/>
        <v/>
      </c>
      <c r="HD802" s="1995" t="str">
        <f t="shared" si="190"/>
        <v/>
      </c>
      <c r="HE802" s="1995" t="str">
        <f t="shared" si="191"/>
        <v/>
      </c>
      <c r="HF802" s="1995" t="str">
        <f t="shared" si="192"/>
        <v/>
      </c>
      <c r="HG802" s="1995" t="str">
        <f t="shared" si="193"/>
        <v/>
      </c>
      <c r="HH802" s="1995" t="str">
        <f t="shared" si="194"/>
        <v/>
      </c>
      <c r="HI802" s="1995" t="str">
        <f t="shared" si="195"/>
        <v/>
      </c>
      <c r="HJ802" s="1995" t="str">
        <f t="shared" si="196"/>
        <v/>
      </c>
      <c r="HK802" s="1995" t="str">
        <f t="shared" si="197"/>
        <v/>
      </c>
      <c r="HL802" s="1995" t="str">
        <f t="shared" si="198"/>
        <v/>
      </c>
      <c r="HM802" s="1995" t="str">
        <f t="shared" si="199"/>
        <v/>
      </c>
      <c r="HN802" s="1995" t="str">
        <f t="shared" si="200"/>
        <v/>
      </c>
      <c r="HO802" s="1995" t="str">
        <f t="shared" si="201"/>
        <v/>
      </c>
      <c r="HP802" s="1995" t="str">
        <f t="shared" si="202"/>
        <v/>
      </c>
      <c r="HQ802" s="1995" t="str">
        <f t="shared" si="203"/>
        <v/>
      </c>
      <c r="HR802" s="1995" t="str">
        <f t="shared" si="204"/>
        <v/>
      </c>
      <c r="HS802" s="1995" t="str">
        <f t="shared" si="205"/>
        <v/>
      </c>
      <c r="HT802" s="1995" t="str">
        <f t="shared" si="206"/>
        <v/>
      </c>
      <c r="HU802" s="1995" t="str">
        <f t="shared" si="207"/>
        <v/>
      </c>
      <c r="HV802" s="1995" t="str">
        <f t="shared" si="208"/>
        <v/>
      </c>
      <c r="HW802" s="1995" t="str">
        <f t="shared" si="209"/>
        <v/>
      </c>
      <c r="HX802" s="1995" t="str">
        <f t="shared" si="210"/>
        <v/>
      </c>
      <c r="HY802" s="1995" t="str">
        <f t="shared" si="211"/>
        <v/>
      </c>
      <c r="HZ802" s="1900" t="str">
        <f t="shared" si="212"/>
        <v/>
      </c>
      <c r="IA802" s="1900" t="str">
        <f t="shared" si="213"/>
        <v/>
      </c>
      <c r="IB802" s="1900" t="str">
        <f t="shared" si="214"/>
        <v/>
      </c>
      <c r="IC802" s="1900" t="str">
        <f t="shared" si="215"/>
        <v/>
      </c>
      <c r="ID802" s="1900" t="str">
        <f t="shared" si="216"/>
        <v/>
      </c>
      <c r="IE802" s="1900" t="str">
        <f t="shared" si="217"/>
        <v/>
      </c>
      <c r="IF802" s="1900" t="str">
        <f t="shared" si="218"/>
        <v/>
      </c>
      <c r="IG802" s="1900" t="str">
        <f t="shared" si="219"/>
        <v/>
      </c>
      <c r="IH802" s="1900" t="str">
        <f t="shared" si="220"/>
        <v/>
      </c>
      <c r="II802" s="1900" t="str">
        <f t="shared" si="221"/>
        <v/>
      </c>
      <c r="IJ802" s="1900" t="str">
        <f t="shared" si="222"/>
        <v/>
      </c>
      <c r="IK802" s="1900" t="str">
        <f t="shared" si="223"/>
        <v/>
      </c>
      <c r="IL802" s="1900" t="str">
        <f t="shared" si="224"/>
        <v/>
      </c>
      <c r="IM802" s="1900" t="str">
        <f t="shared" si="225"/>
        <v/>
      </c>
      <c r="IN802" s="1900" t="str">
        <f t="shared" si="226"/>
        <v/>
      </c>
      <c r="IO802" s="1900" t="str">
        <f t="shared" si="227"/>
        <v/>
      </c>
      <c r="IP802" s="1900" t="str">
        <f t="shared" si="228"/>
        <v/>
      </c>
      <c r="IQ802" s="1900" t="str">
        <f t="shared" si="229"/>
        <v/>
      </c>
      <c r="IR802" s="1900" t="str">
        <f t="shared" si="230"/>
        <v/>
      </c>
      <c r="IS802" s="1900" t="str">
        <f t="shared" si="231"/>
        <v/>
      </c>
      <c r="IT802" s="1900" t="str">
        <f t="shared" si="232"/>
        <v/>
      </c>
      <c r="IU802" s="1900" t="str">
        <f t="shared" si="233"/>
        <v/>
      </c>
      <c r="IV802" s="1900" t="str">
        <f t="shared" si="234"/>
        <v/>
      </c>
      <c r="IW802" s="1900" t="str">
        <f t="shared" si="235"/>
        <v/>
      </c>
      <c r="IX802" s="1900" t="str">
        <f t="shared" si="236"/>
        <v/>
      </c>
      <c r="IY802" s="1900" t="str">
        <f t="shared" si="237"/>
        <v/>
      </c>
      <c r="IZ802" s="1900" t="str">
        <f t="shared" si="238"/>
        <v/>
      </c>
      <c r="JA802" s="1900" t="str">
        <f t="shared" si="239"/>
        <v/>
      </c>
      <c r="JB802" s="1900" t="str">
        <f t="shared" si="240"/>
        <v/>
      </c>
      <c r="JC802" s="1900" t="str">
        <f t="shared" si="241"/>
        <v/>
      </c>
      <c r="JD802" s="1900" t="str">
        <f t="shared" si="242"/>
        <v/>
      </c>
      <c r="JE802" s="1900" t="str">
        <f t="shared" si="243"/>
        <v/>
      </c>
      <c r="JF802" s="1900" t="str">
        <f t="shared" si="244"/>
        <v/>
      </c>
      <c r="JG802" s="1900" t="str">
        <f t="shared" si="245"/>
        <v/>
      </c>
      <c r="JH802" s="1900" t="str">
        <f t="shared" si="246"/>
        <v/>
      </c>
      <c r="JI802" s="1900" t="str">
        <f t="shared" si="247"/>
        <v/>
      </c>
      <c r="JJ802" s="1900" t="str">
        <f t="shared" si="248"/>
        <v/>
      </c>
      <c r="JK802" s="1900" t="str">
        <f t="shared" si="249"/>
        <v/>
      </c>
      <c r="JL802" s="1900" t="str">
        <f t="shared" si="250"/>
        <v/>
      </c>
      <c r="JM802" s="1900" t="str">
        <f t="shared" si="251"/>
        <v/>
      </c>
      <c r="JN802" s="1900" t="str">
        <f t="shared" si="252"/>
        <v/>
      </c>
      <c r="JO802" s="1900" t="str">
        <f t="shared" si="253"/>
        <v/>
      </c>
      <c r="JP802" s="1900" t="str">
        <f t="shared" si="254"/>
        <v/>
      </c>
      <c r="JQ802" s="1900" t="str">
        <f t="shared" si="255"/>
        <v/>
      </c>
      <c r="JR802" s="1900" t="str">
        <f t="shared" si="256"/>
        <v/>
      </c>
      <c r="JS802" s="1900" t="str">
        <f t="shared" si="257"/>
        <v/>
      </c>
      <c r="JT802" s="1900" t="str">
        <f t="shared" si="258"/>
        <v/>
      </c>
      <c r="JU802" s="1900" t="str">
        <f t="shared" si="259"/>
        <v/>
      </c>
      <c r="JV802" s="1900" t="str">
        <f t="shared" si="260"/>
        <v/>
      </c>
      <c r="JW802" s="1900" t="str">
        <f t="shared" si="261"/>
        <v/>
      </c>
      <c r="JX802" s="1900" t="str">
        <f t="shared" si="262"/>
        <v/>
      </c>
      <c r="JY802" s="1900" t="str">
        <f t="shared" si="263"/>
        <v/>
      </c>
      <c r="JZ802" s="1900" t="str">
        <f t="shared" si="264"/>
        <v/>
      </c>
      <c r="KA802" s="1900" t="str">
        <f t="shared" si="265"/>
        <v/>
      </c>
      <c r="KB802" s="1900" t="str">
        <f t="shared" si="266"/>
        <v/>
      </c>
      <c r="KC802" s="1900" t="str">
        <f t="shared" si="267"/>
        <v/>
      </c>
      <c r="KD802" s="1900" t="str">
        <f t="shared" si="268"/>
        <v/>
      </c>
      <c r="KE802" s="1900" t="str">
        <f t="shared" si="269"/>
        <v/>
      </c>
      <c r="KF802" s="1900" t="str">
        <f t="shared" si="270"/>
        <v/>
      </c>
      <c r="KG802" s="1900" t="str">
        <f t="shared" si="271"/>
        <v/>
      </c>
      <c r="KH802" s="1900" t="str">
        <f t="shared" si="272"/>
        <v/>
      </c>
      <c r="KI802" s="1900" t="str">
        <f t="shared" si="273"/>
        <v/>
      </c>
      <c r="KJ802" s="1900" t="str">
        <f t="shared" si="274"/>
        <v/>
      </c>
      <c r="KK802" s="1900" t="str">
        <f t="shared" si="275"/>
        <v/>
      </c>
      <c r="KL802" s="1900" t="str">
        <f t="shared" si="276"/>
        <v/>
      </c>
      <c r="KM802" s="1900" t="str">
        <f t="shared" si="277"/>
        <v/>
      </c>
      <c r="KN802" s="1900" t="str">
        <f t="shared" si="278"/>
        <v/>
      </c>
      <c r="KO802" s="1900" t="str">
        <f t="shared" si="279"/>
        <v/>
      </c>
      <c r="KP802" s="1900" t="str">
        <f t="shared" si="280"/>
        <v/>
      </c>
      <c r="KQ802" s="1900" t="str">
        <f t="shared" si="281"/>
        <v/>
      </c>
      <c r="KR802" s="1900" t="str">
        <f t="shared" si="282"/>
        <v/>
      </c>
      <c r="KS802" s="1900" t="str">
        <f t="shared" si="283"/>
        <v/>
      </c>
      <c r="KT802" s="1900" t="str">
        <f t="shared" si="284"/>
        <v/>
      </c>
      <c r="KU802" s="1900" t="str">
        <f t="shared" si="285"/>
        <v/>
      </c>
      <c r="KV802" s="1900" t="str">
        <f t="shared" si="286"/>
        <v/>
      </c>
      <c r="KW802" s="1900" t="str">
        <f t="shared" si="287"/>
        <v/>
      </c>
      <c r="KX802" s="1900" t="str">
        <f t="shared" si="288"/>
        <v/>
      </c>
      <c r="KY802" s="1900" t="str">
        <f t="shared" si="289"/>
        <v/>
      </c>
      <c r="KZ802" s="1900" t="str">
        <f t="shared" si="290"/>
        <v/>
      </c>
      <c r="LA802" s="1900" t="str">
        <f t="shared" si="291"/>
        <v/>
      </c>
      <c r="LB802" s="1900" t="str">
        <f t="shared" si="292"/>
        <v/>
      </c>
      <c r="LC802" s="1900" t="str">
        <f t="shared" si="293"/>
        <v/>
      </c>
      <c r="LD802" s="1900" t="str">
        <f t="shared" si="294"/>
        <v/>
      </c>
      <c r="LE802" s="1900" t="str">
        <f t="shared" si="295"/>
        <v/>
      </c>
      <c r="LF802" s="1900" t="str">
        <f t="shared" si="296"/>
        <v/>
      </c>
      <c r="LG802" s="1900" t="str">
        <f t="shared" si="297"/>
        <v/>
      </c>
      <c r="LH802" s="1900" t="str">
        <f t="shared" si="298"/>
        <v/>
      </c>
      <c r="LI802" s="1900" t="str">
        <f t="shared" si="299"/>
        <v/>
      </c>
      <c r="LJ802" s="1900" t="str">
        <f t="shared" si="300"/>
        <v/>
      </c>
      <c r="LK802" s="1900" t="str">
        <f t="shared" si="301"/>
        <v/>
      </c>
      <c r="LL802" s="1900" t="str">
        <f t="shared" si="302"/>
        <v/>
      </c>
      <c r="LM802" s="1900" t="str">
        <f t="shared" si="303"/>
        <v/>
      </c>
      <c r="LN802" s="1900" t="str">
        <f t="shared" si="304"/>
        <v/>
      </c>
      <c r="LO802" s="1900" t="str">
        <f t="shared" si="305"/>
        <v/>
      </c>
      <c r="LP802" s="1900" t="str">
        <f t="shared" si="306"/>
        <v/>
      </c>
      <c r="LQ802" s="1874" t="str">
        <f t="shared" si="307"/>
        <v/>
      </c>
      <c r="LR802" s="1874" t="str">
        <f t="shared" si="308"/>
        <v/>
      </c>
      <c r="LS802" s="1874" t="str">
        <f t="shared" si="309"/>
        <v/>
      </c>
      <c r="LT802" s="1874" t="str">
        <f t="shared" si="310"/>
        <v/>
      </c>
      <c r="LU802" s="1874" t="str">
        <f t="shared" si="311"/>
        <v/>
      </c>
      <c r="LV802" s="1995" t="str">
        <f t="shared" si="312"/>
        <v/>
      </c>
      <c r="LW802" s="1995" t="str">
        <f t="shared" si="313"/>
        <v/>
      </c>
      <c r="LX802" s="1995" t="str">
        <f t="shared" si="314"/>
        <v/>
      </c>
      <c r="LY802" s="1995" t="str">
        <f t="shared" si="315"/>
        <v/>
      </c>
      <c r="LZ802" s="1995" t="str">
        <f t="shared" si="316"/>
        <v/>
      </c>
      <c r="MA802" s="1995" t="str">
        <f t="shared" si="317"/>
        <v/>
      </c>
      <c r="MB802" s="1995" t="str">
        <f t="shared" si="318"/>
        <v/>
      </c>
      <c r="MC802" s="1995" t="str">
        <f t="shared" si="319"/>
        <v/>
      </c>
      <c r="MD802" s="1995" t="str">
        <f t="shared" si="320"/>
        <v/>
      </c>
      <c r="ME802" s="1995" t="str">
        <f t="shared" si="321"/>
        <v/>
      </c>
      <c r="MF802" s="1995" t="str">
        <f t="shared" si="322"/>
        <v/>
      </c>
      <c r="MG802" s="1995" t="str">
        <f t="shared" si="323"/>
        <v/>
      </c>
      <c r="MH802" s="1995" t="str">
        <f t="shared" si="324"/>
        <v/>
      </c>
      <c r="MI802" s="1995" t="str">
        <f t="shared" si="325"/>
        <v/>
      </c>
      <c r="MJ802" s="1995" t="str">
        <f t="shared" si="326"/>
        <v/>
      </c>
      <c r="MK802" s="1995" t="str">
        <f t="shared" si="327"/>
        <v/>
      </c>
      <c r="ML802" s="1995" t="str">
        <f t="shared" si="328"/>
        <v/>
      </c>
      <c r="MM802" s="1995" t="str">
        <f t="shared" si="329"/>
        <v/>
      </c>
      <c r="MN802" s="1995" t="str">
        <f t="shared" si="330"/>
        <v/>
      </c>
      <c r="MO802" s="1995" t="str">
        <f t="shared" si="331"/>
        <v/>
      </c>
      <c r="MP802" s="1874">
        <f t="shared" si="338"/>
        <v>0</v>
      </c>
      <c r="MQ802" s="1874">
        <f t="shared" si="339"/>
        <v>0</v>
      </c>
      <c r="MR802" s="1874">
        <f t="shared" si="340"/>
        <v>0</v>
      </c>
      <c r="MS802" s="1874">
        <f t="shared" si="341"/>
        <v>0</v>
      </c>
      <c r="MT802" s="1874">
        <f t="shared" si="342"/>
        <v>0</v>
      </c>
      <c r="MU802" s="1874">
        <f t="shared" si="343"/>
        <v>0</v>
      </c>
      <c r="MV802" s="1874">
        <f t="shared" si="344"/>
        <v>0</v>
      </c>
      <c r="MW802" s="1874">
        <f t="shared" si="345"/>
        <v>0</v>
      </c>
      <c r="MX802" s="1874">
        <f t="shared" si="346"/>
        <v>0</v>
      </c>
      <c r="MY802" s="1874">
        <f t="shared" si="347"/>
        <v>0</v>
      </c>
      <c r="MZ802" s="1874">
        <f t="shared" si="332"/>
        <v>0</v>
      </c>
      <c r="NA802" s="1874">
        <f t="shared" si="333"/>
        <v>0</v>
      </c>
      <c r="NB802" s="1874">
        <f t="shared" si="334"/>
        <v>0</v>
      </c>
      <c r="NC802" s="1874">
        <f t="shared" si="335"/>
        <v>0</v>
      </c>
      <c r="ND802" s="1874">
        <f t="shared" si="336"/>
        <v>0</v>
      </c>
    </row>
    <row r="803" spans="1:368" ht="13.95" customHeight="1">
      <c r="A803" s="1896" t="str">
        <f t="shared" si="337"/>
        <v/>
      </c>
      <c r="B803" s="2212">
        <f>'Part VI-Revenues &amp; Expenses'!B34</f>
        <v>0</v>
      </c>
      <c r="C803" s="2213">
        <f>'Part VI-Revenues &amp; Expenses'!C34</f>
        <v>0</v>
      </c>
      <c r="D803" s="2214">
        <f>'Part VI-Revenues &amp; Expenses'!D34</f>
        <v>0</v>
      </c>
      <c r="E803" s="2215">
        <f>'Part VI-Revenues &amp; Expenses'!E34</f>
        <v>0</v>
      </c>
      <c r="F803" s="2215">
        <f>'Part VI-Revenues &amp; Expenses'!F34</f>
        <v>0</v>
      </c>
      <c r="G803" s="2215">
        <f>'Part VI-Revenues &amp; Expenses'!G34</f>
        <v>0</v>
      </c>
      <c r="H803" s="2215">
        <f>'Part VI-Revenues &amp; Expenses'!H34</f>
        <v>0</v>
      </c>
      <c r="I803" s="2215">
        <f>'Part VI-Revenues &amp; Expenses'!I34</f>
        <v>0</v>
      </c>
      <c r="J803" s="2215">
        <f>'Part VI-Revenues &amp; Expenses'!J34</f>
        <v>0</v>
      </c>
      <c r="K803" s="2216">
        <f>'Part VI-Revenues &amp; Expenses'!K34</f>
        <v>0</v>
      </c>
      <c r="L803" s="1899">
        <f t="shared" si="0"/>
        <v>0</v>
      </c>
      <c r="M803" s="1899">
        <f t="shared" si="1"/>
        <v>0</v>
      </c>
      <c r="N803" s="2074">
        <f>'Part VI-Revenues &amp; Expenses'!N34</f>
        <v>0</v>
      </c>
      <c r="O803" s="2074">
        <f>'Part VI-Revenues &amp; Expenses'!O34</f>
        <v>0</v>
      </c>
      <c r="P803" s="2074">
        <f>'Part VI-Revenues &amp; Expenses'!P34</f>
        <v>0</v>
      </c>
      <c r="Q803" s="1732">
        <f>'Part VI-Revenues &amp; Expenses'!Q34</f>
        <v>0</v>
      </c>
      <c r="R803" s="1926"/>
      <c r="S803" s="2148"/>
      <c r="T803" s="1910"/>
      <c r="U803" s="1910"/>
      <c r="V803" s="1910"/>
      <c r="W803" s="1910"/>
      <c r="X803" s="1995" t="str">
        <f t="shared" si="2"/>
        <v/>
      </c>
      <c r="Y803" s="1995" t="str">
        <f t="shared" si="3"/>
        <v/>
      </c>
      <c r="Z803" s="1995" t="str">
        <f t="shared" si="4"/>
        <v/>
      </c>
      <c r="AA803" s="1995" t="str">
        <f t="shared" si="5"/>
        <v/>
      </c>
      <c r="AB803" s="1995" t="str">
        <f t="shared" si="6"/>
        <v/>
      </c>
      <c r="AC803" s="1995" t="str">
        <f t="shared" si="7"/>
        <v/>
      </c>
      <c r="AD803" s="1995" t="str">
        <f t="shared" si="8"/>
        <v/>
      </c>
      <c r="AE803" s="1995" t="str">
        <f t="shared" si="9"/>
        <v/>
      </c>
      <c r="AF803" s="1995" t="str">
        <f t="shared" si="10"/>
        <v/>
      </c>
      <c r="AG803" s="1995" t="str">
        <f t="shared" si="11"/>
        <v/>
      </c>
      <c r="AH803" s="1995" t="str">
        <f t="shared" si="12"/>
        <v/>
      </c>
      <c r="AI803" s="1995" t="str">
        <f t="shared" si="13"/>
        <v/>
      </c>
      <c r="AJ803" s="1995" t="str">
        <f t="shared" si="14"/>
        <v/>
      </c>
      <c r="AK803" s="1995" t="str">
        <f t="shared" si="15"/>
        <v/>
      </c>
      <c r="AL803" s="1995" t="str">
        <f t="shared" si="16"/>
        <v/>
      </c>
      <c r="AM803" s="1995" t="str">
        <f t="shared" si="17"/>
        <v/>
      </c>
      <c r="AN803" s="1995" t="str">
        <f t="shared" si="18"/>
        <v/>
      </c>
      <c r="AO803" s="1995" t="str">
        <f t="shared" si="19"/>
        <v/>
      </c>
      <c r="AP803" s="1995" t="str">
        <f t="shared" si="20"/>
        <v/>
      </c>
      <c r="AQ803" s="1995" t="str">
        <f t="shared" si="21"/>
        <v/>
      </c>
      <c r="AR803" s="1995" t="str">
        <f t="shared" si="22"/>
        <v/>
      </c>
      <c r="AS803" s="1995" t="str">
        <f t="shared" si="23"/>
        <v/>
      </c>
      <c r="AT803" s="1995" t="str">
        <f t="shared" si="24"/>
        <v/>
      </c>
      <c r="AU803" s="1995" t="str">
        <f t="shared" si="25"/>
        <v/>
      </c>
      <c r="AV803" s="1995" t="str">
        <f t="shared" si="26"/>
        <v/>
      </c>
      <c r="AW803" s="1995" t="str">
        <f t="shared" si="27"/>
        <v/>
      </c>
      <c r="AX803" s="1995" t="str">
        <f t="shared" si="28"/>
        <v/>
      </c>
      <c r="AY803" s="1995" t="str">
        <f t="shared" si="29"/>
        <v/>
      </c>
      <c r="AZ803" s="1995" t="str">
        <f t="shared" si="30"/>
        <v/>
      </c>
      <c r="BA803" s="1995" t="str">
        <f t="shared" si="31"/>
        <v/>
      </c>
      <c r="BB803" s="1995" t="str">
        <f t="shared" si="32"/>
        <v/>
      </c>
      <c r="BC803" s="1995" t="str">
        <f t="shared" si="33"/>
        <v/>
      </c>
      <c r="BD803" s="1995" t="str">
        <f t="shared" si="34"/>
        <v/>
      </c>
      <c r="BE803" s="1995" t="str">
        <f t="shared" si="35"/>
        <v/>
      </c>
      <c r="BF803" s="1995" t="str">
        <f t="shared" si="36"/>
        <v/>
      </c>
      <c r="BG803" s="1995" t="str">
        <f t="shared" si="37"/>
        <v/>
      </c>
      <c r="BH803" s="1995" t="str">
        <f t="shared" si="38"/>
        <v/>
      </c>
      <c r="BI803" s="1995" t="str">
        <f t="shared" si="39"/>
        <v/>
      </c>
      <c r="BJ803" s="1995" t="str">
        <f t="shared" si="40"/>
        <v/>
      </c>
      <c r="BK803" s="1995" t="str">
        <f t="shared" si="41"/>
        <v/>
      </c>
      <c r="BL803" s="1995" t="str">
        <f t="shared" si="42"/>
        <v/>
      </c>
      <c r="BM803" s="1995" t="str">
        <f t="shared" si="43"/>
        <v/>
      </c>
      <c r="BN803" s="1995" t="str">
        <f t="shared" si="44"/>
        <v/>
      </c>
      <c r="BO803" s="1995" t="str">
        <f t="shared" si="45"/>
        <v/>
      </c>
      <c r="BP803" s="1995" t="str">
        <f t="shared" si="46"/>
        <v/>
      </c>
      <c r="BQ803" s="1995" t="str">
        <f t="shared" si="47"/>
        <v/>
      </c>
      <c r="BR803" s="1995" t="str">
        <f t="shared" si="48"/>
        <v/>
      </c>
      <c r="BS803" s="1995" t="str">
        <f t="shared" si="49"/>
        <v/>
      </c>
      <c r="BT803" s="1995" t="str">
        <f t="shared" si="50"/>
        <v/>
      </c>
      <c r="BU803" s="1995" t="str">
        <f t="shared" si="51"/>
        <v/>
      </c>
      <c r="BV803" s="1995" t="str">
        <f t="shared" si="52"/>
        <v/>
      </c>
      <c r="BW803" s="1995" t="str">
        <f t="shared" si="53"/>
        <v/>
      </c>
      <c r="BX803" s="1995" t="str">
        <f t="shared" si="54"/>
        <v/>
      </c>
      <c r="BY803" s="1995" t="str">
        <f t="shared" si="55"/>
        <v/>
      </c>
      <c r="BZ803" s="1995" t="str">
        <f t="shared" si="56"/>
        <v/>
      </c>
      <c r="CA803" s="1995" t="str">
        <f t="shared" si="57"/>
        <v/>
      </c>
      <c r="CB803" s="1995" t="str">
        <f t="shared" si="58"/>
        <v/>
      </c>
      <c r="CC803" s="1995" t="str">
        <f t="shared" si="59"/>
        <v/>
      </c>
      <c r="CD803" s="1995" t="str">
        <f t="shared" si="60"/>
        <v/>
      </c>
      <c r="CE803" s="1995" t="str">
        <f t="shared" si="61"/>
        <v/>
      </c>
      <c r="CF803" s="1995" t="str">
        <f t="shared" si="62"/>
        <v/>
      </c>
      <c r="CG803" s="1995" t="str">
        <f t="shared" si="63"/>
        <v/>
      </c>
      <c r="CH803" s="1995" t="str">
        <f t="shared" si="64"/>
        <v/>
      </c>
      <c r="CI803" s="1995" t="str">
        <f t="shared" si="65"/>
        <v/>
      </c>
      <c r="CJ803" s="1995" t="str">
        <f t="shared" si="66"/>
        <v/>
      </c>
      <c r="CK803" s="1995" t="str">
        <f t="shared" si="67"/>
        <v/>
      </c>
      <c r="CL803" s="1995" t="str">
        <f t="shared" si="68"/>
        <v/>
      </c>
      <c r="CM803" s="1995" t="str">
        <f t="shared" si="69"/>
        <v/>
      </c>
      <c r="CN803" s="1995" t="str">
        <f t="shared" si="70"/>
        <v/>
      </c>
      <c r="CO803" s="1995" t="str">
        <f t="shared" si="71"/>
        <v/>
      </c>
      <c r="CP803" s="1995" t="str">
        <f t="shared" si="72"/>
        <v/>
      </c>
      <c r="CQ803" s="1995" t="str">
        <f t="shared" si="73"/>
        <v/>
      </c>
      <c r="CR803" s="1995" t="str">
        <f t="shared" si="74"/>
        <v/>
      </c>
      <c r="CS803" s="1995" t="str">
        <f t="shared" si="75"/>
        <v/>
      </c>
      <c r="CT803" s="1995" t="str">
        <f t="shared" si="76"/>
        <v/>
      </c>
      <c r="CU803" s="1995" t="str">
        <f t="shared" si="77"/>
        <v/>
      </c>
      <c r="CV803" s="1995" t="str">
        <f t="shared" si="78"/>
        <v/>
      </c>
      <c r="CW803" s="1995" t="str">
        <f t="shared" si="79"/>
        <v/>
      </c>
      <c r="CX803" s="1995" t="str">
        <f t="shared" si="80"/>
        <v/>
      </c>
      <c r="CY803" s="1995" t="str">
        <f t="shared" si="81"/>
        <v/>
      </c>
      <c r="CZ803" s="1995" t="str">
        <f t="shared" si="82"/>
        <v/>
      </c>
      <c r="DA803" s="1995" t="str">
        <f t="shared" si="83"/>
        <v/>
      </c>
      <c r="DB803" s="1995" t="str">
        <f t="shared" si="84"/>
        <v/>
      </c>
      <c r="DC803" s="1995" t="str">
        <f t="shared" si="85"/>
        <v/>
      </c>
      <c r="DD803" s="1995" t="str">
        <f t="shared" si="86"/>
        <v/>
      </c>
      <c r="DE803" s="1995" t="str">
        <f t="shared" si="87"/>
        <v/>
      </c>
      <c r="DF803" s="1995" t="str">
        <f t="shared" si="88"/>
        <v/>
      </c>
      <c r="DG803" s="1995" t="str">
        <f t="shared" si="89"/>
        <v/>
      </c>
      <c r="DH803" s="1995" t="str">
        <f t="shared" si="90"/>
        <v/>
      </c>
      <c r="DI803" s="1995" t="str">
        <f t="shared" si="91"/>
        <v/>
      </c>
      <c r="DJ803" s="1995" t="str">
        <f t="shared" si="92"/>
        <v/>
      </c>
      <c r="DK803" s="1995" t="str">
        <f t="shared" si="93"/>
        <v/>
      </c>
      <c r="DL803" s="1995" t="str">
        <f t="shared" si="94"/>
        <v/>
      </c>
      <c r="DM803" s="1995" t="str">
        <f t="shared" si="95"/>
        <v/>
      </c>
      <c r="DN803" s="1995" t="str">
        <f t="shared" si="96"/>
        <v/>
      </c>
      <c r="DO803" s="1995" t="str">
        <f t="shared" si="97"/>
        <v/>
      </c>
      <c r="DP803" s="1995" t="str">
        <f t="shared" si="98"/>
        <v/>
      </c>
      <c r="DQ803" s="1995" t="str">
        <f t="shared" si="99"/>
        <v/>
      </c>
      <c r="DR803" s="1995" t="str">
        <f t="shared" si="100"/>
        <v/>
      </c>
      <c r="DS803" s="1995" t="str">
        <f t="shared" si="101"/>
        <v/>
      </c>
      <c r="DT803" s="1995" t="str">
        <f t="shared" si="102"/>
        <v/>
      </c>
      <c r="DU803" s="1995" t="str">
        <f t="shared" si="103"/>
        <v/>
      </c>
      <c r="DV803" s="1995" t="str">
        <f t="shared" si="104"/>
        <v/>
      </c>
      <c r="DW803" s="1995" t="str">
        <f t="shared" si="105"/>
        <v/>
      </c>
      <c r="DX803" s="1995" t="str">
        <f t="shared" si="106"/>
        <v/>
      </c>
      <c r="DY803" s="1995" t="str">
        <f t="shared" si="107"/>
        <v/>
      </c>
      <c r="DZ803" s="1995" t="str">
        <f t="shared" si="108"/>
        <v/>
      </c>
      <c r="EA803" s="1995" t="str">
        <f t="shared" si="109"/>
        <v/>
      </c>
      <c r="EB803" s="1995" t="str">
        <f t="shared" si="110"/>
        <v/>
      </c>
      <c r="EC803" s="1995" t="str">
        <f t="shared" si="111"/>
        <v/>
      </c>
      <c r="ED803" s="1995" t="str">
        <f t="shared" si="112"/>
        <v/>
      </c>
      <c r="EE803" s="1995" t="str">
        <f t="shared" si="113"/>
        <v/>
      </c>
      <c r="EF803" s="1995" t="str">
        <f t="shared" si="114"/>
        <v/>
      </c>
      <c r="EG803" s="1995" t="str">
        <f t="shared" si="115"/>
        <v/>
      </c>
      <c r="EH803" s="1995" t="str">
        <f t="shared" si="116"/>
        <v/>
      </c>
      <c r="EI803" s="1995" t="str">
        <f t="shared" si="117"/>
        <v/>
      </c>
      <c r="EJ803" s="1995" t="str">
        <f t="shared" si="118"/>
        <v/>
      </c>
      <c r="EK803" s="1995" t="str">
        <f t="shared" si="119"/>
        <v/>
      </c>
      <c r="EL803" s="1995" t="str">
        <f t="shared" si="120"/>
        <v/>
      </c>
      <c r="EM803" s="1995" t="str">
        <f t="shared" si="121"/>
        <v/>
      </c>
      <c r="EN803" s="1995" t="str">
        <f t="shared" si="122"/>
        <v/>
      </c>
      <c r="EO803" s="1995" t="str">
        <f t="shared" si="123"/>
        <v/>
      </c>
      <c r="EP803" s="1995" t="str">
        <f t="shared" si="124"/>
        <v/>
      </c>
      <c r="EQ803" s="1995" t="str">
        <f t="shared" si="125"/>
        <v/>
      </c>
      <c r="ER803" s="1995" t="str">
        <f t="shared" si="126"/>
        <v/>
      </c>
      <c r="ES803" s="1995" t="str">
        <f t="shared" si="127"/>
        <v/>
      </c>
      <c r="ET803" s="1995" t="str">
        <f t="shared" si="128"/>
        <v/>
      </c>
      <c r="EU803" s="1995" t="str">
        <f t="shared" si="129"/>
        <v/>
      </c>
      <c r="EV803" s="1995" t="str">
        <f t="shared" si="130"/>
        <v/>
      </c>
      <c r="EW803" s="1995" t="str">
        <f t="shared" si="131"/>
        <v/>
      </c>
      <c r="EX803" s="1995" t="str">
        <f t="shared" si="132"/>
        <v/>
      </c>
      <c r="EY803" s="1995" t="str">
        <f t="shared" si="133"/>
        <v/>
      </c>
      <c r="EZ803" s="1995" t="str">
        <f t="shared" si="134"/>
        <v/>
      </c>
      <c r="FA803" s="1995" t="str">
        <f t="shared" si="135"/>
        <v/>
      </c>
      <c r="FB803" s="1995" t="str">
        <f t="shared" si="136"/>
        <v/>
      </c>
      <c r="FC803" s="1995" t="str">
        <f t="shared" si="137"/>
        <v/>
      </c>
      <c r="FD803" s="1995" t="str">
        <f t="shared" si="138"/>
        <v/>
      </c>
      <c r="FE803" s="1995" t="str">
        <f t="shared" si="139"/>
        <v/>
      </c>
      <c r="FF803" s="1995" t="str">
        <f t="shared" si="140"/>
        <v/>
      </c>
      <c r="FG803" s="1995" t="str">
        <f t="shared" si="141"/>
        <v/>
      </c>
      <c r="FH803" s="1995" t="str">
        <f t="shared" si="142"/>
        <v/>
      </c>
      <c r="FI803" s="1995" t="str">
        <f t="shared" si="143"/>
        <v/>
      </c>
      <c r="FJ803" s="1995" t="str">
        <f t="shared" si="144"/>
        <v/>
      </c>
      <c r="FK803" s="1995" t="str">
        <f t="shared" si="145"/>
        <v/>
      </c>
      <c r="FL803" s="1995" t="str">
        <f t="shared" si="146"/>
        <v/>
      </c>
      <c r="FM803" s="1995" t="str">
        <f t="shared" si="147"/>
        <v/>
      </c>
      <c r="FN803" s="1995" t="str">
        <f t="shared" si="148"/>
        <v/>
      </c>
      <c r="FO803" s="1995" t="str">
        <f t="shared" si="149"/>
        <v/>
      </c>
      <c r="FP803" s="1995" t="str">
        <f t="shared" si="150"/>
        <v/>
      </c>
      <c r="FQ803" s="1995" t="str">
        <f t="shared" si="151"/>
        <v/>
      </c>
      <c r="FR803" s="1995" t="str">
        <f t="shared" si="152"/>
        <v/>
      </c>
      <c r="FS803" s="1995" t="str">
        <f t="shared" si="153"/>
        <v/>
      </c>
      <c r="FT803" s="1995" t="str">
        <f t="shared" si="154"/>
        <v/>
      </c>
      <c r="FU803" s="1995" t="str">
        <f t="shared" si="155"/>
        <v/>
      </c>
      <c r="FV803" s="1995" t="str">
        <f t="shared" si="156"/>
        <v/>
      </c>
      <c r="FW803" s="1995" t="str">
        <f t="shared" si="157"/>
        <v/>
      </c>
      <c r="FX803" s="1995" t="str">
        <f t="shared" si="158"/>
        <v/>
      </c>
      <c r="FY803" s="1995" t="str">
        <f t="shared" si="159"/>
        <v/>
      </c>
      <c r="FZ803" s="1995" t="str">
        <f t="shared" si="160"/>
        <v/>
      </c>
      <c r="GA803" s="1995" t="str">
        <f t="shared" si="161"/>
        <v/>
      </c>
      <c r="GB803" s="1995" t="str">
        <f t="shared" si="162"/>
        <v/>
      </c>
      <c r="GC803" s="1995" t="str">
        <f t="shared" si="163"/>
        <v/>
      </c>
      <c r="GD803" s="1995" t="str">
        <f t="shared" si="164"/>
        <v/>
      </c>
      <c r="GE803" s="1995" t="str">
        <f t="shared" si="165"/>
        <v/>
      </c>
      <c r="GF803" s="1995" t="str">
        <f t="shared" si="166"/>
        <v/>
      </c>
      <c r="GG803" s="1995" t="str">
        <f t="shared" si="167"/>
        <v/>
      </c>
      <c r="GH803" s="1995" t="str">
        <f t="shared" si="168"/>
        <v/>
      </c>
      <c r="GI803" s="1995" t="str">
        <f t="shared" si="169"/>
        <v/>
      </c>
      <c r="GJ803" s="1995" t="str">
        <f t="shared" si="170"/>
        <v/>
      </c>
      <c r="GK803" s="1995" t="str">
        <f t="shared" si="171"/>
        <v/>
      </c>
      <c r="GL803" s="1995" t="str">
        <f t="shared" si="172"/>
        <v/>
      </c>
      <c r="GM803" s="1995" t="str">
        <f t="shared" si="173"/>
        <v/>
      </c>
      <c r="GN803" s="1995" t="str">
        <f t="shared" si="174"/>
        <v/>
      </c>
      <c r="GO803" s="1995" t="str">
        <f t="shared" si="175"/>
        <v/>
      </c>
      <c r="GP803" s="1995" t="str">
        <f t="shared" si="176"/>
        <v/>
      </c>
      <c r="GQ803" s="1995" t="str">
        <f t="shared" si="177"/>
        <v/>
      </c>
      <c r="GR803" s="1995" t="str">
        <f t="shared" si="178"/>
        <v/>
      </c>
      <c r="GS803" s="1995" t="str">
        <f t="shared" si="179"/>
        <v/>
      </c>
      <c r="GT803" s="1995" t="str">
        <f t="shared" si="180"/>
        <v/>
      </c>
      <c r="GU803" s="1995" t="str">
        <f t="shared" si="181"/>
        <v/>
      </c>
      <c r="GV803" s="1995" t="str">
        <f t="shared" si="182"/>
        <v/>
      </c>
      <c r="GW803" s="1995" t="str">
        <f t="shared" si="183"/>
        <v/>
      </c>
      <c r="GX803" s="1995" t="str">
        <f t="shared" si="184"/>
        <v/>
      </c>
      <c r="GY803" s="1995" t="str">
        <f t="shared" si="185"/>
        <v/>
      </c>
      <c r="GZ803" s="1995" t="str">
        <f t="shared" si="186"/>
        <v/>
      </c>
      <c r="HA803" s="1995" t="str">
        <f t="shared" si="187"/>
        <v/>
      </c>
      <c r="HB803" s="1995" t="str">
        <f t="shared" si="188"/>
        <v/>
      </c>
      <c r="HC803" s="1995" t="str">
        <f t="shared" si="189"/>
        <v/>
      </c>
      <c r="HD803" s="1995" t="str">
        <f t="shared" si="190"/>
        <v/>
      </c>
      <c r="HE803" s="1995" t="str">
        <f t="shared" si="191"/>
        <v/>
      </c>
      <c r="HF803" s="1995" t="str">
        <f t="shared" si="192"/>
        <v/>
      </c>
      <c r="HG803" s="1995" t="str">
        <f t="shared" si="193"/>
        <v/>
      </c>
      <c r="HH803" s="1995" t="str">
        <f t="shared" si="194"/>
        <v/>
      </c>
      <c r="HI803" s="1995" t="str">
        <f t="shared" si="195"/>
        <v/>
      </c>
      <c r="HJ803" s="1995" t="str">
        <f t="shared" si="196"/>
        <v/>
      </c>
      <c r="HK803" s="1995" t="str">
        <f t="shared" si="197"/>
        <v/>
      </c>
      <c r="HL803" s="1995" t="str">
        <f t="shared" si="198"/>
        <v/>
      </c>
      <c r="HM803" s="1995" t="str">
        <f t="shared" si="199"/>
        <v/>
      </c>
      <c r="HN803" s="1995" t="str">
        <f t="shared" si="200"/>
        <v/>
      </c>
      <c r="HO803" s="1995" t="str">
        <f t="shared" si="201"/>
        <v/>
      </c>
      <c r="HP803" s="1995" t="str">
        <f t="shared" si="202"/>
        <v/>
      </c>
      <c r="HQ803" s="1995" t="str">
        <f t="shared" si="203"/>
        <v/>
      </c>
      <c r="HR803" s="1995" t="str">
        <f t="shared" si="204"/>
        <v/>
      </c>
      <c r="HS803" s="1995" t="str">
        <f t="shared" si="205"/>
        <v/>
      </c>
      <c r="HT803" s="1995" t="str">
        <f t="shared" si="206"/>
        <v/>
      </c>
      <c r="HU803" s="1995" t="str">
        <f t="shared" si="207"/>
        <v/>
      </c>
      <c r="HV803" s="1995" t="str">
        <f t="shared" si="208"/>
        <v/>
      </c>
      <c r="HW803" s="1995" t="str">
        <f t="shared" si="209"/>
        <v/>
      </c>
      <c r="HX803" s="1995" t="str">
        <f t="shared" si="210"/>
        <v/>
      </c>
      <c r="HY803" s="1995" t="str">
        <f t="shared" si="211"/>
        <v/>
      </c>
      <c r="HZ803" s="1900" t="str">
        <f t="shared" si="212"/>
        <v/>
      </c>
      <c r="IA803" s="1900" t="str">
        <f t="shared" si="213"/>
        <v/>
      </c>
      <c r="IB803" s="1900" t="str">
        <f t="shared" si="214"/>
        <v/>
      </c>
      <c r="IC803" s="1900" t="str">
        <f t="shared" si="215"/>
        <v/>
      </c>
      <c r="ID803" s="1900" t="str">
        <f t="shared" si="216"/>
        <v/>
      </c>
      <c r="IE803" s="1900" t="str">
        <f t="shared" si="217"/>
        <v/>
      </c>
      <c r="IF803" s="1900" t="str">
        <f t="shared" si="218"/>
        <v/>
      </c>
      <c r="IG803" s="1900" t="str">
        <f t="shared" si="219"/>
        <v/>
      </c>
      <c r="IH803" s="1900" t="str">
        <f t="shared" si="220"/>
        <v/>
      </c>
      <c r="II803" s="1900" t="str">
        <f t="shared" si="221"/>
        <v/>
      </c>
      <c r="IJ803" s="1900" t="str">
        <f t="shared" si="222"/>
        <v/>
      </c>
      <c r="IK803" s="1900" t="str">
        <f t="shared" si="223"/>
        <v/>
      </c>
      <c r="IL803" s="1900" t="str">
        <f t="shared" si="224"/>
        <v/>
      </c>
      <c r="IM803" s="1900" t="str">
        <f t="shared" si="225"/>
        <v/>
      </c>
      <c r="IN803" s="1900" t="str">
        <f t="shared" si="226"/>
        <v/>
      </c>
      <c r="IO803" s="1900" t="str">
        <f t="shared" si="227"/>
        <v/>
      </c>
      <c r="IP803" s="1900" t="str">
        <f t="shared" si="228"/>
        <v/>
      </c>
      <c r="IQ803" s="1900" t="str">
        <f t="shared" si="229"/>
        <v/>
      </c>
      <c r="IR803" s="1900" t="str">
        <f t="shared" si="230"/>
        <v/>
      </c>
      <c r="IS803" s="1900" t="str">
        <f t="shared" si="231"/>
        <v/>
      </c>
      <c r="IT803" s="1900" t="str">
        <f t="shared" si="232"/>
        <v/>
      </c>
      <c r="IU803" s="1900" t="str">
        <f t="shared" si="233"/>
        <v/>
      </c>
      <c r="IV803" s="1900" t="str">
        <f t="shared" si="234"/>
        <v/>
      </c>
      <c r="IW803" s="1900" t="str">
        <f t="shared" si="235"/>
        <v/>
      </c>
      <c r="IX803" s="1900" t="str">
        <f t="shared" si="236"/>
        <v/>
      </c>
      <c r="IY803" s="1900" t="str">
        <f t="shared" si="237"/>
        <v/>
      </c>
      <c r="IZ803" s="1900" t="str">
        <f t="shared" si="238"/>
        <v/>
      </c>
      <c r="JA803" s="1900" t="str">
        <f t="shared" si="239"/>
        <v/>
      </c>
      <c r="JB803" s="1900" t="str">
        <f t="shared" si="240"/>
        <v/>
      </c>
      <c r="JC803" s="1900" t="str">
        <f t="shared" si="241"/>
        <v/>
      </c>
      <c r="JD803" s="1900" t="str">
        <f t="shared" si="242"/>
        <v/>
      </c>
      <c r="JE803" s="1900" t="str">
        <f t="shared" si="243"/>
        <v/>
      </c>
      <c r="JF803" s="1900" t="str">
        <f t="shared" si="244"/>
        <v/>
      </c>
      <c r="JG803" s="1900" t="str">
        <f t="shared" si="245"/>
        <v/>
      </c>
      <c r="JH803" s="1900" t="str">
        <f t="shared" si="246"/>
        <v/>
      </c>
      <c r="JI803" s="1900" t="str">
        <f t="shared" si="247"/>
        <v/>
      </c>
      <c r="JJ803" s="1900" t="str">
        <f t="shared" si="248"/>
        <v/>
      </c>
      <c r="JK803" s="1900" t="str">
        <f t="shared" si="249"/>
        <v/>
      </c>
      <c r="JL803" s="1900" t="str">
        <f t="shared" si="250"/>
        <v/>
      </c>
      <c r="JM803" s="1900" t="str">
        <f t="shared" si="251"/>
        <v/>
      </c>
      <c r="JN803" s="1900" t="str">
        <f t="shared" si="252"/>
        <v/>
      </c>
      <c r="JO803" s="1900" t="str">
        <f t="shared" si="253"/>
        <v/>
      </c>
      <c r="JP803" s="1900" t="str">
        <f t="shared" si="254"/>
        <v/>
      </c>
      <c r="JQ803" s="1900" t="str">
        <f t="shared" si="255"/>
        <v/>
      </c>
      <c r="JR803" s="1900" t="str">
        <f t="shared" si="256"/>
        <v/>
      </c>
      <c r="JS803" s="1900" t="str">
        <f t="shared" si="257"/>
        <v/>
      </c>
      <c r="JT803" s="1900" t="str">
        <f t="shared" si="258"/>
        <v/>
      </c>
      <c r="JU803" s="1900" t="str">
        <f t="shared" si="259"/>
        <v/>
      </c>
      <c r="JV803" s="1900" t="str">
        <f t="shared" si="260"/>
        <v/>
      </c>
      <c r="JW803" s="1900" t="str">
        <f t="shared" si="261"/>
        <v/>
      </c>
      <c r="JX803" s="1900" t="str">
        <f t="shared" si="262"/>
        <v/>
      </c>
      <c r="JY803" s="1900" t="str">
        <f t="shared" si="263"/>
        <v/>
      </c>
      <c r="JZ803" s="1900" t="str">
        <f t="shared" si="264"/>
        <v/>
      </c>
      <c r="KA803" s="1900" t="str">
        <f t="shared" si="265"/>
        <v/>
      </c>
      <c r="KB803" s="1900" t="str">
        <f t="shared" si="266"/>
        <v/>
      </c>
      <c r="KC803" s="1900" t="str">
        <f t="shared" si="267"/>
        <v/>
      </c>
      <c r="KD803" s="1900" t="str">
        <f t="shared" si="268"/>
        <v/>
      </c>
      <c r="KE803" s="1900" t="str">
        <f t="shared" si="269"/>
        <v/>
      </c>
      <c r="KF803" s="1900" t="str">
        <f t="shared" si="270"/>
        <v/>
      </c>
      <c r="KG803" s="1900" t="str">
        <f t="shared" si="271"/>
        <v/>
      </c>
      <c r="KH803" s="1900" t="str">
        <f t="shared" si="272"/>
        <v/>
      </c>
      <c r="KI803" s="1900" t="str">
        <f t="shared" si="273"/>
        <v/>
      </c>
      <c r="KJ803" s="1900" t="str">
        <f t="shared" si="274"/>
        <v/>
      </c>
      <c r="KK803" s="1900" t="str">
        <f t="shared" si="275"/>
        <v/>
      </c>
      <c r="KL803" s="1900" t="str">
        <f t="shared" si="276"/>
        <v/>
      </c>
      <c r="KM803" s="1900" t="str">
        <f t="shared" si="277"/>
        <v/>
      </c>
      <c r="KN803" s="1900" t="str">
        <f t="shared" si="278"/>
        <v/>
      </c>
      <c r="KO803" s="1900" t="str">
        <f t="shared" si="279"/>
        <v/>
      </c>
      <c r="KP803" s="1900" t="str">
        <f t="shared" si="280"/>
        <v/>
      </c>
      <c r="KQ803" s="1900" t="str">
        <f t="shared" si="281"/>
        <v/>
      </c>
      <c r="KR803" s="1900" t="str">
        <f t="shared" si="282"/>
        <v/>
      </c>
      <c r="KS803" s="1900" t="str">
        <f t="shared" si="283"/>
        <v/>
      </c>
      <c r="KT803" s="1900" t="str">
        <f t="shared" si="284"/>
        <v/>
      </c>
      <c r="KU803" s="1900" t="str">
        <f t="shared" si="285"/>
        <v/>
      </c>
      <c r="KV803" s="1900" t="str">
        <f t="shared" si="286"/>
        <v/>
      </c>
      <c r="KW803" s="1900" t="str">
        <f t="shared" si="287"/>
        <v/>
      </c>
      <c r="KX803" s="1900" t="str">
        <f t="shared" si="288"/>
        <v/>
      </c>
      <c r="KY803" s="1900" t="str">
        <f t="shared" si="289"/>
        <v/>
      </c>
      <c r="KZ803" s="1900" t="str">
        <f t="shared" si="290"/>
        <v/>
      </c>
      <c r="LA803" s="1900" t="str">
        <f t="shared" si="291"/>
        <v/>
      </c>
      <c r="LB803" s="1900" t="str">
        <f t="shared" si="292"/>
        <v/>
      </c>
      <c r="LC803" s="1900" t="str">
        <f t="shared" si="293"/>
        <v/>
      </c>
      <c r="LD803" s="1900" t="str">
        <f t="shared" si="294"/>
        <v/>
      </c>
      <c r="LE803" s="1900" t="str">
        <f t="shared" si="295"/>
        <v/>
      </c>
      <c r="LF803" s="1900" t="str">
        <f t="shared" si="296"/>
        <v/>
      </c>
      <c r="LG803" s="1900" t="str">
        <f t="shared" si="297"/>
        <v/>
      </c>
      <c r="LH803" s="1900" t="str">
        <f t="shared" si="298"/>
        <v/>
      </c>
      <c r="LI803" s="1900" t="str">
        <f t="shared" si="299"/>
        <v/>
      </c>
      <c r="LJ803" s="1900" t="str">
        <f t="shared" si="300"/>
        <v/>
      </c>
      <c r="LK803" s="1900" t="str">
        <f t="shared" si="301"/>
        <v/>
      </c>
      <c r="LL803" s="1900" t="str">
        <f t="shared" si="302"/>
        <v/>
      </c>
      <c r="LM803" s="1900" t="str">
        <f t="shared" si="303"/>
        <v/>
      </c>
      <c r="LN803" s="1900" t="str">
        <f t="shared" si="304"/>
        <v/>
      </c>
      <c r="LO803" s="1900" t="str">
        <f t="shared" si="305"/>
        <v/>
      </c>
      <c r="LP803" s="1900" t="str">
        <f t="shared" si="306"/>
        <v/>
      </c>
      <c r="LQ803" s="1874" t="str">
        <f t="shared" si="307"/>
        <v/>
      </c>
      <c r="LR803" s="1874" t="str">
        <f t="shared" si="308"/>
        <v/>
      </c>
      <c r="LS803" s="1874" t="str">
        <f t="shared" si="309"/>
        <v/>
      </c>
      <c r="LT803" s="1874" t="str">
        <f t="shared" si="310"/>
        <v/>
      </c>
      <c r="LU803" s="1874" t="str">
        <f t="shared" si="311"/>
        <v/>
      </c>
      <c r="LV803" s="1995" t="str">
        <f t="shared" si="312"/>
        <v/>
      </c>
      <c r="LW803" s="1995" t="str">
        <f t="shared" si="313"/>
        <v/>
      </c>
      <c r="LX803" s="1995" t="str">
        <f t="shared" si="314"/>
        <v/>
      </c>
      <c r="LY803" s="1995" t="str">
        <f t="shared" si="315"/>
        <v/>
      </c>
      <c r="LZ803" s="1995" t="str">
        <f t="shared" si="316"/>
        <v/>
      </c>
      <c r="MA803" s="1995" t="str">
        <f t="shared" si="317"/>
        <v/>
      </c>
      <c r="MB803" s="1995" t="str">
        <f t="shared" si="318"/>
        <v/>
      </c>
      <c r="MC803" s="1995" t="str">
        <f t="shared" si="319"/>
        <v/>
      </c>
      <c r="MD803" s="1995" t="str">
        <f t="shared" si="320"/>
        <v/>
      </c>
      <c r="ME803" s="1995" t="str">
        <f t="shared" si="321"/>
        <v/>
      </c>
      <c r="MF803" s="1995" t="str">
        <f t="shared" si="322"/>
        <v/>
      </c>
      <c r="MG803" s="1995" t="str">
        <f t="shared" si="323"/>
        <v/>
      </c>
      <c r="MH803" s="1995" t="str">
        <f t="shared" si="324"/>
        <v/>
      </c>
      <c r="MI803" s="1995" t="str">
        <f t="shared" si="325"/>
        <v/>
      </c>
      <c r="MJ803" s="1995" t="str">
        <f t="shared" si="326"/>
        <v/>
      </c>
      <c r="MK803" s="1995" t="str">
        <f t="shared" si="327"/>
        <v/>
      </c>
      <c r="ML803" s="1995" t="str">
        <f t="shared" si="328"/>
        <v/>
      </c>
      <c r="MM803" s="1995" t="str">
        <f t="shared" si="329"/>
        <v/>
      </c>
      <c r="MN803" s="1995" t="str">
        <f t="shared" si="330"/>
        <v/>
      </c>
      <c r="MO803" s="1995" t="str">
        <f t="shared" si="331"/>
        <v/>
      </c>
      <c r="MP803" s="1874">
        <f t="shared" si="338"/>
        <v>0</v>
      </c>
      <c r="MQ803" s="1874">
        <f t="shared" si="339"/>
        <v>0</v>
      </c>
      <c r="MR803" s="1874">
        <f t="shared" si="340"/>
        <v>0</v>
      </c>
      <c r="MS803" s="1874">
        <f t="shared" si="341"/>
        <v>0</v>
      </c>
      <c r="MT803" s="1874">
        <f t="shared" si="342"/>
        <v>0</v>
      </c>
      <c r="MU803" s="1874">
        <f t="shared" si="343"/>
        <v>0</v>
      </c>
      <c r="MV803" s="1874">
        <f t="shared" si="344"/>
        <v>0</v>
      </c>
      <c r="MW803" s="1874">
        <f t="shared" si="345"/>
        <v>0</v>
      </c>
      <c r="MX803" s="1874">
        <f t="shared" si="346"/>
        <v>0</v>
      </c>
      <c r="MY803" s="1874">
        <f t="shared" si="347"/>
        <v>0</v>
      </c>
      <c r="MZ803" s="1874">
        <f t="shared" si="332"/>
        <v>0</v>
      </c>
      <c r="NA803" s="1874">
        <f t="shared" si="333"/>
        <v>0</v>
      </c>
      <c r="NB803" s="1874">
        <f t="shared" si="334"/>
        <v>0</v>
      </c>
      <c r="NC803" s="1874">
        <f t="shared" si="335"/>
        <v>0</v>
      </c>
      <c r="ND803" s="1874">
        <f t="shared" si="336"/>
        <v>0</v>
      </c>
    </row>
    <row r="804" spans="1:368" ht="13.95" customHeight="1">
      <c r="A804" s="1896" t="str">
        <f t="shared" si="337"/>
        <v/>
      </c>
      <c r="B804" s="2212">
        <f>'Part VI-Revenues &amp; Expenses'!B35</f>
        <v>0</v>
      </c>
      <c r="C804" s="2213">
        <f>'Part VI-Revenues &amp; Expenses'!C35</f>
        <v>0</v>
      </c>
      <c r="D804" s="2214">
        <f>'Part VI-Revenues &amp; Expenses'!D35</f>
        <v>0</v>
      </c>
      <c r="E804" s="2215">
        <f>'Part VI-Revenues &amp; Expenses'!E35</f>
        <v>0</v>
      </c>
      <c r="F804" s="2215">
        <f>'Part VI-Revenues &amp; Expenses'!F35</f>
        <v>0</v>
      </c>
      <c r="G804" s="2215">
        <f>'Part VI-Revenues &amp; Expenses'!G35</f>
        <v>0</v>
      </c>
      <c r="H804" s="2215">
        <f>'Part VI-Revenues &amp; Expenses'!H35</f>
        <v>0</v>
      </c>
      <c r="I804" s="2215">
        <f>'Part VI-Revenues &amp; Expenses'!I35</f>
        <v>0</v>
      </c>
      <c r="J804" s="2215">
        <f>'Part VI-Revenues &amp; Expenses'!J35</f>
        <v>0</v>
      </c>
      <c r="K804" s="2216">
        <f>'Part VI-Revenues &amp; Expenses'!K35</f>
        <v>0</v>
      </c>
      <c r="L804" s="1899">
        <f t="shared" si="0"/>
        <v>0</v>
      </c>
      <c r="M804" s="1899">
        <f t="shared" si="1"/>
        <v>0</v>
      </c>
      <c r="N804" s="2074">
        <f>'Part VI-Revenues &amp; Expenses'!N35</f>
        <v>0</v>
      </c>
      <c r="O804" s="2074">
        <f>'Part VI-Revenues &amp; Expenses'!O35</f>
        <v>0</v>
      </c>
      <c r="P804" s="2074">
        <f>'Part VI-Revenues &amp; Expenses'!P35</f>
        <v>0</v>
      </c>
      <c r="Q804" s="1732">
        <f>'Part VI-Revenues &amp; Expenses'!Q35</f>
        <v>0</v>
      </c>
      <c r="R804" s="1926"/>
      <c r="S804" s="2148"/>
      <c r="T804" s="1910"/>
      <c r="U804" s="1910"/>
      <c r="V804" s="1910"/>
      <c r="W804" s="1910"/>
      <c r="X804" s="1995" t="str">
        <f t="shared" si="2"/>
        <v/>
      </c>
      <c r="Y804" s="1995" t="str">
        <f t="shared" si="3"/>
        <v/>
      </c>
      <c r="Z804" s="1995" t="str">
        <f t="shared" si="4"/>
        <v/>
      </c>
      <c r="AA804" s="1995" t="str">
        <f t="shared" si="5"/>
        <v/>
      </c>
      <c r="AB804" s="1995" t="str">
        <f t="shared" si="6"/>
        <v/>
      </c>
      <c r="AC804" s="1995" t="str">
        <f t="shared" si="7"/>
        <v/>
      </c>
      <c r="AD804" s="1995" t="str">
        <f t="shared" si="8"/>
        <v/>
      </c>
      <c r="AE804" s="1995" t="str">
        <f t="shared" si="9"/>
        <v/>
      </c>
      <c r="AF804" s="1995" t="str">
        <f t="shared" si="10"/>
        <v/>
      </c>
      <c r="AG804" s="1995" t="str">
        <f t="shared" si="11"/>
        <v/>
      </c>
      <c r="AH804" s="1995" t="str">
        <f t="shared" si="12"/>
        <v/>
      </c>
      <c r="AI804" s="1995" t="str">
        <f t="shared" si="13"/>
        <v/>
      </c>
      <c r="AJ804" s="1995" t="str">
        <f t="shared" si="14"/>
        <v/>
      </c>
      <c r="AK804" s="1995" t="str">
        <f t="shared" si="15"/>
        <v/>
      </c>
      <c r="AL804" s="1995" t="str">
        <f t="shared" si="16"/>
        <v/>
      </c>
      <c r="AM804" s="1995" t="str">
        <f t="shared" si="17"/>
        <v/>
      </c>
      <c r="AN804" s="1995" t="str">
        <f t="shared" si="18"/>
        <v/>
      </c>
      <c r="AO804" s="1995" t="str">
        <f t="shared" si="19"/>
        <v/>
      </c>
      <c r="AP804" s="1995" t="str">
        <f t="shared" si="20"/>
        <v/>
      </c>
      <c r="AQ804" s="1995" t="str">
        <f t="shared" si="21"/>
        <v/>
      </c>
      <c r="AR804" s="1995" t="str">
        <f t="shared" si="22"/>
        <v/>
      </c>
      <c r="AS804" s="1995" t="str">
        <f t="shared" si="23"/>
        <v/>
      </c>
      <c r="AT804" s="1995" t="str">
        <f t="shared" si="24"/>
        <v/>
      </c>
      <c r="AU804" s="1995" t="str">
        <f t="shared" si="25"/>
        <v/>
      </c>
      <c r="AV804" s="1995" t="str">
        <f t="shared" si="26"/>
        <v/>
      </c>
      <c r="AW804" s="1995" t="str">
        <f t="shared" si="27"/>
        <v/>
      </c>
      <c r="AX804" s="1995" t="str">
        <f t="shared" si="28"/>
        <v/>
      </c>
      <c r="AY804" s="1995" t="str">
        <f t="shared" si="29"/>
        <v/>
      </c>
      <c r="AZ804" s="1995" t="str">
        <f t="shared" si="30"/>
        <v/>
      </c>
      <c r="BA804" s="1995" t="str">
        <f t="shared" si="31"/>
        <v/>
      </c>
      <c r="BB804" s="1995" t="str">
        <f t="shared" si="32"/>
        <v/>
      </c>
      <c r="BC804" s="1995" t="str">
        <f t="shared" si="33"/>
        <v/>
      </c>
      <c r="BD804" s="1995" t="str">
        <f t="shared" si="34"/>
        <v/>
      </c>
      <c r="BE804" s="1995" t="str">
        <f t="shared" si="35"/>
        <v/>
      </c>
      <c r="BF804" s="1995" t="str">
        <f t="shared" si="36"/>
        <v/>
      </c>
      <c r="BG804" s="1995" t="str">
        <f t="shared" si="37"/>
        <v/>
      </c>
      <c r="BH804" s="1995" t="str">
        <f t="shared" si="38"/>
        <v/>
      </c>
      <c r="BI804" s="1995" t="str">
        <f t="shared" si="39"/>
        <v/>
      </c>
      <c r="BJ804" s="1995" t="str">
        <f t="shared" si="40"/>
        <v/>
      </c>
      <c r="BK804" s="1995" t="str">
        <f t="shared" si="41"/>
        <v/>
      </c>
      <c r="BL804" s="1995" t="str">
        <f t="shared" si="42"/>
        <v/>
      </c>
      <c r="BM804" s="1995" t="str">
        <f t="shared" si="43"/>
        <v/>
      </c>
      <c r="BN804" s="1995" t="str">
        <f t="shared" si="44"/>
        <v/>
      </c>
      <c r="BO804" s="1995" t="str">
        <f t="shared" si="45"/>
        <v/>
      </c>
      <c r="BP804" s="1995" t="str">
        <f t="shared" si="46"/>
        <v/>
      </c>
      <c r="BQ804" s="1995" t="str">
        <f t="shared" si="47"/>
        <v/>
      </c>
      <c r="BR804" s="1995" t="str">
        <f t="shared" si="48"/>
        <v/>
      </c>
      <c r="BS804" s="1995" t="str">
        <f t="shared" si="49"/>
        <v/>
      </c>
      <c r="BT804" s="1995" t="str">
        <f t="shared" si="50"/>
        <v/>
      </c>
      <c r="BU804" s="1995" t="str">
        <f t="shared" si="51"/>
        <v/>
      </c>
      <c r="BV804" s="1995" t="str">
        <f t="shared" si="52"/>
        <v/>
      </c>
      <c r="BW804" s="1995" t="str">
        <f t="shared" si="53"/>
        <v/>
      </c>
      <c r="BX804" s="1995" t="str">
        <f t="shared" si="54"/>
        <v/>
      </c>
      <c r="BY804" s="1995" t="str">
        <f t="shared" si="55"/>
        <v/>
      </c>
      <c r="BZ804" s="1995" t="str">
        <f t="shared" si="56"/>
        <v/>
      </c>
      <c r="CA804" s="1995" t="str">
        <f t="shared" si="57"/>
        <v/>
      </c>
      <c r="CB804" s="1995" t="str">
        <f t="shared" si="58"/>
        <v/>
      </c>
      <c r="CC804" s="1995" t="str">
        <f t="shared" si="59"/>
        <v/>
      </c>
      <c r="CD804" s="1995" t="str">
        <f t="shared" si="60"/>
        <v/>
      </c>
      <c r="CE804" s="1995" t="str">
        <f t="shared" si="61"/>
        <v/>
      </c>
      <c r="CF804" s="1995" t="str">
        <f t="shared" si="62"/>
        <v/>
      </c>
      <c r="CG804" s="1995" t="str">
        <f t="shared" si="63"/>
        <v/>
      </c>
      <c r="CH804" s="1995" t="str">
        <f t="shared" si="64"/>
        <v/>
      </c>
      <c r="CI804" s="1995" t="str">
        <f t="shared" si="65"/>
        <v/>
      </c>
      <c r="CJ804" s="1995" t="str">
        <f t="shared" si="66"/>
        <v/>
      </c>
      <c r="CK804" s="1995" t="str">
        <f t="shared" si="67"/>
        <v/>
      </c>
      <c r="CL804" s="1995" t="str">
        <f t="shared" si="68"/>
        <v/>
      </c>
      <c r="CM804" s="1995" t="str">
        <f t="shared" si="69"/>
        <v/>
      </c>
      <c r="CN804" s="1995" t="str">
        <f t="shared" si="70"/>
        <v/>
      </c>
      <c r="CO804" s="1995" t="str">
        <f t="shared" si="71"/>
        <v/>
      </c>
      <c r="CP804" s="1995" t="str">
        <f t="shared" si="72"/>
        <v/>
      </c>
      <c r="CQ804" s="1995" t="str">
        <f t="shared" si="73"/>
        <v/>
      </c>
      <c r="CR804" s="1995" t="str">
        <f t="shared" si="74"/>
        <v/>
      </c>
      <c r="CS804" s="1995" t="str">
        <f t="shared" si="75"/>
        <v/>
      </c>
      <c r="CT804" s="1995" t="str">
        <f t="shared" si="76"/>
        <v/>
      </c>
      <c r="CU804" s="1995" t="str">
        <f t="shared" si="77"/>
        <v/>
      </c>
      <c r="CV804" s="1995" t="str">
        <f t="shared" si="78"/>
        <v/>
      </c>
      <c r="CW804" s="1995" t="str">
        <f t="shared" si="79"/>
        <v/>
      </c>
      <c r="CX804" s="1995" t="str">
        <f t="shared" si="80"/>
        <v/>
      </c>
      <c r="CY804" s="1995" t="str">
        <f t="shared" si="81"/>
        <v/>
      </c>
      <c r="CZ804" s="1995" t="str">
        <f t="shared" si="82"/>
        <v/>
      </c>
      <c r="DA804" s="1995" t="str">
        <f t="shared" si="83"/>
        <v/>
      </c>
      <c r="DB804" s="1995" t="str">
        <f t="shared" si="84"/>
        <v/>
      </c>
      <c r="DC804" s="1995" t="str">
        <f t="shared" si="85"/>
        <v/>
      </c>
      <c r="DD804" s="1995" t="str">
        <f t="shared" si="86"/>
        <v/>
      </c>
      <c r="DE804" s="1995" t="str">
        <f t="shared" si="87"/>
        <v/>
      </c>
      <c r="DF804" s="1995" t="str">
        <f t="shared" si="88"/>
        <v/>
      </c>
      <c r="DG804" s="1995" t="str">
        <f t="shared" si="89"/>
        <v/>
      </c>
      <c r="DH804" s="1995" t="str">
        <f t="shared" si="90"/>
        <v/>
      </c>
      <c r="DI804" s="1995" t="str">
        <f t="shared" si="91"/>
        <v/>
      </c>
      <c r="DJ804" s="1995" t="str">
        <f t="shared" si="92"/>
        <v/>
      </c>
      <c r="DK804" s="1995" t="str">
        <f t="shared" si="93"/>
        <v/>
      </c>
      <c r="DL804" s="1995" t="str">
        <f t="shared" si="94"/>
        <v/>
      </c>
      <c r="DM804" s="1995" t="str">
        <f t="shared" si="95"/>
        <v/>
      </c>
      <c r="DN804" s="1995" t="str">
        <f t="shared" si="96"/>
        <v/>
      </c>
      <c r="DO804" s="1995" t="str">
        <f t="shared" si="97"/>
        <v/>
      </c>
      <c r="DP804" s="1995" t="str">
        <f t="shared" si="98"/>
        <v/>
      </c>
      <c r="DQ804" s="1995" t="str">
        <f t="shared" si="99"/>
        <v/>
      </c>
      <c r="DR804" s="1995" t="str">
        <f t="shared" si="100"/>
        <v/>
      </c>
      <c r="DS804" s="1995" t="str">
        <f t="shared" si="101"/>
        <v/>
      </c>
      <c r="DT804" s="1995" t="str">
        <f t="shared" si="102"/>
        <v/>
      </c>
      <c r="DU804" s="1995" t="str">
        <f t="shared" si="103"/>
        <v/>
      </c>
      <c r="DV804" s="1995" t="str">
        <f t="shared" si="104"/>
        <v/>
      </c>
      <c r="DW804" s="1995" t="str">
        <f t="shared" si="105"/>
        <v/>
      </c>
      <c r="DX804" s="1995" t="str">
        <f t="shared" si="106"/>
        <v/>
      </c>
      <c r="DY804" s="1995" t="str">
        <f t="shared" si="107"/>
        <v/>
      </c>
      <c r="DZ804" s="1995" t="str">
        <f t="shared" si="108"/>
        <v/>
      </c>
      <c r="EA804" s="1995" t="str">
        <f t="shared" si="109"/>
        <v/>
      </c>
      <c r="EB804" s="1995" t="str">
        <f t="shared" si="110"/>
        <v/>
      </c>
      <c r="EC804" s="1995" t="str">
        <f t="shared" si="111"/>
        <v/>
      </c>
      <c r="ED804" s="1995" t="str">
        <f t="shared" si="112"/>
        <v/>
      </c>
      <c r="EE804" s="1995" t="str">
        <f t="shared" si="113"/>
        <v/>
      </c>
      <c r="EF804" s="1995" t="str">
        <f t="shared" si="114"/>
        <v/>
      </c>
      <c r="EG804" s="1995" t="str">
        <f t="shared" si="115"/>
        <v/>
      </c>
      <c r="EH804" s="1995" t="str">
        <f t="shared" si="116"/>
        <v/>
      </c>
      <c r="EI804" s="1995" t="str">
        <f t="shared" si="117"/>
        <v/>
      </c>
      <c r="EJ804" s="1995" t="str">
        <f t="shared" si="118"/>
        <v/>
      </c>
      <c r="EK804" s="1995" t="str">
        <f t="shared" si="119"/>
        <v/>
      </c>
      <c r="EL804" s="1995" t="str">
        <f t="shared" si="120"/>
        <v/>
      </c>
      <c r="EM804" s="1995" t="str">
        <f t="shared" si="121"/>
        <v/>
      </c>
      <c r="EN804" s="1995" t="str">
        <f t="shared" si="122"/>
        <v/>
      </c>
      <c r="EO804" s="1995" t="str">
        <f t="shared" si="123"/>
        <v/>
      </c>
      <c r="EP804" s="1995" t="str">
        <f t="shared" si="124"/>
        <v/>
      </c>
      <c r="EQ804" s="1995" t="str">
        <f t="shared" si="125"/>
        <v/>
      </c>
      <c r="ER804" s="1995" t="str">
        <f t="shared" si="126"/>
        <v/>
      </c>
      <c r="ES804" s="1995" t="str">
        <f t="shared" si="127"/>
        <v/>
      </c>
      <c r="ET804" s="1995" t="str">
        <f t="shared" si="128"/>
        <v/>
      </c>
      <c r="EU804" s="1995" t="str">
        <f t="shared" si="129"/>
        <v/>
      </c>
      <c r="EV804" s="1995" t="str">
        <f t="shared" si="130"/>
        <v/>
      </c>
      <c r="EW804" s="1995" t="str">
        <f t="shared" si="131"/>
        <v/>
      </c>
      <c r="EX804" s="1995" t="str">
        <f t="shared" si="132"/>
        <v/>
      </c>
      <c r="EY804" s="1995" t="str">
        <f t="shared" si="133"/>
        <v/>
      </c>
      <c r="EZ804" s="1995" t="str">
        <f t="shared" si="134"/>
        <v/>
      </c>
      <c r="FA804" s="1995" t="str">
        <f t="shared" si="135"/>
        <v/>
      </c>
      <c r="FB804" s="1995" t="str">
        <f t="shared" si="136"/>
        <v/>
      </c>
      <c r="FC804" s="1995" t="str">
        <f t="shared" si="137"/>
        <v/>
      </c>
      <c r="FD804" s="1995" t="str">
        <f t="shared" si="138"/>
        <v/>
      </c>
      <c r="FE804" s="1995" t="str">
        <f t="shared" si="139"/>
        <v/>
      </c>
      <c r="FF804" s="1995" t="str">
        <f t="shared" si="140"/>
        <v/>
      </c>
      <c r="FG804" s="1995" t="str">
        <f t="shared" si="141"/>
        <v/>
      </c>
      <c r="FH804" s="1995" t="str">
        <f t="shared" si="142"/>
        <v/>
      </c>
      <c r="FI804" s="1995" t="str">
        <f t="shared" si="143"/>
        <v/>
      </c>
      <c r="FJ804" s="1995" t="str">
        <f t="shared" si="144"/>
        <v/>
      </c>
      <c r="FK804" s="1995" t="str">
        <f t="shared" si="145"/>
        <v/>
      </c>
      <c r="FL804" s="1995" t="str">
        <f t="shared" si="146"/>
        <v/>
      </c>
      <c r="FM804" s="1995" t="str">
        <f t="shared" si="147"/>
        <v/>
      </c>
      <c r="FN804" s="1995" t="str">
        <f t="shared" si="148"/>
        <v/>
      </c>
      <c r="FO804" s="1995" t="str">
        <f t="shared" si="149"/>
        <v/>
      </c>
      <c r="FP804" s="1995" t="str">
        <f t="shared" si="150"/>
        <v/>
      </c>
      <c r="FQ804" s="1995" t="str">
        <f t="shared" si="151"/>
        <v/>
      </c>
      <c r="FR804" s="1995" t="str">
        <f t="shared" si="152"/>
        <v/>
      </c>
      <c r="FS804" s="1995" t="str">
        <f t="shared" si="153"/>
        <v/>
      </c>
      <c r="FT804" s="1995" t="str">
        <f t="shared" si="154"/>
        <v/>
      </c>
      <c r="FU804" s="1995" t="str">
        <f t="shared" si="155"/>
        <v/>
      </c>
      <c r="FV804" s="1995" t="str">
        <f t="shared" si="156"/>
        <v/>
      </c>
      <c r="FW804" s="1995" t="str">
        <f t="shared" si="157"/>
        <v/>
      </c>
      <c r="FX804" s="1995" t="str">
        <f t="shared" si="158"/>
        <v/>
      </c>
      <c r="FY804" s="1995" t="str">
        <f t="shared" si="159"/>
        <v/>
      </c>
      <c r="FZ804" s="1995" t="str">
        <f t="shared" si="160"/>
        <v/>
      </c>
      <c r="GA804" s="1995" t="str">
        <f t="shared" si="161"/>
        <v/>
      </c>
      <c r="GB804" s="1995" t="str">
        <f t="shared" si="162"/>
        <v/>
      </c>
      <c r="GC804" s="1995" t="str">
        <f t="shared" si="163"/>
        <v/>
      </c>
      <c r="GD804" s="1995" t="str">
        <f t="shared" si="164"/>
        <v/>
      </c>
      <c r="GE804" s="1995" t="str">
        <f t="shared" si="165"/>
        <v/>
      </c>
      <c r="GF804" s="1995" t="str">
        <f t="shared" si="166"/>
        <v/>
      </c>
      <c r="GG804" s="1995" t="str">
        <f t="shared" si="167"/>
        <v/>
      </c>
      <c r="GH804" s="1995" t="str">
        <f t="shared" si="168"/>
        <v/>
      </c>
      <c r="GI804" s="1995" t="str">
        <f t="shared" si="169"/>
        <v/>
      </c>
      <c r="GJ804" s="1995" t="str">
        <f t="shared" si="170"/>
        <v/>
      </c>
      <c r="GK804" s="1995" t="str">
        <f t="shared" si="171"/>
        <v/>
      </c>
      <c r="GL804" s="1995" t="str">
        <f t="shared" si="172"/>
        <v/>
      </c>
      <c r="GM804" s="1995" t="str">
        <f t="shared" si="173"/>
        <v/>
      </c>
      <c r="GN804" s="1995" t="str">
        <f t="shared" si="174"/>
        <v/>
      </c>
      <c r="GO804" s="1995" t="str">
        <f t="shared" si="175"/>
        <v/>
      </c>
      <c r="GP804" s="1995" t="str">
        <f t="shared" si="176"/>
        <v/>
      </c>
      <c r="GQ804" s="1995" t="str">
        <f t="shared" si="177"/>
        <v/>
      </c>
      <c r="GR804" s="1995" t="str">
        <f t="shared" si="178"/>
        <v/>
      </c>
      <c r="GS804" s="1995" t="str">
        <f t="shared" si="179"/>
        <v/>
      </c>
      <c r="GT804" s="1995" t="str">
        <f t="shared" si="180"/>
        <v/>
      </c>
      <c r="GU804" s="1995" t="str">
        <f t="shared" si="181"/>
        <v/>
      </c>
      <c r="GV804" s="1995" t="str">
        <f t="shared" si="182"/>
        <v/>
      </c>
      <c r="GW804" s="1995" t="str">
        <f t="shared" si="183"/>
        <v/>
      </c>
      <c r="GX804" s="1995" t="str">
        <f t="shared" si="184"/>
        <v/>
      </c>
      <c r="GY804" s="1995" t="str">
        <f t="shared" si="185"/>
        <v/>
      </c>
      <c r="GZ804" s="1995" t="str">
        <f t="shared" si="186"/>
        <v/>
      </c>
      <c r="HA804" s="1995" t="str">
        <f t="shared" si="187"/>
        <v/>
      </c>
      <c r="HB804" s="1995" t="str">
        <f t="shared" si="188"/>
        <v/>
      </c>
      <c r="HC804" s="1995" t="str">
        <f t="shared" si="189"/>
        <v/>
      </c>
      <c r="HD804" s="1995" t="str">
        <f t="shared" si="190"/>
        <v/>
      </c>
      <c r="HE804" s="1995" t="str">
        <f t="shared" si="191"/>
        <v/>
      </c>
      <c r="HF804" s="1995" t="str">
        <f t="shared" si="192"/>
        <v/>
      </c>
      <c r="HG804" s="1995" t="str">
        <f t="shared" si="193"/>
        <v/>
      </c>
      <c r="HH804" s="1995" t="str">
        <f t="shared" si="194"/>
        <v/>
      </c>
      <c r="HI804" s="1995" t="str">
        <f t="shared" si="195"/>
        <v/>
      </c>
      <c r="HJ804" s="1995" t="str">
        <f t="shared" si="196"/>
        <v/>
      </c>
      <c r="HK804" s="1995" t="str">
        <f t="shared" si="197"/>
        <v/>
      </c>
      <c r="HL804" s="1995" t="str">
        <f t="shared" si="198"/>
        <v/>
      </c>
      <c r="HM804" s="1995" t="str">
        <f t="shared" si="199"/>
        <v/>
      </c>
      <c r="HN804" s="1995" t="str">
        <f t="shared" si="200"/>
        <v/>
      </c>
      <c r="HO804" s="1995" t="str">
        <f t="shared" si="201"/>
        <v/>
      </c>
      <c r="HP804" s="1995" t="str">
        <f t="shared" si="202"/>
        <v/>
      </c>
      <c r="HQ804" s="1995" t="str">
        <f t="shared" si="203"/>
        <v/>
      </c>
      <c r="HR804" s="1995" t="str">
        <f t="shared" si="204"/>
        <v/>
      </c>
      <c r="HS804" s="1995" t="str">
        <f t="shared" si="205"/>
        <v/>
      </c>
      <c r="HT804" s="1995" t="str">
        <f t="shared" si="206"/>
        <v/>
      </c>
      <c r="HU804" s="1995" t="str">
        <f t="shared" si="207"/>
        <v/>
      </c>
      <c r="HV804" s="1995" t="str">
        <f t="shared" si="208"/>
        <v/>
      </c>
      <c r="HW804" s="1995" t="str">
        <f t="shared" si="209"/>
        <v/>
      </c>
      <c r="HX804" s="1995" t="str">
        <f t="shared" si="210"/>
        <v/>
      </c>
      <c r="HY804" s="1995" t="str">
        <f t="shared" si="211"/>
        <v/>
      </c>
      <c r="HZ804" s="1900" t="str">
        <f t="shared" si="212"/>
        <v/>
      </c>
      <c r="IA804" s="1900" t="str">
        <f t="shared" si="213"/>
        <v/>
      </c>
      <c r="IB804" s="1900" t="str">
        <f t="shared" si="214"/>
        <v/>
      </c>
      <c r="IC804" s="1900" t="str">
        <f t="shared" si="215"/>
        <v/>
      </c>
      <c r="ID804" s="1900" t="str">
        <f t="shared" si="216"/>
        <v/>
      </c>
      <c r="IE804" s="1900" t="str">
        <f t="shared" si="217"/>
        <v/>
      </c>
      <c r="IF804" s="1900" t="str">
        <f t="shared" si="218"/>
        <v/>
      </c>
      <c r="IG804" s="1900" t="str">
        <f t="shared" si="219"/>
        <v/>
      </c>
      <c r="IH804" s="1900" t="str">
        <f t="shared" si="220"/>
        <v/>
      </c>
      <c r="II804" s="1900" t="str">
        <f t="shared" si="221"/>
        <v/>
      </c>
      <c r="IJ804" s="1900" t="str">
        <f t="shared" si="222"/>
        <v/>
      </c>
      <c r="IK804" s="1900" t="str">
        <f t="shared" si="223"/>
        <v/>
      </c>
      <c r="IL804" s="1900" t="str">
        <f t="shared" si="224"/>
        <v/>
      </c>
      <c r="IM804" s="1900" t="str">
        <f t="shared" si="225"/>
        <v/>
      </c>
      <c r="IN804" s="1900" t="str">
        <f t="shared" si="226"/>
        <v/>
      </c>
      <c r="IO804" s="1900" t="str">
        <f t="shared" si="227"/>
        <v/>
      </c>
      <c r="IP804" s="1900" t="str">
        <f t="shared" si="228"/>
        <v/>
      </c>
      <c r="IQ804" s="1900" t="str">
        <f t="shared" si="229"/>
        <v/>
      </c>
      <c r="IR804" s="1900" t="str">
        <f t="shared" si="230"/>
        <v/>
      </c>
      <c r="IS804" s="1900" t="str">
        <f t="shared" si="231"/>
        <v/>
      </c>
      <c r="IT804" s="1900" t="str">
        <f t="shared" si="232"/>
        <v/>
      </c>
      <c r="IU804" s="1900" t="str">
        <f t="shared" si="233"/>
        <v/>
      </c>
      <c r="IV804" s="1900" t="str">
        <f t="shared" si="234"/>
        <v/>
      </c>
      <c r="IW804" s="1900" t="str">
        <f t="shared" si="235"/>
        <v/>
      </c>
      <c r="IX804" s="1900" t="str">
        <f t="shared" si="236"/>
        <v/>
      </c>
      <c r="IY804" s="1900" t="str">
        <f t="shared" si="237"/>
        <v/>
      </c>
      <c r="IZ804" s="1900" t="str">
        <f t="shared" si="238"/>
        <v/>
      </c>
      <c r="JA804" s="1900" t="str">
        <f t="shared" si="239"/>
        <v/>
      </c>
      <c r="JB804" s="1900" t="str">
        <f t="shared" si="240"/>
        <v/>
      </c>
      <c r="JC804" s="1900" t="str">
        <f t="shared" si="241"/>
        <v/>
      </c>
      <c r="JD804" s="1900" t="str">
        <f t="shared" si="242"/>
        <v/>
      </c>
      <c r="JE804" s="1900" t="str">
        <f t="shared" si="243"/>
        <v/>
      </c>
      <c r="JF804" s="1900" t="str">
        <f t="shared" si="244"/>
        <v/>
      </c>
      <c r="JG804" s="1900" t="str">
        <f t="shared" si="245"/>
        <v/>
      </c>
      <c r="JH804" s="1900" t="str">
        <f t="shared" si="246"/>
        <v/>
      </c>
      <c r="JI804" s="1900" t="str">
        <f t="shared" si="247"/>
        <v/>
      </c>
      <c r="JJ804" s="1900" t="str">
        <f t="shared" si="248"/>
        <v/>
      </c>
      <c r="JK804" s="1900" t="str">
        <f t="shared" si="249"/>
        <v/>
      </c>
      <c r="JL804" s="1900" t="str">
        <f t="shared" si="250"/>
        <v/>
      </c>
      <c r="JM804" s="1900" t="str">
        <f t="shared" si="251"/>
        <v/>
      </c>
      <c r="JN804" s="1900" t="str">
        <f t="shared" si="252"/>
        <v/>
      </c>
      <c r="JO804" s="1900" t="str">
        <f t="shared" si="253"/>
        <v/>
      </c>
      <c r="JP804" s="1900" t="str">
        <f t="shared" si="254"/>
        <v/>
      </c>
      <c r="JQ804" s="1900" t="str">
        <f t="shared" si="255"/>
        <v/>
      </c>
      <c r="JR804" s="1900" t="str">
        <f t="shared" si="256"/>
        <v/>
      </c>
      <c r="JS804" s="1900" t="str">
        <f t="shared" si="257"/>
        <v/>
      </c>
      <c r="JT804" s="1900" t="str">
        <f t="shared" si="258"/>
        <v/>
      </c>
      <c r="JU804" s="1900" t="str">
        <f t="shared" si="259"/>
        <v/>
      </c>
      <c r="JV804" s="1900" t="str">
        <f t="shared" si="260"/>
        <v/>
      </c>
      <c r="JW804" s="1900" t="str">
        <f t="shared" si="261"/>
        <v/>
      </c>
      <c r="JX804" s="1900" t="str">
        <f t="shared" si="262"/>
        <v/>
      </c>
      <c r="JY804" s="1900" t="str">
        <f t="shared" si="263"/>
        <v/>
      </c>
      <c r="JZ804" s="1900" t="str">
        <f t="shared" si="264"/>
        <v/>
      </c>
      <c r="KA804" s="1900" t="str">
        <f t="shared" si="265"/>
        <v/>
      </c>
      <c r="KB804" s="1900" t="str">
        <f t="shared" si="266"/>
        <v/>
      </c>
      <c r="KC804" s="1900" t="str">
        <f t="shared" si="267"/>
        <v/>
      </c>
      <c r="KD804" s="1900" t="str">
        <f t="shared" si="268"/>
        <v/>
      </c>
      <c r="KE804" s="1900" t="str">
        <f t="shared" si="269"/>
        <v/>
      </c>
      <c r="KF804" s="1900" t="str">
        <f t="shared" si="270"/>
        <v/>
      </c>
      <c r="KG804" s="1900" t="str">
        <f t="shared" si="271"/>
        <v/>
      </c>
      <c r="KH804" s="1900" t="str">
        <f t="shared" si="272"/>
        <v/>
      </c>
      <c r="KI804" s="1900" t="str">
        <f t="shared" si="273"/>
        <v/>
      </c>
      <c r="KJ804" s="1900" t="str">
        <f t="shared" si="274"/>
        <v/>
      </c>
      <c r="KK804" s="1900" t="str">
        <f t="shared" si="275"/>
        <v/>
      </c>
      <c r="KL804" s="1900" t="str">
        <f t="shared" si="276"/>
        <v/>
      </c>
      <c r="KM804" s="1900" t="str">
        <f t="shared" si="277"/>
        <v/>
      </c>
      <c r="KN804" s="1900" t="str">
        <f t="shared" si="278"/>
        <v/>
      </c>
      <c r="KO804" s="1900" t="str">
        <f t="shared" si="279"/>
        <v/>
      </c>
      <c r="KP804" s="1900" t="str">
        <f t="shared" si="280"/>
        <v/>
      </c>
      <c r="KQ804" s="1900" t="str">
        <f t="shared" si="281"/>
        <v/>
      </c>
      <c r="KR804" s="1900" t="str">
        <f t="shared" si="282"/>
        <v/>
      </c>
      <c r="KS804" s="1900" t="str">
        <f t="shared" si="283"/>
        <v/>
      </c>
      <c r="KT804" s="1900" t="str">
        <f t="shared" si="284"/>
        <v/>
      </c>
      <c r="KU804" s="1900" t="str">
        <f t="shared" si="285"/>
        <v/>
      </c>
      <c r="KV804" s="1900" t="str">
        <f t="shared" si="286"/>
        <v/>
      </c>
      <c r="KW804" s="1900" t="str">
        <f t="shared" si="287"/>
        <v/>
      </c>
      <c r="KX804" s="1900" t="str">
        <f t="shared" si="288"/>
        <v/>
      </c>
      <c r="KY804" s="1900" t="str">
        <f t="shared" si="289"/>
        <v/>
      </c>
      <c r="KZ804" s="1900" t="str">
        <f t="shared" si="290"/>
        <v/>
      </c>
      <c r="LA804" s="1900" t="str">
        <f t="shared" si="291"/>
        <v/>
      </c>
      <c r="LB804" s="1900" t="str">
        <f t="shared" si="292"/>
        <v/>
      </c>
      <c r="LC804" s="1900" t="str">
        <f t="shared" si="293"/>
        <v/>
      </c>
      <c r="LD804" s="1900" t="str">
        <f t="shared" si="294"/>
        <v/>
      </c>
      <c r="LE804" s="1900" t="str">
        <f t="shared" si="295"/>
        <v/>
      </c>
      <c r="LF804" s="1900" t="str">
        <f t="shared" si="296"/>
        <v/>
      </c>
      <c r="LG804" s="1900" t="str">
        <f t="shared" si="297"/>
        <v/>
      </c>
      <c r="LH804" s="1900" t="str">
        <f t="shared" si="298"/>
        <v/>
      </c>
      <c r="LI804" s="1900" t="str">
        <f t="shared" si="299"/>
        <v/>
      </c>
      <c r="LJ804" s="1900" t="str">
        <f t="shared" si="300"/>
        <v/>
      </c>
      <c r="LK804" s="1900" t="str">
        <f t="shared" si="301"/>
        <v/>
      </c>
      <c r="LL804" s="1900" t="str">
        <f t="shared" si="302"/>
        <v/>
      </c>
      <c r="LM804" s="1900" t="str">
        <f t="shared" si="303"/>
        <v/>
      </c>
      <c r="LN804" s="1900" t="str">
        <f t="shared" si="304"/>
        <v/>
      </c>
      <c r="LO804" s="1900" t="str">
        <f t="shared" si="305"/>
        <v/>
      </c>
      <c r="LP804" s="1900" t="str">
        <f t="shared" si="306"/>
        <v/>
      </c>
      <c r="LQ804" s="1874" t="str">
        <f t="shared" si="307"/>
        <v/>
      </c>
      <c r="LR804" s="1874" t="str">
        <f t="shared" si="308"/>
        <v/>
      </c>
      <c r="LS804" s="1874" t="str">
        <f t="shared" si="309"/>
        <v/>
      </c>
      <c r="LT804" s="1874" t="str">
        <f t="shared" si="310"/>
        <v/>
      </c>
      <c r="LU804" s="1874" t="str">
        <f t="shared" si="311"/>
        <v/>
      </c>
      <c r="LV804" s="1995" t="str">
        <f t="shared" si="312"/>
        <v/>
      </c>
      <c r="LW804" s="1995" t="str">
        <f t="shared" si="313"/>
        <v/>
      </c>
      <c r="LX804" s="1995" t="str">
        <f t="shared" si="314"/>
        <v/>
      </c>
      <c r="LY804" s="1995" t="str">
        <f t="shared" si="315"/>
        <v/>
      </c>
      <c r="LZ804" s="1995" t="str">
        <f t="shared" si="316"/>
        <v/>
      </c>
      <c r="MA804" s="1995" t="str">
        <f t="shared" si="317"/>
        <v/>
      </c>
      <c r="MB804" s="1995" t="str">
        <f t="shared" si="318"/>
        <v/>
      </c>
      <c r="MC804" s="1995" t="str">
        <f t="shared" si="319"/>
        <v/>
      </c>
      <c r="MD804" s="1995" t="str">
        <f t="shared" si="320"/>
        <v/>
      </c>
      <c r="ME804" s="1995" t="str">
        <f t="shared" si="321"/>
        <v/>
      </c>
      <c r="MF804" s="1995" t="str">
        <f t="shared" si="322"/>
        <v/>
      </c>
      <c r="MG804" s="1995" t="str">
        <f t="shared" si="323"/>
        <v/>
      </c>
      <c r="MH804" s="1995" t="str">
        <f t="shared" si="324"/>
        <v/>
      </c>
      <c r="MI804" s="1995" t="str">
        <f t="shared" si="325"/>
        <v/>
      </c>
      <c r="MJ804" s="1995" t="str">
        <f t="shared" si="326"/>
        <v/>
      </c>
      <c r="MK804" s="1995" t="str">
        <f t="shared" si="327"/>
        <v/>
      </c>
      <c r="ML804" s="1995" t="str">
        <f t="shared" si="328"/>
        <v/>
      </c>
      <c r="MM804" s="1995" t="str">
        <f t="shared" si="329"/>
        <v/>
      </c>
      <c r="MN804" s="1995" t="str">
        <f t="shared" si="330"/>
        <v/>
      </c>
      <c r="MO804" s="1995" t="str">
        <f t="shared" si="331"/>
        <v/>
      </c>
      <c r="MP804" s="1874">
        <f t="shared" si="338"/>
        <v>0</v>
      </c>
      <c r="MQ804" s="1874">
        <f t="shared" si="339"/>
        <v>0</v>
      </c>
      <c r="MR804" s="1874">
        <f t="shared" si="340"/>
        <v>0</v>
      </c>
      <c r="MS804" s="1874">
        <f t="shared" si="341"/>
        <v>0</v>
      </c>
      <c r="MT804" s="1874">
        <f t="shared" si="342"/>
        <v>0</v>
      </c>
      <c r="MU804" s="1874">
        <f t="shared" si="343"/>
        <v>0</v>
      </c>
      <c r="MV804" s="1874">
        <f t="shared" si="344"/>
        <v>0</v>
      </c>
      <c r="MW804" s="1874">
        <f t="shared" si="345"/>
        <v>0</v>
      </c>
      <c r="MX804" s="1874">
        <f t="shared" si="346"/>
        <v>0</v>
      </c>
      <c r="MY804" s="1874">
        <f t="shared" si="347"/>
        <v>0</v>
      </c>
      <c r="MZ804" s="1874">
        <f t="shared" si="332"/>
        <v>0</v>
      </c>
      <c r="NA804" s="1874">
        <f t="shared" si="333"/>
        <v>0</v>
      </c>
      <c r="NB804" s="1874">
        <f t="shared" si="334"/>
        <v>0</v>
      </c>
      <c r="NC804" s="1874">
        <f t="shared" si="335"/>
        <v>0</v>
      </c>
      <c r="ND804" s="1874">
        <f t="shared" si="336"/>
        <v>0</v>
      </c>
    </row>
    <row r="805" spans="1:368" ht="13.95" customHeight="1">
      <c r="A805" s="1896" t="str">
        <f t="shared" si="337"/>
        <v/>
      </c>
      <c r="B805" s="2212">
        <f>'Part VI-Revenues &amp; Expenses'!B36</f>
        <v>0</v>
      </c>
      <c r="C805" s="2213">
        <f>'Part VI-Revenues &amp; Expenses'!C36</f>
        <v>0</v>
      </c>
      <c r="D805" s="2214">
        <f>'Part VI-Revenues &amp; Expenses'!D36</f>
        <v>0</v>
      </c>
      <c r="E805" s="2215">
        <f>'Part VI-Revenues &amp; Expenses'!E36</f>
        <v>0</v>
      </c>
      <c r="F805" s="2215">
        <f>'Part VI-Revenues &amp; Expenses'!F36</f>
        <v>0</v>
      </c>
      <c r="G805" s="2215">
        <f>'Part VI-Revenues &amp; Expenses'!G36</f>
        <v>0</v>
      </c>
      <c r="H805" s="2215">
        <f>'Part VI-Revenues &amp; Expenses'!H36</f>
        <v>0</v>
      </c>
      <c r="I805" s="2215">
        <f>'Part VI-Revenues &amp; Expenses'!I36</f>
        <v>0</v>
      </c>
      <c r="J805" s="2215">
        <f>'Part VI-Revenues &amp; Expenses'!J36</f>
        <v>0</v>
      </c>
      <c r="K805" s="2216">
        <f>'Part VI-Revenues &amp; Expenses'!K36</f>
        <v>0</v>
      </c>
      <c r="L805" s="1899">
        <f t="shared" si="0"/>
        <v>0</v>
      </c>
      <c r="M805" s="1899">
        <f t="shared" si="1"/>
        <v>0</v>
      </c>
      <c r="N805" s="2074">
        <f>'Part VI-Revenues &amp; Expenses'!N36</f>
        <v>0</v>
      </c>
      <c r="O805" s="2074">
        <f>'Part VI-Revenues &amp; Expenses'!O36</f>
        <v>0</v>
      </c>
      <c r="P805" s="2074">
        <f>'Part VI-Revenues &amp; Expenses'!P36</f>
        <v>0</v>
      </c>
      <c r="Q805" s="1732">
        <f>'Part VI-Revenues &amp; Expenses'!Q36</f>
        <v>0</v>
      </c>
      <c r="R805" s="1926"/>
      <c r="S805" s="2148"/>
      <c r="T805" s="1910"/>
      <c r="U805" s="1910"/>
      <c r="V805" s="1910"/>
      <c r="W805" s="1910"/>
      <c r="X805" s="1995" t="str">
        <f t="shared" si="2"/>
        <v/>
      </c>
      <c r="Y805" s="1995" t="str">
        <f t="shared" si="3"/>
        <v/>
      </c>
      <c r="Z805" s="1995" t="str">
        <f t="shared" si="4"/>
        <v/>
      </c>
      <c r="AA805" s="1995" t="str">
        <f t="shared" si="5"/>
        <v/>
      </c>
      <c r="AB805" s="1995" t="str">
        <f t="shared" si="6"/>
        <v/>
      </c>
      <c r="AC805" s="1995" t="str">
        <f t="shared" si="7"/>
        <v/>
      </c>
      <c r="AD805" s="1995" t="str">
        <f t="shared" si="8"/>
        <v/>
      </c>
      <c r="AE805" s="1995" t="str">
        <f t="shared" si="9"/>
        <v/>
      </c>
      <c r="AF805" s="1995" t="str">
        <f t="shared" si="10"/>
        <v/>
      </c>
      <c r="AG805" s="1995" t="str">
        <f t="shared" si="11"/>
        <v/>
      </c>
      <c r="AH805" s="1995" t="str">
        <f t="shared" si="12"/>
        <v/>
      </c>
      <c r="AI805" s="1995" t="str">
        <f t="shared" si="13"/>
        <v/>
      </c>
      <c r="AJ805" s="1995" t="str">
        <f t="shared" si="14"/>
        <v/>
      </c>
      <c r="AK805" s="1995" t="str">
        <f t="shared" si="15"/>
        <v/>
      </c>
      <c r="AL805" s="1995" t="str">
        <f t="shared" si="16"/>
        <v/>
      </c>
      <c r="AM805" s="1995" t="str">
        <f t="shared" si="17"/>
        <v/>
      </c>
      <c r="AN805" s="1995" t="str">
        <f t="shared" si="18"/>
        <v/>
      </c>
      <c r="AO805" s="1995" t="str">
        <f t="shared" si="19"/>
        <v/>
      </c>
      <c r="AP805" s="1995" t="str">
        <f t="shared" si="20"/>
        <v/>
      </c>
      <c r="AQ805" s="1995" t="str">
        <f t="shared" si="21"/>
        <v/>
      </c>
      <c r="AR805" s="1995" t="str">
        <f t="shared" si="22"/>
        <v/>
      </c>
      <c r="AS805" s="1995" t="str">
        <f t="shared" si="23"/>
        <v/>
      </c>
      <c r="AT805" s="1995" t="str">
        <f t="shared" si="24"/>
        <v/>
      </c>
      <c r="AU805" s="1995" t="str">
        <f t="shared" si="25"/>
        <v/>
      </c>
      <c r="AV805" s="1995" t="str">
        <f t="shared" si="26"/>
        <v/>
      </c>
      <c r="AW805" s="1995" t="str">
        <f t="shared" si="27"/>
        <v/>
      </c>
      <c r="AX805" s="1995" t="str">
        <f t="shared" si="28"/>
        <v/>
      </c>
      <c r="AY805" s="1995" t="str">
        <f t="shared" si="29"/>
        <v/>
      </c>
      <c r="AZ805" s="1995" t="str">
        <f t="shared" si="30"/>
        <v/>
      </c>
      <c r="BA805" s="1995" t="str">
        <f t="shared" si="31"/>
        <v/>
      </c>
      <c r="BB805" s="1995" t="str">
        <f t="shared" si="32"/>
        <v/>
      </c>
      <c r="BC805" s="1995" t="str">
        <f t="shared" si="33"/>
        <v/>
      </c>
      <c r="BD805" s="1995" t="str">
        <f t="shared" si="34"/>
        <v/>
      </c>
      <c r="BE805" s="1995" t="str">
        <f t="shared" si="35"/>
        <v/>
      </c>
      <c r="BF805" s="1995" t="str">
        <f t="shared" si="36"/>
        <v/>
      </c>
      <c r="BG805" s="1995" t="str">
        <f t="shared" si="37"/>
        <v/>
      </c>
      <c r="BH805" s="1995" t="str">
        <f t="shared" si="38"/>
        <v/>
      </c>
      <c r="BI805" s="1995" t="str">
        <f t="shared" si="39"/>
        <v/>
      </c>
      <c r="BJ805" s="1995" t="str">
        <f t="shared" si="40"/>
        <v/>
      </c>
      <c r="BK805" s="1995" t="str">
        <f t="shared" si="41"/>
        <v/>
      </c>
      <c r="BL805" s="1995" t="str">
        <f t="shared" si="42"/>
        <v/>
      </c>
      <c r="BM805" s="1995" t="str">
        <f t="shared" si="43"/>
        <v/>
      </c>
      <c r="BN805" s="1995" t="str">
        <f t="shared" si="44"/>
        <v/>
      </c>
      <c r="BO805" s="1995" t="str">
        <f t="shared" si="45"/>
        <v/>
      </c>
      <c r="BP805" s="1995" t="str">
        <f t="shared" si="46"/>
        <v/>
      </c>
      <c r="BQ805" s="1995" t="str">
        <f t="shared" si="47"/>
        <v/>
      </c>
      <c r="BR805" s="1995" t="str">
        <f t="shared" si="48"/>
        <v/>
      </c>
      <c r="BS805" s="1995" t="str">
        <f t="shared" si="49"/>
        <v/>
      </c>
      <c r="BT805" s="1995" t="str">
        <f t="shared" si="50"/>
        <v/>
      </c>
      <c r="BU805" s="1995" t="str">
        <f t="shared" si="51"/>
        <v/>
      </c>
      <c r="BV805" s="1995" t="str">
        <f t="shared" si="52"/>
        <v/>
      </c>
      <c r="BW805" s="1995" t="str">
        <f t="shared" si="53"/>
        <v/>
      </c>
      <c r="BX805" s="1995" t="str">
        <f t="shared" si="54"/>
        <v/>
      </c>
      <c r="BY805" s="1995" t="str">
        <f t="shared" si="55"/>
        <v/>
      </c>
      <c r="BZ805" s="1995" t="str">
        <f t="shared" si="56"/>
        <v/>
      </c>
      <c r="CA805" s="1995" t="str">
        <f t="shared" si="57"/>
        <v/>
      </c>
      <c r="CB805" s="1995" t="str">
        <f t="shared" si="58"/>
        <v/>
      </c>
      <c r="CC805" s="1995" t="str">
        <f t="shared" si="59"/>
        <v/>
      </c>
      <c r="CD805" s="1995" t="str">
        <f t="shared" si="60"/>
        <v/>
      </c>
      <c r="CE805" s="1995" t="str">
        <f t="shared" si="61"/>
        <v/>
      </c>
      <c r="CF805" s="1995" t="str">
        <f t="shared" si="62"/>
        <v/>
      </c>
      <c r="CG805" s="1995" t="str">
        <f t="shared" si="63"/>
        <v/>
      </c>
      <c r="CH805" s="1995" t="str">
        <f t="shared" si="64"/>
        <v/>
      </c>
      <c r="CI805" s="1995" t="str">
        <f t="shared" si="65"/>
        <v/>
      </c>
      <c r="CJ805" s="1995" t="str">
        <f t="shared" si="66"/>
        <v/>
      </c>
      <c r="CK805" s="1995" t="str">
        <f t="shared" si="67"/>
        <v/>
      </c>
      <c r="CL805" s="1995" t="str">
        <f t="shared" si="68"/>
        <v/>
      </c>
      <c r="CM805" s="1995" t="str">
        <f t="shared" si="69"/>
        <v/>
      </c>
      <c r="CN805" s="1995" t="str">
        <f t="shared" si="70"/>
        <v/>
      </c>
      <c r="CO805" s="1995" t="str">
        <f t="shared" si="71"/>
        <v/>
      </c>
      <c r="CP805" s="1995" t="str">
        <f t="shared" si="72"/>
        <v/>
      </c>
      <c r="CQ805" s="1995" t="str">
        <f t="shared" si="73"/>
        <v/>
      </c>
      <c r="CR805" s="1995" t="str">
        <f t="shared" si="74"/>
        <v/>
      </c>
      <c r="CS805" s="1995" t="str">
        <f t="shared" si="75"/>
        <v/>
      </c>
      <c r="CT805" s="1995" t="str">
        <f t="shared" si="76"/>
        <v/>
      </c>
      <c r="CU805" s="1995" t="str">
        <f t="shared" si="77"/>
        <v/>
      </c>
      <c r="CV805" s="1995" t="str">
        <f t="shared" si="78"/>
        <v/>
      </c>
      <c r="CW805" s="1995" t="str">
        <f t="shared" si="79"/>
        <v/>
      </c>
      <c r="CX805" s="1995" t="str">
        <f t="shared" si="80"/>
        <v/>
      </c>
      <c r="CY805" s="1995" t="str">
        <f t="shared" si="81"/>
        <v/>
      </c>
      <c r="CZ805" s="1995" t="str">
        <f t="shared" si="82"/>
        <v/>
      </c>
      <c r="DA805" s="1995" t="str">
        <f t="shared" si="83"/>
        <v/>
      </c>
      <c r="DB805" s="1995" t="str">
        <f t="shared" si="84"/>
        <v/>
      </c>
      <c r="DC805" s="1995" t="str">
        <f t="shared" si="85"/>
        <v/>
      </c>
      <c r="DD805" s="1995" t="str">
        <f t="shared" si="86"/>
        <v/>
      </c>
      <c r="DE805" s="1995" t="str">
        <f t="shared" si="87"/>
        <v/>
      </c>
      <c r="DF805" s="1995" t="str">
        <f t="shared" si="88"/>
        <v/>
      </c>
      <c r="DG805" s="1995" t="str">
        <f t="shared" si="89"/>
        <v/>
      </c>
      <c r="DH805" s="1995" t="str">
        <f t="shared" si="90"/>
        <v/>
      </c>
      <c r="DI805" s="1995" t="str">
        <f t="shared" si="91"/>
        <v/>
      </c>
      <c r="DJ805" s="1995" t="str">
        <f t="shared" si="92"/>
        <v/>
      </c>
      <c r="DK805" s="1995" t="str">
        <f t="shared" si="93"/>
        <v/>
      </c>
      <c r="DL805" s="1995" t="str">
        <f t="shared" si="94"/>
        <v/>
      </c>
      <c r="DM805" s="1995" t="str">
        <f t="shared" si="95"/>
        <v/>
      </c>
      <c r="DN805" s="1995" t="str">
        <f t="shared" si="96"/>
        <v/>
      </c>
      <c r="DO805" s="1995" t="str">
        <f t="shared" si="97"/>
        <v/>
      </c>
      <c r="DP805" s="1995" t="str">
        <f t="shared" si="98"/>
        <v/>
      </c>
      <c r="DQ805" s="1995" t="str">
        <f t="shared" si="99"/>
        <v/>
      </c>
      <c r="DR805" s="1995" t="str">
        <f t="shared" si="100"/>
        <v/>
      </c>
      <c r="DS805" s="1995" t="str">
        <f t="shared" si="101"/>
        <v/>
      </c>
      <c r="DT805" s="1995" t="str">
        <f t="shared" si="102"/>
        <v/>
      </c>
      <c r="DU805" s="1995" t="str">
        <f t="shared" si="103"/>
        <v/>
      </c>
      <c r="DV805" s="1995" t="str">
        <f t="shared" si="104"/>
        <v/>
      </c>
      <c r="DW805" s="1995" t="str">
        <f t="shared" si="105"/>
        <v/>
      </c>
      <c r="DX805" s="1995" t="str">
        <f t="shared" si="106"/>
        <v/>
      </c>
      <c r="DY805" s="1995" t="str">
        <f t="shared" si="107"/>
        <v/>
      </c>
      <c r="DZ805" s="1995" t="str">
        <f t="shared" si="108"/>
        <v/>
      </c>
      <c r="EA805" s="1995" t="str">
        <f t="shared" si="109"/>
        <v/>
      </c>
      <c r="EB805" s="1995" t="str">
        <f t="shared" si="110"/>
        <v/>
      </c>
      <c r="EC805" s="1995" t="str">
        <f t="shared" si="111"/>
        <v/>
      </c>
      <c r="ED805" s="1995" t="str">
        <f t="shared" si="112"/>
        <v/>
      </c>
      <c r="EE805" s="1995" t="str">
        <f t="shared" si="113"/>
        <v/>
      </c>
      <c r="EF805" s="1995" t="str">
        <f t="shared" si="114"/>
        <v/>
      </c>
      <c r="EG805" s="1995" t="str">
        <f t="shared" si="115"/>
        <v/>
      </c>
      <c r="EH805" s="1995" t="str">
        <f t="shared" si="116"/>
        <v/>
      </c>
      <c r="EI805" s="1995" t="str">
        <f t="shared" si="117"/>
        <v/>
      </c>
      <c r="EJ805" s="1995" t="str">
        <f t="shared" si="118"/>
        <v/>
      </c>
      <c r="EK805" s="1995" t="str">
        <f t="shared" si="119"/>
        <v/>
      </c>
      <c r="EL805" s="1995" t="str">
        <f t="shared" si="120"/>
        <v/>
      </c>
      <c r="EM805" s="1995" t="str">
        <f t="shared" si="121"/>
        <v/>
      </c>
      <c r="EN805" s="1995" t="str">
        <f t="shared" si="122"/>
        <v/>
      </c>
      <c r="EO805" s="1995" t="str">
        <f t="shared" si="123"/>
        <v/>
      </c>
      <c r="EP805" s="1995" t="str">
        <f t="shared" si="124"/>
        <v/>
      </c>
      <c r="EQ805" s="1995" t="str">
        <f t="shared" si="125"/>
        <v/>
      </c>
      <c r="ER805" s="1995" t="str">
        <f t="shared" si="126"/>
        <v/>
      </c>
      <c r="ES805" s="1995" t="str">
        <f t="shared" si="127"/>
        <v/>
      </c>
      <c r="ET805" s="1995" t="str">
        <f t="shared" si="128"/>
        <v/>
      </c>
      <c r="EU805" s="1995" t="str">
        <f t="shared" si="129"/>
        <v/>
      </c>
      <c r="EV805" s="1995" t="str">
        <f t="shared" si="130"/>
        <v/>
      </c>
      <c r="EW805" s="1995" t="str">
        <f t="shared" si="131"/>
        <v/>
      </c>
      <c r="EX805" s="1995" t="str">
        <f t="shared" si="132"/>
        <v/>
      </c>
      <c r="EY805" s="1995" t="str">
        <f t="shared" si="133"/>
        <v/>
      </c>
      <c r="EZ805" s="1995" t="str">
        <f t="shared" si="134"/>
        <v/>
      </c>
      <c r="FA805" s="1995" t="str">
        <f t="shared" si="135"/>
        <v/>
      </c>
      <c r="FB805" s="1995" t="str">
        <f t="shared" si="136"/>
        <v/>
      </c>
      <c r="FC805" s="1995" t="str">
        <f t="shared" si="137"/>
        <v/>
      </c>
      <c r="FD805" s="1995" t="str">
        <f t="shared" si="138"/>
        <v/>
      </c>
      <c r="FE805" s="1995" t="str">
        <f t="shared" si="139"/>
        <v/>
      </c>
      <c r="FF805" s="1995" t="str">
        <f t="shared" si="140"/>
        <v/>
      </c>
      <c r="FG805" s="1995" t="str">
        <f t="shared" si="141"/>
        <v/>
      </c>
      <c r="FH805" s="1995" t="str">
        <f t="shared" si="142"/>
        <v/>
      </c>
      <c r="FI805" s="1995" t="str">
        <f t="shared" si="143"/>
        <v/>
      </c>
      <c r="FJ805" s="1995" t="str">
        <f t="shared" si="144"/>
        <v/>
      </c>
      <c r="FK805" s="1995" t="str">
        <f t="shared" si="145"/>
        <v/>
      </c>
      <c r="FL805" s="1995" t="str">
        <f t="shared" si="146"/>
        <v/>
      </c>
      <c r="FM805" s="1995" t="str">
        <f t="shared" si="147"/>
        <v/>
      </c>
      <c r="FN805" s="1995" t="str">
        <f t="shared" si="148"/>
        <v/>
      </c>
      <c r="FO805" s="1995" t="str">
        <f t="shared" si="149"/>
        <v/>
      </c>
      <c r="FP805" s="1995" t="str">
        <f t="shared" si="150"/>
        <v/>
      </c>
      <c r="FQ805" s="1995" t="str">
        <f t="shared" si="151"/>
        <v/>
      </c>
      <c r="FR805" s="1995" t="str">
        <f t="shared" si="152"/>
        <v/>
      </c>
      <c r="FS805" s="1995" t="str">
        <f t="shared" si="153"/>
        <v/>
      </c>
      <c r="FT805" s="1995" t="str">
        <f t="shared" si="154"/>
        <v/>
      </c>
      <c r="FU805" s="1995" t="str">
        <f t="shared" si="155"/>
        <v/>
      </c>
      <c r="FV805" s="1995" t="str">
        <f t="shared" si="156"/>
        <v/>
      </c>
      <c r="FW805" s="1995" t="str">
        <f t="shared" si="157"/>
        <v/>
      </c>
      <c r="FX805" s="1995" t="str">
        <f t="shared" si="158"/>
        <v/>
      </c>
      <c r="FY805" s="1995" t="str">
        <f t="shared" si="159"/>
        <v/>
      </c>
      <c r="FZ805" s="1995" t="str">
        <f t="shared" si="160"/>
        <v/>
      </c>
      <c r="GA805" s="1995" t="str">
        <f t="shared" si="161"/>
        <v/>
      </c>
      <c r="GB805" s="1995" t="str">
        <f t="shared" si="162"/>
        <v/>
      </c>
      <c r="GC805" s="1995" t="str">
        <f t="shared" si="163"/>
        <v/>
      </c>
      <c r="GD805" s="1995" t="str">
        <f t="shared" si="164"/>
        <v/>
      </c>
      <c r="GE805" s="1995" t="str">
        <f t="shared" si="165"/>
        <v/>
      </c>
      <c r="GF805" s="1995" t="str">
        <f t="shared" si="166"/>
        <v/>
      </c>
      <c r="GG805" s="1995" t="str">
        <f t="shared" si="167"/>
        <v/>
      </c>
      <c r="GH805" s="1995" t="str">
        <f t="shared" si="168"/>
        <v/>
      </c>
      <c r="GI805" s="1995" t="str">
        <f t="shared" si="169"/>
        <v/>
      </c>
      <c r="GJ805" s="1995" t="str">
        <f t="shared" si="170"/>
        <v/>
      </c>
      <c r="GK805" s="1995" t="str">
        <f t="shared" si="171"/>
        <v/>
      </c>
      <c r="GL805" s="1995" t="str">
        <f t="shared" si="172"/>
        <v/>
      </c>
      <c r="GM805" s="1995" t="str">
        <f t="shared" si="173"/>
        <v/>
      </c>
      <c r="GN805" s="1995" t="str">
        <f t="shared" si="174"/>
        <v/>
      </c>
      <c r="GO805" s="1995" t="str">
        <f t="shared" si="175"/>
        <v/>
      </c>
      <c r="GP805" s="1995" t="str">
        <f t="shared" si="176"/>
        <v/>
      </c>
      <c r="GQ805" s="1995" t="str">
        <f t="shared" si="177"/>
        <v/>
      </c>
      <c r="GR805" s="1995" t="str">
        <f t="shared" si="178"/>
        <v/>
      </c>
      <c r="GS805" s="1995" t="str">
        <f t="shared" si="179"/>
        <v/>
      </c>
      <c r="GT805" s="1995" t="str">
        <f t="shared" si="180"/>
        <v/>
      </c>
      <c r="GU805" s="1995" t="str">
        <f t="shared" si="181"/>
        <v/>
      </c>
      <c r="GV805" s="1995" t="str">
        <f t="shared" si="182"/>
        <v/>
      </c>
      <c r="GW805" s="1995" t="str">
        <f t="shared" si="183"/>
        <v/>
      </c>
      <c r="GX805" s="1995" t="str">
        <f t="shared" si="184"/>
        <v/>
      </c>
      <c r="GY805" s="1995" t="str">
        <f t="shared" si="185"/>
        <v/>
      </c>
      <c r="GZ805" s="1995" t="str">
        <f t="shared" si="186"/>
        <v/>
      </c>
      <c r="HA805" s="1995" t="str">
        <f t="shared" si="187"/>
        <v/>
      </c>
      <c r="HB805" s="1995" t="str">
        <f t="shared" si="188"/>
        <v/>
      </c>
      <c r="HC805" s="1995" t="str">
        <f t="shared" si="189"/>
        <v/>
      </c>
      <c r="HD805" s="1995" t="str">
        <f t="shared" si="190"/>
        <v/>
      </c>
      <c r="HE805" s="1995" t="str">
        <f t="shared" si="191"/>
        <v/>
      </c>
      <c r="HF805" s="1995" t="str">
        <f t="shared" si="192"/>
        <v/>
      </c>
      <c r="HG805" s="1995" t="str">
        <f t="shared" si="193"/>
        <v/>
      </c>
      <c r="HH805" s="1995" t="str">
        <f t="shared" si="194"/>
        <v/>
      </c>
      <c r="HI805" s="1995" t="str">
        <f t="shared" si="195"/>
        <v/>
      </c>
      <c r="HJ805" s="1995" t="str">
        <f t="shared" si="196"/>
        <v/>
      </c>
      <c r="HK805" s="1995" t="str">
        <f t="shared" si="197"/>
        <v/>
      </c>
      <c r="HL805" s="1995" t="str">
        <f t="shared" si="198"/>
        <v/>
      </c>
      <c r="HM805" s="1995" t="str">
        <f t="shared" si="199"/>
        <v/>
      </c>
      <c r="HN805" s="1995" t="str">
        <f t="shared" si="200"/>
        <v/>
      </c>
      <c r="HO805" s="1995" t="str">
        <f t="shared" si="201"/>
        <v/>
      </c>
      <c r="HP805" s="1995" t="str">
        <f t="shared" si="202"/>
        <v/>
      </c>
      <c r="HQ805" s="1995" t="str">
        <f t="shared" si="203"/>
        <v/>
      </c>
      <c r="HR805" s="1995" t="str">
        <f t="shared" si="204"/>
        <v/>
      </c>
      <c r="HS805" s="1995" t="str">
        <f t="shared" si="205"/>
        <v/>
      </c>
      <c r="HT805" s="1995" t="str">
        <f t="shared" si="206"/>
        <v/>
      </c>
      <c r="HU805" s="1995" t="str">
        <f t="shared" si="207"/>
        <v/>
      </c>
      <c r="HV805" s="1995" t="str">
        <f t="shared" si="208"/>
        <v/>
      </c>
      <c r="HW805" s="1995" t="str">
        <f t="shared" si="209"/>
        <v/>
      </c>
      <c r="HX805" s="1995" t="str">
        <f t="shared" si="210"/>
        <v/>
      </c>
      <c r="HY805" s="1995" t="str">
        <f t="shared" si="211"/>
        <v/>
      </c>
      <c r="HZ805" s="1900" t="str">
        <f t="shared" si="212"/>
        <v/>
      </c>
      <c r="IA805" s="1900" t="str">
        <f t="shared" si="213"/>
        <v/>
      </c>
      <c r="IB805" s="1900" t="str">
        <f t="shared" si="214"/>
        <v/>
      </c>
      <c r="IC805" s="1900" t="str">
        <f t="shared" si="215"/>
        <v/>
      </c>
      <c r="ID805" s="1900" t="str">
        <f t="shared" si="216"/>
        <v/>
      </c>
      <c r="IE805" s="1900" t="str">
        <f t="shared" si="217"/>
        <v/>
      </c>
      <c r="IF805" s="1900" t="str">
        <f t="shared" si="218"/>
        <v/>
      </c>
      <c r="IG805" s="1900" t="str">
        <f t="shared" si="219"/>
        <v/>
      </c>
      <c r="IH805" s="1900" t="str">
        <f t="shared" si="220"/>
        <v/>
      </c>
      <c r="II805" s="1900" t="str">
        <f t="shared" si="221"/>
        <v/>
      </c>
      <c r="IJ805" s="1900" t="str">
        <f t="shared" si="222"/>
        <v/>
      </c>
      <c r="IK805" s="1900" t="str">
        <f t="shared" si="223"/>
        <v/>
      </c>
      <c r="IL805" s="1900" t="str">
        <f t="shared" si="224"/>
        <v/>
      </c>
      <c r="IM805" s="1900" t="str">
        <f t="shared" si="225"/>
        <v/>
      </c>
      <c r="IN805" s="1900" t="str">
        <f t="shared" si="226"/>
        <v/>
      </c>
      <c r="IO805" s="1900" t="str">
        <f t="shared" si="227"/>
        <v/>
      </c>
      <c r="IP805" s="1900" t="str">
        <f t="shared" si="228"/>
        <v/>
      </c>
      <c r="IQ805" s="1900" t="str">
        <f t="shared" si="229"/>
        <v/>
      </c>
      <c r="IR805" s="1900" t="str">
        <f t="shared" si="230"/>
        <v/>
      </c>
      <c r="IS805" s="1900" t="str">
        <f t="shared" si="231"/>
        <v/>
      </c>
      <c r="IT805" s="1900" t="str">
        <f t="shared" si="232"/>
        <v/>
      </c>
      <c r="IU805" s="1900" t="str">
        <f t="shared" si="233"/>
        <v/>
      </c>
      <c r="IV805" s="1900" t="str">
        <f t="shared" si="234"/>
        <v/>
      </c>
      <c r="IW805" s="1900" t="str">
        <f t="shared" si="235"/>
        <v/>
      </c>
      <c r="IX805" s="1900" t="str">
        <f t="shared" si="236"/>
        <v/>
      </c>
      <c r="IY805" s="1900" t="str">
        <f t="shared" si="237"/>
        <v/>
      </c>
      <c r="IZ805" s="1900" t="str">
        <f t="shared" si="238"/>
        <v/>
      </c>
      <c r="JA805" s="1900" t="str">
        <f t="shared" si="239"/>
        <v/>
      </c>
      <c r="JB805" s="1900" t="str">
        <f t="shared" si="240"/>
        <v/>
      </c>
      <c r="JC805" s="1900" t="str">
        <f t="shared" si="241"/>
        <v/>
      </c>
      <c r="JD805" s="1900" t="str">
        <f t="shared" si="242"/>
        <v/>
      </c>
      <c r="JE805" s="1900" t="str">
        <f t="shared" si="243"/>
        <v/>
      </c>
      <c r="JF805" s="1900" t="str">
        <f t="shared" si="244"/>
        <v/>
      </c>
      <c r="JG805" s="1900" t="str">
        <f t="shared" si="245"/>
        <v/>
      </c>
      <c r="JH805" s="1900" t="str">
        <f t="shared" si="246"/>
        <v/>
      </c>
      <c r="JI805" s="1900" t="str">
        <f t="shared" si="247"/>
        <v/>
      </c>
      <c r="JJ805" s="1900" t="str">
        <f t="shared" si="248"/>
        <v/>
      </c>
      <c r="JK805" s="1900" t="str">
        <f t="shared" si="249"/>
        <v/>
      </c>
      <c r="JL805" s="1900" t="str">
        <f t="shared" si="250"/>
        <v/>
      </c>
      <c r="JM805" s="1900" t="str">
        <f t="shared" si="251"/>
        <v/>
      </c>
      <c r="JN805" s="1900" t="str">
        <f t="shared" si="252"/>
        <v/>
      </c>
      <c r="JO805" s="1900" t="str">
        <f t="shared" si="253"/>
        <v/>
      </c>
      <c r="JP805" s="1900" t="str">
        <f t="shared" si="254"/>
        <v/>
      </c>
      <c r="JQ805" s="1900" t="str">
        <f t="shared" si="255"/>
        <v/>
      </c>
      <c r="JR805" s="1900" t="str">
        <f t="shared" si="256"/>
        <v/>
      </c>
      <c r="JS805" s="1900" t="str">
        <f t="shared" si="257"/>
        <v/>
      </c>
      <c r="JT805" s="1900" t="str">
        <f t="shared" si="258"/>
        <v/>
      </c>
      <c r="JU805" s="1900" t="str">
        <f t="shared" si="259"/>
        <v/>
      </c>
      <c r="JV805" s="1900" t="str">
        <f t="shared" si="260"/>
        <v/>
      </c>
      <c r="JW805" s="1900" t="str">
        <f t="shared" si="261"/>
        <v/>
      </c>
      <c r="JX805" s="1900" t="str">
        <f t="shared" si="262"/>
        <v/>
      </c>
      <c r="JY805" s="1900" t="str">
        <f t="shared" si="263"/>
        <v/>
      </c>
      <c r="JZ805" s="1900" t="str">
        <f t="shared" si="264"/>
        <v/>
      </c>
      <c r="KA805" s="1900" t="str">
        <f t="shared" si="265"/>
        <v/>
      </c>
      <c r="KB805" s="1900" t="str">
        <f t="shared" si="266"/>
        <v/>
      </c>
      <c r="KC805" s="1900" t="str">
        <f t="shared" si="267"/>
        <v/>
      </c>
      <c r="KD805" s="1900" t="str">
        <f t="shared" si="268"/>
        <v/>
      </c>
      <c r="KE805" s="1900" t="str">
        <f t="shared" si="269"/>
        <v/>
      </c>
      <c r="KF805" s="1900" t="str">
        <f t="shared" si="270"/>
        <v/>
      </c>
      <c r="KG805" s="1900" t="str">
        <f t="shared" si="271"/>
        <v/>
      </c>
      <c r="KH805" s="1900" t="str">
        <f t="shared" si="272"/>
        <v/>
      </c>
      <c r="KI805" s="1900" t="str">
        <f t="shared" si="273"/>
        <v/>
      </c>
      <c r="KJ805" s="1900" t="str">
        <f t="shared" si="274"/>
        <v/>
      </c>
      <c r="KK805" s="1900" t="str">
        <f t="shared" si="275"/>
        <v/>
      </c>
      <c r="KL805" s="1900" t="str">
        <f t="shared" si="276"/>
        <v/>
      </c>
      <c r="KM805" s="1900" t="str">
        <f t="shared" si="277"/>
        <v/>
      </c>
      <c r="KN805" s="1900" t="str">
        <f t="shared" si="278"/>
        <v/>
      </c>
      <c r="KO805" s="1900" t="str">
        <f t="shared" si="279"/>
        <v/>
      </c>
      <c r="KP805" s="1900" t="str">
        <f t="shared" si="280"/>
        <v/>
      </c>
      <c r="KQ805" s="1900" t="str">
        <f t="shared" si="281"/>
        <v/>
      </c>
      <c r="KR805" s="1900" t="str">
        <f t="shared" si="282"/>
        <v/>
      </c>
      <c r="KS805" s="1900" t="str">
        <f t="shared" si="283"/>
        <v/>
      </c>
      <c r="KT805" s="1900" t="str">
        <f t="shared" si="284"/>
        <v/>
      </c>
      <c r="KU805" s="1900" t="str">
        <f t="shared" si="285"/>
        <v/>
      </c>
      <c r="KV805" s="1900" t="str">
        <f t="shared" si="286"/>
        <v/>
      </c>
      <c r="KW805" s="1900" t="str">
        <f t="shared" si="287"/>
        <v/>
      </c>
      <c r="KX805" s="1900" t="str">
        <f t="shared" si="288"/>
        <v/>
      </c>
      <c r="KY805" s="1900" t="str">
        <f t="shared" si="289"/>
        <v/>
      </c>
      <c r="KZ805" s="1900" t="str">
        <f t="shared" si="290"/>
        <v/>
      </c>
      <c r="LA805" s="1900" t="str">
        <f t="shared" si="291"/>
        <v/>
      </c>
      <c r="LB805" s="1900" t="str">
        <f t="shared" si="292"/>
        <v/>
      </c>
      <c r="LC805" s="1900" t="str">
        <f t="shared" si="293"/>
        <v/>
      </c>
      <c r="LD805" s="1900" t="str">
        <f t="shared" si="294"/>
        <v/>
      </c>
      <c r="LE805" s="1900" t="str">
        <f t="shared" si="295"/>
        <v/>
      </c>
      <c r="LF805" s="1900" t="str">
        <f t="shared" si="296"/>
        <v/>
      </c>
      <c r="LG805" s="1900" t="str">
        <f t="shared" si="297"/>
        <v/>
      </c>
      <c r="LH805" s="1900" t="str">
        <f t="shared" si="298"/>
        <v/>
      </c>
      <c r="LI805" s="1900" t="str">
        <f t="shared" si="299"/>
        <v/>
      </c>
      <c r="LJ805" s="1900" t="str">
        <f t="shared" si="300"/>
        <v/>
      </c>
      <c r="LK805" s="1900" t="str">
        <f t="shared" si="301"/>
        <v/>
      </c>
      <c r="LL805" s="1900" t="str">
        <f t="shared" si="302"/>
        <v/>
      </c>
      <c r="LM805" s="1900" t="str">
        <f t="shared" si="303"/>
        <v/>
      </c>
      <c r="LN805" s="1900" t="str">
        <f t="shared" si="304"/>
        <v/>
      </c>
      <c r="LO805" s="1900" t="str">
        <f t="shared" si="305"/>
        <v/>
      </c>
      <c r="LP805" s="1900" t="str">
        <f t="shared" si="306"/>
        <v/>
      </c>
      <c r="LQ805" s="1874" t="str">
        <f t="shared" si="307"/>
        <v/>
      </c>
      <c r="LR805" s="1874" t="str">
        <f t="shared" si="308"/>
        <v/>
      </c>
      <c r="LS805" s="1874" t="str">
        <f t="shared" si="309"/>
        <v/>
      </c>
      <c r="LT805" s="1874" t="str">
        <f t="shared" si="310"/>
        <v/>
      </c>
      <c r="LU805" s="1874" t="str">
        <f t="shared" si="311"/>
        <v/>
      </c>
      <c r="LV805" s="1995" t="str">
        <f t="shared" si="312"/>
        <v/>
      </c>
      <c r="LW805" s="1995" t="str">
        <f t="shared" si="313"/>
        <v/>
      </c>
      <c r="LX805" s="1995" t="str">
        <f t="shared" si="314"/>
        <v/>
      </c>
      <c r="LY805" s="1995" t="str">
        <f t="shared" si="315"/>
        <v/>
      </c>
      <c r="LZ805" s="1995" t="str">
        <f t="shared" si="316"/>
        <v/>
      </c>
      <c r="MA805" s="1995" t="str">
        <f t="shared" si="317"/>
        <v/>
      </c>
      <c r="MB805" s="1995" t="str">
        <f t="shared" si="318"/>
        <v/>
      </c>
      <c r="MC805" s="1995" t="str">
        <f t="shared" si="319"/>
        <v/>
      </c>
      <c r="MD805" s="1995" t="str">
        <f t="shared" si="320"/>
        <v/>
      </c>
      <c r="ME805" s="1995" t="str">
        <f t="shared" si="321"/>
        <v/>
      </c>
      <c r="MF805" s="1995" t="str">
        <f t="shared" si="322"/>
        <v/>
      </c>
      <c r="MG805" s="1995" t="str">
        <f t="shared" si="323"/>
        <v/>
      </c>
      <c r="MH805" s="1995" t="str">
        <f t="shared" si="324"/>
        <v/>
      </c>
      <c r="MI805" s="1995" t="str">
        <f t="shared" si="325"/>
        <v/>
      </c>
      <c r="MJ805" s="1995" t="str">
        <f t="shared" si="326"/>
        <v/>
      </c>
      <c r="MK805" s="1995" t="str">
        <f t="shared" si="327"/>
        <v/>
      </c>
      <c r="ML805" s="1995" t="str">
        <f t="shared" si="328"/>
        <v/>
      </c>
      <c r="MM805" s="1995" t="str">
        <f t="shared" si="329"/>
        <v/>
      </c>
      <c r="MN805" s="1995" t="str">
        <f t="shared" si="330"/>
        <v/>
      </c>
      <c r="MO805" s="1995" t="str">
        <f t="shared" si="331"/>
        <v/>
      </c>
      <c r="MP805" s="1874">
        <f t="shared" si="338"/>
        <v>0</v>
      </c>
      <c r="MQ805" s="1874">
        <f t="shared" si="339"/>
        <v>0</v>
      </c>
      <c r="MR805" s="1874">
        <f t="shared" si="340"/>
        <v>0</v>
      </c>
      <c r="MS805" s="1874">
        <f t="shared" si="341"/>
        <v>0</v>
      </c>
      <c r="MT805" s="1874">
        <f t="shared" si="342"/>
        <v>0</v>
      </c>
      <c r="MU805" s="1874">
        <f t="shared" si="343"/>
        <v>0</v>
      </c>
      <c r="MV805" s="1874">
        <f t="shared" si="344"/>
        <v>0</v>
      </c>
      <c r="MW805" s="1874">
        <f t="shared" si="345"/>
        <v>0</v>
      </c>
      <c r="MX805" s="1874">
        <f t="shared" si="346"/>
        <v>0</v>
      </c>
      <c r="MY805" s="1874">
        <f t="shared" si="347"/>
        <v>0</v>
      </c>
      <c r="MZ805" s="1874">
        <f t="shared" si="332"/>
        <v>0</v>
      </c>
      <c r="NA805" s="1874">
        <f t="shared" si="333"/>
        <v>0</v>
      </c>
      <c r="NB805" s="1874">
        <f t="shared" si="334"/>
        <v>0</v>
      </c>
      <c r="NC805" s="1874">
        <f t="shared" si="335"/>
        <v>0</v>
      </c>
      <c r="ND805" s="1874">
        <f t="shared" si="336"/>
        <v>0</v>
      </c>
    </row>
    <row r="806" spans="1:368" ht="13.95" customHeight="1">
      <c r="A806" s="1896" t="str">
        <f t="shared" si="337"/>
        <v/>
      </c>
      <c r="B806" s="2212">
        <f>'Part VI-Revenues &amp; Expenses'!B37</f>
        <v>0</v>
      </c>
      <c r="C806" s="2213">
        <f>'Part VI-Revenues &amp; Expenses'!C37</f>
        <v>0</v>
      </c>
      <c r="D806" s="2214">
        <f>'Part VI-Revenues &amp; Expenses'!D37</f>
        <v>0</v>
      </c>
      <c r="E806" s="2215">
        <f>'Part VI-Revenues &amp; Expenses'!E37</f>
        <v>0</v>
      </c>
      <c r="F806" s="2215">
        <f>'Part VI-Revenues &amp; Expenses'!F37</f>
        <v>0</v>
      </c>
      <c r="G806" s="2215">
        <f>'Part VI-Revenues &amp; Expenses'!G37</f>
        <v>0</v>
      </c>
      <c r="H806" s="2215">
        <f>'Part VI-Revenues &amp; Expenses'!H37</f>
        <v>0</v>
      </c>
      <c r="I806" s="2215">
        <f>'Part VI-Revenues &amp; Expenses'!I37</f>
        <v>0</v>
      </c>
      <c r="J806" s="2215">
        <f>'Part VI-Revenues &amp; Expenses'!J37</f>
        <v>0</v>
      </c>
      <c r="K806" s="2216">
        <f>'Part VI-Revenues &amp; Expenses'!K37</f>
        <v>0</v>
      </c>
      <c r="L806" s="1899">
        <f t="shared" si="0"/>
        <v>0</v>
      </c>
      <c r="M806" s="1899">
        <f t="shared" si="1"/>
        <v>0</v>
      </c>
      <c r="N806" s="2074">
        <f>'Part VI-Revenues &amp; Expenses'!N37</f>
        <v>0</v>
      </c>
      <c r="O806" s="2074">
        <f>'Part VI-Revenues &amp; Expenses'!O37</f>
        <v>0</v>
      </c>
      <c r="P806" s="2074">
        <f>'Part VI-Revenues &amp; Expenses'!P37</f>
        <v>0</v>
      </c>
      <c r="Q806" s="1732">
        <f>'Part VI-Revenues &amp; Expenses'!Q37</f>
        <v>0</v>
      </c>
      <c r="R806" s="1926"/>
      <c r="S806" s="2148"/>
      <c r="T806" s="1910"/>
      <c r="U806" s="1910"/>
      <c r="V806" s="1910"/>
      <c r="W806" s="1910"/>
      <c r="X806" s="1995" t="str">
        <f t="shared" si="2"/>
        <v/>
      </c>
      <c r="Y806" s="1995" t="str">
        <f t="shared" si="3"/>
        <v/>
      </c>
      <c r="Z806" s="1995" t="str">
        <f t="shared" si="4"/>
        <v/>
      </c>
      <c r="AA806" s="1995" t="str">
        <f t="shared" si="5"/>
        <v/>
      </c>
      <c r="AB806" s="1995" t="str">
        <f t="shared" si="6"/>
        <v/>
      </c>
      <c r="AC806" s="1995" t="str">
        <f t="shared" si="7"/>
        <v/>
      </c>
      <c r="AD806" s="1995" t="str">
        <f t="shared" si="8"/>
        <v/>
      </c>
      <c r="AE806" s="1995" t="str">
        <f t="shared" si="9"/>
        <v/>
      </c>
      <c r="AF806" s="1995" t="str">
        <f t="shared" si="10"/>
        <v/>
      </c>
      <c r="AG806" s="1995" t="str">
        <f t="shared" si="11"/>
        <v/>
      </c>
      <c r="AH806" s="1995" t="str">
        <f t="shared" si="12"/>
        <v/>
      </c>
      <c r="AI806" s="1995" t="str">
        <f t="shared" si="13"/>
        <v/>
      </c>
      <c r="AJ806" s="1995" t="str">
        <f t="shared" si="14"/>
        <v/>
      </c>
      <c r="AK806" s="1995" t="str">
        <f t="shared" si="15"/>
        <v/>
      </c>
      <c r="AL806" s="1995" t="str">
        <f t="shared" si="16"/>
        <v/>
      </c>
      <c r="AM806" s="1995" t="str">
        <f t="shared" si="17"/>
        <v/>
      </c>
      <c r="AN806" s="1995" t="str">
        <f t="shared" si="18"/>
        <v/>
      </c>
      <c r="AO806" s="1995" t="str">
        <f t="shared" si="19"/>
        <v/>
      </c>
      <c r="AP806" s="1995" t="str">
        <f t="shared" si="20"/>
        <v/>
      </c>
      <c r="AQ806" s="1995" t="str">
        <f t="shared" si="21"/>
        <v/>
      </c>
      <c r="AR806" s="1995" t="str">
        <f t="shared" si="22"/>
        <v/>
      </c>
      <c r="AS806" s="1995" t="str">
        <f t="shared" si="23"/>
        <v/>
      </c>
      <c r="AT806" s="1995" t="str">
        <f t="shared" si="24"/>
        <v/>
      </c>
      <c r="AU806" s="1995" t="str">
        <f t="shared" si="25"/>
        <v/>
      </c>
      <c r="AV806" s="1995" t="str">
        <f t="shared" si="26"/>
        <v/>
      </c>
      <c r="AW806" s="1995" t="str">
        <f t="shared" si="27"/>
        <v/>
      </c>
      <c r="AX806" s="1995" t="str">
        <f t="shared" si="28"/>
        <v/>
      </c>
      <c r="AY806" s="1995" t="str">
        <f t="shared" si="29"/>
        <v/>
      </c>
      <c r="AZ806" s="1995" t="str">
        <f t="shared" si="30"/>
        <v/>
      </c>
      <c r="BA806" s="1995" t="str">
        <f t="shared" si="31"/>
        <v/>
      </c>
      <c r="BB806" s="1995" t="str">
        <f t="shared" si="32"/>
        <v/>
      </c>
      <c r="BC806" s="1995" t="str">
        <f t="shared" si="33"/>
        <v/>
      </c>
      <c r="BD806" s="1995" t="str">
        <f t="shared" si="34"/>
        <v/>
      </c>
      <c r="BE806" s="1995" t="str">
        <f t="shared" si="35"/>
        <v/>
      </c>
      <c r="BF806" s="1995" t="str">
        <f t="shared" si="36"/>
        <v/>
      </c>
      <c r="BG806" s="1995" t="str">
        <f t="shared" si="37"/>
        <v/>
      </c>
      <c r="BH806" s="1995" t="str">
        <f t="shared" si="38"/>
        <v/>
      </c>
      <c r="BI806" s="1995" t="str">
        <f t="shared" si="39"/>
        <v/>
      </c>
      <c r="BJ806" s="1995" t="str">
        <f t="shared" si="40"/>
        <v/>
      </c>
      <c r="BK806" s="1995" t="str">
        <f t="shared" si="41"/>
        <v/>
      </c>
      <c r="BL806" s="1995" t="str">
        <f t="shared" si="42"/>
        <v/>
      </c>
      <c r="BM806" s="1995" t="str">
        <f t="shared" si="43"/>
        <v/>
      </c>
      <c r="BN806" s="1995" t="str">
        <f t="shared" si="44"/>
        <v/>
      </c>
      <c r="BO806" s="1995" t="str">
        <f t="shared" si="45"/>
        <v/>
      </c>
      <c r="BP806" s="1995" t="str">
        <f t="shared" si="46"/>
        <v/>
      </c>
      <c r="BQ806" s="1995" t="str">
        <f t="shared" si="47"/>
        <v/>
      </c>
      <c r="BR806" s="1995" t="str">
        <f t="shared" si="48"/>
        <v/>
      </c>
      <c r="BS806" s="1995" t="str">
        <f t="shared" si="49"/>
        <v/>
      </c>
      <c r="BT806" s="1995" t="str">
        <f t="shared" si="50"/>
        <v/>
      </c>
      <c r="BU806" s="1995" t="str">
        <f t="shared" si="51"/>
        <v/>
      </c>
      <c r="BV806" s="1995" t="str">
        <f t="shared" si="52"/>
        <v/>
      </c>
      <c r="BW806" s="1995" t="str">
        <f t="shared" si="53"/>
        <v/>
      </c>
      <c r="BX806" s="1995" t="str">
        <f t="shared" si="54"/>
        <v/>
      </c>
      <c r="BY806" s="1995" t="str">
        <f t="shared" si="55"/>
        <v/>
      </c>
      <c r="BZ806" s="1995" t="str">
        <f t="shared" si="56"/>
        <v/>
      </c>
      <c r="CA806" s="1995" t="str">
        <f t="shared" si="57"/>
        <v/>
      </c>
      <c r="CB806" s="1995" t="str">
        <f t="shared" si="58"/>
        <v/>
      </c>
      <c r="CC806" s="1995" t="str">
        <f t="shared" si="59"/>
        <v/>
      </c>
      <c r="CD806" s="1995" t="str">
        <f t="shared" si="60"/>
        <v/>
      </c>
      <c r="CE806" s="1995" t="str">
        <f t="shared" si="61"/>
        <v/>
      </c>
      <c r="CF806" s="1995" t="str">
        <f t="shared" si="62"/>
        <v/>
      </c>
      <c r="CG806" s="1995" t="str">
        <f t="shared" si="63"/>
        <v/>
      </c>
      <c r="CH806" s="1995" t="str">
        <f t="shared" si="64"/>
        <v/>
      </c>
      <c r="CI806" s="1995" t="str">
        <f t="shared" si="65"/>
        <v/>
      </c>
      <c r="CJ806" s="1995" t="str">
        <f t="shared" si="66"/>
        <v/>
      </c>
      <c r="CK806" s="1995" t="str">
        <f t="shared" si="67"/>
        <v/>
      </c>
      <c r="CL806" s="1995" t="str">
        <f t="shared" si="68"/>
        <v/>
      </c>
      <c r="CM806" s="1995" t="str">
        <f t="shared" si="69"/>
        <v/>
      </c>
      <c r="CN806" s="1995" t="str">
        <f t="shared" si="70"/>
        <v/>
      </c>
      <c r="CO806" s="1995" t="str">
        <f t="shared" si="71"/>
        <v/>
      </c>
      <c r="CP806" s="1995" t="str">
        <f t="shared" si="72"/>
        <v/>
      </c>
      <c r="CQ806" s="1995" t="str">
        <f t="shared" si="73"/>
        <v/>
      </c>
      <c r="CR806" s="1995" t="str">
        <f t="shared" si="74"/>
        <v/>
      </c>
      <c r="CS806" s="1995" t="str">
        <f t="shared" si="75"/>
        <v/>
      </c>
      <c r="CT806" s="1995" t="str">
        <f t="shared" si="76"/>
        <v/>
      </c>
      <c r="CU806" s="1995" t="str">
        <f t="shared" si="77"/>
        <v/>
      </c>
      <c r="CV806" s="1995" t="str">
        <f t="shared" si="78"/>
        <v/>
      </c>
      <c r="CW806" s="1995" t="str">
        <f t="shared" si="79"/>
        <v/>
      </c>
      <c r="CX806" s="1995" t="str">
        <f t="shared" si="80"/>
        <v/>
      </c>
      <c r="CY806" s="1995" t="str">
        <f t="shared" si="81"/>
        <v/>
      </c>
      <c r="CZ806" s="1995" t="str">
        <f t="shared" si="82"/>
        <v/>
      </c>
      <c r="DA806" s="1995" t="str">
        <f t="shared" si="83"/>
        <v/>
      </c>
      <c r="DB806" s="1995" t="str">
        <f t="shared" si="84"/>
        <v/>
      </c>
      <c r="DC806" s="1995" t="str">
        <f t="shared" si="85"/>
        <v/>
      </c>
      <c r="DD806" s="1995" t="str">
        <f t="shared" si="86"/>
        <v/>
      </c>
      <c r="DE806" s="1995" t="str">
        <f t="shared" si="87"/>
        <v/>
      </c>
      <c r="DF806" s="1995" t="str">
        <f t="shared" si="88"/>
        <v/>
      </c>
      <c r="DG806" s="1995" t="str">
        <f t="shared" si="89"/>
        <v/>
      </c>
      <c r="DH806" s="1995" t="str">
        <f t="shared" si="90"/>
        <v/>
      </c>
      <c r="DI806" s="1995" t="str">
        <f t="shared" si="91"/>
        <v/>
      </c>
      <c r="DJ806" s="1995" t="str">
        <f t="shared" si="92"/>
        <v/>
      </c>
      <c r="DK806" s="1995" t="str">
        <f t="shared" si="93"/>
        <v/>
      </c>
      <c r="DL806" s="1995" t="str">
        <f t="shared" si="94"/>
        <v/>
      </c>
      <c r="DM806" s="1995" t="str">
        <f t="shared" si="95"/>
        <v/>
      </c>
      <c r="DN806" s="1995" t="str">
        <f t="shared" si="96"/>
        <v/>
      </c>
      <c r="DO806" s="1995" t="str">
        <f t="shared" si="97"/>
        <v/>
      </c>
      <c r="DP806" s="1995" t="str">
        <f t="shared" si="98"/>
        <v/>
      </c>
      <c r="DQ806" s="1995" t="str">
        <f t="shared" si="99"/>
        <v/>
      </c>
      <c r="DR806" s="1995" t="str">
        <f t="shared" si="100"/>
        <v/>
      </c>
      <c r="DS806" s="1995" t="str">
        <f t="shared" si="101"/>
        <v/>
      </c>
      <c r="DT806" s="1995" t="str">
        <f t="shared" si="102"/>
        <v/>
      </c>
      <c r="DU806" s="1995" t="str">
        <f t="shared" si="103"/>
        <v/>
      </c>
      <c r="DV806" s="1995" t="str">
        <f t="shared" si="104"/>
        <v/>
      </c>
      <c r="DW806" s="1995" t="str">
        <f t="shared" si="105"/>
        <v/>
      </c>
      <c r="DX806" s="1995" t="str">
        <f t="shared" si="106"/>
        <v/>
      </c>
      <c r="DY806" s="1995" t="str">
        <f t="shared" si="107"/>
        <v/>
      </c>
      <c r="DZ806" s="1995" t="str">
        <f t="shared" si="108"/>
        <v/>
      </c>
      <c r="EA806" s="1995" t="str">
        <f t="shared" si="109"/>
        <v/>
      </c>
      <c r="EB806" s="1995" t="str">
        <f t="shared" si="110"/>
        <v/>
      </c>
      <c r="EC806" s="1995" t="str">
        <f t="shared" si="111"/>
        <v/>
      </c>
      <c r="ED806" s="1995" t="str">
        <f t="shared" si="112"/>
        <v/>
      </c>
      <c r="EE806" s="1995" t="str">
        <f t="shared" si="113"/>
        <v/>
      </c>
      <c r="EF806" s="1995" t="str">
        <f t="shared" si="114"/>
        <v/>
      </c>
      <c r="EG806" s="1995" t="str">
        <f t="shared" si="115"/>
        <v/>
      </c>
      <c r="EH806" s="1995" t="str">
        <f t="shared" si="116"/>
        <v/>
      </c>
      <c r="EI806" s="1995" t="str">
        <f t="shared" si="117"/>
        <v/>
      </c>
      <c r="EJ806" s="1995" t="str">
        <f t="shared" si="118"/>
        <v/>
      </c>
      <c r="EK806" s="1995" t="str">
        <f t="shared" si="119"/>
        <v/>
      </c>
      <c r="EL806" s="1995" t="str">
        <f t="shared" si="120"/>
        <v/>
      </c>
      <c r="EM806" s="1995" t="str">
        <f t="shared" si="121"/>
        <v/>
      </c>
      <c r="EN806" s="1995" t="str">
        <f t="shared" si="122"/>
        <v/>
      </c>
      <c r="EO806" s="1995" t="str">
        <f t="shared" si="123"/>
        <v/>
      </c>
      <c r="EP806" s="1995" t="str">
        <f t="shared" si="124"/>
        <v/>
      </c>
      <c r="EQ806" s="1995" t="str">
        <f t="shared" si="125"/>
        <v/>
      </c>
      <c r="ER806" s="1995" t="str">
        <f t="shared" si="126"/>
        <v/>
      </c>
      <c r="ES806" s="1995" t="str">
        <f t="shared" si="127"/>
        <v/>
      </c>
      <c r="ET806" s="1995" t="str">
        <f t="shared" si="128"/>
        <v/>
      </c>
      <c r="EU806" s="1995" t="str">
        <f t="shared" si="129"/>
        <v/>
      </c>
      <c r="EV806" s="1995" t="str">
        <f t="shared" si="130"/>
        <v/>
      </c>
      <c r="EW806" s="1995" t="str">
        <f t="shared" si="131"/>
        <v/>
      </c>
      <c r="EX806" s="1995" t="str">
        <f t="shared" si="132"/>
        <v/>
      </c>
      <c r="EY806" s="1995" t="str">
        <f t="shared" si="133"/>
        <v/>
      </c>
      <c r="EZ806" s="1995" t="str">
        <f t="shared" si="134"/>
        <v/>
      </c>
      <c r="FA806" s="1995" t="str">
        <f t="shared" si="135"/>
        <v/>
      </c>
      <c r="FB806" s="1995" t="str">
        <f t="shared" si="136"/>
        <v/>
      </c>
      <c r="FC806" s="1995" t="str">
        <f t="shared" si="137"/>
        <v/>
      </c>
      <c r="FD806" s="1995" t="str">
        <f t="shared" si="138"/>
        <v/>
      </c>
      <c r="FE806" s="1995" t="str">
        <f t="shared" si="139"/>
        <v/>
      </c>
      <c r="FF806" s="1995" t="str">
        <f t="shared" si="140"/>
        <v/>
      </c>
      <c r="FG806" s="1995" t="str">
        <f t="shared" si="141"/>
        <v/>
      </c>
      <c r="FH806" s="1995" t="str">
        <f t="shared" si="142"/>
        <v/>
      </c>
      <c r="FI806" s="1995" t="str">
        <f t="shared" si="143"/>
        <v/>
      </c>
      <c r="FJ806" s="1995" t="str">
        <f t="shared" si="144"/>
        <v/>
      </c>
      <c r="FK806" s="1995" t="str">
        <f t="shared" si="145"/>
        <v/>
      </c>
      <c r="FL806" s="1995" t="str">
        <f t="shared" si="146"/>
        <v/>
      </c>
      <c r="FM806" s="1995" t="str">
        <f t="shared" si="147"/>
        <v/>
      </c>
      <c r="FN806" s="1995" t="str">
        <f t="shared" si="148"/>
        <v/>
      </c>
      <c r="FO806" s="1995" t="str">
        <f t="shared" si="149"/>
        <v/>
      </c>
      <c r="FP806" s="1995" t="str">
        <f t="shared" si="150"/>
        <v/>
      </c>
      <c r="FQ806" s="1995" t="str">
        <f t="shared" si="151"/>
        <v/>
      </c>
      <c r="FR806" s="1995" t="str">
        <f t="shared" si="152"/>
        <v/>
      </c>
      <c r="FS806" s="1995" t="str">
        <f t="shared" si="153"/>
        <v/>
      </c>
      <c r="FT806" s="1995" t="str">
        <f t="shared" si="154"/>
        <v/>
      </c>
      <c r="FU806" s="1995" t="str">
        <f t="shared" si="155"/>
        <v/>
      </c>
      <c r="FV806" s="1995" t="str">
        <f t="shared" si="156"/>
        <v/>
      </c>
      <c r="FW806" s="1995" t="str">
        <f t="shared" si="157"/>
        <v/>
      </c>
      <c r="FX806" s="1995" t="str">
        <f t="shared" si="158"/>
        <v/>
      </c>
      <c r="FY806" s="1995" t="str">
        <f t="shared" si="159"/>
        <v/>
      </c>
      <c r="FZ806" s="1995" t="str">
        <f t="shared" si="160"/>
        <v/>
      </c>
      <c r="GA806" s="1995" t="str">
        <f t="shared" si="161"/>
        <v/>
      </c>
      <c r="GB806" s="1995" t="str">
        <f t="shared" si="162"/>
        <v/>
      </c>
      <c r="GC806" s="1995" t="str">
        <f t="shared" si="163"/>
        <v/>
      </c>
      <c r="GD806" s="1995" t="str">
        <f t="shared" si="164"/>
        <v/>
      </c>
      <c r="GE806" s="1995" t="str">
        <f t="shared" si="165"/>
        <v/>
      </c>
      <c r="GF806" s="1995" t="str">
        <f t="shared" si="166"/>
        <v/>
      </c>
      <c r="GG806" s="1995" t="str">
        <f t="shared" si="167"/>
        <v/>
      </c>
      <c r="GH806" s="1995" t="str">
        <f t="shared" si="168"/>
        <v/>
      </c>
      <c r="GI806" s="1995" t="str">
        <f t="shared" si="169"/>
        <v/>
      </c>
      <c r="GJ806" s="1995" t="str">
        <f t="shared" si="170"/>
        <v/>
      </c>
      <c r="GK806" s="1995" t="str">
        <f t="shared" si="171"/>
        <v/>
      </c>
      <c r="GL806" s="1995" t="str">
        <f t="shared" si="172"/>
        <v/>
      </c>
      <c r="GM806" s="1995" t="str">
        <f t="shared" si="173"/>
        <v/>
      </c>
      <c r="GN806" s="1995" t="str">
        <f t="shared" si="174"/>
        <v/>
      </c>
      <c r="GO806" s="1995" t="str">
        <f t="shared" si="175"/>
        <v/>
      </c>
      <c r="GP806" s="1995" t="str">
        <f t="shared" si="176"/>
        <v/>
      </c>
      <c r="GQ806" s="1995" t="str">
        <f t="shared" si="177"/>
        <v/>
      </c>
      <c r="GR806" s="1995" t="str">
        <f t="shared" si="178"/>
        <v/>
      </c>
      <c r="GS806" s="1995" t="str">
        <f t="shared" si="179"/>
        <v/>
      </c>
      <c r="GT806" s="1995" t="str">
        <f t="shared" si="180"/>
        <v/>
      </c>
      <c r="GU806" s="1995" t="str">
        <f t="shared" si="181"/>
        <v/>
      </c>
      <c r="GV806" s="1995" t="str">
        <f t="shared" si="182"/>
        <v/>
      </c>
      <c r="GW806" s="1995" t="str">
        <f t="shared" si="183"/>
        <v/>
      </c>
      <c r="GX806" s="1995" t="str">
        <f t="shared" si="184"/>
        <v/>
      </c>
      <c r="GY806" s="1995" t="str">
        <f t="shared" si="185"/>
        <v/>
      </c>
      <c r="GZ806" s="1995" t="str">
        <f t="shared" si="186"/>
        <v/>
      </c>
      <c r="HA806" s="1995" t="str">
        <f t="shared" si="187"/>
        <v/>
      </c>
      <c r="HB806" s="1995" t="str">
        <f t="shared" si="188"/>
        <v/>
      </c>
      <c r="HC806" s="1995" t="str">
        <f t="shared" si="189"/>
        <v/>
      </c>
      <c r="HD806" s="1995" t="str">
        <f t="shared" si="190"/>
        <v/>
      </c>
      <c r="HE806" s="1995" t="str">
        <f t="shared" si="191"/>
        <v/>
      </c>
      <c r="HF806" s="1995" t="str">
        <f t="shared" si="192"/>
        <v/>
      </c>
      <c r="HG806" s="1995" t="str">
        <f t="shared" si="193"/>
        <v/>
      </c>
      <c r="HH806" s="1995" t="str">
        <f t="shared" si="194"/>
        <v/>
      </c>
      <c r="HI806" s="1995" t="str">
        <f t="shared" si="195"/>
        <v/>
      </c>
      <c r="HJ806" s="1995" t="str">
        <f t="shared" si="196"/>
        <v/>
      </c>
      <c r="HK806" s="1995" t="str">
        <f t="shared" si="197"/>
        <v/>
      </c>
      <c r="HL806" s="1995" t="str">
        <f t="shared" si="198"/>
        <v/>
      </c>
      <c r="HM806" s="1995" t="str">
        <f t="shared" si="199"/>
        <v/>
      </c>
      <c r="HN806" s="1995" t="str">
        <f t="shared" si="200"/>
        <v/>
      </c>
      <c r="HO806" s="1995" t="str">
        <f t="shared" si="201"/>
        <v/>
      </c>
      <c r="HP806" s="1995" t="str">
        <f t="shared" si="202"/>
        <v/>
      </c>
      <c r="HQ806" s="1995" t="str">
        <f t="shared" si="203"/>
        <v/>
      </c>
      <c r="HR806" s="1995" t="str">
        <f t="shared" si="204"/>
        <v/>
      </c>
      <c r="HS806" s="1995" t="str">
        <f t="shared" si="205"/>
        <v/>
      </c>
      <c r="HT806" s="1995" t="str">
        <f t="shared" si="206"/>
        <v/>
      </c>
      <c r="HU806" s="1995" t="str">
        <f t="shared" si="207"/>
        <v/>
      </c>
      <c r="HV806" s="1995" t="str">
        <f t="shared" si="208"/>
        <v/>
      </c>
      <c r="HW806" s="1995" t="str">
        <f t="shared" si="209"/>
        <v/>
      </c>
      <c r="HX806" s="1995" t="str">
        <f t="shared" si="210"/>
        <v/>
      </c>
      <c r="HY806" s="1995" t="str">
        <f t="shared" si="211"/>
        <v/>
      </c>
      <c r="HZ806" s="1900" t="str">
        <f t="shared" si="212"/>
        <v/>
      </c>
      <c r="IA806" s="1900" t="str">
        <f t="shared" si="213"/>
        <v/>
      </c>
      <c r="IB806" s="1900" t="str">
        <f t="shared" si="214"/>
        <v/>
      </c>
      <c r="IC806" s="1900" t="str">
        <f t="shared" si="215"/>
        <v/>
      </c>
      <c r="ID806" s="1900" t="str">
        <f t="shared" si="216"/>
        <v/>
      </c>
      <c r="IE806" s="1900" t="str">
        <f t="shared" si="217"/>
        <v/>
      </c>
      <c r="IF806" s="1900" t="str">
        <f t="shared" si="218"/>
        <v/>
      </c>
      <c r="IG806" s="1900" t="str">
        <f t="shared" si="219"/>
        <v/>
      </c>
      <c r="IH806" s="1900" t="str">
        <f t="shared" si="220"/>
        <v/>
      </c>
      <c r="II806" s="1900" t="str">
        <f t="shared" si="221"/>
        <v/>
      </c>
      <c r="IJ806" s="1900" t="str">
        <f t="shared" si="222"/>
        <v/>
      </c>
      <c r="IK806" s="1900" t="str">
        <f t="shared" si="223"/>
        <v/>
      </c>
      <c r="IL806" s="1900" t="str">
        <f t="shared" si="224"/>
        <v/>
      </c>
      <c r="IM806" s="1900" t="str">
        <f t="shared" si="225"/>
        <v/>
      </c>
      <c r="IN806" s="1900" t="str">
        <f t="shared" si="226"/>
        <v/>
      </c>
      <c r="IO806" s="1900" t="str">
        <f t="shared" si="227"/>
        <v/>
      </c>
      <c r="IP806" s="1900" t="str">
        <f t="shared" si="228"/>
        <v/>
      </c>
      <c r="IQ806" s="1900" t="str">
        <f t="shared" si="229"/>
        <v/>
      </c>
      <c r="IR806" s="1900" t="str">
        <f t="shared" si="230"/>
        <v/>
      </c>
      <c r="IS806" s="1900" t="str">
        <f t="shared" si="231"/>
        <v/>
      </c>
      <c r="IT806" s="1900" t="str">
        <f t="shared" si="232"/>
        <v/>
      </c>
      <c r="IU806" s="1900" t="str">
        <f t="shared" si="233"/>
        <v/>
      </c>
      <c r="IV806" s="1900" t="str">
        <f t="shared" si="234"/>
        <v/>
      </c>
      <c r="IW806" s="1900" t="str">
        <f t="shared" si="235"/>
        <v/>
      </c>
      <c r="IX806" s="1900" t="str">
        <f t="shared" si="236"/>
        <v/>
      </c>
      <c r="IY806" s="1900" t="str">
        <f t="shared" si="237"/>
        <v/>
      </c>
      <c r="IZ806" s="1900" t="str">
        <f t="shared" si="238"/>
        <v/>
      </c>
      <c r="JA806" s="1900" t="str">
        <f t="shared" si="239"/>
        <v/>
      </c>
      <c r="JB806" s="1900" t="str">
        <f t="shared" si="240"/>
        <v/>
      </c>
      <c r="JC806" s="1900" t="str">
        <f t="shared" si="241"/>
        <v/>
      </c>
      <c r="JD806" s="1900" t="str">
        <f t="shared" si="242"/>
        <v/>
      </c>
      <c r="JE806" s="1900" t="str">
        <f t="shared" si="243"/>
        <v/>
      </c>
      <c r="JF806" s="1900" t="str">
        <f t="shared" si="244"/>
        <v/>
      </c>
      <c r="JG806" s="1900" t="str">
        <f t="shared" si="245"/>
        <v/>
      </c>
      <c r="JH806" s="1900" t="str">
        <f t="shared" si="246"/>
        <v/>
      </c>
      <c r="JI806" s="1900" t="str">
        <f t="shared" si="247"/>
        <v/>
      </c>
      <c r="JJ806" s="1900" t="str">
        <f t="shared" si="248"/>
        <v/>
      </c>
      <c r="JK806" s="1900" t="str">
        <f t="shared" si="249"/>
        <v/>
      </c>
      <c r="JL806" s="1900" t="str">
        <f t="shared" si="250"/>
        <v/>
      </c>
      <c r="JM806" s="1900" t="str">
        <f t="shared" si="251"/>
        <v/>
      </c>
      <c r="JN806" s="1900" t="str">
        <f t="shared" si="252"/>
        <v/>
      </c>
      <c r="JO806" s="1900" t="str">
        <f t="shared" si="253"/>
        <v/>
      </c>
      <c r="JP806" s="1900" t="str">
        <f t="shared" si="254"/>
        <v/>
      </c>
      <c r="JQ806" s="1900" t="str">
        <f t="shared" si="255"/>
        <v/>
      </c>
      <c r="JR806" s="1900" t="str">
        <f t="shared" si="256"/>
        <v/>
      </c>
      <c r="JS806" s="1900" t="str">
        <f t="shared" si="257"/>
        <v/>
      </c>
      <c r="JT806" s="1900" t="str">
        <f t="shared" si="258"/>
        <v/>
      </c>
      <c r="JU806" s="1900" t="str">
        <f t="shared" si="259"/>
        <v/>
      </c>
      <c r="JV806" s="1900" t="str">
        <f t="shared" si="260"/>
        <v/>
      </c>
      <c r="JW806" s="1900" t="str">
        <f t="shared" si="261"/>
        <v/>
      </c>
      <c r="JX806" s="1900" t="str">
        <f t="shared" si="262"/>
        <v/>
      </c>
      <c r="JY806" s="1900" t="str">
        <f t="shared" si="263"/>
        <v/>
      </c>
      <c r="JZ806" s="1900" t="str">
        <f t="shared" si="264"/>
        <v/>
      </c>
      <c r="KA806" s="1900" t="str">
        <f t="shared" si="265"/>
        <v/>
      </c>
      <c r="KB806" s="1900" t="str">
        <f t="shared" si="266"/>
        <v/>
      </c>
      <c r="KC806" s="1900" t="str">
        <f t="shared" si="267"/>
        <v/>
      </c>
      <c r="KD806" s="1900" t="str">
        <f t="shared" si="268"/>
        <v/>
      </c>
      <c r="KE806" s="1900" t="str">
        <f t="shared" si="269"/>
        <v/>
      </c>
      <c r="KF806" s="1900" t="str">
        <f t="shared" si="270"/>
        <v/>
      </c>
      <c r="KG806" s="1900" t="str">
        <f t="shared" si="271"/>
        <v/>
      </c>
      <c r="KH806" s="1900" t="str">
        <f t="shared" si="272"/>
        <v/>
      </c>
      <c r="KI806" s="1900" t="str">
        <f t="shared" si="273"/>
        <v/>
      </c>
      <c r="KJ806" s="1900" t="str">
        <f t="shared" si="274"/>
        <v/>
      </c>
      <c r="KK806" s="1900" t="str">
        <f t="shared" si="275"/>
        <v/>
      </c>
      <c r="KL806" s="1900" t="str">
        <f t="shared" si="276"/>
        <v/>
      </c>
      <c r="KM806" s="1900" t="str">
        <f t="shared" si="277"/>
        <v/>
      </c>
      <c r="KN806" s="1900" t="str">
        <f t="shared" si="278"/>
        <v/>
      </c>
      <c r="KO806" s="1900" t="str">
        <f t="shared" si="279"/>
        <v/>
      </c>
      <c r="KP806" s="1900" t="str">
        <f t="shared" si="280"/>
        <v/>
      </c>
      <c r="KQ806" s="1900" t="str">
        <f t="shared" si="281"/>
        <v/>
      </c>
      <c r="KR806" s="1900" t="str">
        <f t="shared" si="282"/>
        <v/>
      </c>
      <c r="KS806" s="1900" t="str">
        <f t="shared" si="283"/>
        <v/>
      </c>
      <c r="KT806" s="1900" t="str">
        <f t="shared" si="284"/>
        <v/>
      </c>
      <c r="KU806" s="1900" t="str">
        <f t="shared" si="285"/>
        <v/>
      </c>
      <c r="KV806" s="1900" t="str">
        <f t="shared" si="286"/>
        <v/>
      </c>
      <c r="KW806" s="1900" t="str">
        <f t="shared" si="287"/>
        <v/>
      </c>
      <c r="KX806" s="1900" t="str">
        <f t="shared" si="288"/>
        <v/>
      </c>
      <c r="KY806" s="1900" t="str">
        <f t="shared" si="289"/>
        <v/>
      </c>
      <c r="KZ806" s="1900" t="str">
        <f t="shared" si="290"/>
        <v/>
      </c>
      <c r="LA806" s="1900" t="str">
        <f t="shared" si="291"/>
        <v/>
      </c>
      <c r="LB806" s="1900" t="str">
        <f t="shared" si="292"/>
        <v/>
      </c>
      <c r="LC806" s="1900" t="str">
        <f t="shared" si="293"/>
        <v/>
      </c>
      <c r="LD806" s="1900" t="str">
        <f t="shared" si="294"/>
        <v/>
      </c>
      <c r="LE806" s="1900" t="str">
        <f t="shared" si="295"/>
        <v/>
      </c>
      <c r="LF806" s="1900" t="str">
        <f t="shared" si="296"/>
        <v/>
      </c>
      <c r="LG806" s="1900" t="str">
        <f t="shared" si="297"/>
        <v/>
      </c>
      <c r="LH806" s="1900" t="str">
        <f t="shared" si="298"/>
        <v/>
      </c>
      <c r="LI806" s="1900" t="str">
        <f t="shared" si="299"/>
        <v/>
      </c>
      <c r="LJ806" s="1900" t="str">
        <f t="shared" si="300"/>
        <v/>
      </c>
      <c r="LK806" s="1900" t="str">
        <f t="shared" si="301"/>
        <v/>
      </c>
      <c r="LL806" s="1900" t="str">
        <f t="shared" si="302"/>
        <v/>
      </c>
      <c r="LM806" s="1900" t="str">
        <f t="shared" si="303"/>
        <v/>
      </c>
      <c r="LN806" s="1900" t="str">
        <f t="shared" si="304"/>
        <v/>
      </c>
      <c r="LO806" s="1900" t="str">
        <f t="shared" si="305"/>
        <v/>
      </c>
      <c r="LP806" s="1900" t="str">
        <f t="shared" si="306"/>
        <v/>
      </c>
      <c r="LQ806" s="1874" t="str">
        <f t="shared" si="307"/>
        <v/>
      </c>
      <c r="LR806" s="1874" t="str">
        <f t="shared" si="308"/>
        <v/>
      </c>
      <c r="LS806" s="1874" t="str">
        <f t="shared" si="309"/>
        <v/>
      </c>
      <c r="LT806" s="1874" t="str">
        <f t="shared" si="310"/>
        <v/>
      </c>
      <c r="LU806" s="1874" t="str">
        <f t="shared" si="311"/>
        <v/>
      </c>
      <c r="LV806" s="1995" t="str">
        <f t="shared" si="312"/>
        <v/>
      </c>
      <c r="LW806" s="1995" t="str">
        <f t="shared" si="313"/>
        <v/>
      </c>
      <c r="LX806" s="1995" t="str">
        <f t="shared" si="314"/>
        <v/>
      </c>
      <c r="LY806" s="1995" t="str">
        <f t="shared" si="315"/>
        <v/>
      </c>
      <c r="LZ806" s="1995" t="str">
        <f t="shared" si="316"/>
        <v/>
      </c>
      <c r="MA806" s="1995" t="str">
        <f t="shared" si="317"/>
        <v/>
      </c>
      <c r="MB806" s="1995" t="str">
        <f t="shared" si="318"/>
        <v/>
      </c>
      <c r="MC806" s="1995" t="str">
        <f t="shared" si="319"/>
        <v/>
      </c>
      <c r="MD806" s="1995" t="str">
        <f t="shared" si="320"/>
        <v/>
      </c>
      <c r="ME806" s="1995" t="str">
        <f t="shared" si="321"/>
        <v/>
      </c>
      <c r="MF806" s="1995" t="str">
        <f t="shared" si="322"/>
        <v/>
      </c>
      <c r="MG806" s="1995" t="str">
        <f t="shared" si="323"/>
        <v/>
      </c>
      <c r="MH806" s="1995" t="str">
        <f t="shared" si="324"/>
        <v/>
      </c>
      <c r="MI806" s="1995" t="str">
        <f t="shared" si="325"/>
        <v/>
      </c>
      <c r="MJ806" s="1995" t="str">
        <f t="shared" si="326"/>
        <v/>
      </c>
      <c r="MK806" s="1995" t="str">
        <f t="shared" si="327"/>
        <v/>
      </c>
      <c r="ML806" s="1995" t="str">
        <f t="shared" si="328"/>
        <v/>
      </c>
      <c r="MM806" s="1995" t="str">
        <f t="shared" si="329"/>
        <v/>
      </c>
      <c r="MN806" s="1995" t="str">
        <f t="shared" si="330"/>
        <v/>
      </c>
      <c r="MO806" s="1995" t="str">
        <f t="shared" si="331"/>
        <v/>
      </c>
      <c r="MP806" s="1874">
        <f t="shared" si="338"/>
        <v>0</v>
      </c>
      <c r="MQ806" s="1874">
        <f t="shared" si="339"/>
        <v>0</v>
      </c>
      <c r="MR806" s="1874">
        <f t="shared" si="340"/>
        <v>0</v>
      </c>
      <c r="MS806" s="1874">
        <f t="shared" si="341"/>
        <v>0</v>
      </c>
      <c r="MT806" s="1874">
        <f t="shared" si="342"/>
        <v>0</v>
      </c>
      <c r="MU806" s="1874">
        <f t="shared" si="343"/>
        <v>0</v>
      </c>
      <c r="MV806" s="1874">
        <f t="shared" si="344"/>
        <v>0</v>
      </c>
      <c r="MW806" s="1874">
        <f t="shared" si="345"/>
        <v>0</v>
      </c>
      <c r="MX806" s="1874">
        <f t="shared" si="346"/>
        <v>0</v>
      </c>
      <c r="MY806" s="1874">
        <f t="shared" si="347"/>
        <v>0</v>
      </c>
      <c r="MZ806" s="1874">
        <f t="shared" si="332"/>
        <v>0</v>
      </c>
      <c r="NA806" s="1874">
        <f t="shared" si="333"/>
        <v>0</v>
      </c>
      <c r="NB806" s="1874">
        <f t="shared" si="334"/>
        <v>0</v>
      </c>
      <c r="NC806" s="1874">
        <f t="shared" si="335"/>
        <v>0</v>
      </c>
      <c r="ND806" s="1874">
        <f t="shared" si="336"/>
        <v>0</v>
      </c>
    </row>
    <row r="807" spans="1:368" ht="13.95" customHeight="1">
      <c r="A807" s="1896" t="str">
        <f t="shared" si="337"/>
        <v/>
      </c>
      <c r="B807" s="2212">
        <f>'Part VI-Revenues &amp; Expenses'!B38</f>
        <v>0</v>
      </c>
      <c r="C807" s="2213">
        <f>'Part VI-Revenues &amp; Expenses'!C38</f>
        <v>0</v>
      </c>
      <c r="D807" s="2214">
        <f>'Part VI-Revenues &amp; Expenses'!D38</f>
        <v>0</v>
      </c>
      <c r="E807" s="2215">
        <f>'Part VI-Revenues &amp; Expenses'!E38</f>
        <v>0</v>
      </c>
      <c r="F807" s="2215">
        <f>'Part VI-Revenues &amp; Expenses'!F38</f>
        <v>0</v>
      </c>
      <c r="G807" s="2215">
        <f>'Part VI-Revenues &amp; Expenses'!G38</f>
        <v>0</v>
      </c>
      <c r="H807" s="2215">
        <f>'Part VI-Revenues &amp; Expenses'!H38</f>
        <v>0</v>
      </c>
      <c r="I807" s="2215">
        <f>'Part VI-Revenues &amp; Expenses'!I38</f>
        <v>0</v>
      </c>
      <c r="J807" s="2215">
        <f>'Part VI-Revenues &amp; Expenses'!J38</f>
        <v>0</v>
      </c>
      <c r="K807" s="2216">
        <f>'Part VI-Revenues &amp; Expenses'!K38</f>
        <v>0</v>
      </c>
      <c r="L807" s="1899">
        <f t="shared" si="0"/>
        <v>0</v>
      </c>
      <c r="M807" s="1899">
        <f t="shared" si="1"/>
        <v>0</v>
      </c>
      <c r="N807" s="2074">
        <f>'Part VI-Revenues &amp; Expenses'!N38</f>
        <v>0</v>
      </c>
      <c r="O807" s="2074">
        <f>'Part VI-Revenues &amp; Expenses'!O38</f>
        <v>0</v>
      </c>
      <c r="P807" s="2074">
        <f>'Part VI-Revenues &amp; Expenses'!P38</f>
        <v>0</v>
      </c>
      <c r="Q807" s="1732">
        <f>'Part VI-Revenues &amp; Expenses'!Q38</f>
        <v>0</v>
      </c>
      <c r="R807" s="1926"/>
      <c r="S807" s="2148"/>
      <c r="T807" s="1910"/>
      <c r="U807" s="1910"/>
      <c r="V807" s="1910"/>
      <c r="W807" s="1910"/>
      <c r="X807" s="1995" t="str">
        <f t="shared" si="2"/>
        <v/>
      </c>
      <c r="Y807" s="1995" t="str">
        <f t="shared" si="3"/>
        <v/>
      </c>
      <c r="Z807" s="1995" t="str">
        <f t="shared" si="4"/>
        <v/>
      </c>
      <c r="AA807" s="1995" t="str">
        <f t="shared" si="5"/>
        <v/>
      </c>
      <c r="AB807" s="1995" t="str">
        <f t="shared" si="6"/>
        <v/>
      </c>
      <c r="AC807" s="1995" t="str">
        <f t="shared" si="7"/>
        <v/>
      </c>
      <c r="AD807" s="1995" t="str">
        <f t="shared" si="8"/>
        <v/>
      </c>
      <c r="AE807" s="1995" t="str">
        <f t="shared" si="9"/>
        <v/>
      </c>
      <c r="AF807" s="1995" t="str">
        <f t="shared" si="10"/>
        <v/>
      </c>
      <c r="AG807" s="1995" t="str">
        <f t="shared" si="11"/>
        <v/>
      </c>
      <c r="AH807" s="1995" t="str">
        <f t="shared" si="12"/>
        <v/>
      </c>
      <c r="AI807" s="1995" t="str">
        <f t="shared" si="13"/>
        <v/>
      </c>
      <c r="AJ807" s="1995" t="str">
        <f t="shared" si="14"/>
        <v/>
      </c>
      <c r="AK807" s="1995" t="str">
        <f t="shared" si="15"/>
        <v/>
      </c>
      <c r="AL807" s="1995" t="str">
        <f t="shared" si="16"/>
        <v/>
      </c>
      <c r="AM807" s="1995" t="str">
        <f t="shared" si="17"/>
        <v/>
      </c>
      <c r="AN807" s="1995" t="str">
        <f t="shared" si="18"/>
        <v/>
      </c>
      <c r="AO807" s="1995" t="str">
        <f t="shared" si="19"/>
        <v/>
      </c>
      <c r="AP807" s="1995" t="str">
        <f t="shared" si="20"/>
        <v/>
      </c>
      <c r="AQ807" s="1995" t="str">
        <f t="shared" si="21"/>
        <v/>
      </c>
      <c r="AR807" s="1995" t="str">
        <f t="shared" si="22"/>
        <v/>
      </c>
      <c r="AS807" s="1995" t="str">
        <f t="shared" si="23"/>
        <v/>
      </c>
      <c r="AT807" s="1995" t="str">
        <f t="shared" si="24"/>
        <v/>
      </c>
      <c r="AU807" s="1995" t="str">
        <f t="shared" si="25"/>
        <v/>
      </c>
      <c r="AV807" s="1995" t="str">
        <f t="shared" si="26"/>
        <v/>
      </c>
      <c r="AW807" s="1995" t="str">
        <f t="shared" si="27"/>
        <v/>
      </c>
      <c r="AX807" s="1995" t="str">
        <f t="shared" si="28"/>
        <v/>
      </c>
      <c r="AY807" s="1995" t="str">
        <f t="shared" si="29"/>
        <v/>
      </c>
      <c r="AZ807" s="1995" t="str">
        <f t="shared" si="30"/>
        <v/>
      </c>
      <c r="BA807" s="1995" t="str">
        <f t="shared" si="31"/>
        <v/>
      </c>
      <c r="BB807" s="1995" t="str">
        <f t="shared" si="32"/>
        <v/>
      </c>
      <c r="BC807" s="1995" t="str">
        <f t="shared" si="33"/>
        <v/>
      </c>
      <c r="BD807" s="1995" t="str">
        <f t="shared" si="34"/>
        <v/>
      </c>
      <c r="BE807" s="1995" t="str">
        <f t="shared" si="35"/>
        <v/>
      </c>
      <c r="BF807" s="1995" t="str">
        <f t="shared" si="36"/>
        <v/>
      </c>
      <c r="BG807" s="1995" t="str">
        <f t="shared" si="37"/>
        <v/>
      </c>
      <c r="BH807" s="1995" t="str">
        <f t="shared" si="38"/>
        <v/>
      </c>
      <c r="BI807" s="1995" t="str">
        <f t="shared" si="39"/>
        <v/>
      </c>
      <c r="BJ807" s="1995" t="str">
        <f t="shared" si="40"/>
        <v/>
      </c>
      <c r="BK807" s="1995" t="str">
        <f t="shared" si="41"/>
        <v/>
      </c>
      <c r="BL807" s="1995" t="str">
        <f t="shared" si="42"/>
        <v/>
      </c>
      <c r="BM807" s="1995" t="str">
        <f t="shared" si="43"/>
        <v/>
      </c>
      <c r="BN807" s="1995" t="str">
        <f t="shared" si="44"/>
        <v/>
      </c>
      <c r="BO807" s="1995" t="str">
        <f t="shared" si="45"/>
        <v/>
      </c>
      <c r="BP807" s="1995" t="str">
        <f t="shared" si="46"/>
        <v/>
      </c>
      <c r="BQ807" s="1995" t="str">
        <f t="shared" si="47"/>
        <v/>
      </c>
      <c r="BR807" s="1995" t="str">
        <f t="shared" si="48"/>
        <v/>
      </c>
      <c r="BS807" s="1995" t="str">
        <f t="shared" si="49"/>
        <v/>
      </c>
      <c r="BT807" s="1995" t="str">
        <f t="shared" si="50"/>
        <v/>
      </c>
      <c r="BU807" s="1995" t="str">
        <f t="shared" si="51"/>
        <v/>
      </c>
      <c r="BV807" s="1995" t="str">
        <f t="shared" si="52"/>
        <v/>
      </c>
      <c r="BW807" s="1995" t="str">
        <f t="shared" si="53"/>
        <v/>
      </c>
      <c r="BX807" s="1995" t="str">
        <f t="shared" si="54"/>
        <v/>
      </c>
      <c r="BY807" s="1995" t="str">
        <f t="shared" si="55"/>
        <v/>
      </c>
      <c r="BZ807" s="1995" t="str">
        <f t="shared" si="56"/>
        <v/>
      </c>
      <c r="CA807" s="1995" t="str">
        <f t="shared" si="57"/>
        <v/>
      </c>
      <c r="CB807" s="1995" t="str">
        <f t="shared" si="58"/>
        <v/>
      </c>
      <c r="CC807" s="1995" t="str">
        <f t="shared" si="59"/>
        <v/>
      </c>
      <c r="CD807" s="1995" t="str">
        <f t="shared" si="60"/>
        <v/>
      </c>
      <c r="CE807" s="1995" t="str">
        <f t="shared" si="61"/>
        <v/>
      </c>
      <c r="CF807" s="1995" t="str">
        <f t="shared" si="62"/>
        <v/>
      </c>
      <c r="CG807" s="1995" t="str">
        <f t="shared" si="63"/>
        <v/>
      </c>
      <c r="CH807" s="1995" t="str">
        <f t="shared" si="64"/>
        <v/>
      </c>
      <c r="CI807" s="1995" t="str">
        <f t="shared" si="65"/>
        <v/>
      </c>
      <c r="CJ807" s="1995" t="str">
        <f t="shared" si="66"/>
        <v/>
      </c>
      <c r="CK807" s="1995" t="str">
        <f t="shared" si="67"/>
        <v/>
      </c>
      <c r="CL807" s="1995" t="str">
        <f t="shared" si="68"/>
        <v/>
      </c>
      <c r="CM807" s="1995" t="str">
        <f t="shared" si="69"/>
        <v/>
      </c>
      <c r="CN807" s="1995" t="str">
        <f t="shared" si="70"/>
        <v/>
      </c>
      <c r="CO807" s="1995" t="str">
        <f t="shared" si="71"/>
        <v/>
      </c>
      <c r="CP807" s="1995" t="str">
        <f t="shared" si="72"/>
        <v/>
      </c>
      <c r="CQ807" s="1995" t="str">
        <f t="shared" si="73"/>
        <v/>
      </c>
      <c r="CR807" s="1995" t="str">
        <f t="shared" si="74"/>
        <v/>
      </c>
      <c r="CS807" s="1995" t="str">
        <f t="shared" si="75"/>
        <v/>
      </c>
      <c r="CT807" s="1995" t="str">
        <f t="shared" si="76"/>
        <v/>
      </c>
      <c r="CU807" s="1995" t="str">
        <f t="shared" si="77"/>
        <v/>
      </c>
      <c r="CV807" s="1995" t="str">
        <f t="shared" si="78"/>
        <v/>
      </c>
      <c r="CW807" s="1995" t="str">
        <f t="shared" si="79"/>
        <v/>
      </c>
      <c r="CX807" s="1995" t="str">
        <f t="shared" si="80"/>
        <v/>
      </c>
      <c r="CY807" s="1995" t="str">
        <f t="shared" si="81"/>
        <v/>
      </c>
      <c r="CZ807" s="1995" t="str">
        <f t="shared" si="82"/>
        <v/>
      </c>
      <c r="DA807" s="1995" t="str">
        <f t="shared" si="83"/>
        <v/>
      </c>
      <c r="DB807" s="1995" t="str">
        <f t="shared" si="84"/>
        <v/>
      </c>
      <c r="DC807" s="1995" t="str">
        <f t="shared" si="85"/>
        <v/>
      </c>
      <c r="DD807" s="1995" t="str">
        <f t="shared" si="86"/>
        <v/>
      </c>
      <c r="DE807" s="1995" t="str">
        <f t="shared" si="87"/>
        <v/>
      </c>
      <c r="DF807" s="1995" t="str">
        <f t="shared" si="88"/>
        <v/>
      </c>
      <c r="DG807" s="1995" t="str">
        <f t="shared" si="89"/>
        <v/>
      </c>
      <c r="DH807" s="1995" t="str">
        <f t="shared" si="90"/>
        <v/>
      </c>
      <c r="DI807" s="1995" t="str">
        <f t="shared" si="91"/>
        <v/>
      </c>
      <c r="DJ807" s="1995" t="str">
        <f t="shared" si="92"/>
        <v/>
      </c>
      <c r="DK807" s="1995" t="str">
        <f t="shared" si="93"/>
        <v/>
      </c>
      <c r="DL807" s="1995" t="str">
        <f t="shared" si="94"/>
        <v/>
      </c>
      <c r="DM807" s="1995" t="str">
        <f t="shared" si="95"/>
        <v/>
      </c>
      <c r="DN807" s="1995" t="str">
        <f t="shared" si="96"/>
        <v/>
      </c>
      <c r="DO807" s="1995" t="str">
        <f t="shared" si="97"/>
        <v/>
      </c>
      <c r="DP807" s="1995" t="str">
        <f t="shared" si="98"/>
        <v/>
      </c>
      <c r="DQ807" s="1995" t="str">
        <f t="shared" si="99"/>
        <v/>
      </c>
      <c r="DR807" s="1995" t="str">
        <f t="shared" si="100"/>
        <v/>
      </c>
      <c r="DS807" s="1995" t="str">
        <f t="shared" si="101"/>
        <v/>
      </c>
      <c r="DT807" s="1995" t="str">
        <f t="shared" si="102"/>
        <v/>
      </c>
      <c r="DU807" s="1995" t="str">
        <f t="shared" si="103"/>
        <v/>
      </c>
      <c r="DV807" s="1995" t="str">
        <f t="shared" si="104"/>
        <v/>
      </c>
      <c r="DW807" s="1995" t="str">
        <f t="shared" si="105"/>
        <v/>
      </c>
      <c r="DX807" s="1995" t="str">
        <f t="shared" si="106"/>
        <v/>
      </c>
      <c r="DY807" s="1995" t="str">
        <f t="shared" si="107"/>
        <v/>
      </c>
      <c r="DZ807" s="1995" t="str">
        <f t="shared" si="108"/>
        <v/>
      </c>
      <c r="EA807" s="1995" t="str">
        <f t="shared" si="109"/>
        <v/>
      </c>
      <c r="EB807" s="1995" t="str">
        <f t="shared" si="110"/>
        <v/>
      </c>
      <c r="EC807" s="1995" t="str">
        <f t="shared" si="111"/>
        <v/>
      </c>
      <c r="ED807" s="1995" t="str">
        <f t="shared" si="112"/>
        <v/>
      </c>
      <c r="EE807" s="1995" t="str">
        <f t="shared" si="113"/>
        <v/>
      </c>
      <c r="EF807" s="1995" t="str">
        <f t="shared" si="114"/>
        <v/>
      </c>
      <c r="EG807" s="1995" t="str">
        <f t="shared" si="115"/>
        <v/>
      </c>
      <c r="EH807" s="1995" t="str">
        <f t="shared" si="116"/>
        <v/>
      </c>
      <c r="EI807" s="1995" t="str">
        <f t="shared" si="117"/>
        <v/>
      </c>
      <c r="EJ807" s="1995" t="str">
        <f t="shared" si="118"/>
        <v/>
      </c>
      <c r="EK807" s="1995" t="str">
        <f t="shared" si="119"/>
        <v/>
      </c>
      <c r="EL807" s="1995" t="str">
        <f t="shared" si="120"/>
        <v/>
      </c>
      <c r="EM807" s="1995" t="str">
        <f t="shared" si="121"/>
        <v/>
      </c>
      <c r="EN807" s="1995" t="str">
        <f t="shared" si="122"/>
        <v/>
      </c>
      <c r="EO807" s="1995" t="str">
        <f t="shared" si="123"/>
        <v/>
      </c>
      <c r="EP807" s="1995" t="str">
        <f t="shared" si="124"/>
        <v/>
      </c>
      <c r="EQ807" s="1995" t="str">
        <f t="shared" si="125"/>
        <v/>
      </c>
      <c r="ER807" s="1995" t="str">
        <f t="shared" si="126"/>
        <v/>
      </c>
      <c r="ES807" s="1995" t="str">
        <f t="shared" si="127"/>
        <v/>
      </c>
      <c r="ET807" s="1995" t="str">
        <f t="shared" si="128"/>
        <v/>
      </c>
      <c r="EU807" s="1995" t="str">
        <f t="shared" si="129"/>
        <v/>
      </c>
      <c r="EV807" s="1995" t="str">
        <f t="shared" si="130"/>
        <v/>
      </c>
      <c r="EW807" s="1995" t="str">
        <f t="shared" si="131"/>
        <v/>
      </c>
      <c r="EX807" s="1995" t="str">
        <f t="shared" si="132"/>
        <v/>
      </c>
      <c r="EY807" s="1995" t="str">
        <f t="shared" si="133"/>
        <v/>
      </c>
      <c r="EZ807" s="1995" t="str">
        <f t="shared" si="134"/>
        <v/>
      </c>
      <c r="FA807" s="1995" t="str">
        <f t="shared" si="135"/>
        <v/>
      </c>
      <c r="FB807" s="1995" t="str">
        <f t="shared" si="136"/>
        <v/>
      </c>
      <c r="FC807" s="1995" t="str">
        <f t="shared" si="137"/>
        <v/>
      </c>
      <c r="FD807" s="1995" t="str">
        <f t="shared" si="138"/>
        <v/>
      </c>
      <c r="FE807" s="1995" t="str">
        <f t="shared" si="139"/>
        <v/>
      </c>
      <c r="FF807" s="1995" t="str">
        <f t="shared" si="140"/>
        <v/>
      </c>
      <c r="FG807" s="1995" t="str">
        <f t="shared" si="141"/>
        <v/>
      </c>
      <c r="FH807" s="1995" t="str">
        <f t="shared" si="142"/>
        <v/>
      </c>
      <c r="FI807" s="1995" t="str">
        <f t="shared" si="143"/>
        <v/>
      </c>
      <c r="FJ807" s="1995" t="str">
        <f t="shared" si="144"/>
        <v/>
      </c>
      <c r="FK807" s="1995" t="str">
        <f t="shared" si="145"/>
        <v/>
      </c>
      <c r="FL807" s="1995" t="str">
        <f t="shared" si="146"/>
        <v/>
      </c>
      <c r="FM807" s="1995" t="str">
        <f t="shared" si="147"/>
        <v/>
      </c>
      <c r="FN807" s="1995" t="str">
        <f t="shared" si="148"/>
        <v/>
      </c>
      <c r="FO807" s="1995" t="str">
        <f t="shared" si="149"/>
        <v/>
      </c>
      <c r="FP807" s="1995" t="str">
        <f t="shared" si="150"/>
        <v/>
      </c>
      <c r="FQ807" s="1995" t="str">
        <f t="shared" si="151"/>
        <v/>
      </c>
      <c r="FR807" s="1995" t="str">
        <f t="shared" si="152"/>
        <v/>
      </c>
      <c r="FS807" s="1995" t="str">
        <f t="shared" si="153"/>
        <v/>
      </c>
      <c r="FT807" s="1995" t="str">
        <f t="shared" si="154"/>
        <v/>
      </c>
      <c r="FU807" s="1995" t="str">
        <f t="shared" si="155"/>
        <v/>
      </c>
      <c r="FV807" s="1995" t="str">
        <f t="shared" si="156"/>
        <v/>
      </c>
      <c r="FW807" s="1995" t="str">
        <f t="shared" si="157"/>
        <v/>
      </c>
      <c r="FX807" s="1995" t="str">
        <f t="shared" si="158"/>
        <v/>
      </c>
      <c r="FY807" s="1995" t="str">
        <f t="shared" si="159"/>
        <v/>
      </c>
      <c r="FZ807" s="1995" t="str">
        <f t="shared" si="160"/>
        <v/>
      </c>
      <c r="GA807" s="1995" t="str">
        <f t="shared" si="161"/>
        <v/>
      </c>
      <c r="GB807" s="1995" t="str">
        <f t="shared" si="162"/>
        <v/>
      </c>
      <c r="GC807" s="1995" t="str">
        <f t="shared" si="163"/>
        <v/>
      </c>
      <c r="GD807" s="1995" t="str">
        <f t="shared" si="164"/>
        <v/>
      </c>
      <c r="GE807" s="1995" t="str">
        <f t="shared" si="165"/>
        <v/>
      </c>
      <c r="GF807" s="1995" t="str">
        <f t="shared" si="166"/>
        <v/>
      </c>
      <c r="GG807" s="1995" t="str">
        <f t="shared" si="167"/>
        <v/>
      </c>
      <c r="GH807" s="1995" t="str">
        <f t="shared" si="168"/>
        <v/>
      </c>
      <c r="GI807" s="1995" t="str">
        <f t="shared" si="169"/>
        <v/>
      </c>
      <c r="GJ807" s="1995" t="str">
        <f t="shared" si="170"/>
        <v/>
      </c>
      <c r="GK807" s="1995" t="str">
        <f t="shared" si="171"/>
        <v/>
      </c>
      <c r="GL807" s="1995" t="str">
        <f t="shared" si="172"/>
        <v/>
      </c>
      <c r="GM807" s="1995" t="str">
        <f t="shared" si="173"/>
        <v/>
      </c>
      <c r="GN807" s="1995" t="str">
        <f t="shared" si="174"/>
        <v/>
      </c>
      <c r="GO807" s="1995" t="str">
        <f t="shared" si="175"/>
        <v/>
      </c>
      <c r="GP807" s="1995" t="str">
        <f t="shared" si="176"/>
        <v/>
      </c>
      <c r="GQ807" s="1995" t="str">
        <f t="shared" si="177"/>
        <v/>
      </c>
      <c r="GR807" s="1995" t="str">
        <f t="shared" si="178"/>
        <v/>
      </c>
      <c r="GS807" s="1995" t="str">
        <f t="shared" si="179"/>
        <v/>
      </c>
      <c r="GT807" s="1995" t="str">
        <f t="shared" si="180"/>
        <v/>
      </c>
      <c r="GU807" s="1995" t="str">
        <f t="shared" si="181"/>
        <v/>
      </c>
      <c r="GV807" s="1995" t="str">
        <f t="shared" si="182"/>
        <v/>
      </c>
      <c r="GW807" s="1995" t="str">
        <f t="shared" si="183"/>
        <v/>
      </c>
      <c r="GX807" s="1995" t="str">
        <f t="shared" si="184"/>
        <v/>
      </c>
      <c r="GY807" s="1995" t="str">
        <f t="shared" si="185"/>
        <v/>
      </c>
      <c r="GZ807" s="1995" t="str">
        <f t="shared" si="186"/>
        <v/>
      </c>
      <c r="HA807" s="1995" t="str">
        <f t="shared" si="187"/>
        <v/>
      </c>
      <c r="HB807" s="1995" t="str">
        <f t="shared" si="188"/>
        <v/>
      </c>
      <c r="HC807" s="1995" t="str">
        <f t="shared" si="189"/>
        <v/>
      </c>
      <c r="HD807" s="1995" t="str">
        <f t="shared" si="190"/>
        <v/>
      </c>
      <c r="HE807" s="1995" t="str">
        <f t="shared" si="191"/>
        <v/>
      </c>
      <c r="HF807" s="1995" t="str">
        <f t="shared" si="192"/>
        <v/>
      </c>
      <c r="HG807" s="1995" t="str">
        <f t="shared" si="193"/>
        <v/>
      </c>
      <c r="HH807" s="1995" t="str">
        <f t="shared" si="194"/>
        <v/>
      </c>
      <c r="HI807" s="1995" t="str">
        <f t="shared" si="195"/>
        <v/>
      </c>
      <c r="HJ807" s="1995" t="str">
        <f t="shared" si="196"/>
        <v/>
      </c>
      <c r="HK807" s="1995" t="str">
        <f t="shared" si="197"/>
        <v/>
      </c>
      <c r="HL807" s="1995" t="str">
        <f t="shared" si="198"/>
        <v/>
      </c>
      <c r="HM807" s="1995" t="str">
        <f t="shared" si="199"/>
        <v/>
      </c>
      <c r="HN807" s="1995" t="str">
        <f t="shared" si="200"/>
        <v/>
      </c>
      <c r="HO807" s="1995" t="str">
        <f t="shared" si="201"/>
        <v/>
      </c>
      <c r="HP807" s="1995" t="str">
        <f t="shared" si="202"/>
        <v/>
      </c>
      <c r="HQ807" s="1995" t="str">
        <f t="shared" si="203"/>
        <v/>
      </c>
      <c r="HR807" s="1995" t="str">
        <f t="shared" si="204"/>
        <v/>
      </c>
      <c r="HS807" s="1995" t="str">
        <f t="shared" si="205"/>
        <v/>
      </c>
      <c r="HT807" s="1995" t="str">
        <f t="shared" si="206"/>
        <v/>
      </c>
      <c r="HU807" s="1995" t="str">
        <f t="shared" si="207"/>
        <v/>
      </c>
      <c r="HV807" s="1995" t="str">
        <f t="shared" si="208"/>
        <v/>
      </c>
      <c r="HW807" s="1995" t="str">
        <f t="shared" si="209"/>
        <v/>
      </c>
      <c r="HX807" s="1995" t="str">
        <f t="shared" si="210"/>
        <v/>
      </c>
      <c r="HY807" s="1995" t="str">
        <f t="shared" si="211"/>
        <v/>
      </c>
      <c r="HZ807" s="1900" t="str">
        <f t="shared" si="212"/>
        <v/>
      </c>
      <c r="IA807" s="1900" t="str">
        <f t="shared" si="213"/>
        <v/>
      </c>
      <c r="IB807" s="1900" t="str">
        <f t="shared" si="214"/>
        <v/>
      </c>
      <c r="IC807" s="1900" t="str">
        <f t="shared" si="215"/>
        <v/>
      </c>
      <c r="ID807" s="1900" t="str">
        <f t="shared" si="216"/>
        <v/>
      </c>
      <c r="IE807" s="1900" t="str">
        <f t="shared" si="217"/>
        <v/>
      </c>
      <c r="IF807" s="1900" t="str">
        <f t="shared" si="218"/>
        <v/>
      </c>
      <c r="IG807" s="1900" t="str">
        <f t="shared" si="219"/>
        <v/>
      </c>
      <c r="IH807" s="1900" t="str">
        <f t="shared" si="220"/>
        <v/>
      </c>
      <c r="II807" s="1900" t="str">
        <f t="shared" si="221"/>
        <v/>
      </c>
      <c r="IJ807" s="1900" t="str">
        <f t="shared" si="222"/>
        <v/>
      </c>
      <c r="IK807" s="1900" t="str">
        <f t="shared" si="223"/>
        <v/>
      </c>
      <c r="IL807" s="1900" t="str">
        <f t="shared" si="224"/>
        <v/>
      </c>
      <c r="IM807" s="1900" t="str">
        <f t="shared" si="225"/>
        <v/>
      </c>
      <c r="IN807" s="1900" t="str">
        <f t="shared" si="226"/>
        <v/>
      </c>
      <c r="IO807" s="1900" t="str">
        <f t="shared" si="227"/>
        <v/>
      </c>
      <c r="IP807" s="1900" t="str">
        <f t="shared" si="228"/>
        <v/>
      </c>
      <c r="IQ807" s="1900" t="str">
        <f t="shared" si="229"/>
        <v/>
      </c>
      <c r="IR807" s="1900" t="str">
        <f t="shared" si="230"/>
        <v/>
      </c>
      <c r="IS807" s="1900" t="str">
        <f t="shared" si="231"/>
        <v/>
      </c>
      <c r="IT807" s="1900" t="str">
        <f t="shared" si="232"/>
        <v/>
      </c>
      <c r="IU807" s="1900" t="str">
        <f t="shared" si="233"/>
        <v/>
      </c>
      <c r="IV807" s="1900" t="str">
        <f t="shared" si="234"/>
        <v/>
      </c>
      <c r="IW807" s="1900" t="str">
        <f t="shared" si="235"/>
        <v/>
      </c>
      <c r="IX807" s="1900" t="str">
        <f t="shared" si="236"/>
        <v/>
      </c>
      <c r="IY807" s="1900" t="str">
        <f t="shared" si="237"/>
        <v/>
      </c>
      <c r="IZ807" s="1900" t="str">
        <f t="shared" si="238"/>
        <v/>
      </c>
      <c r="JA807" s="1900" t="str">
        <f t="shared" si="239"/>
        <v/>
      </c>
      <c r="JB807" s="1900" t="str">
        <f t="shared" si="240"/>
        <v/>
      </c>
      <c r="JC807" s="1900" t="str">
        <f t="shared" si="241"/>
        <v/>
      </c>
      <c r="JD807" s="1900" t="str">
        <f t="shared" si="242"/>
        <v/>
      </c>
      <c r="JE807" s="1900" t="str">
        <f t="shared" si="243"/>
        <v/>
      </c>
      <c r="JF807" s="1900" t="str">
        <f t="shared" si="244"/>
        <v/>
      </c>
      <c r="JG807" s="1900" t="str">
        <f t="shared" si="245"/>
        <v/>
      </c>
      <c r="JH807" s="1900" t="str">
        <f t="shared" si="246"/>
        <v/>
      </c>
      <c r="JI807" s="1900" t="str">
        <f t="shared" si="247"/>
        <v/>
      </c>
      <c r="JJ807" s="1900" t="str">
        <f t="shared" si="248"/>
        <v/>
      </c>
      <c r="JK807" s="1900" t="str">
        <f t="shared" si="249"/>
        <v/>
      </c>
      <c r="JL807" s="1900" t="str">
        <f t="shared" si="250"/>
        <v/>
      </c>
      <c r="JM807" s="1900" t="str">
        <f t="shared" si="251"/>
        <v/>
      </c>
      <c r="JN807" s="1900" t="str">
        <f t="shared" si="252"/>
        <v/>
      </c>
      <c r="JO807" s="1900" t="str">
        <f t="shared" si="253"/>
        <v/>
      </c>
      <c r="JP807" s="1900" t="str">
        <f t="shared" si="254"/>
        <v/>
      </c>
      <c r="JQ807" s="1900" t="str">
        <f t="shared" si="255"/>
        <v/>
      </c>
      <c r="JR807" s="1900" t="str">
        <f t="shared" si="256"/>
        <v/>
      </c>
      <c r="JS807" s="1900" t="str">
        <f t="shared" si="257"/>
        <v/>
      </c>
      <c r="JT807" s="1900" t="str">
        <f t="shared" si="258"/>
        <v/>
      </c>
      <c r="JU807" s="1900" t="str">
        <f t="shared" si="259"/>
        <v/>
      </c>
      <c r="JV807" s="1900" t="str">
        <f t="shared" si="260"/>
        <v/>
      </c>
      <c r="JW807" s="1900" t="str">
        <f t="shared" si="261"/>
        <v/>
      </c>
      <c r="JX807" s="1900" t="str">
        <f t="shared" si="262"/>
        <v/>
      </c>
      <c r="JY807" s="1900" t="str">
        <f t="shared" si="263"/>
        <v/>
      </c>
      <c r="JZ807" s="1900" t="str">
        <f t="shared" si="264"/>
        <v/>
      </c>
      <c r="KA807" s="1900" t="str">
        <f t="shared" si="265"/>
        <v/>
      </c>
      <c r="KB807" s="1900" t="str">
        <f t="shared" si="266"/>
        <v/>
      </c>
      <c r="KC807" s="1900" t="str">
        <f t="shared" si="267"/>
        <v/>
      </c>
      <c r="KD807" s="1900" t="str">
        <f t="shared" si="268"/>
        <v/>
      </c>
      <c r="KE807" s="1900" t="str">
        <f t="shared" si="269"/>
        <v/>
      </c>
      <c r="KF807" s="1900" t="str">
        <f t="shared" si="270"/>
        <v/>
      </c>
      <c r="KG807" s="1900" t="str">
        <f t="shared" si="271"/>
        <v/>
      </c>
      <c r="KH807" s="1900" t="str">
        <f t="shared" si="272"/>
        <v/>
      </c>
      <c r="KI807" s="1900" t="str">
        <f t="shared" si="273"/>
        <v/>
      </c>
      <c r="KJ807" s="1900" t="str">
        <f t="shared" si="274"/>
        <v/>
      </c>
      <c r="KK807" s="1900" t="str">
        <f t="shared" si="275"/>
        <v/>
      </c>
      <c r="KL807" s="1900" t="str">
        <f t="shared" si="276"/>
        <v/>
      </c>
      <c r="KM807" s="1900" t="str">
        <f t="shared" si="277"/>
        <v/>
      </c>
      <c r="KN807" s="1900" t="str">
        <f t="shared" si="278"/>
        <v/>
      </c>
      <c r="KO807" s="1900" t="str">
        <f t="shared" si="279"/>
        <v/>
      </c>
      <c r="KP807" s="1900" t="str">
        <f t="shared" si="280"/>
        <v/>
      </c>
      <c r="KQ807" s="1900" t="str">
        <f t="shared" si="281"/>
        <v/>
      </c>
      <c r="KR807" s="1900" t="str">
        <f t="shared" si="282"/>
        <v/>
      </c>
      <c r="KS807" s="1900" t="str">
        <f t="shared" si="283"/>
        <v/>
      </c>
      <c r="KT807" s="1900" t="str">
        <f t="shared" si="284"/>
        <v/>
      </c>
      <c r="KU807" s="1900" t="str">
        <f t="shared" si="285"/>
        <v/>
      </c>
      <c r="KV807" s="1900" t="str">
        <f t="shared" si="286"/>
        <v/>
      </c>
      <c r="KW807" s="1900" t="str">
        <f t="shared" si="287"/>
        <v/>
      </c>
      <c r="KX807" s="1900" t="str">
        <f t="shared" si="288"/>
        <v/>
      </c>
      <c r="KY807" s="1900" t="str">
        <f t="shared" si="289"/>
        <v/>
      </c>
      <c r="KZ807" s="1900" t="str">
        <f t="shared" si="290"/>
        <v/>
      </c>
      <c r="LA807" s="1900" t="str">
        <f t="shared" si="291"/>
        <v/>
      </c>
      <c r="LB807" s="1900" t="str">
        <f t="shared" si="292"/>
        <v/>
      </c>
      <c r="LC807" s="1900" t="str">
        <f t="shared" si="293"/>
        <v/>
      </c>
      <c r="LD807" s="1900" t="str">
        <f t="shared" si="294"/>
        <v/>
      </c>
      <c r="LE807" s="1900" t="str">
        <f t="shared" si="295"/>
        <v/>
      </c>
      <c r="LF807" s="1900" t="str">
        <f t="shared" si="296"/>
        <v/>
      </c>
      <c r="LG807" s="1900" t="str">
        <f t="shared" si="297"/>
        <v/>
      </c>
      <c r="LH807" s="1900" t="str">
        <f t="shared" si="298"/>
        <v/>
      </c>
      <c r="LI807" s="1900" t="str">
        <f t="shared" si="299"/>
        <v/>
      </c>
      <c r="LJ807" s="1900" t="str">
        <f t="shared" si="300"/>
        <v/>
      </c>
      <c r="LK807" s="1900" t="str">
        <f t="shared" si="301"/>
        <v/>
      </c>
      <c r="LL807" s="1900" t="str">
        <f t="shared" si="302"/>
        <v/>
      </c>
      <c r="LM807" s="1900" t="str">
        <f t="shared" si="303"/>
        <v/>
      </c>
      <c r="LN807" s="1900" t="str">
        <f t="shared" si="304"/>
        <v/>
      </c>
      <c r="LO807" s="1900" t="str">
        <f t="shared" si="305"/>
        <v/>
      </c>
      <c r="LP807" s="1900" t="str">
        <f t="shared" si="306"/>
        <v/>
      </c>
      <c r="LQ807" s="1874" t="str">
        <f t="shared" si="307"/>
        <v/>
      </c>
      <c r="LR807" s="1874" t="str">
        <f t="shared" si="308"/>
        <v/>
      </c>
      <c r="LS807" s="1874" t="str">
        <f t="shared" si="309"/>
        <v/>
      </c>
      <c r="LT807" s="1874" t="str">
        <f t="shared" si="310"/>
        <v/>
      </c>
      <c r="LU807" s="1874" t="str">
        <f t="shared" si="311"/>
        <v/>
      </c>
      <c r="LV807" s="1995" t="str">
        <f t="shared" si="312"/>
        <v/>
      </c>
      <c r="LW807" s="1995" t="str">
        <f t="shared" si="313"/>
        <v/>
      </c>
      <c r="LX807" s="1995" t="str">
        <f t="shared" si="314"/>
        <v/>
      </c>
      <c r="LY807" s="1995" t="str">
        <f t="shared" si="315"/>
        <v/>
      </c>
      <c r="LZ807" s="1995" t="str">
        <f t="shared" si="316"/>
        <v/>
      </c>
      <c r="MA807" s="1995" t="str">
        <f t="shared" si="317"/>
        <v/>
      </c>
      <c r="MB807" s="1995" t="str">
        <f t="shared" si="318"/>
        <v/>
      </c>
      <c r="MC807" s="1995" t="str">
        <f t="shared" si="319"/>
        <v/>
      </c>
      <c r="MD807" s="1995" t="str">
        <f t="shared" si="320"/>
        <v/>
      </c>
      <c r="ME807" s="1995" t="str">
        <f t="shared" si="321"/>
        <v/>
      </c>
      <c r="MF807" s="1995" t="str">
        <f t="shared" si="322"/>
        <v/>
      </c>
      <c r="MG807" s="1995" t="str">
        <f t="shared" si="323"/>
        <v/>
      </c>
      <c r="MH807" s="1995" t="str">
        <f t="shared" si="324"/>
        <v/>
      </c>
      <c r="MI807" s="1995" t="str">
        <f t="shared" si="325"/>
        <v/>
      </c>
      <c r="MJ807" s="1995" t="str">
        <f t="shared" si="326"/>
        <v/>
      </c>
      <c r="MK807" s="1995" t="str">
        <f t="shared" si="327"/>
        <v/>
      </c>
      <c r="ML807" s="1995" t="str">
        <f t="shared" si="328"/>
        <v/>
      </c>
      <c r="MM807" s="1995" t="str">
        <f t="shared" si="329"/>
        <v/>
      </c>
      <c r="MN807" s="1995" t="str">
        <f t="shared" si="330"/>
        <v/>
      </c>
      <c r="MO807" s="1995" t="str">
        <f t="shared" si="331"/>
        <v/>
      </c>
      <c r="MP807" s="1874">
        <f t="shared" si="338"/>
        <v>0</v>
      </c>
      <c r="MQ807" s="1874">
        <f t="shared" si="339"/>
        <v>0</v>
      </c>
      <c r="MR807" s="1874">
        <f t="shared" si="340"/>
        <v>0</v>
      </c>
      <c r="MS807" s="1874">
        <f t="shared" si="341"/>
        <v>0</v>
      </c>
      <c r="MT807" s="1874">
        <f t="shared" si="342"/>
        <v>0</v>
      </c>
      <c r="MU807" s="1874">
        <f t="shared" si="343"/>
        <v>0</v>
      </c>
      <c r="MV807" s="1874">
        <f t="shared" si="344"/>
        <v>0</v>
      </c>
      <c r="MW807" s="1874">
        <f t="shared" si="345"/>
        <v>0</v>
      </c>
      <c r="MX807" s="1874">
        <f t="shared" si="346"/>
        <v>0</v>
      </c>
      <c r="MY807" s="1874">
        <f t="shared" si="347"/>
        <v>0</v>
      </c>
      <c r="MZ807" s="1874">
        <f t="shared" si="332"/>
        <v>0</v>
      </c>
      <c r="NA807" s="1874">
        <f t="shared" si="333"/>
        <v>0</v>
      </c>
      <c r="NB807" s="1874">
        <f t="shared" si="334"/>
        <v>0</v>
      </c>
      <c r="NC807" s="1874">
        <f t="shared" si="335"/>
        <v>0</v>
      </c>
      <c r="ND807" s="1874">
        <f t="shared" si="336"/>
        <v>0</v>
      </c>
    </row>
    <row r="808" spans="1:368" ht="13.95" customHeight="1">
      <c r="A808" s="1896" t="str">
        <f t="shared" si="337"/>
        <v/>
      </c>
      <c r="B808" s="2212">
        <f>'Part VI-Revenues &amp; Expenses'!B39</f>
        <v>0</v>
      </c>
      <c r="C808" s="2213">
        <f>'Part VI-Revenues &amp; Expenses'!C39</f>
        <v>0</v>
      </c>
      <c r="D808" s="2214">
        <f>'Part VI-Revenues &amp; Expenses'!D39</f>
        <v>0</v>
      </c>
      <c r="E808" s="2215">
        <f>'Part VI-Revenues &amp; Expenses'!E39</f>
        <v>0</v>
      </c>
      <c r="F808" s="2215">
        <f>'Part VI-Revenues &amp; Expenses'!F39</f>
        <v>0</v>
      </c>
      <c r="G808" s="2215">
        <f>'Part VI-Revenues &amp; Expenses'!G39</f>
        <v>0</v>
      </c>
      <c r="H808" s="2215">
        <f>'Part VI-Revenues &amp; Expenses'!H39</f>
        <v>0</v>
      </c>
      <c r="I808" s="2215">
        <f>'Part VI-Revenues &amp; Expenses'!I39</f>
        <v>0</v>
      </c>
      <c r="J808" s="2215">
        <f>'Part VI-Revenues &amp; Expenses'!J39</f>
        <v>0</v>
      </c>
      <c r="K808" s="2216">
        <f>'Part VI-Revenues &amp; Expenses'!K39</f>
        <v>0</v>
      </c>
      <c r="L808" s="1899">
        <f t="shared" si="0"/>
        <v>0</v>
      </c>
      <c r="M808" s="1899">
        <f t="shared" si="1"/>
        <v>0</v>
      </c>
      <c r="N808" s="2074">
        <f>'Part VI-Revenues &amp; Expenses'!N39</f>
        <v>0</v>
      </c>
      <c r="O808" s="2074">
        <f>'Part VI-Revenues &amp; Expenses'!O39</f>
        <v>0</v>
      </c>
      <c r="P808" s="2074">
        <f>'Part VI-Revenues &amp; Expenses'!P39</f>
        <v>0</v>
      </c>
      <c r="Q808" s="1732">
        <f>'Part VI-Revenues &amp; Expenses'!Q39</f>
        <v>0</v>
      </c>
      <c r="R808" s="1926"/>
      <c r="S808" s="2148"/>
      <c r="T808" s="1910"/>
      <c r="U808" s="1910"/>
      <c r="V808" s="1910"/>
      <c r="W808" s="1910"/>
      <c r="X808" s="1995" t="str">
        <f t="shared" si="2"/>
        <v/>
      </c>
      <c r="Y808" s="1995" t="str">
        <f t="shared" si="3"/>
        <v/>
      </c>
      <c r="Z808" s="1995" t="str">
        <f t="shared" si="4"/>
        <v/>
      </c>
      <c r="AA808" s="1995" t="str">
        <f t="shared" si="5"/>
        <v/>
      </c>
      <c r="AB808" s="1995" t="str">
        <f t="shared" si="6"/>
        <v/>
      </c>
      <c r="AC808" s="1995" t="str">
        <f t="shared" si="7"/>
        <v/>
      </c>
      <c r="AD808" s="1995" t="str">
        <f t="shared" si="8"/>
        <v/>
      </c>
      <c r="AE808" s="1995" t="str">
        <f t="shared" si="9"/>
        <v/>
      </c>
      <c r="AF808" s="1995" t="str">
        <f t="shared" si="10"/>
        <v/>
      </c>
      <c r="AG808" s="1995" t="str">
        <f t="shared" si="11"/>
        <v/>
      </c>
      <c r="AH808" s="1995" t="str">
        <f t="shared" si="12"/>
        <v/>
      </c>
      <c r="AI808" s="1995" t="str">
        <f t="shared" si="13"/>
        <v/>
      </c>
      <c r="AJ808" s="1995" t="str">
        <f t="shared" si="14"/>
        <v/>
      </c>
      <c r="AK808" s="1995" t="str">
        <f t="shared" si="15"/>
        <v/>
      </c>
      <c r="AL808" s="1995" t="str">
        <f t="shared" si="16"/>
        <v/>
      </c>
      <c r="AM808" s="1995" t="str">
        <f t="shared" si="17"/>
        <v/>
      </c>
      <c r="AN808" s="1995" t="str">
        <f t="shared" si="18"/>
        <v/>
      </c>
      <c r="AO808" s="1995" t="str">
        <f t="shared" si="19"/>
        <v/>
      </c>
      <c r="AP808" s="1995" t="str">
        <f t="shared" si="20"/>
        <v/>
      </c>
      <c r="AQ808" s="1995" t="str">
        <f t="shared" si="21"/>
        <v/>
      </c>
      <c r="AR808" s="1995" t="str">
        <f t="shared" si="22"/>
        <v/>
      </c>
      <c r="AS808" s="1995" t="str">
        <f t="shared" si="23"/>
        <v/>
      </c>
      <c r="AT808" s="1995" t="str">
        <f t="shared" si="24"/>
        <v/>
      </c>
      <c r="AU808" s="1995" t="str">
        <f t="shared" si="25"/>
        <v/>
      </c>
      <c r="AV808" s="1995" t="str">
        <f t="shared" si="26"/>
        <v/>
      </c>
      <c r="AW808" s="1995" t="str">
        <f t="shared" si="27"/>
        <v/>
      </c>
      <c r="AX808" s="1995" t="str">
        <f t="shared" si="28"/>
        <v/>
      </c>
      <c r="AY808" s="1995" t="str">
        <f t="shared" si="29"/>
        <v/>
      </c>
      <c r="AZ808" s="1995" t="str">
        <f t="shared" si="30"/>
        <v/>
      </c>
      <c r="BA808" s="1995" t="str">
        <f t="shared" si="31"/>
        <v/>
      </c>
      <c r="BB808" s="1995" t="str">
        <f t="shared" si="32"/>
        <v/>
      </c>
      <c r="BC808" s="1995" t="str">
        <f t="shared" si="33"/>
        <v/>
      </c>
      <c r="BD808" s="1995" t="str">
        <f t="shared" si="34"/>
        <v/>
      </c>
      <c r="BE808" s="1995" t="str">
        <f t="shared" si="35"/>
        <v/>
      </c>
      <c r="BF808" s="1995" t="str">
        <f t="shared" si="36"/>
        <v/>
      </c>
      <c r="BG808" s="1995" t="str">
        <f t="shared" si="37"/>
        <v/>
      </c>
      <c r="BH808" s="1995" t="str">
        <f t="shared" si="38"/>
        <v/>
      </c>
      <c r="BI808" s="1995" t="str">
        <f t="shared" si="39"/>
        <v/>
      </c>
      <c r="BJ808" s="1995" t="str">
        <f t="shared" si="40"/>
        <v/>
      </c>
      <c r="BK808" s="1995" t="str">
        <f t="shared" si="41"/>
        <v/>
      </c>
      <c r="BL808" s="1995" t="str">
        <f t="shared" si="42"/>
        <v/>
      </c>
      <c r="BM808" s="1995" t="str">
        <f t="shared" si="43"/>
        <v/>
      </c>
      <c r="BN808" s="1995" t="str">
        <f t="shared" si="44"/>
        <v/>
      </c>
      <c r="BO808" s="1995" t="str">
        <f t="shared" si="45"/>
        <v/>
      </c>
      <c r="BP808" s="1995" t="str">
        <f t="shared" si="46"/>
        <v/>
      </c>
      <c r="BQ808" s="1995" t="str">
        <f t="shared" si="47"/>
        <v/>
      </c>
      <c r="BR808" s="1995" t="str">
        <f t="shared" si="48"/>
        <v/>
      </c>
      <c r="BS808" s="1995" t="str">
        <f t="shared" si="49"/>
        <v/>
      </c>
      <c r="BT808" s="1995" t="str">
        <f t="shared" si="50"/>
        <v/>
      </c>
      <c r="BU808" s="1995" t="str">
        <f t="shared" si="51"/>
        <v/>
      </c>
      <c r="BV808" s="1995" t="str">
        <f t="shared" si="52"/>
        <v/>
      </c>
      <c r="BW808" s="1995" t="str">
        <f t="shared" si="53"/>
        <v/>
      </c>
      <c r="BX808" s="1995" t="str">
        <f t="shared" si="54"/>
        <v/>
      </c>
      <c r="BY808" s="1995" t="str">
        <f t="shared" si="55"/>
        <v/>
      </c>
      <c r="BZ808" s="1995" t="str">
        <f t="shared" si="56"/>
        <v/>
      </c>
      <c r="CA808" s="1995" t="str">
        <f t="shared" si="57"/>
        <v/>
      </c>
      <c r="CB808" s="1995" t="str">
        <f t="shared" si="58"/>
        <v/>
      </c>
      <c r="CC808" s="1995" t="str">
        <f t="shared" si="59"/>
        <v/>
      </c>
      <c r="CD808" s="1995" t="str">
        <f t="shared" si="60"/>
        <v/>
      </c>
      <c r="CE808" s="1995" t="str">
        <f t="shared" si="61"/>
        <v/>
      </c>
      <c r="CF808" s="1995" t="str">
        <f t="shared" si="62"/>
        <v/>
      </c>
      <c r="CG808" s="1995" t="str">
        <f t="shared" si="63"/>
        <v/>
      </c>
      <c r="CH808" s="1995" t="str">
        <f t="shared" si="64"/>
        <v/>
      </c>
      <c r="CI808" s="1995" t="str">
        <f t="shared" si="65"/>
        <v/>
      </c>
      <c r="CJ808" s="1995" t="str">
        <f t="shared" si="66"/>
        <v/>
      </c>
      <c r="CK808" s="1995" t="str">
        <f t="shared" si="67"/>
        <v/>
      </c>
      <c r="CL808" s="1995" t="str">
        <f t="shared" si="68"/>
        <v/>
      </c>
      <c r="CM808" s="1995" t="str">
        <f t="shared" si="69"/>
        <v/>
      </c>
      <c r="CN808" s="1995" t="str">
        <f t="shared" si="70"/>
        <v/>
      </c>
      <c r="CO808" s="1995" t="str">
        <f t="shared" si="71"/>
        <v/>
      </c>
      <c r="CP808" s="1995" t="str">
        <f t="shared" si="72"/>
        <v/>
      </c>
      <c r="CQ808" s="1995" t="str">
        <f t="shared" si="73"/>
        <v/>
      </c>
      <c r="CR808" s="1995" t="str">
        <f t="shared" si="74"/>
        <v/>
      </c>
      <c r="CS808" s="1995" t="str">
        <f t="shared" si="75"/>
        <v/>
      </c>
      <c r="CT808" s="1995" t="str">
        <f t="shared" si="76"/>
        <v/>
      </c>
      <c r="CU808" s="1995" t="str">
        <f t="shared" si="77"/>
        <v/>
      </c>
      <c r="CV808" s="1995" t="str">
        <f t="shared" si="78"/>
        <v/>
      </c>
      <c r="CW808" s="1995" t="str">
        <f t="shared" si="79"/>
        <v/>
      </c>
      <c r="CX808" s="1995" t="str">
        <f t="shared" si="80"/>
        <v/>
      </c>
      <c r="CY808" s="1995" t="str">
        <f t="shared" si="81"/>
        <v/>
      </c>
      <c r="CZ808" s="1995" t="str">
        <f t="shared" si="82"/>
        <v/>
      </c>
      <c r="DA808" s="1995" t="str">
        <f t="shared" si="83"/>
        <v/>
      </c>
      <c r="DB808" s="1995" t="str">
        <f t="shared" si="84"/>
        <v/>
      </c>
      <c r="DC808" s="1995" t="str">
        <f t="shared" si="85"/>
        <v/>
      </c>
      <c r="DD808" s="1995" t="str">
        <f t="shared" si="86"/>
        <v/>
      </c>
      <c r="DE808" s="1995" t="str">
        <f t="shared" si="87"/>
        <v/>
      </c>
      <c r="DF808" s="1995" t="str">
        <f t="shared" si="88"/>
        <v/>
      </c>
      <c r="DG808" s="1995" t="str">
        <f t="shared" si="89"/>
        <v/>
      </c>
      <c r="DH808" s="1995" t="str">
        <f t="shared" si="90"/>
        <v/>
      </c>
      <c r="DI808" s="1995" t="str">
        <f t="shared" si="91"/>
        <v/>
      </c>
      <c r="DJ808" s="1995" t="str">
        <f t="shared" si="92"/>
        <v/>
      </c>
      <c r="DK808" s="1995" t="str">
        <f t="shared" si="93"/>
        <v/>
      </c>
      <c r="DL808" s="1995" t="str">
        <f t="shared" si="94"/>
        <v/>
      </c>
      <c r="DM808" s="1995" t="str">
        <f t="shared" si="95"/>
        <v/>
      </c>
      <c r="DN808" s="1995" t="str">
        <f t="shared" si="96"/>
        <v/>
      </c>
      <c r="DO808" s="1995" t="str">
        <f t="shared" si="97"/>
        <v/>
      </c>
      <c r="DP808" s="1995" t="str">
        <f t="shared" si="98"/>
        <v/>
      </c>
      <c r="DQ808" s="1995" t="str">
        <f t="shared" si="99"/>
        <v/>
      </c>
      <c r="DR808" s="1995" t="str">
        <f t="shared" si="100"/>
        <v/>
      </c>
      <c r="DS808" s="1995" t="str">
        <f t="shared" si="101"/>
        <v/>
      </c>
      <c r="DT808" s="1995" t="str">
        <f t="shared" si="102"/>
        <v/>
      </c>
      <c r="DU808" s="1995" t="str">
        <f t="shared" si="103"/>
        <v/>
      </c>
      <c r="DV808" s="1995" t="str">
        <f t="shared" si="104"/>
        <v/>
      </c>
      <c r="DW808" s="1995" t="str">
        <f t="shared" si="105"/>
        <v/>
      </c>
      <c r="DX808" s="1995" t="str">
        <f t="shared" si="106"/>
        <v/>
      </c>
      <c r="DY808" s="1995" t="str">
        <f t="shared" si="107"/>
        <v/>
      </c>
      <c r="DZ808" s="1995" t="str">
        <f t="shared" si="108"/>
        <v/>
      </c>
      <c r="EA808" s="1995" t="str">
        <f t="shared" si="109"/>
        <v/>
      </c>
      <c r="EB808" s="1995" t="str">
        <f t="shared" si="110"/>
        <v/>
      </c>
      <c r="EC808" s="1995" t="str">
        <f t="shared" si="111"/>
        <v/>
      </c>
      <c r="ED808" s="1995" t="str">
        <f t="shared" si="112"/>
        <v/>
      </c>
      <c r="EE808" s="1995" t="str">
        <f t="shared" si="113"/>
        <v/>
      </c>
      <c r="EF808" s="1995" t="str">
        <f t="shared" si="114"/>
        <v/>
      </c>
      <c r="EG808" s="1995" t="str">
        <f t="shared" si="115"/>
        <v/>
      </c>
      <c r="EH808" s="1995" t="str">
        <f t="shared" si="116"/>
        <v/>
      </c>
      <c r="EI808" s="1995" t="str">
        <f t="shared" si="117"/>
        <v/>
      </c>
      <c r="EJ808" s="1995" t="str">
        <f t="shared" si="118"/>
        <v/>
      </c>
      <c r="EK808" s="1995" t="str">
        <f t="shared" si="119"/>
        <v/>
      </c>
      <c r="EL808" s="1995" t="str">
        <f t="shared" si="120"/>
        <v/>
      </c>
      <c r="EM808" s="1995" t="str">
        <f t="shared" si="121"/>
        <v/>
      </c>
      <c r="EN808" s="1995" t="str">
        <f t="shared" si="122"/>
        <v/>
      </c>
      <c r="EO808" s="1995" t="str">
        <f t="shared" si="123"/>
        <v/>
      </c>
      <c r="EP808" s="1995" t="str">
        <f t="shared" si="124"/>
        <v/>
      </c>
      <c r="EQ808" s="1995" t="str">
        <f t="shared" si="125"/>
        <v/>
      </c>
      <c r="ER808" s="1995" t="str">
        <f t="shared" si="126"/>
        <v/>
      </c>
      <c r="ES808" s="1995" t="str">
        <f t="shared" si="127"/>
        <v/>
      </c>
      <c r="ET808" s="1995" t="str">
        <f t="shared" si="128"/>
        <v/>
      </c>
      <c r="EU808" s="1995" t="str">
        <f t="shared" si="129"/>
        <v/>
      </c>
      <c r="EV808" s="1995" t="str">
        <f t="shared" si="130"/>
        <v/>
      </c>
      <c r="EW808" s="1995" t="str">
        <f t="shared" si="131"/>
        <v/>
      </c>
      <c r="EX808" s="1995" t="str">
        <f t="shared" si="132"/>
        <v/>
      </c>
      <c r="EY808" s="1995" t="str">
        <f t="shared" si="133"/>
        <v/>
      </c>
      <c r="EZ808" s="1995" t="str">
        <f t="shared" si="134"/>
        <v/>
      </c>
      <c r="FA808" s="1995" t="str">
        <f t="shared" si="135"/>
        <v/>
      </c>
      <c r="FB808" s="1995" t="str">
        <f t="shared" si="136"/>
        <v/>
      </c>
      <c r="FC808" s="1995" t="str">
        <f t="shared" si="137"/>
        <v/>
      </c>
      <c r="FD808" s="1995" t="str">
        <f t="shared" si="138"/>
        <v/>
      </c>
      <c r="FE808" s="1995" t="str">
        <f t="shared" si="139"/>
        <v/>
      </c>
      <c r="FF808" s="1995" t="str">
        <f t="shared" si="140"/>
        <v/>
      </c>
      <c r="FG808" s="1995" t="str">
        <f t="shared" si="141"/>
        <v/>
      </c>
      <c r="FH808" s="1995" t="str">
        <f t="shared" si="142"/>
        <v/>
      </c>
      <c r="FI808" s="1995" t="str">
        <f t="shared" si="143"/>
        <v/>
      </c>
      <c r="FJ808" s="1995" t="str">
        <f t="shared" si="144"/>
        <v/>
      </c>
      <c r="FK808" s="1995" t="str">
        <f t="shared" si="145"/>
        <v/>
      </c>
      <c r="FL808" s="1995" t="str">
        <f t="shared" si="146"/>
        <v/>
      </c>
      <c r="FM808" s="1995" t="str">
        <f t="shared" si="147"/>
        <v/>
      </c>
      <c r="FN808" s="1995" t="str">
        <f t="shared" si="148"/>
        <v/>
      </c>
      <c r="FO808" s="1995" t="str">
        <f t="shared" si="149"/>
        <v/>
      </c>
      <c r="FP808" s="1995" t="str">
        <f t="shared" si="150"/>
        <v/>
      </c>
      <c r="FQ808" s="1995" t="str">
        <f t="shared" si="151"/>
        <v/>
      </c>
      <c r="FR808" s="1995" t="str">
        <f t="shared" si="152"/>
        <v/>
      </c>
      <c r="FS808" s="1995" t="str">
        <f t="shared" si="153"/>
        <v/>
      </c>
      <c r="FT808" s="1995" t="str">
        <f t="shared" si="154"/>
        <v/>
      </c>
      <c r="FU808" s="1995" t="str">
        <f t="shared" si="155"/>
        <v/>
      </c>
      <c r="FV808" s="1995" t="str">
        <f t="shared" si="156"/>
        <v/>
      </c>
      <c r="FW808" s="1995" t="str">
        <f t="shared" si="157"/>
        <v/>
      </c>
      <c r="FX808" s="1995" t="str">
        <f t="shared" si="158"/>
        <v/>
      </c>
      <c r="FY808" s="1995" t="str">
        <f t="shared" si="159"/>
        <v/>
      </c>
      <c r="FZ808" s="1995" t="str">
        <f t="shared" si="160"/>
        <v/>
      </c>
      <c r="GA808" s="1995" t="str">
        <f t="shared" si="161"/>
        <v/>
      </c>
      <c r="GB808" s="1995" t="str">
        <f t="shared" si="162"/>
        <v/>
      </c>
      <c r="GC808" s="1995" t="str">
        <f t="shared" si="163"/>
        <v/>
      </c>
      <c r="GD808" s="1995" t="str">
        <f t="shared" si="164"/>
        <v/>
      </c>
      <c r="GE808" s="1995" t="str">
        <f t="shared" si="165"/>
        <v/>
      </c>
      <c r="GF808" s="1995" t="str">
        <f t="shared" si="166"/>
        <v/>
      </c>
      <c r="GG808" s="1995" t="str">
        <f t="shared" si="167"/>
        <v/>
      </c>
      <c r="GH808" s="1995" t="str">
        <f t="shared" si="168"/>
        <v/>
      </c>
      <c r="GI808" s="1995" t="str">
        <f t="shared" si="169"/>
        <v/>
      </c>
      <c r="GJ808" s="1995" t="str">
        <f t="shared" si="170"/>
        <v/>
      </c>
      <c r="GK808" s="1995" t="str">
        <f t="shared" si="171"/>
        <v/>
      </c>
      <c r="GL808" s="1995" t="str">
        <f t="shared" si="172"/>
        <v/>
      </c>
      <c r="GM808" s="1995" t="str">
        <f t="shared" si="173"/>
        <v/>
      </c>
      <c r="GN808" s="1995" t="str">
        <f t="shared" si="174"/>
        <v/>
      </c>
      <c r="GO808" s="1995" t="str">
        <f t="shared" si="175"/>
        <v/>
      </c>
      <c r="GP808" s="1995" t="str">
        <f t="shared" si="176"/>
        <v/>
      </c>
      <c r="GQ808" s="1995" t="str">
        <f t="shared" si="177"/>
        <v/>
      </c>
      <c r="GR808" s="1995" t="str">
        <f t="shared" si="178"/>
        <v/>
      </c>
      <c r="GS808" s="1995" t="str">
        <f t="shared" si="179"/>
        <v/>
      </c>
      <c r="GT808" s="1995" t="str">
        <f t="shared" si="180"/>
        <v/>
      </c>
      <c r="GU808" s="1995" t="str">
        <f t="shared" si="181"/>
        <v/>
      </c>
      <c r="GV808" s="1995" t="str">
        <f t="shared" si="182"/>
        <v/>
      </c>
      <c r="GW808" s="1995" t="str">
        <f t="shared" si="183"/>
        <v/>
      </c>
      <c r="GX808" s="1995" t="str">
        <f t="shared" si="184"/>
        <v/>
      </c>
      <c r="GY808" s="1995" t="str">
        <f t="shared" si="185"/>
        <v/>
      </c>
      <c r="GZ808" s="1995" t="str">
        <f t="shared" si="186"/>
        <v/>
      </c>
      <c r="HA808" s="1995" t="str">
        <f t="shared" si="187"/>
        <v/>
      </c>
      <c r="HB808" s="1995" t="str">
        <f t="shared" si="188"/>
        <v/>
      </c>
      <c r="HC808" s="1995" t="str">
        <f t="shared" si="189"/>
        <v/>
      </c>
      <c r="HD808" s="1995" t="str">
        <f t="shared" si="190"/>
        <v/>
      </c>
      <c r="HE808" s="1995" t="str">
        <f t="shared" si="191"/>
        <v/>
      </c>
      <c r="HF808" s="1995" t="str">
        <f t="shared" si="192"/>
        <v/>
      </c>
      <c r="HG808" s="1995" t="str">
        <f t="shared" si="193"/>
        <v/>
      </c>
      <c r="HH808" s="1995" t="str">
        <f t="shared" si="194"/>
        <v/>
      </c>
      <c r="HI808" s="1995" t="str">
        <f t="shared" si="195"/>
        <v/>
      </c>
      <c r="HJ808" s="1995" t="str">
        <f t="shared" si="196"/>
        <v/>
      </c>
      <c r="HK808" s="1995" t="str">
        <f t="shared" si="197"/>
        <v/>
      </c>
      <c r="HL808" s="1995" t="str">
        <f t="shared" si="198"/>
        <v/>
      </c>
      <c r="HM808" s="1995" t="str">
        <f t="shared" si="199"/>
        <v/>
      </c>
      <c r="HN808" s="1995" t="str">
        <f t="shared" si="200"/>
        <v/>
      </c>
      <c r="HO808" s="1995" t="str">
        <f t="shared" si="201"/>
        <v/>
      </c>
      <c r="HP808" s="1995" t="str">
        <f t="shared" si="202"/>
        <v/>
      </c>
      <c r="HQ808" s="1995" t="str">
        <f t="shared" si="203"/>
        <v/>
      </c>
      <c r="HR808" s="1995" t="str">
        <f t="shared" si="204"/>
        <v/>
      </c>
      <c r="HS808" s="1995" t="str">
        <f t="shared" si="205"/>
        <v/>
      </c>
      <c r="HT808" s="1995" t="str">
        <f t="shared" si="206"/>
        <v/>
      </c>
      <c r="HU808" s="1995" t="str">
        <f t="shared" si="207"/>
        <v/>
      </c>
      <c r="HV808" s="1995" t="str">
        <f t="shared" si="208"/>
        <v/>
      </c>
      <c r="HW808" s="1995" t="str">
        <f t="shared" si="209"/>
        <v/>
      </c>
      <c r="HX808" s="1995" t="str">
        <f t="shared" si="210"/>
        <v/>
      </c>
      <c r="HY808" s="1995" t="str">
        <f t="shared" si="211"/>
        <v/>
      </c>
      <c r="HZ808" s="1900" t="str">
        <f t="shared" si="212"/>
        <v/>
      </c>
      <c r="IA808" s="1900" t="str">
        <f t="shared" si="213"/>
        <v/>
      </c>
      <c r="IB808" s="1900" t="str">
        <f t="shared" si="214"/>
        <v/>
      </c>
      <c r="IC808" s="1900" t="str">
        <f t="shared" si="215"/>
        <v/>
      </c>
      <c r="ID808" s="1900" t="str">
        <f t="shared" si="216"/>
        <v/>
      </c>
      <c r="IE808" s="1900" t="str">
        <f t="shared" si="217"/>
        <v/>
      </c>
      <c r="IF808" s="1900" t="str">
        <f t="shared" si="218"/>
        <v/>
      </c>
      <c r="IG808" s="1900" t="str">
        <f t="shared" si="219"/>
        <v/>
      </c>
      <c r="IH808" s="1900" t="str">
        <f t="shared" si="220"/>
        <v/>
      </c>
      <c r="II808" s="1900" t="str">
        <f t="shared" si="221"/>
        <v/>
      </c>
      <c r="IJ808" s="1900" t="str">
        <f t="shared" si="222"/>
        <v/>
      </c>
      <c r="IK808" s="1900" t="str">
        <f t="shared" si="223"/>
        <v/>
      </c>
      <c r="IL808" s="1900" t="str">
        <f t="shared" si="224"/>
        <v/>
      </c>
      <c r="IM808" s="1900" t="str">
        <f t="shared" si="225"/>
        <v/>
      </c>
      <c r="IN808" s="1900" t="str">
        <f t="shared" si="226"/>
        <v/>
      </c>
      <c r="IO808" s="1900" t="str">
        <f t="shared" si="227"/>
        <v/>
      </c>
      <c r="IP808" s="1900" t="str">
        <f t="shared" si="228"/>
        <v/>
      </c>
      <c r="IQ808" s="1900" t="str">
        <f t="shared" si="229"/>
        <v/>
      </c>
      <c r="IR808" s="1900" t="str">
        <f t="shared" si="230"/>
        <v/>
      </c>
      <c r="IS808" s="1900" t="str">
        <f t="shared" si="231"/>
        <v/>
      </c>
      <c r="IT808" s="1900" t="str">
        <f t="shared" si="232"/>
        <v/>
      </c>
      <c r="IU808" s="1900" t="str">
        <f t="shared" si="233"/>
        <v/>
      </c>
      <c r="IV808" s="1900" t="str">
        <f t="shared" si="234"/>
        <v/>
      </c>
      <c r="IW808" s="1900" t="str">
        <f t="shared" si="235"/>
        <v/>
      </c>
      <c r="IX808" s="1900" t="str">
        <f t="shared" si="236"/>
        <v/>
      </c>
      <c r="IY808" s="1900" t="str">
        <f t="shared" si="237"/>
        <v/>
      </c>
      <c r="IZ808" s="1900" t="str">
        <f t="shared" si="238"/>
        <v/>
      </c>
      <c r="JA808" s="1900" t="str">
        <f t="shared" si="239"/>
        <v/>
      </c>
      <c r="JB808" s="1900" t="str">
        <f t="shared" si="240"/>
        <v/>
      </c>
      <c r="JC808" s="1900" t="str">
        <f t="shared" si="241"/>
        <v/>
      </c>
      <c r="JD808" s="1900" t="str">
        <f t="shared" si="242"/>
        <v/>
      </c>
      <c r="JE808" s="1900" t="str">
        <f t="shared" si="243"/>
        <v/>
      </c>
      <c r="JF808" s="1900" t="str">
        <f t="shared" si="244"/>
        <v/>
      </c>
      <c r="JG808" s="1900" t="str">
        <f t="shared" si="245"/>
        <v/>
      </c>
      <c r="JH808" s="1900" t="str">
        <f t="shared" si="246"/>
        <v/>
      </c>
      <c r="JI808" s="1900" t="str">
        <f t="shared" si="247"/>
        <v/>
      </c>
      <c r="JJ808" s="1900" t="str">
        <f t="shared" si="248"/>
        <v/>
      </c>
      <c r="JK808" s="1900" t="str">
        <f t="shared" si="249"/>
        <v/>
      </c>
      <c r="JL808" s="1900" t="str">
        <f t="shared" si="250"/>
        <v/>
      </c>
      <c r="JM808" s="1900" t="str">
        <f t="shared" si="251"/>
        <v/>
      </c>
      <c r="JN808" s="1900" t="str">
        <f t="shared" si="252"/>
        <v/>
      </c>
      <c r="JO808" s="1900" t="str">
        <f t="shared" si="253"/>
        <v/>
      </c>
      <c r="JP808" s="1900" t="str">
        <f t="shared" si="254"/>
        <v/>
      </c>
      <c r="JQ808" s="1900" t="str">
        <f t="shared" si="255"/>
        <v/>
      </c>
      <c r="JR808" s="1900" t="str">
        <f t="shared" si="256"/>
        <v/>
      </c>
      <c r="JS808" s="1900" t="str">
        <f t="shared" si="257"/>
        <v/>
      </c>
      <c r="JT808" s="1900" t="str">
        <f t="shared" si="258"/>
        <v/>
      </c>
      <c r="JU808" s="1900" t="str">
        <f t="shared" si="259"/>
        <v/>
      </c>
      <c r="JV808" s="1900" t="str">
        <f t="shared" si="260"/>
        <v/>
      </c>
      <c r="JW808" s="1900" t="str">
        <f t="shared" si="261"/>
        <v/>
      </c>
      <c r="JX808" s="1900" t="str">
        <f t="shared" si="262"/>
        <v/>
      </c>
      <c r="JY808" s="1900" t="str">
        <f t="shared" si="263"/>
        <v/>
      </c>
      <c r="JZ808" s="1900" t="str">
        <f t="shared" si="264"/>
        <v/>
      </c>
      <c r="KA808" s="1900" t="str">
        <f t="shared" si="265"/>
        <v/>
      </c>
      <c r="KB808" s="1900" t="str">
        <f t="shared" si="266"/>
        <v/>
      </c>
      <c r="KC808" s="1900" t="str">
        <f t="shared" si="267"/>
        <v/>
      </c>
      <c r="KD808" s="1900" t="str">
        <f t="shared" si="268"/>
        <v/>
      </c>
      <c r="KE808" s="1900" t="str">
        <f t="shared" si="269"/>
        <v/>
      </c>
      <c r="KF808" s="1900" t="str">
        <f t="shared" si="270"/>
        <v/>
      </c>
      <c r="KG808" s="1900" t="str">
        <f t="shared" si="271"/>
        <v/>
      </c>
      <c r="KH808" s="1900" t="str">
        <f t="shared" si="272"/>
        <v/>
      </c>
      <c r="KI808" s="1900" t="str">
        <f t="shared" si="273"/>
        <v/>
      </c>
      <c r="KJ808" s="1900" t="str">
        <f t="shared" si="274"/>
        <v/>
      </c>
      <c r="KK808" s="1900" t="str">
        <f t="shared" si="275"/>
        <v/>
      </c>
      <c r="KL808" s="1900" t="str">
        <f t="shared" si="276"/>
        <v/>
      </c>
      <c r="KM808" s="1900" t="str">
        <f t="shared" si="277"/>
        <v/>
      </c>
      <c r="KN808" s="1900" t="str">
        <f t="shared" si="278"/>
        <v/>
      </c>
      <c r="KO808" s="1900" t="str">
        <f t="shared" si="279"/>
        <v/>
      </c>
      <c r="KP808" s="1900" t="str">
        <f t="shared" si="280"/>
        <v/>
      </c>
      <c r="KQ808" s="1900" t="str">
        <f t="shared" si="281"/>
        <v/>
      </c>
      <c r="KR808" s="1900" t="str">
        <f t="shared" si="282"/>
        <v/>
      </c>
      <c r="KS808" s="1900" t="str">
        <f t="shared" si="283"/>
        <v/>
      </c>
      <c r="KT808" s="1900" t="str">
        <f t="shared" si="284"/>
        <v/>
      </c>
      <c r="KU808" s="1900" t="str">
        <f t="shared" si="285"/>
        <v/>
      </c>
      <c r="KV808" s="1900" t="str">
        <f t="shared" si="286"/>
        <v/>
      </c>
      <c r="KW808" s="1900" t="str">
        <f t="shared" si="287"/>
        <v/>
      </c>
      <c r="KX808" s="1900" t="str">
        <f t="shared" si="288"/>
        <v/>
      </c>
      <c r="KY808" s="1900" t="str">
        <f t="shared" si="289"/>
        <v/>
      </c>
      <c r="KZ808" s="1900" t="str">
        <f t="shared" si="290"/>
        <v/>
      </c>
      <c r="LA808" s="1900" t="str">
        <f t="shared" si="291"/>
        <v/>
      </c>
      <c r="LB808" s="1900" t="str">
        <f t="shared" si="292"/>
        <v/>
      </c>
      <c r="LC808" s="1900" t="str">
        <f t="shared" si="293"/>
        <v/>
      </c>
      <c r="LD808" s="1900" t="str">
        <f t="shared" si="294"/>
        <v/>
      </c>
      <c r="LE808" s="1900" t="str">
        <f t="shared" si="295"/>
        <v/>
      </c>
      <c r="LF808" s="1900" t="str">
        <f t="shared" si="296"/>
        <v/>
      </c>
      <c r="LG808" s="1900" t="str">
        <f t="shared" si="297"/>
        <v/>
      </c>
      <c r="LH808" s="1900" t="str">
        <f t="shared" si="298"/>
        <v/>
      </c>
      <c r="LI808" s="1900" t="str">
        <f t="shared" si="299"/>
        <v/>
      </c>
      <c r="LJ808" s="1900" t="str">
        <f t="shared" si="300"/>
        <v/>
      </c>
      <c r="LK808" s="1900" t="str">
        <f t="shared" si="301"/>
        <v/>
      </c>
      <c r="LL808" s="1900" t="str">
        <f t="shared" si="302"/>
        <v/>
      </c>
      <c r="LM808" s="1900" t="str">
        <f t="shared" si="303"/>
        <v/>
      </c>
      <c r="LN808" s="1900" t="str">
        <f t="shared" si="304"/>
        <v/>
      </c>
      <c r="LO808" s="1900" t="str">
        <f t="shared" si="305"/>
        <v/>
      </c>
      <c r="LP808" s="1900" t="str">
        <f t="shared" si="306"/>
        <v/>
      </c>
      <c r="LQ808" s="1874" t="str">
        <f t="shared" si="307"/>
        <v/>
      </c>
      <c r="LR808" s="1874" t="str">
        <f t="shared" si="308"/>
        <v/>
      </c>
      <c r="LS808" s="1874" t="str">
        <f t="shared" si="309"/>
        <v/>
      </c>
      <c r="LT808" s="1874" t="str">
        <f t="shared" si="310"/>
        <v/>
      </c>
      <c r="LU808" s="1874" t="str">
        <f t="shared" si="311"/>
        <v/>
      </c>
      <c r="LV808" s="1995" t="str">
        <f t="shared" si="312"/>
        <v/>
      </c>
      <c r="LW808" s="1995" t="str">
        <f t="shared" si="313"/>
        <v/>
      </c>
      <c r="LX808" s="1995" t="str">
        <f t="shared" si="314"/>
        <v/>
      </c>
      <c r="LY808" s="1995" t="str">
        <f t="shared" si="315"/>
        <v/>
      </c>
      <c r="LZ808" s="1995" t="str">
        <f t="shared" si="316"/>
        <v/>
      </c>
      <c r="MA808" s="1995" t="str">
        <f t="shared" si="317"/>
        <v/>
      </c>
      <c r="MB808" s="1995" t="str">
        <f t="shared" si="318"/>
        <v/>
      </c>
      <c r="MC808" s="1995" t="str">
        <f t="shared" si="319"/>
        <v/>
      </c>
      <c r="MD808" s="1995" t="str">
        <f t="shared" si="320"/>
        <v/>
      </c>
      <c r="ME808" s="1995" t="str">
        <f t="shared" si="321"/>
        <v/>
      </c>
      <c r="MF808" s="1995" t="str">
        <f t="shared" si="322"/>
        <v/>
      </c>
      <c r="MG808" s="1995" t="str">
        <f t="shared" si="323"/>
        <v/>
      </c>
      <c r="MH808" s="1995" t="str">
        <f t="shared" si="324"/>
        <v/>
      </c>
      <c r="MI808" s="1995" t="str">
        <f t="shared" si="325"/>
        <v/>
      </c>
      <c r="MJ808" s="1995" t="str">
        <f t="shared" si="326"/>
        <v/>
      </c>
      <c r="MK808" s="1995" t="str">
        <f t="shared" si="327"/>
        <v/>
      </c>
      <c r="ML808" s="1995" t="str">
        <f t="shared" si="328"/>
        <v/>
      </c>
      <c r="MM808" s="1995" t="str">
        <f t="shared" si="329"/>
        <v/>
      </c>
      <c r="MN808" s="1995" t="str">
        <f t="shared" si="330"/>
        <v/>
      </c>
      <c r="MO808" s="1995" t="str">
        <f t="shared" si="331"/>
        <v/>
      </c>
      <c r="MP808" s="1874">
        <f t="shared" si="338"/>
        <v>0</v>
      </c>
      <c r="MQ808" s="1874">
        <f t="shared" si="339"/>
        <v>0</v>
      </c>
      <c r="MR808" s="1874">
        <f t="shared" si="340"/>
        <v>0</v>
      </c>
      <c r="MS808" s="1874">
        <f t="shared" si="341"/>
        <v>0</v>
      </c>
      <c r="MT808" s="1874">
        <f t="shared" si="342"/>
        <v>0</v>
      </c>
      <c r="MU808" s="1874">
        <f t="shared" si="343"/>
        <v>0</v>
      </c>
      <c r="MV808" s="1874">
        <f t="shared" si="344"/>
        <v>0</v>
      </c>
      <c r="MW808" s="1874">
        <f t="shared" si="345"/>
        <v>0</v>
      </c>
      <c r="MX808" s="1874">
        <f t="shared" si="346"/>
        <v>0</v>
      </c>
      <c r="MY808" s="1874">
        <f t="shared" si="347"/>
        <v>0</v>
      </c>
      <c r="MZ808" s="1874">
        <f t="shared" si="332"/>
        <v>0</v>
      </c>
      <c r="NA808" s="1874">
        <f t="shared" si="333"/>
        <v>0</v>
      </c>
      <c r="NB808" s="1874">
        <f t="shared" si="334"/>
        <v>0</v>
      </c>
      <c r="NC808" s="1874">
        <f t="shared" si="335"/>
        <v>0</v>
      </c>
      <c r="ND808" s="1874">
        <f t="shared" si="336"/>
        <v>0</v>
      </c>
    </row>
    <row r="809" spans="1:368" ht="13.95" customHeight="1">
      <c r="A809" s="1896" t="str">
        <f t="shared" si="337"/>
        <v/>
      </c>
      <c r="B809" s="2212">
        <f>'Part VI-Revenues &amp; Expenses'!B40</f>
        <v>0</v>
      </c>
      <c r="C809" s="2213">
        <f>'Part VI-Revenues &amp; Expenses'!C40</f>
        <v>0</v>
      </c>
      <c r="D809" s="2214">
        <f>'Part VI-Revenues &amp; Expenses'!D40</f>
        <v>0</v>
      </c>
      <c r="E809" s="2215">
        <f>'Part VI-Revenues &amp; Expenses'!E40</f>
        <v>0</v>
      </c>
      <c r="F809" s="2215">
        <f>'Part VI-Revenues &amp; Expenses'!F40</f>
        <v>0</v>
      </c>
      <c r="G809" s="2215">
        <f>'Part VI-Revenues &amp; Expenses'!G40</f>
        <v>0</v>
      </c>
      <c r="H809" s="2215">
        <f>'Part VI-Revenues &amp; Expenses'!H40</f>
        <v>0</v>
      </c>
      <c r="I809" s="2215">
        <f>'Part VI-Revenues &amp; Expenses'!I40</f>
        <v>0</v>
      </c>
      <c r="J809" s="2215">
        <f>'Part VI-Revenues &amp; Expenses'!J40</f>
        <v>0</v>
      </c>
      <c r="K809" s="2216">
        <f>'Part VI-Revenues &amp; Expenses'!K40</f>
        <v>0</v>
      </c>
      <c r="L809" s="1899">
        <f t="shared" si="0"/>
        <v>0</v>
      </c>
      <c r="M809" s="1899">
        <f t="shared" si="1"/>
        <v>0</v>
      </c>
      <c r="N809" s="2074">
        <f>'Part VI-Revenues &amp; Expenses'!N40</f>
        <v>0</v>
      </c>
      <c r="O809" s="2074">
        <f>'Part VI-Revenues &amp; Expenses'!O40</f>
        <v>0</v>
      </c>
      <c r="P809" s="2074">
        <f>'Part VI-Revenues &amp; Expenses'!P40</f>
        <v>0</v>
      </c>
      <c r="Q809" s="1732">
        <f>'Part VI-Revenues &amp; Expenses'!Q40</f>
        <v>0</v>
      </c>
      <c r="R809" s="1926"/>
      <c r="S809" s="2148"/>
      <c r="T809" s="1910"/>
      <c r="U809" s="1910"/>
      <c r="V809" s="1910"/>
      <c r="W809" s="1910"/>
      <c r="X809" s="1995" t="str">
        <f t="shared" si="2"/>
        <v/>
      </c>
      <c r="Y809" s="1995" t="str">
        <f t="shared" si="3"/>
        <v/>
      </c>
      <c r="Z809" s="1995" t="str">
        <f t="shared" si="4"/>
        <v/>
      </c>
      <c r="AA809" s="1995" t="str">
        <f t="shared" si="5"/>
        <v/>
      </c>
      <c r="AB809" s="1995" t="str">
        <f t="shared" si="6"/>
        <v/>
      </c>
      <c r="AC809" s="1995" t="str">
        <f t="shared" si="7"/>
        <v/>
      </c>
      <c r="AD809" s="1995" t="str">
        <f t="shared" si="8"/>
        <v/>
      </c>
      <c r="AE809" s="1995" t="str">
        <f t="shared" si="9"/>
        <v/>
      </c>
      <c r="AF809" s="1995" t="str">
        <f t="shared" si="10"/>
        <v/>
      </c>
      <c r="AG809" s="1995" t="str">
        <f t="shared" si="11"/>
        <v/>
      </c>
      <c r="AH809" s="1995" t="str">
        <f t="shared" si="12"/>
        <v/>
      </c>
      <c r="AI809" s="1995" t="str">
        <f t="shared" si="13"/>
        <v/>
      </c>
      <c r="AJ809" s="1995" t="str">
        <f t="shared" si="14"/>
        <v/>
      </c>
      <c r="AK809" s="1995" t="str">
        <f t="shared" si="15"/>
        <v/>
      </c>
      <c r="AL809" s="1995" t="str">
        <f t="shared" si="16"/>
        <v/>
      </c>
      <c r="AM809" s="1995" t="str">
        <f t="shared" si="17"/>
        <v/>
      </c>
      <c r="AN809" s="1995" t="str">
        <f t="shared" si="18"/>
        <v/>
      </c>
      <c r="AO809" s="1995" t="str">
        <f t="shared" si="19"/>
        <v/>
      </c>
      <c r="AP809" s="1995" t="str">
        <f t="shared" si="20"/>
        <v/>
      </c>
      <c r="AQ809" s="1995" t="str">
        <f t="shared" si="21"/>
        <v/>
      </c>
      <c r="AR809" s="1995" t="str">
        <f t="shared" si="22"/>
        <v/>
      </c>
      <c r="AS809" s="1995" t="str">
        <f t="shared" si="23"/>
        <v/>
      </c>
      <c r="AT809" s="1995" t="str">
        <f t="shared" si="24"/>
        <v/>
      </c>
      <c r="AU809" s="1995" t="str">
        <f t="shared" si="25"/>
        <v/>
      </c>
      <c r="AV809" s="1995" t="str">
        <f t="shared" si="26"/>
        <v/>
      </c>
      <c r="AW809" s="1995" t="str">
        <f t="shared" si="27"/>
        <v/>
      </c>
      <c r="AX809" s="1995" t="str">
        <f t="shared" si="28"/>
        <v/>
      </c>
      <c r="AY809" s="1995" t="str">
        <f t="shared" si="29"/>
        <v/>
      </c>
      <c r="AZ809" s="1995" t="str">
        <f t="shared" si="30"/>
        <v/>
      </c>
      <c r="BA809" s="1995" t="str">
        <f t="shared" si="31"/>
        <v/>
      </c>
      <c r="BB809" s="1995" t="str">
        <f t="shared" si="32"/>
        <v/>
      </c>
      <c r="BC809" s="1995" t="str">
        <f t="shared" si="33"/>
        <v/>
      </c>
      <c r="BD809" s="1995" t="str">
        <f t="shared" si="34"/>
        <v/>
      </c>
      <c r="BE809" s="1995" t="str">
        <f t="shared" si="35"/>
        <v/>
      </c>
      <c r="BF809" s="1995" t="str">
        <f t="shared" si="36"/>
        <v/>
      </c>
      <c r="BG809" s="1995" t="str">
        <f t="shared" si="37"/>
        <v/>
      </c>
      <c r="BH809" s="1995" t="str">
        <f t="shared" si="38"/>
        <v/>
      </c>
      <c r="BI809" s="1995" t="str">
        <f t="shared" si="39"/>
        <v/>
      </c>
      <c r="BJ809" s="1995" t="str">
        <f t="shared" si="40"/>
        <v/>
      </c>
      <c r="BK809" s="1995" t="str">
        <f t="shared" si="41"/>
        <v/>
      </c>
      <c r="BL809" s="1995" t="str">
        <f t="shared" si="42"/>
        <v/>
      </c>
      <c r="BM809" s="1995" t="str">
        <f t="shared" si="43"/>
        <v/>
      </c>
      <c r="BN809" s="1995" t="str">
        <f t="shared" si="44"/>
        <v/>
      </c>
      <c r="BO809" s="1995" t="str">
        <f t="shared" si="45"/>
        <v/>
      </c>
      <c r="BP809" s="1995" t="str">
        <f t="shared" si="46"/>
        <v/>
      </c>
      <c r="BQ809" s="1995" t="str">
        <f t="shared" si="47"/>
        <v/>
      </c>
      <c r="BR809" s="1995" t="str">
        <f t="shared" si="48"/>
        <v/>
      </c>
      <c r="BS809" s="1995" t="str">
        <f t="shared" si="49"/>
        <v/>
      </c>
      <c r="BT809" s="1995" t="str">
        <f t="shared" si="50"/>
        <v/>
      </c>
      <c r="BU809" s="1995" t="str">
        <f t="shared" si="51"/>
        <v/>
      </c>
      <c r="BV809" s="1995" t="str">
        <f t="shared" si="52"/>
        <v/>
      </c>
      <c r="BW809" s="1995" t="str">
        <f t="shared" si="53"/>
        <v/>
      </c>
      <c r="BX809" s="1995" t="str">
        <f t="shared" si="54"/>
        <v/>
      </c>
      <c r="BY809" s="1995" t="str">
        <f t="shared" si="55"/>
        <v/>
      </c>
      <c r="BZ809" s="1995" t="str">
        <f t="shared" si="56"/>
        <v/>
      </c>
      <c r="CA809" s="1995" t="str">
        <f t="shared" si="57"/>
        <v/>
      </c>
      <c r="CB809" s="1995" t="str">
        <f t="shared" si="58"/>
        <v/>
      </c>
      <c r="CC809" s="1995" t="str">
        <f t="shared" si="59"/>
        <v/>
      </c>
      <c r="CD809" s="1995" t="str">
        <f t="shared" si="60"/>
        <v/>
      </c>
      <c r="CE809" s="1995" t="str">
        <f t="shared" si="61"/>
        <v/>
      </c>
      <c r="CF809" s="1995" t="str">
        <f t="shared" si="62"/>
        <v/>
      </c>
      <c r="CG809" s="1995" t="str">
        <f t="shared" si="63"/>
        <v/>
      </c>
      <c r="CH809" s="1995" t="str">
        <f t="shared" si="64"/>
        <v/>
      </c>
      <c r="CI809" s="1995" t="str">
        <f t="shared" si="65"/>
        <v/>
      </c>
      <c r="CJ809" s="1995" t="str">
        <f t="shared" si="66"/>
        <v/>
      </c>
      <c r="CK809" s="1995" t="str">
        <f t="shared" si="67"/>
        <v/>
      </c>
      <c r="CL809" s="1995" t="str">
        <f t="shared" si="68"/>
        <v/>
      </c>
      <c r="CM809" s="1995" t="str">
        <f t="shared" si="69"/>
        <v/>
      </c>
      <c r="CN809" s="1995" t="str">
        <f t="shared" si="70"/>
        <v/>
      </c>
      <c r="CO809" s="1995" t="str">
        <f t="shared" si="71"/>
        <v/>
      </c>
      <c r="CP809" s="1995" t="str">
        <f t="shared" si="72"/>
        <v/>
      </c>
      <c r="CQ809" s="1995" t="str">
        <f t="shared" si="73"/>
        <v/>
      </c>
      <c r="CR809" s="1995" t="str">
        <f t="shared" si="74"/>
        <v/>
      </c>
      <c r="CS809" s="1995" t="str">
        <f t="shared" si="75"/>
        <v/>
      </c>
      <c r="CT809" s="1995" t="str">
        <f t="shared" si="76"/>
        <v/>
      </c>
      <c r="CU809" s="1995" t="str">
        <f t="shared" si="77"/>
        <v/>
      </c>
      <c r="CV809" s="1995" t="str">
        <f t="shared" si="78"/>
        <v/>
      </c>
      <c r="CW809" s="1995" t="str">
        <f t="shared" si="79"/>
        <v/>
      </c>
      <c r="CX809" s="1995" t="str">
        <f t="shared" si="80"/>
        <v/>
      </c>
      <c r="CY809" s="1995" t="str">
        <f t="shared" si="81"/>
        <v/>
      </c>
      <c r="CZ809" s="1995" t="str">
        <f t="shared" si="82"/>
        <v/>
      </c>
      <c r="DA809" s="1995" t="str">
        <f t="shared" si="83"/>
        <v/>
      </c>
      <c r="DB809" s="1995" t="str">
        <f t="shared" si="84"/>
        <v/>
      </c>
      <c r="DC809" s="1995" t="str">
        <f t="shared" si="85"/>
        <v/>
      </c>
      <c r="DD809" s="1995" t="str">
        <f t="shared" si="86"/>
        <v/>
      </c>
      <c r="DE809" s="1995" t="str">
        <f t="shared" si="87"/>
        <v/>
      </c>
      <c r="DF809" s="1995" t="str">
        <f t="shared" si="88"/>
        <v/>
      </c>
      <c r="DG809" s="1995" t="str">
        <f t="shared" si="89"/>
        <v/>
      </c>
      <c r="DH809" s="1995" t="str">
        <f t="shared" si="90"/>
        <v/>
      </c>
      <c r="DI809" s="1995" t="str">
        <f t="shared" si="91"/>
        <v/>
      </c>
      <c r="DJ809" s="1995" t="str">
        <f t="shared" si="92"/>
        <v/>
      </c>
      <c r="DK809" s="1995" t="str">
        <f t="shared" si="93"/>
        <v/>
      </c>
      <c r="DL809" s="1995" t="str">
        <f t="shared" si="94"/>
        <v/>
      </c>
      <c r="DM809" s="1995" t="str">
        <f t="shared" si="95"/>
        <v/>
      </c>
      <c r="DN809" s="1995" t="str">
        <f t="shared" si="96"/>
        <v/>
      </c>
      <c r="DO809" s="1995" t="str">
        <f t="shared" si="97"/>
        <v/>
      </c>
      <c r="DP809" s="1995" t="str">
        <f t="shared" si="98"/>
        <v/>
      </c>
      <c r="DQ809" s="1995" t="str">
        <f t="shared" si="99"/>
        <v/>
      </c>
      <c r="DR809" s="1995" t="str">
        <f t="shared" si="100"/>
        <v/>
      </c>
      <c r="DS809" s="1995" t="str">
        <f t="shared" si="101"/>
        <v/>
      </c>
      <c r="DT809" s="1995" t="str">
        <f t="shared" si="102"/>
        <v/>
      </c>
      <c r="DU809" s="1995" t="str">
        <f t="shared" si="103"/>
        <v/>
      </c>
      <c r="DV809" s="1995" t="str">
        <f t="shared" si="104"/>
        <v/>
      </c>
      <c r="DW809" s="1995" t="str">
        <f t="shared" si="105"/>
        <v/>
      </c>
      <c r="DX809" s="1995" t="str">
        <f t="shared" si="106"/>
        <v/>
      </c>
      <c r="DY809" s="1995" t="str">
        <f t="shared" si="107"/>
        <v/>
      </c>
      <c r="DZ809" s="1995" t="str">
        <f t="shared" si="108"/>
        <v/>
      </c>
      <c r="EA809" s="1995" t="str">
        <f t="shared" si="109"/>
        <v/>
      </c>
      <c r="EB809" s="1995" t="str">
        <f t="shared" si="110"/>
        <v/>
      </c>
      <c r="EC809" s="1995" t="str">
        <f t="shared" si="111"/>
        <v/>
      </c>
      <c r="ED809" s="1995" t="str">
        <f t="shared" si="112"/>
        <v/>
      </c>
      <c r="EE809" s="1995" t="str">
        <f t="shared" si="113"/>
        <v/>
      </c>
      <c r="EF809" s="1995" t="str">
        <f t="shared" si="114"/>
        <v/>
      </c>
      <c r="EG809" s="1995" t="str">
        <f t="shared" si="115"/>
        <v/>
      </c>
      <c r="EH809" s="1995" t="str">
        <f t="shared" si="116"/>
        <v/>
      </c>
      <c r="EI809" s="1995" t="str">
        <f t="shared" si="117"/>
        <v/>
      </c>
      <c r="EJ809" s="1995" t="str">
        <f t="shared" si="118"/>
        <v/>
      </c>
      <c r="EK809" s="1995" t="str">
        <f t="shared" si="119"/>
        <v/>
      </c>
      <c r="EL809" s="1995" t="str">
        <f t="shared" si="120"/>
        <v/>
      </c>
      <c r="EM809" s="1995" t="str">
        <f t="shared" si="121"/>
        <v/>
      </c>
      <c r="EN809" s="1995" t="str">
        <f t="shared" si="122"/>
        <v/>
      </c>
      <c r="EO809" s="1995" t="str">
        <f t="shared" si="123"/>
        <v/>
      </c>
      <c r="EP809" s="1995" t="str">
        <f t="shared" si="124"/>
        <v/>
      </c>
      <c r="EQ809" s="1995" t="str">
        <f t="shared" si="125"/>
        <v/>
      </c>
      <c r="ER809" s="1995" t="str">
        <f t="shared" si="126"/>
        <v/>
      </c>
      <c r="ES809" s="1995" t="str">
        <f t="shared" si="127"/>
        <v/>
      </c>
      <c r="ET809" s="1995" t="str">
        <f t="shared" si="128"/>
        <v/>
      </c>
      <c r="EU809" s="1995" t="str">
        <f t="shared" si="129"/>
        <v/>
      </c>
      <c r="EV809" s="1995" t="str">
        <f t="shared" si="130"/>
        <v/>
      </c>
      <c r="EW809" s="1995" t="str">
        <f t="shared" si="131"/>
        <v/>
      </c>
      <c r="EX809" s="1995" t="str">
        <f t="shared" si="132"/>
        <v/>
      </c>
      <c r="EY809" s="1995" t="str">
        <f t="shared" si="133"/>
        <v/>
      </c>
      <c r="EZ809" s="1995" t="str">
        <f t="shared" si="134"/>
        <v/>
      </c>
      <c r="FA809" s="1995" t="str">
        <f t="shared" si="135"/>
        <v/>
      </c>
      <c r="FB809" s="1995" t="str">
        <f t="shared" si="136"/>
        <v/>
      </c>
      <c r="FC809" s="1995" t="str">
        <f t="shared" si="137"/>
        <v/>
      </c>
      <c r="FD809" s="1995" t="str">
        <f t="shared" si="138"/>
        <v/>
      </c>
      <c r="FE809" s="1995" t="str">
        <f t="shared" si="139"/>
        <v/>
      </c>
      <c r="FF809" s="1995" t="str">
        <f t="shared" si="140"/>
        <v/>
      </c>
      <c r="FG809" s="1995" t="str">
        <f t="shared" si="141"/>
        <v/>
      </c>
      <c r="FH809" s="1995" t="str">
        <f t="shared" si="142"/>
        <v/>
      </c>
      <c r="FI809" s="1995" t="str">
        <f t="shared" si="143"/>
        <v/>
      </c>
      <c r="FJ809" s="1995" t="str">
        <f t="shared" si="144"/>
        <v/>
      </c>
      <c r="FK809" s="1995" t="str">
        <f t="shared" si="145"/>
        <v/>
      </c>
      <c r="FL809" s="1995" t="str">
        <f t="shared" si="146"/>
        <v/>
      </c>
      <c r="FM809" s="1995" t="str">
        <f t="shared" si="147"/>
        <v/>
      </c>
      <c r="FN809" s="1995" t="str">
        <f t="shared" si="148"/>
        <v/>
      </c>
      <c r="FO809" s="1995" t="str">
        <f t="shared" si="149"/>
        <v/>
      </c>
      <c r="FP809" s="1995" t="str">
        <f t="shared" si="150"/>
        <v/>
      </c>
      <c r="FQ809" s="1995" t="str">
        <f t="shared" si="151"/>
        <v/>
      </c>
      <c r="FR809" s="1995" t="str">
        <f t="shared" si="152"/>
        <v/>
      </c>
      <c r="FS809" s="1995" t="str">
        <f t="shared" si="153"/>
        <v/>
      </c>
      <c r="FT809" s="1995" t="str">
        <f t="shared" si="154"/>
        <v/>
      </c>
      <c r="FU809" s="1995" t="str">
        <f t="shared" si="155"/>
        <v/>
      </c>
      <c r="FV809" s="1995" t="str">
        <f t="shared" si="156"/>
        <v/>
      </c>
      <c r="FW809" s="1995" t="str">
        <f t="shared" si="157"/>
        <v/>
      </c>
      <c r="FX809" s="1995" t="str">
        <f t="shared" si="158"/>
        <v/>
      </c>
      <c r="FY809" s="1995" t="str">
        <f t="shared" si="159"/>
        <v/>
      </c>
      <c r="FZ809" s="1995" t="str">
        <f t="shared" si="160"/>
        <v/>
      </c>
      <c r="GA809" s="1995" t="str">
        <f t="shared" si="161"/>
        <v/>
      </c>
      <c r="GB809" s="1995" t="str">
        <f t="shared" si="162"/>
        <v/>
      </c>
      <c r="GC809" s="1995" t="str">
        <f t="shared" si="163"/>
        <v/>
      </c>
      <c r="GD809" s="1995" t="str">
        <f t="shared" si="164"/>
        <v/>
      </c>
      <c r="GE809" s="1995" t="str">
        <f t="shared" si="165"/>
        <v/>
      </c>
      <c r="GF809" s="1995" t="str">
        <f t="shared" si="166"/>
        <v/>
      </c>
      <c r="GG809" s="1995" t="str">
        <f t="shared" si="167"/>
        <v/>
      </c>
      <c r="GH809" s="1995" t="str">
        <f t="shared" si="168"/>
        <v/>
      </c>
      <c r="GI809" s="1995" t="str">
        <f t="shared" si="169"/>
        <v/>
      </c>
      <c r="GJ809" s="1995" t="str">
        <f t="shared" si="170"/>
        <v/>
      </c>
      <c r="GK809" s="1995" t="str">
        <f t="shared" si="171"/>
        <v/>
      </c>
      <c r="GL809" s="1995" t="str">
        <f t="shared" si="172"/>
        <v/>
      </c>
      <c r="GM809" s="1995" t="str">
        <f t="shared" si="173"/>
        <v/>
      </c>
      <c r="GN809" s="1995" t="str">
        <f t="shared" si="174"/>
        <v/>
      </c>
      <c r="GO809" s="1995" t="str">
        <f t="shared" si="175"/>
        <v/>
      </c>
      <c r="GP809" s="1995" t="str">
        <f t="shared" si="176"/>
        <v/>
      </c>
      <c r="GQ809" s="1995" t="str">
        <f t="shared" si="177"/>
        <v/>
      </c>
      <c r="GR809" s="1995" t="str">
        <f t="shared" si="178"/>
        <v/>
      </c>
      <c r="GS809" s="1995" t="str">
        <f t="shared" si="179"/>
        <v/>
      </c>
      <c r="GT809" s="1995" t="str">
        <f t="shared" si="180"/>
        <v/>
      </c>
      <c r="GU809" s="1995" t="str">
        <f t="shared" si="181"/>
        <v/>
      </c>
      <c r="GV809" s="1995" t="str">
        <f t="shared" si="182"/>
        <v/>
      </c>
      <c r="GW809" s="1995" t="str">
        <f t="shared" si="183"/>
        <v/>
      </c>
      <c r="GX809" s="1995" t="str">
        <f t="shared" si="184"/>
        <v/>
      </c>
      <c r="GY809" s="1995" t="str">
        <f t="shared" si="185"/>
        <v/>
      </c>
      <c r="GZ809" s="1995" t="str">
        <f t="shared" si="186"/>
        <v/>
      </c>
      <c r="HA809" s="1995" t="str">
        <f t="shared" si="187"/>
        <v/>
      </c>
      <c r="HB809" s="1995" t="str">
        <f t="shared" si="188"/>
        <v/>
      </c>
      <c r="HC809" s="1995" t="str">
        <f t="shared" si="189"/>
        <v/>
      </c>
      <c r="HD809" s="1995" t="str">
        <f t="shared" si="190"/>
        <v/>
      </c>
      <c r="HE809" s="1995" t="str">
        <f t="shared" si="191"/>
        <v/>
      </c>
      <c r="HF809" s="1995" t="str">
        <f t="shared" si="192"/>
        <v/>
      </c>
      <c r="HG809" s="1995" t="str">
        <f t="shared" si="193"/>
        <v/>
      </c>
      <c r="HH809" s="1995" t="str">
        <f t="shared" si="194"/>
        <v/>
      </c>
      <c r="HI809" s="1995" t="str">
        <f t="shared" si="195"/>
        <v/>
      </c>
      <c r="HJ809" s="1995" t="str">
        <f t="shared" si="196"/>
        <v/>
      </c>
      <c r="HK809" s="1995" t="str">
        <f t="shared" si="197"/>
        <v/>
      </c>
      <c r="HL809" s="1995" t="str">
        <f t="shared" si="198"/>
        <v/>
      </c>
      <c r="HM809" s="1995" t="str">
        <f t="shared" si="199"/>
        <v/>
      </c>
      <c r="HN809" s="1995" t="str">
        <f t="shared" si="200"/>
        <v/>
      </c>
      <c r="HO809" s="1995" t="str">
        <f t="shared" si="201"/>
        <v/>
      </c>
      <c r="HP809" s="1995" t="str">
        <f t="shared" si="202"/>
        <v/>
      </c>
      <c r="HQ809" s="1995" t="str">
        <f t="shared" si="203"/>
        <v/>
      </c>
      <c r="HR809" s="1995" t="str">
        <f t="shared" si="204"/>
        <v/>
      </c>
      <c r="HS809" s="1995" t="str">
        <f t="shared" si="205"/>
        <v/>
      </c>
      <c r="HT809" s="1995" t="str">
        <f t="shared" si="206"/>
        <v/>
      </c>
      <c r="HU809" s="1995" t="str">
        <f t="shared" si="207"/>
        <v/>
      </c>
      <c r="HV809" s="1995" t="str">
        <f t="shared" si="208"/>
        <v/>
      </c>
      <c r="HW809" s="1995" t="str">
        <f t="shared" si="209"/>
        <v/>
      </c>
      <c r="HX809" s="1995" t="str">
        <f t="shared" si="210"/>
        <v/>
      </c>
      <c r="HY809" s="1995" t="str">
        <f t="shared" si="211"/>
        <v/>
      </c>
      <c r="HZ809" s="1900" t="str">
        <f t="shared" si="212"/>
        <v/>
      </c>
      <c r="IA809" s="1900" t="str">
        <f t="shared" si="213"/>
        <v/>
      </c>
      <c r="IB809" s="1900" t="str">
        <f t="shared" si="214"/>
        <v/>
      </c>
      <c r="IC809" s="1900" t="str">
        <f t="shared" si="215"/>
        <v/>
      </c>
      <c r="ID809" s="1900" t="str">
        <f t="shared" si="216"/>
        <v/>
      </c>
      <c r="IE809" s="1900" t="str">
        <f t="shared" si="217"/>
        <v/>
      </c>
      <c r="IF809" s="1900" t="str">
        <f t="shared" si="218"/>
        <v/>
      </c>
      <c r="IG809" s="1900" t="str">
        <f t="shared" si="219"/>
        <v/>
      </c>
      <c r="IH809" s="1900" t="str">
        <f t="shared" si="220"/>
        <v/>
      </c>
      <c r="II809" s="1900" t="str">
        <f t="shared" si="221"/>
        <v/>
      </c>
      <c r="IJ809" s="1900" t="str">
        <f t="shared" si="222"/>
        <v/>
      </c>
      <c r="IK809" s="1900" t="str">
        <f t="shared" si="223"/>
        <v/>
      </c>
      <c r="IL809" s="1900" t="str">
        <f t="shared" si="224"/>
        <v/>
      </c>
      <c r="IM809" s="1900" t="str">
        <f t="shared" si="225"/>
        <v/>
      </c>
      <c r="IN809" s="1900" t="str">
        <f t="shared" si="226"/>
        <v/>
      </c>
      <c r="IO809" s="1900" t="str">
        <f t="shared" si="227"/>
        <v/>
      </c>
      <c r="IP809" s="1900" t="str">
        <f t="shared" si="228"/>
        <v/>
      </c>
      <c r="IQ809" s="1900" t="str">
        <f t="shared" si="229"/>
        <v/>
      </c>
      <c r="IR809" s="1900" t="str">
        <f t="shared" si="230"/>
        <v/>
      </c>
      <c r="IS809" s="1900" t="str">
        <f t="shared" si="231"/>
        <v/>
      </c>
      <c r="IT809" s="1900" t="str">
        <f t="shared" si="232"/>
        <v/>
      </c>
      <c r="IU809" s="1900" t="str">
        <f t="shared" si="233"/>
        <v/>
      </c>
      <c r="IV809" s="1900" t="str">
        <f t="shared" si="234"/>
        <v/>
      </c>
      <c r="IW809" s="1900" t="str">
        <f t="shared" si="235"/>
        <v/>
      </c>
      <c r="IX809" s="1900" t="str">
        <f t="shared" si="236"/>
        <v/>
      </c>
      <c r="IY809" s="1900" t="str">
        <f t="shared" si="237"/>
        <v/>
      </c>
      <c r="IZ809" s="1900" t="str">
        <f t="shared" si="238"/>
        <v/>
      </c>
      <c r="JA809" s="1900" t="str">
        <f t="shared" si="239"/>
        <v/>
      </c>
      <c r="JB809" s="1900" t="str">
        <f t="shared" si="240"/>
        <v/>
      </c>
      <c r="JC809" s="1900" t="str">
        <f t="shared" si="241"/>
        <v/>
      </c>
      <c r="JD809" s="1900" t="str">
        <f t="shared" si="242"/>
        <v/>
      </c>
      <c r="JE809" s="1900" t="str">
        <f t="shared" si="243"/>
        <v/>
      </c>
      <c r="JF809" s="1900" t="str">
        <f t="shared" si="244"/>
        <v/>
      </c>
      <c r="JG809" s="1900" t="str">
        <f t="shared" si="245"/>
        <v/>
      </c>
      <c r="JH809" s="1900" t="str">
        <f t="shared" si="246"/>
        <v/>
      </c>
      <c r="JI809" s="1900" t="str">
        <f t="shared" si="247"/>
        <v/>
      </c>
      <c r="JJ809" s="1900" t="str">
        <f t="shared" si="248"/>
        <v/>
      </c>
      <c r="JK809" s="1900" t="str">
        <f t="shared" si="249"/>
        <v/>
      </c>
      <c r="JL809" s="1900" t="str">
        <f t="shared" si="250"/>
        <v/>
      </c>
      <c r="JM809" s="1900" t="str">
        <f t="shared" si="251"/>
        <v/>
      </c>
      <c r="JN809" s="1900" t="str">
        <f t="shared" si="252"/>
        <v/>
      </c>
      <c r="JO809" s="1900" t="str">
        <f t="shared" si="253"/>
        <v/>
      </c>
      <c r="JP809" s="1900" t="str">
        <f t="shared" si="254"/>
        <v/>
      </c>
      <c r="JQ809" s="1900" t="str">
        <f t="shared" si="255"/>
        <v/>
      </c>
      <c r="JR809" s="1900" t="str">
        <f t="shared" si="256"/>
        <v/>
      </c>
      <c r="JS809" s="1900" t="str">
        <f t="shared" si="257"/>
        <v/>
      </c>
      <c r="JT809" s="1900" t="str">
        <f t="shared" si="258"/>
        <v/>
      </c>
      <c r="JU809" s="1900" t="str">
        <f t="shared" si="259"/>
        <v/>
      </c>
      <c r="JV809" s="1900" t="str">
        <f t="shared" si="260"/>
        <v/>
      </c>
      <c r="JW809" s="1900" t="str">
        <f t="shared" si="261"/>
        <v/>
      </c>
      <c r="JX809" s="1900" t="str">
        <f t="shared" si="262"/>
        <v/>
      </c>
      <c r="JY809" s="1900" t="str">
        <f t="shared" si="263"/>
        <v/>
      </c>
      <c r="JZ809" s="1900" t="str">
        <f t="shared" si="264"/>
        <v/>
      </c>
      <c r="KA809" s="1900" t="str">
        <f t="shared" si="265"/>
        <v/>
      </c>
      <c r="KB809" s="1900" t="str">
        <f t="shared" si="266"/>
        <v/>
      </c>
      <c r="KC809" s="1900" t="str">
        <f t="shared" si="267"/>
        <v/>
      </c>
      <c r="KD809" s="1900" t="str">
        <f t="shared" si="268"/>
        <v/>
      </c>
      <c r="KE809" s="1900" t="str">
        <f t="shared" si="269"/>
        <v/>
      </c>
      <c r="KF809" s="1900" t="str">
        <f t="shared" si="270"/>
        <v/>
      </c>
      <c r="KG809" s="1900" t="str">
        <f t="shared" si="271"/>
        <v/>
      </c>
      <c r="KH809" s="1900" t="str">
        <f t="shared" si="272"/>
        <v/>
      </c>
      <c r="KI809" s="1900" t="str">
        <f t="shared" si="273"/>
        <v/>
      </c>
      <c r="KJ809" s="1900" t="str">
        <f t="shared" si="274"/>
        <v/>
      </c>
      <c r="KK809" s="1900" t="str">
        <f t="shared" si="275"/>
        <v/>
      </c>
      <c r="KL809" s="1900" t="str">
        <f t="shared" si="276"/>
        <v/>
      </c>
      <c r="KM809" s="1900" t="str">
        <f t="shared" si="277"/>
        <v/>
      </c>
      <c r="KN809" s="1900" t="str">
        <f t="shared" si="278"/>
        <v/>
      </c>
      <c r="KO809" s="1900" t="str">
        <f t="shared" si="279"/>
        <v/>
      </c>
      <c r="KP809" s="1900" t="str">
        <f t="shared" si="280"/>
        <v/>
      </c>
      <c r="KQ809" s="1900" t="str">
        <f t="shared" si="281"/>
        <v/>
      </c>
      <c r="KR809" s="1900" t="str">
        <f t="shared" si="282"/>
        <v/>
      </c>
      <c r="KS809" s="1900" t="str">
        <f t="shared" si="283"/>
        <v/>
      </c>
      <c r="KT809" s="1900" t="str">
        <f t="shared" si="284"/>
        <v/>
      </c>
      <c r="KU809" s="1900" t="str">
        <f t="shared" si="285"/>
        <v/>
      </c>
      <c r="KV809" s="1900" t="str">
        <f t="shared" si="286"/>
        <v/>
      </c>
      <c r="KW809" s="1900" t="str">
        <f t="shared" si="287"/>
        <v/>
      </c>
      <c r="KX809" s="1900" t="str">
        <f t="shared" si="288"/>
        <v/>
      </c>
      <c r="KY809" s="1900" t="str">
        <f t="shared" si="289"/>
        <v/>
      </c>
      <c r="KZ809" s="1900" t="str">
        <f t="shared" si="290"/>
        <v/>
      </c>
      <c r="LA809" s="1900" t="str">
        <f t="shared" si="291"/>
        <v/>
      </c>
      <c r="LB809" s="1900" t="str">
        <f t="shared" si="292"/>
        <v/>
      </c>
      <c r="LC809" s="1900" t="str">
        <f t="shared" si="293"/>
        <v/>
      </c>
      <c r="LD809" s="1900" t="str">
        <f t="shared" si="294"/>
        <v/>
      </c>
      <c r="LE809" s="1900" t="str">
        <f t="shared" si="295"/>
        <v/>
      </c>
      <c r="LF809" s="1900" t="str">
        <f t="shared" si="296"/>
        <v/>
      </c>
      <c r="LG809" s="1900" t="str">
        <f t="shared" si="297"/>
        <v/>
      </c>
      <c r="LH809" s="1900" t="str">
        <f t="shared" si="298"/>
        <v/>
      </c>
      <c r="LI809" s="1900" t="str">
        <f t="shared" si="299"/>
        <v/>
      </c>
      <c r="LJ809" s="1900" t="str">
        <f t="shared" si="300"/>
        <v/>
      </c>
      <c r="LK809" s="1900" t="str">
        <f t="shared" si="301"/>
        <v/>
      </c>
      <c r="LL809" s="1900" t="str">
        <f t="shared" si="302"/>
        <v/>
      </c>
      <c r="LM809" s="1900" t="str">
        <f t="shared" si="303"/>
        <v/>
      </c>
      <c r="LN809" s="1900" t="str">
        <f t="shared" si="304"/>
        <v/>
      </c>
      <c r="LO809" s="1900" t="str">
        <f t="shared" si="305"/>
        <v/>
      </c>
      <c r="LP809" s="1900" t="str">
        <f t="shared" si="306"/>
        <v/>
      </c>
      <c r="LQ809" s="1874" t="str">
        <f t="shared" si="307"/>
        <v/>
      </c>
      <c r="LR809" s="1874" t="str">
        <f t="shared" si="308"/>
        <v/>
      </c>
      <c r="LS809" s="1874" t="str">
        <f t="shared" si="309"/>
        <v/>
      </c>
      <c r="LT809" s="1874" t="str">
        <f t="shared" si="310"/>
        <v/>
      </c>
      <c r="LU809" s="1874" t="str">
        <f t="shared" si="311"/>
        <v/>
      </c>
      <c r="LV809" s="1995" t="str">
        <f t="shared" si="312"/>
        <v/>
      </c>
      <c r="LW809" s="1995" t="str">
        <f t="shared" si="313"/>
        <v/>
      </c>
      <c r="LX809" s="1995" t="str">
        <f t="shared" si="314"/>
        <v/>
      </c>
      <c r="LY809" s="1995" t="str">
        <f t="shared" si="315"/>
        <v/>
      </c>
      <c r="LZ809" s="1995" t="str">
        <f t="shared" si="316"/>
        <v/>
      </c>
      <c r="MA809" s="1995" t="str">
        <f t="shared" si="317"/>
        <v/>
      </c>
      <c r="MB809" s="1995" t="str">
        <f t="shared" si="318"/>
        <v/>
      </c>
      <c r="MC809" s="1995" t="str">
        <f t="shared" si="319"/>
        <v/>
      </c>
      <c r="MD809" s="1995" t="str">
        <f t="shared" si="320"/>
        <v/>
      </c>
      <c r="ME809" s="1995" t="str">
        <f t="shared" si="321"/>
        <v/>
      </c>
      <c r="MF809" s="1995" t="str">
        <f t="shared" si="322"/>
        <v/>
      </c>
      <c r="MG809" s="1995" t="str">
        <f t="shared" si="323"/>
        <v/>
      </c>
      <c r="MH809" s="1995" t="str">
        <f t="shared" si="324"/>
        <v/>
      </c>
      <c r="MI809" s="1995" t="str">
        <f t="shared" si="325"/>
        <v/>
      </c>
      <c r="MJ809" s="1995" t="str">
        <f t="shared" si="326"/>
        <v/>
      </c>
      <c r="MK809" s="1995" t="str">
        <f t="shared" si="327"/>
        <v/>
      </c>
      <c r="ML809" s="1995" t="str">
        <f t="shared" si="328"/>
        <v/>
      </c>
      <c r="MM809" s="1995" t="str">
        <f t="shared" si="329"/>
        <v/>
      </c>
      <c r="MN809" s="1995" t="str">
        <f t="shared" si="330"/>
        <v/>
      </c>
      <c r="MO809" s="1995" t="str">
        <f t="shared" si="331"/>
        <v/>
      </c>
      <c r="MP809" s="1874">
        <f t="shared" si="338"/>
        <v>0</v>
      </c>
      <c r="MQ809" s="1874">
        <f t="shared" si="339"/>
        <v>0</v>
      </c>
      <c r="MR809" s="1874">
        <f t="shared" si="340"/>
        <v>0</v>
      </c>
      <c r="MS809" s="1874">
        <f t="shared" si="341"/>
        <v>0</v>
      </c>
      <c r="MT809" s="1874">
        <f t="shared" si="342"/>
        <v>0</v>
      </c>
      <c r="MU809" s="1874">
        <f t="shared" si="343"/>
        <v>0</v>
      </c>
      <c r="MV809" s="1874">
        <f t="shared" si="344"/>
        <v>0</v>
      </c>
      <c r="MW809" s="1874">
        <f t="shared" si="345"/>
        <v>0</v>
      </c>
      <c r="MX809" s="1874">
        <f t="shared" si="346"/>
        <v>0</v>
      </c>
      <c r="MY809" s="1874">
        <f t="shared" si="347"/>
        <v>0</v>
      </c>
      <c r="MZ809" s="1874">
        <f t="shared" si="332"/>
        <v>0</v>
      </c>
      <c r="NA809" s="1874">
        <f t="shared" si="333"/>
        <v>0</v>
      </c>
      <c r="NB809" s="1874">
        <f t="shared" si="334"/>
        <v>0</v>
      </c>
      <c r="NC809" s="1874">
        <f t="shared" si="335"/>
        <v>0</v>
      </c>
      <c r="ND809" s="1874">
        <f t="shared" si="336"/>
        <v>0</v>
      </c>
    </row>
    <row r="810" spans="1:368" ht="13.95" customHeight="1">
      <c r="A810" s="1896" t="str">
        <f t="shared" si="337"/>
        <v/>
      </c>
      <c r="B810" s="2212">
        <f>'Part VI-Revenues &amp; Expenses'!B41</f>
        <v>0</v>
      </c>
      <c r="C810" s="2213">
        <f>'Part VI-Revenues &amp; Expenses'!C41</f>
        <v>0</v>
      </c>
      <c r="D810" s="2214">
        <f>'Part VI-Revenues &amp; Expenses'!D41</f>
        <v>0</v>
      </c>
      <c r="E810" s="2215">
        <f>'Part VI-Revenues &amp; Expenses'!E41</f>
        <v>0</v>
      </c>
      <c r="F810" s="2215">
        <f>'Part VI-Revenues &amp; Expenses'!F41</f>
        <v>0</v>
      </c>
      <c r="G810" s="2215">
        <f>'Part VI-Revenues &amp; Expenses'!G41</f>
        <v>0</v>
      </c>
      <c r="H810" s="2215">
        <f>'Part VI-Revenues &amp; Expenses'!H41</f>
        <v>0</v>
      </c>
      <c r="I810" s="2215">
        <f>'Part VI-Revenues &amp; Expenses'!I41</f>
        <v>0</v>
      </c>
      <c r="J810" s="2215">
        <f>'Part VI-Revenues &amp; Expenses'!J41</f>
        <v>0</v>
      </c>
      <c r="K810" s="2216">
        <f>'Part VI-Revenues &amp; Expenses'!K41</f>
        <v>0</v>
      </c>
      <c r="L810" s="1899">
        <f t="shared" si="0"/>
        <v>0</v>
      </c>
      <c r="M810" s="1899">
        <f t="shared" si="1"/>
        <v>0</v>
      </c>
      <c r="N810" s="2074">
        <f>'Part VI-Revenues &amp; Expenses'!N41</f>
        <v>0</v>
      </c>
      <c r="O810" s="2074">
        <f>'Part VI-Revenues &amp; Expenses'!O41</f>
        <v>0</v>
      </c>
      <c r="P810" s="2074">
        <f>'Part VI-Revenues &amp; Expenses'!P41</f>
        <v>0</v>
      </c>
      <c r="Q810" s="1732">
        <f>'Part VI-Revenues &amp; Expenses'!Q41</f>
        <v>0</v>
      </c>
      <c r="R810" s="1926"/>
      <c r="S810" s="2148"/>
      <c r="T810" s="1910"/>
      <c r="U810" s="1910"/>
      <c r="V810" s="1910"/>
      <c r="W810" s="1910"/>
      <c r="X810" s="1995" t="str">
        <f t="shared" si="2"/>
        <v/>
      </c>
      <c r="Y810" s="1995" t="str">
        <f t="shared" si="3"/>
        <v/>
      </c>
      <c r="Z810" s="1995" t="str">
        <f t="shared" si="4"/>
        <v/>
      </c>
      <c r="AA810" s="1995" t="str">
        <f t="shared" si="5"/>
        <v/>
      </c>
      <c r="AB810" s="1995" t="str">
        <f t="shared" si="6"/>
        <v/>
      </c>
      <c r="AC810" s="1995" t="str">
        <f t="shared" si="7"/>
        <v/>
      </c>
      <c r="AD810" s="1995" t="str">
        <f t="shared" si="8"/>
        <v/>
      </c>
      <c r="AE810" s="1995" t="str">
        <f t="shared" si="9"/>
        <v/>
      </c>
      <c r="AF810" s="1995" t="str">
        <f t="shared" si="10"/>
        <v/>
      </c>
      <c r="AG810" s="1995" t="str">
        <f t="shared" si="11"/>
        <v/>
      </c>
      <c r="AH810" s="1995" t="str">
        <f t="shared" si="12"/>
        <v/>
      </c>
      <c r="AI810" s="1995" t="str">
        <f t="shared" si="13"/>
        <v/>
      </c>
      <c r="AJ810" s="1995" t="str">
        <f t="shared" si="14"/>
        <v/>
      </c>
      <c r="AK810" s="1995" t="str">
        <f t="shared" si="15"/>
        <v/>
      </c>
      <c r="AL810" s="1995" t="str">
        <f t="shared" si="16"/>
        <v/>
      </c>
      <c r="AM810" s="1995" t="str">
        <f t="shared" si="17"/>
        <v/>
      </c>
      <c r="AN810" s="1995" t="str">
        <f t="shared" si="18"/>
        <v/>
      </c>
      <c r="AO810" s="1995" t="str">
        <f t="shared" si="19"/>
        <v/>
      </c>
      <c r="AP810" s="1995" t="str">
        <f t="shared" si="20"/>
        <v/>
      </c>
      <c r="AQ810" s="1995" t="str">
        <f t="shared" si="21"/>
        <v/>
      </c>
      <c r="AR810" s="1995" t="str">
        <f t="shared" si="22"/>
        <v/>
      </c>
      <c r="AS810" s="1995" t="str">
        <f t="shared" si="23"/>
        <v/>
      </c>
      <c r="AT810" s="1995" t="str">
        <f t="shared" si="24"/>
        <v/>
      </c>
      <c r="AU810" s="1995" t="str">
        <f t="shared" si="25"/>
        <v/>
      </c>
      <c r="AV810" s="1995" t="str">
        <f t="shared" si="26"/>
        <v/>
      </c>
      <c r="AW810" s="1995" t="str">
        <f t="shared" si="27"/>
        <v/>
      </c>
      <c r="AX810" s="1995" t="str">
        <f t="shared" si="28"/>
        <v/>
      </c>
      <c r="AY810" s="1995" t="str">
        <f t="shared" si="29"/>
        <v/>
      </c>
      <c r="AZ810" s="1995" t="str">
        <f t="shared" si="30"/>
        <v/>
      </c>
      <c r="BA810" s="1995" t="str">
        <f t="shared" si="31"/>
        <v/>
      </c>
      <c r="BB810" s="1995" t="str">
        <f t="shared" si="32"/>
        <v/>
      </c>
      <c r="BC810" s="1995" t="str">
        <f t="shared" si="33"/>
        <v/>
      </c>
      <c r="BD810" s="1995" t="str">
        <f t="shared" si="34"/>
        <v/>
      </c>
      <c r="BE810" s="1995" t="str">
        <f t="shared" si="35"/>
        <v/>
      </c>
      <c r="BF810" s="1995" t="str">
        <f t="shared" si="36"/>
        <v/>
      </c>
      <c r="BG810" s="1995" t="str">
        <f t="shared" si="37"/>
        <v/>
      </c>
      <c r="BH810" s="1995" t="str">
        <f t="shared" si="38"/>
        <v/>
      </c>
      <c r="BI810" s="1995" t="str">
        <f t="shared" si="39"/>
        <v/>
      </c>
      <c r="BJ810" s="1995" t="str">
        <f t="shared" si="40"/>
        <v/>
      </c>
      <c r="BK810" s="1995" t="str">
        <f t="shared" si="41"/>
        <v/>
      </c>
      <c r="BL810" s="1995" t="str">
        <f t="shared" si="42"/>
        <v/>
      </c>
      <c r="BM810" s="1995" t="str">
        <f t="shared" si="43"/>
        <v/>
      </c>
      <c r="BN810" s="1995" t="str">
        <f t="shared" si="44"/>
        <v/>
      </c>
      <c r="BO810" s="1995" t="str">
        <f t="shared" si="45"/>
        <v/>
      </c>
      <c r="BP810" s="1995" t="str">
        <f t="shared" si="46"/>
        <v/>
      </c>
      <c r="BQ810" s="1995" t="str">
        <f t="shared" si="47"/>
        <v/>
      </c>
      <c r="BR810" s="1995" t="str">
        <f t="shared" si="48"/>
        <v/>
      </c>
      <c r="BS810" s="1995" t="str">
        <f t="shared" si="49"/>
        <v/>
      </c>
      <c r="BT810" s="1995" t="str">
        <f t="shared" si="50"/>
        <v/>
      </c>
      <c r="BU810" s="1995" t="str">
        <f t="shared" si="51"/>
        <v/>
      </c>
      <c r="BV810" s="1995" t="str">
        <f t="shared" si="52"/>
        <v/>
      </c>
      <c r="BW810" s="1995" t="str">
        <f t="shared" si="53"/>
        <v/>
      </c>
      <c r="BX810" s="1995" t="str">
        <f t="shared" si="54"/>
        <v/>
      </c>
      <c r="BY810" s="1995" t="str">
        <f t="shared" si="55"/>
        <v/>
      </c>
      <c r="BZ810" s="1995" t="str">
        <f t="shared" si="56"/>
        <v/>
      </c>
      <c r="CA810" s="1995" t="str">
        <f t="shared" si="57"/>
        <v/>
      </c>
      <c r="CB810" s="1995" t="str">
        <f t="shared" si="58"/>
        <v/>
      </c>
      <c r="CC810" s="1995" t="str">
        <f t="shared" si="59"/>
        <v/>
      </c>
      <c r="CD810" s="1995" t="str">
        <f t="shared" si="60"/>
        <v/>
      </c>
      <c r="CE810" s="1995" t="str">
        <f t="shared" si="61"/>
        <v/>
      </c>
      <c r="CF810" s="1995" t="str">
        <f t="shared" si="62"/>
        <v/>
      </c>
      <c r="CG810" s="1995" t="str">
        <f t="shared" si="63"/>
        <v/>
      </c>
      <c r="CH810" s="1995" t="str">
        <f t="shared" si="64"/>
        <v/>
      </c>
      <c r="CI810" s="1995" t="str">
        <f t="shared" si="65"/>
        <v/>
      </c>
      <c r="CJ810" s="1995" t="str">
        <f t="shared" si="66"/>
        <v/>
      </c>
      <c r="CK810" s="1995" t="str">
        <f t="shared" si="67"/>
        <v/>
      </c>
      <c r="CL810" s="1995" t="str">
        <f t="shared" si="68"/>
        <v/>
      </c>
      <c r="CM810" s="1995" t="str">
        <f t="shared" si="69"/>
        <v/>
      </c>
      <c r="CN810" s="1995" t="str">
        <f t="shared" si="70"/>
        <v/>
      </c>
      <c r="CO810" s="1995" t="str">
        <f t="shared" si="71"/>
        <v/>
      </c>
      <c r="CP810" s="1995" t="str">
        <f t="shared" si="72"/>
        <v/>
      </c>
      <c r="CQ810" s="1995" t="str">
        <f t="shared" si="73"/>
        <v/>
      </c>
      <c r="CR810" s="1995" t="str">
        <f t="shared" si="74"/>
        <v/>
      </c>
      <c r="CS810" s="1995" t="str">
        <f t="shared" si="75"/>
        <v/>
      </c>
      <c r="CT810" s="1995" t="str">
        <f t="shared" si="76"/>
        <v/>
      </c>
      <c r="CU810" s="1995" t="str">
        <f t="shared" si="77"/>
        <v/>
      </c>
      <c r="CV810" s="1995" t="str">
        <f t="shared" si="78"/>
        <v/>
      </c>
      <c r="CW810" s="1995" t="str">
        <f t="shared" si="79"/>
        <v/>
      </c>
      <c r="CX810" s="1995" t="str">
        <f t="shared" si="80"/>
        <v/>
      </c>
      <c r="CY810" s="1995" t="str">
        <f t="shared" si="81"/>
        <v/>
      </c>
      <c r="CZ810" s="1995" t="str">
        <f t="shared" si="82"/>
        <v/>
      </c>
      <c r="DA810" s="1995" t="str">
        <f t="shared" si="83"/>
        <v/>
      </c>
      <c r="DB810" s="1995" t="str">
        <f t="shared" si="84"/>
        <v/>
      </c>
      <c r="DC810" s="1995" t="str">
        <f t="shared" si="85"/>
        <v/>
      </c>
      <c r="DD810" s="1995" t="str">
        <f t="shared" si="86"/>
        <v/>
      </c>
      <c r="DE810" s="1995" t="str">
        <f t="shared" si="87"/>
        <v/>
      </c>
      <c r="DF810" s="1995" t="str">
        <f t="shared" si="88"/>
        <v/>
      </c>
      <c r="DG810" s="1995" t="str">
        <f t="shared" si="89"/>
        <v/>
      </c>
      <c r="DH810" s="1995" t="str">
        <f t="shared" si="90"/>
        <v/>
      </c>
      <c r="DI810" s="1995" t="str">
        <f t="shared" si="91"/>
        <v/>
      </c>
      <c r="DJ810" s="1995" t="str">
        <f t="shared" si="92"/>
        <v/>
      </c>
      <c r="DK810" s="1995" t="str">
        <f t="shared" si="93"/>
        <v/>
      </c>
      <c r="DL810" s="1995" t="str">
        <f t="shared" si="94"/>
        <v/>
      </c>
      <c r="DM810" s="1995" t="str">
        <f t="shared" si="95"/>
        <v/>
      </c>
      <c r="DN810" s="1995" t="str">
        <f t="shared" si="96"/>
        <v/>
      </c>
      <c r="DO810" s="1995" t="str">
        <f t="shared" si="97"/>
        <v/>
      </c>
      <c r="DP810" s="1995" t="str">
        <f t="shared" si="98"/>
        <v/>
      </c>
      <c r="DQ810" s="1995" t="str">
        <f t="shared" si="99"/>
        <v/>
      </c>
      <c r="DR810" s="1995" t="str">
        <f t="shared" si="100"/>
        <v/>
      </c>
      <c r="DS810" s="1995" t="str">
        <f t="shared" si="101"/>
        <v/>
      </c>
      <c r="DT810" s="1995" t="str">
        <f t="shared" si="102"/>
        <v/>
      </c>
      <c r="DU810" s="1995" t="str">
        <f t="shared" si="103"/>
        <v/>
      </c>
      <c r="DV810" s="1995" t="str">
        <f t="shared" si="104"/>
        <v/>
      </c>
      <c r="DW810" s="1995" t="str">
        <f t="shared" si="105"/>
        <v/>
      </c>
      <c r="DX810" s="1995" t="str">
        <f t="shared" si="106"/>
        <v/>
      </c>
      <c r="DY810" s="1995" t="str">
        <f t="shared" si="107"/>
        <v/>
      </c>
      <c r="DZ810" s="1995" t="str">
        <f t="shared" si="108"/>
        <v/>
      </c>
      <c r="EA810" s="1995" t="str">
        <f t="shared" si="109"/>
        <v/>
      </c>
      <c r="EB810" s="1995" t="str">
        <f t="shared" si="110"/>
        <v/>
      </c>
      <c r="EC810" s="1995" t="str">
        <f t="shared" si="111"/>
        <v/>
      </c>
      <c r="ED810" s="1995" t="str">
        <f t="shared" si="112"/>
        <v/>
      </c>
      <c r="EE810" s="1995" t="str">
        <f t="shared" si="113"/>
        <v/>
      </c>
      <c r="EF810" s="1995" t="str">
        <f t="shared" si="114"/>
        <v/>
      </c>
      <c r="EG810" s="1995" t="str">
        <f t="shared" si="115"/>
        <v/>
      </c>
      <c r="EH810" s="1995" t="str">
        <f t="shared" si="116"/>
        <v/>
      </c>
      <c r="EI810" s="1995" t="str">
        <f t="shared" si="117"/>
        <v/>
      </c>
      <c r="EJ810" s="1995" t="str">
        <f t="shared" si="118"/>
        <v/>
      </c>
      <c r="EK810" s="1995" t="str">
        <f t="shared" si="119"/>
        <v/>
      </c>
      <c r="EL810" s="1995" t="str">
        <f t="shared" si="120"/>
        <v/>
      </c>
      <c r="EM810" s="1995" t="str">
        <f t="shared" si="121"/>
        <v/>
      </c>
      <c r="EN810" s="1995" t="str">
        <f t="shared" si="122"/>
        <v/>
      </c>
      <c r="EO810" s="1995" t="str">
        <f t="shared" si="123"/>
        <v/>
      </c>
      <c r="EP810" s="1995" t="str">
        <f t="shared" si="124"/>
        <v/>
      </c>
      <c r="EQ810" s="1995" t="str">
        <f t="shared" si="125"/>
        <v/>
      </c>
      <c r="ER810" s="1995" t="str">
        <f t="shared" si="126"/>
        <v/>
      </c>
      <c r="ES810" s="1995" t="str">
        <f t="shared" si="127"/>
        <v/>
      </c>
      <c r="ET810" s="1995" t="str">
        <f t="shared" si="128"/>
        <v/>
      </c>
      <c r="EU810" s="1995" t="str">
        <f t="shared" si="129"/>
        <v/>
      </c>
      <c r="EV810" s="1995" t="str">
        <f t="shared" si="130"/>
        <v/>
      </c>
      <c r="EW810" s="1995" t="str">
        <f t="shared" si="131"/>
        <v/>
      </c>
      <c r="EX810" s="1995" t="str">
        <f t="shared" si="132"/>
        <v/>
      </c>
      <c r="EY810" s="1995" t="str">
        <f t="shared" si="133"/>
        <v/>
      </c>
      <c r="EZ810" s="1995" t="str">
        <f t="shared" si="134"/>
        <v/>
      </c>
      <c r="FA810" s="1995" t="str">
        <f t="shared" si="135"/>
        <v/>
      </c>
      <c r="FB810" s="1995" t="str">
        <f t="shared" si="136"/>
        <v/>
      </c>
      <c r="FC810" s="1995" t="str">
        <f t="shared" si="137"/>
        <v/>
      </c>
      <c r="FD810" s="1995" t="str">
        <f t="shared" si="138"/>
        <v/>
      </c>
      <c r="FE810" s="1995" t="str">
        <f t="shared" si="139"/>
        <v/>
      </c>
      <c r="FF810" s="1995" t="str">
        <f t="shared" si="140"/>
        <v/>
      </c>
      <c r="FG810" s="1995" t="str">
        <f t="shared" si="141"/>
        <v/>
      </c>
      <c r="FH810" s="1995" t="str">
        <f t="shared" si="142"/>
        <v/>
      </c>
      <c r="FI810" s="1995" t="str">
        <f t="shared" si="143"/>
        <v/>
      </c>
      <c r="FJ810" s="1995" t="str">
        <f t="shared" si="144"/>
        <v/>
      </c>
      <c r="FK810" s="1995" t="str">
        <f t="shared" si="145"/>
        <v/>
      </c>
      <c r="FL810" s="1995" t="str">
        <f t="shared" si="146"/>
        <v/>
      </c>
      <c r="FM810" s="1995" t="str">
        <f t="shared" si="147"/>
        <v/>
      </c>
      <c r="FN810" s="1995" t="str">
        <f t="shared" si="148"/>
        <v/>
      </c>
      <c r="FO810" s="1995" t="str">
        <f t="shared" si="149"/>
        <v/>
      </c>
      <c r="FP810" s="1995" t="str">
        <f t="shared" si="150"/>
        <v/>
      </c>
      <c r="FQ810" s="1995" t="str">
        <f t="shared" si="151"/>
        <v/>
      </c>
      <c r="FR810" s="1995" t="str">
        <f t="shared" si="152"/>
        <v/>
      </c>
      <c r="FS810" s="1995" t="str">
        <f t="shared" si="153"/>
        <v/>
      </c>
      <c r="FT810" s="1995" t="str">
        <f t="shared" si="154"/>
        <v/>
      </c>
      <c r="FU810" s="1995" t="str">
        <f t="shared" si="155"/>
        <v/>
      </c>
      <c r="FV810" s="1995" t="str">
        <f t="shared" si="156"/>
        <v/>
      </c>
      <c r="FW810" s="1995" t="str">
        <f t="shared" si="157"/>
        <v/>
      </c>
      <c r="FX810" s="1995" t="str">
        <f t="shared" si="158"/>
        <v/>
      </c>
      <c r="FY810" s="1995" t="str">
        <f t="shared" si="159"/>
        <v/>
      </c>
      <c r="FZ810" s="1995" t="str">
        <f t="shared" si="160"/>
        <v/>
      </c>
      <c r="GA810" s="1995" t="str">
        <f t="shared" si="161"/>
        <v/>
      </c>
      <c r="GB810" s="1995" t="str">
        <f t="shared" si="162"/>
        <v/>
      </c>
      <c r="GC810" s="1995" t="str">
        <f t="shared" si="163"/>
        <v/>
      </c>
      <c r="GD810" s="1995" t="str">
        <f t="shared" si="164"/>
        <v/>
      </c>
      <c r="GE810" s="1995" t="str">
        <f t="shared" si="165"/>
        <v/>
      </c>
      <c r="GF810" s="1995" t="str">
        <f t="shared" si="166"/>
        <v/>
      </c>
      <c r="GG810" s="1995" t="str">
        <f t="shared" si="167"/>
        <v/>
      </c>
      <c r="GH810" s="1995" t="str">
        <f t="shared" si="168"/>
        <v/>
      </c>
      <c r="GI810" s="1995" t="str">
        <f t="shared" si="169"/>
        <v/>
      </c>
      <c r="GJ810" s="1995" t="str">
        <f t="shared" si="170"/>
        <v/>
      </c>
      <c r="GK810" s="1995" t="str">
        <f t="shared" si="171"/>
        <v/>
      </c>
      <c r="GL810" s="1995" t="str">
        <f t="shared" si="172"/>
        <v/>
      </c>
      <c r="GM810" s="1995" t="str">
        <f t="shared" si="173"/>
        <v/>
      </c>
      <c r="GN810" s="1995" t="str">
        <f t="shared" si="174"/>
        <v/>
      </c>
      <c r="GO810" s="1995" t="str">
        <f t="shared" si="175"/>
        <v/>
      </c>
      <c r="GP810" s="1995" t="str">
        <f t="shared" si="176"/>
        <v/>
      </c>
      <c r="GQ810" s="1995" t="str">
        <f t="shared" si="177"/>
        <v/>
      </c>
      <c r="GR810" s="1995" t="str">
        <f t="shared" si="178"/>
        <v/>
      </c>
      <c r="GS810" s="1995" t="str">
        <f t="shared" si="179"/>
        <v/>
      </c>
      <c r="GT810" s="1995" t="str">
        <f t="shared" si="180"/>
        <v/>
      </c>
      <c r="GU810" s="1995" t="str">
        <f t="shared" si="181"/>
        <v/>
      </c>
      <c r="GV810" s="1995" t="str">
        <f t="shared" si="182"/>
        <v/>
      </c>
      <c r="GW810" s="1995" t="str">
        <f t="shared" si="183"/>
        <v/>
      </c>
      <c r="GX810" s="1995" t="str">
        <f t="shared" si="184"/>
        <v/>
      </c>
      <c r="GY810" s="1995" t="str">
        <f t="shared" si="185"/>
        <v/>
      </c>
      <c r="GZ810" s="1995" t="str">
        <f t="shared" si="186"/>
        <v/>
      </c>
      <c r="HA810" s="1995" t="str">
        <f t="shared" si="187"/>
        <v/>
      </c>
      <c r="HB810" s="1995" t="str">
        <f t="shared" si="188"/>
        <v/>
      </c>
      <c r="HC810" s="1995" t="str">
        <f t="shared" si="189"/>
        <v/>
      </c>
      <c r="HD810" s="1995" t="str">
        <f t="shared" si="190"/>
        <v/>
      </c>
      <c r="HE810" s="1995" t="str">
        <f t="shared" si="191"/>
        <v/>
      </c>
      <c r="HF810" s="1995" t="str">
        <f t="shared" si="192"/>
        <v/>
      </c>
      <c r="HG810" s="1995" t="str">
        <f t="shared" si="193"/>
        <v/>
      </c>
      <c r="HH810" s="1995" t="str">
        <f t="shared" si="194"/>
        <v/>
      </c>
      <c r="HI810" s="1995" t="str">
        <f t="shared" si="195"/>
        <v/>
      </c>
      <c r="HJ810" s="1995" t="str">
        <f t="shared" si="196"/>
        <v/>
      </c>
      <c r="HK810" s="1995" t="str">
        <f t="shared" si="197"/>
        <v/>
      </c>
      <c r="HL810" s="1995" t="str">
        <f t="shared" si="198"/>
        <v/>
      </c>
      <c r="HM810" s="1995" t="str">
        <f t="shared" si="199"/>
        <v/>
      </c>
      <c r="HN810" s="1995" t="str">
        <f t="shared" si="200"/>
        <v/>
      </c>
      <c r="HO810" s="1995" t="str">
        <f t="shared" si="201"/>
        <v/>
      </c>
      <c r="HP810" s="1995" t="str">
        <f t="shared" si="202"/>
        <v/>
      </c>
      <c r="HQ810" s="1995" t="str">
        <f t="shared" si="203"/>
        <v/>
      </c>
      <c r="HR810" s="1995" t="str">
        <f t="shared" si="204"/>
        <v/>
      </c>
      <c r="HS810" s="1995" t="str">
        <f t="shared" si="205"/>
        <v/>
      </c>
      <c r="HT810" s="1995" t="str">
        <f t="shared" si="206"/>
        <v/>
      </c>
      <c r="HU810" s="1995" t="str">
        <f t="shared" si="207"/>
        <v/>
      </c>
      <c r="HV810" s="1995" t="str">
        <f t="shared" si="208"/>
        <v/>
      </c>
      <c r="HW810" s="1995" t="str">
        <f t="shared" si="209"/>
        <v/>
      </c>
      <c r="HX810" s="1995" t="str">
        <f t="shared" si="210"/>
        <v/>
      </c>
      <c r="HY810" s="1995" t="str">
        <f t="shared" si="211"/>
        <v/>
      </c>
      <c r="HZ810" s="1900" t="str">
        <f t="shared" si="212"/>
        <v/>
      </c>
      <c r="IA810" s="1900" t="str">
        <f t="shared" si="213"/>
        <v/>
      </c>
      <c r="IB810" s="1900" t="str">
        <f t="shared" si="214"/>
        <v/>
      </c>
      <c r="IC810" s="1900" t="str">
        <f t="shared" si="215"/>
        <v/>
      </c>
      <c r="ID810" s="1900" t="str">
        <f t="shared" si="216"/>
        <v/>
      </c>
      <c r="IE810" s="1900" t="str">
        <f t="shared" si="217"/>
        <v/>
      </c>
      <c r="IF810" s="1900" t="str">
        <f t="shared" si="218"/>
        <v/>
      </c>
      <c r="IG810" s="1900" t="str">
        <f t="shared" si="219"/>
        <v/>
      </c>
      <c r="IH810" s="1900" t="str">
        <f t="shared" si="220"/>
        <v/>
      </c>
      <c r="II810" s="1900" t="str">
        <f t="shared" si="221"/>
        <v/>
      </c>
      <c r="IJ810" s="1900" t="str">
        <f t="shared" si="222"/>
        <v/>
      </c>
      <c r="IK810" s="1900" t="str">
        <f t="shared" si="223"/>
        <v/>
      </c>
      <c r="IL810" s="1900" t="str">
        <f t="shared" si="224"/>
        <v/>
      </c>
      <c r="IM810" s="1900" t="str">
        <f t="shared" si="225"/>
        <v/>
      </c>
      <c r="IN810" s="1900" t="str">
        <f t="shared" si="226"/>
        <v/>
      </c>
      <c r="IO810" s="1900" t="str">
        <f t="shared" si="227"/>
        <v/>
      </c>
      <c r="IP810" s="1900" t="str">
        <f t="shared" si="228"/>
        <v/>
      </c>
      <c r="IQ810" s="1900" t="str">
        <f t="shared" si="229"/>
        <v/>
      </c>
      <c r="IR810" s="1900" t="str">
        <f t="shared" si="230"/>
        <v/>
      </c>
      <c r="IS810" s="1900" t="str">
        <f t="shared" si="231"/>
        <v/>
      </c>
      <c r="IT810" s="1900" t="str">
        <f t="shared" si="232"/>
        <v/>
      </c>
      <c r="IU810" s="1900" t="str">
        <f t="shared" si="233"/>
        <v/>
      </c>
      <c r="IV810" s="1900" t="str">
        <f t="shared" si="234"/>
        <v/>
      </c>
      <c r="IW810" s="1900" t="str">
        <f t="shared" si="235"/>
        <v/>
      </c>
      <c r="IX810" s="1900" t="str">
        <f t="shared" si="236"/>
        <v/>
      </c>
      <c r="IY810" s="1900" t="str">
        <f t="shared" si="237"/>
        <v/>
      </c>
      <c r="IZ810" s="1900" t="str">
        <f t="shared" si="238"/>
        <v/>
      </c>
      <c r="JA810" s="1900" t="str">
        <f t="shared" si="239"/>
        <v/>
      </c>
      <c r="JB810" s="1900" t="str">
        <f t="shared" si="240"/>
        <v/>
      </c>
      <c r="JC810" s="1900" t="str">
        <f t="shared" si="241"/>
        <v/>
      </c>
      <c r="JD810" s="1900" t="str">
        <f t="shared" si="242"/>
        <v/>
      </c>
      <c r="JE810" s="1900" t="str">
        <f t="shared" si="243"/>
        <v/>
      </c>
      <c r="JF810" s="1900" t="str">
        <f t="shared" si="244"/>
        <v/>
      </c>
      <c r="JG810" s="1900" t="str">
        <f t="shared" si="245"/>
        <v/>
      </c>
      <c r="JH810" s="1900" t="str">
        <f t="shared" si="246"/>
        <v/>
      </c>
      <c r="JI810" s="1900" t="str">
        <f t="shared" si="247"/>
        <v/>
      </c>
      <c r="JJ810" s="1900" t="str">
        <f t="shared" si="248"/>
        <v/>
      </c>
      <c r="JK810" s="1900" t="str">
        <f t="shared" si="249"/>
        <v/>
      </c>
      <c r="JL810" s="1900" t="str">
        <f t="shared" si="250"/>
        <v/>
      </c>
      <c r="JM810" s="1900" t="str">
        <f t="shared" si="251"/>
        <v/>
      </c>
      <c r="JN810" s="1900" t="str">
        <f t="shared" si="252"/>
        <v/>
      </c>
      <c r="JO810" s="1900" t="str">
        <f t="shared" si="253"/>
        <v/>
      </c>
      <c r="JP810" s="1900" t="str">
        <f t="shared" si="254"/>
        <v/>
      </c>
      <c r="JQ810" s="1900" t="str">
        <f t="shared" si="255"/>
        <v/>
      </c>
      <c r="JR810" s="1900" t="str">
        <f t="shared" si="256"/>
        <v/>
      </c>
      <c r="JS810" s="1900" t="str">
        <f t="shared" si="257"/>
        <v/>
      </c>
      <c r="JT810" s="1900" t="str">
        <f t="shared" si="258"/>
        <v/>
      </c>
      <c r="JU810" s="1900" t="str">
        <f t="shared" si="259"/>
        <v/>
      </c>
      <c r="JV810" s="1900" t="str">
        <f t="shared" si="260"/>
        <v/>
      </c>
      <c r="JW810" s="1900" t="str">
        <f t="shared" si="261"/>
        <v/>
      </c>
      <c r="JX810" s="1900" t="str">
        <f t="shared" si="262"/>
        <v/>
      </c>
      <c r="JY810" s="1900" t="str">
        <f t="shared" si="263"/>
        <v/>
      </c>
      <c r="JZ810" s="1900" t="str">
        <f t="shared" si="264"/>
        <v/>
      </c>
      <c r="KA810" s="1900" t="str">
        <f t="shared" si="265"/>
        <v/>
      </c>
      <c r="KB810" s="1900" t="str">
        <f t="shared" si="266"/>
        <v/>
      </c>
      <c r="KC810" s="1900" t="str">
        <f t="shared" si="267"/>
        <v/>
      </c>
      <c r="KD810" s="1900" t="str">
        <f t="shared" si="268"/>
        <v/>
      </c>
      <c r="KE810" s="1900" t="str">
        <f t="shared" si="269"/>
        <v/>
      </c>
      <c r="KF810" s="1900" t="str">
        <f t="shared" si="270"/>
        <v/>
      </c>
      <c r="KG810" s="1900" t="str">
        <f t="shared" si="271"/>
        <v/>
      </c>
      <c r="KH810" s="1900" t="str">
        <f t="shared" si="272"/>
        <v/>
      </c>
      <c r="KI810" s="1900" t="str">
        <f t="shared" si="273"/>
        <v/>
      </c>
      <c r="KJ810" s="1900" t="str">
        <f t="shared" si="274"/>
        <v/>
      </c>
      <c r="KK810" s="1900" t="str">
        <f t="shared" si="275"/>
        <v/>
      </c>
      <c r="KL810" s="1900" t="str">
        <f t="shared" si="276"/>
        <v/>
      </c>
      <c r="KM810" s="1900" t="str">
        <f t="shared" si="277"/>
        <v/>
      </c>
      <c r="KN810" s="1900" t="str">
        <f t="shared" si="278"/>
        <v/>
      </c>
      <c r="KO810" s="1900" t="str">
        <f t="shared" si="279"/>
        <v/>
      </c>
      <c r="KP810" s="1900" t="str">
        <f t="shared" si="280"/>
        <v/>
      </c>
      <c r="KQ810" s="1900" t="str">
        <f t="shared" si="281"/>
        <v/>
      </c>
      <c r="KR810" s="1900" t="str">
        <f t="shared" si="282"/>
        <v/>
      </c>
      <c r="KS810" s="1900" t="str">
        <f t="shared" si="283"/>
        <v/>
      </c>
      <c r="KT810" s="1900" t="str">
        <f t="shared" si="284"/>
        <v/>
      </c>
      <c r="KU810" s="1900" t="str">
        <f t="shared" si="285"/>
        <v/>
      </c>
      <c r="KV810" s="1900" t="str">
        <f t="shared" si="286"/>
        <v/>
      </c>
      <c r="KW810" s="1900" t="str">
        <f t="shared" si="287"/>
        <v/>
      </c>
      <c r="KX810" s="1900" t="str">
        <f t="shared" si="288"/>
        <v/>
      </c>
      <c r="KY810" s="1900" t="str">
        <f t="shared" si="289"/>
        <v/>
      </c>
      <c r="KZ810" s="1900" t="str">
        <f t="shared" si="290"/>
        <v/>
      </c>
      <c r="LA810" s="1900" t="str">
        <f t="shared" si="291"/>
        <v/>
      </c>
      <c r="LB810" s="1900" t="str">
        <f t="shared" si="292"/>
        <v/>
      </c>
      <c r="LC810" s="1900" t="str">
        <f t="shared" si="293"/>
        <v/>
      </c>
      <c r="LD810" s="1900" t="str">
        <f t="shared" si="294"/>
        <v/>
      </c>
      <c r="LE810" s="1900" t="str">
        <f t="shared" si="295"/>
        <v/>
      </c>
      <c r="LF810" s="1900" t="str">
        <f t="shared" si="296"/>
        <v/>
      </c>
      <c r="LG810" s="1900" t="str">
        <f t="shared" si="297"/>
        <v/>
      </c>
      <c r="LH810" s="1900" t="str">
        <f t="shared" si="298"/>
        <v/>
      </c>
      <c r="LI810" s="1900" t="str">
        <f t="shared" si="299"/>
        <v/>
      </c>
      <c r="LJ810" s="1900" t="str">
        <f t="shared" si="300"/>
        <v/>
      </c>
      <c r="LK810" s="1900" t="str">
        <f t="shared" si="301"/>
        <v/>
      </c>
      <c r="LL810" s="1900" t="str">
        <f t="shared" si="302"/>
        <v/>
      </c>
      <c r="LM810" s="1900" t="str">
        <f t="shared" si="303"/>
        <v/>
      </c>
      <c r="LN810" s="1900" t="str">
        <f t="shared" si="304"/>
        <v/>
      </c>
      <c r="LO810" s="1900" t="str">
        <f t="shared" si="305"/>
        <v/>
      </c>
      <c r="LP810" s="1900" t="str">
        <f t="shared" si="306"/>
        <v/>
      </c>
      <c r="LQ810" s="1874" t="str">
        <f t="shared" si="307"/>
        <v/>
      </c>
      <c r="LR810" s="1874" t="str">
        <f t="shared" si="308"/>
        <v/>
      </c>
      <c r="LS810" s="1874" t="str">
        <f t="shared" si="309"/>
        <v/>
      </c>
      <c r="LT810" s="1874" t="str">
        <f t="shared" si="310"/>
        <v/>
      </c>
      <c r="LU810" s="1874" t="str">
        <f t="shared" si="311"/>
        <v/>
      </c>
      <c r="LV810" s="1995" t="str">
        <f t="shared" si="312"/>
        <v/>
      </c>
      <c r="LW810" s="1995" t="str">
        <f t="shared" si="313"/>
        <v/>
      </c>
      <c r="LX810" s="1995" t="str">
        <f t="shared" si="314"/>
        <v/>
      </c>
      <c r="LY810" s="1995" t="str">
        <f t="shared" si="315"/>
        <v/>
      </c>
      <c r="LZ810" s="1995" t="str">
        <f t="shared" si="316"/>
        <v/>
      </c>
      <c r="MA810" s="1995" t="str">
        <f t="shared" si="317"/>
        <v/>
      </c>
      <c r="MB810" s="1995" t="str">
        <f t="shared" si="318"/>
        <v/>
      </c>
      <c r="MC810" s="1995" t="str">
        <f t="shared" si="319"/>
        <v/>
      </c>
      <c r="MD810" s="1995" t="str">
        <f t="shared" si="320"/>
        <v/>
      </c>
      <c r="ME810" s="1995" t="str">
        <f t="shared" si="321"/>
        <v/>
      </c>
      <c r="MF810" s="1995" t="str">
        <f t="shared" si="322"/>
        <v/>
      </c>
      <c r="MG810" s="1995" t="str">
        <f t="shared" si="323"/>
        <v/>
      </c>
      <c r="MH810" s="1995" t="str">
        <f t="shared" si="324"/>
        <v/>
      </c>
      <c r="MI810" s="1995" t="str">
        <f t="shared" si="325"/>
        <v/>
      </c>
      <c r="MJ810" s="1995" t="str">
        <f t="shared" si="326"/>
        <v/>
      </c>
      <c r="MK810" s="1995" t="str">
        <f t="shared" si="327"/>
        <v/>
      </c>
      <c r="ML810" s="1995" t="str">
        <f t="shared" si="328"/>
        <v/>
      </c>
      <c r="MM810" s="1995" t="str">
        <f t="shared" si="329"/>
        <v/>
      </c>
      <c r="MN810" s="1995" t="str">
        <f t="shared" si="330"/>
        <v/>
      </c>
      <c r="MO810" s="1995" t="str">
        <f t="shared" si="331"/>
        <v/>
      </c>
      <c r="MP810" s="1874">
        <f t="shared" si="338"/>
        <v>0</v>
      </c>
      <c r="MQ810" s="1874">
        <f t="shared" si="339"/>
        <v>0</v>
      </c>
      <c r="MR810" s="1874">
        <f t="shared" si="340"/>
        <v>0</v>
      </c>
      <c r="MS810" s="1874">
        <f t="shared" si="341"/>
        <v>0</v>
      </c>
      <c r="MT810" s="1874">
        <f t="shared" si="342"/>
        <v>0</v>
      </c>
      <c r="MU810" s="1874">
        <f t="shared" si="343"/>
        <v>0</v>
      </c>
      <c r="MV810" s="1874">
        <f t="shared" si="344"/>
        <v>0</v>
      </c>
      <c r="MW810" s="1874">
        <f t="shared" si="345"/>
        <v>0</v>
      </c>
      <c r="MX810" s="1874">
        <f t="shared" si="346"/>
        <v>0</v>
      </c>
      <c r="MY810" s="1874">
        <f t="shared" si="347"/>
        <v>0</v>
      </c>
      <c r="MZ810" s="1874">
        <f t="shared" si="332"/>
        <v>0</v>
      </c>
      <c r="NA810" s="1874">
        <f t="shared" si="333"/>
        <v>0</v>
      </c>
      <c r="NB810" s="1874">
        <f t="shared" si="334"/>
        <v>0</v>
      </c>
      <c r="NC810" s="1874">
        <f t="shared" si="335"/>
        <v>0</v>
      </c>
      <c r="ND810" s="1874">
        <f t="shared" si="336"/>
        <v>0</v>
      </c>
    </row>
    <row r="811" spans="1:368" ht="13.95" customHeight="1">
      <c r="A811" s="1896" t="str">
        <f t="shared" si="337"/>
        <v/>
      </c>
      <c r="B811" s="2212">
        <f>'Part VI-Revenues &amp; Expenses'!B42</f>
        <v>0</v>
      </c>
      <c r="C811" s="2213">
        <f>'Part VI-Revenues &amp; Expenses'!C42</f>
        <v>0</v>
      </c>
      <c r="D811" s="2214">
        <f>'Part VI-Revenues &amp; Expenses'!D42</f>
        <v>0</v>
      </c>
      <c r="E811" s="2215">
        <f>'Part VI-Revenues &amp; Expenses'!E42</f>
        <v>0</v>
      </c>
      <c r="F811" s="2215">
        <f>'Part VI-Revenues &amp; Expenses'!F42</f>
        <v>0</v>
      </c>
      <c r="G811" s="2215">
        <f>'Part VI-Revenues &amp; Expenses'!G42</f>
        <v>0</v>
      </c>
      <c r="H811" s="2215">
        <f>'Part VI-Revenues &amp; Expenses'!H42</f>
        <v>0</v>
      </c>
      <c r="I811" s="2215">
        <f>'Part VI-Revenues &amp; Expenses'!I42</f>
        <v>0</v>
      </c>
      <c r="J811" s="2215">
        <f>'Part VI-Revenues &amp; Expenses'!J42</f>
        <v>0</v>
      </c>
      <c r="K811" s="2216">
        <f>'Part VI-Revenues &amp; Expenses'!K42</f>
        <v>0</v>
      </c>
      <c r="L811" s="1899">
        <f t="shared" si="0"/>
        <v>0</v>
      </c>
      <c r="M811" s="1899">
        <f t="shared" si="1"/>
        <v>0</v>
      </c>
      <c r="N811" s="2074">
        <f>'Part VI-Revenues &amp; Expenses'!N42</f>
        <v>0</v>
      </c>
      <c r="O811" s="2074">
        <f>'Part VI-Revenues &amp; Expenses'!O42</f>
        <v>0</v>
      </c>
      <c r="P811" s="2074">
        <f>'Part VI-Revenues &amp; Expenses'!P42</f>
        <v>0</v>
      </c>
      <c r="Q811" s="1732">
        <f>'Part VI-Revenues &amp; Expenses'!Q42</f>
        <v>0</v>
      </c>
      <c r="R811" s="1926"/>
      <c r="S811" s="2148"/>
      <c r="T811" s="1910"/>
      <c r="U811" s="1910"/>
      <c r="V811" s="1910"/>
      <c r="W811" s="1910"/>
      <c r="X811" s="1995" t="str">
        <f t="shared" si="2"/>
        <v/>
      </c>
      <c r="Y811" s="1995" t="str">
        <f t="shared" si="3"/>
        <v/>
      </c>
      <c r="Z811" s="1995" t="str">
        <f t="shared" si="4"/>
        <v/>
      </c>
      <c r="AA811" s="1995" t="str">
        <f t="shared" si="5"/>
        <v/>
      </c>
      <c r="AB811" s="1995" t="str">
        <f t="shared" si="6"/>
        <v/>
      </c>
      <c r="AC811" s="1995" t="str">
        <f t="shared" si="7"/>
        <v/>
      </c>
      <c r="AD811" s="1995" t="str">
        <f t="shared" si="8"/>
        <v/>
      </c>
      <c r="AE811" s="1995" t="str">
        <f t="shared" si="9"/>
        <v/>
      </c>
      <c r="AF811" s="1995" t="str">
        <f t="shared" si="10"/>
        <v/>
      </c>
      <c r="AG811" s="1995" t="str">
        <f t="shared" si="11"/>
        <v/>
      </c>
      <c r="AH811" s="1995" t="str">
        <f t="shared" si="12"/>
        <v/>
      </c>
      <c r="AI811" s="1995" t="str">
        <f t="shared" si="13"/>
        <v/>
      </c>
      <c r="AJ811" s="1995" t="str">
        <f t="shared" si="14"/>
        <v/>
      </c>
      <c r="AK811" s="1995" t="str">
        <f t="shared" si="15"/>
        <v/>
      </c>
      <c r="AL811" s="1995" t="str">
        <f t="shared" si="16"/>
        <v/>
      </c>
      <c r="AM811" s="1995" t="str">
        <f t="shared" si="17"/>
        <v/>
      </c>
      <c r="AN811" s="1995" t="str">
        <f t="shared" si="18"/>
        <v/>
      </c>
      <c r="AO811" s="1995" t="str">
        <f t="shared" si="19"/>
        <v/>
      </c>
      <c r="AP811" s="1995" t="str">
        <f t="shared" si="20"/>
        <v/>
      </c>
      <c r="AQ811" s="1995" t="str">
        <f t="shared" si="21"/>
        <v/>
      </c>
      <c r="AR811" s="1995" t="str">
        <f t="shared" si="22"/>
        <v/>
      </c>
      <c r="AS811" s="1995" t="str">
        <f t="shared" si="23"/>
        <v/>
      </c>
      <c r="AT811" s="1995" t="str">
        <f t="shared" si="24"/>
        <v/>
      </c>
      <c r="AU811" s="1995" t="str">
        <f t="shared" si="25"/>
        <v/>
      </c>
      <c r="AV811" s="1995" t="str">
        <f t="shared" si="26"/>
        <v/>
      </c>
      <c r="AW811" s="1995" t="str">
        <f t="shared" si="27"/>
        <v/>
      </c>
      <c r="AX811" s="1995" t="str">
        <f t="shared" si="28"/>
        <v/>
      </c>
      <c r="AY811" s="1995" t="str">
        <f t="shared" si="29"/>
        <v/>
      </c>
      <c r="AZ811" s="1995" t="str">
        <f t="shared" si="30"/>
        <v/>
      </c>
      <c r="BA811" s="1995" t="str">
        <f t="shared" si="31"/>
        <v/>
      </c>
      <c r="BB811" s="1995" t="str">
        <f t="shared" si="32"/>
        <v/>
      </c>
      <c r="BC811" s="1995" t="str">
        <f t="shared" si="33"/>
        <v/>
      </c>
      <c r="BD811" s="1995" t="str">
        <f t="shared" si="34"/>
        <v/>
      </c>
      <c r="BE811" s="1995" t="str">
        <f t="shared" si="35"/>
        <v/>
      </c>
      <c r="BF811" s="1995" t="str">
        <f t="shared" si="36"/>
        <v/>
      </c>
      <c r="BG811" s="1995" t="str">
        <f t="shared" si="37"/>
        <v/>
      </c>
      <c r="BH811" s="1995" t="str">
        <f t="shared" si="38"/>
        <v/>
      </c>
      <c r="BI811" s="1995" t="str">
        <f t="shared" si="39"/>
        <v/>
      </c>
      <c r="BJ811" s="1995" t="str">
        <f t="shared" si="40"/>
        <v/>
      </c>
      <c r="BK811" s="1995" t="str">
        <f t="shared" si="41"/>
        <v/>
      </c>
      <c r="BL811" s="1995" t="str">
        <f t="shared" si="42"/>
        <v/>
      </c>
      <c r="BM811" s="1995" t="str">
        <f t="shared" si="43"/>
        <v/>
      </c>
      <c r="BN811" s="1995" t="str">
        <f t="shared" si="44"/>
        <v/>
      </c>
      <c r="BO811" s="1995" t="str">
        <f t="shared" si="45"/>
        <v/>
      </c>
      <c r="BP811" s="1995" t="str">
        <f t="shared" si="46"/>
        <v/>
      </c>
      <c r="BQ811" s="1995" t="str">
        <f t="shared" si="47"/>
        <v/>
      </c>
      <c r="BR811" s="1995" t="str">
        <f t="shared" si="48"/>
        <v/>
      </c>
      <c r="BS811" s="1995" t="str">
        <f t="shared" si="49"/>
        <v/>
      </c>
      <c r="BT811" s="1995" t="str">
        <f t="shared" si="50"/>
        <v/>
      </c>
      <c r="BU811" s="1995" t="str">
        <f t="shared" si="51"/>
        <v/>
      </c>
      <c r="BV811" s="1995" t="str">
        <f t="shared" si="52"/>
        <v/>
      </c>
      <c r="BW811" s="1995" t="str">
        <f t="shared" si="53"/>
        <v/>
      </c>
      <c r="BX811" s="1995" t="str">
        <f t="shared" si="54"/>
        <v/>
      </c>
      <c r="BY811" s="1995" t="str">
        <f t="shared" si="55"/>
        <v/>
      </c>
      <c r="BZ811" s="1995" t="str">
        <f t="shared" si="56"/>
        <v/>
      </c>
      <c r="CA811" s="1995" t="str">
        <f t="shared" si="57"/>
        <v/>
      </c>
      <c r="CB811" s="1995" t="str">
        <f t="shared" si="58"/>
        <v/>
      </c>
      <c r="CC811" s="1995" t="str">
        <f t="shared" si="59"/>
        <v/>
      </c>
      <c r="CD811" s="1995" t="str">
        <f t="shared" si="60"/>
        <v/>
      </c>
      <c r="CE811" s="1995" t="str">
        <f t="shared" si="61"/>
        <v/>
      </c>
      <c r="CF811" s="1995" t="str">
        <f t="shared" si="62"/>
        <v/>
      </c>
      <c r="CG811" s="1995" t="str">
        <f t="shared" si="63"/>
        <v/>
      </c>
      <c r="CH811" s="1995" t="str">
        <f t="shared" si="64"/>
        <v/>
      </c>
      <c r="CI811" s="1995" t="str">
        <f t="shared" si="65"/>
        <v/>
      </c>
      <c r="CJ811" s="1995" t="str">
        <f t="shared" si="66"/>
        <v/>
      </c>
      <c r="CK811" s="1995" t="str">
        <f t="shared" si="67"/>
        <v/>
      </c>
      <c r="CL811" s="1995" t="str">
        <f t="shared" si="68"/>
        <v/>
      </c>
      <c r="CM811" s="1995" t="str">
        <f t="shared" si="69"/>
        <v/>
      </c>
      <c r="CN811" s="1995" t="str">
        <f t="shared" si="70"/>
        <v/>
      </c>
      <c r="CO811" s="1995" t="str">
        <f t="shared" si="71"/>
        <v/>
      </c>
      <c r="CP811" s="1995" t="str">
        <f t="shared" si="72"/>
        <v/>
      </c>
      <c r="CQ811" s="1995" t="str">
        <f t="shared" si="73"/>
        <v/>
      </c>
      <c r="CR811" s="1995" t="str">
        <f t="shared" si="74"/>
        <v/>
      </c>
      <c r="CS811" s="1995" t="str">
        <f t="shared" si="75"/>
        <v/>
      </c>
      <c r="CT811" s="1995" t="str">
        <f t="shared" si="76"/>
        <v/>
      </c>
      <c r="CU811" s="1995" t="str">
        <f t="shared" si="77"/>
        <v/>
      </c>
      <c r="CV811" s="1995" t="str">
        <f t="shared" si="78"/>
        <v/>
      </c>
      <c r="CW811" s="1995" t="str">
        <f t="shared" si="79"/>
        <v/>
      </c>
      <c r="CX811" s="1995" t="str">
        <f t="shared" si="80"/>
        <v/>
      </c>
      <c r="CY811" s="1995" t="str">
        <f t="shared" si="81"/>
        <v/>
      </c>
      <c r="CZ811" s="1995" t="str">
        <f t="shared" si="82"/>
        <v/>
      </c>
      <c r="DA811" s="1995" t="str">
        <f t="shared" si="83"/>
        <v/>
      </c>
      <c r="DB811" s="1995" t="str">
        <f t="shared" si="84"/>
        <v/>
      </c>
      <c r="DC811" s="1995" t="str">
        <f t="shared" si="85"/>
        <v/>
      </c>
      <c r="DD811" s="1995" t="str">
        <f t="shared" si="86"/>
        <v/>
      </c>
      <c r="DE811" s="1995" t="str">
        <f t="shared" si="87"/>
        <v/>
      </c>
      <c r="DF811" s="1995" t="str">
        <f t="shared" si="88"/>
        <v/>
      </c>
      <c r="DG811" s="1995" t="str">
        <f t="shared" si="89"/>
        <v/>
      </c>
      <c r="DH811" s="1995" t="str">
        <f t="shared" si="90"/>
        <v/>
      </c>
      <c r="DI811" s="1995" t="str">
        <f t="shared" si="91"/>
        <v/>
      </c>
      <c r="DJ811" s="1995" t="str">
        <f t="shared" si="92"/>
        <v/>
      </c>
      <c r="DK811" s="1995" t="str">
        <f t="shared" si="93"/>
        <v/>
      </c>
      <c r="DL811" s="1995" t="str">
        <f t="shared" si="94"/>
        <v/>
      </c>
      <c r="DM811" s="1995" t="str">
        <f t="shared" si="95"/>
        <v/>
      </c>
      <c r="DN811" s="1995" t="str">
        <f t="shared" si="96"/>
        <v/>
      </c>
      <c r="DO811" s="1995" t="str">
        <f t="shared" si="97"/>
        <v/>
      </c>
      <c r="DP811" s="1995" t="str">
        <f t="shared" si="98"/>
        <v/>
      </c>
      <c r="DQ811" s="1995" t="str">
        <f t="shared" si="99"/>
        <v/>
      </c>
      <c r="DR811" s="1995" t="str">
        <f t="shared" si="100"/>
        <v/>
      </c>
      <c r="DS811" s="1995" t="str">
        <f t="shared" si="101"/>
        <v/>
      </c>
      <c r="DT811" s="1995" t="str">
        <f t="shared" si="102"/>
        <v/>
      </c>
      <c r="DU811" s="1995" t="str">
        <f t="shared" si="103"/>
        <v/>
      </c>
      <c r="DV811" s="1995" t="str">
        <f t="shared" si="104"/>
        <v/>
      </c>
      <c r="DW811" s="1995" t="str">
        <f t="shared" si="105"/>
        <v/>
      </c>
      <c r="DX811" s="1995" t="str">
        <f t="shared" si="106"/>
        <v/>
      </c>
      <c r="DY811" s="1995" t="str">
        <f t="shared" si="107"/>
        <v/>
      </c>
      <c r="DZ811" s="1995" t="str">
        <f t="shared" si="108"/>
        <v/>
      </c>
      <c r="EA811" s="1995" t="str">
        <f t="shared" si="109"/>
        <v/>
      </c>
      <c r="EB811" s="1995" t="str">
        <f t="shared" si="110"/>
        <v/>
      </c>
      <c r="EC811" s="1995" t="str">
        <f t="shared" si="111"/>
        <v/>
      </c>
      <c r="ED811" s="1995" t="str">
        <f t="shared" si="112"/>
        <v/>
      </c>
      <c r="EE811" s="1995" t="str">
        <f t="shared" si="113"/>
        <v/>
      </c>
      <c r="EF811" s="1995" t="str">
        <f t="shared" si="114"/>
        <v/>
      </c>
      <c r="EG811" s="1995" t="str">
        <f t="shared" si="115"/>
        <v/>
      </c>
      <c r="EH811" s="1995" t="str">
        <f t="shared" si="116"/>
        <v/>
      </c>
      <c r="EI811" s="1995" t="str">
        <f t="shared" si="117"/>
        <v/>
      </c>
      <c r="EJ811" s="1995" t="str">
        <f t="shared" si="118"/>
        <v/>
      </c>
      <c r="EK811" s="1995" t="str">
        <f t="shared" si="119"/>
        <v/>
      </c>
      <c r="EL811" s="1995" t="str">
        <f t="shared" si="120"/>
        <v/>
      </c>
      <c r="EM811" s="1995" t="str">
        <f t="shared" si="121"/>
        <v/>
      </c>
      <c r="EN811" s="1995" t="str">
        <f t="shared" si="122"/>
        <v/>
      </c>
      <c r="EO811" s="1995" t="str">
        <f t="shared" si="123"/>
        <v/>
      </c>
      <c r="EP811" s="1995" t="str">
        <f t="shared" si="124"/>
        <v/>
      </c>
      <c r="EQ811" s="1995" t="str">
        <f t="shared" si="125"/>
        <v/>
      </c>
      <c r="ER811" s="1995" t="str">
        <f t="shared" si="126"/>
        <v/>
      </c>
      <c r="ES811" s="1995" t="str">
        <f t="shared" si="127"/>
        <v/>
      </c>
      <c r="ET811" s="1995" t="str">
        <f t="shared" si="128"/>
        <v/>
      </c>
      <c r="EU811" s="1995" t="str">
        <f t="shared" si="129"/>
        <v/>
      </c>
      <c r="EV811" s="1995" t="str">
        <f t="shared" si="130"/>
        <v/>
      </c>
      <c r="EW811" s="1995" t="str">
        <f t="shared" si="131"/>
        <v/>
      </c>
      <c r="EX811" s="1995" t="str">
        <f t="shared" si="132"/>
        <v/>
      </c>
      <c r="EY811" s="1995" t="str">
        <f t="shared" si="133"/>
        <v/>
      </c>
      <c r="EZ811" s="1995" t="str">
        <f t="shared" si="134"/>
        <v/>
      </c>
      <c r="FA811" s="1995" t="str">
        <f t="shared" si="135"/>
        <v/>
      </c>
      <c r="FB811" s="1995" t="str">
        <f t="shared" si="136"/>
        <v/>
      </c>
      <c r="FC811" s="1995" t="str">
        <f t="shared" si="137"/>
        <v/>
      </c>
      <c r="FD811" s="1995" t="str">
        <f t="shared" si="138"/>
        <v/>
      </c>
      <c r="FE811" s="1995" t="str">
        <f t="shared" si="139"/>
        <v/>
      </c>
      <c r="FF811" s="1995" t="str">
        <f t="shared" si="140"/>
        <v/>
      </c>
      <c r="FG811" s="1995" t="str">
        <f t="shared" si="141"/>
        <v/>
      </c>
      <c r="FH811" s="1995" t="str">
        <f t="shared" si="142"/>
        <v/>
      </c>
      <c r="FI811" s="1995" t="str">
        <f t="shared" si="143"/>
        <v/>
      </c>
      <c r="FJ811" s="1995" t="str">
        <f t="shared" si="144"/>
        <v/>
      </c>
      <c r="FK811" s="1995" t="str">
        <f t="shared" si="145"/>
        <v/>
      </c>
      <c r="FL811" s="1995" t="str">
        <f t="shared" si="146"/>
        <v/>
      </c>
      <c r="FM811" s="1995" t="str">
        <f t="shared" si="147"/>
        <v/>
      </c>
      <c r="FN811" s="1995" t="str">
        <f t="shared" si="148"/>
        <v/>
      </c>
      <c r="FO811" s="1995" t="str">
        <f t="shared" si="149"/>
        <v/>
      </c>
      <c r="FP811" s="1995" t="str">
        <f t="shared" si="150"/>
        <v/>
      </c>
      <c r="FQ811" s="1995" t="str">
        <f t="shared" si="151"/>
        <v/>
      </c>
      <c r="FR811" s="1995" t="str">
        <f t="shared" si="152"/>
        <v/>
      </c>
      <c r="FS811" s="1995" t="str">
        <f t="shared" si="153"/>
        <v/>
      </c>
      <c r="FT811" s="1995" t="str">
        <f t="shared" si="154"/>
        <v/>
      </c>
      <c r="FU811" s="1995" t="str">
        <f t="shared" si="155"/>
        <v/>
      </c>
      <c r="FV811" s="1995" t="str">
        <f t="shared" si="156"/>
        <v/>
      </c>
      <c r="FW811" s="1995" t="str">
        <f t="shared" si="157"/>
        <v/>
      </c>
      <c r="FX811" s="1995" t="str">
        <f t="shared" si="158"/>
        <v/>
      </c>
      <c r="FY811" s="1995" t="str">
        <f t="shared" si="159"/>
        <v/>
      </c>
      <c r="FZ811" s="1995" t="str">
        <f t="shared" si="160"/>
        <v/>
      </c>
      <c r="GA811" s="1995" t="str">
        <f t="shared" si="161"/>
        <v/>
      </c>
      <c r="GB811" s="1995" t="str">
        <f t="shared" si="162"/>
        <v/>
      </c>
      <c r="GC811" s="1995" t="str">
        <f t="shared" si="163"/>
        <v/>
      </c>
      <c r="GD811" s="1995" t="str">
        <f t="shared" si="164"/>
        <v/>
      </c>
      <c r="GE811" s="1995" t="str">
        <f t="shared" si="165"/>
        <v/>
      </c>
      <c r="GF811" s="1995" t="str">
        <f t="shared" si="166"/>
        <v/>
      </c>
      <c r="GG811" s="1995" t="str">
        <f t="shared" si="167"/>
        <v/>
      </c>
      <c r="GH811" s="1995" t="str">
        <f t="shared" si="168"/>
        <v/>
      </c>
      <c r="GI811" s="1995" t="str">
        <f t="shared" si="169"/>
        <v/>
      </c>
      <c r="GJ811" s="1995" t="str">
        <f t="shared" si="170"/>
        <v/>
      </c>
      <c r="GK811" s="1995" t="str">
        <f t="shared" si="171"/>
        <v/>
      </c>
      <c r="GL811" s="1995" t="str">
        <f t="shared" si="172"/>
        <v/>
      </c>
      <c r="GM811" s="1995" t="str">
        <f t="shared" si="173"/>
        <v/>
      </c>
      <c r="GN811" s="1995" t="str">
        <f t="shared" si="174"/>
        <v/>
      </c>
      <c r="GO811" s="1995" t="str">
        <f t="shared" si="175"/>
        <v/>
      </c>
      <c r="GP811" s="1995" t="str">
        <f t="shared" si="176"/>
        <v/>
      </c>
      <c r="GQ811" s="1995" t="str">
        <f t="shared" si="177"/>
        <v/>
      </c>
      <c r="GR811" s="1995" t="str">
        <f t="shared" si="178"/>
        <v/>
      </c>
      <c r="GS811" s="1995" t="str">
        <f t="shared" si="179"/>
        <v/>
      </c>
      <c r="GT811" s="1995" t="str">
        <f t="shared" si="180"/>
        <v/>
      </c>
      <c r="GU811" s="1995" t="str">
        <f t="shared" si="181"/>
        <v/>
      </c>
      <c r="GV811" s="1995" t="str">
        <f t="shared" si="182"/>
        <v/>
      </c>
      <c r="GW811" s="1995" t="str">
        <f t="shared" si="183"/>
        <v/>
      </c>
      <c r="GX811" s="1995" t="str">
        <f t="shared" si="184"/>
        <v/>
      </c>
      <c r="GY811" s="1995" t="str">
        <f t="shared" si="185"/>
        <v/>
      </c>
      <c r="GZ811" s="1995" t="str">
        <f t="shared" si="186"/>
        <v/>
      </c>
      <c r="HA811" s="1995" t="str">
        <f t="shared" si="187"/>
        <v/>
      </c>
      <c r="HB811" s="1995" t="str">
        <f t="shared" si="188"/>
        <v/>
      </c>
      <c r="HC811" s="1995" t="str">
        <f t="shared" si="189"/>
        <v/>
      </c>
      <c r="HD811" s="1995" t="str">
        <f t="shared" si="190"/>
        <v/>
      </c>
      <c r="HE811" s="1995" t="str">
        <f t="shared" si="191"/>
        <v/>
      </c>
      <c r="HF811" s="1995" t="str">
        <f t="shared" si="192"/>
        <v/>
      </c>
      <c r="HG811" s="1995" t="str">
        <f t="shared" si="193"/>
        <v/>
      </c>
      <c r="HH811" s="1995" t="str">
        <f t="shared" si="194"/>
        <v/>
      </c>
      <c r="HI811" s="1995" t="str">
        <f t="shared" si="195"/>
        <v/>
      </c>
      <c r="HJ811" s="1995" t="str">
        <f t="shared" si="196"/>
        <v/>
      </c>
      <c r="HK811" s="1995" t="str">
        <f t="shared" si="197"/>
        <v/>
      </c>
      <c r="HL811" s="1995" t="str">
        <f t="shared" si="198"/>
        <v/>
      </c>
      <c r="HM811" s="1995" t="str">
        <f t="shared" si="199"/>
        <v/>
      </c>
      <c r="HN811" s="1995" t="str">
        <f t="shared" si="200"/>
        <v/>
      </c>
      <c r="HO811" s="1995" t="str">
        <f t="shared" si="201"/>
        <v/>
      </c>
      <c r="HP811" s="1995" t="str">
        <f t="shared" si="202"/>
        <v/>
      </c>
      <c r="HQ811" s="1995" t="str">
        <f t="shared" si="203"/>
        <v/>
      </c>
      <c r="HR811" s="1995" t="str">
        <f t="shared" si="204"/>
        <v/>
      </c>
      <c r="HS811" s="1995" t="str">
        <f t="shared" si="205"/>
        <v/>
      </c>
      <c r="HT811" s="1995" t="str">
        <f t="shared" si="206"/>
        <v/>
      </c>
      <c r="HU811" s="1995" t="str">
        <f t="shared" si="207"/>
        <v/>
      </c>
      <c r="HV811" s="1995" t="str">
        <f t="shared" si="208"/>
        <v/>
      </c>
      <c r="HW811" s="1995" t="str">
        <f t="shared" si="209"/>
        <v/>
      </c>
      <c r="HX811" s="1995" t="str">
        <f t="shared" si="210"/>
        <v/>
      </c>
      <c r="HY811" s="1995" t="str">
        <f t="shared" si="211"/>
        <v/>
      </c>
      <c r="HZ811" s="1900" t="str">
        <f t="shared" si="212"/>
        <v/>
      </c>
      <c r="IA811" s="1900" t="str">
        <f t="shared" si="213"/>
        <v/>
      </c>
      <c r="IB811" s="1900" t="str">
        <f t="shared" si="214"/>
        <v/>
      </c>
      <c r="IC811" s="1900" t="str">
        <f t="shared" si="215"/>
        <v/>
      </c>
      <c r="ID811" s="1900" t="str">
        <f t="shared" si="216"/>
        <v/>
      </c>
      <c r="IE811" s="1900" t="str">
        <f t="shared" si="217"/>
        <v/>
      </c>
      <c r="IF811" s="1900" t="str">
        <f t="shared" si="218"/>
        <v/>
      </c>
      <c r="IG811" s="1900" t="str">
        <f t="shared" si="219"/>
        <v/>
      </c>
      <c r="IH811" s="1900" t="str">
        <f t="shared" si="220"/>
        <v/>
      </c>
      <c r="II811" s="1900" t="str">
        <f t="shared" si="221"/>
        <v/>
      </c>
      <c r="IJ811" s="1900" t="str">
        <f t="shared" si="222"/>
        <v/>
      </c>
      <c r="IK811" s="1900" t="str">
        <f t="shared" si="223"/>
        <v/>
      </c>
      <c r="IL811" s="1900" t="str">
        <f t="shared" si="224"/>
        <v/>
      </c>
      <c r="IM811" s="1900" t="str">
        <f t="shared" si="225"/>
        <v/>
      </c>
      <c r="IN811" s="1900" t="str">
        <f t="shared" si="226"/>
        <v/>
      </c>
      <c r="IO811" s="1900" t="str">
        <f t="shared" si="227"/>
        <v/>
      </c>
      <c r="IP811" s="1900" t="str">
        <f t="shared" si="228"/>
        <v/>
      </c>
      <c r="IQ811" s="1900" t="str">
        <f t="shared" si="229"/>
        <v/>
      </c>
      <c r="IR811" s="1900" t="str">
        <f t="shared" si="230"/>
        <v/>
      </c>
      <c r="IS811" s="1900" t="str">
        <f t="shared" si="231"/>
        <v/>
      </c>
      <c r="IT811" s="1900" t="str">
        <f t="shared" si="232"/>
        <v/>
      </c>
      <c r="IU811" s="1900" t="str">
        <f t="shared" si="233"/>
        <v/>
      </c>
      <c r="IV811" s="1900" t="str">
        <f t="shared" si="234"/>
        <v/>
      </c>
      <c r="IW811" s="1900" t="str">
        <f t="shared" si="235"/>
        <v/>
      </c>
      <c r="IX811" s="1900" t="str">
        <f t="shared" si="236"/>
        <v/>
      </c>
      <c r="IY811" s="1900" t="str">
        <f t="shared" si="237"/>
        <v/>
      </c>
      <c r="IZ811" s="1900" t="str">
        <f t="shared" si="238"/>
        <v/>
      </c>
      <c r="JA811" s="1900" t="str">
        <f t="shared" si="239"/>
        <v/>
      </c>
      <c r="JB811" s="1900" t="str">
        <f t="shared" si="240"/>
        <v/>
      </c>
      <c r="JC811" s="1900" t="str">
        <f t="shared" si="241"/>
        <v/>
      </c>
      <c r="JD811" s="1900" t="str">
        <f t="shared" si="242"/>
        <v/>
      </c>
      <c r="JE811" s="1900" t="str">
        <f t="shared" si="243"/>
        <v/>
      </c>
      <c r="JF811" s="1900" t="str">
        <f t="shared" si="244"/>
        <v/>
      </c>
      <c r="JG811" s="1900" t="str">
        <f t="shared" si="245"/>
        <v/>
      </c>
      <c r="JH811" s="1900" t="str">
        <f t="shared" si="246"/>
        <v/>
      </c>
      <c r="JI811" s="1900" t="str">
        <f t="shared" si="247"/>
        <v/>
      </c>
      <c r="JJ811" s="1900" t="str">
        <f t="shared" si="248"/>
        <v/>
      </c>
      <c r="JK811" s="1900" t="str">
        <f t="shared" si="249"/>
        <v/>
      </c>
      <c r="JL811" s="1900" t="str">
        <f t="shared" si="250"/>
        <v/>
      </c>
      <c r="JM811" s="1900" t="str">
        <f t="shared" si="251"/>
        <v/>
      </c>
      <c r="JN811" s="1900" t="str">
        <f t="shared" si="252"/>
        <v/>
      </c>
      <c r="JO811" s="1900" t="str">
        <f t="shared" si="253"/>
        <v/>
      </c>
      <c r="JP811" s="1900" t="str">
        <f t="shared" si="254"/>
        <v/>
      </c>
      <c r="JQ811" s="1900" t="str">
        <f t="shared" si="255"/>
        <v/>
      </c>
      <c r="JR811" s="1900" t="str">
        <f t="shared" si="256"/>
        <v/>
      </c>
      <c r="JS811" s="1900" t="str">
        <f t="shared" si="257"/>
        <v/>
      </c>
      <c r="JT811" s="1900" t="str">
        <f t="shared" si="258"/>
        <v/>
      </c>
      <c r="JU811" s="1900" t="str">
        <f t="shared" si="259"/>
        <v/>
      </c>
      <c r="JV811" s="1900" t="str">
        <f t="shared" si="260"/>
        <v/>
      </c>
      <c r="JW811" s="1900" t="str">
        <f t="shared" si="261"/>
        <v/>
      </c>
      <c r="JX811" s="1900" t="str">
        <f t="shared" si="262"/>
        <v/>
      </c>
      <c r="JY811" s="1900" t="str">
        <f t="shared" si="263"/>
        <v/>
      </c>
      <c r="JZ811" s="1900" t="str">
        <f t="shared" si="264"/>
        <v/>
      </c>
      <c r="KA811" s="1900" t="str">
        <f t="shared" si="265"/>
        <v/>
      </c>
      <c r="KB811" s="1900" t="str">
        <f t="shared" si="266"/>
        <v/>
      </c>
      <c r="KC811" s="1900" t="str">
        <f t="shared" si="267"/>
        <v/>
      </c>
      <c r="KD811" s="1900" t="str">
        <f t="shared" si="268"/>
        <v/>
      </c>
      <c r="KE811" s="1900" t="str">
        <f t="shared" si="269"/>
        <v/>
      </c>
      <c r="KF811" s="1900" t="str">
        <f t="shared" si="270"/>
        <v/>
      </c>
      <c r="KG811" s="1900" t="str">
        <f t="shared" si="271"/>
        <v/>
      </c>
      <c r="KH811" s="1900" t="str">
        <f t="shared" si="272"/>
        <v/>
      </c>
      <c r="KI811" s="1900" t="str">
        <f t="shared" si="273"/>
        <v/>
      </c>
      <c r="KJ811" s="1900" t="str">
        <f t="shared" si="274"/>
        <v/>
      </c>
      <c r="KK811" s="1900" t="str">
        <f t="shared" si="275"/>
        <v/>
      </c>
      <c r="KL811" s="1900" t="str">
        <f t="shared" si="276"/>
        <v/>
      </c>
      <c r="KM811" s="1900" t="str">
        <f t="shared" si="277"/>
        <v/>
      </c>
      <c r="KN811" s="1900" t="str">
        <f t="shared" si="278"/>
        <v/>
      </c>
      <c r="KO811" s="1900" t="str">
        <f t="shared" si="279"/>
        <v/>
      </c>
      <c r="KP811" s="1900" t="str">
        <f t="shared" si="280"/>
        <v/>
      </c>
      <c r="KQ811" s="1900" t="str">
        <f t="shared" si="281"/>
        <v/>
      </c>
      <c r="KR811" s="1900" t="str">
        <f t="shared" si="282"/>
        <v/>
      </c>
      <c r="KS811" s="1900" t="str">
        <f t="shared" si="283"/>
        <v/>
      </c>
      <c r="KT811" s="1900" t="str">
        <f t="shared" si="284"/>
        <v/>
      </c>
      <c r="KU811" s="1900" t="str">
        <f t="shared" si="285"/>
        <v/>
      </c>
      <c r="KV811" s="1900" t="str">
        <f t="shared" si="286"/>
        <v/>
      </c>
      <c r="KW811" s="1900" t="str">
        <f t="shared" si="287"/>
        <v/>
      </c>
      <c r="KX811" s="1900" t="str">
        <f t="shared" si="288"/>
        <v/>
      </c>
      <c r="KY811" s="1900" t="str">
        <f t="shared" si="289"/>
        <v/>
      </c>
      <c r="KZ811" s="1900" t="str">
        <f t="shared" si="290"/>
        <v/>
      </c>
      <c r="LA811" s="1900" t="str">
        <f t="shared" si="291"/>
        <v/>
      </c>
      <c r="LB811" s="1900" t="str">
        <f t="shared" si="292"/>
        <v/>
      </c>
      <c r="LC811" s="1900" t="str">
        <f t="shared" si="293"/>
        <v/>
      </c>
      <c r="LD811" s="1900" t="str">
        <f t="shared" si="294"/>
        <v/>
      </c>
      <c r="LE811" s="1900" t="str">
        <f t="shared" si="295"/>
        <v/>
      </c>
      <c r="LF811" s="1900" t="str">
        <f t="shared" si="296"/>
        <v/>
      </c>
      <c r="LG811" s="1900" t="str">
        <f t="shared" si="297"/>
        <v/>
      </c>
      <c r="LH811" s="1900" t="str">
        <f t="shared" si="298"/>
        <v/>
      </c>
      <c r="LI811" s="1900" t="str">
        <f t="shared" si="299"/>
        <v/>
      </c>
      <c r="LJ811" s="1900" t="str">
        <f t="shared" si="300"/>
        <v/>
      </c>
      <c r="LK811" s="1900" t="str">
        <f t="shared" si="301"/>
        <v/>
      </c>
      <c r="LL811" s="1900" t="str">
        <f t="shared" si="302"/>
        <v/>
      </c>
      <c r="LM811" s="1900" t="str">
        <f t="shared" si="303"/>
        <v/>
      </c>
      <c r="LN811" s="1900" t="str">
        <f t="shared" si="304"/>
        <v/>
      </c>
      <c r="LO811" s="1900" t="str">
        <f t="shared" si="305"/>
        <v/>
      </c>
      <c r="LP811" s="1900" t="str">
        <f t="shared" si="306"/>
        <v/>
      </c>
      <c r="LQ811" s="1874" t="str">
        <f t="shared" si="307"/>
        <v/>
      </c>
      <c r="LR811" s="1874" t="str">
        <f t="shared" si="308"/>
        <v/>
      </c>
      <c r="LS811" s="1874" t="str">
        <f t="shared" si="309"/>
        <v/>
      </c>
      <c r="LT811" s="1874" t="str">
        <f t="shared" si="310"/>
        <v/>
      </c>
      <c r="LU811" s="1874" t="str">
        <f t="shared" si="311"/>
        <v/>
      </c>
      <c r="LV811" s="1995" t="str">
        <f t="shared" si="312"/>
        <v/>
      </c>
      <c r="LW811" s="1995" t="str">
        <f t="shared" si="313"/>
        <v/>
      </c>
      <c r="LX811" s="1995" t="str">
        <f t="shared" si="314"/>
        <v/>
      </c>
      <c r="LY811" s="1995" t="str">
        <f t="shared" si="315"/>
        <v/>
      </c>
      <c r="LZ811" s="1995" t="str">
        <f t="shared" si="316"/>
        <v/>
      </c>
      <c r="MA811" s="1995" t="str">
        <f t="shared" si="317"/>
        <v/>
      </c>
      <c r="MB811" s="1995" t="str">
        <f t="shared" si="318"/>
        <v/>
      </c>
      <c r="MC811" s="1995" t="str">
        <f t="shared" si="319"/>
        <v/>
      </c>
      <c r="MD811" s="1995" t="str">
        <f t="shared" si="320"/>
        <v/>
      </c>
      <c r="ME811" s="1995" t="str">
        <f t="shared" si="321"/>
        <v/>
      </c>
      <c r="MF811" s="1995" t="str">
        <f t="shared" si="322"/>
        <v/>
      </c>
      <c r="MG811" s="1995" t="str">
        <f t="shared" si="323"/>
        <v/>
      </c>
      <c r="MH811" s="1995" t="str">
        <f t="shared" si="324"/>
        <v/>
      </c>
      <c r="MI811" s="1995" t="str">
        <f t="shared" si="325"/>
        <v/>
      </c>
      <c r="MJ811" s="1995" t="str">
        <f t="shared" si="326"/>
        <v/>
      </c>
      <c r="MK811" s="1995" t="str">
        <f t="shared" si="327"/>
        <v/>
      </c>
      <c r="ML811" s="1995" t="str">
        <f t="shared" si="328"/>
        <v/>
      </c>
      <c r="MM811" s="1995" t="str">
        <f t="shared" si="329"/>
        <v/>
      </c>
      <c r="MN811" s="1995" t="str">
        <f t="shared" si="330"/>
        <v/>
      </c>
      <c r="MO811" s="1995" t="str">
        <f t="shared" si="331"/>
        <v/>
      </c>
      <c r="MP811" s="1874">
        <f t="shared" si="338"/>
        <v>0</v>
      </c>
      <c r="MQ811" s="1874">
        <f t="shared" si="339"/>
        <v>0</v>
      </c>
      <c r="MR811" s="1874">
        <f t="shared" si="340"/>
        <v>0</v>
      </c>
      <c r="MS811" s="1874">
        <f t="shared" si="341"/>
        <v>0</v>
      </c>
      <c r="MT811" s="1874">
        <f t="shared" si="342"/>
        <v>0</v>
      </c>
      <c r="MU811" s="1874">
        <f t="shared" si="343"/>
        <v>0</v>
      </c>
      <c r="MV811" s="1874">
        <f t="shared" si="344"/>
        <v>0</v>
      </c>
      <c r="MW811" s="1874">
        <f t="shared" si="345"/>
        <v>0</v>
      </c>
      <c r="MX811" s="1874">
        <f t="shared" si="346"/>
        <v>0</v>
      </c>
      <c r="MY811" s="1874">
        <f t="shared" si="347"/>
        <v>0</v>
      </c>
      <c r="MZ811" s="1874">
        <f t="shared" si="332"/>
        <v>0</v>
      </c>
      <c r="NA811" s="1874">
        <f t="shared" si="333"/>
        <v>0</v>
      </c>
      <c r="NB811" s="1874">
        <f t="shared" si="334"/>
        <v>0</v>
      </c>
      <c r="NC811" s="1874">
        <f t="shared" si="335"/>
        <v>0</v>
      </c>
      <c r="ND811" s="1874">
        <f t="shared" si="336"/>
        <v>0</v>
      </c>
    </row>
    <row r="812" spans="1:368" ht="13.95" customHeight="1">
      <c r="A812" s="1896" t="str">
        <f t="shared" si="337"/>
        <v/>
      </c>
      <c r="B812" s="2212">
        <f>'Part VI-Revenues &amp; Expenses'!B43</f>
        <v>0</v>
      </c>
      <c r="C812" s="2213">
        <f>'Part VI-Revenues &amp; Expenses'!C43</f>
        <v>0</v>
      </c>
      <c r="D812" s="2214">
        <f>'Part VI-Revenues &amp; Expenses'!D43</f>
        <v>0</v>
      </c>
      <c r="E812" s="2215">
        <f>'Part VI-Revenues &amp; Expenses'!E43</f>
        <v>0</v>
      </c>
      <c r="F812" s="2215">
        <f>'Part VI-Revenues &amp; Expenses'!F43</f>
        <v>0</v>
      </c>
      <c r="G812" s="2215">
        <f>'Part VI-Revenues &amp; Expenses'!G43</f>
        <v>0</v>
      </c>
      <c r="H812" s="2215">
        <f>'Part VI-Revenues &amp; Expenses'!H43</f>
        <v>0</v>
      </c>
      <c r="I812" s="2215">
        <f>'Part VI-Revenues &amp; Expenses'!I43</f>
        <v>0</v>
      </c>
      <c r="J812" s="2215">
        <f>'Part VI-Revenues &amp; Expenses'!J43</f>
        <v>0</v>
      </c>
      <c r="K812" s="2216">
        <f>'Part VI-Revenues &amp; Expenses'!K43</f>
        <v>0</v>
      </c>
      <c r="L812" s="1899">
        <f t="shared" si="0"/>
        <v>0</v>
      </c>
      <c r="M812" s="1899">
        <f t="shared" si="1"/>
        <v>0</v>
      </c>
      <c r="N812" s="2074">
        <f>'Part VI-Revenues &amp; Expenses'!N43</f>
        <v>0</v>
      </c>
      <c r="O812" s="2074">
        <f>'Part VI-Revenues &amp; Expenses'!O43</f>
        <v>0</v>
      </c>
      <c r="P812" s="2074">
        <f>'Part VI-Revenues &amp; Expenses'!P43</f>
        <v>0</v>
      </c>
      <c r="Q812" s="1732">
        <f>'Part VI-Revenues &amp; Expenses'!Q43</f>
        <v>0</v>
      </c>
      <c r="R812" s="1926"/>
      <c r="S812" s="2148"/>
      <c r="T812" s="1910"/>
      <c r="U812" s="1910"/>
      <c r="V812" s="1910"/>
      <c r="W812" s="1910"/>
      <c r="X812" s="1995" t="str">
        <f t="shared" si="2"/>
        <v/>
      </c>
      <c r="Y812" s="1995" t="str">
        <f t="shared" si="3"/>
        <v/>
      </c>
      <c r="Z812" s="1995" t="str">
        <f t="shared" si="4"/>
        <v/>
      </c>
      <c r="AA812" s="1995" t="str">
        <f t="shared" si="5"/>
        <v/>
      </c>
      <c r="AB812" s="1995" t="str">
        <f t="shared" si="6"/>
        <v/>
      </c>
      <c r="AC812" s="1995" t="str">
        <f t="shared" si="7"/>
        <v/>
      </c>
      <c r="AD812" s="1995" t="str">
        <f t="shared" si="8"/>
        <v/>
      </c>
      <c r="AE812" s="1995" t="str">
        <f t="shared" si="9"/>
        <v/>
      </c>
      <c r="AF812" s="1995" t="str">
        <f t="shared" si="10"/>
        <v/>
      </c>
      <c r="AG812" s="1995" t="str">
        <f t="shared" si="11"/>
        <v/>
      </c>
      <c r="AH812" s="1995" t="str">
        <f t="shared" si="12"/>
        <v/>
      </c>
      <c r="AI812" s="1995" t="str">
        <f t="shared" si="13"/>
        <v/>
      </c>
      <c r="AJ812" s="1995" t="str">
        <f t="shared" si="14"/>
        <v/>
      </c>
      <c r="AK812" s="1995" t="str">
        <f t="shared" si="15"/>
        <v/>
      </c>
      <c r="AL812" s="1995" t="str">
        <f t="shared" si="16"/>
        <v/>
      </c>
      <c r="AM812" s="1995" t="str">
        <f t="shared" si="17"/>
        <v/>
      </c>
      <c r="AN812" s="1995" t="str">
        <f t="shared" si="18"/>
        <v/>
      </c>
      <c r="AO812" s="1995" t="str">
        <f t="shared" si="19"/>
        <v/>
      </c>
      <c r="AP812" s="1995" t="str">
        <f t="shared" si="20"/>
        <v/>
      </c>
      <c r="AQ812" s="1995" t="str">
        <f t="shared" si="21"/>
        <v/>
      </c>
      <c r="AR812" s="1995" t="str">
        <f t="shared" si="22"/>
        <v/>
      </c>
      <c r="AS812" s="1995" t="str">
        <f t="shared" si="23"/>
        <v/>
      </c>
      <c r="AT812" s="1995" t="str">
        <f t="shared" si="24"/>
        <v/>
      </c>
      <c r="AU812" s="1995" t="str">
        <f t="shared" si="25"/>
        <v/>
      </c>
      <c r="AV812" s="1995" t="str">
        <f t="shared" si="26"/>
        <v/>
      </c>
      <c r="AW812" s="1995" t="str">
        <f t="shared" si="27"/>
        <v/>
      </c>
      <c r="AX812" s="1995" t="str">
        <f t="shared" si="28"/>
        <v/>
      </c>
      <c r="AY812" s="1995" t="str">
        <f t="shared" si="29"/>
        <v/>
      </c>
      <c r="AZ812" s="1995" t="str">
        <f t="shared" si="30"/>
        <v/>
      </c>
      <c r="BA812" s="1995" t="str">
        <f t="shared" si="31"/>
        <v/>
      </c>
      <c r="BB812" s="1995" t="str">
        <f t="shared" si="32"/>
        <v/>
      </c>
      <c r="BC812" s="1995" t="str">
        <f t="shared" si="33"/>
        <v/>
      </c>
      <c r="BD812" s="1995" t="str">
        <f t="shared" si="34"/>
        <v/>
      </c>
      <c r="BE812" s="1995" t="str">
        <f t="shared" si="35"/>
        <v/>
      </c>
      <c r="BF812" s="1995" t="str">
        <f t="shared" si="36"/>
        <v/>
      </c>
      <c r="BG812" s="1995" t="str">
        <f t="shared" si="37"/>
        <v/>
      </c>
      <c r="BH812" s="1995" t="str">
        <f t="shared" si="38"/>
        <v/>
      </c>
      <c r="BI812" s="1995" t="str">
        <f t="shared" si="39"/>
        <v/>
      </c>
      <c r="BJ812" s="1995" t="str">
        <f t="shared" si="40"/>
        <v/>
      </c>
      <c r="BK812" s="1995" t="str">
        <f t="shared" si="41"/>
        <v/>
      </c>
      <c r="BL812" s="1995" t="str">
        <f t="shared" si="42"/>
        <v/>
      </c>
      <c r="BM812" s="1995" t="str">
        <f t="shared" si="43"/>
        <v/>
      </c>
      <c r="BN812" s="1995" t="str">
        <f t="shared" si="44"/>
        <v/>
      </c>
      <c r="BO812" s="1995" t="str">
        <f t="shared" si="45"/>
        <v/>
      </c>
      <c r="BP812" s="1995" t="str">
        <f t="shared" si="46"/>
        <v/>
      </c>
      <c r="BQ812" s="1995" t="str">
        <f t="shared" si="47"/>
        <v/>
      </c>
      <c r="BR812" s="1995" t="str">
        <f t="shared" si="48"/>
        <v/>
      </c>
      <c r="BS812" s="1995" t="str">
        <f t="shared" si="49"/>
        <v/>
      </c>
      <c r="BT812" s="1995" t="str">
        <f t="shared" si="50"/>
        <v/>
      </c>
      <c r="BU812" s="1995" t="str">
        <f t="shared" si="51"/>
        <v/>
      </c>
      <c r="BV812" s="1995" t="str">
        <f t="shared" si="52"/>
        <v/>
      </c>
      <c r="BW812" s="1995" t="str">
        <f t="shared" si="53"/>
        <v/>
      </c>
      <c r="BX812" s="1995" t="str">
        <f t="shared" si="54"/>
        <v/>
      </c>
      <c r="BY812" s="1995" t="str">
        <f t="shared" si="55"/>
        <v/>
      </c>
      <c r="BZ812" s="1995" t="str">
        <f t="shared" si="56"/>
        <v/>
      </c>
      <c r="CA812" s="1995" t="str">
        <f t="shared" si="57"/>
        <v/>
      </c>
      <c r="CB812" s="1995" t="str">
        <f t="shared" si="58"/>
        <v/>
      </c>
      <c r="CC812" s="1995" t="str">
        <f t="shared" si="59"/>
        <v/>
      </c>
      <c r="CD812" s="1995" t="str">
        <f t="shared" si="60"/>
        <v/>
      </c>
      <c r="CE812" s="1995" t="str">
        <f t="shared" si="61"/>
        <v/>
      </c>
      <c r="CF812" s="1995" t="str">
        <f t="shared" si="62"/>
        <v/>
      </c>
      <c r="CG812" s="1995" t="str">
        <f t="shared" si="63"/>
        <v/>
      </c>
      <c r="CH812" s="1995" t="str">
        <f t="shared" si="64"/>
        <v/>
      </c>
      <c r="CI812" s="1995" t="str">
        <f t="shared" si="65"/>
        <v/>
      </c>
      <c r="CJ812" s="1995" t="str">
        <f t="shared" si="66"/>
        <v/>
      </c>
      <c r="CK812" s="1995" t="str">
        <f t="shared" si="67"/>
        <v/>
      </c>
      <c r="CL812" s="1995" t="str">
        <f t="shared" si="68"/>
        <v/>
      </c>
      <c r="CM812" s="1995" t="str">
        <f t="shared" si="69"/>
        <v/>
      </c>
      <c r="CN812" s="1995" t="str">
        <f t="shared" si="70"/>
        <v/>
      </c>
      <c r="CO812" s="1995" t="str">
        <f t="shared" si="71"/>
        <v/>
      </c>
      <c r="CP812" s="1995" t="str">
        <f t="shared" si="72"/>
        <v/>
      </c>
      <c r="CQ812" s="1995" t="str">
        <f t="shared" si="73"/>
        <v/>
      </c>
      <c r="CR812" s="1995" t="str">
        <f t="shared" si="74"/>
        <v/>
      </c>
      <c r="CS812" s="1995" t="str">
        <f t="shared" si="75"/>
        <v/>
      </c>
      <c r="CT812" s="1995" t="str">
        <f t="shared" si="76"/>
        <v/>
      </c>
      <c r="CU812" s="1995" t="str">
        <f t="shared" si="77"/>
        <v/>
      </c>
      <c r="CV812" s="1995" t="str">
        <f t="shared" si="78"/>
        <v/>
      </c>
      <c r="CW812" s="1995" t="str">
        <f t="shared" si="79"/>
        <v/>
      </c>
      <c r="CX812" s="1995" t="str">
        <f t="shared" si="80"/>
        <v/>
      </c>
      <c r="CY812" s="1995" t="str">
        <f t="shared" si="81"/>
        <v/>
      </c>
      <c r="CZ812" s="1995" t="str">
        <f t="shared" si="82"/>
        <v/>
      </c>
      <c r="DA812" s="1995" t="str">
        <f t="shared" si="83"/>
        <v/>
      </c>
      <c r="DB812" s="1995" t="str">
        <f t="shared" si="84"/>
        <v/>
      </c>
      <c r="DC812" s="1995" t="str">
        <f t="shared" si="85"/>
        <v/>
      </c>
      <c r="DD812" s="1995" t="str">
        <f t="shared" si="86"/>
        <v/>
      </c>
      <c r="DE812" s="1995" t="str">
        <f t="shared" si="87"/>
        <v/>
      </c>
      <c r="DF812" s="1995" t="str">
        <f t="shared" si="88"/>
        <v/>
      </c>
      <c r="DG812" s="1995" t="str">
        <f t="shared" si="89"/>
        <v/>
      </c>
      <c r="DH812" s="1995" t="str">
        <f t="shared" si="90"/>
        <v/>
      </c>
      <c r="DI812" s="1995" t="str">
        <f t="shared" si="91"/>
        <v/>
      </c>
      <c r="DJ812" s="1995" t="str">
        <f t="shared" si="92"/>
        <v/>
      </c>
      <c r="DK812" s="1995" t="str">
        <f t="shared" si="93"/>
        <v/>
      </c>
      <c r="DL812" s="1995" t="str">
        <f t="shared" si="94"/>
        <v/>
      </c>
      <c r="DM812" s="1995" t="str">
        <f t="shared" si="95"/>
        <v/>
      </c>
      <c r="DN812" s="1995" t="str">
        <f t="shared" si="96"/>
        <v/>
      </c>
      <c r="DO812" s="1995" t="str">
        <f t="shared" si="97"/>
        <v/>
      </c>
      <c r="DP812" s="1995" t="str">
        <f t="shared" si="98"/>
        <v/>
      </c>
      <c r="DQ812" s="1995" t="str">
        <f t="shared" si="99"/>
        <v/>
      </c>
      <c r="DR812" s="1995" t="str">
        <f t="shared" si="100"/>
        <v/>
      </c>
      <c r="DS812" s="1995" t="str">
        <f t="shared" si="101"/>
        <v/>
      </c>
      <c r="DT812" s="1995" t="str">
        <f t="shared" si="102"/>
        <v/>
      </c>
      <c r="DU812" s="1995" t="str">
        <f t="shared" si="103"/>
        <v/>
      </c>
      <c r="DV812" s="1995" t="str">
        <f t="shared" si="104"/>
        <v/>
      </c>
      <c r="DW812" s="1995" t="str">
        <f t="shared" si="105"/>
        <v/>
      </c>
      <c r="DX812" s="1995" t="str">
        <f t="shared" si="106"/>
        <v/>
      </c>
      <c r="DY812" s="1995" t="str">
        <f t="shared" si="107"/>
        <v/>
      </c>
      <c r="DZ812" s="1995" t="str">
        <f t="shared" si="108"/>
        <v/>
      </c>
      <c r="EA812" s="1995" t="str">
        <f t="shared" si="109"/>
        <v/>
      </c>
      <c r="EB812" s="1995" t="str">
        <f t="shared" si="110"/>
        <v/>
      </c>
      <c r="EC812" s="1995" t="str">
        <f t="shared" si="111"/>
        <v/>
      </c>
      <c r="ED812" s="1995" t="str">
        <f t="shared" si="112"/>
        <v/>
      </c>
      <c r="EE812" s="1995" t="str">
        <f t="shared" si="113"/>
        <v/>
      </c>
      <c r="EF812" s="1995" t="str">
        <f t="shared" si="114"/>
        <v/>
      </c>
      <c r="EG812" s="1995" t="str">
        <f t="shared" si="115"/>
        <v/>
      </c>
      <c r="EH812" s="1995" t="str">
        <f t="shared" si="116"/>
        <v/>
      </c>
      <c r="EI812" s="1995" t="str">
        <f t="shared" si="117"/>
        <v/>
      </c>
      <c r="EJ812" s="1995" t="str">
        <f t="shared" si="118"/>
        <v/>
      </c>
      <c r="EK812" s="1995" t="str">
        <f t="shared" si="119"/>
        <v/>
      </c>
      <c r="EL812" s="1995" t="str">
        <f t="shared" si="120"/>
        <v/>
      </c>
      <c r="EM812" s="1995" t="str">
        <f t="shared" si="121"/>
        <v/>
      </c>
      <c r="EN812" s="1995" t="str">
        <f t="shared" si="122"/>
        <v/>
      </c>
      <c r="EO812" s="1995" t="str">
        <f t="shared" si="123"/>
        <v/>
      </c>
      <c r="EP812" s="1995" t="str">
        <f t="shared" si="124"/>
        <v/>
      </c>
      <c r="EQ812" s="1995" t="str">
        <f t="shared" si="125"/>
        <v/>
      </c>
      <c r="ER812" s="1995" t="str">
        <f t="shared" si="126"/>
        <v/>
      </c>
      <c r="ES812" s="1995" t="str">
        <f t="shared" si="127"/>
        <v/>
      </c>
      <c r="ET812" s="1995" t="str">
        <f t="shared" si="128"/>
        <v/>
      </c>
      <c r="EU812" s="1995" t="str">
        <f t="shared" si="129"/>
        <v/>
      </c>
      <c r="EV812" s="1995" t="str">
        <f t="shared" si="130"/>
        <v/>
      </c>
      <c r="EW812" s="1995" t="str">
        <f t="shared" si="131"/>
        <v/>
      </c>
      <c r="EX812" s="1995" t="str">
        <f t="shared" si="132"/>
        <v/>
      </c>
      <c r="EY812" s="1995" t="str">
        <f t="shared" si="133"/>
        <v/>
      </c>
      <c r="EZ812" s="1995" t="str">
        <f t="shared" si="134"/>
        <v/>
      </c>
      <c r="FA812" s="1995" t="str">
        <f t="shared" si="135"/>
        <v/>
      </c>
      <c r="FB812" s="1995" t="str">
        <f t="shared" si="136"/>
        <v/>
      </c>
      <c r="FC812" s="1995" t="str">
        <f t="shared" si="137"/>
        <v/>
      </c>
      <c r="FD812" s="1995" t="str">
        <f t="shared" si="138"/>
        <v/>
      </c>
      <c r="FE812" s="1995" t="str">
        <f t="shared" si="139"/>
        <v/>
      </c>
      <c r="FF812" s="1995" t="str">
        <f t="shared" si="140"/>
        <v/>
      </c>
      <c r="FG812" s="1995" t="str">
        <f t="shared" si="141"/>
        <v/>
      </c>
      <c r="FH812" s="1995" t="str">
        <f t="shared" si="142"/>
        <v/>
      </c>
      <c r="FI812" s="1995" t="str">
        <f t="shared" si="143"/>
        <v/>
      </c>
      <c r="FJ812" s="1995" t="str">
        <f t="shared" si="144"/>
        <v/>
      </c>
      <c r="FK812" s="1995" t="str">
        <f t="shared" si="145"/>
        <v/>
      </c>
      <c r="FL812" s="1995" t="str">
        <f t="shared" si="146"/>
        <v/>
      </c>
      <c r="FM812" s="1995" t="str">
        <f t="shared" si="147"/>
        <v/>
      </c>
      <c r="FN812" s="1995" t="str">
        <f t="shared" si="148"/>
        <v/>
      </c>
      <c r="FO812" s="1995" t="str">
        <f t="shared" si="149"/>
        <v/>
      </c>
      <c r="FP812" s="1995" t="str">
        <f t="shared" si="150"/>
        <v/>
      </c>
      <c r="FQ812" s="1995" t="str">
        <f t="shared" si="151"/>
        <v/>
      </c>
      <c r="FR812" s="1995" t="str">
        <f t="shared" si="152"/>
        <v/>
      </c>
      <c r="FS812" s="1995" t="str">
        <f t="shared" si="153"/>
        <v/>
      </c>
      <c r="FT812" s="1995" t="str">
        <f t="shared" si="154"/>
        <v/>
      </c>
      <c r="FU812" s="1995" t="str">
        <f t="shared" si="155"/>
        <v/>
      </c>
      <c r="FV812" s="1995" t="str">
        <f t="shared" si="156"/>
        <v/>
      </c>
      <c r="FW812" s="1995" t="str">
        <f t="shared" si="157"/>
        <v/>
      </c>
      <c r="FX812" s="1995" t="str">
        <f t="shared" si="158"/>
        <v/>
      </c>
      <c r="FY812" s="1995" t="str">
        <f t="shared" si="159"/>
        <v/>
      </c>
      <c r="FZ812" s="1995" t="str">
        <f t="shared" si="160"/>
        <v/>
      </c>
      <c r="GA812" s="1995" t="str">
        <f t="shared" si="161"/>
        <v/>
      </c>
      <c r="GB812" s="1995" t="str">
        <f t="shared" si="162"/>
        <v/>
      </c>
      <c r="GC812" s="1995" t="str">
        <f t="shared" si="163"/>
        <v/>
      </c>
      <c r="GD812" s="1995" t="str">
        <f t="shared" si="164"/>
        <v/>
      </c>
      <c r="GE812" s="1995" t="str">
        <f t="shared" si="165"/>
        <v/>
      </c>
      <c r="GF812" s="1995" t="str">
        <f t="shared" si="166"/>
        <v/>
      </c>
      <c r="GG812" s="1995" t="str">
        <f t="shared" si="167"/>
        <v/>
      </c>
      <c r="GH812" s="1995" t="str">
        <f t="shared" si="168"/>
        <v/>
      </c>
      <c r="GI812" s="1995" t="str">
        <f t="shared" si="169"/>
        <v/>
      </c>
      <c r="GJ812" s="1995" t="str">
        <f t="shared" si="170"/>
        <v/>
      </c>
      <c r="GK812" s="1995" t="str">
        <f t="shared" si="171"/>
        <v/>
      </c>
      <c r="GL812" s="1995" t="str">
        <f t="shared" si="172"/>
        <v/>
      </c>
      <c r="GM812" s="1995" t="str">
        <f t="shared" si="173"/>
        <v/>
      </c>
      <c r="GN812" s="1995" t="str">
        <f t="shared" si="174"/>
        <v/>
      </c>
      <c r="GO812" s="1995" t="str">
        <f t="shared" si="175"/>
        <v/>
      </c>
      <c r="GP812" s="1995" t="str">
        <f t="shared" si="176"/>
        <v/>
      </c>
      <c r="GQ812" s="1995" t="str">
        <f t="shared" si="177"/>
        <v/>
      </c>
      <c r="GR812" s="1995" t="str">
        <f t="shared" si="178"/>
        <v/>
      </c>
      <c r="GS812" s="1995" t="str">
        <f t="shared" si="179"/>
        <v/>
      </c>
      <c r="GT812" s="1995" t="str">
        <f t="shared" si="180"/>
        <v/>
      </c>
      <c r="GU812" s="1995" t="str">
        <f t="shared" si="181"/>
        <v/>
      </c>
      <c r="GV812" s="1995" t="str">
        <f t="shared" si="182"/>
        <v/>
      </c>
      <c r="GW812" s="1995" t="str">
        <f t="shared" si="183"/>
        <v/>
      </c>
      <c r="GX812" s="1995" t="str">
        <f t="shared" si="184"/>
        <v/>
      </c>
      <c r="GY812" s="1995" t="str">
        <f t="shared" si="185"/>
        <v/>
      </c>
      <c r="GZ812" s="1995" t="str">
        <f t="shared" si="186"/>
        <v/>
      </c>
      <c r="HA812" s="1995" t="str">
        <f t="shared" si="187"/>
        <v/>
      </c>
      <c r="HB812" s="1995" t="str">
        <f t="shared" si="188"/>
        <v/>
      </c>
      <c r="HC812" s="1995" t="str">
        <f t="shared" si="189"/>
        <v/>
      </c>
      <c r="HD812" s="1995" t="str">
        <f t="shared" si="190"/>
        <v/>
      </c>
      <c r="HE812" s="1995" t="str">
        <f t="shared" si="191"/>
        <v/>
      </c>
      <c r="HF812" s="1995" t="str">
        <f t="shared" si="192"/>
        <v/>
      </c>
      <c r="HG812" s="1995" t="str">
        <f t="shared" si="193"/>
        <v/>
      </c>
      <c r="HH812" s="1995" t="str">
        <f t="shared" si="194"/>
        <v/>
      </c>
      <c r="HI812" s="1995" t="str">
        <f t="shared" si="195"/>
        <v/>
      </c>
      <c r="HJ812" s="1995" t="str">
        <f t="shared" si="196"/>
        <v/>
      </c>
      <c r="HK812" s="1995" t="str">
        <f t="shared" si="197"/>
        <v/>
      </c>
      <c r="HL812" s="1995" t="str">
        <f t="shared" si="198"/>
        <v/>
      </c>
      <c r="HM812" s="1995" t="str">
        <f t="shared" si="199"/>
        <v/>
      </c>
      <c r="HN812" s="1995" t="str">
        <f t="shared" si="200"/>
        <v/>
      </c>
      <c r="HO812" s="1995" t="str">
        <f t="shared" si="201"/>
        <v/>
      </c>
      <c r="HP812" s="1995" t="str">
        <f t="shared" si="202"/>
        <v/>
      </c>
      <c r="HQ812" s="1995" t="str">
        <f t="shared" si="203"/>
        <v/>
      </c>
      <c r="HR812" s="1995" t="str">
        <f t="shared" si="204"/>
        <v/>
      </c>
      <c r="HS812" s="1995" t="str">
        <f t="shared" si="205"/>
        <v/>
      </c>
      <c r="HT812" s="1995" t="str">
        <f t="shared" si="206"/>
        <v/>
      </c>
      <c r="HU812" s="1995" t="str">
        <f t="shared" si="207"/>
        <v/>
      </c>
      <c r="HV812" s="1995" t="str">
        <f t="shared" si="208"/>
        <v/>
      </c>
      <c r="HW812" s="1995" t="str">
        <f t="shared" si="209"/>
        <v/>
      </c>
      <c r="HX812" s="1995" t="str">
        <f t="shared" si="210"/>
        <v/>
      </c>
      <c r="HY812" s="1995" t="str">
        <f t="shared" si="211"/>
        <v/>
      </c>
      <c r="HZ812" s="1900" t="str">
        <f t="shared" si="212"/>
        <v/>
      </c>
      <c r="IA812" s="1900" t="str">
        <f t="shared" si="213"/>
        <v/>
      </c>
      <c r="IB812" s="1900" t="str">
        <f t="shared" si="214"/>
        <v/>
      </c>
      <c r="IC812" s="1900" t="str">
        <f t="shared" si="215"/>
        <v/>
      </c>
      <c r="ID812" s="1900" t="str">
        <f t="shared" si="216"/>
        <v/>
      </c>
      <c r="IE812" s="1900" t="str">
        <f t="shared" si="217"/>
        <v/>
      </c>
      <c r="IF812" s="1900" t="str">
        <f t="shared" si="218"/>
        <v/>
      </c>
      <c r="IG812" s="1900" t="str">
        <f t="shared" si="219"/>
        <v/>
      </c>
      <c r="IH812" s="1900" t="str">
        <f t="shared" si="220"/>
        <v/>
      </c>
      <c r="II812" s="1900" t="str">
        <f t="shared" si="221"/>
        <v/>
      </c>
      <c r="IJ812" s="1900" t="str">
        <f t="shared" si="222"/>
        <v/>
      </c>
      <c r="IK812" s="1900" t="str">
        <f t="shared" si="223"/>
        <v/>
      </c>
      <c r="IL812" s="1900" t="str">
        <f t="shared" si="224"/>
        <v/>
      </c>
      <c r="IM812" s="1900" t="str">
        <f t="shared" si="225"/>
        <v/>
      </c>
      <c r="IN812" s="1900" t="str">
        <f t="shared" si="226"/>
        <v/>
      </c>
      <c r="IO812" s="1900" t="str">
        <f t="shared" si="227"/>
        <v/>
      </c>
      <c r="IP812" s="1900" t="str">
        <f t="shared" si="228"/>
        <v/>
      </c>
      <c r="IQ812" s="1900" t="str">
        <f t="shared" si="229"/>
        <v/>
      </c>
      <c r="IR812" s="1900" t="str">
        <f t="shared" si="230"/>
        <v/>
      </c>
      <c r="IS812" s="1900" t="str">
        <f t="shared" si="231"/>
        <v/>
      </c>
      <c r="IT812" s="1900" t="str">
        <f t="shared" si="232"/>
        <v/>
      </c>
      <c r="IU812" s="1900" t="str">
        <f t="shared" si="233"/>
        <v/>
      </c>
      <c r="IV812" s="1900" t="str">
        <f t="shared" si="234"/>
        <v/>
      </c>
      <c r="IW812" s="1900" t="str">
        <f t="shared" si="235"/>
        <v/>
      </c>
      <c r="IX812" s="1900" t="str">
        <f t="shared" si="236"/>
        <v/>
      </c>
      <c r="IY812" s="1900" t="str">
        <f t="shared" si="237"/>
        <v/>
      </c>
      <c r="IZ812" s="1900" t="str">
        <f t="shared" si="238"/>
        <v/>
      </c>
      <c r="JA812" s="1900" t="str">
        <f t="shared" si="239"/>
        <v/>
      </c>
      <c r="JB812" s="1900" t="str">
        <f t="shared" si="240"/>
        <v/>
      </c>
      <c r="JC812" s="1900" t="str">
        <f t="shared" si="241"/>
        <v/>
      </c>
      <c r="JD812" s="1900" t="str">
        <f t="shared" si="242"/>
        <v/>
      </c>
      <c r="JE812" s="1900" t="str">
        <f t="shared" si="243"/>
        <v/>
      </c>
      <c r="JF812" s="1900" t="str">
        <f t="shared" si="244"/>
        <v/>
      </c>
      <c r="JG812" s="1900" t="str">
        <f t="shared" si="245"/>
        <v/>
      </c>
      <c r="JH812" s="1900" t="str">
        <f t="shared" si="246"/>
        <v/>
      </c>
      <c r="JI812" s="1900" t="str">
        <f t="shared" si="247"/>
        <v/>
      </c>
      <c r="JJ812" s="1900" t="str">
        <f t="shared" si="248"/>
        <v/>
      </c>
      <c r="JK812" s="1900" t="str">
        <f t="shared" si="249"/>
        <v/>
      </c>
      <c r="JL812" s="1900" t="str">
        <f t="shared" si="250"/>
        <v/>
      </c>
      <c r="JM812" s="1900" t="str">
        <f t="shared" si="251"/>
        <v/>
      </c>
      <c r="JN812" s="1900" t="str">
        <f t="shared" si="252"/>
        <v/>
      </c>
      <c r="JO812" s="1900" t="str">
        <f t="shared" si="253"/>
        <v/>
      </c>
      <c r="JP812" s="1900" t="str">
        <f t="shared" si="254"/>
        <v/>
      </c>
      <c r="JQ812" s="1900" t="str">
        <f t="shared" si="255"/>
        <v/>
      </c>
      <c r="JR812" s="1900" t="str">
        <f t="shared" si="256"/>
        <v/>
      </c>
      <c r="JS812" s="1900" t="str">
        <f t="shared" si="257"/>
        <v/>
      </c>
      <c r="JT812" s="1900" t="str">
        <f t="shared" si="258"/>
        <v/>
      </c>
      <c r="JU812" s="1900" t="str">
        <f t="shared" si="259"/>
        <v/>
      </c>
      <c r="JV812" s="1900" t="str">
        <f t="shared" si="260"/>
        <v/>
      </c>
      <c r="JW812" s="1900" t="str">
        <f t="shared" si="261"/>
        <v/>
      </c>
      <c r="JX812" s="1900" t="str">
        <f t="shared" si="262"/>
        <v/>
      </c>
      <c r="JY812" s="1900" t="str">
        <f t="shared" si="263"/>
        <v/>
      </c>
      <c r="JZ812" s="1900" t="str">
        <f t="shared" si="264"/>
        <v/>
      </c>
      <c r="KA812" s="1900" t="str">
        <f t="shared" si="265"/>
        <v/>
      </c>
      <c r="KB812" s="1900" t="str">
        <f t="shared" si="266"/>
        <v/>
      </c>
      <c r="KC812" s="1900" t="str">
        <f t="shared" si="267"/>
        <v/>
      </c>
      <c r="KD812" s="1900" t="str">
        <f t="shared" si="268"/>
        <v/>
      </c>
      <c r="KE812" s="1900" t="str">
        <f t="shared" si="269"/>
        <v/>
      </c>
      <c r="KF812" s="1900" t="str">
        <f t="shared" si="270"/>
        <v/>
      </c>
      <c r="KG812" s="1900" t="str">
        <f t="shared" si="271"/>
        <v/>
      </c>
      <c r="KH812" s="1900" t="str">
        <f t="shared" si="272"/>
        <v/>
      </c>
      <c r="KI812" s="1900" t="str">
        <f t="shared" si="273"/>
        <v/>
      </c>
      <c r="KJ812" s="1900" t="str">
        <f t="shared" si="274"/>
        <v/>
      </c>
      <c r="KK812" s="1900" t="str">
        <f t="shared" si="275"/>
        <v/>
      </c>
      <c r="KL812" s="1900" t="str">
        <f t="shared" si="276"/>
        <v/>
      </c>
      <c r="KM812" s="1900" t="str">
        <f t="shared" si="277"/>
        <v/>
      </c>
      <c r="KN812" s="1900" t="str">
        <f t="shared" si="278"/>
        <v/>
      </c>
      <c r="KO812" s="1900" t="str">
        <f t="shared" si="279"/>
        <v/>
      </c>
      <c r="KP812" s="1900" t="str">
        <f t="shared" si="280"/>
        <v/>
      </c>
      <c r="KQ812" s="1900" t="str">
        <f t="shared" si="281"/>
        <v/>
      </c>
      <c r="KR812" s="1900" t="str">
        <f t="shared" si="282"/>
        <v/>
      </c>
      <c r="KS812" s="1900" t="str">
        <f t="shared" si="283"/>
        <v/>
      </c>
      <c r="KT812" s="1900" t="str">
        <f t="shared" si="284"/>
        <v/>
      </c>
      <c r="KU812" s="1900" t="str">
        <f t="shared" si="285"/>
        <v/>
      </c>
      <c r="KV812" s="1900" t="str">
        <f t="shared" si="286"/>
        <v/>
      </c>
      <c r="KW812" s="1900" t="str">
        <f t="shared" si="287"/>
        <v/>
      </c>
      <c r="KX812" s="1900" t="str">
        <f t="shared" si="288"/>
        <v/>
      </c>
      <c r="KY812" s="1900" t="str">
        <f t="shared" si="289"/>
        <v/>
      </c>
      <c r="KZ812" s="1900" t="str">
        <f t="shared" si="290"/>
        <v/>
      </c>
      <c r="LA812" s="1900" t="str">
        <f t="shared" si="291"/>
        <v/>
      </c>
      <c r="LB812" s="1900" t="str">
        <f t="shared" si="292"/>
        <v/>
      </c>
      <c r="LC812" s="1900" t="str">
        <f t="shared" si="293"/>
        <v/>
      </c>
      <c r="LD812" s="1900" t="str">
        <f t="shared" si="294"/>
        <v/>
      </c>
      <c r="LE812" s="1900" t="str">
        <f t="shared" si="295"/>
        <v/>
      </c>
      <c r="LF812" s="1900" t="str">
        <f t="shared" si="296"/>
        <v/>
      </c>
      <c r="LG812" s="1900" t="str">
        <f t="shared" si="297"/>
        <v/>
      </c>
      <c r="LH812" s="1900" t="str">
        <f t="shared" si="298"/>
        <v/>
      </c>
      <c r="LI812" s="1900" t="str">
        <f t="shared" si="299"/>
        <v/>
      </c>
      <c r="LJ812" s="1900" t="str">
        <f t="shared" si="300"/>
        <v/>
      </c>
      <c r="LK812" s="1900" t="str">
        <f t="shared" si="301"/>
        <v/>
      </c>
      <c r="LL812" s="1900" t="str">
        <f t="shared" si="302"/>
        <v/>
      </c>
      <c r="LM812" s="1900" t="str">
        <f t="shared" si="303"/>
        <v/>
      </c>
      <c r="LN812" s="1900" t="str">
        <f t="shared" si="304"/>
        <v/>
      </c>
      <c r="LO812" s="1900" t="str">
        <f t="shared" si="305"/>
        <v/>
      </c>
      <c r="LP812" s="1900" t="str">
        <f t="shared" si="306"/>
        <v/>
      </c>
      <c r="LQ812" s="1874" t="str">
        <f t="shared" si="307"/>
        <v/>
      </c>
      <c r="LR812" s="1874" t="str">
        <f t="shared" si="308"/>
        <v/>
      </c>
      <c r="LS812" s="1874" t="str">
        <f t="shared" si="309"/>
        <v/>
      </c>
      <c r="LT812" s="1874" t="str">
        <f t="shared" si="310"/>
        <v/>
      </c>
      <c r="LU812" s="1874" t="str">
        <f t="shared" si="311"/>
        <v/>
      </c>
      <c r="LV812" s="1995" t="str">
        <f t="shared" si="312"/>
        <v/>
      </c>
      <c r="LW812" s="1995" t="str">
        <f t="shared" si="313"/>
        <v/>
      </c>
      <c r="LX812" s="1995" t="str">
        <f t="shared" si="314"/>
        <v/>
      </c>
      <c r="LY812" s="1995" t="str">
        <f t="shared" si="315"/>
        <v/>
      </c>
      <c r="LZ812" s="1995" t="str">
        <f t="shared" si="316"/>
        <v/>
      </c>
      <c r="MA812" s="1995" t="str">
        <f t="shared" si="317"/>
        <v/>
      </c>
      <c r="MB812" s="1995" t="str">
        <f t="shared" si="318"/>
        <v/>
      </c>
      <c r="MC812" s="1995" t="str">
        <f t="shared" si="319"/>
        <v/>
      </c>
      <c r="MD812" s="1995" t="str">
        <f t="shared" si="320"/>
        <v/>
      </c>
      <c r="ME812" s="1995" t="str">
        <f t="shared" si="321"/>
        <v/>
      </c>
      <c r="MF812" s="1995" t="str">
        <f t="shared" si="322"/>
        <v/>
      </c>
      <c r="MG812" s="1995" t="str">
        <f t="shared" si="323"/>
        <v/>
      </c>
      <c r="MH812" s="1995" t="str">
        <f t="shared" si="324"/>
        <v/>
      </c>
      <c r="MI812" s="1995" t="str">
        <f t="shared" si="325"/>
        <v/>
      </c>
      <c r="MJ812" s="1995" t="str">
        <f t="shared" si="326"/>
        <v/>
      </c>
      <c r="MK812" s="1995" t="str">
        <f t="shared" si="327"/>
        <v/>
      </c>
      <c r="ML812" s="1995" t="str">
        <f t="shared" si="328"/>
        <v/>
      </c>
      <c r="MM812" s="1995" t="str">
        <f t="shared" si="329"/>
        <v/>
      </c>
      <c r="MN812" s="1995" t="str">
        <f t="shared" si="330"/>
        <v/>
      </c>
      <c r="MO812" s="1995" t="str">
        <f t="shared" si="331"/>
        <v/>
      </c>
      <c r="MP812" s="1874">
        <f t="shared" si="338"/>
        <v>0</v>
      </c>
      <c r="MQ812" s="1874">
        <f t="shared" si="339"/>
        <v>0</v>
      </c>
      <c r="MR812" s="1874">
        <f t="shared" si="340"/>
        <v>0</v>
      </c>
      <c r="MS812" s="1874">
        <f t="shared" si="341"/>
        <v>0</v>
      </c>
      <c r="MT812" s="1874">
        <f t="shared" si="342"/>
        <v>0</v>
      </c>
      <c r="MU812" s="1874">
        <f t="shared" si="343"/>
        <v>0</v>
      </c>
      <c r="MV812" s="1874">
        <f t="shared" si="344"/>
        <v>0</v>
      </c>
      <c r="MW812" s="1874">
        <f t="shared" si="345"/>
        <v>0</v>
      </c>
      <c r="MX812" s="1874">
        <f t="shared" si="346"/>
        <v>0</v>
      </c>
      <c r="MY812" s="1874">
        <f t="shared" si="347"/>
        <v>0</v>
      </c>
      <c r="MZ812" s="1874">
        <f t="shared" si="332"/>
        <v>0</v>
      </c>
      <c r="NA812" s="1874">
        <f t="shared" si="333"/>
        <v>0</v>
      </c>
      <c r="NB812" s="1874">
        <f t="shared" si="334"/>
        <v>0</v>
      </c>
      <c r="NC812" s="1874">
        <f t="shared" si="335"/>
        <v>0</v>
      </c>
      <c r="ND812" s="1874">
        <f t="shared" si="336"/>
        <v>0</v>
      </c>
    </row>
    <row r="813" spans="1:368" ht="13.95" customHeight="1">
      <c r="A813" s="1896" t="str">
        <f t="shared" si="337"/>
        <v/>
      </c>
      <c r="B813" s="2212">
        <f>'Part VI-Revenues &amp; Expenses'!B44</f>
        <v>0</v>
      </c>
      <c r="C813" s="2213">
        <f>'Part VI-Revenues &amp; Expenses'!C44</f>
        <v>0</v>
      </c>
      <c r="D813" s="2214">
        <f>'Part VI-Revenues &amp; Expenses'!D44</f>
        <v>0</v>
      </c>
      <c r="E813" s="2215">
        <f>'Part VI-Revenues &amp; Expenses'!E44</f>
        <v>0</v>
      </c>
      <c r="F813" s="2215">
        <f>'Part VI-Revenues &amp; Expenses'!F44</f>
        <v>0</v>
      </c>
      <c r="G813" s="2215">
        <f>'Part VI-Revenues &amp; Expenses'!G44</f>
        <v>0</v>
      </c>
      <c r="H813" s="2215">
        <f>'Part VI-Revenues &amp; Expenses'!H44</f>
        <v>0</v>
      </c>
      <c r="I813" s="2215">
        <f>'Part VI-Revenues &amp; Expenses'!I44</f>
        <v>0</v>
      </c>
      <c r="J813" s="2215">
        <f>'Part VI-Revenues &amp; Expenses'!J44</f>
        <v>0</v>
      </c>
      <c r="K813" s="2216">
        <f>'Part VI-Revenues &amp; Expenses'!K44</f>
        <v>0</v>
      </c>
      <c r="L813" s="1899">
        <f t="shared" si="0"/>
        <v>0</v>
      </c>
      <c r="M813" s="1899">
        <f t="shared" si="1"/>
        <v>0</v>
      </c>
      <c r="N813" s="2074">
        <f>'Part VI-Revenues &amp; Expenses'!N44</f>
        <v>0</v>
      </c>
      <c r="O813" s="2074">
        <f>'Part VI-Revenues &amp; Expenses'!O44</f>
        <v>0</v>
      </c>
      <c r="P813" s="2074">
        <f>'Part VI-Revenues &amp; Expenses'!P44</f>
        <v>0</v>
      </c>
      <c r="Q813" s="1732">
        <f>'Part VI-Revenues &amp; Expenses'!Q44</f>
        <v>0</v>
      </c>
      <c r="R813" s="1926"/>
      <c r="S813" s="2148"/>
      <c r="T813" s="1910"/>
      <c r="U813" s="1910"/>
      <c r="V813" s="1910"/>
      <c r="W813" s="1910"/>
      <c r="X813" s="1995" t="str">
        <f t="shared" si="2"/>
        <v/>
      </c>
      <c r="Y813" s="1995" t="str">
        <f t="shared" si="3"/>
        <v/>
      </c>
      <c r="Z813" s="1995" t="str">
        <f t="shared" si="4"/>
        <v/>
      </c>
      <c r="AA813" s="1995" t="str">
        <f t="shared" si="5"/>
        <v/>
      </c>
      <c r="AB813" s="1995" t="str">
        <f t="shared" si="6"/>
        <v/>
      </c>
      <c r="AC813" s="1995" t="str">
        <f t="shared" si="7"/>
        <v/>
      </c>
      <c r="AD813" s="1995" t="str">
        <f t="shared" si="8"/>
        <v/>
      </c>
      <c r="AE813" s="1995" t="str">
        <f t="shared" si="9"/>
        <v/>
      </c>
      <c r="AF813" s="1995" t="str">
        <f t="shared" si="10"/>
        <v/>
      </c>
      <c r="AG813" s="1995" t="str">
        <f t="shared" si="11"/>
        <v/>
      </c>
      <c r="AH813" s="1995" t="str">
        <f t="shared" si="12"/>
        <v/>
      </c>
      <c r="AI813" s="1995" t="str">
        <f t="shared" si="13"/>
        <v/>
      </c>
      <c r="AJ813" s="1995" t="str">
        <f t="shared" si="14"/>
        <v/>
      </c>
      <c r="AK813" s="1995" t="str">
        <f t="shared" si="15"/>
        <v/>
      </c>
      <c r="AL813" s="1995" t="str">
        <f t="shared" si="16"/>
        <v/>
      </c>
      <c r="AM813" s="1995" t="str">
        <f t="shared" si="17"/>
        <v/>
      </c>
      <c r="AN813" s="1995" t="str">
        <f t="shared" si="18"/>
        <v/>
      </c>
      <c r="AO813" s="1995" t="str">
        <f t="shared" si="19"/>
        <v/>
      </c>
      <c r="AP813" s="1995" t="str">
        <f t="shared" si="20"/>
        <v/>
      </c>
      <c r="AQ813" s="1995" t="str">
        <f t="shared" si="21"/>
        <v/>
      </c>
      <c r="AR813" s="1995" t="str">
        <f t="shared" si="22"/>
        <v/>
      </c>
      <c r="AS813" s="1995" t="str">
        <f t="shared" si="23"/>
        <v/>
      </c>
      <c r="AT813" s="1995" t="str">
        <f t="shared" si="24"/>
        <v/>
      </c>
      <c r="AU813" s="1995" t="str">
        <f t="shared" si="25"/>
        <v/>
      </c>
      <c r="AV813" s="1995" t="str">
        <f t="shared" si="26"/>
        <v/>
      </c>
      <c r="AW813" s="1995" t="str">
        <f t="shared" si="27"/>
        <v/>
      </c>
      <c r="AX813" s="1995" t="str">
        <f t="shared" si="28"/>
        <v/>
      </c>
      <c r="AY813" s="1995" t="str">
        <f t="shared" si="29"/>
        <v/>
      </c>
      <c r="AZ813" s="1995" t="str">
        <f t="shared" si="30"/>
        <v/>
      </c>
      <c r="BA813" s="1995" t="str">
        <f t="shared" si="31"/>
        <v/>
      </c>
      <c r="BB813" s="1995" t="str">
        <f t="shared" si="32"/>
        <v/>
      </c>
      <c r="BC813" s="1995" t="str">
        <f t="shared" si="33"/>
        <v/>
      </c>
      <c r="BD813" s="1995" t="str">
        <f t="shared" si="34"/>
        <v/>
      </c>
      <c r="BE813" s="1995" t="str">
        <f t="shared" si="35"/>
        <v/>
      </c>
      <c r="BF813" s="1995" t="str">
        <f t="shared" si="36"/>
        <v/>
      </c>
      <c r="BG813" s="1995" t="str">
        <f t="shared" si="37"/>
        <v/>
      </c>
      <c r="BH813" s="1995" t="str">
        <f t="shared" si="38"/>
        <v/>
      </c>
      <c r="BI813" s="1995" t="str">
        <f t="shared" si="39"/>
        <v/>
      </c>
      <c r="BJ813" s="1995" t="str">
        <f t="shared" si="40"/>
        <v/>
      </c>
      <c r="BK813" s="1995" t="str">
        <f t="shared" si="41"/>
        <v/>
      </c>
      <c r="BL813" s="1995" t="str">
        <f t="shared" si="42"/>
        <v/>
      </c>
      <c r="BM813" s="1995" t="str">
        <f t="shared" si="43"/>
        <v/>
      </c>
      <c r="BN813" s="1995" t="str">
        <f t="shared" si="44"/>
        <v/>
      </c>
      <c r="BO813" s="1995" t="str">
        <f t="shared" si="45"/>
        <v/>
      </c>
      <c r="BP813" s="1995" t="str">
        <f t="shared" si="46"/>
        <v/>
      </c>
      <c r="BQ813" s="1995" t="str">
        <f t="shared" si="47"/>
        <v/>
      </c>
      <c r="BR813" s="1995" t="str">
        <f t="shared" si="48"/>
        <v/>
      </c>
      <c r="BS813" s="1995" t="str">
        <f t="shared" si="49"/>
        <v/>
      </c>
      <c r="BT813" s="1995" t="str">
        <f t="shared" si="50"/>
        <v/>
      </c>
      <c r="BU813" s="1995" t="str">
        <f t="shared" si="51"/>
        <v/>
      </c>
      <c r="BV813" s="1995" t="str">
        <f t="shared" si="52"/>
        <v/>
      </c>
      <c r="BW813" s="1995" t="str">
        <f t="shared" si="53"/>
        <v/>
      </c>
      <c r="BX813" s="1995" t="str">
        <f t="shared" si="54"/>
        <v/>
      </c>
      <c r="BY813" s="1995" t="str">
        <f t="shared" si="55"/>
        <v/>
      </c>
      <c r="BZ813" s="1995" t="str">
        <f t="shared" si="56"/>
        <v/>
      </c>
      <c r="CA813" s="1995" t="str">
        <f t="shared" si="57"/>
        <v/>
      </c>
      <c r="CB813" s="1995" t="str">
        <f t="shared" si="58"/>
        <v/>
      </c>
      <c r="CC813" s="1995" t="str">
        <f t="shared" si="59"/>
        <v/>
      </c>
      <c r="CD813" s="1995" t="str">
        <f t="shared" si="60"/>
        <v/>
      </c>
      <c r="CE813" s="1995" t="str">
        <f t="shared" si="61"/>
        <v/>
      </c>
      <c r="CF813" s="1995" t="str">
        <f t="shared" si="62"/>
        <v/>
      </c>
      <c r="CG813" s="1995" t="str">
        <f t="shared" si="63"/>
        <v/>
      </c>
      <c r="CH813" s="1995" t="str">
        <f t="shared" si="64"/>
        <v/>
      </c>
      <c r="CI813" s="1995" t="str">
        <f t="shared" si="65"/>
        <v/>
      </c>
      <c r="CJ813" s="1995" t="str">
        <f t="shared" si="66"/>
        <v/>
      </c>
      <c r="CK813" s="1995" t="str">
        <f t="shared" si="67"/>
        <v/>
      </c>
      <c r="CL813" s="1995" t="str">
        <f t="shared" si="68"/>
        <v/>
      </c>
      <c r="CM813" s="1995" t="str">
        <f t="shared" si="69"/>
        <v/>
      </c>
      <c r="CN813" s="1995" t="str">
        <f t="shared" si="70"/>
        <v/>
      </c>
      <c r="CO813" s="1995" t="str">
        <f t="shared" si="71"/>
        <v/>
      </c>
      <c r="CP813" s="1995" t="str">
        <f t="shared" si="72"/>
        <v/>
      </c>
      <c r="CQ813" s="1995" t="str">
        <f t="shared" si="73"/>
        <v/>
      </c>
      <c r="CR813" s="1995" t="str">
        <f t="shared" si="74"/>
        <v/>
      </c>
      <c r="CS813" s="1995" t="str">
        <f t="shared" si="75"/>
        <v/>
      </c>
      <c r="CT813" s="1995" t="str">
        <f t="shared" si="76"/>
        <v/>
      </c>
      <c r="CU813" s="1995" t="str">
        <f t="shared" si="77"/>
        <v/>
      </c>
      <c r="CV813" s="1995" t="str">
        <f t="shared" si="78"/>
        <v/>
      </c>
      <c r="CW813" s="1995" t="str">
        <f t="shared" si="79"/>
        <v/>
      </c>
      <c r="CX813" s="1995" t="str">
        <f t="shared" si="80"/>
        <v/>
      </c>
      <c r="CY813" s="1995" t="str">
        <f t="shared" si="81"/>
        <v/>
      </c>
      <c r="CZ813" s="1995" t="str">
        <f t="shared" si="82"/>
        <v/>
      </c>
      <c r="DA813" s="1995" t="str">
        <f t="shared" si="83"/>
        <v/>
      </c>
      <c r="DB813" s="1995" t="str">
        <f t="shared" si="84"/>
        <v/>
      </c>
      <c r="DC813" s="1995" t="str">
        <f t="shared" si="85"/>
        <v/>
      </c>
      <c r="DD813" s="1995" t="str">
        <f t="shared" si="86"/>
        <v/>
      </c>
      <c r="DE813" s="1995" t="str">
        <f t="shared" si="87"/>
        <v/>
      </c>
      <c r="DF813" s="1995" t="str">
        <f t="shared" si="88"/>
        <v/>
      </c>
      <c r="DG813" s="1995" t="str">
        <f t="shared" si="89"/>
        <v/>
      </c>
      <c r="DH813" s="1995" t="str">
        <f t="shared" si="90"/>
        <v/>
      </c>
      <c r="DI813" s="1995" t="str">
        <f t="shared" si="91"/>
        <v/>
      </c>
      <c r="DJ813" s="1995" t="str">
        <f t="shared" si="92"/>
        <v/>
      </c>
      <c r="DK813" s="1995" t="str">
        <f t="shared" si="93"/>
        <v/>
      </c>
      <c r="DL813" s="1995" t="str">
        <f t="shared" si="94"/>
        <v/>
      </c>
      <c r="DM813" s="1995" t="str">
        <f t="shared" si="95"/>
        <v/>
      </c>
      <c r="DN813" s="1995" t="str">
        <f t="shared" si="96"/>
        <v/>
      </c>
      <c r="DO813" s="1995" t="str">
        <f t="shared" si="97"/>
        <v/>
      </c>
      <c r="DP813" s="1995" t="str">
        <f t="shared" si="98"/>
        <v/>
      </c>
      <c r="DQ813" s="1995" t="str">
        <f t="shared" si="99"/>
        <v/>
      </c>
      <c r="DR813" s="1995" t="str">
        <f t="shared" si="100"/>
        <v/>
      </c>
      <c r="DS813" s="1995" t="str">
        <f t="shared" si="101"/>
        <v/>
      </c>
      <c r="DT813" s="1995" t="str">
        <f t="shared" si="102"/>
        <v/>
      </c>
      <c r="DU813" s="1995" t="str">
        <f t="shared" si="103"/>
        <v/>
      </c>
      <c r="DV813" s="1995" t="str">
        <f t="shared" si="104"/>
        <v/>
      </c>
      <c r="DW813" s="1995" t="str">
        <f t="shared" si="105"/>
        <v/>
      </c>
      <c r="DX813" s="1995" t="str">
        <f t="shared" si="106"/>
        <v/>
      </c>
      <c r="DY813" s="1995" t="str">
        <f t="shared" si="107"/>
        <v/>
      </c>
      <c r="DZ813" s="1995" t="str">
        <f t="shared" si="108"/>
        <v/>
      </c>
      <c r="EA813" s="1995" t="str">
        <f t="shared" si="109"/>
        <v/>
      </c>
      <c r="EB813" s="1995" t="str">
        <f t="shared" si="110"/>
        <v/>
      </c>
      <c r="EC813" s="1995" t="str">
        <f t="shared" si="111"/>
        <v/>
      </c>
      <c r="ED813" s="1995" t="str">
        <f t="shared" si="112"/>
        <v/>
      </c>
      <c r="EE813" s="1995" t="str">
        <f t="shared" si="113"/>
        <v/>
      </c>
      <c r="EF813" s="1995" t="str">
        <f t="shared" si="114"/>
        <v/>
      </c>
      <c r="EG813" s="1995" t="str">
        <f t="shared" si="115"/>
        <v/>
      </c>
      <c r="EH813" s="1995" t="str">
        <f t="shared" si="116"/>
        <v/>
      </c>
      <c r="EI813" s="1995" t="str">
        <f t="shared" si="117"/>
        <v/>
      </c>
      <c r="EJ813" s="1995" t="str">
        <f t="shared" si="118"/>
        <v/>
      </c>
      <c r="EK813" s="1995" t="str">
        <f t="shared" si="119"/>
        <v/>
      </c>
      <c r="EL813" s="1995" t="str">
        <f t="shared" si="120"/>
        <v/>
      </c>
      <c r="EM813" s="1995" t="str">
        <f t="shared" si="121"/>
        <v/>
      </c>
      <c r="EN813" s="1995" t="str">
        <f t="shared" si="122"/>
        <v/>
      </c>
      <c r="EO813" s="1995" t="str">
        <f t="shared" si="123"/>
        <v/>
      </c>
      <c r="EP813" s="1995" t="str">
        <f t="shared" si="124"/>
        <v/>
      </c>
      <c r="EQ813" s="1995" t="str">
        <f t="shared" si="125"/>
        <v/>
      </c>
      <c r="ER813" s="1995" t="str">
        <f t="shared" si="126"/>
        <v/>
      </c>
      <c r="ES813" s="1995" t="str">
        <f t="shared" si="127"/>
        <v/>
      </c>
      <c r="ET813" s="1995" t="str">
        <f t="shared" si="128"/>
        <v/>
      </c>
      <c r="EU813" s="1995" t="str">
        <f t="shared" si="129"/>
        <v/>
      </c>
      <c r="EV813" s="1995" t="str">
        <f t="shared" si="130"/>
        <v/>
      </c>
      <c r="EW813" s="1995" t="str">
        <f t="shared" si="131"/>
        <v/>
      </c>
      <c r="EX813" s="1995" t="str">
        <f t="shared" si="132"/>
        <v/>
      </c>
      <c r="EY813" s="1995" t="str">
        <f t="shared" si="133"/>
        <v/>
      </c>
      <c r="EZ813" s="1995" t="str">
        <f t="shared" si="134"/>
        <v/>
      </c>
      <c r="FA813" s="1995" t="str">
        <f t="shared" si="135"/>
        <v/>
      </c>
      <c r="FB813" s="1995" t="str">
        <f t="shared" si="136"/>
        <v/>
      </c>
      <c r="FC813" s="1995" t="str">
        <f t="shared" si="137"/>
        <v/>
      </c>
      <c r="FD813" s="1995" t="str">
        <f t="shared" si="138"/>
        <v/>
      </c>
      <c r="FE813" s="1995" t="str">
        <f t="shared" si="139"/>
        <v/>
      </c>
      <c r="FF813" s="1995" t="str">
        <f t="shared" si="140"/>
        <v/>
      </c>
      <c r="FG813" s="1995" t="str">
        <f t="shared" si="141"/>
        <v/>
      </c>
      <c r="FH813" s="1995" t="str">
        <f t="shared" si="142"/>
        <v/>
      </c>
      <c r="FI813" s="1995" t="str">
        <f t="shared" si="143"/>
        <v/>
      </c>
      <c r="FJ813" s="1995" t="str">
        <f t="shared" si="144"/>
        <v/>
      </c>
      <c r="FK813" s="1995" t="str">
        <f t="shared" si="145"/>
        <v/>
      </c>
      <c r="FL813" s="1995" t="str">
        <f t="shared" si="146"/>
        <v/>
      </c>
      <c r="FM813" s="1995" t="str">
        <f t="shared" si="147"/>
        <v/>
      </c>
      <c r="FN813" s="1995" t="str">
        <f t="shared" si="148"/>
        <v/>
      </c>
      <c r="FO813" s="1995" t="str">
        <f t="shared" si="149"/>
        <v/>
      </c>
      <c r="FP813" s="1995" t="str">
        <f t="shared" si="150"/>
        <v/>
      </c>
      <c r="FQ813" s="1995" t="str">
        <f t="shared" si="151"/>
        <v/>
      </c>
      <c r="FR813" s="1995" t="str">
        <f t="shared" si="152"/>
        <v/>
      </c>
      <c r="FS813" s="1995" t="str">
        <f t="shared" si="153"/>
        <v/>
      </c>
      <c r="FT813" s="1995" t="str">
        <f t="shared" si="154"/>
        <v/>
      </c>
      <c r="FU813" s="1995" t="str">
        <f t="shared" si="155"/>
        <v/>
      </c>
      <c r="FV813" s="1995" t="str">
        <f t="shared" si="156"/>
        <v/>
      </c>
      <c r="FW813" s="1995" t="str">
        <f t="shared" si="157"/>
        <v/>
      </c>
      <c r="FX813" s="1995" t="str">
        <f t="shared" si="158"/>
        <v/>
      </c>
      <c r="FY813" s="1995" t="str">
        <f t="shared" si="159"/>
        <v/>
      </c>
      <c r="FZ813" s="1995" t="str">
        <f t="shared" si="160"/>
        <v/>
      </c>
      <c r="GA813" s="1995" t="str">
        <f t="shared" si="161"/>
        <v/>
      </c>
      <c r="GB813" s="1995" t="str">
        <f t="shared" si="162"/>
        <v/>
      </c>
      <c r="GC813" s="1995" t="str">
        <f t="shared" si="163"/>
        <v/>
      </c>
      <c r="GD813" s="1995" t="str">
        <f t="shared" si="164"/>
        <v/>
      </c>
      <c r="GE813" s="1995" t="str">
        <f t="shared" si="165"/>
        <v/>
      </c>
      <c r="GF813" s="1995" t="str">
        <f t="shared" si="166"/>
        <v/>
      </c>
      <c r="GG813" s="1995" t="str">
        <f t="shared" si="167"/>
        <v/>
      </c>
      <c r="GH813" s="1995" t="str">
        <f t="shared" si="168"/>
        <v/>
      </c>
      <c r="GI813" s="1995" t="str">
        <f t="shared" si="169"/>
        <v/>
      </c>
      <c r="GJ813" s="1995" t="str">
        <f t="shared" si="170"/>
        <v/>
      </c>
      <c r="GK813" s="1995" t="str">
        <f t="shared" si="171"/>
        <v/>
      </c>
      <c r="GL813" s="1995" t="str">
        <f t="shared" si="172"/>
        <v/>
      </c>
      <c r="GM813" s="1995" t="str">
        <f t="shared" si="173"/>
        <v/>
      </c>
      <c r="GN813" s="1995" t="str">
        <f t="shared" si="174"/>
        <v/>
      </c>
      <c r="GO813" s="1995" t="str">
        <f t="shared" si="175"/>
        <v/>
      </c>
      <c r="GP813" s="1995" t="str">
        <f t="shared" si="176"/>
        <v/>
      </c>
      <c r="GQ813" s="1995" t="str">
        <f t="shared" si="177"/>
        <v/>
      </c>
      <c r="GR813" s="1995" t="str">
        <f t="shared" si="178"/>
        <v/>
      </c>
      <c r="GS813" s="1995" t="str">
        <f t="shared" si="179"/>
        <v/>
      </c>
      <c r="GT813" s="1995" t="str">
        <f t="shared" si="180"/>
        <v/>
      </c>
      <c r="GU813" s="1995" t="str">
        <f t="shared" si="181"/>
        <v/>
      </c>
      <c r="GV813" s="1995" t="str">
        <f t="shared" si="182"/>
        <v/>
      </c>
      <c r="GW813" s="1995" t="str">
        <f t="shared" si="183"/>
        <v/>
      </c>
      <c r="GX813" s="1995" t="str">
        <f t="shared" si="184"/>
        <v/>
      </c>
      <c r="GY813" s="1995" t="str">
        <f t="shared" si="185"/>
        <v/>
      </c>
      <c r="GZ813" s="1995" t="str">
        <f t="shared" si="186"/>
        <v/>
      </c>
      <c r="HA813" s="1995" t="str">
        <f t="shared" si="187"/>
        <v/>
      </c>
      <c r="HB813" s="1995" t="str">
        <f t="shared" si="188"/>
        <v/>
      </c>
      <c r="HC813" s="1995" t="str">
        <f t="shared" si="189"/>
        <v/>
      </c>
      <c r="HD813" s="1995" t="str">
        <f t="shared" si="190"/>
        <v/>
      </c>
      <c r="HE813" s="1995" t="str">
        <f t="shared" si="191"/>
        <v/>
      </c>
      <c r="HF813" s="1995" t="str">
        <f t="shared" si="192"/>
        <v/>
      </c>
      <c r="HG813" s="1995" t="str">
        <f t="shared" si="193"/>
        <v/>
      </c>
      <c r="HH813" s="1995" t="str">
        <f t="shared" si="194"/>
        <v/>
      </c>
      <c r="HI813" s="1995" t="str">
        <f t="shared" si="195"/>
        <v/>
      </c>
      <c r="HJ813" s="1995" t="str">
        <f t="shared" si="196"/>
        <v/>
      </c>
      <c r="HK813" s="1995" t="str">
        <f t="shared" si="197"/>
        <v/>
      </c>
      <c r="HL813" s="1995" t="str">
        <f t="shared" si="198"/>
        <v/>
      </c>
      <c r="HM813" s="1995" t="str">
        <f t="shared" si="199"/>
        <v/>
      </c>
      <c r="HN813" s="1995" t="str">
        <f t="shared" si="200"/>
        <v/>
      </c>
      <c r="HO813" s="1995" t="str">
        <f t="shared" si="201"/>
        <v/>
      </c>
      <c r="HP813" s="1995" t="str">
        <f t="shared" si="202"/>
        <v/>
      </c>
      <c r="HQ813" s="1995" t="str">
        <f t="shared" si="203"/>
        <v/>
      </c>
      <c r="HR813" s="1995" t="str">
        <f t="shared" si="204"/>
        <v/>
      </c>
      <c r="HS813" s="1995" t="str">
        <f t="shared" si="205"/>
        <v/>
      </c>
      <c r="HT813" s="1995" t="str">
        <f t="shared" si="206"/>
        <v/>
      </c>
      <c r="HU813" s="1995" t="str">
        <f t="shared" si="207"/>
        <v/>
      </c>
      <c r="HV813" s="1995" t="str">
        <f t="shared" si="208"/>
        <v/>
      </c>
      <c r="HW813" s="1995" t="str">
        <f t="shared" si="209"/>
        <v/>
      </c>
      <c r="HX813" s="1995" t="str">
        <f t="shared" si="210"/>
        <v/>
      </c>
      <c r="HY813" s="1995" t="str">
        <f t="shared" si="211"/>
        <v/>
      </c>
      <c r="HZ813" s="1900" t="str">
        <f t="shared" si="212"/>
        <v/>
      </c>
      <c r="IA813" s="1900" t="str">
        <f t="shared" si="213"/>
        <v/>
      </c>
      <c r="IB813" s="1900" t="str">
        <f t="shared" si="214"/>
        <v/>
      </c>
      <c r="IC813" s="1900" t="str">
        <f t="shared" si="215"/>
        <v/>
      </c>
      <c r="ID813" s="1900" t="str">
        <f t="shared" si="216"/>
        <v/>
      </c>
      <c r="IE813" s="1900" t="str">
        <f t="shared" si="217"/>
        <v/>
      </c>
      <c r="IF813" s="1900" t="str">
        <f t="shared" si="218"/>
        <v/>
      </c>
      <c r="IG813" s="1900" t="str">
        <f t="shared" si="219"/>
        <v/>
      </c>
      <c r="IH813" s="1900" t="str">
        <f t="shared" si="220"/>
        <v/>
      </c>
      <c r="II813" s="1900" t="str">
        <f t="shared" si="221"/>
        <v/>
      </c>
      <c r="IJ813" s="1900" t="str">
        <f t="shared" si="222"/>
        <v/>
      </c>
      <c r="IK813" s="1900" t="str">
        <f t="shared" si="223"/>
        <v/>
      </c>
      <c r="IL813" s="1900" t="str">
        <f t="shared" si="224"/>
        <v/>
      </c>
      <c r="IM813" s="1900" t="str">
        <f t="shared" si="225"/>
        <v/>
      </c>
      <c r="IN813" s="1900" t="str">
        <f t="shared" si="226"/>
        <v/>
      </c>
      <c r="IO813" s="1900" t="str">
        <f t="shared" si="227"/>
        <v/>
      </c>
      <c r="IP813" s="1900" t="str">
        <f t="shared" si="228"/>
        <v/>
      </c>
      <c r="IQ813" s="1900" t="str">
        <f t="shared" si="229"/>
        <v/>
      </c>
      <c r="IR813" s="1900" t="str">
        <f t="shared" si="230"/>
        <v/>
      </c>
      <c r="IS813" s="1900" t="str">
        <f t="shared" si="231"/>
        <v/>
      </c>
      <c r="IT813" s="1900" t="str">
        <f t="shared" si="232"/>
        <v/>
      </c>
      <c r="IU813" s="1900" t="str">
        <f t="shared" si="233"/>
        <v/>
      </c>
      <c r="IV813" s="1900" t="str">
        <f t="shared" si="234"/>
        <v/>
      </c>
      <c r="IW813" s="1900" t="str">
        <f t="shared" si="235"/>
        <v/>
      </c>
      <c r="IX813" s="1900" t="str">
        <f t="shared" si="236"/>
        <v/>
      </c>
      <c r="IY813" s="1900" t="str">
        <f t="shared" si="237"/>
        <v/>
      </c>
      <c r="IZ813" s="1900" t="str">
        <f t="shared" si="238"/>
        <v/>
      </c>
      <c r="JA813" s="1900" t="str">
        <f t="shared" si="239"/>
        <v/>
      </c>
      <c r="JB813" s="1900" t="str">
        <f t="shared" si="240"/>
        <v/>
      </c>
      <c r="JC813" s="1900" t="str">
        <f t="shared" si="241"/>
        <v/>
      </c>
      <c r="JD813" s="1900" t="str">
        <f t="shared" si="242"/>
        <v/>
      </c>
      <c r="JE813" s="1900" t="str">
        <f t="shared" si="243"/>
        <v/>
      </c>
      <c r="JF813" s="1900" t="str">
        <f t="shared" si="244"/>
        <v/>
      </c>
      <c r="JG813" s="1900" t="str">
        <f t="shared" si="245"/>
        <v/>
      </c>
      <c r="JH813" s="1900" t="str">
        <f t="shared" si="246"/>
        <v/>
      </c>
      <c r="JI813" s="1900" t="str">
        <f t="shared" si="247"/>
        <v/>
      </c>
      <c r="JJ813" s="1900" t="str">
        <f t="shared" si="248"/>
        <v/>
      </c>
      <c r="JK813" s="1900" t="str">
        <f t="shared" si="249"/>
        <v/>
      </c>
      <c r="JL813" s="1900" t="str">
        <f t="shared" si="250"/>
        <v/>
      </c>
      <c r="JM813" s="1900" t="str">
        <f t="shared" si="251"/>
        <v/>
      </c>
      <c r="JN813" s="1900" t="str">
        <f t="shared" si="252"/>
        <v/>
      </c>
      <c r="JO813" s="1900" t="str">
        <f t="shared" si="253"/>
        <v/>
      </c>
      <c r="JP813" s="1900" t="str">
        <f t="shared" si="254"/>
        <v/>
      </c>
      <c r="JQ813" s="1900" t="str">
        <f t="shared" si="255"/>
        <v/>
      </c>
      <c r="JR813" s="1900" t="str">
        <f t="shared" si="256"/>
        <v/>
      </c>
      <c r="JS813" s="1900" t="str">
        <f t="shared" si="257"/>
        <v/>
      </c>
      <c r="JT813" s="1900" t="str">
        <f t="shared" si="258"/>
        <v/>
      </c>
      <c r="JU813" s="1900" t="str">
        <f t="shared" si="259"/>
        <v/>
      </c>
      <c r="JV813" s="1900" t="str">
        <f t="shared" si="260"/>
        <v/>
      </c>
      <c r="JW813" s="1900" t="str">
        <f t="shared" si="261"/>
        <v/>
      </c>
      <c r="JX813" s="1900" t="str">
        <f t="shared" si="262"/>
        <v/>
      </c>
      <c r="JY813" s="1900" t="str">
        <f t="shared" si="263"/>
        <v/>
      </c>
      <c r="JZ813" s="1900" t="str">
        <f t="shared" si="264"/>
        <v/>
      </c>
      <c r="KA813" s="1900" t="str">
        <f t="shared" si="265"/>
        <v/>
      </c>
      <c r="KB813" s="1900" t="str">
        <f t="shared" si="266"/>
        <v/>
      </c>
      <c r="KC813" s="1900" t="str">
        <f t="shared" si="267"/>
        <v/>
      </c>
      <c r="KD813" s="1900" t="str">
        <f t="shared" si="268"/>
        <v/>
      </c>
      <c r="KE813" s="1900" t="str">
        <f t="shared" si="269"/>
        <v/>
      </c>
      <c r="KF813" s="1900" t="str">
        <f t="shared" si="270"/>
        <v/>
      </c>
      <c r="KG813" s="1900" t="str">
        <f t="shared" si="271"/>
        <v/>
      </c>
      <c r="KH813" s="1900" t="str">
        <f t="shared" si="272"/>
        <v/>
      </c>
      <c r="KI813" s="1900" t="str">
        <f t="shared" si="273"/>
        <v/>
      </c>
      <c r="KJ813" s="1900" t="str">
        <f t="shared" si="274"/>
        <v/>
      </c>
      <c r="KK813" s="1900" t="str">
        <f t="shared" si="275"/>
        <v/>
      </c>
      <c r="KL813" s="1900" t="str">
        <f t="shared" si="276"/>
        <v/>
      </c>
      <c r="KM813" s="1900" t="str">
        <f t="shared" si="277"/>
        <v/>
      </c>
      <c r="KN813" s="1900" t="str">
        <f t="shared" si="278"/>
        <v/>
      </c>
      <c r="KO813" s="1900" t="str">
        <f t="shared" si="279"/>
        <v/>
      </c>
      <c r="KP813" s="1900" t="str">
        <f t="shared" si="280"/>
        <v/>
      </c>
      <c r="KQ813" s="1900" t="str">
        <f t="shared" si="281"/>
        <v/>
      </c>
      <c r="KR813" s="1900" t="str">
        <f t="shared" si="282"/>
        <v/>
      </c>
      <c r="KS813" s="1900" t="str">
        <f t="shared" si="283"/>
        <v/>
      </c>
      <c r="KT813" s="1900" t="str">
        <f t="shared" si="284"/>
        <v/>
      </c>
      <c r="KU813" s="1900" t="str">
        <f t="shared" si="285"/>
        <v/>
      </c>
      <c r="KV813" s="1900" t="str">
        <f t="shared" si="286"/>
        <v/>
      </c>
      <c r="KW813" s="1900" t="str">
        <f t="shared" si="287"/>
        <v/>
      </c>
      <c r="KX813" s="1900" t="str">
        <f t="shared" si="288"/>
        <v/>
      </c>
      <c r="KY813" s="1900" t="str">
        <f t="shared" si="289"/>
        <v/>
      </c>
      <c r="KZ813" s="1900" t="str">
        <f t="shared" si="290"/>
        <v/>
      </c>
      <c r="LA813" s="1900" t="str">
        <f t="shared" si="291"/>
        <v/>
      </c>
      <c r="LB813" s="1900" t="str">
        <f t="shared" si="292"/>
        <v/>
      </c>
      <c r="LC813" s="1900" t="str">
        <f t="shared" si="293"/>
        <v/>
      </c>
      <c r="LD813" s="1900" t="str">
        <f t="shared" si="294"/>
        <v/>
      </c>
      <c r="LE813" s="1900" t="str">
        <f t="shared" si="295"/>
        <v/>
      </c>
      <c r="LF813" s="1900" t="str">
        <f t="shared" si="296"/>
        <v/>
      </c>
      <c r="LG813" s="1900" t="str">
        <f t="shared" si="297"/>
        <v/>
      </c>
      <c r="LH813" s="1900" t="str">
        <f t="shared" si="298"/>
        <v/>
      </c>
      <c r="LI813" s="1900" t="str">
        <f t="shared" si="299"/>
        <v/>
      </c>
      <c r="LJ813" s="1900" t="str">
        <f t="shared" si="300"/>
        <v/>
      </c>
      <c r="LK813" s="1900" t="str">
        <f t="shared" si="301"/>
        <v/>
      </c>
      <c r="LL813" s="1900" t="str">
        <f t="shared" si="302"/>
        <v/>
      </c>
      <c r="LM813" s="1900" t="str">
        <f t="shared" si="303"/>
        <v/>
      </c>
      <c r="LN813" s="1900" t="str">
        <f t="shared" si="304"/>
        <v/>
      </c>
      <c r="LO813" s="1900" t="str">
        <f t="shared" si="305"/>
        <v/>
      </c>
      <c r="LP813" s="1900" t="str">
        <f t="shared" si="306"/>
        <v/>
      </c>
      <c r="LQ813" s="1874" t="str">
        <f t="shared" si="307"/>
        <v/>
      </c>
      <c r="LR813" s="1874" t="str">
        <f t="shared" si="308"/>
        <v/>
      </c>
      <c r="LS813" s="1874" t="str">
        <f t="shared" si="309"/>
        <v/>
      </c>
      <c r="LT813" s="1874" t="str">
        <f t="shared" si="310"/>
        <v/>
      </c>
      <c r="LU813" s="1874" t="str">
        <f t="shared" si="311"/>
        <v/>
      </c>
      <c r="LV813" s="1995" t="str">
        <f t="shared" si="312"/>
        <v/>
      </c>
      <c r="LW813" s="1995" t="str">
        <f t="shared" si="313"/>
        <v/>
      </c>
      <c r="LX813" s="1995" t="str">
        <f t="shared" si="314"/>
        <v/>
      </c>
      <c r="LY813" s="1995" t="str">
        <f t="shared" si="315"/>
        <v/>
      </c>
      <c r="LZ813" s="1995" t="str">
        <f t="shared" si="316"/>
        <v/>
      </c>
      <c r="MA813" s="1995" t="str">
        <f t="shared" si="317"/>
        <v/>
      </c>
      <c r="MB813" s="1995" t="str">
        <f t="shared" si="318"/>
        <v/>
      </c>
      <c r="MC813" s="1995" t="str">
        <f t="shared" si="319"/>
        <v/>
      </c>
      <c r="MD813" s="1995" t="str">
        <f t="shared" si="320"/>
        <v/>
      </c>
      <c r="ME813" s="1995" t="str">
        <f t="shared" si="321"/>
        <v/>
      </c>
      <c r="MF813" s="1995" t="str">
        <f t="shared" si="322"/>
        <v/>
      </c>
      <c r="MG813" s="1995" t="str">
        <f t="shared" si="323"/>
        <v/>
      </c>
      <c r="MH813" s="1995" t="str">
        <f t="shared" si="324"/>
        <v/>
      </c>
      <c r="MI813" s="1995" t="str">
        <f t="shared" si="325"/>
        <v/>
      </c>
      <c r="MJ813" s="1995" t="str">
        <f t="shared" si="326"/>
        <v/>
      </c>
      <c r="MK813" s="1995" t="str">
        <f t="shared" si="327"/>
        <v/>
      </c>
      <c r="ML813" s="1995" t="str">
        <f t="shared" si="328"/>
        <v/>
      </c>
      <c r="MM813" s="1995" t="str">
        <f t="shared" si="329"/>
        <v/>
      </c>
      <c r="MN813" s="1995" t="str">
        <f t="shared" si="330"/>
        <v/>
      </c>
      <c r="MO813" s="1995" t="str">
        <f t="shared" si="331"/>
        <v/>
      </c>
      <c r="MP813" s="1874">
        <f t="shared" si="338"/>
        <v>0</v>
      </c>
      <c r="MQ813" s="1874">
        <f t="shared" si="339"/>
        <v>0</v>
      </c>
      <c r="MR813" s="1874">
        <f t="shared" si="340"/>
        <v>0</v>
      </c>
      <c r="MS813" s="1874">
        <f t="shared" si="341"/>
        <v>0</v>
      </c>
      <c r="MT813" s="1874">
        <f t="shared" si="342"/>
        <v>0</v>
      </c>
      <c r="MU813" s="1874">
        <f t="shared" si="343"/>
        <v>0</v>
      </c>
      <c r="MV813" s="1874">
        <f t="shared" si="344"/>
        <v>0</v>
      </c>
      <c r="MW813" s="1874">
        <f t="shared" si="345"/>
        <v>0</v>
      </c>
      <c r="MX813" s="1874">
        <f t="shared" si="346"/>
        <v>0</v>
      </c>
      <c r="MY813" s="1874">
        <f t="shared" si="347"/>
        <v>0</v>
      </c>
      <c r="MZ813" s="1874">
        <f t="shared" si="332"/>
        <v>0</v>
      </c>
      <c r="NA813" s="1874">
        <f t="shared" si="333"/>
        <v>0</v>
      </c>
      <c r="NB813" s="1874">
        <f t="shared" si="334"/>
        <v>0</v>
      </c>
      <c r="NC813" s="1874">
        <f t="shared" si="335"/>
        <v>0</v>
      </c>
      <c r="ND813" s="1874">
        <f t="shared" si="336"/>
        <v>0</v>
      </c>
    </row>
    <row r="814" spans="1:368" ht="13.95" customHeight="1">
      <c r="A814" s="1896" t="str">
        <f t="shared" si="337"/>
        <v/>
      </c>
      <c r="B814" s="2212">
        <f>'Part VI-Revenues &amp; Expenses'!B45</f>
        <v>0</v>
      </c>
      <c r="C814" s="2213">
        <f>'Part VI-Revenues &amp; Expenses'!C45</f>
        <v>0</v>
      </c>
      <c r="D814" s="2214">
        <f>'Part VI-Revenues &amp; Expenses'!D45</f>
        <v>0</v>
      </c>
      <c r="E814" s="2215">
        <f>'Part VI-Revenues &amp; Expenses'!E45</f>
        <v>0</v>
      </c>
      <c r="F814" s="2215">
        <f>'Part VI-Revenues &amp; Expenses'!F45</f>
        <v>0</v>
      </c>
      <c r="G814" s="2215">
        <f>'Part VI-Revenues &amp; Expenses'!G45</f>
        <v>0</v>
      </c>
      <c r="H814" s="2215">
        <f>'Part VI-Revenues &amp; Expenses'!H45</f>
        <v>0</v>
      </c>
      <c r="I814" s="2215">
        <f>'Part VI-Revenues &amp; Expenses'!I45</f>
        <v>0</v>
      </c>
      <c r="J814" s="2215">
        <f>'Part VI-Revenues &amp; Expenses'!J45</f>
        <v>0</v>
      </c>
      <c r="K814" s="2216">
        <f>'Part VI-Revenues &amp; Expenses'!K45</f>
        <v>0</v>
      </c>
      <c r="L814" s="1899">
        <f t="shared" si="0"/>
        <v>0</v>
      </c>
      <c r="M814" s="1899">
        <f t="shared" si="1"/>
        <v>0</v>
      </c>
      <c r="N814" s="2074">
        <f>'Part VI-Revenues &amp; Expenses'!N45</f>
        <v>0</v>
      </c>
      <c r="O814" s="2074">
        <f>'Part VI-Revenues &amp; Expenses'!O45</f>
        <v>0</v>
      </c>
      <c r="P814" s="2074">
        <f>'Part VI-Revenues &amp; Expenses'!P45</f>
        <v>0</v>
      </c>
      <c r="Q814" s="1732">
        <f>'Part VI-Revenues &amp; Expenses'!Q45</f>
        <v>0</v>
      </c>
      <c r="R814" s="1926"/>
      <c r="S814" s="2148"/>
      <c r="T814" s="1910"/>
      <c r="U814" s="1910"/>
      <c r="V814" s="1910"/>
      <c r="W814" s="1910"/>
      <c r="X814" s="1995" t="str">
        <f t="shared" si="2"/>
        <v/>
      </c>
      <c r="Y814" s="1995" t="str">
        <f t="shared" si="3"/>
        <v/>
      </c>
      <c r="Z814" s="1995" t="str">
        <f t="shared" si="4"/>
        <v/>
      </c>
      <c r="AA814" s="1995" t="str">
        <f t="shared" si="5"/>
        <v/>
      </c>
      <c r="AB814" s="1995" t="str">
        <f t="shared" si="6"/>
        <v/>
      </c>
      <c r="AC814" s="1995" t="str">
        <f t="shared" si="7"/>
        <v/>
      </c>
      <c r="AD814" s="1995" t="str">
        <f t="shared" si="8"/>
        <v/>
      </c>
      <c r="AE814" s="1995" t="str">
        <f t="shared" si="9"/>
        <v/>
      </c>
      <c r="AF814" s="1995" t="str">
        <f t="shared" si="10"/>
        <v/>
      </c>
      <c r="AG814" s="1995" t="str">
        <f t="shared" si="11"/>
        <v/>
      </c>
      <c r="AH814" s="1995" t="str">
        <f t="shared" si="12"/>
        <v/>
      </c>
      <c r="AI814" s="1995" t="str">
        <f t="shared" si="13"/>
        <v/>
      </c>
      <c r="AJ814" s="1995" t="str">
        <f t="shared" si="14"/>
        <v/>
      </c>
      <c r="AK814" s="1995" t="str">
        <f t="shared" si="15"/>
        <v/>
      </c>
      <c r="AL814" s="1995" t="str">
        <f t="shared" si="16"/>
        <v/>
      </c>
      <c r="AM814" s="1995" t="str">
        <f t="shared" si="17"/>
        <v/>
      </c>
      <c r="AN814" s="1995" t="str">
        <f t="shared" si="18"/>
        <v/>
      </c>
      <c r="AO814" s="1995" t="str">
        <f t="shared" si="19"/>
        <v/>
      </c>
      <c r="AP814" s="1995" t="str">
        <f t="shared" si="20"/>
        <v/>
      </c>
      <c r="AQ814" s="1995" t="str">
        <f t="shared" si="21"/>
        <v/>
      </c>
      <c r="AR814" s="1995" t="str">
        <f t="shared" si="22"/>
        <v/>
      </c>
      <c r="AS814" s="1995" t="str">
        <f t="shared" si="23"/>
        <v/>
      </c>
      <c r="AT814" s="1995" t="str">
        <f t="shared" si="24"/>
        <v/>
      </c>
      <c r="AU814" s="1995" t="str">
        <f t="shared" si="25"/>
        <v/>
      </c>
      <c r="AV814" s="1995" t="str">
        <f t="shared" si="26"/>
        <v/>
      </c>
      <c r="AW814" s="1995" t="str">
        <f t="shared" si="27"/>
        <v/>
      </c>
      <c r="AX814" s="1995" t="str">
        <f t="shared" si="28"/>
        <v/>
      </c>
      <c r="AY814" s="1995" t="str">
        <f t="shared" si="29"/>
        <v/>
      </c>
      <c r="AZ814" s="1995" t="str">
        <f t="shared" si="30"/>
        <v/>
      </c>
      <c r="BA814" s="1995" t="str">
        <f t="shared" si="31"/>
        <v/>
      </c>
      <c r="BB814" s="1995" t="str">
        <f t="shared" si="32"/>
        <v/>
      </c>
      <c r="BC814" s="1995" t="str">
        <f t="shared" si="33"/>
        <v/>
      </c>
      <c r="BD814" s="1995" t="str">
        <f t="shared" si="34"/>
        <v/>
      </c>
      <c r="BE814" s="1995" t="str">
        <f t="shared" si="35"/>
        <v/>
      </c>
      <c r="BF814" s="1995" t="str">
        <f t="shared" si="36"/>
        <v/>
      </c>
      <c r="BG814" s="1995" t="str">
        <f t="shared" si="37"/>
        <v/>
      </c>
      <c r="BH814" s="1995" t="str">
        <f t="shared" si="38"/>
        <v/>
      </c>
      <c r="BI814" s="1995" t="str">
        <f t="shared" si="39"/>
        <v/>
      </c>
      <c r="BJ814" s="1995" t="str">
        <f t="shared" si="40"/>
        <v/>
      </c>
      <c r="BK814" s="1995" t="str">
        <f t="shared" si="41"/>
        <v/>
      </c>
      <c r="BL814" s="1995" t="str">
        <f t="shared" si="42"/>
        <v/>
      </c>
      <c r="BM814" s="1995" t="str">
        <f t="shared" si="43"/>
        <v/>
      </c>
      <c r="BN814" s="1995" t="str">
        <f t="shared" si="44"/>
        <v/>
      </c>
      <c r="BO814" s="1995" t="str">
        <f t="shared" si="45"/>
        <v/>
      </c>
      <c r="BP814" s="1995" t="str">
        <f t="shared" si="46"/>
        <v/>
      </c>
      <c r="BQ814" s="1995" t="str">
        <f t="shared" si="47"/>
        <v/>
      </c>
      <c r="BR814" s="1995" t="str">
        <f t="shared" si="48"/>
        <v/>
      </c>
      <c r="BS814" s="1995" t="str">
        <f t="shared" si="49"/>
        <v/>
      </c>
      <c r="BT814" s="1995" t="str">
        <f t="shared" si="50"/>
        <v/>
      </c>
      <c r="BU814" s="1995" t="str">
        <f t="shared" si="51"/>
        <v/>
      </c>
      <c r="BV814" s="1995" t="str">
        <f t="shared" si="52"/>
        <v/>
      </c>
      <c r="BW814" s="1995" t="str">
        <f t="shared" si="53"/>
        <v/>
      </c>
      <c r="BX814" s="1995" t="str">
        <f t="shared" si="54"/>
        <v/>
      </c>
      <c r="BY814" s="1995" t="str">
        <f t="shared" si="55"/>
        <v/>
      </c>
      <c r="BZ814" s="1995" t="str">
        <f t="shared" si="56"/>
        <v/>
      </c>
      <c r="CA814" s="1995" t="str">
        <f t="shared" si="57"/>
        <v/>
      </c>
      <c r="CB814" s="1995" t="str">
        <f t="shared" si="58"/>
        <v/>
      </c>
      <c r="CC814" s="1995" t="str">
        <f t="shared" si="59"/>
        <v/>
      </c>
      <c r="CD814" s="1995" t="str">
        <f t="shared" si="60"/>
        <v/>
      </c>
      <c r="CE814" s="1995" t="str">
        <f t="shared" si="61"/>
        <v/>
      </c>
      <c r="CF814" s="1995" t="str">
        <f t="shared" si="62"/>
        <v/>
      </c>
      <c r="CG814" s="1995" t="str">
        <f t="shared" si="63"/>
        <v/>
      </c>
      <c r="CH814" s="1995" t="str">
        <f t="shared" si="64"/>
        <v/>
      </c>
      <c r="CI814" s="1995" t="str">
        <f t="shared" si="65"/>
        <v/>
      </c>
      <c r="CJ814" s="1995" t="str">
        <f t="shared" si="66"/>
        <v/>
      </c>
      <c r="CK814" s="1995" t="str">
        <f t="shared" si="67"/>
        <v/>
      </c>
      <c r="CL814" s="1995" t="str">
        <f t="shared" si="68"/>
        <v/>
      </c>
      <c r="CM814" s="1995" t="str">
        <f t="shared" si="69"/>
        <v/>
      </c>
      <c r="CN814" s="1995" t="str">
        <f t="shared" si="70"/>
        <v/>
      </c>
      <c r="CO814" s="1995" t="str">
        <f t="shared" si="71"/>
        <v/>
      </c>
      <c r="CP814" s="1995" t="str">
        <f t="shared" si="72"/>
        <v/>
      </c>
      <c r="CQ814" s="1995" t="str">
        <f t="shared" si="73"/>
        <v/>
      </c>
      <c r="CR814" s="1995" t="str">
        <f t="shared" si="74"/>
        <v/>
      </c>
      <c r="CS814" s="1995" t="str">
        <f t="shared" si="75"/>
        <v/>
      </c>
      <c r="CT814" s="1995" t="str">
        <f t="shared" si="76"/>
        <v/>
      </c>
      <c r="CU814" s="1995" t="str">
        <f t="shared" si="77"/>
        <v/>
      </c>
      <c r="CV814" s="1995" t="str">
        <f t="shared" si="78"/>
        <v/>
      </c>
      <c r="CW814" s="1995" t="str">
        <f t="shared" si="79"/>
        <v/>
      </c>
      <c r="CX814" s="1995" t="str">
        <f t="shared" si="80"/>
        <v/>
      </c>
      <c r="CY814" s="1995" t="str">
        <f t="shared" si="81"/>
        <v/>
      </c>
      <c r="CZ814" s="1995" t="str">
        <f t="shared" si="82"/>
        <v/>
      </c>
      <c r="DA814" s="1995" t="str">
        <f t="shared" si="83"/>
        <v/>
      </c>
      <c r="DB814" s="1995" t="str">
        <f t="shared" si="84"/>
        <v/>
      </c>
      <c r="DC814" s="1995" t="str">
        <f t="shared" si="85"/>
        <v/>
      </c>
      <c r="DD814" s="1995" t="str">
        <f t="shared" si="86"/>
        <v/>
      </c>
      <c r="DE814" s="1995" t="str">
        <f t="shared" si="87"/>
        <v/>
      </c>
      <c r="DF814" s="1995" t="str">
        <f t="shared" si="88"/>
        <v/>
      </c>
      <c r="DG814" s="1995" t="str">
        <f t="shared" si="89"/>
        <v/>
      </c>
      <c r="DH814" s="1995" t="str">
        <f t="shared" si="90"/>
        <v/>
      </c>
      <c r="DI814" s="1995" t="str">
        <f t="shared" si="91"/>
        <v/>
      </c>
      <c r="DJ814" s="1995" t="str">
        <f t="shared" si="92"/>
        <v/>
      </c>
      <c r="DK814" s="1995" t="str">
        <f t="shared" si="93"/>
        <v/>
      </c>
      <c r="DL814" s="1995" t="str">
        <f t="shared" si="94"/>
        <v/>
      </c>
      <c r="DM814" s="1995" t="str">
        <f t="shared" si="95"/>
        <v/>
      </c>
      <c r="DN814" s="1995" t="str">
        <f t="shared" si="96"/>
        <v/>
      </c>
      <c r="DO814" s="1995" t="str">
        <f t="shared" si="97"/>
        <v/>
      </c>
      <c r="DP814" s="1995" t="str">
        <f t="shared" si="98"/>
        <v/>
      </c>
      <c r="DQ814" s="1995" t="str">
        <f t="shared" si="99"/>
        <v/>
      </c>
      <c r="DR814" s="1995" t="str">
        <f t="shared" si="100"/>
        <v/>
      </c>
      <c r="DS814" s="1995" t="str">
        <f t="shared" si="101"/>
        <v/>
      </c>
      <c r="DT814" s="1995" t="str">
        <f t="shared" si="102"/>
        <v/>
      </c>
      <c r="DU814" s="1995" t="str">
        <f t="shared" si="103"/>
        <v/>
      </c>
      <c r="DV814" s="1995" t="str">
        <f t="shared" si="104"/>
        <v/>
      </c>
      <c r="DW814" s="1995" t="str">
        <f t="shared" si="105"/>
        <v/>
      </c>
      <c r="DX814" s="1995" t="str">
        <f t="shared" si="106"/>
        <v/>
      </c>
      <c r="DY814" s="1995" t="str">
        <f t="shared" si="107"/>
        <v/>
      </c>
      <c r="DZ814" s="1995" t="str">
        <f t="shared" si="108"/>
        <v/>
      </c>
      <c r="EA814" s="1995" t="str">
        <f t="shared" si="109"/>
        <v/>
      </c>
      <c r="EB814" s="1995" t="str">
        <f t="shared" si="110"/>
        <v/>
      </c>
      <c r="EC814" s="1995" t="str">
        <f t="shared" si="111"/>
        <v/>
      </c>
      <c r="ED814" s="1995" t="str">
        <f t="shared" si="112"/>
        <v/>
      </c>
      <c r="EE814" s="1995" t="str">
        <f t="shared" si="113"/>
        <v/>
      </c>
      <c r="EF814" s="1995" t="str">
        <f t="shared" si="114"/>
        <v/>
      </c>
      <c r="EG814" s="1995" t="str">
        <f t="shared" si="115"/>
        <v/>
      </c>
      <c r="EH814" s="1995" t="str">
        <f t="shared" si="116"/>
        <v/>
      </c>
      <c r="EI814" s="1995" t="str">
        <f t="shared" si="117"/>
        <v/>
      </c>
      <c r="EJ814" s="1995" t="str">
        <f t="shared" si="118"/>
        <v/>
      </c>
      <c r="EK814" s="1995" t="str">
        <f t="shared" si="119"/>
        <v/>
      </c>
      <c r="EL814" s="1995" t="str">
        <f t="shared" si="120"/>
        <v/>
      </c>
      <c r="EM814" s="1995" t="str">
        <f t="shared" si="121"/>
        <v/>
      </c>
      <c r="EN814" s="1995" t="str">
        <f t="shared" si="122"/>
        <v/>
      </c>
      <c r="EO814" s="1995" t="str">
        <f t="shared" si="123"/>
        <v/>
      </c>
      <c r="EP814" s="1995" t="str">
        <f t="shared" si="124"/>
        <v/>
      </c>
      <c r="EQ814" s="1995" t="str">
        <f t="shared" si="125"/>
        <v/>
      </c>
      <c r="ER814" s="1995" t="str">
        <f t="shared" si="126"/>
        <v/>
      </c>
      <c r="ES814" s="1995" t="str">
        <f t="shared" si="127"/>
        <v/>
      </c>
      <c r="ET814" s="1995" t="str">
        <f t="shared" si="128"/>
        <v/>
      </c>
      <c r="EU814" s="1995" t="str">
        <f t="shared" si="129"/>
        <v/>
      </c>
      <c r="EV814" s="1995" t="str">
        <f t="shared" si="130"/>
        <v/>
      </c>
      <c r="EW814" s="1995" t="str">
        <f t="shared" si="131"/>
        <v/>
      </c>
      <c r="EX814" s="1995" t="str">
        <f t="shared" si="132"/>
        <v/>
      </c>
      <c r="EY814" s="1995" t="str">
        <f t="shared" si="133"/>
        <v/>
      </c>
      <c r="EZ814" s="1995" t="str">
        <f t="shared" si="134"/>
        <v/>
      </c>
      <c r="FA814" s="1995" t="str">
        <f t="shared" si="135"/>
        <v/>
      </c>
      <c r="FB814" s="1995" t="str">
        <f t="shared" si="136"/>
        <v/>
      </c>
      <c r="FC814" s="1995" t="str">
        <f t="shared" si="137"/>
        <v/>
      </c>
      <c r="FD814" s="1995" t="str">
        <f t="shared" si="138"/>
        <v/>
      </c>
      <c r="FE814" s="1995" t="str">
        <f t="shared" si="139"/>
        <v/>
      </c>
      <c r="FF814" s="1995" t="str">
        <f t="shared" si="140"/>
        <v/>
      </c>
      <c r="FG814" s="1995" t="str">
        <f t="shared" si="141"/>
        <v/>
      </c>
      <c r="FH814" s="1995" t="str">
        <f t="shared" si="142"/>
        <v/>
      </c>
      <c r="FI814" s="1995" t="str">
        <f t="shared" si="143"/>
        <v/>
      </c>
      <c r="FJ814" s="1995" t="str">
        <f t="shared" si="144"/>
        <v/>
      </c>
      <c r="FK814" s="1995" t="str">
        <f t="shared" si="145"/>
        <v/>
      </c>
      <c r="FL814" s="1995" t="str">
        <f t="shared" si="146"/>
        <v/>
      </c>
      <c r="FM814" s="1995" t="str">
        <f t="shared" si="147"/>
        <v/>
      </c>
      <c r="FN814" s="1995" t="str">
        <f t="shared" si="148"/>
        <v/>
      </c>
      <c r="FO814" s="1995" t="str">
        <f t="shared" si="149"/>
        <v/>
      </c>
      <c r="FP814" s="1995" t="str">
        <f t="shared" si="150"/>
        <v/>
      </c>
      <c r="FQ814" s="1995" t="str">
        <f t="shared" si="151"/>
        <v/>
      </c>
      <c r="FR814" s="1995" t="str">
        <f t="shared" si="152"/>
        <v/>
      </c>
      <c r="FS814" s="1995" t="str">
        <f t="shared" si="153"/>
        <v/>
      </c>
      <c r="FT814" s="1995" t="str">
        <f t="shared" si="154"/>
        <v/>
      </c>
      <c r="FU814" s="1995" t="str">
        <f t="shared" si="155"/>
        <v/>
      </c>
      <c r="FV814" s="1995" t="str">
        <f t="shared" si="156"/>
        <v/>
      </c>
      <c r="FW814" s="1995" t="str">
        <f t="shared" si="157"/>
        <v/>
      </c>
      <c r="FX814" s="1995" t="str">
        <f t="shared" si="158"/>
        <v/>
      </c>
      <c r="FY814" s="1995" t="str">
        <f t="shared" si="159"/>
        <v/>
      </c>
      <c r="FZ814" s="1995" t="str">
        <f t="shared" si="160"/>
        <v/>
      </c>
      <c r="GA814" s="1995" t="str">
        <f t="shared" si="161"/>
        <v/>
      </c>
      <c r="GB814" s="1995" t="str">
        <f t="shared" si="162"/>
        <v/>
      </c>
      <c r="GC814" s="1995" t="str">
        <f t="shared" si="163"/>
        <v/>
      </c>
      <c r="GD814" s="1995" t="str">
        <f t="shared" si="164"/>
        <v/>
      </c>
      <c r="GE814" s="1995" t="str">
        <f t="shared" si="165"/>
        <v/>
      </c>
      <c r="GF814" s="1995" t="str">
        <f t="shared" si="166"/>
        <v/>
      </c>
      <c r="GG814" s="1995" t="str">
        <f t="shared" si="167"/>
        <v/>
      </c>
      <c r="GH814" s="1995" t="str">
        <f t="shared" si="168"/>
        <v/>
      </c>
      <c r="GI814" s="1995" t="str">
        <f t="shared" si="169"/>
        <v/>
      </c>
      <c r="GJ814" s="1995" t="str">
        <f t="shared" si="170"/>
        <v/>
      </c>
      <c r="GK814" s="1995" t="str">
        <f t="shared" si="171"/>
        <v/>
      </c>
      <c r="GL814" s="1995" t="str">
        <f t="shared" si="172"/>
        <v/>
      </c>
      <c r="GM814" s="1995" t="str">
        <f t="shared" si="173"/>
        <v/>
      </c>
      <c r="GN814" s="1995" t="str">
        <f t="shared" si="174"/>
        <v/>
      </c>
      <c r="GO814" s="1995" t="str">
        <f t="shared" si="175"/>
        <v/>
      </c>
      <c r="GP814" s="1995" t="str">
        <f t="shared" si="176"/>
        <v/>
      </c>
      <c r="GQ814" s="1995" t="str">
        <f t="shared" si="177"/>
        <v/>
      </c>
      <c r="GR814" s="1995" t="str">
        <f t="shared" si="178"/>
        <v/>
      </c>
      <c r="GS814" s="1995" t="str">
        <f t="shared" si="179"/>
        <v/>
      </c>
      <c r="GT814" s="1995" t="str">
        <f t="shared" si="180"/>
        <v/>
      </c>
      <c r="GU814" s="1995" t="str">
        <f t="shared" si="181"/>
        <v/>
      </c>
      <c r="GV814" s="1995" t="str">
        <f t="shared" si="182"/>
        <v/>
      </c>
      <c r="GW814" s="1995" t="str">
        <f t="shared" si="183"/>
        <v/>
      </c>
      <c r="GX814" s="1995" t="str">
        <f t="shared" si="184"/>
        <v/>
      </c>
      <c r="GY814" s="1995" t="str">
        <f t="shared" si="185"/>
        <v/>
      </c>
      <c r="GZ814" s="1995" t="str">
        <f t="shared" si="186"/>
        <v/>
      </c>
      <c r="HA814" s="1995" t="str">
        <f t="shared" si="187"/>
        <v/>
      </c>
      <c r="HB814" s="1995" t="str">
        <f t="shared" si="188"/>
        <v/>
      </c>
      <c r="HC814" s="1995" t="str">
        <f t="shared" si="189"/>
        <v/>
      </c>
      <c r="HD814" s="1995" t="str">
        <f t="shared" si="190"/>
        <v/>
      </c>
      <c r="HE814" s="1995" t="str">
        <f t="shared" si="191"/>
        <v/>
      </c>
      <c r="HF814" s="1995" t="str">
        <f t="shared" si="192"/>
        <v/>
      </c>
      <c r="HG814" s="1995" t="str">
        <f t="shared" si="193"/>
        <v/>
      </c>
      <c r="HH814" s="1995" t="str">
        <f t="shared" si="194"/>
        <v/>
      </c>
      <c r="HI814" s="1995" t="str">
        <f t="shared" si="195"/>
        <v/>
      </c>
      <c r="HJ814" s="1995" t="str">
        <f t="shared" si="196"/>
        <v/>
      </c>
      <c r="HK814" s="1995" t="str">
        <f t="shared" si="197"/>
        <v/>
      </c>
      <c r="HL814" s="1995" t="str">
        <f t="shared" si="198"/>
        <v/>
      </c>
      <c r="HM814" s="1995" t="str">
        <f t="shared" si="199"/>
        <v/>
      </c>
      <c r="HN814" s="1995" t="str">
        <f t="shared" si="200"/>
        <v/>
      </c>
      <c r="HO814" s="1995" t="str">
        <f t="shared" si="201"/>
        <v/>
      </c>
      <c r="HP814" s="1995" t="str">
        <f t="shared" si="202"/>
        <v/>
      </c>
      <c r="HQ814" s="1995" t="str">
        <f t="shared" si="203"/>
        <v/>
      </c>
      <c r="HR814" s="1995" t="str">
        <f t="shared" si="204"/>
        <v/>
      </c>
      <c r="HS814" s="1995" t="str">
        <f t="shared" si="205"/>
        <v/>
      </c>
      <c r="HT814" s="1995" t="str">
        <f t="shared" si="206"/>
        <v/>
      </c>
      <c r="HU814" s="1995" t="str">
        <f t="shared" si="207"/>
        <v/>
      </c>
      <c r="HV814" s="1995" t="str">
        <f t="shared" si="208"/>
        <v/>
      </c>
      <c r="HW814" s="1995" t="str">
        <f t="shared" si="209"/>
        <v/>
      </c>
      <c r="HX814" s="1995" t="str">
        <f t="shared" si="210"/>
        <v/>
      </c>
      <c r="HY814" s="1995" t="str">
        <f t="shared" si="211"/>
        <v/>
      </c>
      <c r="HZ814" s="1900" t="str">
        <f t="shared" si="212"/>
        <v/>
      </c>
      <c r="IA814" s="1900" t="str">
        <f t="shared" si="213"/>
        <v/>
      </c>
      <c r="IB814" s="1900" t="str">
        <f t="shared" si="214"/>
        <v/>
      </c>
      <c r="IC814" s="1900" t="str">
        <f t="shared" si="215"/>
        <v/>
      </c>
      <c r="ID814" s="1900" t="str">
        <f t="shared" si="216"/>
        <v/>
      </c>
      <c r="IE814" s="1900" t="str">
        <f t="shared" si="217"/>
        <v/>
      </c>
      <c r="IF814" s="1900" t="str">
        <f t="shared" si="218"/>
        <v/>
      </c>
      <c r="IG814" s="1900" t="str">
        <f t="shared" si="219"/>
        <v/>
      </c>
      <c r="IH814" s="1900" t="str">
        <f t="shared" si="220"/>
        <v/>
      </c>
      <c r="II814" s="1900" t="str">
        <f t="shared" si="221"/>
        <v/>
      </c>
      <c r="IJ814" s="1900" t="str">
        <f t="shared" si="222"/>
        <v/>
      </c>
      <c r="IK814" s="1900" t="str">
        <f t="shared" si="223"/>
        <v/>
      </c>
      <c r="IL814" s="1900" t="str">
        <f t="shared" si="224"/>
        <v/>
      </c>
      <c r="IM814" s="1900" t="str">
        <f t="shared" si="225"/>
        <v/>
      </c>
      <c r="IN814" s="1900" t="str">
        <f t="shared" si="226"/>
        <v/>
      </c>
      <c r="IO814" s="1900" t="str">
        <f t="shared" si="227"/>
        <v/>
      </c>
      <c r="IP814" s="1900" t="str">
        <f t="shared" si="228"/>
        <v/>
      </c>
      <c r="IQ814" s="1900" t="str">
        <f t="shared" si="229"/>
        <v/>
      </c>
      <c r="IR814" s="1900" t="str">
        <f t="shared" si="230"/>
        <v/>
      </c>
      <c r="IS814" s="1900" t="str">
        <f t="shared" si="231"/>
        <v/>
      </c>
      <c r="IT814" s="1900" t="str">
        <f t="shared" si="232"/>
        <v/>
      </c>
      <c r="IU814" s="1900" t="str">
        <f t="shared" si="233"/>
        <v/>
      </c>
      <c r="IV814" s="1900" t="str">
        <f t="shared" si="234"/>
        <v/>
      </c>
      <c r="IW814" s="1900" t="str">
        <f t="shared" si="235"/>
        <v/>
      </c>
      <c r="IX814" s="1900" t="str">
        <f t="shared" si="236"/>
        <v/>
      </c>
      <c r="IY814" s="1900" t="str">
        <f t="shared" si="237"/>
        <v/>
      </c>
      <c r="IZ814" s="1900" t="str">
        <f t="shared" si="238"/>
        <v/>
      </c>
      <c r="JA814" s="1900" t="str">
        <f t="shared" si="239"/>
        <v/>
      </c>
      <c r="JB814" s="1900" t="str">
        <f t="shared" si="240"/>
        <v/>
      </c>
      <c r="JC814" s="1900" t="str">
        <f t="shared" si="241"/>
        <v/>
      </c>
      <c r="JD814" s="1900" t="str">
        <f t="shared" si="242"/>
        <v/>
      </c>
      <c r="JE814" s="1900" t="str">
        <f t="shared" si="243"/>
        <v/>
      </c>
      <c r="JF814" s="1900" t="str">
        <f t="shared" si="244"/>
        <v/>
      </c>
      <c r="JG814" s="1900" t="str">
        <f t="shared" si="245"/>
        <v/>
      </c>
      <c r="JH814" s="1900" t="str">
        <f t="shared" si="246"/>
        <v/>
      </c>
      <c r="JI814" s="1900" t="str">
        <f t="shared" si="247"/>
        <v/>
      </c>
      <c r="JJ814" s="1900" t="str">
        <f t="shared" si="248"/>
        <v/>
      </c>
      <c r="JK814" s="1900" t="str">
        <f t="shared" si="249"/>
        <v/>
      </c>
      <c r="JL814" s="1900" t="str">
        <f t="shared" si="250"/>
        <v/>
      </c>
      <c r="JM814" s="1900" t="str">
        <f t="shared" si="251"/>
        <v/>
      </c>
      <c r="JN814" s="1900" t="str">
        <f t="shared" si="252"/>
        <v/>
      </c>
      <c r="JO814" s="1900" t="str">
        <f t="shared" si="253"/>
        <v/>
      </c>
      <c r="JP814" s="1900" t="str">
        <f t="shared" si="254"/>
        <v/>
      </c>
      <c r="JQ814" s="1900" t="str">
        <f t="shared" si="255"/>
        <v/>
      </c>
      <c r="JR814" s="1900" t="str">
        <f t="shared" si="256"/>
        <v/>
      </c>
      <c r="JS814" s="1900" t="str">
        <f t="shared" si="257"/>
        <v/>
      </c>
      <c r="JT814" s="1900" t="str">
        <f t="shared" si="258"/>
        <v/>
      </c>
      <c r="JU814" s="1900" t="str">
        <f t="shared" si="259"/>
        <v/>
      </c>
      <c r="JV814" s="1900" t="str">
        <f t="shared" si="260"/>
        <v/>
      </c>
      <c r="JW814" s="1900" t="str">
        <f t="shared" si="261"/>
        <v/>
      </c>
      <c r="JX814" s="1900" t="str">
        <f t="shared" si="262"/>
        <v/>
      </c>
      <c r="JY814" s="1900" t="str">
        <f t="shared" si="263"/>
        <v/>
      </c>
      <c r="JZ814" s="1900" t="str">
        <f t="shared" si="264"/>
        <v/>
      </c>
      <c r="KA814" s="1900" t="str">
        <f t="shared" si="265"/>
        <v/>
      </c>
      <c r="KB814" s="1900" t="str">
        <f t="shared" si="266"/>
        <v/>
      </c>
      <c r="KC814" s="1900" t="str">
        <f t="shared" si="267"/>
        <v/>
      </c>
      <c r="KD814" s="1900" t="str">
        <f t="shared" si="268"/>
        <v/>
      </c>
      <c r="KE814" s="1900" t="str">
        <f t="shared" si="269"/>
        <v/>
      </c>
      <c r="KF814" s="1900" t="str">
        <f t="shared" si="270"/>
        <v/>
      </c>
      <c r="KG814" s="1900" t="str">
        <f t="shared" si="271"/>
        <v/>
      </c>
      <c r="KH814" s="1900" t="str">
        <f t="shared" si="272"/>
        <v/>
      </c>
      <c r="KI814" s="1900" t="str">
        <f t="shared" si="273"/>
        <v/>
      </c>
      <c r="KJ814" s="1900" t="str">
        <f t="shared" si="274"/>
        <v/>
      </c>
      <c r="KK814" s="1900" t="str">
        <f t="shared" si="275"/>
        <v/>
      </c>
      <c r="KL814" s="1900" t="str">
        <f t="shared" si="276"/>
        <v/>
      </c>
      <c r="KM814" s="1900" t="str">
        <f t="shared" si="277"/>
        <v/>
      </c>
      <c r="KN814" s="1900" t="str">
        <f t="shared" si="278"/>
        <v/>
      </c>
      <c r="KO814" s="1900" t="str">
        <f t="shared" si="279"/>
        <v/>
      </c>
      <c r="KP814" s="1900" t="str">
        <f t="shared" si="280"/>
        <v/>
      </c>
      <c r="KQ814" s="1900" t="str">
        <f t="shared" si="281"/>
        <v/>
      </c>
      <c r="KR814" s="1900" t="str">
        <f t="shared" si="282"/>
        <v/>
      </c>
      <c r="KS814" s="1900" t="str">
        <f t="shared" si="283"/>
        <v/>
      </c>
      <c r="KT814" s="1900" t="str">
        <f t="shared" si="284"/>
        <v/>
      </c>
      <c r="KU814" s="1900" t="str">
        <f t="shared" si="285"/>
        <v/>
      </c>
      <c r="KV814" s="1900" t="str">
        <f t="shared" si="286"/>
        <v/>
      </c>
      <c r="KW814" s="1900" t="str">
        <f t="shared" si="287"/>
        <v/>
      </c>
      <c r="KX814" s="1900" t="str">
        <f t="shared" si="288"/>
        <v/>
      </c>
      <c r="KY814" s="1900" t="str">
        <f t="shared" si="289"/>
        <v/>
      </c>
      <c r="KZ814" s="1900" t="str">
        <f t="shared" si="290"/>
        <v/>
      </c>
      <c r="LA814" s="1900" t="str">
        <f t="shared" si="291"/>
        <v/>
      </c>
      <c r="LB814" s="1900" t="str">
        <f t="shared" si="292"/>
        <v/>
      </c>
      <c r="LC814" s="1900" t="str">
        <f t="shared" si="293"/>
        <v/>
      </c>
      <c r="LD814" s="1900" t="str">
        <f t="shared" si="294"/>
        <v/>
      </c>
      <c r="LE814" s="1900" t="str">
        <f t="shared" si="295"/>
        <v/>
      </c>
      <c r="LF814" s="1900" t="str">
        <f t="shared" si="296"/>
        <v/>
      </c>
      <c r="LG814" s="1900" t="str">
        <f t="shared" si="297"/>
        <v/>
      </c>
      <c r="LH814" s="1900" t="str">
        <f t="shared" si="298"/>
        <v/>
      </c>
      <c r="LI814" s="1900" t="str">
        <f t="shared" si="299"/>
        <v/>
      </c>
      <c r="LJ814" s="1900" t="str">
        <f t="shared" si="300"/>
        <v/>
      </c>
      <c r="LK814" s="1900" t="str">
        <f t="shared" si="301"/>
        <v/>
      </c>
      <c r="LL814" s="1900" t="str">
        <f t="shared" si="302"/>
        <v/>
      </c>
      <c r="LM814" s="1900" t="str">
        <f t="shared" si="303"/>
        <v/>
      </c>
      <c r="LN814" s="1900" t="str">
        <f t="shared" si="304"/>
        <v/>
      </c>
      <c r="LO814" s="1900" t="str">
        <f t="shared" si="305"/>
        <v/>
      </c>
      <c r="LP814" s="1900" t="str">
        <f t="shared" si="306"/>
        <v/>
      </c>
      <c r="LQ814" s="1874" t="str">
        <f t="shared" si="307"/>
        <v/>
      </c>
      <c r="LR814" s="1874" t="str">
        <f t="shared" si="308"/>
        <v/>
      </c>
      <c r="LS814" s="1874" t="str">
        <f t="shared" si="309"/>
        <v/>
      </c>
      <c r="LT814" s="1874" t="str">
        <f t="shared" si="310"/>
        <v/>
      </c>
      <c r="LU814" s="1874" t="str">
        <f t="shared" si="311"/>
        <v/>
      </c>
      <c r="LV814" s="1995" t="str">
        <f t="shared" si="312"/>
        <v/>
      </c>
      <c r="LW814" s="1995" t="str">
        <f t="shared" si="313"/>
        <v/>
      </c>
      <c r="LX814" s="1995" t="str">
        <f t="shared" si="314"/>
        <v/>
      </c>
      <c r="LY814" s="1995" t="str">
        <f t="shared" si="315"/>
        <v/>
      </c>
      <c r="LZ814" s="1995" t="str">
        <f t="shared" si="316"/>
        <v/>
      </c>
      <c r="MA814" s="1995" t="str">
        <f t="shared" si="317"/>
        <v/>
      </c>
      <c r="MB814" s="1995" t="str">
        <f t="shared" si="318"/>
        <v/>
      </c>
      <c r="MC814" s="1995" t="str">
        <f t="shared" si="319"/>
        <v/>
      </c>
      <c r="MD814" s="1995" t="str">
        <f t="shared" si="320"/>
        <v/>
      </c>
      <c r="ME814" s="1995" t="str">
        <f t="shared" si="321"/>
        <v/>
      </c>
      <c r="MF814" s="1995" t="str">
        <f t="shared" si="322"/>
        <v/>
      </c>
      <c r="MG814" s="1995" t="str">
        <f t="shared" si="323"/>
        <v/>
      </c>
      <c r="MH814" s="1995" t="str">
        <f t="shared" si="324"/>
        <v/>
      </c>
      <c r="MI814" s="1995" t="str">
        <f t="shared" si="325"/>
        <v/>
      </c>
      <c r="MJ814" s="1995" t="str">
        <f t="shared" si="326"/>
        <v/>
      </c>
      <c r="MK814" s="1995" t="str">
        <f t="shared" si="327"/>
        <v/>
      </c>
      <c r="ML814" s="1995" t="str">
        <f t="shared" si="328"/>
        <v/>
      </c>
      <c r="MM814" s="1995" t="str">
        <f t="shared" si="329"/>
        <v/>
      </c>
      <c r="MN814" s="1995" t="str">
        <f t="shared" si="330"/>
        <v/>
      </c>
      <c r="MO814" s="1995" t="str">
        <f t="shared" si="331"/>
        <v/>
      </c>
      <c r="MP814" s="1874">
        <f t="shared" si="338"/>
        <v>0</v>
      </c>
      <c r="MQ814" s="1874">
        <f t="shared" si="339"/>
        <v>0</v>
      </c>
      <c r="MR814" s="1874">
        <f t="shared" si="340"/>
        <v>0</v>
      </c>
      <c r="MS814" s="1874">
        <f t="shared" si="341"/>
        <v>0</v>
      </c>
      <c r="MT814" s="1874">
        <f t="shared" si="342"/>
        <v>0</v>
      </c>
      <c r="MU814" s="1874">
        <f t="shared" si="343"/>
        <v>0</v>
      </c>
      <c r="MV814" s="1874">
        <f t="shared" si="344"/>
        <v>0</v>
      </c>
      <c r="MW814" s="1874">
        <f t="shared" si="345"/>
        <v>0</v>
      </c>
      <c r="MX814" s="1874">
        <f t="shared" si="346"/>
        <v>0</v>
      </c>
      <c r="MY814" s="1874">
        <f t="shared" si="347"/>
        <v>0</v>
      </c>
      <c r="MZ814" s="1874">
        <f t="shared" si="332"/>
        <v>0</v>
      </c>
      <c r="NA814" s="1874">
        <f t="shared" si="333"/>
        <v>0</v>
      </c>
      <c r="NB814" s="1874">
        <f t="shared" si="334"/>
        <v>0</v>
      </c>
      <c r="NC814" s="1874">
        <f t="shared" si="335"/>
        <v>0</v>
      </c>
      <c r="ND814" s="1874">
        <f t="shared" si="336"/>
        <v>0</v>
      </c>
    </row>
    <row r="815" spans="1:368" ht="13.95" customHeight="1">
      <c r="A815" s="1896" t="str">
        <f t="shared" si="337"/>
        <v/>
      </c>
      <c r="B815" s="2212">
        <f>'Part VI-Revenues &amp; Expenses'!B46</f>
        <v>0</v>
      </c>
      <c r="C815" s="2213">
        <f>'Part VI-Revenues &amp; Expenses'!C46</f>
        <v>0</v>
      </c>
      <c r="D815" s="2214">
        <f>'Part VI-Revenues &amp; Expenses'!D46</f>
        <v>0</v>
      </c>
      <c r="E815" s="2215">
        <f>'Part VI-Revenues &amp; Expenses'!E46</f>
        <v>0</v>
      </c>
      <c r="F815" s="2215">
        <f>'Part VI-Revenues &amp; Expenses'!F46</f>
        <v>0</v>
      </c>
      <c r="G815" s="2215">
        <f>'Part VI-Revenues &amp; Expenses'!G46</f>
        <v>0</v>
      </c>
      <c r="H815" s="2215">
        <f>'Part VI-Revenues &amp; Expenses'!H46</f>
        <v>0</v>
      </c>
      <c r="I815" s="2215">
        <f>'Part VI-Revenues &amp; Expenses'!I46</f>
        <v>0</v>
      </c>
      <c r="J815" s="2215">
        <f>'Part VI-Revenues &amp; Expenses'!J46</f>
        <v>0</v>
      </c>
      <c r="K815" s="2216">
        <f>'Part VI-Revenues &amp; Expenses'!K46</f>
        <v>0</v>
      </c>
      <c r="L815" s="1899">
        <f t="shared" si="0"/>
        <v>0</v>
      </c>
      <c r="M815" s="1899">
        <f t="shared" si="1"/>
        <v>0</v>
      </c>
      <c r="N815" s="2074">
        <f>'Part VI-Revenues &amp; Expenses'!N46</f>
        <v>0</v>
      </c>
      <c r="O815" s="2074">
        <f>'Part VI-Revenues &amp; Expenses'!O46</f>
        <v>0</v>
      </c>
      <c r="P815" s="2074">
        <f>'Part VI-Revenues &amp; Expenses'!P46</f>
        <v>0</v>
      </c>
      <c r="Q815" s="1732">
        <f>'Part VI-Revenues &amp; Expenses'!Q46</f>
        <v>0</v>
      </c>
      <c r="R815" s="1926"/>
      <c r="S815" s="2148"/>
      <c r="T815" s="1910"/>
      <c r="U815" s="1910"/>
      <c r="V815" s="1910"/>
      <c r="W815" s="1910"/>
      <c r="X815" s="1995" t="str">
        <f t="shared" si="2"/>
        <v/>
      </c>
      <c r="Y815" s="1995" t="str">
        <f t="shared" si="3"/>
        <v/>
      </c>
      <c r="Z815" s="1995" t="str">
        <f t="shared" si="4"/>
        <v/>
      </c>
      <c r="AA815" s="1995" t="str">
        <f t="shared" si="5"/>
        <v/>
      </c>
      <c r="AB815" s="1995" t="str">
        <f t="shared" si="6"/>
        <v/>
      </c>
      <c r="AC815" s="1995" t="str">
        <f t="shared" si="7"/>
        <v/>
      </c>
      <c r="AD815" s="1995" t="str">
        <f t="shared" si="8"/>
        <v/>
      </c>
      <c r="AE815" s="1995" t="str">
        <f t="shared" si="9"/>
        <v/>
      </c>
      <c r="AF815" s="1995" t="str">
        <f t="shared" si="10"/>
        <v/>
      </c>
      <c r="AG815" s="1995" t="str">
        <f t="shared" si="11"/>
        <v/>
      </c>
      <c r="AH815" s="1995" t="str">
        <f t="shared" si="12"/>
        <v/>
      </c>
      <c r="AI815" s="1995" t="str">
        <f t="shared" si="13"/>
        <v/>
      </c>
      <c r="AJ815" s="1995" t="str">
        <f t="shared" si="14"/>
        <v/>
      </c>
      <c r="AK815" s="1995" t="str">
        <f t="shared" si="15"/>
        <v/>
      </c>
      <c r="AL815" s="1995" t="str">
        <f t="shared" si="16"/>
        <v/>
      </c>
      <c r="AM815" s="1995" t="str">
        <f t="shared" si="17"/>
        <v/>
      </c>
      <c r="AN815" s="1995" t="str">
        <f t="shared" si="18"/>
        <v/>
      </c>
      <c r="AO815" s="1995" t="str">
        <f t="shared" si="19"/>
        <v/>
      </c>
      <c r="AP815" s="1995" t="str">
        <f t="shared" si="20"/>
        <v/>
      </c>
      <c r="AQ815" s="1995" t="str">
        <f t="shared" si="21"/>
        <v/>
      </c>
      <c r="AR815" s="1995" t="str">
        <f t="shared" si="22"/>
        <v/>
      </c>
      <c r="AS815" s="1995" t="str">
        <f t="shared" si="23"/>
        <v/>
      </c>
      <c r="AT815" s="1995" t="str">
        <f t="shared" si="24"/>
        <v/>
      </c>
      <c r="AU815" s="1995" t="str">
        <f t="shared" si="25"/>
        <v/>
      </c>
      <c r="AV815" s="1995" t="str">
        <f t="shared" si="26"/>
        <v/>
      </c>
      <c r="AW815" s="1995" t="str">
        <f t="shared" si="27"/>
        <v/>
      </c>
      <c r="AX815" s="1995" t="str">
        <f t="shared" si="28"/>
        <v/>
      </c>
      <c r="AY815" s="1995" t="str">
        <f t="shared" si="29"/>
        <v/>
      </c>
      <c r="AZ815" s="1995" t="str">
        <f t="shared" si="30"/>
        <v/>
      </c>
      <c r="BA815" s="1995" t="str">
        <f t="shared" si="31"/>
        <v/>
      </c>
      <c r="BB815" s="1995" t="str">
        <f t="shared" si="32"/>
        <v/>
      </c>
      <c r="BC815" s="1995" t="str">
        <f t="shared" si="33"/>
        <v/>
      </c>
      <c r="BD815" s="1995" t="str">
        <f t="shared" si="34"/>
        <v/>
      </c>
      <c r="BE815" s="1995" t="str">
        <f t="shared" si="35"/>
        <v/>
      </c>
      <c r="BF815" s="1995" t="str">
        <f t="shared" si="36"/>
        <v/>
      </c>
      <c r="BG815" s="1995" t="str">
        <f t="shared" si="37"/>
        <v/>
      </c>
      <c r="BH815" s="1995" t="str">
        <f t="shared" si="38"/>
        <v/>
      </c>
      <c r="BI815" s="1995" t="str">
        <f t="shared" si="39"/>
        <v/>
      </c>
      <c r="BJ815" s="1995" t="str">
        <f t="shared" si="40"/>
        <v/>
      </c>
      <c r="BK815" s="1995" t="str">
        <f t="shared" si="41"/>
        <v/>
      </c>
      <c r="BL815" s="1995" t="str">
        <f t="shared" si="42"/>
        <v/>
      </c>
      <c r="BM815" s="1995" t="str">
        <f t="shared" si="43"/>
        <v/>
      </c>
      <c r="BN815" s="1995" t="str">
        <f t="shared" si="44"/>
        <v/>
      </c>
      <c r="BO815" s="1995" t="str">
        <f t="shared" si="45"/>
        <v/>
      </c>
      <c r="BP815" s="1995" t="str">
        <f t="shared" si="46"/>
        <v/>
      </c>
      <c r="BQ815" s="1995" t="str">
        <f t="shared" si="47"/>
        <v/>
      </c>
      <c r="BR815" s="1995" t="str">
        <f t="shared" si="48"/>
        <v/>
      </c>
      <c r="BS815" s="1995" t="str">
        <f t="shared" si="49"/>
        <v/>
      </c>
      <c r="BT815" s="1995" t="str">
        <f t="shared" si="50"/>
        <v/>
      </c>
      <c r="BU815" s="1995" t="str">
        <f t="shared" si="51"/>
        <v/>
      </c>
      <c r="BV815" s="1995" t="str">
        <f t="shared" si="52"/>
        <v/>
      </c>
      <c r="BW815" s="1995" t="str">
        <f t="shared" si="53"/>
        <v/>
      </c>
      <c r="BX815" s="1995" t="str">
        <f t="shared" si="54"/>
        <v/>
      </c>
      <c r="BY815" s="1995" t="str">
        <f t="shared" si="55"/>
        <v/>
      </c>
      <c r="BZ815" s="1995" t="str">
        <f t="shared" si="56"/>
        <v/>
      </c>
      <c r="CA815" s="1995" t="str">
        <f t="shared" si="57"/>
        <v/>
      </c>
      <c r="CB815" s="1995" t="str">
        <f t="shared" si="58"/>
        <v/>
      </c>
      <c r="CC815" s="1995" t="str">
        <f t="shared" si="59"/>
        <v/>
      </c>
      <c r="CD815" s="1995" t="str">
        <f t="shared" si="60"/>
        <v/>
      </c>
      <c r="CE815" s="1995" t="str">
        <f t="shared" si="61"/>
        <v/>
      </c>
      <c r="CF815" s="1995" t="str">
        <f t="shared" si="62"/>
        <v/>
      </c>
      <c r="CG815" s="1995" t="str">
        <f t="shared" si="63"/>
        <v/>
      </c>
      <c r="CH815" s="1995" t="str">
        <f t="shared" si="64"/>
        <v/>
      </c>
      <c r="CI815" s="1995" t="str">
        <f t="shared" si="65"/>
        <v/>
      </c>
      <c r="CJ815" s="1995" t="str">
        <f t="shared" si="66"/>
        <v/>
      </c>
      <c r="CK815" s="1995" t="str">
        <f t="shared" si="67"/>
        <v/>
      </c>
      <c r="CL815" s="1995" t="str">
        <f t="shared" si="68"/>
        <v/>
      </c>
      <c r="CM815" s="1995" t="str">
        <f t="shared" si="69"/>
        <v/>
      </c>
      <c r="CN815" s="1995" t="str">
        <f t="shared" si="70"/>
        <v/>
      </c>
      <c r="CO815" s="1995" t="str">
        <f t="shared" si="71"/>
        <v/>
      </c>
      <c r="CP815" s="1995" t="str">
        <f t="shared" si="72"/>
        <v/>
      </c>
      <c r="CQ815" s="1995" t="str">
        <f t="shared" si="73"/>
        <v/>
      </c>
      <c r="CR815" s="1995" t="str">
        <f t="shared" si="74"/>
        <v/>
      </c>
      <c r="CS815" s="1995" t="str">
        <f t="shared" si="75"/>
        <v/>
      </c>
      <c r="CT815" s="1995" t="str">
        <f t="shared" si="76"/>
        <v/>
      </c>
      <c r="CU815" s="1995" t="str">
        <f t="shared" si="77"/>
        <v/>
      </c>
      <c r="CV815" s="1995" t="str">
        <f t="shared" si="78"/>
        <v/>
      </c>
      <c r="CW815" s="1995" t="str">
        <f t="shared" si="79"/>
        <v/>
      </c>
      <c r="CX815" s="1995" t="str">
        <f t="shared" si="80"/>
        <v/>
      </c>
      <c r="CY815" s="1995" t="str">
        <f t="shared" si="81"/>
        <v/>
      </c>
      <c r="CZ815" s="1995" t="str">
        <f t="shared" si="82"/>
        <v/>
      </c>
      <c r="DA815" s="1995" t="str">
        <f t="shared" si="83"/>
        <v/>
      </c>
      <c r="DB815" s="1995" t="str">
        <f t="shared" si="84"/>
        <v/>
      </c>
      <c r="DC815" s="1995" t="str">
        <f t="shared" si="85"/>
        <v/>
      </c>
      <c r="DD815" s="1995" t="str">
        <f t="shared" si="86"/>
        <v/>
      </c>
      <c r="DE815" s="1995" t="str">
        <f t="shared" si="87"/>
        <v/>
      </c>
      <c r="DF815" s="1995" t="str">
        <f t="shared" si="88"/>
        <v/>
      </c>
      <c r="DG815" s="1995" t="str">
        <f t="shared" si="89"/>
        <v/>
      </c>
      <c r="DH815" s="1995" t="str">
        <f t="shared" si="90"/>
        <v/>
      </c>
      <c r="DI815" s="1995" t="str">
        <f t="shared" si="91"/>
        <v/>
      </c>
      <c r="DJ815" s="1995" t="str">
        <f t="shared" si="92"/>
        <v/>
      </c>
      <c r="DK815" s="1995" t="str">
        <f t="shared" si="93"/>
        <v/>
      </c>
      <c r="DL815" s="1995" t="str">
        <f t="shared" si="94"/>
        <v/>
      </c>
      <c r="DM815" s="1995" t="str">
        <f t="shared" si="95"/>
        <v/>
      </c>
      <c r="DN815" s="1995" t="str">
        <f t="shared" si="96"/>
        <v/>
      </c>
      <c r="DO815" s="1995" t="str">
        <f t="shared" si="97"/>
        <v/>
      </c>
      <c r="DP815" s="1995" t="str">
        <f t="shared" si="98"/>
        <v/>
      </c>
      <c r="DQ815" s="1995" t="str">
        <f t="shared" si="99"/>
        <v/>
      </c>
      <c r="DR815" s="1995" t="str">
        <f t="shared" si="100"/>
        <v/>
      </c>
      <c r="DS815" s="1995" t="str">
        <f t="shared" si="101"/>
        <v/>
      </c>
      <c r="DT815" s="1995" t="str">
        <f t="shared" si="102"/>
        <v/>
      </c>
      <c r="DU815" s="1995" t="str">
        <f t="shared" si="103"/>
        <v/>
      </c>
      <c r="DV815" s="1995" t="str">
        <f t="shared" si="104"/>
        <v/>
      </c>
      <c r="DW815" s="1995" t="str">
        <f t="shared" si="105"/>
        <v/>
      </c>
      <c r="DX815" s="1995" t="str">
        <f t="shared" si="106"/>
        <v/>
      </c>
      <c r="DY815" s="1995" t="str">
        <f t="shared" si="107"/>
        <v/>
      </c>
      <c r="DZ815" s="1995" t="str">
        <f t="shared" si="108"/>
        <v/>
      </c>
      <c r="EA815" s="1995" t="str">
        <f t="shared" si="109"/>
        <v/>
      </c>
      <c r="EB815" s="1995" t="str">
        <f t="shared" si="110"/>
        <v/>
      </c>
      <c r="EC815" s="1995" t="str">
        <f t="shared" si="111"/>
        <v/>
      </c>
      <c r="ED815" s="1995" t="str">
        <f t="shared" si="112"/>
        <v/>
      </c>
      <c r="EE815" s="1995" t="str">
        <f t="shared" si="113"/>
        <v/>
      </c>
      <c r="EF815" s="1995" t="str">
        <f t="shared" si="114"/>
        <v/>
      </c>
      <c r="EG815" s="1995" t="str">
        <f t="shared" si="115"/>
        <v/>
      </c>
      <c r="EH815" s="1995" t="str">
        <f t="shared" si="116"/>
        <v/>
      </c>
      <c r="EI815" s="1995" t="str">
        <f t="shared" si="117"/>
        <v/>
      </c>
      <c r="EJ815" s="1995" t="str">
        <f t="shared" si="118"/>
        <v/>
      </c>
      <c r="EK815" s="1995" t="str">
        <f t="shared" si="119"/>
        <v/>
      </c>
      <c r="EL815" s="1995" t="str">
        <f t="shared" si="120"/>
        <v/>
      </c>
      <c r="EM815" s="1995" t="str">
        <f t="shared" si="121"/>
        <v/>
      </c>
      <c r="EN815" s="1995" t="str">
        <f t="shared" si="122"/>
        <v/>
      </c>
      <c r="EO815" s="1995" t="str">
        <f t="shared" si="123"/>
        <v/>
      </c>
      <c r="EP815" s="1995" t="str">
        <f t="shared" si="124"/>
        <v/>
      </c>
      <c r="EQ815" s="1995" t="str">
        <f t="shared" si="125"/>
        <v/>
      </c>
      <c r="ER815" s="1995" t="str">
        <f t="shared" si="126"/>
        <v/>
      </c>
      <c r="ES815" s="1995" t="str">
        <f t="shared" si="127"/>
        <v/>
      </c>
      <c r="ET815" s="1995" t="str">
        <f t="shared" si="128"/>
        <v/>
      </c>
      <c r="EU815" s="1995" t="str">
        <f t="shared" si="129"/>
        <v/>
      </c>
      <c r="EV815" s="1995" t="str">
        <f t="shared" si="130"/>
        <v/>
      </c>
      <c r="EW815" s="1995" t="str">
        <f t="shared" si="131"/>
        <v/>
      </c>
      <c r="EX815" s="1995" t="str">
        <f t="shared" si="132"/>
        <v/>
      </c>
      <c r="EY815" s="1995" t="str">
        <f t="shared" si="133"/>
        <v/>
      </c>
      <c r="EZ815" s="1995" t="str">
        <f t="shared" si="134"/>
        <v/>
      </c>
      <c r="FA815" s="1995" t="str">
        <f t="shared" si="135"/>
        <v/>
      </c>
      <c r="FB815" s="1995" t="str">
        <f t="shared" si="136"/>
        <v/>
      </c>
      <c r="FC815" s="1995" t="str">
        <f t="shared" si="137"/>
        <v/>
      </c>
      <c r="FD815" s="1995" t="str">
        <f t="shared" si="138"/>
        <v/>
      </c>
      <c r="FE815" s="1995" t="str">
        <f t="shared" si="139"/>
        <v/>
      </c>
      <c r="FF815" s="1995" t="str">
        <f t="shared" si="140"/>
        <v/>
      </c>
      <c r="FG815" s="1995" t="str">
        <f t="shared" si="141"/>
        <v/>
      </c>
      <c r="FH815" s="1995" t="str">
        <f t="shared" si="142"/>
        <v/>
      </c>
      <c r="FI815" s="1995" t="str">
        <f t="shared" si="143"/>
        <v/>
      </c>
      <c r="FJ815" s="1995" t="str">
        <f t="shared" si="144"/>
        <v/>
      </c>
      <c r="FK815" s="1995" t="str">
        <f t="shared" si="145"/>
        <v/>
      </c>
      <c r="FL815" s="1995" t="str">
        <f t="shared" si="146"/>
        <v/>
      </c>
      <c r="FM815" s="1995" t="str">
        <f t="shared" si="147"/>
        <v/>
      </c>
      <c r="FN815" s="1995" t="str">
        <f t="shared" si="148"/>
        <v/>
      </c>
      <c r="FO815" s="1995" t="str">
        <f t="shared" si="149"/>
        <v/>
      </c>
      <c r="FP815" s="1995" t="str">
        <f t="shared" si="150"/>
        <v/>
      </c>
      <c r="FQ815" s="1995" t="str">
        <f t="shared" si="151"/>
        <v/>
      </c>
      <c r="FR815" s="1995" t="str">
        <f t="shared" si="152"/>
        <v/>
      </c>
      <c r="FS815" s="1995" t="str">
        <f t="shared" si="153"/>
        <v/>
      </c>
      <c r="FT815" s="1995" t="str">
        <f t="shared" si="154"/>
        <v/>
      </c>
      <c r="FU815" s="1995" t="str">
        <f t="shared" si="155"/>
        <v/>
      </c>
      <c r="FV815" s="1995" t="str">
        <f t="shared" si="156"/>
        <v/>
      </c>
      <c r="FW815" s="1995" t="str">
        <f t="shared" si="157"/>
        <v/>
      </c>
      <c r="FX815" s="1995" t="str">
        <f t="shared" si="158"/>
        <v/>
      </c>
      <c r="FY815" s="1995" t="str">
        <f t="shared" si="159"/>
        <v/>
      </c>
      <c r="FZ815" s="1995" t="str">
        <f t="shared" si="160"/>
        <v/>
      </c>
      <c r="GA815" s="1995" t="str">
        <f t="shared" si="161"/>
        <v/>
      </c>
      <c r="GB815" s="1995" t="str">
        <f t="shared" si="162"/>
        <v/>
      </c>
      <c r="GC815" s="1995" t="str">
        <f t="shared" si="163"/>
        <v/>
      </c>
      <c r="GD815" s="1995" t="str">
        <f t="shared" si="164"/>
        <v/>
      </c>
      <c r="GE815" s="1995" t="str">
        <f t="shared" si="165"/>
        <v/>
      </c>
      <c r="GF815" s="1995" t="str">
        <f t="shared" si="166"/>
        <v/>
      </c>
      <c r="GG815" s="1995" t="str">
        <f t="shared" si="167"/>
        <v/>
      </c>
      <c r="GH815" s="1995" t="str">
        <f t="shared" si="168"/>
        <v/>
      </c>
      <c r="GI815" s="1995" t="str">
        <f t="shared" si="169"/>
        <v/>
      </c>
      <c r="GJ815" s="1995" t="str">
        <f t="shared" si="170"/>
        <v/>
      </c>
      <c r="GK815" s="1995" t="str">
        <f t="shared" si="171"/>
        <v/>
      </c>
      <c r="GL815" s="1995" t="str">
        <f t="shared" si="172"/>
        <v/>
      </c>
      <c r="GM815" s="1995" t="str">
        <f t="shared" si="173"/>
        <v/>
      </c>
      <c r="GN815" s="1995" t="str">
        <f t="shared" si="174"/>
        <v/>
      </c>
      <c r="GO815" s="1995" t="str">
        <f t="shared" si="175"/>
        <v/>
      </c>
      <c r="GP815" s="1995" t="str">
        <f t="shared" si="176"/>
        <v/>
      </c>
      <c r="GQ815" s="1995" t="str">
        <f t="shared" si="177"/>
        <v/>
      </c>
      <c r="GR815" s="1995" t="str">
        <f t="shared" si="178"/>
        <v/>
      </c>
      <c r="GS815" s="1995" t="str">
        <f t="shared" si="179"/>
        <v/>
      </c>
      <c r="GT815" s="1995" t="str">
        <f t="shared" si="180"/>
        <v/>
      </c>
      <c r="GU815" s="1995" t="str">
        <f t="shared" si="181"/>
        <v/>
      </c>
      <c r="GV815" s="1995" t="str">
        <f t="shared" si="182"/>
        <v/>
      </c>
      <c r="GW815" s="1995" t="str">
        <f t="shared" si="183"/>
        <v/>
      </c>
      <c r="GX815" s="1995" t="str">
        <f t="shared" si="184"/>
        <v/>
      </c>
      <c r="GY815" s="1995" t="str">
        <f t="shared" si="185"/>
        <v/>
      </c>
      <c r="GZ815" s="1995" t="str">
        <f t="shared" si="186"/>
        <v/>
      </c>
      <c r="HA815" s="1995" t="str">
        <f t="shared" si="187"/>
        <v/>
      </c>
      <c r="HB815" s="1995" t="str">
        <f t="shared" si="188"/>
        <v/>
      </c>
      <c r="HC815" s="1995" t="str">
        <f t="shared" si="189"/>
        <v/>
      </c>
      <c r="HD815" s="1995" t="str">
        <f t="shared" si="190"/>
        <v/>
      </c>
      <c r="HE815" s="1995" t="str">
        <f t="shared" si="191"/>
        <v/>
      </c>
      <c r="HF815" s="1995" t="str">
        <f t="shared" si="192"/>
        <v/>
      </c>
      <c r="HG815" s="1995" t="str">
        <f t="shared" si="193"/>
        <v/>
      </c>
      <c r="HH815" s="1995" t="str">
        <f t="shared" si="194"/>
        <v/>
      </c>
      <c r="HI815" s="1995" t="str">
        <f t="shared" si="195"/>
        <v/>
      </c>
      <c r="HJ815" s="1995" t="str">
        <f t="shared" si="196"/>
        <v/>
      </c>
      <c r="HK815" s="1995" t="str">
        <f t="shared" si="197"/>
        <v/>
      </c>
      <c r="HL815" s="1995" t="str">
        <f t="shared" si="198"/>
        <v/>
      </c>
      <c r="HM815" s="1995" t="str">
        <f t="shared" si="199"/>
        <v/>
      </c>
      <c r="HN815" s="1995" t="str">
        <f t="shared" si="200"/>
        <v/>
      </c>
      <c r="HO815" s="1995" t="str">
        <f t="shared" si="201"/>
        <v/>
      </c>
      <c r="HP815" s="1995" t="str">
        <f t="shared" si="202"/>
        <v/>
      </c>
      <c r="HQ815" s="1995" t="str">
        <f t="shared" si="203"/>
        <v/>
      </c>
      <c r="HR815" s="1995" t="str">
        <f t="shared" si="204"/>
        <v/>
      </c>
      <c r="HS815" s="1995" t="str">
        <f t="shared" si="205"/>
        <v/>
      </c>
      <c r="HT815" s="1995" t="str">
        <f t="shared" si="206"/>
        <v/>
      </c>
      <c r="HU815" s="1995" t="str">
        <f t="shared" si="207"/>
        <v/>
      </c>
      <c r="HV815" s="1995" t="str">
        <f t="shared" si="208"/>
        <v/>
      </c>
      <c r="HW815" s="1995" t="str">
        <f t="shared" si="209"/>
        <v/>
      </c>
      <c r="HX815" s="1995" t="str">
        <f t="shared" si="210"/>
        <v/>
      </c>
      <c r="HY815" s="1995" t="str">
        <f t="shared" si="211"/>
        <v/>
      </c>
      <c r="HZ815" s="1900" t="str">
        <f t="shared" si="212"/>
        <v/>
      </c>
      <c r="IA815" s="1900" t="str">
        <f t="shared" si="213"/>
        <v/>
      </c>
      <c r="IB815" s="1900" t="str">
        <f t="shared" si="214"/>
        <v/>
      </c>
      <c r="IC815" s="1900" t="str">
        <f t="shared" si="215"/>
        <v/>
      </c>
      <c r="ID815" s="1900" t="str">
        <f t="shared" si="216"/>
        <v/>
      </c>
      <c r="IE815" s="1900" t="str">
        <f t="shared" si="217"/>
        <v/>
      </c>
      <c r="IF815" s="1900" t="str">
        <f t="shared" si="218"/>
        <v/>
      </c>
      <c r="IG815" s="1900" t="str">
        <f t="shared" si="219"/>
        <v/>
      </c>
      <c r="IH815" s="1900" t="str">
        <f t="shared" si="220"/>
        <v/>
      </c>
      <c r="II815" s="1900" t="str">
        <f t="shared" si="221"/>
        <v/>
      </c>
      <c r="IJ815" s="1900" t="str">
        <f t="shared" si="222"/>
        <v/>
      </c>
      <c r="IK815" s="1900" t="str">
        <f t="shared" si="223"/>
        <v/>
      </c>
      <c r="IL815" s="1900" t="str">
        <f t="shared" si="224"/>
        <v/>
      </c>
      <c r="IM815" s="1900" t="str">
        <f t="shared" si="225"/>
        <v/>
      </c>
      <c r="IN815" s="1900" t="str">
        <f t="shared" si="226"/>
        <v/>
      </c>
      <c r="IO815" s="1900" t="str">
        <f t="shared" si="227"/>
        <v/>
      </c>
      <c r="IP815" s="1900" t="str">
        <f t="shared" si="228"/>
        <v/>
      </c>
      <c r="IQ815" s="1900" t="str">
        <f t="shared" si="229"/>
        <v/>
      </c>
      <c r="IR815" s="1900" t="str">
        <f t="shared" si="230"/>
        <v/>
      </c>
      <c r="IS815" s="1900" t="str">
        <f t="shared" si="231"/>
        <v/>
      </c>
      <c r="IT815" s="1900" t="str">
        <f t="shared" si="232"/>
        <v/>
      </c>
      <c r="IU815" s="1900" t="str">
        <f t="shared" si="233"/>
        <v/>
      </c>
      <c r="IV815" s="1900" t="str">
        <f t="shared" si="234"/>
        <v/>
      </c>
      <c r="IW815" s="1900" t="str">
        <f t="shared" si="235"/>
        <v/>
      </c>
      <c r="IX815" s="1900" t="str">
        <f t="shared" si="236"/>
        <v/>
      </c>
      <c r="IY815" s="1900" t="str">
        <f t="shared" si="237"/>
        <v/>
      </c>
      <c r="IZ815" s="1900" t="str">
        <f t="shared" si="238"/>
        <v/>
      </c>
      <c r="JA815" s="1900" t="str">
        <f t="shared" si="239"/>
        <v/>
      </c>
      <c r="JB815" s="1900" t="str">
        <f t="shared" si="240"/>
        <v/>
      </c>
      <c r="JC815" s="1900" t="str">
        <f t="shared" si="241"/>
        <v/>
      </c>
      <c r="JD815" s="1900" t="str">
        <f t="shared" si="242"/>
        <v/>
      </c>
      <c r="JE815" s="1900" t="str">
        <f t="shared" si="243"/>
        <v/>
      </c>
      <c r="JF815" s="1900" t="str">
        <f t="shared" si="244"/>
        <v/>
      </c>
      <c r="JG815" s="1900" t="str">
        <f t="shared" si="245"/>
        <v/>
      </c>
      <c r="JH815" s="1900" t="str">
        <f t="shared" si="246"/>
        <v/>
      </c>
      <c r="JI815" s="1900" t="str">
        <f t="shared" si="247"/>
        <v/>
      </c>
      <c r="JJ815" s="1900" t="str">
        <f t="shared" si="248"/>
        <v/>
      </c>
      <c r="JK815" s="1900" t="str">
        <f t="shared" si="249"/>
        <v/>
      </c>
      <c r="JL815" s="1900" t="str">
        <f t="shared" si="250"/>
        <v/>
      </c>
      <c r="JM815" s="1900" t="str">
        <f t="shared" si="251"/>
        <v/>
      </c>
      <c r="JN815" s="1900" t="str">
        <f t="shared" si="252"/>
        <v/>
      </c>
      <c r="JO815" s="1900" t="str">
        <f t="shared" si="253"/>
        <v/>
      </c>
      <c r="JP815" s="1900" t="str">
        <f t="shared" si="254"/>
        <v/>
      </c>
      <c r="JQ815" s="1900" t="str">
        <f t="shared" si="255"/>
        <v/>
      </c>
      <c r="JR815" s="1900" t="str">
        <f t="shared" si="256"/>
        <v/>
      </c>
      <c r="JS815" s="1900" t="str">
        <f t="shared" si="257"/>
        <v/>
      </c>
      <c r="JT815" s="1900" t="str">
        <f t="shared" si="258"/>
        <v/>
      </c>
      <c r="JU815" s="1900" t="str">
        <f t="shared" si="259"/>
        <v/>
      </c>
      <c r="JV815" s="1900" t="str">
        <f t="shared" si="260"/>
        <v/>
      </c>
      <c r="JW815" s="1900" t="str">
        <f t="shared" si="261"/>
        <v/>
      </c>
      <c r="JX815" s="1900" t="str">
        <f t="shared" si="262"/>
        <v/>
      </c>
      <c r="JY815" s="1900" t="str">
        <f t="shared" si="263"/>
        <v/>
      </c>
      <c r="JZ815" s="1900" t="str">
        <f t="shared" si="264"/>
        <v/>
      </c>
      <c r="KA815" s="1900" t="str">
        <f t="shared" si="265"/>
        <v/>
      </c>
      <c r="KB815" s="1900" t="str">
        <f t="shared" si="266"/>
        <v/>
      </c>
      <c r="KC815" s="1900" t="str">
        <f t="shared" si="267"/>
        <v/>
      </c>
      <c r="KD815" s="1900" t="str">
        <f t="shared" si="268"/>
        <v/>
      </c>
      <c r="KE815" s="1900" t="str">
        <f t="shared" si="269"/>
        <v/>
      </c>
      <c r="KF815" s="1900" t="str">
        <f t="shared" si="270"/>
        <v/>
      </c>
      <c r="KG815" s="1900" t="str">
        <f t="shared" si="271"/>
        <v/>
      </c>
      <c r="KH815" s="1900" t="str">
        <f t="shared" si="272"/>
        <v/>
      </c>
      <c r="KI815" s="1900" t="str">
        <f t="shared" si="273"/>
        <v/>
      </c>
      <c r="KJ815" s="1900" t="str">
        <f t="shared" si="274"/>
        <v/>
      </c>
      <c r="KK815" s="1900" t="str">
        <f t="shared" si="275"/>
        <v/>
      </c>
      <c r="KL815" s="1900" t="str">
        <f t="shared" si="276"/>
        <v/>
      </c>
      <c r="KM815" s="1900" t="str">
        <f t="shared" si="277"/>
        <v/>
      </c>
      <c r="KN815" s="1900" t="str">
        <f t="shared" si="278"/>
        <v/>
      </c>
      <c r="KO815" s="1900" t="str">
        <f t="shared" si="279"/>
        <v/>
      </c>
      <c r="KP815" s="1900" t="str">
        <f t="shared" si="280"/>
        <v/>
      </c>
      <c r="KQ815" s="1900" t="str">
        <f t="shared" si="281"/>
        <v/>
      </c>
      <c r="KR815" s="1900" t="str">
        <f t="shared" si="282"/>
        <v/>
      </c>
      <c r="KS815" s="1900" t="str">
        <f t="shared" si="283"/>
        <v/>
      </c>
      <c r="KT815" s="1900" t="str">
        <f t="shared" si="284"/>
        <v/>
      </c>
      <c r="KU815" s="1900" t="str">
        <f t="shared" si="285"/>
        <v/>
      </c>
      <c r="KV815" s="1900" t="str">
        <f t="shared" si="286"/>
        <v/>
      </c>
      <c r="KW815" s="1900" t="str">
        <f t="shared" si="287"/>
        <v/>
      </c>
      <c r="KX815" s="1900" t="str">
        <f t="shared" si="288"/>
        <v/>
      </c>
      <c r="KY815" s="1900" t="str">
        <f t="shared" si="289"/>
        <v/>
      </c>
      <c r="KZ815" s="1900" t="str">
        <f t="shared" si="290"/>
        <v/>
      </c>
      <c r="LA815" s="1900" t="str">
        <f t="shared" si="291"/>
        <v/>
      </c>
      <c r="LB815" s="1900" t="str">
        <f t="shared" si="292"/>
        <v/>
      </c>
      <c r="LC815" s="1900" t="str">
        <f t="shared" si="293"/>
        <v/>
      </c>
      <c r="LD815" s="1900" t="str">
        <f t="shared" si="294"/>
        <v/>
      </c>
      <c r="LE815" s="1900" t="str">
        <f t="shared" si="295"/>
        <v/>
      </c>
      <c r="LF815" s="1900" t="str">
        <f t="shared" si="296"/>
        <v/>
      </c>
      <c r="LG815" s="1900" t="str">
        <f t="shared" si="297"/>
        <v/>
      </c>
      <c r="LH815" s="1900" t="str">
        <f t="shared" si="298"/>
        <v/>
      </c>
      <c r="LI815" s="1900" t="str">
        <f t="shared" si="299"/>
        <v/>
      </c>
      <c r="LJ815" s="1900" t="str">
        <f t="shared" si="300"/>
        <v/>
      </c>
      <c r="LK815" s="1900" t="str">
        <f t="shared" si="301"/>
        <v/>
      </c>
      <c r="LL815" s="1900" t="str">
        <f t="shared" si="302"/>
        <v/>
      </c>
      <c r="LM815" s="1900" t="str">
        <f t="shared" si="303"/>
        <v/>
      </c>
      <c r="LN815" s="1900" t="str">
        <f t="shared" si="304"/>
        <v/>
      </c>
      <c r="LO815" s="1900" t="str">
        <f t="shared" si="305"/>
        <v/>
      </c>
      <c r="LP815" s="1900" t="str">
        <f t="shared" si="306"/>
        <v/>
      </c>
      <c r="LQ815" s="1874" t="str">
        <f t="shared" si="307"/>
        <v/>
      </c>
      <c r="LR815" s="1874" t="str">
        <f t="shared" si="308"/>
        <v/>
      </c>
      <c r="LS815" s="1874" t="str">
        <f t="shared" si="309"/>
        <v/>
      </c>
      <c r="LT815" s="1874" t="str">
        <f t="shared" si="310"/>
        <v/>
      </c>
      <c r="LU815" s="1874" t="str">
        <f t="shared" si="311"/>
        <v/>
      </c>
      <c r="LV815" s="1995" t="str">
        <f t="shared" si="312"/>
        <v/>
      </c>
      <c r="LW815" s="1995" t="str">
        <f t="shared" si="313"/>
        <v/>
      </c>
      <c r="LX815" s="1995" t="str">
        <f t="shared" si="314"/>
        <v/>
      </c>
      <c r="LY815" s="1995" t="str">
        <f t="shared" si="315"/>
        <v/>
      </c>
      <c r="LZ815" s="1995" t="str">
        <f t="shared" si="316"/>
        <v/>
      </c>
      <c r="MA815" s="1995" t="str">
        <f t="shared" si="317"/>
        <v/>
      </c>
      <c r="MB815" s="1995" t="str">
        <f t="shared" si="318"/>
        <v/>
      </c>
      <c r="MC815" s="1995" t="str">
        <f t="shared" si="319"/>
        <v/>
      </c>
      <c r="MD815" s="1995" t="str">
        <f t="shared" si="320"/>
        <v/>
      </c>
      <c r="ME815" s="1995" t="str">
        <f t="shared" si="321"/>
        <v/>
      </c>
      <c r="MF815" s="1995" t="str">
        <f t="shared" si="322"/>
        <v/>
      </c>
      <c r="MG815" s="1995" t="str">
        <f t="shared" si="323"/>
        <v/>
      </c>
      <c r="MH815" s="1995" t="str">
        <f t="shared" si="324"/>
        <v/>
      </c>
      <c r="MI815" s="1995" t="str">
        <f t="shared" si="325"/>
        <v/>
      </c>
      <c r="MJ815" s="1995" t="str">
        <f t="shared" si="326"/>
        <v/>
      </c>
      <c r="MK815" s="1995" t="str">
        <f t="shared" si="327"/>
        <v/>
      </c>
      <c r="ML815" s="1995" t="str">
        <f t="shared" si="328"/>
        <v/>
      </c>
      <c r="MM815" s="1995" t="str">
        <f t="shared" si="329"/>
        <v/>
      </c>
      <c r="MN815" s="1995" t="str">
        <f t="shared" si="330"/>
        <v/>
      </c>
      <c r="MO815" s="1995" t="str">
        <f t="shared" si="331"/>
        <v/>
      </c>
      <c r="MP815" s="1874">
        <f t="shared" si="338"/>
        <v>0</v>
      </c>
      <c r="MQ815" s="1874">
        <f t="shared" si="339"/>
        <v>0</v>
      </c>
      <c r="MR815" s="1874">
        <f t="shared" si="340"/>
        <v>0</v>
      </c>
      <c r="MS815" s="1874">
        <f t="shared" si="341"/>
        <v>0</v>
      </c>
      <c r="MT815" s="1874">
        <f t="shared" si="342"/>
        <v>0</v>
      </c>
      <c r="MU815" s="1874">
        <f t="shared" si="343"/>
        <v>0</v>
      </c>
      <c r="MV815" s="1874">
        <f t="shared" si="344"/>
        <v>0</v>
      </c>
      <c r="MW815" s="1874">
        <f t="shared" si="345"/>
        <v>0</v>
      </c>
      <c r="MX815" s="1874">
        <f t="shared" si="346"/>
        <v>0</v>
      </c>
      <c r="MY815" s="1874">
        <f t="shared" si="347"/>
        <v>0</v>
      </c>
      <c r="MZ815" s="1874">
        <f t="shared" si="332"/>
        <v>0</v>
      </c>
      <c r="NA815" s="1874">
        <f t="shared" si="333"/>
        <v>0</v>
      </c>
      <c r="NB815" s="1874">
        <f t="shared" si="334"/>
        <v>0</v>
      </c>
      <c r="NC815" s="1874">
        <f t="shared" si="335"/>
        <v>0</v>
      </c>
      <c r="ND815" s="1874">
        <f t="shared" si="336"/>
        <v>0</v>
      </c>
    </row>
    <row r="816" spans="1:368" ht="13.95" customHeight="1">
      <c r="A816" s="1896" t="str">
        <f t="shared" si="337"/>
        <v/>
      </c>
      <c r="B816" s="2212">
        <f>'Part VI-Revenues &amp; Expenses'!B47</f>
        <v>0</v>
      </c>
      <c r="C816" s="2213">
        <f>'Part VI-Revenues &amp; Expenses'!C47</f>
        <v>0</v>
      </c>
      <c r="D816" s="2214">
        <f>'Part VI-Revenues &amp; Expenses'!D47</f>
        <v>0</v>
      </c>
      <c r="E816" s="2215">
        <f>'Part VI-Revenues &amp; Expenses'!E47</f>
        <v>0</v>
      </c>
      <c r="F816" s="2215">
        <f>'Part VI-Revenues &amp; Expenses'!F47</f>
        <v>0</v>
      </c>
      <c r="G816" s="2215">
        <f>'Part VI-Revenues &amp; Expenses'!G47</f>
        <v>0</v>
      </c>
      <c r="H816" s="2215">
        <f>'Part VI-Revenues &amp; Expenses'!H47</f>
        <v>0</v>
      </c>
      <c r="I816" s="2215">
        <f>'Part VI-Revenues &amp; Expenses'!I47</f>
        <v>0</v>
      </c>
      <c r="J816" s="2215">
        <f>'Part VI-Revenues &amp; Expenses'!J47</f>
        <v>0</v>
      </c>
      <c r="K816" s="2216">
        <f>'Part VI-Revenues &amp; Expenses'!K47</f>
        <v>0</v>
      </c>
      <c r="L816" s="1899">
        <f t="shared" si="0"/>
        <v>0</v>
      </c>
      <c r="M816" s="1899">
        <f t="shared" si="1"/>
        <v>0</v>
      </c>
      <c r="N816" s="2074">
        <f>'Part VI-Revenues &amp; Expenses'!N47</f>
        <v>0</v>
      </c>
      <c r="O816" s="2074">
        <f>'Part VI-Revenues &amp; Expenses'!O47</f>
        <v>0</v>
      </c>
      <c r="P816" s="2074">
        <f>'Part VI-Revenues &amp; Expenses'!P47</f>
        <v>0</v>
      </c>
      <c r="Q816" s="1732">
        <f>'Part VI-Revenues &amp; Expenses'!Q47</f>
        <v>0</v>
      </c>
      <c r="R816" s="1926"/>
      <c r="S816" s="2148"/>
      <c r="T816" s="1910"/>
      <c r="U816" s="1910"/>
      <c r="V816" s="1910"/>
      <c r="W816" s="1910"/>
      <c r="X816" s="1995" t="str">
        <f t="shared" si="2"/>
        <v/>
      </c>
      <c r="Y816" s="1995" t="str">
        <f t="shared" si="3"/>
        <v/>
      </c>
      <c r="Z816" s="1995" t="str">
        <f t="shared" si="4"/>
        <v/>
      </c>
      <c r="AA816" s="1995" t="str">
        <f t="shared" si="5"/>
        <v/>
      </c>
      <c r="AB816" s="1995" t="str">
        <f t="shared" si="6"/>
        <v/>
      </c>
      <c r="AC816" s="1995" t="str">
        <f t="shared" si="7"/>
        <v/>
      </c>
      <c r="AD816" s="1995" t="str">
        <f t="shared" si="8"/>
        <v/>
      </c>
      <c r="AE816" s="1995" t="str">
        <f t="shared" si="9"/>
        <v/>
      </c>
      <c r="AF816" s="1995" t="str">
        <f t="shared" si="10"/>
        <v/>
      </c>
      <c r="AG816" s="1995" t="str">
        <f t="shared" si="11"/>
        <v/>
      </c>
      <c r="AH816" s="1995" t="str">
        <f t="shared" si="12"/>
        <v/>
      </c>
      <c r="AI816" s="1995" t="str">
        <f t="shared" si="13"/>
        <v/>
      </c>
      <c r="AJ816" s="1995" t="str">
        <f t="shared" si="14"/>
        <v/>
      </c>
      <c r="AK816" s="1995" t="str">
        <f t="shared" si="15"/>
        <v/>
      </c>
      <c r="AL816" s="1995" t="str">
        <f t="shared" si="16"/>
        <v/>
      </c>
      <c r="AM816" s="1995" t="str">
        <f t="shared" si="17"/>
        <v/>
      </c>
      <c r="AN816" s="1995" t="str">
        <f t="shared" si="18"/>
        <v/>
      </c>
      <c r="AO816" s="1995" t="str">
        <f t="shared" si="19"/>
        <v/>
      </c>
      <c r="AP816" s="1995" t="str">
        <f t="shared" si="20"/>
        <v/>
      </c>
      <c r="AQ816" s="1995" t="str">
        <f t="shared" si="21"/>
        <v/>
      </c>
      <c r="AR816" s="1995" t="str">
        <f t="shared" si="22"/>
        <v/>
      </c>
      <c r="AS816" s="1995" t="str">
        <f t="shared" si="23"/>
        <v/>
      </c>
      <c r="AT816" s="1995" t="str">
        <f t="shared" si="24"/>
        <v/>
      </c>
      <c r="AU816" s="1995" t="str">
        <f t="shared" si="25"/>
        <v/>
      </c>
      <c r="AV816" s="1995" t="str">
        <f t="shared" si="26"/>
        <v/>
      </c>
      <c r="AW816" s="1995" t="str">
        <f t="shared" si="27"/>
        <v/>
      </c>
      <c r="AX816" s="1995" t="str">
        <f t="shared" si="28"/>
        <v/>
      </c>
      <c r="AY816" s="1995" t="str">
        <f t="shared" si="29"/>
        <v/>
      </c>
      <c r="AZ816" s="1995" t="str">
        <f t="shared" si="30"/>
        <v/>
      </c>
      <c r="BA816" s="1995" t="str">
        <f t="shared" si="31"/>
        <v/>
      </c>
      <c r="BB816" s="1995" t="str">
        <f t="shared" si="32"/>
        <v/>
      </c>
      <c r="BC816" s="1995" t="str">
        <f t="shared" si="33"/>
        <v/>
      </c>
      <c r="BD816" s="1995" t="str">
        <f t="shared" si="34"/>
        <v/>
      </c>
      <c r="BE816" s="1995" t="str">
        <f t="shared" si="35"/>
        <v/>
      </c>
      <c r="BF816" s="1995" t="str">
        <f t="shared" si="36"/>
        <v/>
      </c>
      <c r="BG816" s="1995" t="str">
        <f t="shared" si="37"/>
        <v/>
      </c>
      <c r="BH816" s="1995" t="str">
        <f t="shared" si="38"/>
        <v/>
      </c>
      <c r="BI816" s="1995" t="str">
        <f t="shared" si="39"/>
        <v/>
      </c>
      <c r="BJ816" s="1995" t="str">
        <f t="shared" si="40"/>
        <v/>
      </c>
      <c r="BK816" s="1995" t="str">
        <f t="shared" si="41"/>
        <v/>
      </c>
      <c r="BL816" s="1995" t="str">
        <f t="shared" si="42"/>
        <v/>
      </c>
      <c r="BM816" s="1995" t="str">
        <f t="shared" si="43"/>
        <v/>
      </c>
      <c r="BN816" s="1995" t="str">
        <f t="shared" si="44"/>
        <v/>
      </c>
      <c r="BO816" s="1995" t="str">
        <f t="shared" si="45"/>
        <v/>
      </c>
      <c r="BP816" s="1995" t="str">
        <f t="shared" si="46"/>
        <v/>
      </c>
      <c r="BQ816" s="1995" t="str">
        <f t="shared" si="47"/>
        <v/>
      </c>
      <c r="BR816" s="1995" t="str">
        <f t="shared" si="48"/>
        <v/>
      </c>
      <c r="BS816" s="1995" t="str">
        <f t="shared" si="49"/>
        <v/>
      </c>
      <c r="BT816" s="1995" t="str">
        <f t="shared" si="50"/>
        <v/>
      </c>
      <c r="BU816" s="1995" t="str">
        <f t="shared" si="51"/>
        <v/>
      </c>
      <c r="BV816" s="1995" t="str">
        <f t="shared" si="52"/>
        <v/>
      </c>
      <c r="BW816" s="1995" t="str">
        <f t="shared" si="53"/>
        <v/>
      </c>
      <c r="BX816" s="1995" t="str">
        <f t="shared" si="54"/>
        <v/>
      </c>
      <c r="BY816" s="1995" t="str">
        <f t="shared" si="55"/>
        <v/>
      </c>
      <c r="BZ816" s="1995" t="str">
        <f t="shared" si="56"/>
        <v/>
      </c>
      <c r="CA816" s="1995" t="str">
        <f t="shared" si="57"/>
        <v/>
      </c>
      <c r="CB816" s="1995" t="str">
        <f t="shared" si="58"/>
        <v/>
      </c>
      <c r="CC816" s="1995" t="str">
        <f t="shared" si="59"/>
        <v/>
      </c>
      <c r="CD816" s="1995" t="str">
        <f t="shared" si="60"/>
        <v/>
      </c>
      <c r="CE816" s="1995" t="str">
        <f t="shared" si="61"/>
        <v/>
      </c>
      <c r="CF816" s="1995" t="str">
        <f t="shared" si="62"/>
        <v/>
      </c>
      <c r="CG816" s="1995" t="str">
        <f t="shared" si="63"/>
        <v/>
      </c>
      <c r="CH816" s="1995" t="str">
        <f t="shared" si="64"/>
        <v/>
      </c>
      <c r="CI816" s="1995" t="str">
        <f t="shared" si="65"/>
        <v/>
      </c>
      <c r="CJ816" s="1995" t="str">
        <f t="shared" si="66"/>
        <v/>
      </c>
      <c r="CK816" s="1995" t="str">
        <f t="shared" si="67"/>
        <v/>
      </c>
      <c r="CL816" s="1995" t="str">
        <f t="shared" si="68"/>
        <v/>
      </c>
      <c r="CM816" s="1995" t="str">
        <f t="shared" si="69"/>
        <v/>
      </c>
      <c r="CN816" s="1995" t="str">
        <f t="shared" si="70"/>
        <v/>
      </c>
      <c r="CO816" s="1995" t="str">
        <f t="shared" si="71"/>
        <v/>
      </c>
      <c r="CP816" s="1995" t="str">
        <f t="shared" si="72"/>
        <v/>
      </c>
      <c r="CQ816" s="1995" t="str">
        <f t="shared" si="73"/>
        <v/>
      </c>
      <c r="CR816" s="1995" t="str">
        <f t="shared" si="74"/>
        <v/>
      </c>
      <c r="CS816" s="1995" t="str">
        <f t="shared" si="75"/>
        <v/>
      </c>
      <c r="CT816" s="1995" t="str">
        <f t="shared" si="76"/>
        <v/>
      </c>
      <c r="CU816" s="1995" t="str">
        <f t="shared" si="77"/>
        <v/>
      </c>
      <c r="CV816" s="1995" t="str">
        <f t="shared" si="78"/>
        <v/>
      </c>
      <c r="CW816" s="1995" t="str">
        <f t="shared" si="79"/>
        <v/>
      </c>
      <c r="CX816" s="1995" t="str">
        <f t="shared" si="80"/>
        <v/>
      </c>
      <c r="CY816" s="1995" t="str">
        <f t="shared" si="81"/>
        <v/>
      </c>
      <c r="CZ816" s="1995" t="str">
        <f t="shared" si="82"/>
        <v/>
      </c>
      <c r="DA816" s="1995" t="str">
        <f t="shared" si="83"/>
        <v/>
      </c>
      <c r="DB816" s="1995" t="str">
        <f t="shared" si="84"/>
        <v/>
      </c>
      <c r="DC816" s="1995" t="str">
        <f t="shared" si="85"/>
        <v/>
      </c>
      <c r="DD816" s="1995" t="str">
        <f t="shared" si="86"/>
        <v/>
      </c>
      <c r="DE816" s="1995" t="str">
        <f t="shared" si="87"/>
        <v/>
      </c>
      <c r="DF816" s="1995" t="str">
        <f t="shared" si="88"/>
        <v/>
      </c>
      <c r="DG816" s="1995" t="str">
        <f t="shared" si="89"/>
        <v/>
      </c>
      <c r="DH816" s="1995" t="str">
        <f t="shared" si="90"/>
        <v/>
      </c>
      <c r="DI816" s="1995" t="str">
        <f t="shared" si="91"/>
        <v/>
      </c>
      <c r="DJ816" s="1995" t="str">
        <f t="shared" si="92"/>
        <v/>
      </c>
      <c r="DK816" s="1995" t="str">
        <f t="shared" si="93"/>
        <v/>
      </c>
      <c r="DL816" s="1995" t="str">
        <f t="shared" si="94"/>
        <v/>
      </c>
      <c r="DM816" s="1995" t="str">
        <f t="shared" si="95"/>
        <v/>
      </c>
      <c r="DN816" s="1995" t="str">
        <f t="shared" si="96"/>
        <v/>
      </c>
      <c r="DO816" s="1995" t="str">
        <f t="shared" si="97"/>
        <v/>
      </c>
      <c r="DP816" s="1995" t="str">
        <f t="shared" si="98"/>
        <v/>
      </c>
      <c r="DQ816" s="1995" t="str">
        <f t="shared" si="99"/>
        <v/>
      </c>
      <c r="DR816" s="1995" t="str">
        <f t="shared" si="100"/>
        <v/>
      </c>
      <c r="DS816" s="1995" t="str">
        <f t="shared" si="101"/>
        <v/>
      </c>
      <c r="DT816" s="1995" t="str">
        <f t="shared" si="102"/>
        <v/>
      </c>
      <c r="DU816" s="1995" t="str">
        <f t="shared" si="103"/>
        <v/>
      </c>
      <c r="DV816" s="1995" t="str">
        <f t="shared" si="104"/>
        <v/>
      </c>
      <c r="DW816" s="1995" t="str">
        <f t="shared" si="105"/>
        <v/>
      </c>
      <c r="DX816" s="1995" t="str">
        <f t="shared" si="106"/>
        <v/>
      </c>
      <c r="DY816" s="1995" t="str">
        <f t="shared" si="107"/>
        <v/>
      </c>
      <c r="DZ816" s="1995" t="str">
        <f t="shared" si="108"/>
        <v/>
      </c>
      <c r="EA816" s="1995" t="str">
        <f t="shared" si="109"/>
        <v/>
      </c>
      <c r="EB816" s="1995" t="str">
        <f t="shared" si="110"/>
        <v/>
      </c>
      <c r="EC816" s="1995" t="str">
        <f t="shared" si="111"/>
        <v/>
      </c>
      <c r="ED816" s="1995" t="str">
        <f t="shared" si="112"/>
        <v/>
      </c>
      <c r="EE816" s="1995" t="str">
        <f t="shared" si="113"/>
        <v/>
      </c>
      <c r="EF816" s="1995" t="str">
        <f t="shared" si="114"/>
        <v/>
      </c>
      <c r="EG816" s="1995" t="str">
        <f t="shared" si="115"/>
        <v/>
      </c>
      <c r="EH816" s="1995" t="str">
        <f t="shared" si="116"/>
        <v/>
      </c>
      <c r="EI816" s="1995" t="str">
        <f t="shared" si="117"/>
        <v/>
      </c>
      <c r="EJ816" s="1995" t="str">
        <f t="shared" si="118"/>
        <v/>
      </c>
      <c r="EK816" s="1995" t="str">
        <f t="shared" si="119"/>
        <v/>
      </c>
      <c r="EL816" s="1995" t="str">
        <f t="shared" si="120"/>
        <v/>
      </c>
      <c r="EM816" s="1995" t="str">
        <f t="shared" si="121"/>
        <v/>
      </c>
      <c r="EN816" s="1995" t="str">
        <f t="shared" si="122"/>
        <v/>
      </c>
      <c r="EO816" s="1995" t="str">
        <f t="shared" si="123"/>
        <v/>
      </c>
      <c r="EP816" s="1995" t="str">
        <f t="shared" si="124"/>
        <v/>
      </c>
      <c r="EQ816" s="1995" t="str">
        <f t="shared" si="125"/>
        <v/>
      </c>
      <c r="ER816" s="1995" t="str">
        <f t="shared" si="126"/>
        <v/>
      </c>
      <c r="ES816" s="1995" t="str">
        <f t="shared" si="127"/>
        <v/>
      </c>
      <c r="ET816" s="1995" t="str">
        <f t="shared" si="128"/>
        <v/>
      </c>
      <c r="EU816" s="1995" t="str">
        <f t="shared" si="129"/>
        <v/>
      </c>
      <c r="EV816" s="1995" t="str">
        <f t="shared" si="130"/>
        <v/>
      </c>
      <c r="EW816" s="1995" t="str">
        <f t="shared" si="131"/>
        <v/>
      </c>
      <c r="EX816" s="1995" t="str">
        <f t="shared" si="132"/>
        <v/>
      </c>
      <c r="EY816" s="1995" t="str">
        <f t="shared" si="133"/>
        <v/>
      </c>
      <c r="EZ816" s="1995" t="str">
        <f t="shared" si="134"/>
        <v/>
      </c>
      <c r="FA816" s="1995" t="str">
        <f t="shared" si="135"/>
        <v/>
      </c>
      <c r="FB816" s="1995" t="str">
        <f t="shared" si="136"/>
        <v/>
      </c>
      <c r="FC816" s="1995" t="str">
        <f t="shared" si="137"/>
        <v/>
      </c>
      <c r="FD816" s="1995" t="str">
        <f t="shared" si="138"/>
        <v/>
      </c>
      <c r="FE816" s="1995" t="str">
        <f t="shared" si="139"/>
        <v/>
      </c>
      <c r="FF816" s="1995" t="str">
        <f t="shared" si="140"/>
        <v/>
      </c>
      <c r="FG816" s="1995" t="str">
        <f t="shared" si="141"/>
        <v/>
      </c>
      <c r="FH816" s="1995" t="str">
        <f t="shared" si="142"/>
        <v/>
      </c>
      <c r="FI816" s="1995" t="str">
        <f t="shared" si="143"/>
        <v/>
      </c>
      <c r="FJ816" s="1995" t="str">
        <f t="shared" si="144"/>
        <v/>
      </c>
      <c r="FK816" s="1995" t="str">
        <f t="shared" si="145"/>
        <v/>
      </c>
      <c r="FL816" s="1995" t="str">
        <f t="shared" si="146"/>
        <v/>
      </c>
      <c r="FM816" s="1995" t="str">
        <f t="shared" si="147"/>
        <v/>
      </c>
      <c r="FN816" s="1995" t="str">
        <f t="shared" si="148"/>
        <v/>
      </c>
      <c r="FO816" s="1995" t="str">
        <f t="shared" si="149"/>
        <v/>
      </c>
      <c r="FP816" s="1995" t="str">
        <f t="shared" si="150"/>
        <v/>
      </c>
      <c r="FQ816" s="1995" t="str">
        <f t="shared" si="151"/>
        <v/>
      </c>
      <c r="FR816" s="1995" t="str">
        <f t="shared" si="152"/>
        <v/>
      </c>
      <c r="FS816" s="1995" t="str">
        <f t="shared" si="153"/>
        <v/>
      </c>
      <c r="FT816" s="1995" t="str">
        <f t="shared" si="154"/>
        <v/>
      </c>
      <c r="FU816" s="1995" t="str">
        <f t="shared" si="155"/>
        <v/>
      </c>
      <c r="FV816" s="1995" t="str">
        <f t="shared" si="156"/>
        <v/>
      </c>
      <c r="FW816" s="1995" t="str">
        <f t="shared" si="157"/>
        <v/>
      </c>
      <c r="FX816" s="1995" t="str">
        <f t="shared" si="158"/>
        <v/>
      </c>
      <c r="FY816" s="1995" t="str">
        <f t="shared" si="159"/>
        <v/>
      </c>
      <c r="FZ816" s="1995" t="str">
        <f t="shared" si="160"/>
        <v/>
      </c>
      <c r="GA816" s="1995" t="str">
        <f t="shared" si="161"/>
        <v/>
      </c>
      <c r="GB816" s="1995" t="str">
        <f t="shared" si="162"/>
        <v/>
      </c>
      <c r="GC816" s="1995" t="str">
        <f t="shared" si="163"/>
        <v/>
      </c>
      <c r="GD816" s="1995" t="str">
        <f t="shared" si="164"/>
        <v/>
      </c>
      <c r="GE816" s="1995" t="str">
        <f t="shared" si="165"/>
        <v/>
      </c>
      <c r="GF816" s="1995" t="str">
        <f t="shared" si="166"/>
        <v/>
      </c>
      <c r="GG816" s="1995" t="str">
        <f t="shared" si="167"/>
        <v/>
      </c>
      <c r="GH816" s="1995" t="str">
        <f t="shared" si="168"/>
        <v/>
      </c>
      <c r="GI816" s="1995" t="str">
        <f t="shared" si="169"/>
        <v/>
      </c>
      <c r="GJ816" s="1995" t="str">
        <f t="shared" si="170"/>
        <v/>
      </c>
      <c r="GK816" s="1995" t="str">
        <f t="shared" si="171"/>
        <v/>
      </c>
      <c r="GL816" s="1995" t="str">
        <f t="shared" si="172"/>
        <v/>
      </c>
      <c r="GM816" s="1995" t="str">
        <f t="shared" si="173"/>
        <v/>
      </c>
      <c r="GN816" s="1995" t="str">
        <f t="shared" si="174"/>
        <v/>
      </c>
      <c r="GO816" s="1995" t="str">
        <f t="shared" si="175"/>
        <v/>
      </c>
      <c r="GP816" s="1995" t="str">
        <f t="shared" si="176"/>
        <v/>
      </c>
      <c r="GQ816" s="1995" t="str">
        <f t="shared" si="177"/>
        <v/>
      </c>
      <c r="GR816" s="1995" t="str">
        <f t="shared" si="178"/>
        <v/>
      </c>
      <c r="GS816" s="1995" t="str">
        <f t="shared" si="179"/>
        <v/>
      </c>
      <c r="GT816" s="1995" t="str">
        <f t="shared" si="180"/>
        <v/>
      </c>
      <c r="GU816" s="1995" t="str">
        <f t="shared" si="181"/>
        <v/>
      </c>
      <c r="GV816" s="1995" t="str">
        <f t="shared" si="182"/>
        <v/>
      </c>
      <c r="GW816" s="1995" t="str">
        <f t="shared" si="183"/>
        <v/>
      </c>
      <c r="GX816" s="1995" t="str">
        <f t="shared" si="184"/>
        <v/>
      </c>
      <c r="GY816" s="1995" t="str">
        <f t="shared" si="185"/>
        <v/>
      </c>
      <c r="GZ816" s="1995" t="str">
        <f t="shared" si="186"/>
        <v/>
      </c>
      <c r="HA816" s="1995" t="str">
        <f t="shared" si="187"/>
        <v/>
      </c>
      <c r="HB816" s="1995" t="str">
        <f t="shared" si="188"/>
        <v/>
      </c>
      <c r="HC816" s="1995" t="str">
        <f t="shared" si="189"/>
        <v/>
      </c>
      <c r="HD816" s="1995" t="str">
        <f t="shared" si="190"/>
        <v/>
      </c>
      <c r="HE816" s="1995" t="str">
        <f t="shared" si="191"/>
        <v/>
      </c>
      <c r="HF816" s="1995" t="str">
        <f t="shared" si="192"/>
        <v/>
      </c>
      <c r="HG816" s="1995" t="str">
        <f t="shared" si="193"/>
        <v/>
      </c>
      <c r="HH816" s="1995" t="str">
        <f t="shared" si="194"/>
        <v/>
      </c>
      <c r="HI816" s="1995" t="str">
        <f t="shared" si="195"/>
        <v/>
      </c>
      <c r="HJ816" s="1995" t="str">
        <f t="shared" si="196"/>
        <v/>
      </c>
      <c r="HK816" s="1995" t="str">
        <f t="shared" si="197"/>
        <v/>
      </c>
      <c r="HL816" s="1995" t="str">
        <f t="shared" si="198"/>
        <v/>
      </c>
      <c r="HM816" s="1995" t="str">
        <f t="shared" si="199"/>
        <v/>
      </c>
      <c r="HN816" s="1995" t="str">
        <f t="shared" si="200"/>
        <v/>
      </c>
      <c r="HO816" s="1995" t="str">
        <f t="shared" si="201"/>
        <v/>
      </c>
      <c r="HP816" s="1995" t="str">
        <f t="shared" si="202"/>
        <v/>
      </c>
      <c r="HQ816" s="1995" t="str">
        <f t="shared" si="203"/>
        <v/>
      </c>
      <c r="HR816" s="1995" t="str">
        <f t="shared" si="204"/>
        <v/>
      </c>
      <c r="HS816" s="1995" t="str">
        <f t="shared" si="205"/>
        <v/>
      </c>
      <c r="HT816" s="1995" t="str">
        <f t="shared" si="206"/>
        <v/>
      </c>
      <c r="HU816" s="1995" t="str">
        <f t="shared" si="207"/>
        <v/>
      </c>
      <c r="HV816" s="1995" t="str">
        <f t="shared" si="208"/>
        <v/>
      </c>
      <c r="HW816" s="1995" t="str">
        <f t="shared" si="209"/>
        <v/>
      </c>
      <c r="HX816" s="1995" t="str">
        <f t="shared" si="210"/>
        <v/>
      </c>
      <c r="HY816" s="1995" t="str">
        <f t="shared" si="211"/>
        <v/>
      </c>
      <c r="HZ816" s="1900" t="str">
        <f t="shared" si="212"/>
        <v/>
      </c>
      <c r="IA816" s="1900" t="str">
        <f t="shared" si="213"/>
        <v/>
      </c>
      <c r="IB816" s="1900" t="str">
        <f t="shared" si="214"/>
        <v/>
      </c>
      <c r="IC816" s="1900" t="str">
        <f t="shared" si="215"/>
        <v/>
      </c>
      <c r="ID816" s="1900" t="str">
        <f t="shared" si="216"/>
        <v/>
      </c>
      <c r="IE816" s="1900" t="str">
        <f t="shared" si="217"/>
        <v/>
      </c>
      <c r="IF816" s="1900" t="str">
        <f t="shared" si="218"/>
        <v/>
      </c>
      <c r="IG816" s="1900" t="str">
        <f t="shared" si="219"/>
        <v/>
      </c>
      <c r="IH816" s="1900" t="str">
        <f t="shared" si="220"/>
        <v/>
      </c>
      <c r="II816" s="1900" t="str">
        <f t="shared" si="221"/>
        <v/>
      </c>
      <c r="IJ816" s="1900" t="str">
        <f t="shared" si="222"/>
        <v/>
      </c>
      <c r="IK816" s="1900" t="str">
        <f t="shared" si="223"/>
        <v/>
      </c>
      <c r="IL816" s="1900" t="str">
        <f t="shared" si="224"/>
        <v/>
      </c>
      <c r="IM816" s="1900" t="str">
        <f t="shared" si="225"/>
        <v/>
      </c>
      <c r="IN816" s="1900" t="str">
        <f t="shared" si="226"/>
        <v/>
      </c>
      <c r="IO816" s="1900" t="str">
        <f t="shared" si="227"/>
        <v/>
      </c>
      <c r="IP816" s="1900" t="str">
        <f t="shared" si="228"/>
        <v/>
      </c>
      <c r="IQ816" s="1900" t="str">
        <f t="shared" si="229"/>
        <v/>
      </c>
      <c r="IR816" s="1900" t="str">
        <f t="shared" si="230"/>
        <v/>
      </c>
      <c r="IS816" s="1900" t="str">
        <f t="shared" si="231"/>
        <v/>
      </c>
      <c r="IT816" s="1900" t="str">
        <f t="shared" si="232"/>
        <v/>
      </c>
      <c r="IU816" s="1900" t="str">
        <f t="shared" si="233"/>
        <v/>
      </c>
      <c r="IV816" s="1900" t="str">
        <f t="shared" si="234"/>
        <v/>
      </c>
      <c r="IW816" s="1900" t="str">
        <f t="shared" si="235"/>
        <v/>
      </c>
      <c r="IX816" s="1900" t="str">
        <f t="shared" si="236"/>
        <v/>
      </c>
      <c r="IY816" s="1900" t="str">
        <f t="shared" si="237"/>
        <v/>
      </c>
      <c r="IZ816" s="1900" t="str">
        <f t="shared" si="238"/>
        <v/>
      </c>
      <c r="JA816" s="1900" t="str">
        <f t="shared" si="239"/>
        <v/>
      </c>
      <c r="JB816" s="1900" t="str">
        <f t="shared" si="240"/>
        <v/>
      </c>
      <c r="JC816" s="1900" t="str">
        <f t="shared" si="241"/>
        <v/>
      </c>
      <c r="JD816" s="1900" t="str">
        <f t="shared" si="242"/>
        <v/>
      </c>
      <c r="JE816" s="1900" t="str">
        <f t="shared" si="243"/>
        <v/>
      </c>
      <c r="JF816" s="1900" t="str">
        <f t="shared" si="244"/>
        <v/>
      </c>
      <c r="JG816" s="1900" t="str">
        <f t="shared" si="245"/>
        <v/>
      </c>
      <c r="JH816" s="1900" t="str">
        <f t="shared" si="246"/>
        <v/>
      </c>
      <c r="JI816" s="1900" t="str">
        <f t="shared" si="247"/>
        <v/>
      </c>
      <c r="JJ816" s="1900" t="str">
        <f t="shared" si="248"/>
        <v/>
      </c>
      <c r="JK816" s="1900" t="str">
        <f t="shared" si="249"/>
        <v/>
      </c>
      <c r="JL816" s="1900" t="str">
        <f t="shared" si="250"/>
        <v/>
      </c>
      <c r="JM816" s="1900" t="str">
        <f t="shared" si="251"/>
        <v/>
      </c>
      <c r="JN816" s="1900" t="str">
        <f t="shared" si="252"/>
        <v/>
      </c>
      <c r="JO816" s="1900" t="str">
        <f t="shared" si="253"/>
        <v/>
      </c>
      <c r="JP816" s="1900" t="str">
        <f t="shared" si="254"/>
        <v/>
      </c>
      <c r="JQ816" s="1900" t="str">
        <f t="shared" si="255"/>
        <v/>
      </c>
      <c r="JR816" s="1900" t="str">
        <f t="shared" si="256"/>
        <v/>
      </c>
      <c r="JS816" s="1900" t="str">
        <f t="shared" si="257"/>
        <v/>
      </c>
      <c r="JT816" s="1900" t="str">
        <f t="shared" si="258"/>
        <v/>
      </c>
      <c r="JU816" s="1900" t="str">
        <f t="shared" si="259"/>
        <v/>
      </c>
      <c r="JV816" s="1900" t="str">
        <f t="shared" si="260"/>
        <v/>
      </c>
      <c r="JW816" s="1900" t="str">
        <f t="shared" si="261"/>
        <v/>
      </c>
      <c r="JX816" s="1900" t="str">
        <f t="shared" si="262"/>
        <v/>
      </c>
      <c r="JY816" s="1900" t="str">
        <f t="shared" si="263"/>
        <v/>
      </c>
      <c r="JZ816" s="1900" t="str">
        <f t="shared" si="264"/>
        <v/>
      </c>
      <c r="KA816" s="1900" t="str">
        <f t="shared" si="265"/>
        <v/>
      </c>
      <c r="KB816" s="1900" t="str">
        <f t="shared" si="266"/>
        <v/>
      </c>
      <c r="KC816" s="1900" t="str">
        <f t="shared" si="267"/>
        <v/>
      </c>
      <c r="KD816" s="1900" t="str">
        <f t="shared" si="268"/>
        <v/>
      </c>
      <c r="KE816" s="1900" t="str">
        <f t="shared" si="269"/>
        <v/>
      </c>
      <c r="KF816" s="1900" t="str">
        <f t="shared" si="270"/>
        <v/>
      </c>
      <c r="KG816" s="1900" t="str">
        <f t="shared" si="271"/>
        <v/>
      </c>
      <c r="KH816" s="1900" t="str">
        <f t="shared" si="272"/>
        <v/>
      </c>
      <c r="KI816" s="1900" t="str">
        <f t="shared" si="273"/>
        <v/>
      </c>
      <c r="KJ816" s="1900" t="str">
        <f t="shared" si="274"/>
        <v/>
      </c>
      <c r="KK816" s="1900" t="str">
        <f t="shared" si="275"/>
        <v/>
      </c>
      <c r="KL816" s="1900" t="str">
        <f t="shared" si="276"/>
        <v/>
      </c>
      <c r="KM816" s="1900" t="str">
        <f t="shared" si="277"/>
        <v/>
      </c>
      <c r="KN816" s="1900" t="str">
        <f t="shared" si="278"/>
        <v/>
      </c>
      <c r="KO816" s="1900" t="str">
        <f t="shared" si="279"/>
        <v/>
      </c>
      <c r="KP816" s="1900" t="str">
        <f t="shared" si="280"/>
        <v/>
      </c>
      <c r="KQ816" s="1900" t="str">
        <f t="shared" si="281"/>
        <v/>
      </c>
      <c r="KR816" s="1900" t="str">
        <f t="shared" si="282"/>
        <v/>
      </c>
      <c r="KS816" s="1900" t="str">
        <f t="shared" si="283"/>
        <v/>
      </c>
      <c r="KT816" s="1900" t="str">
        <f t="shared" si="284"/>
        <v/>
      </c>
      <c r="KU816" s="1900" t="str">
        <f t="shared" si="285"/>
        <v/>
      </c>
      <c r="KV816" s="1900" t="str">
        <f t="shared" si="286"/>
        <v/>
      </c>
      <c r="KW816" s="1900" t="str">
        <f t="shared" si="287"/>
        <v/>
      </c>
      <c r="KX816" s="1900" t="str">
        <f t="shared" si="288"/>
        <v/>
      </c>
      <c r="KY816" s="1900" t="str">
        <f t="shared" si="289"/>
        <v/>
      </c>
      <c r="KZ816" s="1900" t="str">
        <f t="shared" si="290"/>
        <v/>
      </c>
      <c r="LA816" s="1900" t="str">
        <f t="shared" si="291"/>
        <v/>
      </c>
      <c r="LB816" s="1900" t="str">
        <f t="shared" si="292"/>
        <v/>
      </c>
      <c r="LC816" s="1900" t="str">
        <f t="shared" si="293"/>
        <v/>
      </c>
      <c r="LD816" s="1900" t="str">
        <f t="shared" si="294"/>
        <v/>
      </c>
      <c r="LE816" s="1900" t="str">
        <f t="shared" si="295"/>
        <v/>
      </c>
      <c r="LF816" s="1900" t="str">
        <f t="shared" si="296"/>
        <v/>
      </c>
      <c r="LG816" s="1900" t="str">
        <f t="shared" si="297"/>
        <v/>
      </c>
      <c r="LH816" s="1900" t="str">
        <f t="shared" si="298"/>
        <v/>
      </c>
      <c r="LI816" s="1900" t="str">
        <f t="shared" si="299"/>
        <v/>
      </c>
      <c r="LJ816" s="1900" t="str">
        <f t="shared" si="300"/>
        <v/>
      </c>
      <c r="LK816" s="1900" t="str">
        <f t="shared" si="301"/>
        <v/>
      </c>
      <c r="LL816" s="1900" t="str">
        <f t="shared" si="302"/>
        <v/>
      </c>
      <c r="LM816" s="1900" t="str">
        <f t="shared" si="303"/>
        <v/>
      </c>
      <c r="LN816" s="1900" t="str">
        <f t="shared" si="304"/>
        <v/>
      </c>
      <c r="LO816" s="1900" t="str">
        <f t="shared" si="305"/>
        <v/>
      </c>
      <c r="LP816" s="1900" t="str">
        <f t="shared" si="306"/>
        <v/>
      </c>
      <c r="LQ816" s="1874" t="str">
        <f t="shared" si="307"/>
        <v/>
      </c>
      <c r="LR816" s="1874" t="str">
        <f t="shared" si="308"/>
        <v/>
      </c>
      <c r="LS816" s="1874" t="str">
        <f t="shared" si="309"/>
        <v/>
      </c>
      <c r="LT816" s="1874" t="str">
        <f t="shared" si="310"/>
        <v/>
      </c>
      <c r="LU816" s="1874" t="str">
        <f t="shared" si="311"/>
        <v/>
      </c>
      <c r="LV816" s="1995" t="str">
        <f t="shared" si="312"/>
        <v/>
      </c>
      <c r="LW816" s="1995" t="str">
        <f t="shared" si="313"/>
        <v/>
      </c>
      <c r="LX816" s="1995" t="str">
        <f t="shared" si="314"/>
        <v/>
      </c>
      <c r="LY816" s="1995" t="str">
        <f t="shared" si="315"/>
        <v/>
      </c>
      <c r="LZ816" s="1995" t="str">
        <f t="shared" si="316"/>
        <v/>
      </c>
      <c r="MA816" s="1995" t="str">
        <f t="shared" si="317"/>
        <v/>
      </c>
      <c r="MB816" s="1995" t="str">
        <f t="shared" si="318"/>
        <v/>
      </c>
      <c r="MC816" s="1995" t="str">
        <f t="shared" si="319"/>
        <v/>
      </c>
      <c r="MD816" s="1995" t="str">
        <f t="shared" si="320"/>
        <v/>
      </c>
      <c r="ME816" s="1995" t="str">
        <f t="shared" si="321"/>
        <v/>
      </c>
      <c r="MF816" s="1995" t="str">
        <f t="shared" si="322"/>
        <v/>
      </c>
      <c r="MG816" s="1995" t="str">
        <f t="shared" si="323"/>
        <v/>
      </c>
      <c r="MH816" s="1995" t="str">
        <f t="shared" si="324"/>
        <v/>
      </c>
      <c r="MI816" s="1995" t="str">
        <f t="shared" si="325"/>
        <v/>
      </c>
      <c r="MJ816" s="1995" t="str">
        <f t="shared" si="326"/>
        <v/>
      </c>
      <c r="MK816" s="1995" t="str">
        <f t="shared" si="327"/>
        <v/>
      </c>
      <c r="ML816" s="1995" t="str">
        <f t="shared" si="328"/>
        <v/>
      </c>
      <c r="MM816" s="1995" t="str">
        <f t="shared" si="329"/>
        <v/>
      </c>
      <c r="MN816" s="1995" t="str">
        <f t="shared" si="330"/>
        <v/>
      </c>
      <c r="MO816" s="1995" t="str">
        <f t="shared" si="331"/>
        <v/>
      </c>
      <c r="MP816" s="1874">
        <f t="shared" si="338"/>
        <v>0</v>
      </c>
      <c r="MQ816" s="1874">
        <f t="shared" si="339"/>
        <v>0</v>
      </c>
      <c r="MR816" s="1874">
        <f t="shared" si="340"/>
        <v>0</v>
      </c>
      <c r="MS816" s="1874">
        <f t="shared" si="341"/>
        <v>0</v>
      </c>
      <c r="MT816" s="1874">
        <f t="shared" si="342"/>
        <v>0</v>
      </c>
      <c r="MU816" s="1874">
        <f t="shared" si="343"/>
        <v>0</v>
      </c>
      <c r="MV816" s="1874">
        <f t="shared" si="344"/>
        <v>0</v>
      </c>
      <c r="MW816" s="1874">
        <f t="shared" si="345"/>
        <v>0</v>
      </c>
      <c r="MX816" s="1874">
        <f t="shared" si="346"/>
        <v>0</v>
      </c>
      <c r="MY816" s="1874">
        <f t="shared" si="347"/>
        <v>0</v>
      </c>
      <c r="MZ816" s="1874">
        <f t="shared" si="332"/>
        <v>0</v>
      </c>
      <c r="NA816" s="1874">
        <f t="shared" si="333"/>
        <v>0</v>
      </c>
      <c r="NB816" s="1874">
        <f t="shared" si="334"/>
        <v>0</v>
      </c>
      <c r="NC816" s="1874">
        <f t="shared" si="335"/>
        <v>0</v>
      </c>
      <c r="ND816" s="1874">
        <f t="shared" si="336"/>
        <v>0</v>
      </c>
    </row>
    <row r="817" spans="1:369" ht="13.95" customHeight="1">
      <c r="A817" s="1896">
        <f>COUNT(A779,A780,A781,A782,A783,A784,A785,A786,A787,A788,A789,A790,A791,A792,A793,A794,A795,A796,A797,A798,A799,A800,A801,A802,A803,A804,A805,A806,A807,A808)</f>
        <v>0</v>
      </c>
      <c r="B817" s="449" t="s">
        <v>4212</v>
      </c>
      <c r="C817" s="449"/>
      <c r="D817" s="1904" t="s">
        <v>996</v>
      </c>
      <c r="E817" s="1901">
        <f>SUM(E779:E816)</f>
        <v>72</v>
      </c>
      <c r="F817" s="1902">
        <f>(E779*F779+E780*F780+E781*F781+E782*F782+E783*F783+E784*F784+E785*F785+E786*F786+E787*F787+E788*F788+E789*F789+E790*F790+E791*F791+E792*F792+E793*F793+E794*F794+E795*F795+E796*F796+E797*F797+E798*F798+E799*F799+E800*F800+E801*F801+E802*F802+E803*F803+E804*F804+E805*F805+E806*F806+E807*F807+E808*F808+E809*F809+E810*F810+E811*F811+E812*F812+E813*F813+E814*F814+E815*F815+E816*F816)</f>
        <v>68000</v>
      </c>
      <c r="H817" s="2107" t="s">
        <v>4209</v>
      </c>
      <c r="I817" s="1229" t="s">
        <v>4210</v>
      </c>
      <c r="J817" s="1903" t="str">
        <f>IF(P836=0,"",IF(SUM(P827:P831)/P836&gt;=0.4,"Pass","Fail"))</f>
        <v>Pass</v>
      </c>
      <c r="K817" s="450"/>
      <c r="L817" s="1904" t="s">
        <v>1276</v>
      </c>
      <c r="M817" s="1905">
        <f>SUM(M779:M816)</f>
        <v>42381</v>
      </c>
      <c r="N817" s="1815"/>
      <c r="O817" s="1815"/>
      <c r="P817" s="1815"/>
      <c r="Q817" s="1815"/>
      <c r="R817" s="1815"/>
      <c r="S817" s="1815"/>
      <c r="T817" s="1815"/>
      <c r="U817" s="1815"/>
      <c r="V817" s="1732"/>
      <c r="W817" s="1900"/>
      <c r="X817" s="1900">
        <f t="shared" ref="X817:FA817" si="348">SUM(X779:X816)</f>
        <v>0</v>
      </c>
      <c r="Y817" s="1900">
        <f t="shared" si="348"/>
        <v>5</v>
      </c>
      <c r="Z817" s="1900">
        <f t="shared" si="348"/>
        <v>9</v>
      </c>
      <c r="AA817" s="1900">
        <f t="shared" si="348"/>
        <v>0</v>
      </c>
      <c r="AB817" s="1900">
        <f t="shared" si="348"/>
        <v>0</v>
      </c>
      <c r="AC817" s="1900">
        <f t="shared" si="348"/>
        <v>0</v>
      </c>
      <c r="AD817" s="1900">
        <f t="shared" si="348"/>
        <v>0</v>
      </c>
      <c r="AE817" s="1900">
        <f t="shared" si="348"/>
        <v>0</v>
      </c>
      <c r="AF817" s="1900">
        <f t="shared" si="348"/>
        <v>0</v>
      </c>
      <c r="AG817" s="1900">
        <f t="shared" si="348"/>
        <v>0</v>
      </c>
      <c r="AH817" s="1900">
        <f t="shared" si="348"/>
        <v>0</v>
      </c>
      <c r="AI817" s="1900">
        <f t="shared" si="348"/>
        <v>9</v>
      </c>
      <c r="AJ817" s="1900">
        <f t="shared" si="348"/>
        <v>25</v>
      </c>
      <c r="AK817" s="1900">
        <f t="shared" si="348"/>
        <v>0</v>
      </c>
      <c r="AL817" s="1900">
        <f t="shared" si="348"/>
        <v>0</v>
      </c>
      <c r="AM817" s="1900">
        <f>SUM(AM779:AM816)</f>
        <v>0</v>
      </c>
      <c r="AN817" s="1900">
        <f>SUM(AN779:AN816)</f>
        <v>0</v>
      </c>
      <c r="AO817" s="1900">
        <f>SUM(AO779:AO816)</f>
        <v>0</v>
      </c>
      <c r="AP817" s="1900">
        <f>SUM(AP779:AP816)</f>
        <v>0</v>
      </c>
      <c r="AQ817" s="1900">
        <f>SUM(AQ779:AQ816)</f>
        <v>0</v>
      </c>
      <c r="AR817" s="1900">
        <f t="shared" si="348"/>
        <v>0</v>
      </c>
      <c r="AS817" s="1900">
        <f t="shared" si="348"/>
        <v>6</v>
      </c>
      <c r="AT817" s="1900">
        <f t="shared" si="348"/>
        <v>18</v>
      </c>
      <c r="AU817" s="1900">
        <f t="shared" si="348"/>
        <v>0</v>
      </c>
      <c r="AV817" s="1900">
        <f t="shared" si="348"/>
        <v>0</v>
      </c>
      <c r="AW817" s="1900">
        <f t="shared" si="348"/>
        <v>0</v>
      </c>
      <c r="AX817" s="1900">
        <f t="shared" si="348"/>
        <v>0</v>
      </c>
      <c r="AY817" s="1900">
        <f t="shared" si="348"/>
        <v>0</v>
      </c>
      <c r="AZ817" s="1900">
        <f t="shared" si="348"/>
        <v>0</v>
      </c>
      <c r="BA817" s="1900">
        <f t="shared" si="348"/>
        <v>0</v>
      </c>
      <c r="BB817" s="1900">
        <f>SUM(BB779:BB816)</f>
        <v>0</v>
      </c>
      <c r="BC817" s="1900">
        <f>SUM(BC779:BC816)</f>
        <v>0</v>
      </c>
      <c r="BD817" s="1900">
        <f>SUM(BD779:BD816)</f>
        <v>0</v>
      </c>
      <c r="BE817" s="1900">
        <f>SUM(BE779:BE816)</f>
        <v>0</v>
      </c>
      <c r="BF817" s="1900">
        <f>SUM(BF779:BF816)</f>
        <v>0</v>
      </c>
      <c r="BG817" s="1900">
        <f t="shared" si="348"/>
        <v>0</v>
      </c>
      <c r="BH817" s="1900">
        <f t="shared" si="348"/>
        <v>0</v>
      </c>
      <c r="BI817" s="1900">
        <f t="shared" si="348"/>
        <v>0</v>
      </c>
      <c r="BJ817" s="1900">
        <f t="shared" si="348"/>
        <v>0</v>
      </c>
      <c r="BK817" s="1900">
        <f t="shared" si="348"/>
        <v>0</v>
      </c>
      <c r="BL817" s="1900">
        <f>SUM(BL779:BL816)</f>
        <v>0</v>
      </c>
      <c r="BM817" s="1900">
        <f>SUM(BM779:BM816)</f>
        <v>0</v>
      </c>
      <c r="BN817" s="1900">
        <f>SUM(BN779:BN816)</f>
        <v>0</v>
      </c>
      <c r="BO817" s="1900">
        <f>SUM(BO779:BO816)</f>
        <v>0</v>
      </c>
      <c r="BP817" s="1900">
        <f>SUM(BP779:BP816)</f>
        <v>0</v>
      </c>
      <c r="BQ817" s="1900">
        <f t="shared" si="348"/>
        <v>0</v>
      </c>
      <c r="BR817" s="1900">
        <f t="shared" si="348"/>
        <v>0</v>
      </c>
      <c r="BS817" s="1900">
        <f t="shared" si="348"/>
        <v>0</v>
      </c>
      <c r="BT817" s="1900">
        <f t="shared" si="348"/>
        <v>0</v>
      </c>
      <c r="BU817" s="1900">
        <f t="shared" si="348"/>
        <v>0</v>
      </c>
      <c r="BV817" s="1900">
        <f>SUM(BV779:BV816)</f>
        <v>0</v>
      </c>
      <c r="BW817" s="1900">
        <f>SUM(BW779:BW816)</f>
        <v>6</v>
      </c>
      <c r="BX817" s="1900">
        <f>SUM(BX779:BX816)</f>
        <v>18</v>
      </c>
      <c r="BY817" s="1900">
        <f>SUM(BY779:BY816)</f>
        <v>0</v>
      </c>
      <c r="BZ817" s="1900">
        <f>SUM(BZ779:BZ816)</f>
        <v>0</v>
      </c>
      <c r="CA817" s="1900">
        <f t="shared" si="348"/>
        <v>0</v>
      </c>
      <c r="CB817" s="1900">
        <f t="shared" si="348"/>
        <v>0</v>
      </c>
      <c r="CC817" s="1900">
        <f t="shared" si="348"/>
        <v>0</v>
      </c>
      <c r="CD817" s="1900">
        <f t="shared" si="348"/>
        <v>0</v>
      </c>
      <c r="CE817" s="1900">
        <f t="shared" si="348"/>
        <v>0</v>
      </c>
      <c r="CF817" s="1900">
        <f t="shared" si="348"/>
        <v>0</v>
      </c>
      <c r="CG817" s="1900">
        <f t="shared" si="348"/>
        <v>0</v>
      </c>
      <c r="CH817" s="1900">
        <f t="shared" si="348"/>
        <v>0</v>
      </c>
      <c r="CI817" s="1900">
        <f t="shared" si="348"/>
        <v>0</v>
      </c>
      <c r="CJ817" s="1900">
        <f t="shared" si="348"/>
        <v>0</v>
      </c>
      <c r="CK817" s="1900">
        <f>SUM(CK779:CK816)</f>
        <v>0</v>
      </c>
      <c r="CL817" s="1900">
        <f>SUM(CL779:CL816)</f>
        <v>0</v>
      </c>
      <c r="CM817" s="1900">
        <f>SUM(CM779:CM816)</f>
        <v>0</v>
      </c>
      <c r="CN817" s="1900">
        <f>SUM(CN779:CN816)</f>
        <v>0</v>
      </c>
      <c r="CO817" s="1900">
        <f>SUM(CO779:CO816)</f>
        <v>0</v>
      </c>
      <c r="CP817" s="1900">
        <f t="shared" ref="CP817:CY817" si="349">SUM(CP779:CP816)</f>
        <v>0</v>
      </c>
      <c r="CQ817" s="1900">
        <f t="shared" si="349"/>
        <v>5</v>
      </c>
      <c r="CR817" s="1900">
        <f t="shared" si="349"/>
        <v>9</v>
      </c>
      <c r="CS817" s="1900">
        <f t="shared" si="349"/>
        <v>0</v>
      </c>
      <c r="CT817" s="1900">
        <f t="shared" si="349"/>
        <v>0</v>
      </c>
      <c r="CU817" s="1900">
        <f t="shared" si="349"/>
        <v>0</v>
      </c>
      <c r="CV817" s="1900">
        <f t="shared" si="349"/>
        <v>0</v>
      </c>
      <c r="CW817" s="1900">
        <f t="shared" si="349"/>
        <v>0</v>
      </c>
      <c r="CX817" s="1900">
        <f t="shared" si="349"/>
        <v>0</v>
      </c>
      <c r="CY817" s="1900">
        <f t="shared" si="349"/>
        <v>0</v>
      </c>
      <c r="CZ817" s="1900">
        <f t="shared" si="348"/>
        <v>0</v>
      </c>
      <c r="DA817" s="1900">
        <f t="shared" si="348"/>
        <v>0</v>
      </c>
      <c r="DB817" s="1900">
        <f t="shared" si="348"/>
        <v>0</v>
      </c>
      <c r="DC817" s="1900">
        <f t="shared" si="348"/>
        <v>0</v>
      </c>
      <c r="DD817" s="1900">
        <f t="shared" si="348"/>
        <v>0</v>
      </c>
      <c r="DE817" s="1900">
        <f t="shared" si="348"/>
        <v>0</v>
      </c>
      <c r="DF817" s="1900">
        <f t="shared" si="348"/>
        <v>0</v>
      </c>
      <c r="DG817" s="1900">
        <f t="shared" si="348"/>
        <v>0</v>
      </c>
      <c r="DH817" s="1900">
        <f t="shared" si="348"/>
        <v>0</v>
      </c>
      <c r="DI817" s="1900">
        <f t="shared" si="348"/>
        <v>0</v>
      </c>
      <c r="DJ817" s="1900">
        <f t="shared" si="348"/>
        <v>0</v>
      </c>
      <c r="DK817" s="1900">
        <f t="shared" si="348"/>
        <v>0</v>
      </c>
      <c r="DL817" s="1900">
        <f t="shared" si="348"/>
        <v>0</v>
      </c>
      <c r="DM817" s="1900">
        <f t="shared" si="348"/>
        <v>0</v>
      </c>
      <c r="DN817" s="1900">
        <f t="shared" si="348"/>
        <v>0</v>
      </c>
      <c r="DO817" s="1900">
        <f t="shared" si="348"/>
        <v>0</v>
      </c>
      <c r="DP817" s="1900">
        <f t="shared" si="348"/>
        <v>0</v>
      </c>
      <c r="DQ817" s="1900">
        <f t="shared" si="348"/>
        <v>0</v>
      </c>
      <c r="DR817" s="1900">
        <f t="shared" si="348"/>
        <v>0</v>
      </c>
      <c r="DS817" s="1900">
        <f t="shared" si="348"/>
        <v>0</v>
      </c>
      <c r="DT817" s="1900">
        <f t="shared" si="348"/>
        <v>0</v>
      </c>
      <c r="DU817" s="1900">
        <f t="shared" si="348"/>
        <v>0</v>
      </c>
      <c r="DV817" s="1900">
        <f t="shared" si="348"/>
        <v>0</v>
      </c>
      <c r="DW817" s="1900">
        <f t="shared" si="348"/>
        <v>0</v>
      </c>
      <c r="DX817" s="1900">
        <f t="shared" si="348"/>
        <v>0</v>
      </c>
      <c r="DY817" s="1900">
        <f t="shared" si="348"/>
        <v>0</v>
      </c>
      <c r="DZ817" s="1900">
        <f t="shared" si="348"/>
        <v>0</v>
      </c>
      <c r="EA817" s="1900">
        <f t="shared" si="348"/>
        <v>0</v>
      </c>
      <c r="EB817" s="1900">
        <f t="shared" si="348"/>
        <v>0</v>
      </c>
      <c r="EC817" s="1900">
        <f t="shared" si="348"/>
        <v>0</v>
      </c>
      <c r="ED817" s="1900">
        <f t="shared" si="348"/>
        <v>0</v>
      </c>
      <c r="EE817" s="1900">
        <f t="shared" si="348"/>
        <v>0</v>
      </c>
      <c r="EF817" s="1900">
        <f t="shared" si="348"/>
        <v>0</v>
      </c>
      <c r="EG817" s="1900">
        <f t="shared" si="348"/>
        <v>0</v>
      </c>
      <c r="EH817" s="1900">
        <f t="shared" si="348"/>
        <v>0</v>
      </c>
      <c r="EI817" s="1900">
        <f t="shared" si="348"/>
        <v>0</v>
      </c>
      <c r="EJ817" s="1900">
        <f t="shared" si="348"/>
        <v>4000</v>
      </c>
      <c r="EK817" s="1900">
        <f t="shared" si="348"/>
        <v>9000</v>
      </c>
      <c r="EL817" s="1900">
        <f t="shared" si="348"/>
        <v>0</v>
      </c>
      <c r="EM817" s="1900">
        <f t="shared" si="348"/>
        <v>0</v>
      </c>
      <c r="EN817" s="1900">
        <f t="shared" si="348"/>
        <v>0</v>
      </c>
      <c r="EO817" s="1900">
        <f t="shared" si="348"/>
        <v>0</v>
      </c>
      <c r="EP817" s="1900">
        <f t="shared" si="348"/>
        <v>0</v>
      </c>
      <c r="EQ817" s="1900">
        <f t="shared" si="348"/>
        <v>0</v>
      </c>
      <c r="ER817" s="1900">
        <f t="shared" si="348"/>
        <v>0</v>
      </c>
      <c r="ES817" s="1900">
        <f t="shared" si="348"/>
        <v>0</v>
      </c>
      <c r="ET817" s="1900">
        <f t="shared" si="348"/>
        <v>7200</v>
      </c>
      <c r="EU817" s="1900">
        <f t="shared" si="348"/>
        <v>25000</v>
      </c>
      <c r="EV817" s="1900">
        <f t="shared" si="348"/>
        <v>0</v>
      </c>
      <c r="EW817" s="1900">
        <f t="shared" si="348"/>
        <v>0</v>
      </c>
      <c r="EX817" s="1900">
        <f t="shared" si="348"/>
        <v>0</v>
      </c>
      <c r="EY817" s="1900">
        <f t="shared" si="348"/>
        <v>0</v>
      </c>
      <c r="EZ817" s="1900">
        <f t="shared" si="348"/>
        <v>0</v>
      </c>
      <c r="FA817" s="1900">
        <f t="shared" si="348"/>
        <v>0</v>
      </c>
      <c r="FB817" s="1900">
        <f t="shared" ref="FB817:HW817" si="350">SUM(FB779:FB816)</f>
        <v>0</v>
      </c>
      <c r="FC817" s="1900">
        <f>SUM(FC779:FC816)</f>
        <v>0</v>
      </c>
      <c r="FD817" s="1900">
        <f>SUM(FD779:FD816)</f>
        <v>4800</v>
      </c>
      <c r="FE817" s="1900">
        <f>SUM(FE779:FE816)</f>
        <v>18000</v>
      </c>
      <c r="FF817" s="1900">
        <f>SUM(FF779:FF816)</f>
        <v>0</v>
      </c>
      <c r="FG817" s="1900">
        <f>SUM(FG779:FG816)</f>
        <v>0</v>
      </c>
      <c r="FH817" s="1900">
        <f t="shared" si="350"/>
        <v>0</v>
      </c>
      <c r="FI817" s="1900">
        <f t="shared" si="350"/>
        <v>0</v>
      </c>
      <c r="FJ817" s="1900">
        <f t="shared" si="350"/>
        <v>0</v>
      </c>
      <c r="FK817" s="1900">
        <f t="shared" si="350"/>
        <v>0</v>
      </c>
      <c r="FL817" s="1900">
        <f t="shared" si="350"/>
        <v>0</v>
      </c>
      <c r="FM817" s="1900">
        <f>SUM(FM779:FM816)</f>
        <v>0</v>
      </c>
      <c r="FN817" s="1900">
        <f>SUM(FN779:FN816)</f>
        <v>0</v>
      </c>
      <c r="FO817" s="1900">
        <f>SUM(FO779:FO816)</f>
        <v>0</v>
      </c>
      <c r="FP817" s="1900">
        <f>SUM(FP779:FP816)</f>
        <v>0</v>
      </c>
      <c r="FQ817" s="1900">
        <f>SUM(FQ779:FQ816)</f>
        <v>0</v>
      </c>
      <c r="FR817" s="1900">
        <f t="shared" si="350"/>
        <v>0</v>
      </c>
      <c r="FS817" s="1900">
        <f t="shared" si="350"/>
        <v>0</v>
      </c>
      <c r="FT817" s="1900">
        <f t="shared" si="350"/>
        <v>0</v>
      </c>
      <c r="FU817" s="1900">
        <f t="shared" si="350"/>
        <v>0</v>
      </c>
      <c r="FV817" s="1900">
        <f t="shared" si="350"/>
        <v>0</v>
      </c>
      <c r="FW817" s="1900">
        <f t="shared" si="350"/>
        <v>0</v>
      </c>
      <c r="FX817" s="1900">
        <f t="shared" si="350"/>
        <v>0</v>
      </c>
      <c r="FY817" s="1900">
        <f t="shared" si="350"/>
        <v>0</v>
      </c>
      <c r="FZ817" s="1900">
        <f t="shared" si="350"/>
        <v>0</v>
      </c>
      <c r="GA817" s="1900">
        <f t="shared" si="350"/>
        <v>0</v>
      </c>
      <c r="GB817" s="1900">
        <f t="shared" si="350"/>
        <v>0</v>
      </c>
      <c r="GC817" s="1900">
        <f t="shared" si="350"/>
        <v>0</v>
      </c>
      <c r="GD817" s="1900">
        <f t="shared" si="350"/>
        <v>0</v>
      </c>
      <c r="GE817" s="1900">
        <f t="shared" si="350"/>
        <v>0</v>
      </c>
      <c r="GF817" s="1900">
        <f t="shared" si="350"/>
        <v>0</v>
      </c>
      <c r="GG817" s="1900">
        <f t="shared" si="350"/>
        <v>0</v>
      </c>
      <c r="GH817" s="1900">
        <f t="shared" si="350"/>
        <v>20</v>
      </c>
      <c r="GI817" s="1900">
        <f t="shared" si="350"/>
        <v>52</v>
      </c>
      <c r="GJ817" s="1900">
        <f t="shared" si="350"/>
        <v>0</v>
      </c>
      <c r="GK817" s="1900">
        <f t="shared" si="350"/>
        <v>0</v>
      </c>
      <c r="GL817" s="1900">
        <f t="shared" si="350"/>
        <v>0</v>
      </c>
      <c r="GM817" s="1900">
        <f t="shared" si="350"/>
        <v>0</v>
      </c>
      <c r="GN817" s="1900">
        <f t="shared" si="350"/>
        <v>0</v>
      </c>
      <c r="GO817" s="1900">
        <f t="shared" si="350"/>
        <v>0</v>
      </c>
      <c r="GP817" s="1900">
        <f t="shared" si="350"/>
        <v>0</v>
      </c>
      <c r="GQ817" s="1900">
        <f t="shared" si="350"/>
        <v>0</v>
      </c>
      <c r="GR817" s="1900">
        <f t="shared" si="350"/>
        <v>0</v>
      </c>
      <c r="GS817" s="1900">
        <f t="shared" si="350"/>
        <v>0</v>
      </c>
      <c r="GT817" s="1900">
        <f t="shared" si="350"/>
        <v>0</v>
      </c>
      <c r="GU817" s="1900">
        <f t="shared" si="350"/>
        <v>0</v>
      </c>
      <c r="GV817" s="1900">
        <f t="shared" si="350"/>
        <v>0</v>
      </c>
      <c r="GW817" s="1900">
        <f t="shared" si="350"/>
        <v>0</v>
      </c>
      <c r="GX817" s="1900">
        <f t="shared" si="350"/>
        <v>0</v>
      </c>
      <c r="GY817" s="1900">
        <f t="shared" si="350"/>
        <v>0</v>
      </c>
      <c r="GZ817" s="1900">
        <f t="shared" si="350"/>
        <v>0</v>
      </c>
      <c r="HA817" s="1900">
        <f t="shared" si="350"/>
        <v>0</v>
      </c>
      <c r="HB817" s="1900">
        <f t="shared" si="350"/>
        <v>0</v>
      </c>
      <c r="HC817" s="1900">
        <f t="shared" si="350"/>
        <v>0</v>
      </c>
      <c r="HD817" s="1900">
        <f t="shared" si="350"/>
        <v>0</v>
      </c>
      <c r="HE817" s="1900">
        <f t="shared" si="350"/>
        <v>0</v>
      </c>
      <c r="HF817" s="1900">
        <f t="shared" si="350"/>
        <v>0</v>
      </c>
      <c r="HG817" s="1900">
        <f t="shared" si="350"/>
        <v>0</v>
      </c>
      <c r="HH817" s="1900">
        <f t="shared" si="350"/>
        <v>0</v>
      </c>
      <c r="HI817" s="1900">
        <f t="shared" si="350"/>
        <v>0</v>
      </c>
      <c r="HJ817" s="1900">
        <f t="shared" si="350"/>
        <v>0</v>
      </c>
      <c r="HK817" s="1900">
        <f t="shared" si="350"/>
        <v>0</v>
      </c>
      <c r="HL817" s="1900">
        <f t="shared" si="350"/>
        <v>0</v>
      </c>
      <c r="HM817" s="1900">
        <f t="shared" si="350"/>
        <v>0</v>
      </c>
      <c r="HN817" s="1900">
        <f t="shared" si="350"/>
        <v>0</v>
      </c>
      <c r="HO817" s="1900">
        <f t="shared" si="350"/>
        <v>0</v>
      </c>
      <c r="HP817" s="1900">
        <f t="shared" si="350"/>
        <v>0</v>
      </c>
      <c r="HQ817" s="1900">
        <f t="shared" si="350"/>
        <v>0</v>
      </c>
      <c r="HR817" s="1900">
        <f t="shared" si="350"/>
        <v>0</v>
      </c>
      <c r="HS817" s="1900">
        <f t="shared" si="350"/>
        <v>0</v>
      </c>
      <c r="HT817" s="1900">
        <f t="shared" si="350"/>
        <v>0</v>
      </c>
      <c r="HU817" s="1900">
        <f t="shared" si="350"/>
        <v>0</v>
      </c>
      <c r="HV817" s="1900">
        <f t="shared" si="350"/>
        <v>0</v>
      </c>
      <c r="HW817" s="1900">
        <f t="shared" si="350"/>
        <v>0</v>
      </c>
      <c r="HX817" s="1900">
        <f t="shared" ref="HX817:KI817" si="351">SUM(HX779:HX816)</f>
        <v>0</v>
      </c>
      <c r="HY817" s="1900">
        <f t="shared" si="351"/>
        <v>0</v>
      </c>
      <c r="HZ817" s="1900">
        <f t="shared" si="351"/>
        <v>0</v>
      </c>
      <c r="IA817" s="1900">
        <f t="shared" si="351"/>
        <v>20</v>
      </c>
      <c r="IB817" s="1900">
        <f t="shared" si="351"/>
        <v>52</v>
      </c>
      <c r="IC817" s="1900">
        <f t="shared" si="351"/>
        <v>0</v>
      </c>
      <c r="ID817" s="1900">
        <f t="shared" si="351"/>
        <v>0</v>
      </c>
      <c r="IE817" s="1900">
        <f t="shared" si="351"/>
        <v>0</v>
      </c>
      <c r="IF817" s="1900">
        <f t="shared" si="351"/>
        <v>0</v>
      </c>
      <c r="IG817" s="1900">
        <f t="shared" si="351"/>
        <v>0</v>
      </c>
      <c r="IH817" s="1900">
        <f t="shared" si="351"/>
        <v>0</v>
      </c>
      <c r="II817" s="1900">
        <f t="shared" si="351"/>
        <v>0</v>
      </c>
      <c r="IJ817" s="1900">
        <f t="shared" si="351"/>
        <v>0</v>
      </c>
      <c r="IK817" s="1900">
        <f t="shared" si="351"/>
        <v>0</v>
      </c>
      <c r="IL817" s="1900">
        <f t="shared" si="351"/>
        <v>0</v>
      </c>
      <c r="IM817" s="1900">
        <f t="shared" si="351"/>
        <v>0</v>
      </c>
      <c r="IN817" s="1900">
        <f t="shared" si="351"/>
        <v>0</v>
      </c>
      <c r="IO817" s="1900">
        <f t="shared" si="351"/>
        <v>0</v>
      </c>
      <c r="IP817" s="1900">
        <f t="shared" si="351"/>
        <v>0</v>
      </c>
      <c r="IQ817" s="1900">
        <f t="shared" si="351"/>
        <v>0</v>
      </c>
      <c r="IR817" s="1900">
        <f t="shared" si="351"/>
        <v>0</v>
      </c>
      <c r="IS817" s="1900">
        <f t="shared" si="351"/>
        <v>0</v>
      </c>
      <c r="IT817" s="1900">
        <f t="shared" si="351"/>
        <v>0</v>
      </c>
      <c r="IU817" s="1900">
        <f t="shared" si="351"/>
        <v>0</v>
      </c>
      <c r="IV817" s="1900">
        <f t="shared" si="351"/>
        <v>0</v>
      </c>
      <c r="IW817" s="1900">
        <f t="shared" si="351"/>
        <v>0</v>
      </c>
      <c r="IX817" s="1900">
        <f t="shared" si="351"/>
        <v>0</v>
      </c>
      <c r="IY817" s="1900">
        <f t="shared" si="351"/>
        <v>0</v>
      </c>
      <c r="IZ817" s="1900">
        <f t="shared" si="351"/>
        <v>0</v>
      </c>
      <c r="JA817" s="1900">
        <f t="shared" si="351"/>
        <v>0</v>
      </c>
      <c r="JB817" s="1900">
        <f t="shared" si="351"/>
        <v>0</v>
      </c>
      <c r="JC817" s="1900">
        <f t="shared" si="351"/>
        <v>0</v>
      </c>
      <c r="JD817" s="1900">
        <f t="shared" si="351"/>
        <v>0</v>
      </c>
      <c r="JE817" s="1900">
        <f t="shared" si="351"/>
        <v>0</v>
      </c>
      <c r="JF817" s="1900">
        <f t="shared" si="351"/>
        <v>0</v>
      </c>
      <c r="JG817" s="1900">
        <f t="shared" si="351"/>
        <v>0</v>
      </c>
      <c r="JH817" s="1900">
        <f t="shared" si="351"/>
        <v>0</v>
      </c>
      <c r="JI817" s="1900">
        <f t="shared" si="351"/>
        <v>0</v>
      </c>
      <c r="JJ817" s="1900">
        <f t="shared" si="351"/>
        <v>0</v>
      </c>
      <c r="JK817" s="1900">
        <f t="shared" si="351"/>
        <v>0</v>
      </c>
      <c r="JL817" s="1900">
        <f t="shared" si="351"/>
        <v>0</v>
      </c>
      <c r="JM817" s="1900">
        <f t="shared" si="351"/>
        <v>0</v>
      </c>
      <c r="JN817" s="1900">
        <f t="shared" si="351"/>
        <v>0</v>
      </c>
      <c r="JO817" s="1900">
        <f t="shared" si="351"/>
        <v>0</v>
      </c>
      <c r="JP817" s="1900">
        <f t="shared" si="351"/>
        <v>0</v>
      </c>
      <c r="JQ817" s="1900">
        <f t="shared" si="351"/>
        <v>0</v>
      </c>
      <c r="JR817" s="1900">
        <f t="shared" si="351"/>
        <v>0</v>
      </c>
      <c r="JS817" s="1900">
        <f t="shared" si="351"/>
        <v>0</v>
      </c>
      <c r="JT817" s="1900">
        <f t="shared" si="351"/>
        <v>0</v>
      </c>
      <c r="JU817" s="1900">
        <f t="shared" si="351"/>
        <v>0</v>
      </c>
      <c r="JV817" s="1900">
        <f t="shared" si="351"/>
        <v>0</v>
      </c>
      <c r="JW817" s="1900">
        <f t="shared" si="351"/>
        <v>0</v>
      </c>
      <c r="JX817" s="1900">
        <f t="shared" si="351"/>
        <v>0</v>
      </c>
      <c r="JY817" s="1900">
        <f t="shared" si="351"/>
        <v>0</v>
      </c>
      <c r="JZ817" s="1900">
        <f t="shared" si="351"/>
        <v>0</v>
      </c>
      <c r="KA817" s="1900">
        <f t="shared" si="351"/>
        <v>0</v>
      </c>
      <c r="KB817" s="1900">
        <f t="shared" si="351"/>
        <v>0</v>
      </c>
      <c r="KC817" s="1900">
        <f t="shared" si="351"/>
        <v>0</v>
      </c>
      <c r="KD817" s="1900">
        <f t="shared" si="351"/>
        <v>0</v>
      </c>
      <c r="KE817" s="1900">
        <f t="shared" si="351"/>
        <v>0</v>
      </c>
      <c r="KF817" s="1900">
        <f t="shared" si="351"/>
        <v>0</v>
      </c>
      <c r="KG817" s="1900">
        <f t="shared" si="351"/>
        <v>0</v>
      </c>
      <c r="KH817" s="1900">
        <f t="shared" si="351"/>
        <v>0</v>
      </c>
      <c r="KI817" s="1900">
        <f t="shared" si="351"/>
        <v>0</v>
      </c>
      <c r="KJ817" s="1900">
        <f t="shared" ref="KJ817:NE817" si="352">SUM(KJ779:KJ816)</f>
        <v>0</v>
      </c>
      <c r="KK817" s="1900">
        <f t="shared" si="352"/>
        <v>0</v>
      </c>
      <c r="KL817" s="1900">
        <f t="shared" si="352"/>
        <v>0</v>
      </c>
      <c r="KM817" s="1900">
        <f t="shared" si="352"/>
        <v>0</v>
      </c>
      <c r="KN817" s="1900">
        <f t="shared" si="352"/>
        <v>0</v>
      </c>
      <c r="KO817" s="1900">
        <f t="shared" si="352"/>
        <v>0</v>
      </c>
      <c r="KP817" s="1900">
        <f t="shared" si="352"/>
        <v>0</v>
      </c>
      <c r="KQ817" s="1900">
        <f t="shared" si="352"/>
        <v>0</v>
      </c>
      <c r="KR817" s="1900">
        <f t="shared" si="352"/>
        <v>0</v>
      </c>
      <c r="KS817" s="1900">
        <f t="shared" si="352"/>
        <v>0</v>
      </c>
      <c r="KT817" s="1900">
        <f t="shared" si="352"/>
        <v>0</v>
      </c>
      <c r="KU817" s="1900">
        <f t="shared" si="352"/>
        <v>0</v>
      </c>
      <c r="KV817" s="1900">
        <f t="shared" si="352"/>
        <v>0</v>
      </c>
      <c r="KW817" s="1900">
        <f t="shared" si="352"/>
        <v>0</v>
      </c>
      <c r="KX817" s="1900">
        <f t="shared" si="352"/>
        <v>0</v>
      </c>
      <c r="KY817" s="1900">
        <f t="shared" si="352"/>
        <v>0</v>
      </c>
      <c r="KZ817" s="1900">
        <f t="shared" si="352"/>
        <v>0</v>
      </c>
      <c r="LA817" s="1900">
        <f t="shared" si="352"/>
        <v>0</v>
      </c>
      <c r="LB817" s="1900">
        <f t="shared" si="352"/>
        <v>0</v>
      </c>
      <c r="LC817" s="1900">
        <f t="shared" si="352"/>
        <v>0</v>
      </c>
      <c r="LD817" s="1900">
        <f t="shared" si="352"/>
        <v>0</v>
      </c>
      <c r="LE817" s="1900">
        <f t="shared" si="352"/>
        <v>0</v>
      </c>
      <c r="LF817" s="1900">
        <f t="shared" si="352"/>
        <v>0</v>
      </c>
      <c r="LG817" s="1900">
        <f t="shared" si="352"/>
        <v>0</v>
      </c>
      <c r="LH817" s="1900">
        <f t="shared" si="352"/>
        <v>20</v>
      </c>
      <c r="LI817" s="1900">
        <f t="shared" si="352"/>
        <v>52</v>
      </c>
      <c r="LJ817" s="1900">
        <f t="shared" si="352"/>
        <v>0</v>
      </c>
      <c r="LK817" s="1900">
        <f t="shared" si="352"/>
        <v>0</v>
      </c>
      <c r="LL817" s="1900">
        <f t="shared" si="352"/>
        <v>0</v>
      </c>
      <c r="LM817" s="1900">
        <f t="shared" si="352"/>
        <v>0</v>
      </c>
      <c r="LN817" s="1900">
        <f t="shared" si="352"/>
        <v>0</v>
      </c>
      <c r="LO817" s="1900">
        <f t="shared" si="352"/>
        <v>0</v>
      </c>
      <c r="LP817" s="1900">
        <f t="shared" si="352"/>
        <v>0</v>
      </c>
      <c r="LQ817" s="1900">
        <f t="shared" si="352"/>
        <v>0</v>
      </c>
      <c r="LR817" s="1900">
        <f t="shared" si="352"/>
        <v>0</v>
      </c>
      <c r="LS817" s="1900">
        <f t="shared" si="352"/>
        <v>0</v>
      </c>
      <c r="LT817" s="1900">
        <f t="shared" si="352"/>
        <v>0</v>
      </c>
      <c r="LU817" s="1900">
        <f t="shared" si="352"/>
        <v>0</v>
      </c>
      <c r="LV817" s="1900">
        <f t="shared" si="352"/>
        <v>0</v>
      </c>
      <c r="LW817" s="1900">
        <f t="shared" si="352"/>
        <v>0</v>
      </c>
      <c r="LX817" s="1900">
        <f t="shared" si="352"/>
        <v>0</v>
      </c>
      <c r="LY817" s="1900">
        <f t="shared" si="352"/>
        <v>0</v>
      </c>
      <c r="LZ817" s="1900">
        <f t="shared" si="352"/>
        <v>0</v>
      </c>
      <c r="MA817" s="1900">
        <f t="shared" si="352"/>
        <v>0</v>
      </c>
      <c r="MB817" s="1900">
        <f t="shared" si="352"/>
        <v>0</v>
      </c>
      <c r="MC817" s="1900">
        <f t="shared" si="352"/>
        <v>0</v>
      </c>
      <c r="MD817" s="1900">
        <f t="shared" si="352"/>
        <v>0</v>
      </c>
      <c r="ME817" s="1900">
        <f t="shared" si="352"/>
        <v>0</v>
      </c>
      <c r="MF817" s="1900">
        <f t="shared" si="352"/>
        <v>0</v>
      </c>
      <c r="MG817" s="1900">
        <f t="shared" si="352"/>
        <v>0</v>
      </c>
      <c r="MH817" s="1900">
        <f t="shared" si="352"/>
        <v>0</v>
      </c>
      <c r="MI817" s="1900">
        <f t="shared" si="352"/>
        <v>0</v>
      </c>
      <c r="MJ817" s="1900">
        <f t="shared" si="352"/>
        <v>0</v>
      </c>
      <c r="MK817" s="1900">
        <f t="shared" si="352"/>
        <v>0</v>
      </c>
      <c r="ML817" s="1900">
        <f t="shared" si="352"/>
        <v>0</v>
      </c>
      <c r="MM817" s="1900">
        <f t="shared" si="352"/>
        <v>0</v>
      </c>
      <c r="MN817" s="1900">
        <f t="shared" si="352"/>
        <v>0</v>
      </c>
      <c r="MO817" s="1900">
        <f t="shared" si="352"/>
        <v>0</v>
      </c>
      <c r="MP817" s="1900">
        <f t="shared" si="352"/>
        <v>0</v>
      </c>
      <c r="MQ817" s="1900">
        <f t="shared" si="352"/>
        <v>0</v>
      </c>
      <c r="MR817" s="1900">
        <f t="shared" si="352"/>
        <v>0</v>
      </c>
      <c r="MS817" s="1900">
        <f t="shared" si="352"/>
        <v>0</v>
      </c>
      <c r="MT817" s="1900">
        <f t="shared" si="352"/>
        <v>0</v>
      </c>
      <c r="MU817" s="1900">
        <f t="shared" si="352"/>
        <v>0</v>
      </c>
      <c r="MV817" s="1900">
        <f t="shared" si="352"/>
        <v>20</v>
      </c>
      <c r="MW817" s="1900">
        <f t="shared" si="352"/>
        <v>52</v>
      </c>
      <c r="MX817" s="1900">
        <f t="shared" si="352"/>
        <v>0</v>
      </c>
      <c r="MY817" s="1900">
        <f t="shared" si="352"/>
        <v>0</v>
      </c>
      <c r="MZ817" s="1900">
        <f t="shared" si="352"/>
        <v>0</v>
      </c>
      <c r="NA817" s="1900">
        <f t="shared" si="352"/>
        <v>0</v>
      </c>
      <c r="NB817" s="1900">
        <f t="shared" si="352"/>
        <v>0</v>
      </c>
      <c r="NC817" s="1900">
        <f t="shared" si="352"/>
        <v>0</v>
      </c>
      <c r="ND817" s="1900">
        <f t="shared" si="352"/>
        <v>0</v>
      </c>
      <c r="NE817" s="1900">
        <f t="shared" si="352"/>
        <v>0</v>
      </c>
    </row>
    <row r="818" spans="1:369" ht="13.95" customHeight="1">
      <c r="B818" s="2108">
        <f>IF(SUM(E786:E816)=0,"",(B786*E786+B787*E787+B788*E788+B789*E789+B790*E790+B791*E791+B792*E792+B793*E793+B794*E794+B795*E795+B796*E796+B797*E797+B798*E798+B799*E799+B800*E800+B801*E801+B802*E802+B803*E803+B804*E804+B805*E805+B806*E806+B807*E807+B808*E808+B809*E809+B810*E810+B811*E811+B812*E812+B813*E813+B814*E814+B815*E815+B816*E816)/SUM(E786:E816))</f>
        <v>57.222222222222221</v>
      </c>
      <c r="C818" s="2108"/>
      <c r="D818" s="1896" t="s">
        <v>4119</v>
      </c>
      <c r="E818" s="1901">
        <f>SUM(E786:E816)</f>
        <v>72</v>
      </c>
      <c r="F818" s="1902">
        <f>(E786*F786+E787*F787+E788*F788+E789*F789+E790*F790+E791*F791+E792*F792+E793*F793+E794*F794+E795*F795+E796*F796+E797*F797+E798*F798+E799*F799+E800*F800+E801*F801+E802*F802+E803*F803+E804*F804+E805*F805+E806*F806+E807*F807+E808*F808+E809*F809+E810*F810+E811*F811+E812*F812+E813*F813+E814*F814+E815*F815+E816*F816)</f>
        <v>68000</v>
      </c>
      <c r="H818" s="2107"/>
      <c r="I818" s="1229" t="s">
        <v>4211</v>
      </c>
      <c r="J818" s="1903" t="str">
        <f>IF(P836=0,"",IF(SUM(P828:P831)/P836&gt;=0.2,"Pass","Fail"))</f>
        <v>Pass</v>
      </c>
      <c r="K818" s="450"/>
      <c r="L818" s="1904" t="s">
        <v>794</v>
      </c>
      <c r="M818" s="1905">
        <f>M817*12</f>
        <v>508572</v>
      </c>
      <c r="N818" s="1815"/>
      <c r="O818" s="1815"/>
      <c r="P818" s="1815"/>
      <c r="Q818" s="1815"/>
      <c r="R818" s="1815"/>
      <c r="S818" s="1815"/>
      <c r="T818" s="1815"/>
      <c r="U818" s="1815"/>
      <c r="V818" s="1815"/>
      <c r="W818" s="1900"/>
      <c r="X818" s="1900"/>
      <c r="Y818" s="1900"/>
      <c r="Z818" s="1900"/>
      <c r="AA818" s="1900"/>
      <c r="AB818" s="1900"/>
      <c r="AC818" s="1900"/>
      <c r="AD818" s="1900"/>
      <c r="AE818" s="1900"/>
      <c r="AF818" s="1900"/>
      <c r="AG818" s="1900"/>
      <c r="AH818" s="1900"/>
      <c r="AI818" s="1900"/>
      <c r="AJ818" s="1900"/>
      <c r="AK818" s="1900"/>
      <c r="AL818" s="1900"/>
      <c r="AM818" s="1900"/>
      <c r="AN818" s="1900"/>
      <c r="AO818" s="1900"/>
      <c r="AP818" s="1900"/>
      <c r="AQ818" s="1900"/>
      <c r="AR818" s="1900"/>
      <c r="AS818" s="1900"/>
      <c r="AT818" s="1900"/>
      <c r="AU818" s="1900"/>
      <c r="AV818" s="1900"/>
      <c r="AW818" s="1900"/>
      <c r="AX818" s="1900"/>
      <c r="AY818" s="1900"/>
      <c r="AZ818" s="1900"/>
      <c r="BA818" s="1900"/>
      <c r="BB818" s="1900"/>
      <c r="BC818" s="1900"/>
      <c r="BD818" s="1900"/>
      <c r="BE818" s="1900"/>
      <c r="BF818" s="1900"/>
      <c r="BG818" s="1900"/>
      <c r="BH818" s="1900"/>
      <c r="BI818" s="1900"/>
      <c r="BJ818" s="1900"/>
      <c r="BK818" s="1900"/>
      <c r="BL818" s="1900"/>
      <c r="BM818" s="1900"/>
      <c r="BN818" s="1900"/>
      <c r="BO818" s="1900"/>
      <c r="BP818" s="1900"/>
      <c r="BQ818" s="1900"/>
      <c r="BR818" s="1900"/>
      <c r="BS818" s="1900"/>
      <c r="BT818" s="1900"/>
      <c r="BU818" s="1900"/>
      <c r="BV818" s="1900"/>
      <c r="BW818" s="1900"/>
      <c r="BX818" s="1900"/>
      <c r="BY818" s="1900"/>
      <c r="BZ818" s="1900"/>
      <c r="CA818" s="1900"/>
      <c r="CB818" s="1900"/>
      <c r="CC818" s="1900"/>
      <c r="CD818" s="1900"/>
      <c r="CE818" s="1900"/>
      <c r="CF818" s="1900"/>
      <c r="CG818" s="1900"/>
      <c r="CH818" s="1900"/>
      <c r="CI818" s="1900"/>
      <c r="CJ818" s="1900"/>
      <c r="CK818" s="1900"/>
      <c r="CL818" s="1900"/>
      <c r="CM818" s="1900"/>
      <c r="CN818" s="1900"/>
      <c r="CO818" s="1900"/>
      <c r="CP818" s="1900"/>
      <c r="CQ818" s="1900"/>
      <c r="CR818" s="1900"/>
      <c r="CS818" s="1900"/>
      <c r="CT818" s="1900"/>
      <c r="CU818" s="1900"/>
      <c r="CV818" s="1900"/>
      <c r="CW818" s="1900"/>
      <c r="CX818" s="1900"/>
      <c r="CY818" s="1900"/>
      <c r="CZ818" s="1900"/>
      <c r="DA818" s="1900"/>
      <c r="DB818" s="1900"/>
      <c r="DC818" s="1900"/>
      <c r="DD818" s="1900"/>
      <c r="DE818" s="1900"/>
      <c r="DF818" s="1900"/>
      <c r="DG818" s="1900"/>
      <c r="DH818" s="1900"/>
      <c r="DI818" s="1900"/>
      <c r="DJ818" s="1900"/>
      <c r="DK818" s="1900"/>
      <c r="DL818" s="1900"/>
      <c r="DM818" s="1900"/>
      <c r="DN818" s="1900"/>
      <c r="DO818" s="1900"/>
      <c r="DP818" s="1900"/>
      <c r="DQ818" s="1900"/>
      <c r="DR818" s="1900"/>
      <c r="DS818" s="1900"/>
      <c r="DT818" s="1900"/>
      <c r="DU818" s="1900"/>
      <c r="DV818" s="1900"/>
      <c r="DW818" s="1900"/>
      <c r="DX818" s="1900"/>
      <c r="DY818" s="1900"/>
      <c r="DZ818" s="1900"/>
      <c r="EA818" s="1900"/>
      <c r="EB818" s="1900"/>
      <c r="EC818" s="1900"/>
      <c r="ED818" s="1900"/>
      <c r="EE818" s="1900"/>
      <c r="EF818" s="1900"/>
      <c r="EG818" s="1900"/>
      <c r="EH818" s="1900"/>
      <c r="EI818" s="1900"/>
      <c r="EJ818" s="1900"/>
      <c r="EK818" s="1900"/>
      <c r="EL818" s="1900"/>
      <c r="EM818" s="1900"/>
      <c r="EN818" s="1900"/>
      <c r="EO818" s="1900"/>
      <c r="EP818" s="1900"/>
      <c r="EQ818" s="1900"/>
      <c r="ER818" s="1900"/>
      <c r="ES818" s="1900"/>
      <c r="ET818" s="1900"/>
      <c r="EU818" s="1900"/>
      <c r="EV818" s="1900"/>
      <c r="EW818" s="1900"/>
      <c r="EX818" s="1900"/>
      <c r="EY818" s="1900"/>
      <c r="EZ818" s="1900"/>
      <c r="FA818" s="1900"/>
      <c r="FB818" s="1900"/>
      <c r="FC818" s="1900"/>
      <c r="FD818" s="1900"/>
      <c r="FE818" s="1900"/>
      <c r="FF818" s="1900"/>
      <c r="FG818" s="1900"/>
      <c r="FH818" s="1900"/>
      <c r="FI818" s="1900"/>
      <c r="FJ818" s="1900"/>
      <c r="FK818" s="1900"/>
      <c r="FL818" s="1900"/>
      <c r="FM818" s="1900"/>
      <c r="FN818" s="1900"/>
      <c r="FO818" s="1900"/>
      <c r="FP818" s="1900"/>
      <c r="FQ818" s="1900"/>
      <c r="FR818" s="1900"/>
      <c r="FS818" s="1900"/>
      <c r="FT818" s="1900"/>
      <c r="FU818" s="1900"/>
      <c r="FV818" s="1900"/>
      <c r="FW818" s="1900"/>
      <c r="FX818" s="1900"/>
      <c r="FY818" s="1900"/>
      <c r="FZ818" s="1900"/>
      <c r="GA818" s="1900"/>
      <c r="GB818" s="1900"/>
      <c r="GC818" s="1900"/>
      <c r="GD818" s="1900"/>
      <c r="GE818" s="1900"/>
      <c r="GF818" s="1900"/>
      <c r="GG818" s="1900"/>
      <c r="GH818" s="1900"/>
      <c r="GI818" s="1900"/>
      <c r="GJ818" s="1900"/>
      <c r="GK818" s="1900"/>
      <c r="GL818" s="1900"/>
      <c r="GM818" s="1900"/>
      <c r="GN818" s="1900"/>
      <c r="GO818" s="1900"/>
      <c r="GP818" s="1900"/>
      <c r="GQ818" s="1900"/>
      <c r="GR818" s="1900"/>
      <c r="GS818" s="1900"/>
      <c r="GT818" s="1900"/>
      <c r="GU818" s="1900"/>
      <c r="GV818" s="1900"/>
      <c r="GW818" s="1900"/>
      <c r="GX818" s="1900"/>
      <c r="GY818" s="1900"/>
      <c r="GZ818" s="1900"/>
      <c r="HA818" s="1900"/>
      <c r="HB818" s="1900"/>
      <c r="HC818" s="1900"/>
      <c r="HD818" s="1900"/>
      <c r="HE818" s="1900"/>
      <c r="HF818" s="1900"/>
      <c r="HG818" s="1900"/>
      <c r="HH818" s="1900"/>
      <c r="HI818" s="1900"/>
      <c r="HJ818" s="1900"/>
      <c r="HK818" s="1900"/>
      <c r="HL818" s="1900"/>
      <c r="HM818" s="1900"/>
      <c r="HN818" s="1900"/>
      <c r="HO818" s="1900"/>
      <c r="HP818" s="1900"/>
      <c r="HQ818" s="1900"/>
      <c r="HR818" s="1900"/>
      <c r="HS818" s="1900"/>
      <c r="HT818" s="1900"/>
      <c r="HU818" s="1900"/>
      <c r="HV818" s="1900"/>
      <c r="HW818" s="1900"/>
      <c r="HX818" s="1900"/>
      <c r="HY818" s="1900"/>
      <c r="HZ818" s="1900"/>
      <c r="IA818" s="1900"/>
      <c r="IB818" s="1900"/>
      <c r="IC818" s="1900"/>
      <c r="ID818" s="1900"/>
      <c r="IE818" s="1900"/>
      <c r="IF818" s="1900"/>
      <c r="IG818" s="1900"/>
      <c r="IH818" s="1900"/>
      <c r="II818" s="1900"/>
      <c r="IJ818" s="1900"/>
      <c r="IK818" s="1900"/>
      <c r="IL818" s="1900"/>
      <c r="IM818" s="1900"/>
      <c r="IN818" s="1900"/>
      <c r="IO818" s="1900"/>
      <c r="IP818" s="1900"/>
      <c r="IQ818" s="1900"/>
      <c r="IR818" s="1900"/>
      <c r="IS818" s="1900"/>
      <c r="IT818" s="1900"/>
      <c r="IU818" s="1900"/>
      <c r="IV818" s="1900"/>
      <c r="IW818" s="1900"/>
      <c r="IX818" s="1900"/>
      <c r="IY818" s="1900"/>
      <c r="IZ818" s="1900"/>
      <c r="JA818" s="1900"/>
      <c r="JB818" s="1900"/>
      <c r="JC818" s="1900"/>
      <c r="JD818" s="1900"/>
      <c r="JE818" s="1900"/>
      <c r="JF818" s="1900"/>
      <c r="JG818" s="1900"/>
      <c r="JH818" s="1900"/>
      <c r="JI818" s="1900"/>
      <c r="JJ818" s="1900"/>
      <c r="JK818" s="1900"/>
      <c r="JL818" s="1900"/>
      <c r="JM818" s="1900"/>
      <c r="JN818" s="1900"/>
      <c r="JO818" s="1900"/>
      <c r="JP818" s="1900"/>
      <c r="JQ818" s="1900"/>
      <c r="JR818" s="1900"/>
      <c r="JS818" s="1900"/>
      <c r="JT818" s="1900"/>
      <c r="JU818" s="1900"/>
      <c r="JV818" s="1900"/>
      <c r="JW818" s="1900"/>
      <c r="JX818" s="1900"/>
      <c r="JY818" s="1900"/>
      <c r="JZ818" s="1900"/>
      <c r="KA818" s="1900"/>
      <c r="KB818" s="1900"/>
      <c r="KC818" s="1900"/>
      <c r="KD818" s="1900"/>
      <c r="KE818" s="1900"/>
      <c r="KF818" s="1900"/>
      <c r="KG818" s="1900"/>
      <c r="KH818" s="1900"/>
      <c r="KI818" s="1900"/>
      <c r="KJ818" s="1900"/>
      <c r="KK818" s="1900"/>
      <c r="KL818" s="1900"/>
      <c r="KM818" s="1900"/>
      <c r="KN818" s="1900"/>
      <c r="KO818" s="1900"/>
      <c r="KP818" s="1900"/>
      <c r="KQ818" s="1900"/>
      <c r="KR818" s="1900"/>
      <c r="KS818" s="1900"/>
      <c r="KT818" s="1900"/>
      <c r="KU818" s="1900"/>
      <c r="KV818" s="1900"/>
      <c r="KW818" s="1900"/>
      <c r="KX818" s="1900"/>
      <c r="KY818" s="1900"/>
      <c r="KZ818" s="1900"/>
      <c r="LA818" s="1900"/>
      <c r="LB818" s="1900"/>
      <c r="LC818" s="1900"/>
      <c r="LD818" s="1900"/>
      <c r="LE818" s="1900"/>
      <c r="LF818" s="1900"/>
      <c r="LG818" s="1900"/>
      <c r="LH818" s="1900"/>
      <c r="LI818" s="1900"/>
      <c r="LJ818" s="1900"/>
      <c r="LK818" s="1900"/>
      <c r="LL818" s="1900"/>
      <c r="LM818" s="1900"/>
      <c r="LN818" s="1900"/>
      <c r="LO818" s="1900"/>
      <c r="LP818" s="1900"/>
      <c r="LQ818" s="1900"/>
      <c r="LR818" s="1900"/>
      <c r="LS818" s="1900"/>
      <c r="LT818" s="1900"/>
      <c r="LU818" s="1900"/>
      <c r="LV818" s="1900"/>
      <c r="LW818" s="1900"/>
      <c r="LX818" s="1900"/>
      <c r="LY818" s="1900"/>
      <c r="LZ818" s="1900"/>
      <c r="MA818" s="1900"/>
      <c r="MB818" s="1900"/>
      <c r="MC818" s="1900"/>
      <c r="MD818" s="1900"/>
      <c r="ME818" s="1900"/>
      <c r="MF818" s="1900"/>
      <c r="MG818" s="1900"/>
      <c r="MH818" s="1900"/>
      <c r="MI818" s="1900"/>
      <c r="MJ818" s="1900"/>
      <c r="MK818" s="1900"/>
      <c r="ML818" s="1900"/>
      <c r="MM818" s="1900"/>
      <c r="MN818" s="1900"/>
      <c r="MO818" s="1900"/>
    </row>
    <row r="819" spans="1:369" ht="3" customHeight="1">
      <c r="A819" s="449"/>
      <c r="B819" s="1815"/>
      <c r="D819" s="1948"/>
      <c r="E819" s="1905"/>
      <c r="F819" s="1905"/>
      <c r="G819" s="450"/>
      <c r="H819" s="450"/>
      <c r="I819" s="450"/>
      <c r="J819" s="450"/>
      <c r="K819" s="450"/>
      <c r="L819" s="1948"/>
      <c r="M819" s="1905"/>
      <c r="N819" s="1815"/>
      <c r="O819" s="1815"/>
      <c r="P819" s="1815"/>
      <c r="Q819" s="1815"/>
      <c r="R819" s="1815"/>
      <c r="S819" s="1815"/>
      <c r="T819" s="1815"/>
      <c r="U819" s="1815"/>
      <c r="V819" s="1815"/>
      <c r="W819" s="1900"/>
      <c r="X819" s="1900"/>
      <c r="Y819" s="1900"/>
      <c r="Z819" s="1900"/>
      <c r="AA819" s="1900"/>
      <c r="AB819" s="1900"/>
      <c r="AC819" s="1900"/>
      <c r="AD819" s="1900"/>
      <c r="AE819" s="1900"/>
      <c r="AF819" s="1900"/>
      <c r="AG819" s="1900"/>
      <c r="AH819" s="1900"/>
      <c r="AI819" s="1900"/>
      <c r="AJ819" s="1900"/>
      <c r="AK819" s="1900"/>
      <c r="AL819" s="1900"/>
      <c r="AM819" s="1900"/>
      <c r="AN819" s="1900"/>
      <c r="AO819" s="1900"/>
      <c r="AP819" s="1900"/>
      <c r="AQ819" s="1900"/>
      <c r="AR819" s="1900"/>
      <c r="AS819" s="1900"/>
      <c r="AT819" s="1900"/>
      <c r="AU819" s="1900"/>
      <c r="AV819" s="1900"/>
      <c r="AW819" s="1900"/>
      <c r="AX819" s="1900"/>
      <c r="AY819" s="1900"/>
      <c r="AZ819" s="1900"/>
      <c r="BA819" s="1900"/>
      <c r="BB819" s="1900"/>
      <c r="BC819" s="1900"/>
      <c r="BD819" s="1900"/>
      <c r="BE819" s="1900"/>
      <c r="BF819" s="1900"/>
      <c r="BG819" s="1900"/>
      <c r="BH819" s="1900"/>
      <c r="BI819" s="1900"/>
      <c r="BJ819" s="1900"/>
      <c r="BK819" s="1900"/>
      <c r="BL819" s="1900"/>
      <c r="BM819" s="1900"/>
      <c r="BN819" s="1900"/>
      <c r="BO819" s="1900"/>
      <c r="BP819" s="1900"/>
      <c r="BQ819" s="1900"/>
      <c r="BR819" s="1900"/>
      <c r="BS819" s="1900"/>
      <c r="BT819" s="1900"/>
      <c r="BU819" s="1900"/>
      <c r="BV819" s="1900"/>
      <c r="BW819" s="1900"/>
      <c r="BX819" s="1900"/>
      <c r="BY819" s="1900"/>
      <c r="BZ819" s="1900"/>
      <c r="CA819" s="1900"/>
      <c r="CB819" s="1900"/>
      <c r="CC819" s="1900"/>
      <c r="CD819" s="1900"/>
      <c r="CE819" s="1900"/>
      <c r="CF819" s="1900"/>
      <c r="CG819" s="1900"/>
      <c r="CH819" s="1900"/>
      <c r="CI819" s="1900"/>
      <c r="CJ819" s="1900"/>
      <c r="CK819" s="1900"/>
      <c r="CL819" s="1900"/>
      <c r="CM819" s="1900"/>
      <c r="CN819" s="1900"/>
      <c r="CO819" s="1900"/>
      <c r="CP819" s="1900"/>
      <c r="CQ819" s="1900"/>
      <c r="CR819" s="1900"/>
      <c r="CS819" s="1900"/>
      <c r="CT819" s="1900"/>
      <c r="CU819" s="1900"/>
      <c r="CV819" s="1900"/>
      <c r="CW819" s="1900"/>
      <c r="CX819" s="1900"/>
      <c r="CY819" s="1900"/>
      <c r="CZ819" s="1900"/>
      <c r="DA819" s="1900"/>
      <c r="DB819" s="1900"/>
      <c r="DC819" s="1900"/>
      <c r="DD819" s="1900"/>
      <c r="DE819" s="1900"/>
      <c r="DF819" s="1900"/>
      <c r="DG819" s="1900"/>
      <c r="DH819" s="1900"/>
      <c r="DI819" s="1900"/>
      <c r="DJ819" s="1900"/>
      <c r="DK819" s="1900"/>
      <c r="DL819" s="1900"/>
      <c r="DM819" s="1900"/>
      <c r="DN819" s="1900"/>
      <c r="DO819" s="1900"/>
      <c r="DP819" s="1900"/>
      <c r="DQ819" s="1900"/>
      <c r="DR819" s="1900"/>
      <c r="DS819" s="1900"/>
      <c r="DT819" s="1900"/>
      <c r="DU819" s="1900"/>
      <c r="DV819" s="1900"/>
      <c r="DW819" s="1900"/>
      <c r="DX819" s="1900"/>
      <c r="DY819" s="1900"/>
      <c r="DZ819" s="1900"/>
      <c r="EA819" s="1900"/>
      <c r="EB819" s="1900"/>
      <c r="EC819" s="1900"/>
      <c r="ED819" s="1900"/>
      <c r="EE819" s="1900"/>
      <c r="EF819" s="1900"/>
      <c r="EG819" s="1900"/>
      <c r="EH819" s="1900"/>
      <c r="EI819" s="1900"/>
      <c r="EJ819" s="1900"/>
      <c r="EK819" s="1900"/>
      <c r="EL819" s="1900"/>
      <c r="EM819" s="1900"/>
      <c r="EN819" s="1900"/>
      <c r="EO819" s="1900"/>
      <c r="EP819" s="1900"/>
      <c r="EQ819" s="1900"/>
      <c r="ER819" s="1900"/>
      <c r="ES819" s="1900"/>
      <c r="ET819" s="1900"/>
      <c r="EU819" s="1900"/>
      <c r="EV819" s="1900"/>
      <c r="EW819" s="1900"/>
      <c r="EX819" s="1900"/>
      <c r="EY819" s="1900"/>
      <c r="EZ819" s="1900"/>
      <c r="FA819" s="1900"/>
      <c r="FB819" s="1900"/>
      <c r="FC819" s="1900"/>
      <c r="FD819" s="1900"/>
      <c r="FE819" s="1900"/>
      <c r="FF819" s="1900"/>
      <c r="FG819" s="1900"/>
      <c r="FH819" s="1900"/>
      <c r="FI819" s="1900"/>
      <c r="FJ819" s="1900"/>
      <c r="FK819" s="1900"/>
      <c r="FL819" s="1900"/>
      <c r="FM819" s="1900"/>
      <c r="FN819" s="1900"/>
      <c r="FO819" s="1900"/>
      <c r="FP819" s="1900"/>
      <c r="FQ819" s="1900"/>
      <c r="FR819" s="1900"/>
      <c r="FS819" s="1900"/>
      <c r="FT819" s="1900"/>
      <c r="FU819" s="1900"/>
      <c r="FV819" s="1900"/>
      <c r="FW819" s="1900"/>
      <c r="FX819" s="1900"/>
      <c r="FY819" s="1900"/>
      <c r="FZ819" s="1900"/>
      <c r="GA819" s="1900"/>
      <c r="GB819" s="1900"/>
      <c r="GC819" s="1900"/>
      <c r="GD819" s="1900"/>
      <c r="GE819" s="1900"/>
      <c r="GF819" s="1900"/>
      <c r="GG819" s="1900"/>
      <c r="GH819" s="1900"/>
      <c r="GI819" s="1900"/>
      <c r="GJ819" s="1900"/>
      <c r="GK819" s="1900"/>
      <c r="GL819" s="1900"/>
      <c r="GM819" s="1900"/>
      <c r="GN819" s="1900"/>
      <c r="GO819" s="1900"/>
      <c r="GP819" s="1900"/>
      <c r="GQ819" s="1900"/>
      <c r="GR819" s="1900"/>
      <c r="GS819" s="1900"/>
      <c r="GT819" s="1900"/>
      <c r="GU819" s="1900"/>
      <c r="GV819" s="1900"/>
      <c r="GW819" s="1900"/>
      <c r="GX819" s="1900"/>
      <c r="GY819" s="1900"/>
      <c r="GZ819" s="1900"/>
      <c r="HA819" s="1900"/>
      <c r="HB819" s="1900"/>
      <c r="HC819" s="1900"/>
      <c r="HD819" s="1900"/>
      <c r="HE819" s="1900"/>
      <c r="HF819" s="1900"/>
      <c r="HG819" s="1900"/>
      <c r="HH819" s="1900"/>
      <c r="HI819" s="1900"/>
      <c r="HJ819" s="1900"/>
      <c r="HK819" s="1900"/>
      <c r="HL819" s="1900"/>
      <c r="HM819" s="1900"/>
      <c r="HN819" s="1900"/>
      <c r="HO819" s="1900"/>
      <c r="HP819" s="1900"/>
      <c r="HQ819" s="1900"/>
      <c r="HR819" s="1900"/>
      <c r="HS819" s="1900"/>
      <c r="HT819" s="1900"/>
      <c r="HU819" s="1900"/>
      <c r="HV819" s="1900"/>
      <c r="HW819" s="1900"/>
      <c r="HX819" s="1900"/>
      <c r="HY819" s="1900"/>
      <c r="HZ819" s="1900"/>
      <c r="IA819" s="1900"/>
      <c r="IB819" s="1900"/>
      <c r="IC819" s="1900"/>
      <c r="ID819" s="1900"/>
      <c r="IE819" s="1900"/>
      <c r="IF819" s="1900"/>
      <c r="IG819" s="1900"/>
      <c r="IH819" s="1900"/>
      <c r="II819" s="1900"/>
      <c r="IJ819" s="1900"/>
      <c r="IK819" s="1900"/>
      <c r="IL819" s="1900"/>
      <c r="IM819" s="1900"/>
      <c r="IN819" s="1900"/>
      <c r="IO819" s="1900"/>
      <c r="IP819" s="1900"/>
      <c r="IQ819" s="1900"/>
      <c r="IR819" s="1900"/>
      <c r="IS819" s="1900"/>
      <c r="IT819" s="1900"/>
      <c r="IU819" s="1900"/>
      <c r="IV819" s="1900"/>
      <c r="IW819" s="1900"/>
      <c r="IX819" s="1900"/>
      <c r="IY819" s="1900"/>
      <c r="IZ819" s="1900"/>
      <c r="JA819" s="1900"/>
      <c r="JB819" s="1900"/>
      <c r="JC819" s="1900"/>
      <c r="JD819" s="1900"/>
      <c r="JE819" s="1900"/>
      <c r="JF819" s="1900"/>
      <c r="JG819" s="1900"/>
      <c r="JH819" s="1900"/>
      <c r="JI819" s="1900"/>
      <c r="JJ819" s="1900"/>
      <c r="JK819" s="1900"/>
      <c r="JL819" s="1900"/>
      <c r="JM819" s="1900"/>
      <c r="JN819" s="1900"/>
      <c r="JO819" s="1900"/>
      <c r="JP819" s="1900"/>
      <c r="JQ819" s="1900"/>
      <c r="JR819" s="1900"/>
      <c r="JS819" s="1900"/>
      <c r="JT819" s="1900"/>
      <c r="JU819" s="1900"/>
      <c r="JV819" s="1900"/>
      <c r="JW819" s="1900"/>
      <c r="JX819" s="1900"/>
      <c r="JY819" s="1900"/>
      <c r="JZ819" s="1900"/>
      <c r="KA819" s="1900"/>
      <c r="KB819" s="1900"/>
      <c r="KC819" s="1900"/>
      <c r="KD819" s="1900"/>
      <c r="KE819" s="1900"/>
      <c r="KF819" s="1900"/>
      <c r="KG819" s="1900"/>
      <c r="KH819" s="1900"/>
      <c r="KI819" s="1900"/>
      <c r="KJ819" s="1900"/>
      <c r="KK819" s="1900"/>
      <c r="KL819" s="1900"/>
      <c r="KM819" s="1900"/>
      <c r="KN819" s="1900"/>
      <c r="KO819" s="1900"/>
      <c r="KP819" s="1900"/>
      <c r="KQ819" s="1900"/>
      <c r="KR819" s="1900"/>
      <c r="KS819" s="1900"/>
      <c r="KT819" s="1900"/>
      <c r="KU819" s="1900"/>
      <c r="KV819" s="1900"/>
      <c r="KW819" s="1900"/>
      <c r="KX819" s="1900"/>
      <c r="KY819" s="1900"/>
      <c r="KZ819" s="1900"/>
      <c r="LA819" s="1900"/>
      <c r="LB819" s="1900"/>
      <c r="LC819" s="1900"/>
      <c r="LD819" s="1900"/>
      <c r="LE819" s="1900"/>
      <c r="LF819" s="1900"/>
      <c r="LG819" s="1900"/>
      <c r="LH819" s="1900"/>
      <c r="LI819" s="1900"/>
      <c r="LJ819" s="1900"/>
      <c r="LK819" s="1900"/>
      <c r="LL819" s="1900"/>
      <c r="LM819" s="1900"/>
      <c r="LN819" s="1900"/>
      <c r="LO819" s="1900"/>
      <c r="LP819" s="1900"/>
      <c r="LQ819" s="1900"/>
      <c r="LR819" s="1900"/>
      <c r="LS819" s="1900"/>
      <c r="LT819" s="1900"/>
      <c r="LU819" s="1900"/>
      <c r="LV819" s="1900"/>
      <c r="LW819" s="1900"/>
      <c r="LX819" s="1900"/>
      <c r="LY819" s="1900"/>
      <c r="LZ819" s="1900"/>
      <c r="MA819" s="1900"/>
      <c r="MB819" s="1900"/>
      <c r="MC819" s="1900"/>
      <c r="MD819" s="1900"/>
      <c r="ME819" s="1900"/>
      <c r="MF819" s="1900"/>
      <c r="MG819" s="1900"/>
      <c r="MH819" s="1900"/>
      <c r="MI819" s="1900"/>
      <c r="MJ819" s="1900"/>
      <c r="MK819" s="1900"/>
      <c r="ML819" s="1900"/>
      <c r="MM819" s="1900"/>
      <c r="MN819" s="1900"/>
      <c r="MO819" s="1900"/>
    </row>
    <row r="820" spans="1:369" ht="12" customHeight="1">
      <c r="A820" s="1822" t="s">
        <v>6924</v>
      </c>
      <c r="B820" s="1822"/>
      <c r="C820" s="1822"/>
      <c r="D820" s="1822"/>
      <c r="E820" s="1822"/>
      <c r="F820" s="1822"/>
      <c r="G820" s="1822"/>
      <c r="H820" s="1822"/>
      <c r="I820" s="1822"/>
      <c r="J820" s="1822"/>
      <c r="K820" s="1822"/>
      <c r="L820" s="1822"/>
      <c r="M820" s="1822"/>
      <c r="N820" s="1822"/>
      <c r="O820" s="1822"/>
      <c r="P820" s="1822"/>
      <c r="Q820" s="1822"/>
      <c r="R820" s="1843"/>
      <c r="S820" s="1815"/>
      <c r="T820" s="1815"/>
      <c r="U820" s="1815"/>
      <c r="V820" s="1815"/>
      <c r="W820" s="1900"/>
      <c r="X820" s="1900"/>
      <c r="Y820" s="1900"/>
      <c r="Z820" s="1900"/>
      <c r="AA820" s="1900"/>
      <c r="AB820" s="1900"/>
      <c r="AC820" s="1900"/>
      <c r="AD820" s="1900"/>
      <c r="AE820" s="1900"/>
      <c r="AF820" s="1900"/>
      <c r="AG820" s="1900"/>
      <c r="AH820" s="1900"/>
      <c r="AI820" s="1900"/>
      <c r="AJ820" s="1900"/>
      <c r="AK820" s="1900"/>
      <c r="AL820" s="1900"/>
      <c r="AM820" s="1900"/>
      <c r="AN820" s="1900"/>
      <c r="AO820" s="1900"/>
      <c r="AP820" s="1900"/>
      <c r="AQ820" s="1900"/>
      <c r="AR820" s="1900"/>
      <c r="AS820" s="1900"/>
      <c r="AT820" s="1900"/>
      <c r="AU820" s="1900"/>
      <c r="AV820" s="1900"/>
      <c r="AW820" s="1900"/>
      <c r="AX820" s="1900"/>
      <c r="AY820" s="1900"/>
      <c r="AZ820" s="1900"/>
      <c r="BA820" s="1900"/>
      <c r="BB820" s="1900"/>
      <c r="BC820" s="1900"/>
      <c r="BD820" s="1900"/>
      <c r="BE820" s="1900"/>
      <c r="BF820" s="1900"/>
      <c r="BG820" s="1900"/>
      <c r="BH820" s="1900"/>
      <c r="BI820" s="1900"/>
      <c r="BJ820" s="1900"/>
      <c r="BK820" s="1900"/>
      <c r="BL820" s="1900"/>
      <c r="BM820" s="1900"/>
      <c r="BN820" s="1900"/>
      <c r="BO820" s="1900"/>
      <c r="BP820" s="1900"/>
      <c r="BQ820" s="1900"/>
      <c r="BR820" s="1900"/>
      <c r="BS820" s="1900"/>
      <c r="BT820" s="1900"/>
      <c r="BU820" s="1900"/>
      <c r="BV820" s="1900"/>
      <c r="BW820" s="1900"/>
      <c r="BX820" s="1900"/>
      <c r="BY820" s="1900"/>
      <c r="BZ820" s="1900"/>
      <c r="CA820" s="1900"/>
      <c r="CB820" s="1900"/>
      <c r="CC820" s="1900"/>
      <c r="CD820" s="1900"/>
      <c r="CE820" s="1900"/>
      <c r="CF820" s="1900"/>
      <c r="CG820" s="1900"/>
      <c r="CH820" s="1900"/>
      <c r="CI820" s="1900"/>
      <c r="CJ820" s="1900"/>
      <c r="CK820" s="1900"/>
      <c r="CL820" s="1900"/>
      <c r="CM820" s="1900"/>
      <c r="CN820" s="1900"/>
      <c r="CO820" s="1900"/>
      <c r="CP820" s="1900"/>
      <c r="CQ820" s="1900"/>
      <c r="CR820" s="1900"/>
      <c r="CS820" s="1900"/>
      <c r="CT820" s="1900"/>
      <c r="CU820" s="1900"/>
      <c r="CV820" s="1900"/>
      <c r="CW820" s="1900"/>
      <c r="CX820" s="1900"/>
      <c r="CY820" s="1900"/>
      <c r="CZ820" s="1900"/>
      <c r="DA820" s="1900"/>
      <c r="DB820" s="1900"/>
      <c r="DC820" s="1900"/>
      <c r="DD820" s="1900"/>
      <c r="DE820" s="1900"/>
      <c r="DF820" s="1900"/>
      <c r="DG820" s="1900"/>
      <c r="DH820" s="1900"/>
      <c r="DI820" s="1900"/>
      <c r="DJ820" s="1900"/>
      <c r="DK820" s="1900"/>
      <c r="DL820" s="1900"/>
      <c r="DM820" s="1900"/>
      <c r="DN820" s="1900"/>
      <c r="DO820" s="1900"/>
      <c r="DP820" s="1900"/>
      <c r="DQ820" s="1900"/>
      <c r="DR820" s="1900"/>
      <c r="DS820" s="1900"/>
      <c r="DT820" s="1900"/>
      <c r="DU820" s="1900"/>
      <c r="DV820" s="1900"/>
      <c r="DW820" s="1900"/>
      <c r="DX820" s="1900"/>
      <c r="DY820" s="1900"/>
      <c r="DZ820" s="1900"/>
      <c r="EA820" s="1900"/>
      <c r="EB820" s="1900"/>
      <c r="EC820" s="1900"/>
      <c r="ED820" s="1900"/>
      <c r="EE820" s="1900"/>
      <c r="EF820" s="1900"/>
      <c r="EG820" s="1900"/>
      <c r="EH820" s="1900"/>
      <c r="EI820" s="1900"/>
      <c r="EJ820" s="1900"/>
      <c r="EK820" s="1900"/>
      <c r="EL820" s="1900"/>
      <c r="EM820" s="1900"/>
      <c r="EN820" s="1900"/>
      <c r="EO820" s="1900"/>
      <c r="EP820" s="1900"/>
      <c r="EQ820" s="1900"/>
      <c r="ER820" s="1900"/>
      <c r="ES820" s="1900"/>
      <c r="ET820" s="1900"/>
      <c r="EU820" s="1900"/>
      <c r="EV820" s="1900"/>
      <c r="EW820" s="1900"/>
      <c r="EX820" s="1900"/>
      <c r="EY820" s="1900"/>
      <c r="EZ820" s="1900"/>
      <c r="FA820" s="1900"/>
      <c r="FB820" s="1900"/>
      <c r="FC820" s="1900"/>
      <c r="FD820" s="1900"/>
      <c r="FE820" s="1900"/>
      <c r="FF820" s="1900"/>
      <c r="FG820" s="1900"/>
      <c r="FH820" s="1900"/>
      <c r="FI820" s="1900"/>
      <c r="FJ820" s="1900"/>
      <c r="FK820" s="1900"/>
      <c r="FL820" s="1900"/>
      <c r="FM820" s="1900"/>
      <c r="FN820" s="1900"/>
      <c r="FO820" s="1900"/>
      <c r="FP820" s="1900"/>
      <c r="FQ820" s="1900"/>
      <c r="FR820" s="1900"/>
      <c r="FS820" s="1900"/>
      <c r="FT820" s="1900"/>
      <c r="FU820" s="1900"/>
      <c r="FV820" s="1900"/>
      <c r="FW820" s="1900"/>
      <c r="FX820" s="1900"/>
      <c r="FY820" s="1900"/>
      <c r="FZ820" s="1900"/>
      <c r="GA820" s="1900"/>
      <c r="GB820" s="1900"/>
      <c r="GC820" s="1900"/>
      <c r="GD820" s="1900"/>
      <c r="GE820" s="1900"/>
      <c r="GF820" s="1900"/>
      <c r="GG820" s="1900"/>
      <c r="GH820" s="1900"/>
      <c r="GI820" s="1900"/>
      <c r="GJ820" s="1900"/>
      <c r="GK820" s="1900"/>
      <c r="GL820" s="1900"/>
      <c r="GM820" s="1900"/>
      <c r="GN820" s="1900"/>
      <c r="GO820" s="1900"/>
      <c r="GP820" s="1900"/>
      <c r="GQ820" s="1900"/>
      <c r="GR820" s="1900"/>
      <c r="GS820" s="1900"/>
      <c r="GT820" s="1900"/>
      <c r="GU820" s="1900"/>
      <c r="GV820" s="1900"/>
      <c r="GW820" s="1900"/>
      <c r="GX820" s="1900"/>
      <c r="GY820" s="1900"/>
      <c r="GZ820" s="1900"/>
      <c r="HA820" s="1900"/>
      <c r="HB820" s="1900"/>
      <c r="HC820" s="1900"/>
      <c r="HD820" s="1900"/>
      <c r="HE820" s="1900"/>
      <c r="HF820" s="1900"/>
      <c r="HG820" s="1900"/>
      <c r="HH820" s="1900"/>
      <c r="HI820" s="1900"/>
      <c r="HJ820" s="1900"/>
      <c r="HK820" s="1900"/>
      <c r="HL820" s="1900"/>
      <c r="HM820" s="1900"/>
      <c r="HN820" s="1900"/>
      <c r="HO820" s="1900"/>
      <c r="HP820" s="1900"/>
      <c r="HQ820" s="1900"/>
      <c r="HR820" s="1900"/>
      <c r="HS820" s="1900"/>
      <c r="HT820" s="1900"/>
      <c r="HU820" s="1900"/>
      <c r="HV820" s="1900"/>
      <c r="HW820" s="1900"/>
      <c r="HX820" s="1900"/>
      <c r="HY820" s="1900"/>
      <c r="HZ820" s="1900"/>
      <c r="IA820" s="1900"/>
      <c r="IB820" s="1900"/>
      <c r="IC820" s="1900"/>
      <c r="ID820" s="1900"/>
      <c r="IE820" s="1900"/>
      <c r="IF820" s="1900"/>
      <c r="IG820" s="1900"/>
      <c r="IH820" s="1900"/>
      <c r="II820" s="1900"/>
      <c r="IJ820" s="1900"/>
      <c r="IK820" s="1900"/>
      <c r="IL820" s="1900"/>
      <c r="IM820" s="1900"/>
      <c r="IN820" s="1900"/>
      <c r="IO820" s="1900"/>
      <c r="IP820" s="1900"/>
      <c r="IQ820" s="1900"/>
      <c r="IR820" s="1900"/>
      <c r="IS820" s="1900"/>
      <c r="IT820" s="1900"/>
      <c r="IU820" s="1900"/>
      <c r="IV820" s="1900"/>
      <c r="IW820" s="1900"/>
      <c r="IX820" s="1900"/>
      <c r="IY820" s="1900"/>
      <c r="IZ820" s="1900"/>
      <c r="JA820" s="1900"/>
      <c r="JB820" s="1900"/>
      <c r="JC820" s="1900"/>
      <c r="JD820" s="1900"/>
      <c r="JE820" s="1900"/>
      <c r="JF820" s="1900"/>
      <c r="JG820" s="1900"/>
      <c r="JH820" s="1900"/>
      <c r="JI820" s="1900"/>
      <c r="JJ820" s="1900"/>
      <c r="JK820" s="1900"/>
      <c r="JL820" s="1900"/>
      <c r="JM820" s="1900"/>
      <c r="JN820" s="1900"/>
      <c r="JO820" s="1900"/>
      <c r="JP820" s="1900"/>
      <c r="JQ820" s="1900"/>
      <c r="JR820" s="1900"/>
      <c r="JS820" s="1900"/>
      <c r="JT820" s="1900"/>
      <c r="JU820" s="1900"/>
      <c r="JV820" s="1900"/>
      <c r="JW820" s="1900"/>
      <c r="JX820" s="1900"/>
      <c r="JY820" s="1900"/>
      <c r="JZ820" s="1900"/>
      <c r="KA820" s="1900"/>
      <c r="KB820" s="1900"/>
      <c r="KC820" s="1900"/>
      <c r="KD820" s="1900"/>
      <c r="KE820" s="1900"/>
      <c r="KF820" s="1900"/>
      <c r="KG820" s="1900"/>
      <c r="KH820" s="1900"/>
      <c r="KI820" s="1900"/>
      <c r="KJ820" s="1900"/>
      <c r="KK820" s="1900"/>
      <c r="KL820" s="1900"/>
      <c r="KM820" s="1900"/>
      <c r="KN820" s="1900"/>
      <c r="KO820" s="1900"/>
      <c r="KP820" s="1900"/>
      <c r="KQ820" s="1900"/>
      <c r="KR820" s="1900"/>
      <c r="KS820" s="1900"/>
      <c r="KT820" s="1900"/>
      <c r="KU820" s="1900"/>
      <c r="KV820" s="1900"/>
      <c r="KW820" s="1900"/>
      <c r="KX820" s="1900"/>
      <c r="KY820" s="1900"/>
      <c r="KZ820" s="1900"/>
      <c r="LA820" s="1900"/>
      <c r="LB820" s="1900"/>
      <c r="LC820" s="1900"/>
      <c r="LD820" s="1900"/>
      <c r="LE820" s="1900"/>
      <c r="LF820" s="1900"/>
      <c r="LG820" s="1900"/>
      <c r="LH820" s="1900"/>
      <c r="LI820" s="1900"/>
      <c r="LJ820" s="1900"/>
      <c r="LK820" s="1900"/>
      <c r="LL820" s="1900"/>
      <c r="LM820" s="1900"/>
      <c r="LN820" s="1900"/>
      <c r="LO820" s="1900"/>
      <c r="LP820" s="1900"/>
      <c r="LQ820" s="1900"/>
      <c r="LR820" s="1900"/>
      <c r="LS820" s="1900"/>
      <c r="LT820" s="1900"/>
      <c r="LU820" s="1900"/>
      <c r="LV820" s="1900"/>
      <c r="LW820" s="1900"/>
      <c r="LX820" s="1900"/>
      <c r="LY820" s="1900"/>
      <c r="LZ820" s="1900"/>
      <c r="MA820" s="1900"/>
      <c r="MB820" s="1900"/>
      <c r="MC820" s="1900"/>
      <c r="MD820" s="1900"/>
      <c r="ME820" s="1900"/>
      <c r="MF820" s="1900"/>
      <c r="MG820" s="1900"/>
      <c r="MH820" s="1900"/>
      <c r="MI820" s="1900"/>
      <c r="MJ820" s="1900"/>
      <c r="MK820" s="1900"/>
      <c r="ML820" s="1900"/>
      <c r="MM820" s="1900"/>
      <c r="MN820" s="1900"/>
      <c r="MO820" s="1900"/>
    </row>
    <row r="821" spans="1:369" ht="12" customHeight="1">
      <c r="A821" s="1822"/>
      <c r="B821" s="1822"/>
      <c r="C821" s="1822"/>
      <c r="D821" s="1822"/>
      <c r="E821" s="1822"/>
      <c r="F821" s="1822"/>
      <c r="G821" s="1822"/>
      <c r="H821" s="1822"/>
      <c r="I821" s="1822"/>
      <c r="J821" s="1822"/>
      <c r="K821" s="1822"/>
      <c r="L821" s="1822"/>
      <c r="M821" s="1822"/>
      <c r="N821" s="1822"/>
      <c r="O821" s="1822"/>
      <c r="P821" s="1822"/>
      <c r="Q821" s="1822"/>
      <c r="R821" s="1843"/>
      <c r="S821" s="1815"/>
      <c r="T821" s="1815"/>
      <c r="U821" s="1815"/>
      <c r="V821" s="1815"/>
      <c r="W821" s="1900"/>
      <c r="X821" s="1900"/>
      <c r="Y821" s="1900"/>
      <c r="Z821" s="1900"/>
      <c r="AA821" s="1900"/>
      <c r="AB821" s="1900"/>
      <c r="AC821" s="1900"/>
      <c r="AD821" s="1900"/>
      <c r="AE821" s="1900"/>
      <c r="AF821" s="1900"/>
      <c r="AG821" s="1900"/>
      <c r="AH821" s="1900"/>
      <c r="AI821" s="1900"/>
      <c r="AJ821" s="1900"/>
      <c r="AK821" s="1900"/>
      <c r="AL821" s="1900"/>
      <c r="AM821" s="1900"/>
      <c r="AN821" s="1900"/>
      <c r="AO821" s="1900"/>
      <c r="AP821" s="1900"/>
      <c r="AQ821" s="1900"/>
      <c r="AR821" s="1900"/>
      <c r="AS821" s="1900"/>
      <c r="AT821" s="1900"/>
      <c r="AU821" s="1900"/>
      <c r="AV821" s="1900"/>
      <c r="AW821" s="1900"/>
      <c r="AX821" s="1900"/>
      <c r="AY821" s="1900"/>
      <c r="AZ821" s="1900"/>
      <c r="BA821" s="1900"/>
      <c r="BB821" s="1900"/>
      <c r="BC821" s="1900"/>
      <c r="BD821" s="1900"/>
      <c r="BE821" s="1900"/>
      <c r="BF821" s="1900"/>
      <c r="BG821" s="1900"/>
      <c r="BH821" s="1900"/>
      <c r="BI821" s="1900"/>
      <c r="BJ821" s="1900"/>
      <c r="BK821" s="1900"/>
      <c r="BL821" s="1900"/>
      <c r="BM821" s="1900"/>
      <c r="BN821" s="1900"/>
      <c r="BO821" s="1900"/>
      <c r="BP821" s="1900"/>
      <c r="BQ821" s="1900"/>
      <c r="BR821" s="1900"/>
      <c r="BS821" s="1900"/>
      <c r="BT821" s="1900"/>
      <c r="BU821" s="1900"/>
      <c r="BV821" s="1900"/>
      <c r="BW821" s="1900"/>
      <c r="BX821" s="1900"/>
      <c r="BY821" s="1900"/>
      <c r="BZ821" s="1900"/>
      <c r="CA821" s="1900"/>
      <c r="CB821" s="1900"/>
      <c r="CC821" s="1900"/>
      <c r="CD821" s="1900"/>
      <c r="CE821" s="1900"/>
      <c r="CF821" s="1900"/>
      <c r="CG821" s="1900"/>
      <c r="CH821" s="1900"/>
      <c r="CI821" s="1900"/>
      <c r="CJ821" s="1900"/>
      <c r="CK821" s="1900"/>
      <c r="CL821" s="1900"/>
      <c r="CM821" s="1900"/>
      <c r="CN821" s="1900"/>
      <c r="CO821" s="1900"/>
      <c r="CP821" s="1900"/>
      <c r="CQ821" s="1900"/>
      <c r="CR821" s="1900"/>
      <c r="CS821" s="1900"/>
      <c r="CT821" s="1900"/>
      <c r="CU821" s="1900"/>
      <c r="CV821" s="1900"/>
      <c r="CW821" s="1900"/>
      <c r="CX821" s="1900"/>
      <c r="CY821" s="1900"/>
      <c r="CZ821" s="1900"/>
      <c r="DA821" s="1900"/>
      <c r="DB821" s="1900"/>
      <c r="DC821" s="1900"/>
      <c r="DD821" s="1900"/>
      <c r="DE821" s="1900"/>
      <c r="DF821" s="1900"/>
      <c r="DG821" s="1900"/>
      <c r="DH821" s="1900"/>
      <c r="DI821" s="1900"/>
      <c r="DJ821" s="1900"/>
      <c r="DK821" s="1900"/>
      <c r="DL821" s="1900"/>
      <c r="DM821" s="1900"/>
      <c r="DN821" s="1900"/>
      <c r="DO821" s="1900"/>
      <c r="DP821" s="1900"/>
      <c r="DQ821" s="1900"/>
      <c r="DR821" s="1900"/>
      <c r="DS821" s="1900"/>
      <c r="DT821" s="1900"/>
      <c r="DU821" s="1900"/>
      <c r="DV821" s="1900"/>
      <c r="DW821" s="1900"/>
      <c r="DX821" s="1900"/>
      <c r="DY821" s="1900"/>
      <c r="DZ821" s="1900"/>
      <c r="EA821" s="1900"/>
      <c r="EB821" s="1900"/>
      <c r="EC821" s="1900"/>
      <c r="ED821" s="1900"/>
      <c r="EE821" s="1900"/>
      <c r="EF821" s="1900"/>
      <c r="EG821" s="1900"/>
      <c r="EH821" s="1900"/>
      <c r="EI821" s="1900"/>
      <c r="EJ821" s="1900"/>
      <c r="EK821" s="1900"/>
      <c r="EL821" s="1900"/>
      <c r="EM821" s="1900"/>
      <c r="EN821" s="1900"/>
      <c r="EO821" s="1900"/>
      <c r="EP821" s="1900"/>
      <c r="EQ821" s="1900"/>
      <c r="ER821" s="1900"/>
      <c r="ES821" s="1900"/>
      <c r="ET821" s="1900"/>
      <c r="EU821" s="1900"/>
      <c r="EV821" s="1900"/>
      <c r="EW821" s="1900"/>
      <c r="EX821" s="1900"/>
      <c r="EY821" s="1900"/>
      <c r="EZ821" s="1900"/>
      <c r="FA821" s="1900"/>
      <c r="FB821" s="1900"/>
      <c r="FC821" s="1900"/>
      <c r="FD821" s="1900"/>
      <c r="FE821" s="1900"/>
      <c r="FF821" s="1900"/>
      <c r="FG821" s="1900"/>
      <c r="FH821" s="1900"/>
      <c r="FI821" s="1900"/>
      <c r="FJ821" s="1900"/>
      <c r="FK821" s="1900"/>
      <c r="FL821" s="1900"/>
      <c r="FM821" s="1900"/>
      <c r="FN821" s="1900"/>
      <c r="FO821" s="1900"/>
      <c r="FP821" s="1900"/>
      <c r="FQ821" s="1900"/>
      <c r="FR821" s="1900"/>
      <c r="FS821" s="1900"/>
      <c r="FT821" s="1900"/>
      <c r="FU821" s="1900"/>
      <c r="FV821" s="1900"/>
      <c r="FW821" s="1900"/>
      <c r="FX821" s="1900"/>
      <c r="FY821" s="1900"/>
      <c r="FZ821" s="1900"/>
      <c r="GA821" s="1900"/>
      <c r="GB821" s="1900"/>
      <c r="GC821" s="1900"/>
      <c r="GD821" s="1900"/>
      <c r="GE821" s="1900"/>
      <c r="GF821" s="1900"/>
      <c r="GG821" s="1900"/>
      <c r="GH821" s="1900"/>
      <c r="GI821" s="1900"/>
      <c r="GJ821" s="1900"/>
      <c r="GK821" s="1900"/>
      <c r="GL821" s="1900"/>
      <c r="GM821" s="1900"/>
      <c r="GN821" s="1900"/>
      <c r="GO821" s="1900"/>
      <c r="GP821" s="1900"/>
      <c r="GQ821" s="1900"/>
      <c r="GR821" s="1900"/>
      <c r="GS821" s="1900"/>
      <c r="GT821" s="1900"/>
      <c r="GU821" s="1900"/>
      <c r="GV821" s="1900"/>
      <c r="GW821" s="1900"/>
      <c r="GX821" s="1900"/>
      <c r="GY821" s="1900"/>
      <c r="GZ821" s="1900"/>
      <c r="HA821" s="1900"/>
      <c r="HB821" s="1900"/>
      <c r="HC821" s="1900"/>
      <c r="HD821" s="1900"/>
      <c r="HE821" s="1900"/>
      <c r="HF821" s="1900"/>
      <c r="HG821" s="1900"/>
      <c r="HH821" s="1900"/>
      <c r="HI821" s="1900"/>
      <c r="HJ821" s="1900"/>
      <c r="HK821" s="1900"/>
      <c r="HL821" s="1900"/>
      <c r="HM821" s="1900"/>
      <c r="HN821" s="1900"/>
      <c r="HO821" s="1900"/>
      <c r="HP821" s="1900"/>
      <c r="HQ821" s="1900"/>
      <c r="HR821" s="1900"/>
      <c r="HS821" s="1900"/>
      <c r="HT821" s="1900"/>
      <c r="HU821" s="1900"/>
      <c r="HV821" s="1900"/>
      <c r="HW821" s="1900"/>
      <c r="HX821" s="1900"/>
      <c r="HY821" s="1900"/>
      <c r="HZ821" s="1900"/>
      <c r="IA821" s="1900"/>
      <c r="IB821" s="1900"/>
      <c r="IC821" s="1900"/>
      <c r="ID821" s="1900"/>
      <c r="IE821" s="1900"/>
      <c r="IF821" s="1900"/>
      <c r="IG821" s="1900"/>
      <c r="IH821" s="1900"/>
      <c r="II821" s="1900"/>
      <c r="IJ821" s="1900"/>
      <c r="IK821" s="1900"/>
      <c r="IL821" s="1900"/>
      <c r="IM821" s="1900"/>
      <c r="IN821" s="1900"/>
      <c r="IO821" s="1900"/>
      <c r="IP821" s="1900"/>
      <c r="IQ821" s="1900"/>
      <c r="IR821" s="1900"/>
      <c r="IS821" s="1900"/>
      <c r="IT821" s="1900"/>
      <c r="IU821" s="1900"/>
      <c r="IV821" s="1900"/>
      <c r="IW821" s="1900"/>
      <c r="IX821" s="1900"/>
      <c r="IY821" s="1900"/>
      <c r="IZ821" s="1900"/>
      <c r="JA821" s="1900"/>
      <c r="JB821" s="1900"/>
      <c r="JC821" s="1900"/>
      <c r="JD821" s="1900"/>
      <c r="JE821" s="1900"/>
      <c r="JF821" s="1900"/>
      <c r="JG821" s="1900"/>
      <c r="JH821" s="1900"/>
      <c r="JI821" s="1900"/>
      <c r="JJ821" s="1900"/>
      <c r="JK821" s="1900"/>
      <c r="JL821" s="1900"/>
      <c r="JM821" s="1900"/>
      <c r="JN821" s="1900"/>
      <c r="JO821" s="1900"/>
      <c r="JP821" s="1900"/>
      <c r="JQ821" s="1900"/>
      <c r="JR821" s="1900"/>
      <c r="JS821" s="1900"/>
      <c r="JT821" s="1900"/>
      <c r="JU821" s="1900"/>
      <c r="JV821" s="1900"/>
      <c r="JW821" s="1900"/>
      <c r="JX821" s="1900"/>
      <c r="JY821" s="1900"/>
      <c r="JZ821" s="1900"/>
      <c r="KA821" s="1900"/>
      <c r="KB821" s="1900"/>
      <c r="KC821" s="1900"/>
      <c r="KD821" s="1900"/>
      <c r="KE821" s="1900"/>
      <c r="KF821" s="1900"/>
      <c r="KG821" s="1900"/>
      <c r="KH821" s="1900"/>
      <c r="KI821" s="1900"/>
      <c r="KJ821" s="1900"/>
      <c r="KK821" s="1900"/>
      <c r="KL821" s="1900"/>
      <c r="KM821" s="1900"/>
      <c r="KN821" s="1900"/>
      <c r="KO821" s="1900"/>
      <c r="KP821" s="1900"/>
      <c r="KQ821" s="1900"/>
      <c r="KR821" s="1900"/>
      <c r="KS821" s="1900"/>
      <c r="KT821" s="1900"/>
      <c r="KU821" s="1900"/>
      <c r="KV821" s="1900"/>
      <c r="KW821" s="1900"/>
      <c r="KX821" s="1900"/>
      <c r="KY821" s="1900"/>
      <c r="KZ821" s="1900"/>
      <c r="LA821" s="1900"/>
      <c r="LB821" s="1900"/>
      <c r="LC821" s="1900"/>
      <c r="LD821" s="1900"/>
      <c r="LE821" s="1900"/>
      <c r="LF821" s="1900"/>
      <c r="LG821" s="1900"/>
      <c r="LH821" s="1900"/>
      <c r="LI821" s="1900"/>
      <c r="LJ821" s="1900"/>
      <c r="LK821" s="1900"/>
      <c r="LL821" s="1900"/>
      <c r="LM821" s="1900"/>
      <c r="LN821" s="1900"/>
      <c r="LO821" s="1900"/>
      <c r="LP821" s="1900"/>
      <c r="LQ821" s="1900"/>
      <c r="LR821" s="1900"/>
      <c r="LS821" s="1900"/>
      <c r="LT821" s="1900"/>
      <c r="LU821" s="1900"/>
      <c r="LV821" s="1900"/>
      <c r="LW821" s="1900"/>
      <c r="LX821" s="1900"/>
      <c r="LY821" s="1900"/>
      <c r="LZ821" s="1900"/>
      <c r="MA821" s="1900"/>
      <c r="MB821" s="1900"/>
      <c r="MC821" s="1900"/>
      <c r="MD821" s="1900"/>
      <c r="ME821" s="1900"/>
      <c r="MF821" s="1900"/>
      <c r="MG821" s="1900"/>
      <c r="MH821" s="1900"/>
      <c r="MI821" s="1900"/>
      <c r="MJ821" s="1900"/>
      <c r="MK821" s="1900"/>
      <c r="ML821" s="1900"/>
      <c r="MM821" s="1900"/>
      <c r="MN821" s="1900"/>
      <c r="MO821" s="1900"/>
    </row>
    <row r="822" spans="1:369" ht="14.4" customHeight="1">
      <c r="A822" s="1995" t="s">
        <v>722</v>
      </c>
      <c r="B822" s="1995" t="s">
        <v>519</v>
      </c>
      <c r="L822" s="1914" t="str">
        <f>'Part I-Project Information'!$K$94</f>
        <v>Income Averaging</v>
      </c>
      <c r="M822" s="1914"/>
      <c r="N822" s="1914"/>
      <c r="O822" s="1914"/>
      <c r="S822" s="1815" t="str">
        <f>B822</f>
        <v>UNIT SUMMARY</v>
      </c>
      <c r="T822" s="1815"/>
      <c r="U822" s="1815"/>
      <c r="V822" s="1815"/>
      <c r="AY822" s="1815"/>
      <c r="BD822" s="1815"/>
      <c r="JW822" s="1874"/>
      <c r="KB822" s="1874"/>
      <c r="KC822" s="1874"/>
      <c r="KD822" s="1874"/>
      <c r="KE822" s="1874"/>
      <c r="KF822" s="1874"/>
      <c r="KG822" s="1874"/>
      <c r="KH822" s="1874"/>
      <c r="KI822" s="1874"/>
      <c r="KJ822" s="1874"/>
      <c r="KK822" s="1874"/>
      <c r="KL822" s="1874"/>
      <c r="KM822" s="1874"/>
      <c r="KN822" s="1874"/>
      <c r="KO822" s="1874"/>
      <c r="KP822" s="1874"/>
      <c r="KQ822" s="1874"/>
      <c r="KR822" s="1874"/>
      <c r="KS822" s="1874"/>
      <c r="KT822" s="1874"/>
      <c r="KU822" s="1874"/>
      <c r="KV822" s="1874"/>
      <c r="KW822" s="1874"/>
      <c r="KX822" s="1874"/>
      <c r="KY822" s="1874"/>
      <c r="KZ822" s="1874"/>
      <c r="LA822" s="1874"/>
      <c r="LB822" s="1874"/>
      <c r="LC822" s="1874"/>
      <c r="LD822" s="1874"/>
      <c r="LE822" s="1874"/>
      <c r="LF822" s="1874"/>
      <c r="LG822" s="1874"/>
      <c r="LH822" s="1874"/>
      <c r="LI822" s="1874"/>
      <c r="LJ822" s="1874"/>
      <c r="LK822" s="1874"/>
      <c r="LL822" s="1874"/>
      <c r="LM822" s="1874"/>
      <c r="LN822" s="1874"/>
      <c r="LO822" s="1874"/>
      <c r="LP822" s="1874"/>
      <c r="LQ822" s="1874"/>
    </row>
    <row r="823" spans="1:369" ht="6" customHeight="1">
      <c r="U823" s="2109"/>
      <c r="AY823" s="1815"/>
      <c r="BD823" s="1815"/>
      <c r="JW823" s="1874"/>
      <c r="KB823" s="1874"/>
      <c r="KC823" s="1874"/>
      <c r="KD823" s="1874"/>
      <c r="KE823" s="1874"/>
      <c r="KF823" s="1874"/>
      <c r="KG823" s="1874"/>
      <c r="KH823" s="1874"/>
      <c r="KI823" s="1874"/>
      <c r="KJ823" s="1874"/>
      <c r="KK823" s="1874"/>
      <c r="KL823" s="1874"/>
      <c r="KM823" s="1874"/>
      <c r="KN823" s="1874"/>
      <c r="KO823" s="1874"/>
      <c r="KP823" s="1874"/>
      <c r="KQ823" s="1874"/>
      <c r="KR823" s="1874"/>
      <c r="KS823" s="1874"/>
      <c r="KT823" s="1874"/>
      <c r="KU823" s="1874"/>
      <c r="KV823" s="1874"/>
      <c r="KW823" s="1874"/>
      <c r="KX823" s="1874"/>
      <c r="KY823" s="1874"/>
      <c r="KZ823" s="1874"/>
      <c r="LA823" s="1874"/>
      <c r="LB823" s="1874"/>
      <c r="LC823" s="1874"/>
      <c r="LD823" s="1874"/>
      <c r="LE823" s="1874"/>
      <c r="LF823" s="1874"/>
      <c r="LG823" s="1874"/>
      <c r="LH823" s="1874"/>
      <c r="LI823" s="1874"/>
      <c r="LJ823" s="1874"/>
      <c r="LK823" s="1874"/>
      <c r="LL823" s="1874"/>
      <c r="LM823" s="1874"/>
      <c r="LN823" s="1874"/>
      <c r="LO823" s="1874"/>
      <c r="LP823" s="1874"/>
      <c r="LQ823" s="1874"/>
    </row>
    <row r="824" spans="1:369" ht="14.4" customHeight="1">
      <c r="B824" s="1995" t="s">
        <v>1114</v>
      </c>
      <c r="H824" s="1995" t="s">
        <v>1018</v>
      </c>
      <c r="K824" s="2110" t="s">
        <v>551</v>
      </c>
      <c r="L824" s="2110" t="s">
        <v>520</v>
      </c>
      <c r="M824" s="2110" t="s">
        <v>521</v>
      </c>
      <c r="N824" s="2110" t="s">
        <v>522</v>
      </c>
      <c r="O824" s="2110" t="s">
        <v>523</v>
      </c>
      <c r="P824" s="2110" t="s">
        <v>524</v>
      </c>
      <c r="S824" s="1995" t="s">
        <v>1799</v>
      </c>
      <c r="U824" s="2109"/>
      <c r="AR824" s="2110"/>
      <c r="AS824" s="2110"/>
      <c r="AT824" s="2110"/>
      <c r="AU824" s="2110"/>
      <c r="AV824" s="2110"/>
      <c r="AW824" s="2110"/>
      <c r="AY824" s="1815"/>
      <c r="BB824" s="2110"/>
      <c r="BD824" s="1815"/>
      <c r="JW824" s="1874"/>
      <c r="KB824" s="1874"/>
      <c r="KC824" s="1874"/>
      <c r="KD824" s="1874"/>
      <c r="KE824" s="1874"/>
      <c r="KF824" s="1874"/>
      <c r="KG824" s="1874"/>
      <c r="KH824" s="1874"/>
      <c r="KI824" s="1874"/>
      <c r="KJ824" s="1874"/>
      <c r="KK824" s="1874"/>
      <c r="KL824" s="1874"/>
      <c r="KM824" s="1874"/>
      <c r="KN824" s="1874"/>
      <c r="KO824" s="1874"/>
      <c r="KP824" s="1874"/>
      <c r="KQ824" s="1874"/>
      <c r="KR824" s="1874"/>
      <c r="KS824" s="1874"/>
      <c r="KT824" s="1874"/>
      <c r="KU824" s="1874"/>
      <c r="KV824" s="1874"/>
      <c r="KW824" s="1874"/>
      <c r="KX824" s="1874"/>
      <c r="KY824" s="1874"/>
      <c r="KZ824" s="1874"/>
      <c r="LA824" s="1874"/>
      <c r="LB824" s="1874"/>
      <c r="LC824" s="1874"/>
      <c r="LD824" s="1874"/>
      <c r="LE824" s="1874"/>
      <c r="LF824" s="1874"/>
      <c r="LG824" s="1874"/>
      <c r="LH824" s="1874"/>
      <c r="LI824" s="1874"/>
      <c r="LJ824" s="1874"/>
      <c r="LK824" s="1874"/>
      <c r="LL824" s="1874"/>
      <c r="LM824" s="1874"/>
      <c r="LN824" s="1874"/>
      <c r="LO824" s="1874"/>
      <c r="LP824" s="1874"/>
      <c r="LQ824" s="1874"/>
    </row>
    <row r="825" spans="1:369" ht="15" customHeight="1">
      <c r="A825" s="1772" t="s">
        <v>4806</v>
      </c>
      <c r="B825" s="1772"/>
      <c r="C825" s="1815" t="s">
        <v>1115</v>
      </c>
      <c r="D825" s="1815"/>
      <c r="E825" s="1815"/>
      <c r="F825" s="1815"/>
      <c r="H825" s="1897" t="s">
        <v>4120</v>
      </c>
      <c r="I825" s="449"/>
      <c r="K825" s="1906">
        <f>X817</f>
        <v>0</v>
      </c>
      <c r="L825" s="1906">
        <f>Y817</f>
        <v>5</v>
      </c>
      <c r="M825" s="1906">
        <f>Z817</f>
        <v>9</v>
      </c>
      <c r="N825" s="1906">
        <f>AA817</f>
        <v>0</v>
      </c>
      <c r="O825" s="1906">
        <f>AB817</f>
        <v>0</v>
      </c>
      <c r="P825" s="1906">
        <f t="shared" ref="P825:P836" si="353">SUM(K825:O825)</f>
        <v>14</v>
      </c>
      <c r="Q825" s="1822" t="s">
        <v>3494</v>
      </c>
      <c r="R825" s="1908"/>
      <c r="S825" s="1910"/>
      <c r="T825" s="1910"/>
      <c r="U825" s="1910"/>
      <c r="V825" s="1910"/>
      <c r="W825" s="1910"/>
      <c r="X825" s="1815"/>
      <c r="AA825" s="1815"/>
      <c r="AB825" s="449"/>
      <c r="AC825" s="1815"/>
      <c r="AF825" s="1815"/>
      <c r="AG825" s="449"/>
      <c r="AH825" s="1815"/>
      <c r="AK825" s="1815"/>
      <c r="AL825" s="449"/>
      <c r="AM825" s="1815"/>
      <c r="AP825" s="1815"/>
      <c r="AQ825" s="449"/>
      <c r="AR825" s="450"/>
      <c r="AS825" s="450"/>
      <c r="AT825" s="450"/>
      <c r="AU825" s="450"/>
      <c r="AV825" s="450"/>
      <c r="AW825" s="450"/>
      <c r="AX825" s="449"/>
      <c r="AY825" s="1815"/>
      <c r="BB825" s="450"/>
      <c r="BC825" s="449"/>
      <c r="BD825" s="1815"/>
      <c r="JW825" s="1874"/>
      <c r="KB825" s="1874"/>
      <c r="KC825" s="1874"/>
      <c r="KD825" s="1874"/>
      <c r="KE825" s="1874"/>
      <c r="KF825" s="1874"/>
      <c r="KG825" s="1874"/>
      <c r="KH825" s="1874"/>
      <c r="KI825" s="1874"/>
      <c r="KJ825" s="1874"/>
      <c r="KK825" s="1874"/>
      <c r="KL825" s="1874"/>
      <c r="KM825" s="1874"/>
      <c r="KN825" s="1874"/>
      <c r="KO825" s="1874"/>
      <c r="KP825" s="1874"/>
      <c r="KQ825" s="1874"/>
      <c r="KR825" s="1874"/>
      <c r="KS825" s="1874"/>
      <c r="KT825" s="1874"/>
      <c r="KU825" s="1874"/>
      <c r="KV825" s="1874"/>
      <c r="KW825" s="1874"/>
      <c r="KX825" s="1874"/>
      <c r="KY825" s="1874"/>
      <c r="KZ825" s="1874"/>
      <c r="LA825" s="1874"/>
      <c r="LB825" s="1874"/>
      <c r="LC825" s="1874"/>
      <c r="LD825" s="1874"/>
      <c r="LE825" s="1874"/>
      <c r="LF825" s="1874"/>
      <c r="LG825" s="1874"/>
      <c r="LH825" s="1874"/>
      <c r="LI825" s="1874"/>
      <c r="LJ825" s="1874"/>
      <c r="LK825" s="1874"/>
      <c r="LL825" s="1874"/>
      <c r="LM825" s="1874"/>
      <c r="LN825" s="1874"/>
      <c r="LO825" s="1874"/>
      <c r="LP825" s="1874"/>
      <c r="LQ825" s="1874"/>
    </row>
    <row r="826" spans="1:369" ht="15" customHeight="1">
      <c r="A826" s="1772"/>
      <c r="B826" s="1772"/>
      <c r="C826" s="1815"/>
      <c r="D826" s="1815"/>
      <c r="E826" s="1815"/>
      <c r="F826" s="1815"/>
      <c r="H826" s="1897" t="s">
        <v>4121</v>
      </c>
      <c r="I826" s="449"/>
      <c r="K826" s="1906">
        <f>AC817</f>
        <v>0</v>
      </c>
      <c r="L826" s="1906">
        <f>AD817</f>
        <v>0</v>
      </c>
      <c r="M826" s="1906">
        <f>AE817</f>
        <v>0</v>
      </c>
      <c r="N826" s="1906">
        <f>AF817</f>
        <v>0</v>
      </c>
      <c r="O826" s="1906">
        <f>AG817</f>
        <v>0</v>
      </c>
      <c r="P826" s="1906">
        <f t="shared" si="353"/>
        <v>0</v>
      </c>
      <c r="Q826" s="1822"/>
      <c r="R826" s="1908"/>
      <c r="S826" s="1910"/>
      <c r="T826" s="1910"/>
      <c r="U826" s="1910"/>
      <c r="V826" s="1910"/>
      <c r="W826" s="1910"/>
      <c r="X826" s="1815"/>
      <c r="AA826" s="1815"/>
      <c r="AB826" s="449"/>
      <c r="AC826" s="1815"/>
      <c r="AF826" s="1815"/>
      <c r="AG826" s="449"/>
      <c r="AH826" s="1815"/>
      <c r="AK826" s="1815"/>
      <c r="AL826" s="449"/>
      <c r="AM826" s="1815"/>
      <c r="AP826" s="1815"/>
      <c r="AQ826" s="449"/>
      <c r="AR826" s="450"/>
      <c r="AS826" s="450"/>
      <c r="AT826" s="450"/>
      <c r="AU826" s="450"/>
      <c r="AV826" s="450"/>
      <c r="AW826" s="450"/>
      <c r="AX826" s="449"/>
      <c r="AY826" s="1815"/>
      <c r="BB826" s="450"/>
      <c r="BC826" s="449"/>
      <c r="BD826" s="1815"/>
      <c r="JW826" s="1874"/>
      <c r="KB826" s="1874"/>
      <c r="KC826" s="1874"/>
      <c r="KD826" s="1874"/>
      <c r="KE826" s="1874"/>
      <c r="KF826" s="1874"/>
      <c r="KG826" s="1874"/>
      <c r="KH826" s="1874"/>
      <c r="KI826" s="1874"/>
      <c r="KJ826" s="1874"/>
      <c r="KK826" s="1874"/>
      <c r="KL826" s="1874"/>
      <c r="KM826" s="1874"/>
      <c r="KN826" s="1874"/>
      <c r="KO826" s="1874"/>
      <c r="KP826" s="1874"/>
      <c r="KQ826" s="1874"/>
      <c r="KR826" s="1874"/>
      <c r="KS826" s="1874"/>
      <c r="KT826" s="1874"/>
      <c r="KU826" s="1874"/>
      <c r="KV826" s="1874"/>
      <c r="KW826" s="1874"/>
      <c r="KX826" s="1874"/>
      <c r="KY826" s="1874"/>
      <c r="KZ826" s="1874"/>
      <c r="LA826" s="1874"/>
      <c r="LB826" s="1874"/>
      <c r="LC826" s="1874"/>
      <c r="LD826" s="1874"/>
      <c r="LE826" s="1874"/>
      <c r="LF826" s="1874"/>
      <c r="LG826" s="1874"/>
      <c r="LH826" s="1874"/>
      <c r="LI826" s="1874"/>
      <c r="LJ826" s="1874"/>
      <c r="LK826" s="1874"/>
      <c r="LL826" s="1874"/>
      <c r="LM826" s="1874"/>
      <c r="LN826" s="1874"/>
      <c r="LO826" s="1874"/>
      <c r="LP826" s="1874"/>
      <c r="LQ826" s="1874"/>
    </row>
    <row r="827" spans="1:369" ht="15" customHeight="1">
      <c r="A827" s="1772"/>
      <c r="B827" s="1772"/>
      <c r="C827" s="1815"/>
      <c r="D827" s="1815"/>
      <c r="E827" s="1815"/>
      <c r="F827" s="1815"/>
      <c r="H827" s="1897" t="s">
        <v>1127</v>
      </c>
      <c r="I827" s="449"/>
      <c r="K827" s="1906">
        <f>AH817</f>
        <v>0</v>
      </c>
      <c r="L827" s="1906">
        <f>AI817</f>
        <v>9</v>
      </c>
      <c r="M827" s="1906">
        <f>AJ817</f>
        <v>25</v>
      </c>
      <c r="N827" s="1906">
        <f>AK817</f>
        <v>0</v>
      </c>
      <c r="O827" s="1906">
        <f>AL817</f>
        <v>0</v>
      </c>
      <c r="P827" s="1906">
        <f t="shared" si="353"/>
        <v>34</v>
      </c>
      <c r="Q827" s="1822"/>
      <c r="R827" s="1908"/>
      <c r="S827" s="1910"/>
      <c r="T827" s="1910"/>
      <c r="U827" s="1910"/>
      <c r="V827" s="1910"/>
      <c r="W827" s="1910"/>
      <c r="X827" s="1815"/>
      <c r="AA827" s="1815"/>
      <c r="AB827" s="449"/>
      <c r="AC827" s="1815"/>
      <c r="AF827" s="1815"/>
      <c r="AG827" s="449"/>
      <c r="AH827" s="1815"/>
      <c r="AK827" s="1815"/>
      <c r="AL827" s="449"/>
      <c r="AM827" s="1815"/>
      <c r="AP827" s="1815"/>
      <c r="AQ827" s="449"/>
      <c r="AR827" s="450"/>
      <c r="AS827" s="450"/>
      <c r="AT827" s="450"/>
      <c r="AU827" s="450"/>
      <c r="AV827" s="450"/>
      <c r="AW827" s="450"/>
      <c r="AX827" s="449"/>
      <c r="AY827" s="1815"/>
      <c r="BB827" s="450"/>
      <c r="BC827" s="449"/>
      <c r="BD827" s="1815"/>
      <c r="JW827" s="1874"/>
      <c r="KB827" s="1874"/>
      <c r="KC827" s="1874"/>
      <c r="KD827" s="1874"/>
      <c r="KE827" s="1874"/>
      <c r="KF827" s="1874"/>
      <c r="KG827" s="1874"/>
      <c r="KH827" s="1874"/>
      <c r="KI827" s="1874"/>
      <c r="KJ827" s="1874"/>
      <c r="KK827" s="1874"/>
      <c r="KL827" s="1874"/>
      <c r="KM827" s="1874"/>
      <c r="KN827" s="1874"/>
      <c r="KO827" s="1874"/>
      <c r="KP827" s="1874"/>
      <c r="KQ827" s="1874"/>
      <c r="KR827" s="1874"/>
      <c r="KS827" s="1874"/>
      <c r="KT827" s="1874"/>
      <c r="KU827" s="1874"/>
      <c r="KV827" s="1874"/>
      <c r="KW827" s="1874"/>
      <c r="KX827" s="1874"/>
      <c r="KY827" s="1874"/>
      <c r="KZ827" s="1874"/>
      <c r="LA827" s="1874"/>
      <c r="LB827" s="1874"/>
      <c r="LC827" s="1874"/>
      <c r="LD827" s="1874"/>
      <c r="LE827" s="1874"/>
      <c r="LF827" s="1874"/>
      <c r="LG827" s="1874"/>
      <c r="LH827" s="1874"/>
      <c r="LI827" s="1874"/>
      <c r="LJ827" s="1874"/>
      <c r="LK827" s="1874"/>
      <c r="LL827" s="1874"/>
      <c r="LM827" s="1874"/>
      <c r="LN827" s="1874"/>
      <c r="LO827" s="1874"/>
      <c r="LP827" s="1874"/>
      <c r="LQ827" s="1874"/>
    </row>
    <row r="828" spans="1:369" ht="15" customHeight="1">
      <c r="A828" s="1772"/>
      <c r="B828" s="1772"/>
      <c r="C828" s="1815"/>
      <c r="D828" s="1815"/>
      <c r="E828" s="1815"/>
      <c r="F828" s="1815"/>
      <c r="H828" s="1897" t="s">
        <v>115</v>
      </c>
      <c r="I828" s="449"/>
      <c r="K828" s="1906">
        <f>AM817</f>
        <v>0</v>
      </c>
      <c r="L828" s="1906">
        <f>AN817</f>
        <v>0</v>
      </c>
      <c r="M828" s="1906">
        <f>AO817</f>
        <v>0</v>
      </c>
      <c r="N828" s="1906">
        <f>AP817</f>
        <v>0</v>
      </c>
      <c r="O828" s="1906">
        <f>AQ817</f>
        <v>0</v>
      </c>
      <c r="P828" s="1906">
        <f t="shared" si="353"/>
        <v>0</v>
      </c>
      <c r="Q828" s="1822"/>
      <c r="R828" s="1908"/>
      <c r="S828" s="1910"/>
      <c r="T828" s="1910"/>
      <c r="U828" s="1910"/>
      <c r="V828" s="1910"/>
      <c r="W828" s="1910"/>
      <c r="X828" s="1815"/>
      <c r="AA828" s="1815"/>
      <c r="AB828" s="449"/>
      <c r="AC828" s="1815"/>
      <c r="AF828" s="1815"/>
      <c r="AG828" s="449"/>
      <c r="AH828" s="1815"/>
      <c r="AK828" s="1815"/>
      <c r="AL828" s="449"/>
      <c r="AM828" s="1815"/>
      <c r="AP828" s="1815"/>
      <c r="AQ828" s="449"/>
      <c r="AR828" s="450"/>
      <c r="AS828" s="450"/>
      <c r="AT828" s="450"/>
      <c r="AU828" s="450"/>
      <c r="AV828" s="450"/>
      <c r="AW828" s="450"/>
      <c r="AX828" s="449"/>
      <c r="AY828" s="1815"/>
      <c r="BB828" s="450"/>
      <c r="BC828" s="449"/>
      <c r="BD828" s="1815"/>
      <c r="JW828" s="1874"/>
      <c r="KB828" s="1874"/>
      <c r="KC828" s="1874"/>
      <c r="KD828" s="1874"/>
      <c r="KE828" s="1874"/>
      <c r="KF828" s="1874"/>
      <c r="KG828" s="1874"/>
      <c r="KH828" s="1874"/>
      <c r="KI828" s="1874"/>
      <c r="KJ828" s="1874"/>
      <c r="KK828" s="1874"/>
      <c r="KL828" s="1874"/>
      <c r="KM828" s="1874"/>
      <c r="KN828" s="1874"/>
      <c r="KO828" s="1874"/>
      <c r="KP828" s="1874"/>
      <c r="KQ828" s="1874"/>
      <c r="KR828" s="1874"/>
      <c r="KS828" s="1874"/>
      <c r="KT828" s="1874"/>
      <c r="KU828" s="1874"/>
      <c r="KV828" s="1874"/>
      <c r="KW828" s="1874"/>
      <c r="KX828" s="1874"/>
      <c r="KY828" s="1874"/>
      <c r="KZ828" s="1874"/>
      <c r="LA828" s="1874"/>
      <c r="LB828" s="1874"/>
      <c r="LC828" s="1874"/>
      <c r="LD828" s="1874"/>
      <c r="LE828" s="1874"/>
      <c r="LF828" s="1874"/>
      <c r="LG828" s="1874"/>
      <c r="LH828" s="1874"/>
      <c r="LI828" s="1874"/>
      <c r="LJ828" s="1874"/>
      <c r="LK828" s="1874"/>
      <c r="LL828" s="1874"/>
      <c r="LM828" s="1874"/>
      <c r="LN828" s="1874"/>
      <c r="LO828" s="1874"/>
      <c r="LP828" s="1874"/>
      <c r="LQ828" s="1874"/>
    </row>
    <row r="829" spans="1:369" ht="15" customHeight="1">
      <c r="A829" s="1772"/>
      <c r="B829" s="1772"/>
      <c r="C829" s="1815"/>
      <c r="D829" s="1815"/>
      <c r="E829" s="1815"/>
      <c r="F829" s="1815"/>
      <c r="H829" s="1897" t="s">
        <v>4122</v>
      </c>
      <c r="I829" s="449"/>
      <c r="K829" s="1906">
        <f>AR817</f>
        <v>0</v>
      </c>
      <c r="L829" s="1906">
        <f>AS817</f>
        <v>6</v>
      </c>
      <c r="M829" s="1906">
        <f>AT817</f>
        <v>18</v>
      </c>
      <c r="N829" s="1906">
        <f>AU817</f>
        <v>0</v>
      </c>
      <c r="O829" s="1906">
        <f>AV817</f>
        <v>0</v>
      </c>
      <c r="P829" s="1906">
        <f t="shared" si="353"/>
        <v>24</v>
      </c>
      <c r="Q829" s="1822"/>
      <c r="R829" s="1908"/>
      <c r="S829" s="1910"/>
      <c r="T829" s="1910"/>
      <c r="U829" s="1910"/>
      <c r="V829" s="1910"/>
      <c r="W829" s="1910"/>
      <c r="X829" s="1815"/>
      <c r="AA829" s="1815"/>
      <c r="AB829" s="449"/>
      <c r="AC829" s="1815"/>
      <c r="AF829" s="1815"/>
      <c r="AG829" s="449"/>
      <c r="AH829" s="1815"/>
      <c r="AK829" s="1815"/>
      <c r="AL829" s="449"/>
      <c r="AM829" s="1815"/>
      <c r="AP829" s="1815"/>
      <c r="AQ829" s="449"/>
      <c r="AR829" s="450"/>
      <c r="AS829" s="450"/>
      <c r="AT829" s="450"/>
      <c r="AU829" s="450"/>
      <c r="AV829" s="450"/>
      <c r="AW829" s="450"/>
      <c r="AX829" s="449"/>
      <c r="AY829" s="1815"/>
      <c r="BB829" s="450"/>
      <c r="BC829" s="449"/>
      <c r="BD829" s="1815"/>
      <c r="JW829" s="1874"/>
      <c r="KB829" s="1874"/>
      <c r="KC829" s="1874"/>
      <c r="KD829" s="1874"/>
      <c r="KE829" s="1874"/>
      <c r="KF829" s="1874"/>
      <c r="KG829" s="1874"/>
      <c r="KH829" s="1874"/>
      <c r="KI829" s="1874"/>
      <c r="KJ829" s="1874"/>
      <c r="KK829" s="1874"/>
      <c r="KL829" s="1874"/>
      <c r="KM829" s="1874"/>
      <c r="KN829" s="1874"/>
      <c r="KO829" s="1874"/>
      <c r="KP829" s="1874"/>
      <c r="KQ829" s="1874"/>
      <c r="KR829" s="1874"/>
      <c r="KS829" s="1874"/>
      <c r="KT829" s="1874"/>
      <c r="KU829" s="1874"/>
      <c r="KV829" s="1874"/>
      <c r="KW829" s="1874"/>
      <c r="KX829" s="1874"/>
      <c r="KY829" s="1874"/>
      <c r="KZ829" s="1874"/>
      <c r="LA829" s="1874"/>
      <c r="LB829" s="1874"/>
      <c r="LC829" s="1874"/>
      <c r="LD829" s="1874"/>
      <c r="LE829" s="1874"/>
      <c r="LF829" s="1874"/>
      <c r="LG829" s="1874"/>
      <c r="LH829" s="1874"/>
      <c r="LI829" s="1874"/>
      <c r="LJ829" s="1874"/>
      <c r="LK829" s="1874"/>
      <c r="LL829" s="1874"/>
      <c r="LM829" s="1874"/>
      <c r="LN829" s="1874"/>
      <c r="LO829" s="1874"/>
      <c r="LP829" s="1874"/>
      <c r="LQ829" s="1874"/>
    </row>
    <row r="830" spans="1:369" ht="15" customHeight="1">
      <c r="A830" s="1772"/>
      <c r="B830" s="1772"/>
      <c r="C830" s="1815"/>
      <c r="D830" s="1815"/>
      <c r="E830" s="1815"/>
      <c r="F830" s="1815"/>
      <c r="H830" s="1897" t="s">
        <v>4123</v>
      </c>
      <c r="I830" s="449"/>
      <c r="K830" s="1906">
        <f>AW817</f>
        <v>0</v>
      </c>
      <c r="L830" s="1906">
        <f>AX817</f>
        <v>0</v>
      </c>
      <c r="M830" s="1906">
        <f>AY817</f>
        <v>0</v>
      </c>
      <c r="N830" s="1906">
        <f>AZ817</f>
        <v>0</v>
      </c>
      <c r="O830" s="1906">
        <f>BA817</f>
        <v>0</v>
      </c>
      <c r="P830" s="1906">
        <f t="shared" si="353"/>
        <v>0</v>
      </c>
      <c r="Q830" s="1822"/>
      <c r="R830" s="1908"/>
      <c r="S830" s="1910"/>
      <c r="T830" s="1910"/>
      <c r="U830" s="1910"/>
      <c r="V830" s="1910"/>
      <c r="W830" s="1910"/>
      <c r="X830" s="1815"/>
      <c r="AA830" s="1815"/>
      <c r="AB830" s="449"/>
      <c r="AC830" s="1815"/>
      <c r="AF830" s="1815"/>
      <c r="AG830" s="449"/>
      <c r="AH830" s="1815"/>
      <c r="AK830" s="1815"/>
      <c r="AL830" s="449"/>
      <c r="AM830" s="1815"/>
      <c r="AP830" s="1815"/>
      <c r="AQ830" s="449"/>
      <c r="AR830" s="450"/>
      <c r="AS830" s="450"/>
      <c r="AT830" s="450"/>
      <c r="AU830" s="450"/>
      <c r="AV830" s="450"/>
      <c r="AW830" s="450"/>
      <c r="AX830" s="449"/>
      <c r="AY830" s="1815"/>
      <c r="BB830" s="450"/>
      <c r="BC830" s="449"/>
      <c r="BD830" s="1815"/>
      <c r="JW830" s="1874"/>
      <c r="KB830" s="1874"/>
      <c r="KC830" s="1874"/>
      <c r="KD830" s="1874"/>
      <c r="KE830" s="1874"/>
      <c r="KF830" s="1874"/>
      <c r="KG830" s="1874"/>
      <c r="KH830" s="1874"/>
      <c r="KI830" s="1874"/>
      <c r="KJ830" s="1874"/>
      <c r="KK830" s="1874"/>
      <c r="KL830" s="1874"/>
      <c r="KM830" s="1874"/>
      <c r="KN830" s="1874"/>
      <c r="KO830" s="1874"/>
      <c r="KP830" s="1874"/>
      <c r="KQ830" s="1874"/>
      <c r="KR830" s="1874"/>
      <c r="KS830" s="1874"/>
      <c r="KT830" s="1874"/>
      <c r="KU830" s="1874"/>
      <c r="KV830" s="1874"/>
      <c r="KW830" s="1874"/>
      <c r="KX830" s="1874"/>
      <c r="KY830" s="1874"/>
      <c r="KZ830" s="1874"/>
      <c r="LA830" s="1874"/>
      <c r="LB830" s="1874"/>
      <c r="LC830" s="1874"/>
      <c r="LD830" s="1874"/>
      <c r="LE830" s="1874"/>
      <c r="LF830" s="1874"/>
      <c r="LG830" s="1874"/>
      <c r="LH830" s="1874"/>
      <c r="LI830" s="1874"/>
      <c r="LJ830" s="1874"/>
      <c r="LK830" s="1874"/>
      <c r="LL830" s="1874"/>
      <c r="LM830" s="1874"/>
      <c r="LN830" s="1874"/>
      <c r="LO830" s="1874"/>
      <c r="LP830" s="1874"/>
      <c r="LQ830" s="1874"/>
    </row>
    <row r="831" spans="1:369" ht="15" customHeight="1">
      <c r="A831" s="1772"/>
      <c r="B831" s="1772"/>
      <c r="C831" s="1815"/>
      <c r="D831" s="1815"/>
      <c r="E831" s="1815"/>
      <c r="F831" s="1815"/>
      <c r="H831" s="1897" t="s">
        <v>4124</v>
      </c>
      <c r="I831" s="449"/>
      <c r="K831" s="1906">
        <f>BB817</f>
        <v>0</v>
      </c>
      <c r="L831" s="1906">
        <f>BC817</f>
        <v>0</v>
      </c>
      <c r="M831" s="1906">
        <f>BD817</f>
        <v>0</v>
      </c>
      <c r="N831" s="1906">
        <f>BE817</f>
        <v>0</v>
      </c>
      <c r="O831" s="1906">
        <f>BF817</f>
        <v>0</v>
      </c>
      <c r="P831" s="1906">
        <f t="shared" si="353"/>
        <v>0</v>
      </c>
      <c r="Q831" s="1822"/>
      <c r="R831" s="1908"/>
      <c r="S831" s="1910"/>
      <c r="T831" s="1910"/>
      <c r="U831" s="1910"/>
      <c r="V831" s="1910"/>
      <c r="W831" s="1910"/>
      <c r="X831" s="1815"/>
      <c r="AA831" s="1815"/>
      <c r="AB831" s="449"/>
      <c r="AC831" s="1815"/>
      <c r="AF831" s="1815"/>
      <c r="AG831" s="449"/>
      <c r="AH831" s="1815"/>
      <c r="AK831" s="1815"/>
      <c r="AL831" s="449"/>
      <c r="AM831" s="1815"/>
      <c r="AP831" s="1815"/>
      <c r="AQ831" s="449"/>
      <c r="AR831" s="450"/>
      <c r="AS831" s="450"/>
      <c r="AT831" s="450"/>
      <c r="AU831" s="450"/>
      <c r="AV831" s="450"/>
      <c r="AW831" s="450"/>
      <c r="AX831" s="449"/>
      <c r="AY831" s="1815"/>
      <c r="BB831" s="450"/>
      <c r="BC831" s="449"/>
      <c r="BD831" s="1815"/>
      <c r="JW831" s="1874"/>
      <c r="KB831" s="1874"/>
      <c r="KC831" s="1874"/>
      <c r="KD831" s="1874"/>
      <c r="KE831" s="1874"/>
      <c r="KF831" s="1874"/>
      <c r="KG831" s="1874"/>
      <c r="KH831" s="1874"/>
      <c r="KI831" s="1874"/>
      <c r="KJ831" s="1874"/>
      <c r="KK831" s="1874"/>
      <c r="KL831" s="1874"/>
      <c r="KM831" s="1874"/>
      <c r="KN831" s="1874"/>
      <c r="KO831" s="1874"/>
      <c r="KP831" s="1874"/>
      <c r="KQ831" s="1874"/>
      <c r="KR831" s="1874"/>
      <c r="KS831" s="1874"/>
      <c r="KT831" s="1874"/>
      <c r="KU831" s="1874"/>
      <c r="KV831" s="1874"/>
      <c r="KW831" s="1874"/>
      <c r="KX831" s="1874"/>
      <c r="KY831" s="1874"/>
      <c r="KZ831" s="1874"/>
      <c r="LA831" s="1874"/>
      <c r="LB831" s="1874"/>
      <c r="LC831" s="1874"/>
      <c r="LD831" s="1874"/>
      <c r="LE831" s="1874"/>
      <c r="LF831" s="1874"/>
      <c r="LG831" s="1874"/>
      <c r="LH831" s="1874"/>
      <c r="LI831" s="1874"/>
      <c r="LJ831" s="1874"/>
      <c r="LK831" s="1874"/>
      <c r="LL831" s="1874"/>
      <c r="LM831" s="1874"/>
      <c r="LN831" s="1874"/>
      <c r="LO831" s="1874"/>
      <c r="LP831" s="1874"/>
      <c r="LQ831" s="1874"/>
    </row>
    <row r="832" spans="1:369" ht="15" customHeight="1">
      <c r="A832" s="1772"/>
      <c r="B832" s="1772"/>
      <c r="C832" s="1897" t="s">
        <v>4206</v>
      </c>
      <c r="D832" s="1815"/>
      <c r="E832" s="1815"/>
      <c r="F832" s="1815"/>
      <c r="H832" s="1918"/>
      <c r="I832" s="1945"/>
      <c r="K832" s="1906">
        <f>SUM(K825:K831)</f>
        <v>0</v>
      </c>
      <c r="L832" s="1906">
        <f>SUM(L825:L831)</f>
        <v>20</v>
      </c>
      <c r="M832" s="1906">
        <f>SUM(M825:M831)</f>
        <v>52</v>
      </c>
      <c r="N832" s="1906">
        <f>SUM(N825:N831)</f>
        <v>0</v>
      </c>
      <c r="O832" s="1906">
        <f>SUM(O825:O831)</f>
        <v>0</v>
      </c>
      <c r="P832" s="1906">
        <f t="shared" si="353"/>
        <v>72</v>
      </c>
      <c r="Q832" s="1822"/>
      <c r="S832" s="1910"/>
      <c r="T832" s="1910"/>
      <c r="U832" s="1910"/>
      <c r="V832" s="1910"/>
      <c r="W832" s="1910"/>
      <c r="X832" s="1815"/>
      <c r="AA832" s="1815"/>
      <c r="AB832" s="449"/>
      <c r="AC832" s="1815"/>
      <c r="AF832" s="1815"/>
      <c r="AG832" s="449"/>
      <c r="AH832" s="1815"/>
      <c r="AK832" s="1815"/>
      <c r="AL832" s="449"/>
      <c r="AM832" s="1815"/>
      <c r="AP832" s="1815"/>
      <c r="AQ832" s="449"/>
      <c r="AR832" s="450"/>
      <c r="AS832" s="450"/>
      <c r="AT832" s="450"/>
      <c r="AU832" s="450"/>
      <c r="AV832" s="450"/>
      <c r="AW832" s="450"/>
      <c r="AX832" s="449"/>
      <c r="AY832" s="1815"/>
      <c r="BB832" s="450"/>
      <c r="BC832" s="449"/>
      <c r="BD832" s="1815"/>
      <c r="JW832" s="1874"/>
      <c r="KB832" s="1874"/>
      <c r="KC832" s="1874"/>
      <c r="KD832" s="1874"/>
      <c r="KE832" s="1874"/>
      <c r="KF832" s="1874"/>
      <c r="KG832" s="1874"/>
      <c r="KH832" s="1874"/>
      <c r="KI832" s="1874"/>
      <c r="KJ832" s="1874"/>
      <c r="KK832" s="1874"/>
      <c r="KL832" s="1874"/>
      <c r="KM832" s="1874"/>
      <c r="KN832" s="1874"/>
      <c r="KO832" s="1874"/>
      <c r="KP832" s="1874"/>
      <c r="KQ832" s="1874"/>
      <c r="KR832" s="1874"/>
      <c r="KS832" s="1874"/>
      <c r="KT832" s="1874"/>
      <c r="KU832" s="1874"/>
      <c r="KV832" s="1874"/>
      <c r="KW832" s="1874"/>
      <c r="KX832" s="1874"/>
      <c r="KY832" s="1874"/>
      <c r="KZ832" s="1874"/>
      <c r="LA832" s="1874"/>
      <c r="LB832" s="1874"/>
      <c r="LC832" s="1874"/>
      <c r="LD832" s="1874"/>
      <c r="LE832" s="1874"/>
      <c r="LF832" s="1874"/>
      <c r="LG832" s="1874"/>
      <c r="LH832" s="1874"/>
      <c r="LI832" s="1874"/>
      <c r="LJ832" s="1874"/>
      <c r="LK832" s="1874"/>
      <c r="LL832" s="1874"/>
      <c r="LM832" s="1874"/>
      <c r="LN832" s="1874"/>
      <c r="LO832" s="1874"/>
      <c r="LP832" s="1874"/>
      <c r="LQ832" s="1874"/>
    </row>
    <row r="833" spans="1:329" ht="15" customHeight="1">
      <c r="A833" s="1772"/>
      <c r="B833" s="1772"/>
      <c r="D833" s="1815"/>
      <c r="E833" s="1815"/>
      <c r="F833" s="1815"/>
      <c r="H833" s="1897" t="s">
        <v>298</v>
      </c>
      <c r="I833" s="449"/>
      <c r="K833" s="1906">
        <f>BG817</f>
        <v>0</v>
      </c>
      <c r="L833" s="1906">
        <f>BH817</f>
        <v>0</v>
      </c>
      <c r="M833" s="1906">
        <f>BI817</f>
        <v>0</v>
      </c>
      <c r="N833" s="1906">
        <f>BJ817</f>
        <v>0</v>
      </c>
      <c r="O833" s="1906">
        <f>BK817</f>
        <v>0</v>
      </c>
      <c r="P833" s="1906">
        <f t="shared" si="353"/>
        <v>0</v>
      </c>
      <c r="S833" s="1910"/>
      <c r="T833" s="1910"/>
      <c r="U833" s="1910"/>
      <c r="V833" s="1910"/>
      <c r="W833" s="1910"/>
      <c r="X833" s="1815"/>
      <c r="AA833" s="1815"/>
      <c r="AB833" s="449"/>
      <c r="AC833" s="1815"/>
      <c r="AF833" s="1815"/>
      <c r="AG833" s="449"/>
      <c r="AH833" s="1815"/>
      <c r="AK833" s="1815"/>
      <c r="AL833" s="449"/>
      <c r="AM833" s="1815"/>
      <c r="AP833" s="1815"/>
      <c r="AQ833" s="449"/>
      <c r="AR833" s="450"/>
      <c r="AS833" s="450"/>
      <c r="AT833" s="450"/>
      <c r="AU833" s="450"/>
      <c r="AV833" s="450"/>
      <c r="AW833" s="450"/>
      <c r="AX833" s="1945"/>
      <c r="AY833" s="1815"/>
      <c r="BB833" s="450"/>
      <c r="BC833" s="1945"/>
      <c r="BD833" s="1815"/>
      <c r="JW833" s="1874"/>
      <c r="KB833" s="1874"/>
      <c r="KC833" s="1874"/>
      <c r="KD833" s="1874"/>
      <c r="KE833" s="1874"/>
      <c r="KF833" s="1874"/>
      <c r="KG833" s="1874"/>
      <c r="KH833" s="1874"/>
      <c r="KI833" s="1874"/>
      <c r="KJ833" s="1874"/>
      <c r="KK833" s="1874"/>
      <c r="KL833" s="1874"/>
      <c r="KM833" s="1874"/>
      <c r="KN833" s="1874"/>
      <c r="KO833" s="1874"/>
      <c r="KP833" s="1874"/>
      <c r="KQ833" s="1874"/>
      <c r="KR833" s="1874"/>
      <c r="KS833" s="1874"/>
      <c r="KT833" s="1874"/>
      <c r="KU833" s="1874"/>
      <c r="KV833" s="1874"/>
      <c r="KW833" s="1874"/>
      <c r="KX833" s="1874"/>
      <c r="KY833" s="1874"/>
      <c r="KZ833" s="1874"/>
      <c r="LA833" s="1874"/>
      <c r="LB833" s="1874"/>
      <c r="LC833" s="1874"/>
      <c r="LD833" s="1874"/>
      <c r="LE833" s="1874"/>
      <c r="LF833" s="1874"/>
      <c r="LG833" s="1874"/>
      <c r="LH833" s="1874"/>
      <c r="LI833" s="1874"/>
      <c r="LJ833" s="1874"/>
      <c r="LK833" s="1874"/>
      <c r="LL833" s="1874"/>
      <c r="LM833" s="1874"/>
      <c r="LN833" s="1874"/>
      <c r="LO833" s="1874"/>
      <c r="LP833" s="1874"/>
      <c r="LQ833" s="1874"/>
    </row>
    <row r="834" spans="1:329" ht="15" customHeight="1">
      <c r="A834" s="1772"/>
      <c r="B834" s="1772"/>
      <c r="C834" s="1815" t="s">
        <v>1116</v>
      </c>
      <c r="D834" s="1815"/>
      <c r="E834" s="1815"/>
      <c r="F834" s="1815"/>
      <c r="H834" s="1897"/>
      <c r="I834" s="449"/>
      <c r="K834" s="1906">
        <f>SUM(K832:K833)</f>
        <v>0</v>
      </c>
      <c r="L834" s="1906">
        <f>SUM(L832:L833)</f>
        <v>20</v>
      </c>
      <c r="M834" s="1906">
        <f>SUM(M832:M833)</f>
        <v>52</v>
      </c>
      <c r="N834" s="1906">
        <f>SUM(N832:N833)</f>
        <v>0</v>
      </c>
      <c r="O834" s="1906">
        <f>SUM(O832:O833)</f>
        <v>0</v>
      </c>
      <c r="P834" s="1906">
        <f t="shared" si="353"/>
        <v>72</v>
      </c>
      <c r="S834" s="1910"/>
      <c r="T834" s="1910"/>
      <c r="U834" s="1910"/>
      <c r="V834" s="1910"/>
      <c r="W834" s="1910"/>
      <c r="X834" s="1815"/>
      <c r="AA834" s="1815"/>
      <c r="AB834" s="449"/>
      <c r="AC834" s="1815"/>
      <c r="AF834" s="1815"/>
      <c r="AG834" s="449"/>
      <c r="AH834" s="1815"/>
      <c r="AK834" s="1815"/>
      <c r="AL834" s="449"/>
      <c r="AM834" s="1815"/>
      <c r="AP834" s="1815"/>
      <c r="AQ834" s="449"/>
      <c r="AR834" s="450"/>
      <c r="AS834" s="450"/>
      <c r="AT834" s="450"/>
      <c r="AU834" s="450"/>
      <c r="AV834" s="450"/>
      <c r="AW834" s="450"/>
      <c r="AX834" s="1945"/>
      <c r="AY834" s="1815"/>
      <c r="BB834" s="450"/>
      <c r="BC834" s="1945"/>
      <c r="BD834" s="1815"/>
      <c r="JW834" s="1874"/>
      <c r="KB834" s="1874"/>
      <c r="KC834" s="1874"/>
      <c r="KD834" s="1874"/>
      <c r="KE834" s="1874"/>
      <c r="KF834" s="1874"/>
      <c r="KG834" s="1874"/>
      <c r="KH834" s="1874"/>
      <c r="KI834" s="1874"/>
      <c r="KJ834" s="1874"/>
      <c r="KK834" s="1874"/>
      <c r="KL834" s="1874"/>
      <c r="KM834" s="1874"/>
      <c r="KN834" s="1874"/>
      <c r="KO834" s="1874"/>
      <c r="KP834" s="1874"/>
      <c r="KQ834" s="1874"/>
      <c r="KR834" s="1874"/>
      <c r="KS834" s="1874"/>
      <c r="KT834" s="1874"/>
      <c r="KU834" s="1874"/>
      <c r="KV834" s="1874"/>
      <c r="KW834" s="1874"/>
      <c r="KX834" s="1874"/>
      <c r="KY834" s="1874"/>
      <c r="KZ834" s="1874"/>
      <c r="LA834" s="1874"/>
      <c r="LB834" s="1874"/>
      <c r="LC834" s="1874"/>
      <c r="LD834" s="1874"/>
      <c r="LE834" s="1874"/>
      <c r="LF834" s="1874"/>
      <c r="LG834" s="1874"/>
      <c r="LH834" s="1874"/>
      <c r="LI834" s="1874"/>
      <c r="LJ834" s="1874"/>
      <c r="LK834" s="1874"/>
      <c r="LL834" s="1874"/>
      <c r="LM834" s="1874"/>
      <c r="LN834" s="1874"/>
      <c r="LO834" s="1874"/>
      <c r="LP834" s="1874"/>
      <c r="LQ834" s="1874"/>
    </row>
    <row r="835" spans="1:329" ht="15" customHeight="1">
      <c r="A835" s="1772"/>
      <c r="B835" s="1772"/>
      <c r="D835" s="1815"/>
      <c r="E835" s="1815"/>
      <c r="F835" s="1815"/>
      <c r="H835" s="1897" t="s">
        <v>2445</v>
      </c>
      <c r="I835" s="449"/>
      <c r="K835" s="1906">
        <f>ED817</f>
        <v>0</v>
      </c>
      <c r="L835" s="1906">
        <f>EE817</f>
        <v>0</v>
      </c>
      <c r="M835" s="1906">
        <f>EF817</f>
        <v>0</v>
      </c>
      <c r="N835" s="1906">
        <f>EG817</f>
        <v>0</v>
      </c>
      <c r="O835" s="1906">
        <f>EH817</f>
        <v>0</v>
      </c>
      <c r="P835" s="1906">
        <f t="shared" si="353"/>
        <v>0</v>
      </c>
      <c r="Q835" s="1822" t="s">
        <v>3495</v>
      </c>
      <c r="S835" s="1910"/>
      <c r="T835" s="1910"/>
      <c r="U835" s="1910"/>
      <c r="V835" s="1910"/>
      <c r="W835" s="1910"/>
      <c r="X835" s="1815"/>
      <c r="AA835" s="1815"/>
      <c r="AB835" s="449"/>
      <c r="AC835" s="1815"/>
      <c r="AF835" s="1815"/>
      <c r="AG835" s="449"/>
      <c r="AH835" s="1815"/>
      <c r="AK835" s="1815"/>
      <c r="AL835" s="449"/>
      <c r="AM835" s="1815"/>
      <c r="AP835" s="1815"/>
      <c r="AQ835" s="449"/>
      <c r="AR835" s="450"/>
      <c r="AS835" s="450"/>
      <c r="AT835" s="450"/>
      <c r="AU835" s="450"/>
      <c r="AV835" s="450"/>
      <c r="AW835" s="450"/>
      <c r="AX835" s="449"/>
      <c r="AY835" s="1815"/>
      <c r="BB835" s="450"/>
      <c r="BC835" s="449"/>
      <c r="BD835" s="1815"/>
      <c r="JW835" s="1874"/>
      <c r="KB835" s="1874"/>
      <c r="KC835" s="1874"/>
      <c r="KD835" s="1874"/>
      <c r="KE835" s="1874"/>
      <c r="KF835" s="1874"/>
      <c r="KG835" s="1874"/>
      <c r="KH835" s="1874"/>
      <c r="KI835" s="1874"/>
      <c r="KJ835" s="1874"/>
      <c r="KK835" s="1874"/>
      <c r="KL835" s="1874"/>
      <c r="KM835" s="1874"/>
      <c r="KN835" s="1874"/>
      <c r="KO835" s="1874"/>
      <c r="KP835" s="1874"/>
      <c r="KQ835" s="1874"/>
      <c r="KR835" s="1874"/>
      <c r="KS835" s="1874"/>
      <c r="KT835" s="1874"/>
      <c r="KU835" s="1874"/>
      <c r="KV835" s="1874"/>
      <c r="KW835" s="1874"/>
      <c r="KX835" s="1874"/>
      <c r="KY835" s="1874"/>
      <c r="KZ835" s="1874"/>
      <c r="LA835" s="1874"/>
      <c r="LB835" s="1874"/>
      <c r="LC835" s="1874"/>
      <c r="LD835" s="1874"/>
      <c r="LE835" s="1874"/>
      <c r="LF835" s="1874"/>
      <c r="LG835" s="1874"/>
      <c r="LH835" s="1874"/>
      <c r="LI835" s="1874"/>
      <c r="LJ835" s="1874"/>
      <c r="LK835" s="1874"/>
      <c r="LL835" s="1874"/>
      <c r="LM835" s="1874"/>
      <c r="LN835" s="1874"/>
      <c r="LO835" s="1874"/>
      <c r="LP835" s="1874"/>
      <c r="LQ835" s="1874"/>
    </row>
    <row r="836" spans="1:329" ht="15" customHeight="1">
      <c r="A836" s="1772"/>
      <c r="B836" s="1772"/>
      <c r="C836" s="1815" t="s">
        <v>1749</v>
      </c>
      <c r="D836" s="1815"/>
      <c r="E836" s="1815"/>
      <c r="F836" s="1815"/>
      <c r="H836" s="1897"/>
      <c r="I836" s="449"/>
      <c r="K836" s="1906">
        <f>SUM(K834:K835)</f>
        <v>0</v>
      </c>
      <c r="L836" s="1906">
        <f>SUM(L834:L835)</f>
        <v>20</v>
      </c>
      <c r="M836" s="1906">
        <f>SUM(M834:M835)</f>
        <v>52</v>
      </c>
      <c r="N836" s="1906">
        <f>SUM(N834:N835)</f>
        <v>0</v>
      </c>
      <c r="O836" s="1906">
        <f>SUM(O834:O835)</f>
        <v>0</v>
      </c>
      <c r="P836" s="1906">
        <f t="shared" si="353"/>
        <v>72</v>
      </c>
      <c r="S836" s="1910"/>
      <c r="T836" s="1910"/>
      <c r="U836" s="1910"/>
      <c r="V836" s="1910"/>
      <c r="W836" s="1910"/>
      <c r="X836" s="1815"/>
      <c r="AA836" s="1815"/>
      <c r="AB836" s="449"/>
      <c r="AC836" s="1815"/>
      <c r="AF836" s="1815"/>
      <c r="AG836" s="449"/>
      <c r="AH836" s="1815"/>
      <c r="AK836" s="1815"/>
      <c r="AL836" s="449"/>
      <c r="AM836" s="1815"/>
      <c r="AP836" s="1815"/>
      <c r="AQ836" s="449"/>
      <c r="AR836" s="450"/>
      <c r="AS836" s="450"/>
      <c r="AT836" s="450"/>
      <c r="AU836" s="450"/>
      <c r="AV836" s="450"/>
      <c r="AW836" s="450"/>
      <c r="AY836" s="1815"/>
      <c r="BB836" s="450"/>
      <c r="BD836" s="1815"/>
      <c r="JW836" s="1874"/>
      <c r="KB836" s="1874"/>
      <c r="KC836" s="1874"/>
      <c r="KD836" s="1874"/>
      <c r="KE836" s="1874"/>
      <c r="KF836" s="1874"/>
      <c r="KG836" s="1874"/>
      <c r="KH836" s="1874"/>
      <c r="KI836" s="1874"/>
      <c r="KJ836" s="1874"/>
      <c r="KK836" s="1874"/>
      <c r="KL836" s="1874"/>
      <c r="KM836" s="1874"/>
      <c r="KN836" s="1874"/>
      <c r="KO836" s="1874"/>
      <c r="KP836" s="1874"/>
      <c r="KQ836" s="1874"/>
      <c r="KR836" s="1874"/>
      <c r="KS836" s="1874"/>
      <c r="KT836" s="1874"/>
      <c r="KU836" s="1874"/>
      <c r="KV836" s="1874"/>
      <c r="KW836" s="1874"/>
      <c r="KX836" s="1874"/>
      <c r="KY836" s="1874"/>
      <c r="KZ836" s="1874"/>
      <c r="LA836" s="1874"/>
      <c r="LB836" s="1874"/>
      <c r="LC836" s="1874"/>
      <c r="LD836" s="1874"/>
      <c r="LE836" s="1874"/>
      <c r="LF836" s="1874"/>
      <c r="LG836" s="1874"/>
      <c r="LH836" s="1874"/>
      <c r="LI836" s="1874"/>
      <c r="LJ836" s="1874"/>
      <c r="LK836" s="1874"/>
      <c r="LL836" s="1874"/>
      <c r="LM836" s="1874"/>
      <c r="LN836" s="1874"/>
      <c r="LO836" s="1874"/>
      <c r="LP836" s="1874"/>
      <c r="LQ836" s="1874"/>
    </row>
    <row r="837" spans="1:329" ht="16.2" customHeight="1">
      <c r="A837" s="1772"/>
      <c r="B837" s="1772"/>
      <c r="C837" s="1910"/>
      <c r="D837" s="1910"/>
      <c r="E837" s="1910"/>
      <c r="F837" s="1910"/>
      <c r="G837" s="1910"/>
      <c r="H837" s="1772"/>
      <c r="I837" s="1910"/>
      <c r="J837" s="1910"/>
      <c r="K837" s="1910"/>
      <c r="L837" s="1910"/>
      <c r="M837" s="1910"/>
      <c r="N837" s="1910"/>
      <c r="O837" s="1910"/>
      <c r="P837" s="1910"/>
      <c r="X837" s="1815"/>
      <c r="AA837" s="1815"/>
      <c r="AB837" s="449"/>
      <c r="AC837" s="1815"/>
      <c r="AF837" s="1815"/>
      <c r="AG837" s="449"/>
      <c r="AH837" s="1815"/>
      <c r="AK837" s="1815"/>
      <c r="AL837" s="449"/>
      <c r="AM837" s="1815"/>
      <c r="AP837" s="1815"/>
      <c r="AQ837" s="449"/>
      <c r="AR837" s="1815"/>
      <c r="AS837" s="1815"/>
      <c r="AT837" s="1815"/>
      <c r="AU837" s="1815"/>
      <c r="AV837" s="1815"/>
      <c r="AW837" s="1815"/>
      <c r="AY837" s="1815"/>
      <c r="BB837" s="1815"/>
      <c r="BD837" s="1815"/>
      <c r="JW837" s="1874"/>
      <c r="KB837" s="1874"/>
      <c r="KC837" s="1874"/>
      <c r="KD837" s="1874"/>
      <c r="KE837" s="1874"/>
      <c r="KF837" s="1874"/>
      <c r="KG837" s="1874"/>
      <c r="KH837" s="1874"/>
      <c r="KI837" s="1874"/>
      <c r="KJ837" s="1874"/>
      <c r="KK837" s="1874"/>
      <c r="KL837" s="1874"/>
      <c r="KM837" s="1874"/>
      <c r="KN837" s="1874"/>
      <c r="KO837" s="1874"/>
      <c r="KP837" s="1874"/>
      <c r="KQ837" s="1874"/>
      <c r="KR837" s="1874"/>
      <c r="KS837" s="1874"/>
      <c r="KT837" s="1874"/>
      <c r="KU837" s="1874"/>
      <c r="KV837" s="1874"/>
      <c r="KW837" s="1874"/>
      <c r="KX837" s="1874"/>
      <c r="KY837" s="1874"/>
      <c r="KZ837" s="1874"/>
      <c r="LA837" s="1874"/>
      <c r="LB837" s="1874"/>
      <c r="LC837" s="1874"/>
      <c r="LD837" s="1874"/>
      <c r="LE837" s="1874"/>
      <c r="LF837" s="1874"/>
      <c r="LG837" s="1874"/>
      <c r="LH837" s="1874"/>
      <c r="LI837" s="1874"/>
      <c r="LJ837" s="1874"/>
      <c r="LK837" s="1874"/>
      <c r="LL837" s="1874"/>
      <c r="LM837" s="1874"/>
      <c r="LN837" s="1874"/>
      <c r="LO837" s="1874"/>
      <c r="LP837" s="1874"/>
      <c r="LQ837" s="1874"/>
    </row>
    <row r="838" spans="1:329" ht="12" customHeight="1">
      <c r="A838" s="1772"/>
      <c r="B838" s="1772"/>
      <c r="C838" s="1910" t="s">
        <v>4225</v>
      </c>
      <c r="D838" s="1910"/>
      <c r="E838" s="1910"/>
      <c r="F838" s="1910"/>
      <c r="G838" s="1910"/>
      <c r="H838" s="1772"/>
      <c r="I838" s="1910"/>
      <c r="J838" s="1910"/>
      <c r="K838" s="1910"/>
      <c r="L838" s="1910"/>
      <c r="M838" s="1910"/>
      <c r="N838" s="1910"/>
      <c r="O838" s="1910"/>
      <c r="P838" s="1910"/>
      <c r="S838" s="1849" t="str">
        <f>C838</f>
        <v xml:space="preserve">Income Limit Distribution among Bedroom Sizes </v>
      </c>
      <c r="U838" s="2240"/>
      <c r="X838" s="1815"/>
      <c r="AA838" s="1815"/>
      <c r="AB838" s="449"/>
      <c r="AC838" s="1815"/>
      <c r="AF838" s="1815"/>
      <c r="AG838" s="449"/>
      <c r="AH838" s="1815"/>
      <c r="AK838" s="1815"/>
      <c r="AL838" s="449"/>
      <c r="AM838" s="1815"/>
      <c r="AP838" s="1815"/>
      <c r="AQ838" s="449"/>
      <c r="AR838" s="1815"/>
      <c r="AS838" s="1815"/>
      <c r="AT838" s="1815"/>
      <c r="AU838" s="1815"/>
      <c r="AV838" s="1815"/>
      <c r="AW838" s="1815"/>
      <c r="AY838" s="1815"/>
      <c r="BB838" s="1815"/>
      <c r="BD838" s="1815"/>
      <c r="JW838" s="1874"/>
      <c r="KB838" s="1874"/>
      <c r="KC838" s="1874"/>
      <c r="KD838" s="1874"/>
      <c r="KE838" s="1874"/>
      <c r="KF838" s="1874"/>
      <c r="KG838" s="1874"/>
      <c r="KH838" s="1874"/>
      <c r="KI838" s="1874"/>
      <c r="KJ838" s="1874"/>
      <c r="KK838" s="1874"/>
      <c r="KL838" s="1874"/>
      <c r="KM838" s="1874"/>
      <c r="KN838" s="1874"/>
      <c r="KO838" s="1874"/>
      <c r="KP838" s="1874"/>
      <c r="KQ838" s="1874"/>
      <c r="KR838" s="1874"/>
      <c r="KS838" s="1874"/>
      <c r="KT838" s="1874"/>
      <c r="KU838" s="1874"/>
      <c r="KV838" s="1874"/>
      <c r="KW838" s="1874"/>
      <c r="KX838" s="1874"/>
      <c r="KY838" s="1874"/>
      <c r="KZ838" s="1874"/>
      <c r="LA838" s="1874"/>
      <c r="LB838" s="1874"/>
      <c r="LC838" s="1874"/>
      <c r="LD838" s="1874"/>
      <c r="LE838" s="1874"/>
      <c r="LF838" s="1874"/>
      <c r="LG838" s="1874"/>
      <c r="LH838" s="1874"/>
      <c r="LI838" s="1874"/>
      <c r="LJ838" s="1874"/>
      <c r="LK838" s="1874"/>
      <c r="LL838" s="1874"/>
      <c r="LM838" s="1874"/>
      <c r="LN838" s="1874"/>
      <c r="LO838" s="1874"/>
      <c r="LP838" s="1874"/>
      <c r="LQ838" s="1874"/>
    </row>
    <row r="839" spans="1:329" ht="13.2" customHeight="1">
      <c r="A839" s="1772"/>
      <c r="B839" s="1772"/>
      <c r="C839" s="1910"/>
      <c r="D839" s="1910"/>
      <c r="E839" s="1910"/>
      <c r="F839" s="1910"/>
      <c r="H839" s="1897" t="s">
        <v>4120</v>
      </c>
      <c r="I839" s="449"/>
      <c r="J839" s="1907"/>
      <c r="K839" s="2217" t="str">
        <f t="shared" ref="K839:P839" si="354">IF(OR(K825=0,K$67=0),"",K825/K$67)</f>
        <v/>
      </c>
      <c r="L839" s="2217" t="e">
        <f t="shared" si="354"/>
        <v>#VALUE!</v>
      </c>
      <c r="M839" s="2217" t="str">
        <f t="shared" si="354"/>
        <v/>
      </c>
      <c r="N839" s="2217" t="str">
        <f t="shared" si="354"/>
        <v/>
      </c>
      <c r="O839" s="2217" t="str">
        <f t="shared" si="354"/>
        <v/>
      </c>
      <c r="P839" s="2217" t="str">
        <f t="shared" si="354"/>
        <v/>
      </c>
      <c r="Q839" s="1908" t="s">
        <v>4779</v>
      </c>
      <c r="S839" s="1910"/>
      <c r="T839" s="1910"/>
      <c r="U839" s="1910"/>
      <c r="V839" s="1910"/>
      <c r="W839" s="1910"/>
    </row>
    <row r="840" spans="1:329">
      <c r="A840" s="1772"/>
      <c r="B840" s="1772"/>
      <c r="C840" s="1815"/>
      <c r="H840" s="1897" t="s">
        <v>6925</v>
      </c>
      <c r="I840" s="449"/>
      <c r="J840" s="1815"/>
      <c r="K840" s="2218" t="str">
        <f>IF(OR(K825=0,$P839="",K$67=0),"",$P839*K$67)</f>
        <v/>
      </c>
      <c r="L840" s="2218" t="str">
        <f>IF(OR(L825=0,$P839="",L$67=0),"",$P839*L$67)</f>
        <v/>
      </c>
      <c r="M840" s="2218" t="str">
        <f>IF(OR(M825=0,$P839="",M$67=0),"",$P839*M$67)</f>
        <v/>
      </c>
      <c r="N840" s="2218" t="str">
        <f>IF(OR(N825=0,$P839="",N$67=0),"",$P839*N$67)</f>
        <v/>
      </c>
      <c r="O840" s="2218" t="str">
        <f>IF(OR(O825=0,$P839="",O$67=0),"",$P839*O$67)</f>
        <v/>
      </c>
      <c r="P840" s="2218" t="str">
        <f t="shared" ref="P840" si="355">IF(OR($P839="",P$67=0),"",$P839*P$67)</f>
        <v/>
      </c>
      <c r="S840" s="1910"/>
      <c r="T840" s="1910"/>
      <c r="U840" s="1910"/>
      <c r="V840" s="1910"/>
      <c r="W840" s="1910"/>
    </row>
    <row r="841" spans="1:329">
      <c r="C841" s="1815"/>
      <c r="H841" s="1897" t="s">
        <v>6926</v>
      </c>
      <c r="I841" s="449"/>
      <c r="J841" s="1815"/>
      <c r="K841" s="2218" t="str">
        <f t="shared" ref="K841:P841" si="356">IF(OR(K840="",K825=0),"", K825-K840)</f>
        <v/>
      </c>
      <c r="L841" s="2218" t="str">
        <f t="shared" si="356"/>
        <v/>
      </c>
      <c r="M841" s="2218" t="str">
        <f t="shared" si="356"/>
        <v/>
      </c>
      <c r="N841" s="2218" t="str">
        <f t="shared" si="356"/>
        <v/>
      </c>
      <c r="O841" s="2218" t="str">
        <f t="shared" si="356"/>
        <v/>
      </c>
      <c r="P841" s="2218" t="str">
        <f t="shared" si="356"/>
        <v/>
      </c>
      <c r="S841" s="1910"/>
      <c r="T841" s="1910"/>
      <c r="U841" s="1910"/>
      <c r="V841" s="1910"/>
      <c r="W841" s="1910"/>
    </row>
    <row r="842" spans="1:329" ht="13.2" customHeight="1">
      <c r="C842" s="1815"/>
      <c r="D842" s="1815" t="s">
        <v>6825</v>
      </c>
      <c r="E842" s="1815"/>
      <c r="F842" s="1815"/>
      <c r="H842" s="1897" t="s">
        <v>4121</v>
      </c>
      <c r="I842" s="449"/>
      <c r="J842" s="1815"/>
      <c r="K842" s="2217" t="str">
        <f t="shared" ref="K842:P842" si="357">IF(OR(K826=0,K$67=0),"",K826/K$67)</f>
        <v/>
      </c>
      <c r="L842" s="2217" t="str">
        <f t="shared" si="357"/>
        <v/>
      </c>
      <c r="M842" s="2217" t="str">
        <f t="shared" si="357"/>
        <v/>
      </c>
      <c r="N842" s="2217" t="str">
        <f t="shared" si="357"/>
        <v/>
      </c>
      <c r="O842" s="2217" t="str">
        <f t="shared" si="357"/>
        <v/>
      </c>
      <c r="P842" s="2217" t="str">
        <f t="shared" si="357"/>
        <v/>
      </c>
      <c r="S842" s="1910"/>
      <c r="T842" s="1910"/>
      <c r="U842" s="1910"/>
      <c r="V842" s="1910"/>
      <c r="W842" s="1910"/>
    </row>
    <row r="843" spans="1:329">
      <c r="C843" s="1815"/>
      <c r="D843" s="1815"/>
      <c r="E843" s="1815"/>
      <c r="F843" s="1815"/>
      <c r="H843" s="1897" t="s">
        <v>6925</v>
      </c>
      <c r="I843" s="449"/>
      <c r="J843" s="1815"/>
      <c r="K843" s="2218" t="str">
        <f>IF(OR(K826=0,$P842="",K$67=0),"",$P842*K$67)</f>
        <v/>
      </c>
      <c r="L843" s="2218" t="str">
        <f>IF(OR(L826=0,$P842="",L$67=0),"",$P842*L$67)</f>
        <v/>
      </c>
      <c r="M843" s="2218" t="str">
        <f>IF(OR(M826=0,$P842="",M$67=0),"",$P842*M$67)</f>
        <v/>
      </c>
      <c r="N843" s="2218" t="str">
        <f>IF(OR(N826=0,$P842="",N$67=0),"",$P842*N$67)</f>
        <v/>
      </c>
      <c r="O843" s="2218" t="str">
        <f>IF(OR(O826=0,$P842="",O$67=0),"",$P842*O$67)</f>
        <v/>
      </c>
      <c r="P843" s="2218" t="str">
        <f t="shared" ref="P843" si="358">IF(OR($P842="",P$67=0),"",$P842*P$67)</f>
        <v/>
      </c>
      <c r="S843" s="1910"/>
      <c r="T843" s="1910"/>
      <c r="U843" s="1910"/>
      <c r="V843" s="1910"/>
      <c r="W843" s="1910"/>
    </row>
    <row r="844" spans="1:329">
      <c r="C844" s="1815"/>
      <c r="D844" s="1815"/>
      <c r="E844" s="1815"/>
      <c r="F844" s="1815"/>
      <c r="H844" s="1897" t="s">
        <v>6926</v>
      </c>
      <c r="I844" s="449"/>
      <c r="J844" s="1815"/>
      <c r="K844" s="2218" t="str">
        <f t="shared" ref="K844:P844" si="359">IF(OR(K843="",K826=0),"", K826-K843)</f>
        <v/>
      </c>
      <c r="L844" s="2218" t="str">
        <f t="shared" si="359"/>
        <v/>
      </c>
      <c r="M844" s="2218" t="str">
        <f t="shared" si="359"/>
        <v/>
      </c>
      <c r="N844" s="2218" t="str">
        <f t="shared" si="359"/>
        <v/>
      </c>
      <c r="O844" s="2218" t="str">
        <f t="shared" si="359"/>
        <v/>
      </c>
      <c r="P844" s="2218" t="str">
        <f t="shared" si="359"/>
        <v/>
      </c>
      <c r="S844" s="1910"/>
      <c r="T844" s="1910"/>
      <c r="U844" s="1910"/>
      <c r="V844" s="1910"/>
      <c r="W844" s="1910"/>
    </row>
    <row r="845" spans="1:329">
      <c r="C845" s="1995" t="s">
        <v>4777</v>
      </c>
      <c r="D845" s="1815"/>
      <c r="E845" s="1815"/>
      <c r="F845" s="1815"/>
      <c r="H845" s="1897" t="s">
        <v>1127</v>
      </c>
      <c r="I845" s="449"/>
      <c r="J845" s="1815"/>
      <c r="K845" s="2217" t="str">
        <f t="shared" ref="K845:P845" si="360">IF(OR(K827=0,K$67=0),"",K827/K$67)</f>
        <v/>
      </c>
      <c r="L845" s="2217" t="e">
        <f t="shared" si="360"/>
        <v>#VALUE!</v>
      </c>
      <c r="M845" s="2217" t="str">
        <f t="shared" si="360"/>
        <v/>
      </c>
      <c r="N845" s="2217" t="str">
        <f t="shared" si="360"/>
        <v/>
      </c>
      <c r="O845" s="2217" t="str">
        <f t="shared" si="360"/>
        <v/>
      </c>
      <c r="P845" s="2217" t="str">
        <f t="shared" si="360"/>
        <v/>
      </c>
      <c r="S845" s="1910"/>
      <c r="T845" s="1910"/>
      <c r="U845" s="1910"/>
      <c r="V845" s="1910"/>
      <c r="W845" s="1910"/>
    </row>
    <row r="846" spans="1:329" ht="15.75" customHeight="1">
      <c r="D846" s="1815"/>
      <c r="E846" s="1815"/>
      <c r="F846" s="1815"/>
      <c r="H846" s="1897" t="s">
        <v>6925</v>
      </c>
      <c r="I846" s="449"/>
      <c r="J846" s="1815"/>
      <c r="K846" s="2218" t="str">
        <f>IF(OR(K827=0,$P845="",K$67=0),"",$P845*K$67)</f>
        <v/>
      </c>
      <c r="L846" s="2218" t="str">
        <f>IF(OR(L827=0,$P845="",L$67=0),"",$P845*L$67)</f>
        <v/>
      </c>
      <c r="M846" s="2218" t="str">
        <f>IF(OR(M827=0,$P845="",M$67=0),"",$P845*M$67)</f>
        <v/>
      </c>
      <c r="N846" s="2218" t="str">
        <f>IF(OR(N827=0,$P845="",N$67=0),"",$P845*N$67)</f>
        <v/>
      </c>
      <c r="O846" s="2218" t="str">
        <f>IF(OR(O827=0,$P845="",O$67=0),"",$P845*O$67)</f>
        <v/>
      </c>
      <c r="P846" s="2218" t="str">
        <f t="shared" ref="P846" si="361">IF(OR($P845="",P$67=0),"",$P845*P$67)</f>
        <v/>
      </c>
      <c r="S846" s="1910"/>
      <c r="T846" s="1910"/>
      <c r="U846" s="1910"/>
      <c r="V846" s="1910"/>
      <c r="W846" s="1910"/>
    </row>
    <row r="847" spans="1:329" ht="15.75" customHeight="1">
      <c r="D847" s="1815"/>
      <c r="E847" s="1815"/>
      <c r="H847" s="1897" t="s">
        <v>6926</v>
      </c>
      <c r="I847" s="449"/>
      <c r="J847" s="1815"/>
      <c r="K847" s="2218" t="str">
        <f t="shared" ref="K847:P847" si="362">IF(OR(K846="",K827=0),"", K827-K846)</f>
        <v/>
      </c>
      <c r="L847" s="2218" t="str">
        <f t="shared" si="362"/>
        <v/>
      </c>
      <c r="M847" s="2218" t="str">
        <f t="shared" si="362"/>
        <v/>
      </c>
      <c r="N847" s="2218" t="str">
        <f t="shared" si="362"/>
        <v/>
      </c>
      <c r="O847" s="2218" t="str">
        <f t="shared" si="362"/>
        <v/>
      </c>
      <c r="P847" s="2218" t="str">
        <f t="shared" si="362"/>
        <v/>
      </c>
    </row>
    <row r="848" spans="1:329">
      <c r="C848" s="1995" t="s">
        <v>4777</v>
      </c>
      <c r="H848" s="1897" t="s">
        <v>115</v>
      </c>
      <c r="I848" s="449"/>
      <c r="J848" s="1815"/>
      <c r="K848" s="2217" t="str">
        <f t="shared" ref="K848:P848" si="363">IF(OR(K828=0,K$67=0),"",K828/K$67)</f>
        <v/>
      </c>
      <c r="L848" s="2217" t="str">
        <f t="shared" si="363"/>
        <v/>
      </c>
      <c r="M848" s="2217" t="str">
        <f t="shared" si="363"/>
        <v/>
      </c>
      <c r="N848" s="2217" t="str">
        <f t="shared" si="363"/>
        <v/>
      </c>
      <c r="O848" s="2217" t="str">
        <f t="shared" si="363"/>
        <v/>
      </c>
      <c r="P848" s="2217" t="str">
        <f t="shared" si="363"/>
        <v/>
      </c>
    </row>
    <row r="849" spans="1:329">
      <c r="H849" s="1897" t="s">
        <v>6925</v>
      </c>
      <c r="I849" s="449"/>
      <c r="J849" s="1815"/>
      <c r="K849" s="2218" t="str">
        <f>IF(OR(K828=0,$P848="",K$67=0),"",$P848*K$67)</f>
        <v/>
      </c>
      <c r="L849" s="2218" t="str">
        <f>IF(OR(L828=0,$P848="",L$67=0),"",$P848*L$67)</f>
        <v/>
      </c>
      <c r="M849" s="2218" t="str">
        <f>IF(OR(M828=0,$P848="",M$67=0),"",$P848*M$67)</f>
        <v/>
      </c>
      <c r="N849" s="2218" t="str">
        <f>IF(OR(N828=0,$P848="",N$67=0),"",$P848*N$67)</f>
        <v/>
      </c>
      <c r="O849" s="2218" t="str">
        <f>IF(OR(O828=0,$P848="",O$67=0),"",$P848*O$67)</f>
        <v/>
      </c>
      <c r="P849" s="2218" t="str">
        <f t="shared" ref="P849" si="364">IF(OR($P848="",P$67=0),"",$P848*P$67)</f>
        <v/>
      </c>
    </row>
    <row r="850" spans="1:329">
      <c r="H850" s="1897" t="s">
        <v>6926</v>
      </c>
      <c r="I850" s="449"/>
      <c r="J850" s="1815"/>
      <c r="K850" s="2218" t="str">
        <f t="shared" ref="K850:P850" si="365">IF(OR(K849="",K828=0),"", K828-K849)</f>
        <v/>
      </c>
      <c r="L850" s="2218" t="str">
        <f t="shared" si="365"/>
        <v/>
      </c>
      <c r="M850" s="2218" t="str">
        <f t="shared" si="365"/>
        <v/>
      </c>
      <c r="N850" s="2218" t="str">
        <f t="shared" si="365"/>
        <v/>
      </c>
      <c r="O850" s="2218" t="str">
        <f t="shared" si="365"/>
        <v/>
      </c>
      <c r="P850" s="2218" t="str">
        <f t="shared" si="365"/>
        <v/>
      </c>
    </row>
    <row r="851" spans="1:329">
      <c r="C851" s="1995" t="s">
        <v>4777</v>
      </c>
      <c r="H851" s="1897" t="s">
        <v>4122</v>
      </c>
      <c r="I851" s="449"/>
      <c r="J851" s="1815"/>
      <c r="K851" s="2217" t="str">
        <f t="shared" ref="K851:P851" si="366">IF(OR(K829=0,K$67=0),"",K829/K$67)</f>
        <v/>
      </c>
      <c r="L851" s="2217" t="e">
        <f t="shared" si="366"/>
        <v>#VALUE!</v>
      </c>
      <c r="M851" s="2217" t="str">
        <f t="shared" si="366"/>
        <v/>
      </c>
      <c r="N851" s="2217" t="str">
        <f t="shared" si="366"/>
        <v/>
      </c>
      <c r="O851" s="2217" t="str">
        <f t="shared" si="366"/>
        <v/>
      </c>
      <c r="P851" s="2217" t="str">
        <f t="shared" si="366"/>
        <v/>
      </c>
    </row>
    <row r="852" spans="1:329">
      <c r="H852" s="1897" t="s">
        <v>6925</v>
      </c>
      <c r="I852" s="449"/>
      <c r="J852" s="1815"/>
      <c r="K852" s="2218" t="str">
        <f>IF(OR(K829=0,$P851="",K$67=0),"",$P851*K$67)</f>
        <v/>
      </c>
      <c r="L852" s="2218" t="str">
        <f>IF(OR(L829=0,$P851="",L$67=0),"",$P851*L$67)</f>
        <v/>
      </c>
      <c r="M852" s="2218" t="str">
        <f>IF(OR(M829=0,$P851="",M$67=0),"",$P851*M$67)</f>
        <v/>
      </c>
      <c r="N852" s="2218" t="str">
        <f>IF(OR(N829=0,$P851="",N$67=0),"",$P851*N$67)</f>
        <v/>
      </c>
      <c r="O852" s="2218" t="str">
        <f>IF(OR(O829=0,$P851="",O$67=0),"",$P851*O$67)</f>
        <v/>
      </c>
      <c r="P852" s="2218" t="str">
        <f t="shared" ref="P852" si="367">IF(OR($P851="",P$67=0),"",$P851*P$67)</f>
        <v/>
      </c>
    </row>
    <row r="853" spans="1:329">
      <c r="H853" s="1897" t="s">
        <v>6926</v>
      </c>
      <c r="I853" s="449"/>
      <c r="J853" s="1815"/>
      <c r="K853" s="2218" t="str">
        <f t="shared" ref="K853:P853" si="368">IF(OR(K852="",K829=0),"", K829-K852)</f>
        <v/>
      </c>
      <c r="L853" s="2218" t="str">
        <f t="shared" si="368"/>
        <v/>
      </c>
      <c r="M853" s="2218" t="str">
        <f t="shared" si="368"/>
        <v/>
      </c>
      <c r="N853" s="2218" t="str">
        <f t="shared" si="368"/>
        <v/>
      </c>
      <c r="O853" s="2218" t="str">
        <f t="shared" si="368"/>
        <v/>
      </c>
      <c r="P853" s="2218" t="str">
        <f t="shared" si="368"/>
        <v/>
      </c>
    </row>
    <row r="854" spans="1:329">
      <c r="C854" s="1995" t="s">
        <v>4777</v>
      </c>
      <c r="H854" s="1897" t="s">
        <v>4123</v>
      </c>
      <c r="I854" s="449"/>
      <c r="J854" s="1815"/>
      <c r="K854" s="2217" t="str">
        <f t="shared" ref="K854:P854" si="369">IF(OR(K830=0,K$67=0),"",K830/K$67)</f>
        <v/>
      </c>
      <c r="L854" s="2217" t="str">
        <f t="shared" si="369"/>
        <v/>
      </c>
      <c r="M854" s="2217" t="str">
        <f t="shared" si="369"/>
        <v/>
      </c>
      <c r="N854" s="2217" t="str">
        <f t="shared" si="369"/>
        <v/>
      </c>
      <c r="O854" s="2217" t="str">
        <f t="shared" si="369"/>
        <v/>
      </c>
      <c r="P854" s="2217" t="str">
        <f t="shared" si="369"/>
        <v/>
      </c>
    </row>
    <row r="855" spans="1:329">
      <c r="H855" s="1897" t="s">
        <v>6925</v>
      </c>
      <c r="I855" s="449"/>
      <c r="J855" s="1815"/>
      <c r="K855" s="2218" t="str">
        <f>IF(OR(K830=0,$P854="",K$67=0),"",$P854*K$67)</f>
        <v/>
      </c>
      <c r="L855" s="2218" t="str">
        <f>IF(OR(L830=0,$P854="",L$67=0),"",$P854*L$67)</f>
        <v/>
      </c>
      <c r="M855" s="2218" t="str">
        <f>IF(OR(M830=0,$P854="",M$67=0),"",$P854*M$67)</f>
        <v/>
      </c>
      <c r="N855" s="2218" t="str">
        <f>IF(OR(N830=0,$P854="",N$67=0),"",$P854*N$67)</f>
        <v/>
      </c>
      <c r="O855" s="2218" t="str">
        <f>IF(OR(O830=0,$P854="",O$67=0),"",$P854*O$67)</f>
        <v/>
      </c>
      <c r="P855" s="2218" t="str">
        <f t="shared" ref="P855" si="370">IF(OR($P854="",P$67=0),"",$P854*P$67)</f>
        <v/>
      </c>
    </row>
    <row r="856" spans="1:329">
      <c r="H856" s="1897" t="s">
        <v>6926</v>
      </c>
      <c r="I856" s="449"/>
      <c r="J856" s="1815"/>
      <c r="K856" s="2218" t="str">
        <f t="shared" ref="K856:P856" si="371">IF(OR(K855="",K830=0),"", K830-K855)</f>
        <v/>
      </c>
      <c r="L856" s="2218" t="str">
        <f t="shared" si="371"/>
        <v/>
      </c>
      <c r="M856" s="2218" t="str">
        <f t="shared" si="371"/>
        <v/>
      </c>
      <c r="N856" s="2218" t="str">
        <f t="shared" si="371"/>
        <v/>
      </c>
      <c r="O856" s="2218" t="str">
        <f t="shared" si="371"/>
        <v/>
      </c>
      <c r="P856" s="2218" t="str">
        <f t="shared" si="371"/>
        <v/>
      </c>
    </row>
    <row r="857" spans="1:329">
      <c r="C857" s="1995" t="s">
        <v>4777</v>
      </c>
      <c r="H857" s="1897" t="s">
        <v>4124</v>
      </c>
      <c r="I857" s="449"/>
      <c r="J857" s="1815"/>
      <c r="K857" s="2217" t="str">
        <f t="shared" ref="K857:P857" si="372">IF(OR(K831=0,K$67=0),"",K831/K$67)</f>
        <v/>
      </c>
      <c r="L857" s="2217" t="str">
        <f t="shared" si="372"/>
        <v/>
      </c>
      <c r="M857" s="2217" t="str">
        <f t="shared" si="372"/>
        <v/>
      </c>
      <c r="N857" s="2217" t="str">
        <f t="shared" si="372"/>
        <v/>
      </c>
      <c r="O857" s="2217" t="str">
        <f t="shared" si="372"/>
        <v/>
      </c>
      <c r="P857" s="2217" t="str">
        <f t="shared" si="372"/>
        <v/>
      </c>
    </row>
    <row r="858" spans="1:329">
      <c r="H858" s="1897" t="s">
        <v>6925</v>
      </c>
      <c r="I858" s="449"/>
      <c r="J858" s="1815"/>
      <c r="K858" s="2218" t="str">
        <f>IF(OR(K831=0,$P857="",K$67=0),"",$P857*K$67)</f>
        <v/>
      </c>
      <c r="L858" s="2218" t="str">
        <f>IF(OR(L831=0,$P857="",L$67=0),"",$P857*L$67)</f>
        <v/>
      </c>
      <c r="M858" s="2218" t="str">
        <f>IF(OR(M831=0,$P857="",M$67=0),"",$P857*M$67)</f>
        <v/>
      </c>
      <c r="N858" s="2218" t="str">
        <f>IF(OR(N831=0,$P857="",N$67=0),"",$P857*N$67)</f>
        <v/>
      </c>
      <c r="O858" s="2218" t="str">
        <f>IF(OR(O831=0,$P857="",O$67=0),"",$P857*O$67)</f>
        <v/>
      </c>
      <c r="P858" s="2218" t="str">
        <f t="shared" ref="P858" si="373">IF(OR($P857="",P$67=0),"",$P857*P$67)</f>
        <v/>
      </c>
    </row>
    <row r="859" spans="1:329">
      <c r="H859" s="1897" t="s">
        <v>6926</v>
      </c>
      <c r="I859" s="449"/>
      <c r="J859" s="1815"/>
      <c r="K859" s="2217" t="str">
        <f t="shared" ref="K859:P859" si="374">IF(OR(K858="",K831=0),"", K831-K858)</f>
        <v/>
      </c>
      <c r="L859" s="2217" t="str">
        <f t="shared" si="374"/>
        <v/>
      </c>
      <c r="M859" s="2217" t="str">
        <f t="shared" si="374"/>
        <v/>
      </c>
      <c r="N859" s="2217" t="str">
        <f t="shared" si="374"/>
        <v/>
      </c>
      <c r="O859" s="2217" t="str">
        <f t="shared" si="374"/>
        <v/>
      </c>
      <c r="P859" s="2217" t="str">
        <f t="shared" si="374"/>
        <v/>
      </c>
    </row>
    <row r="860" spans="1:329" ht="12" customHeight="1">
      <c r="A860" s="1772"/>
      <c r="B860" s="1772"/>
      <c r="C860" s="1815"/>
      <c r="D860" s="1815"/>
      <c r="E860" s="1815"/>
      <c r="F860" s="1815"/>
      <c r="H860" s="1897"/>
      <c r="I860" s="449"/>
      <c r="K860" s="1909"/>
      <c r="L860" s="1909"/>
      <c r="M860" s="1909"/>
      <c r="N860" s="1909"/>
      <c r="O860" s="1909"/>
      <c r="P860" s="1909"/>
      <c r="U860" s="2240"/>
      <c r="X860" s="1815"/>
      <c r="AA860" s="1815"/>
      <c r="AB860" s="449"/>
      <c r="AC860" s="1815"/>
      <c r="AF860" s="1815"/>
      <c r="AG860" s="449"/>
      <c r="AH860" s="1815"/>
      <c r="AK860" s="1815"/>
      <c r="AL860" s="449"/>
      <c r="AM860" s="1815"/>
      <c r="AP860" s="1815"/>
      <c r="AQ860" s="449"/>
      <c r="AR860" s="1815"/>
      <c r="AS860" s="1815"/>
      <c r="AT860" s="1815"/>
      <c r="AU860" s="1815"/>
      <c r="AV860" s="1815"/>
      <c r="AW860" s="1815"/>
      <c r="AY860" s="1815"/>
      <c r="BB860" s="1815"/>
      <c r="BD860" s="1815"/>
      <c r="JW860" s="1874"/>
      <c r="KB860" s="1874"/>
      <c r="KC860" s="1874"/>
      <c r="KD860" s="1874"/>
      <c r="KE860" s="1874"/>
      <c r="KF860" s="1874"/>
      <c r="KG860" s="1874"/>
      <c r="KH860" s="1874"/>
      <c r="KI860" s="1874"/>
      <c r="KJ860" s="1874"/>
      <c r="KK860" s="1874"/>
      <c r="KL860" s="1874"/>
      <c r="KM860" s="1874"/>
      <c r="KN860" s="1874"/>
      <c r="KO860" s="1874"/>
      <c r="KP860" s="1874"/>
      <c r="KQ860" s="1874"/>
      <c r="KR860" s="1874"/>
      <c r="KS860" s="1874"/>
      <c r="KT860" s="1874"/>
      <c r="KU860" s="1874"/>
      <c r="KV860" s="1874"/>
      <c r="KW860" s="1874"/>
      <c r="KX860" s="1874"/>
      <c r="KY860" s="1874"/>
      <c r="KZ860" s="1874"/>
      <c r="LA860" s="1874"/>
      <c r="LB860" s="1874"/>
      <c r="LC860" s="1874"/>
      <c r="LD860" s="1874"/>
      <c r="LE860" s="1874"/>
      <c r="LF860" s="1874"/>
      <c r="LG860" s="1874"/>
      <c r="LH860" s="1874"/>
      <c r="LI860" s="1874"/>
      <c r="LJ860" s="1874"/>
      <c r="LK860" s="1874"/>
      <c r="LL860" s="1874"/>
      <c r="LM860" s="1874"/>
      <c r="LN860" s="1874"/>
      <c r="LO860" s="1874"/>
      <c r="LP860" s="1874"/>
      <c r="LQ860" s="1874"/>
    </row>
    <row r="861" spans="1:329" ht="9" customHeight="1">
      <c r="A861" s="1772"/>
      <c r="B861" s="1772"/>
      <c r="C861" s="1815"/>
      <c r="D861" s="1815"/>
      <c r="E861" s="1815"/>
      <c r="F861" s="1815"/>
      <c r="H861" s="1897"/>
      <c r="I861" s="449"/>
      <c r="K861" s="1909"/>
      <c r="L861" s="1909"/>
      <c r="M861" s="1909"/>
      <c r="N861" s="1909"/>
      <c r="O861" s="1909"/>
      <c r="P861" s="1909"/>
      <c r="S861" s="1849" t="str">
        <f>C862</f>
        <v>PBRA-Assisted</v>
      </c>
      <c r="U861" s="2240"/>
      <c r="X861" s="1815"/>
      <c r="AA861" s="1815"/>
      <c r="AB861" s="449"/>
      <c r="AC861" s="1815"/>
      <c r="AF861" s="1815"/>
      <c r="AG861" s="449"/>
      <c r="AH861" s="1815"/>
      <c r="AK861" s="1815"/>
      <c r="AL861" s="449"/>
      <c r="AM861" s="1815"/>
      <c r="AP861" s="1815"/>
      <c r="AQ861" s="449"/>
      <c r="AR861" s="1815"/>
      <c r="AS861" s="1815"/>
      <c r="AT861" s="1815"/>
      <c r="AU861" s="1815"/>
      <c r="AV861" s="1815"/>
      <c r="AW861" s="1815"/>
      <c r="AY861" s="1815"/>
      <c r="BB861" s="1815"/>
      <c r="BD861" s="1815"/>
      <c r="JW861" s="1874"/>
      <c r="KB861" s="1874"/>
      <c r="KC861" s="1874"/>
      <c r="KD861" s="1874"/>
      <c r="KE861" s="1874"/>
      <c r="KF861" s="1874"/>
      <c r="KG861" s="1874"/>
      <c r="KH861" s="1874"/>
      <c r="KI861" s="1874"/>
      <c r="KJ861" s="1874"/>
      <c r="KK861" s="1874"/>
      <c r="KL861" s="1874"/>
      <c r="KM861" s="1874"/>
      <c r="KN861" s="1874"/>
      <c r="KO861" s="1874"/>
      <c r="KP861" s="1874"/>
      <c r="KQ861" s="1874"/>
      <c r="KR861" s="1874"/>
      <c r="KS861" s="1874"/>
      <c r="KT861" s="1874"/>
      <c r="KU861" s="1874"/>
      <c r="KV861" s="1874"/>
      <c r="KW861" s="1874"/>
      <c r="KX861" s="1874"/>
      <c r="KY861" s="1874"/>
      <c r="KZ861" s="1874"/>
      <c r="LA861" s="1874"/>
      <c r="LB861" s="1874"/>
      <c r="LC861" s="1874"/>
      <c r="LD861" s="1874"/>
      <c r="LE861" s="1874"/>
      <c r="LF861" s="1874"/>
      <c r="LG861" s="1874"/>
      <c r="LH861" s="1874"/>
      <c r="LI861" s="1874"/>
      <c r="LJ861" s="1874"/>
      <c r="LK861" s="1874"/>
      <c r="LL861" s="1874"/>
      <c r="LM861" s="1874"/>
      <c r="LN861" s="1874"/>
      <c r="LO861" s="1874"/>
      <c r="LP861" s="1874"/>
      <c r="LQ861" s="1874"/>
    </row>
    <row r="862" spans="1:329" ht="15" customHeight="1">
      <c r="A862" s="1772"/>
      <c r="B862" s="1772"/>
      <c r="C862" s="1815" t="s">
        <v>912</v>
      </c>
      <c r="D862" s="1815"/>
      <c r="E862" s="1897"/>
      <c r="F862" s="1815"/>
      <c r="H862" s="1897" t="s">
        <v>4120</v>
      </c>
      <c r="I862" s="449"/>
      <c r="K862" s="2111">
        <f>CP817</f>
        <v>0</v>
      </c>
      <c r="L862" s="2111">
        <f>CQ817</f>
        <v>5</v>
      </c>
      <c r="M862" s="2111">
        <f>CR817</f>
        <v>9</v>
      </c>
      <c r="N862" s="2111">
        <f>CS817</f>
        <v>0</v>
      </c>
      <c r="O862" s="2111">
        <f>CT817</f>
        <v>0</v>
      </c>
      <c r="P862" s="1906">
        <f t="shared" ref="P862:P869" si="375">SUM(K862:O862)</f>
        <v>14</v>
      </c>
      <c r="S862" s="1910"/>
      <c r="T862" s="1910"/>
      <c r="U862" s="1910"/>
      <c r="V862" s="1910"/>
      <c r="W862" s="1910"/>
      <c r="X862" s="1815"/>
      <c r="AA862" s="1815"/>
      <c r="AB862" s="449"/>
      <c r="AC862" s="1815"/>
      <c r="AF862" s="1815"/>
      <c r="AG862" s="449"/>
      <c r="AH862" s="1815"/>
      <c r="AK862" s="1815"/>
      <c r="AL862" s="449"/>
      <c r="AM862" s="1815"/>
      <c r="AP862" s="1815"/>
      <c r="AQ862" s="449"/>
      <c r="AR862" s="450"/>
      <c r="AS862" s="450"/>
      <c r="AT862" s="450"/>
      <c r="AU862" s="450"/>
      <c r="AV862" s="450"/>
      <c r="AW862" s="450"/>
      <c r="AX862" s="449"/>
      <c r="AY862" s="1815"/>
      <c r="BB862" s="450"/>
      <c r="BC862" s="449"/>
      <c r="BD862" s="1815"/>
      <c r="JW862" s="1874"/>
      <c r="KB862" s="1874"/>
      <c r="KC862" s="1874"/>
      <c r="KD862" s="1874"/>
      <c r="KE862" s="1874"/>
      <c r="KF862" s="1874"/>
      <c r="KG862" s="1874"/>
      <c r="KH862" s="1874"/>
      <c r="KI862" s="1874"/>
      <c r="KJ862" s="1874"/>
      <c r="KK862" s="1874"/>
      <c r="KL862" s="1874"/>
      <c r="KM862" s="1874"/>
      <c r="KN862" s="1874"/>
      <c r="KO862" s="1874"/>
      <c r="KP862" s="1874"/>
      <c r="KQ862" s="1874"/>
      <c r="KR862" s="1874"/>
      <c r="KS862" s="1874"/>
      <c r="KT862" s="1874"/>
      <c r="KU862" s="1874"/>
      <c r="KV862" s="1874"/>
      <c r="KW862" s="1874"/>
      <c r="KX862" s="1874"/>
      <c r="KY862" s="1874"/>
      <c r="KZ862" s="1874"/>
      <c r="LA862" s="1874"/>
      <c r="LB862" s="1874"/>
      <c r="LC862" s="1874"/>
      <c r="LD862" s="1874"/>
      <c r="LE862" s="1874"/>
      <c r="LF862" s="1874"/>
      <c r="LG862" s="1874"/>
      <c r="LH862" s="1874"/>
      <c r="LI862" s="1874"/>
      <c r="LJ862" s="1874"/>
      <c r="LK862" s="1874"/>
      <c r="LL862" s="1874"/>
      <c r="LM862" s="1874"/>
      <c r="LN862" s="1874"/>
      <c r="LO862" s="1874"/>
      <c r="LP862" s="1874"/>
      <c r="LQ862" s="1874"/>
    </row>
    <row r="863" spans="1:329" ht="15" customHeight="1">
      <c r="A863" s="1772"/>
      <c r="B863" s="1772"/>
      <c r="C863" s="449" t="s">
        <v>2446</v>
      </c>
      <c r="D863" s="1815"/>
      <c r="E863" s="1897"/>
      <c r="F863" s="1815"/>
      <c r="H863" s="1897" t="s">
        <v>4121</v>
      </c>
      <c r="I863" s="449"/>
      <c r="K863" s="1906">
        <f>CK817</f>
        <v>0</v>
      </c>
      <c r="L863" s="1906">
        <f>CL817</f>
        <v>0</v>
      </c>
      <c r="M863" s="1906">
        <f>CM817</f>
        <v>0</v>
      </c>
      <c r="N863" s="1906">
        <f>CN817</f>
        <v>0</v>
      </c>
      <c r="O863" s="1906">
        <f>CO817</f>
        <v>0</v>
      </c>
      <c r="P863" s="1906">
        <f t="shared" si="375"/>
        <v>0</v>
      </c>
      <c r="S863" s="1910"/>
      <c r="T863" s="1910"/>
      <c r="U863" s="1910"/>
      <c r="V863" s="1910"/>
      <c r="W863" s="1910"/>
      <c r="X863" s="1815"/>
      <c r="AA863" s="1815"/>
      <c r="AB863" s="449"/>
      <c r="AC863" s="1815"/>
      <c r="AF863" s="1815"/>
      <c r="AG863" s="449"/>
      <c r="AH863" s="1815"/>
      <c r="AK863" s="1815"/>
      <c r="AL863" s="449"/>
      <c r="AM863" s="1815"/>
      <c r="AP863" s="1815"/>
      <c r="AQ863" s="449"/>
      <c r="AR863" s="450"/>
      <c r="AS863" s="450"/>
      <c r="AT863" s="450"/>
      <c r="AU863" s="450"/>
      <c r="AV863" s="450"/>
      <c r="AW863" s="450"/>
      <c r="AX863" s="449"/>
      <c r="AY863" s="1815"/>
      <c r="BB863" s="450"/>
      <c r="BC863" s="449"/>
      <c r="BD863" s="1815"/>
      <c r="JW863" s="1874"/>
      <c r="KB863" s="1874"/>
      <c r="KC863" s="1874"/>
      <c r="KD863" s="1874"/>
      <c r="KE863" s="1874"/>
      <c r="KF863" s="1874"/>
      <c r="KG863" s="1874"/>
      <c r="KH863" s="1874"/>
      <c r="KI863" s="1874"/>
      <c r="KJ863" s="1874"/>
      <c r="KK863" s="1874"/>
      <c r="KL863" s="1874"/>
      <c r="KM863" s="1874"/>
      <c r="KN863" s="1874"/>
      <c r="KO863" s="1874"/>
      <c r="KP863" s="1874"/>
      <c r="KQ863" s="1874"/>
      <c r="KR863" s="1874"/>
      <c r="KS863" s="1874"/>
      <c r="KT863" s="1874"/>
      <c r="KU863" s="1874"/>
      <c r="KV863" s="1874"/>
      <c r="KW863" s="1874"/>
      <c r="KX863" s="1874"/>
      <c r="KY863" s="1874"/>
      <c r="KZ863" s="1874"/>
      <c r="LA863" s="1874"/>
      <c r="LB863" s="1874"/>
      <c r="LC863" s="1874"/>
      <c r="LD863" s="1874"/>
      <c r="LE863" s="1874"/>
      <c r="LF863" s="1874"/>
      <c r="LG863" s="1874"/>
      <c r="LH863" s="1874"/>
      <c r="LI863" s="1874"/>
      <c r="LJ863" s="1874"/>
      <c r="LK863" s="1874"/>
      <c r="LL863" s="1874"/>
      <c r="LM863" s="1874"/>
      <c r="LN863" s="1874"/>
      <c r="LO863" s="1874"/>
      <c r="LP863" s="1874"/>
      <c r="LQ863" s="1874"/>
    </row>
    <row r="864" spans="1:329" ht="15" customHeight="1">
      <c r="A864" s="1772"/>
      <c r="B864" s="1772"/>
      <c r="C864" s="1815"/>
      <c r="D864" s="1815"/>
      <c r="E864" s="1897"/>
      <c r="F864" s="1815"/>
      <c r="H864" s="1897" t="s">
        <v>1127</v>
      </c>
      <c r="I864" s="449"/>
      <c r="K864" s="1906">
        <f>CF817</f>
        <v>0</v>
      </c>
      <c r="L864" s="1906">
        <f>CG817</f>
        <v>0</v>
      </c>
      <c r="M864" s="1906">
        <f>CH817</f>
        <v>0</v>
      </c>
      <c r="N864" s="1906">
        <f>CI817</f>
        <v>0</v>
      </c>
      <c r="O864" s="1906">
        <f>CJ817</f>
        <v>0</v>
      </c>
      <c r="P864" s="1906">
        <f t="shared" si="375"/>
        <v>0</v>
      </c>
      <c r="S864" s="1910"/>
      <c r="T864" s="1910"/>
      <c r="U864" s="1910"/>
      <c r="V864" s="1910"/>
      <c r="W864" s="1910"/>
      <c r="X864" s="1815"/>
      <c r="AA864" s="1815"/>
      <c r="AB864" s="449"/>
      <c r="AC864" s="1815"/>
      <c r="AF864" s="1815"/>
      <c r="AG864" s="449"/>
      <c r="AH864" s="1815"/>
      <c r="AK864" s="1815"/>
      <c r="AL864" s="449"/>
      <c r="AM864" s="1815"/>
      <c r="AP864" s="1815"/>
      <c r="AQ864" s="449"/>
      <c r="AR864" s="450"/>
      <c r="AS864" s="450"/>
      <c r="AT864" s="450"/>
      <c r="AU864" s="450"/>
      <c r="AV864" s="450"/>
      <c r="AW864" s="450"/>
      <c r="AX864" s="449"/>
      <c r="AY864" s="1815"/>
      <c r="BB864" s="450"/>
      <c r="BC864" s="449"/>
      <c r="BD864" s="1815"/>
      <c r="JW864" s="1874"/>
      <c r="KB864" s="1874"/>
      <c r="KC864" s="1874"/>
      <c r="KD864" s="1874"/>
      <c r="KE864" s="1874"/>
      <c r="KF864" s="1874"/>
      <c r="KG864" s="1874"/>
      <c r="KH864" s="1874"/>
      <c r="KI864" s="1874"/>
      <c r="KJ864" s="1874"/>
      <c r="KK864" s="1874"/>
      <c r="KL864" s="1874"/>
      <c r="KM864" s="1874"/>
      <c r="KN864" s="1874"/>
      <c r="KO864" s="1874"/>
      <c r="KP864" s="1874"/>
      <c r="KQ864" s="1874"/>
      <c r="KR864" s="1874"/>
      <c r="KS864" s="1874"/>
      <c r="KT864" s="1874"/>
      <c r="KU864" s="1874"/>
      <c r="KV864" s="1874"/>
      <c r="KW864" s="1874"/>
      <c r="KX864" s="1874"/>
      <c r="KY864" s="1874"/>
      <c r="KZ864" s="1874"/>
      <c r="LA864" s="1874"/>
      <c r="LB864" s="1874"/>
      <c r="LC864" s="1874"/>
      <c r="LD864" s="1874"/>
      <c r="LE864" s="1874"/>
      <c r="LF864" s="1874"/>
      <c r="LG864" s="1874"/>
      <c r="LH864" s="1874"/>
      <c r="LI864" s="1874"/>
      <c r="LJ864" s="1874"/>
      <c r="LK864" s="1874"/>
      <c r="LL864" s="1874"/>
      <c r="LM864" s="1874"/>
      <c r="LN864" s="1874"/>
      <c r="LO864" s="1874"/>
      <c r="LP864" s="1874"/>
      <c r="LQ864" s="1874"/>
    </row>
    <row r="865" spans="1:329" ht="15" customHeight="1">
      <c r="A865" s="1772"/>
      <c r="B865" s="1772"/>
      <c r="C865" s="1815"/>
      <c r="D865" s="1815"/>
      <c r="E865" s="1897"/>
      <c r="F865" s="1815"/>
      <c r="H865" s="1897" t="s">
        <v>115</v>
      </c>
      <c r="I865" s="449"/>
      <c r="K865" s="1906">
        <f>CA817</f>
        <v>0</v>
      </c>
      <c r="L865" s="1906">
        <f>CB817</f>
        <v>0</v>
      </c>
      <c r="M865" s="1906">
        <f>CC817</f>
        <v>0</v>
      </c>
      <c r="N865" s="1906">
        <f>CD817</f>
        <v>0</v>
      </c>
      <c r="O865" s="1906">
        <f>CE817</f>
        <v>0</v>
      </c>
      <c r="P865" s="1906">
        <f t="shared" si="375"/>
        <v>0</v>
      </c>
      <c r="S865" s="1910"/>
      <c r="T865" s="1910"/>
      <c r="U865" s="1910"/>
      <c r="V865" s="1910"/>
      <c r="W865" s="1910"/>
      <c r="X865" s="1815"/>
      <c r="AA865" s="1815"/>
      <c r="AB865" s="449"/>
      <c r="AC865" s="1815"/>
      <c r="AF865" s="1815"/>
      <c r="AG865" s="449"/>
      <c r="AH865" s="1815"/>
      <c r="AK865" s="1815"/>
      <c r="AL865" s="449"/>
      <c r="AM865" s="1815"/>
      <c r="AP865" s="1815"/>
      <c r="AQ865" s="449"/>
      <c r="AR865" s="450"/>
      <c r="AS865" s="450"/>
      <c r="AT865" s="450"/>
      <c r="AU865" s="450"/>
      <c r="AV865" s="450"/>
      <c r="AW865" s="450"/>
      <c r="AX865" s="449"/>
      <c r="AY865" s="1815"/>
      <c r="BB865" s="450"/>
      <c r="BC865" s="449"/>
      <c r="BD865" s="1815"/>
      <c r="JW865" s="1874"/>
      <c r="KB865" s="1874"/>
      <c r="KC865" s="1874"/>
      <c r="KD865" s="1874"/>
      <c r="KE865" s="1874"/>
      <c r="KF865" s="1874"/>
      <c r="KG865" s="1874"/>
      <c r="KH865" s="1874"/>
      <c r="KI865" s="1874"/>
      <c r="KJ865" s="1874"/>
      <c r="KK865" s="1874"/>
      <c r="KL865" s="1874"/>
      <c r="KM865" s="1874"/>
      <c r="KN865" s="1874"/>
      <c r="KO865" s="1874"/>
      <c r="KP865" s="1874"/>
      <c r="KQ865" s="1874"/>
      <c r="KR865" s="1874"/>
      <c r="KS865" s="1874"/>
      <c r="KT865" s="1874"/>
      <c r="KU865" s="1874"/>
      <c r="KV865" s="1874"/>
      <c r="KW865" s="1874"/>
      <c r="KX865" s="1874"/>
      <c r="KY865" s="1874"/>
      <c r="KZ865" s="1874"/>
      <c r="LA865" s="1874"/>
      <c r="LB865" s="1874"/>
      <c r="LC865" s="1874"/>
      <c r="LD865" s="1874"/>
      <c r="LE865" s="1874"/>
      <c r="LF865" s="1874"/>
      <c r="LG865" s="1874"/>
      <c r="LH865" s="1874"/>
      <c r="LI865" s="1874"/>
      <c r="LJ865" s="1874"/>
      <c r="LK865" s="1874"/>
      <c r="LL865" s="1874"/>
      <c r="LM865" s="1874"/>
      <c r="LN865" s="1874"/>
      <c r="LO865" s="1874"/>
      <c r="LP865" s="1874"/>
      <c r="LQ865" s="1874"/>
    </row>
    <row r="866" spans="1:329" ht="15" customHeight="1">
      <c r="A866" s="1772"/>
      <c r="B866" s="1772"/>
      <c r="C866" s="1815"/>
      <c r="D866" s="1815"/>
      <c r="E866" s="1897"/>
      <c r="F866" s="1815"/>
      <c r="H866" s="1897" t="s">
        <v>4122</v>
      </c>
      <c r="I866" s="449"/>
      <c r="K866" s="1906">
        <f>BV817</f>
        <v>0</v>
      </c>
      <c r="L866" s="1906">
        <f>BW817</f>
        <v>6</v>
      </c>
      <c r="M866" s="1906">
        <f>BX817</f>
        <v>18</v>
      </c>
      <c r="N866" s="1906">
        <f>BY817</f>
        <v>0</v>
      </c>
      <c r="O866" s="1906">
        <f>BZ817</f>
        <v>0</v>
      </c>
      <c r="P866" s="1906">
        <f t="shared" si="375"/>
        <v>24</v>
      </c>
      <c r="S866" s="1910"/>
      <c r="T866" s="1910"/>
      <c r="U866" s="1910"/>
      <c r="V866" s="1910"/>
      <c r="W866" s="1910"/>
      <c r="X866" s="1815"/>
      <c r="AA866" s="1815"/>
      <c r="AB866" s="449"/>
      <c r="AC866" s="1815"/>
      <c r="AF866" s="1815"/>
      <c r="AG866" s="449"/>
      <c r="AH866" s="1815"/>
      <c r="AK866" s="1815"/>
      <c r="AL866" s="449"/>
      <c r="AM866" s="1815"/>
      <c r="AP866" s="1815"/>
      <c r="AQ866" s="449"/>
      <c r="AR866" s="450"/>
      <c r="AS866" s="450"/>
      <c r="AT866" s="450"/>
      <c r="AU866" s="450"/>
      <c r="AV866" s="450"/>
      <c r="AW866" s="450"/>
      <c r="AX866" s="449"/>
      <c r="AY866" s="1815"/>
      <c r="BB866" s="450"/>
      <c r="BC866" s="449"/>
      <c r="BD866" s="1815"/>
      <c r="JW866" s="1874"/>
      <c r="KB866" s="1874"/>
      <c r="KC866" s="1874"/>
      <c r="KD866" s="1874"/>
      <c r="KE866" s="1874"/>
      <c r="KF866" s="1874"/>
      <c r="KG866" s="1874"/>
      <c r="KH866" s="1874"/>
      <c r="KI866" s="1874"/>
      <c r="KJ866" s="1874"/>
      <c r="KK866" s="1874"/>
      <c r="KL866" s="1874"/>
      <c r="KM866" s="1874"/>
      <c r="KN866" s="1874"/>
      <c r="KO866" s="1874"/>
      <c r="KP866" s="1874"/>
      <c r="KQ866" s="1874"/>
      <c r="KR866" s="1874"/>
      <c r="KS866" s="1874"/>
      <c r="KT866" s="1874"/>
      <c r="KU866" s="1874"/>
      <c r="KV866" s="1874"/>
      <c r="KW866" s="1874"/>
      <c r="KX866" s="1874"/>
      <c r="KY866" s="1874"/>
      <c r="KZ866" s="1874"/>
      <c r="LA866" s="1874"/>
      <c r="LB866" s="1874"/>
      <c r="LC866" s="1874"/>
      <c r="LD866" s="1874"/>
      <c r="LE866" s="1874"/>
      <c r="LF866" s="1874"/>
      <c r="LG866" s="1874"/>
      <c r="LH866" s="1874"/>
      <c r="LI866" s="1874"/>
      <c r="LJ866" s="1874"/>
      <c r="LK866" s="1874"/>
      <c r="LL866" s="1874"/>
      <c r="LM866" s="1874"/>
      <c r="LN866" s="1874"/>
      <c r="LO866" s="1874"/>
      <c r="LP866" s="1874"/>
      <c r="LQ866" s="1874"/>
    </row>
    <row r="867" spans="1:329" ht="15" customHeight="1">
      <c r="A867" s="1897"/>
      <c r="B867" s="1897"/>
      <c r="C867" s="1815"/>
      <c r="D867" s="1815"/>
      <c r="E867" s="1897"/>
      <c r="F867" s="1815"/>
      <c r="H867" s="1897" t="s">
        <v>4123</v>
      </c>
      <c r="I867" s="449"/>
      <c r="K867" s="1906">
        <f>BQ817</f>
        <v>0</v>
      </c>
      <c r="L867" s="1906">
        <f>BR817</f>
        <v>0</v>
      </c>
      <c r="M867" s="1906">
        <f>BS817</f>
        <v>0</v>
      </c>
      <c r="N867" s="1906">
        <f>BT817</f>
        <v>0</v>
      </c>
      <c r="O867" s="1906">
        <f>BU817</f>
        <v>0</v>
      </c>
      <c r="P867" s="1906">
        <f t="shared" si="375"/>
        <v>0</v>
      </c>
      <c r="S867" s="1910"/>
      <c r="T867" s="1910"/>
      <c r="U867" s="1910"/>
      <c r="V867" s="1910"/>
      <c r="W867" s="1910"/>
      <c r="X867" s="1815"/>
      <c r="AA867" s="1815"/>
      <c r="AB867" s="449"/>
      <c r="AC867" s="1815"/>
      <c r="AF867" s="1815"/>
      <c r="AG867" s="449"/>
      <c r="AH867" s="1815"/>
      <c r="AK867" s="1815"/>
      <c r="AL867" s="449"/>
      <c r="AM867" s="1815"/>
      <c r="AP867" s="1815"/>
      <c r="AQ867" s="449"/>
      <c r="AR867" s="450"/>
      <c r="AS867" s="450"/>
      <c r="AT867" s="450"/>
      <c r="AU867" s="450"/>
      <c r="AV867" s="450"/>
      <c r="AW867" s="450"/>
      <c r="AX867" s="449"/>
      <c r="AY867" s="1815"/>
      <c r="BB867" s="450"/>
      <c r="BC867" s="449"/>
      <c r="BD867" s="1815"/>
      <c r="JW867" s="1874"/>
      <c r="KB867" s="1874"/>
      <c r="KC867" s="1874"/>
      <c r="KD867" s="1874"/>
      <c r="KE867" s="1874"/>
      <c r="KF867" s="1874"/>
      <c r="KG867" s="1874"/>
      <c r="KH867" s="1874"/>
      <c r="KI867" s="1874"/>
      <c r="KJ867" s="1874"/>
      <c r="KK867" s="1874"/>
      <c r="KL867" s="1874"/>
      <c r="KM867" s="1874"/>
      <c r="KN867" s="1874"/>
      <c r="KO867" s="1874"/>
      <c r="KP867" s="1874"/>
      <c r="KQ867" s="1874"/>
      <c r="KR867" s="1874"/>
      <c r="KS867" s="1874"/>
      <c r="KT867" s="1874"/>
      <c r="KU867" s="1874"/>
      <c r="KV867" s="1874"/>
      <c r="KW867" s="1874"/>
      <c r="KX867" s="1874"/>
      <c r="KY867" s="1874"/>
      <c r="KZ867" s="1874"/>
      <c r="LA867" s="1874"/>
      <c r="LB867" s="1874"/>
      <c r="LC867" s="1874"/>
      <c r="LD867" s="1874"/>
      <c r="LE867" s="1874"/>
      <c r="LF867" s="1874"/>
      <c r="LG867" s="1874"/>
      <c r="LH867" s="1874"/>
      <c r="LI867" s="1874"/>
      <c r="LJ867" s="1874"/>
      <c r="LK867" s="1874"/>
      <c r="LL867" s="1874"/>
      <c r="LM867" s="1874"/>
      <c r="LN867" s="1874"/>
      <c r="LO867" s="1874"/>
      <c r="LP867" s="1874"/>
      <c r="LQ867" s="1874"/>
    </row>
    <row r="868" spans="1:329" ht="15" customHeight="1">
      <c r="A868" s="1897"/>
      <c r="B868" s="1897"/>
      <c r="D868" s="1815"/>
      <c r="E868" s="1897"/>
      <c r="F868" s="1815"/>
      <c r="H868" s="1897" t="s">
        <v>4124</v>
      </c>
      <c r="I868" s="449"/>
      <c r="K868" s="2111">
        <f>BL817</f>
        <v>0</v>
      </c>
      <c r="L868" s="2111">
        <f>BM817</f>
        <v>0</v>
      </c>
      <c r="M868" s="2111">
        <f>BN817</f>
        <v>0</v>
      </c>
      <c r="N868" s="2111">
        <f>BO817</f>
        <v>0</v>
      </c>
      <c r="O868" s="2111">
        <f>BP817</f>
        <v>0</v>
      </c>
      <c r="P868" s="1906">
        <f t="shared" si="375"/>
        <v>0</v>
      </c>
      <c r="S868" s="1910"/>
      <c r="T868" s="1910"/>
      <c r="U868" s="1910"/>
      <c r="V868" s="1910"/>
      <c r="W868" s="1910"/>
      <c r="X868" s="449"/>
      <c r="AA868" s="1815"/>
      <c r="AB868" s="449"/>
      <c r="AC868" s="449"/>
      <c r="AF868" s="1815"/>
      <c r="AG868" s="449"/>
      <c r="AH868" s="449"/>
      <c r="AK868" s="1815"/>
      <c r="AL868" s="449"/>
      <c r="AM868" s="449"/>
      <c r="AP868" s="1815"/>
      <c r="AQ868" s="449"/>
      <c r="AR868" s="450"/>
      <c r="AS868" s="450"/>
      <c r="AT868" s="450"/>
      <c r="AU868" s="450"/>
      <c r="AV868" s="450"/>
      <c r="AW868" s="450"/>
      <c r="AX868" s="449"/>
      <c r="AY868" s="1815"/>
      <c r="BB868" s="450"/>
      <c r="BC868" s="449"/>
      <c r="BD868" s="1815"/>
      <c r="JW868" s="1874"/>
      <c r="KB868" s="1874"/>
      <c r="KC868" s="1874"/>
      <c r="KD868" s="1874"/>
      <c r="KE868" s="1874"/>
      <c r="KF868" s="1874"/>
      <c r="KG868" s="1874"/>
      <c r="KH868" s="1874"/>
      <c r="KI868" s="1874"/>
      <c r="KJ868" s="1874"/>
      <c r="KK868" s="1874"/>
      <c r="KL868" s="1874"/>
      <c r="KM868" s="1874"/>
      <c r="KN868" s="1874"/>
      <c r="KO868" s="1874"/>
      <c r="KP868" s="1874"/>
      <c r="KQ868" s="1874"/>
      <c r="KR868" s="1874"/>
      <c r="KS868" s="1874"/>
      <c r="KT868" s="1874"/>
      <c r="KU868" s="1874"/>
      <c r="KV868" s="1874"/>
      <c r="KW868" s="1874"/>
      <c r="KX868" s="1874"/>
      <c r="KY868" s="1874"/>
      <c r="KZ868" s="1874"/>
      <c r="LA868" s="1874"/>
      <c r="LB868" s="1874"/>
      <c r="LC868" s="1874"/>
      <c r="LD868" s="1874"/>
      <c r="LE868" s="1874"/>
      <c r="LF868" s="1874"/>
      <c r="LG868" s="1874"/>
      <c r="LH868" s="1874"/>
      <c r="LI868" s="1874"/>
      <c r="LJ868" s="1874"/>
      <c r="LK868" s="1874"/>
      <c r="LL868" s="1874"/>
      <c r="LM868" s="1874"/>
      <c r="LN868" s="1874"/>
      <c r="LO868" s="1874"/>
      <c r="LP868" s="1874"/>
      <c r="LQ868" s="1874"/>
    </row>
    <row r="869" spans="1:329" ht="15" customHeight="1">
      <c r="A869" s="1897"/>
      <c r="B869" s="1897"/>
      <c r="C869" s="1815"/>
      <c r="D869" s="1815"/>
      <c r="E869" s="1897"/>
      <c r="F869" s="1815"/>
      <c r="H869" s="1897" t="s">
        <v>524</v>
      </c>
      <c r="I869" s="449"/>
      <c r="K869" s="1906">
        <f>SUM(K862:K868)</f>
        <v>0</v>
      </c>
      <c r="L869" s="1906">
        <f>SUM(L862:L868)</f>
        <v>11</v>
      </c>
      <c r="M869" s="1906">
        <f>SUM(M862:M868)</f>
        <v>27</v>
      </c>
      <c r="N869" s="1906">
        <f>SUM(N862:N868)</f>
        <v>0</v>
      </c>
      <c r="O869" s="1906">
        <f>SUM(O862:O868)</f>
        <v>0</v>
      </c>
      <c r="P869" s="1906">
        <f t="shared" si="375"/>
        <v>38</v>
      </c>
      <c r="S869" s="1910"/>
      <c r="T869" s="1910"/>
      <c r="U869" s="1910"/>
      <c r="V869" s="1910"/>
      <c r="W869" s="1910"/>
      <c r="X869" s="1815"/>
      <c r="AA869" s="1815"/>
      <c r="AB869" s="449"/>
      <c r="AC869" s="1815"/>
      <c r="AF869" s="1815"/>
      <c r="AG869" s="449"/>
      <c r="AH869" s="1815"/>
      <c r="AK869" s="1815"/>
      <c r="AL869" s="449"/>
      <c r="AM869" s="1815"/>
      <c r="AP869" s="1815"/>
      <c r="AQ869" s="449"/>
      <c r="AR869" s="450"/>
      <c r="AS869" s="450"/>
      <c r="AT869" s="450"/>
      <c r="AU869" s="450"/>
      <c r="AV869" s="450"/>
      <c r="AW869" s="450"/>
      <c r="AX869" s="449"/>
      <c r="AY869" s="1815"/>
      <c r="BB869" s="450"/>
      <c r="BC869" s="449"/>
      <c r="BD869" s="1815"/>
      <c r="JW869" s="1874"/>
      <c r="KB869" s="1874"/>
      <c r="KC869" s="1874"/>
      <c r="KD869" s="1874"/>
      <c r="KE869" s="1874"/>
      <c r="KF869" s="1874"/>
      <c r="KG869" s="1874"/>
      <c r="KH869" s="1874"/>
      <c r="KI869" s="1874"/>
      <c r="KJ869" s="1874"/>
      <c r="KK869" s="1874"/>
      <c r="KL869" s="1874"/>
      <c r="KM869" s="1874"/>
      <c r="KN869" s="1874"/>
      <c r="KO869" s="1874"/>
      <c r="KP869" s="1874"/>
      <c r="KQ869" s="1874"/>
      <c r="KR869" s="1874"/>
      <c r="KS869" s="1874"/>
      <c r="KT869" s="1874"/>
      <c r="KU869" s="1874"/>
      <c r="KV869" s="1874"/>
      <c r="KW869" s="1874"/>
      <c r="KX869" s="1874"/>
      <c r="KY869" s="1874"/>
      <c r="KZ869" s="1874"/>
      <c r="LA869" s="1874"/>
      <c r="LB869" s="1874"/>
      <c r="LC869" s="1874"/>
      <c r="LD869" s="1874"/>
      <c r="LE869" s="1874"/>
      <c r="LF869" s="1874"/>
      <c r="LG869" s="1874"/>
      <c r="LH869" s="1874"/>
      <c r="LI869" s="1874"/>
      <c r="LJ869" s="1874"/>
      <c r="LK869" s="1874"/>
      <c r="LL869" s="1874"/>
      <c r="LM869" s="1874"/>
      <c r="LN869" s="1874"/>
      <c r="LO869" s="1874"/>
      <c r="LP869" s="1874"/>
      <c r="LQ869" s="1874"/>
    </row>
    <row r="870" spans="1:329" ht="9" customHeight="1">
      <c r="A870" s="1897"/>
      <c r="B870" s="1897"/>
      <c r="C870" s="1815"/>
      <c r="D870" s="1815"/>
      <c r="E870" s="1815"/>
      <c r="F870" s="1815"/>
      <c r="H870" s="1897"/>
      <c r="I870" s="449"/>
      <c r="K870" s="1909"/>
      <c r="L870" s="1909"/>
      <c r="M870" s="1909"/>
      <c r="N870" s="1909"/>
      <c r="O870" s="1909"/>
      <c r="P870" s="1909"/>
      <c r="U870" s="2240"/>
      <c r="X870" s="1815"/>
      <c r="AA870" s="1815"/>
      <c r="AB870" s="449"/>
      <c r="AC870" s="1815"/>
      <c r="AF870" s="1815"/>
      <c r="AG870" s="449"/>
      <c r="AH870" s="1815"/>
      <c r="AK870" s="1815"/>
      <c r="AL870" s="449"/>
      <c r="AM870" s="1815"/>
      <c r="AP870" s="1815"/>
      <c r="AQ870" s="449"/>
      <c r="AR870" s="1815"/>
      <c r="AS870" s="1815"/>
      <c r="AT870" s="1815"/>
      <c r="AU870" s="1815"/>
      <c r="AV870" s="1815"/>
      <c r="AW870" s="1815"/>
      <c r="AY870" s="1815"/>
      <c r="BB870" s="1815"/>
      <c r="BD870" s="1815"/>
      <c r="JW870" s="1874"/>
      <c r="KB870" s="1874"/>
      <c r="KC870" s="1874"/>
      <c r="KD870" s="1874"/>
      <c r="KE870" s="1874"/>
      <c r="KF870" s="1874"/>
      <c r="KG870" s="1874"/>
      <c r="KH870" s="1874"/>
      <c r="KI870" s="1874"/>
      <c r="KJ870" s="1874"/>
      <c r="KK870" s="1874"/>
      <c r="KL870" s="1874"/>
      <c r="KM870" s="1874"/>
      <c r="KN870" s="1874"/>
      <c r="KO870" s="1874"/>
      <c r="KP870" s="1874"/>
      <c r="KQ870" s="1874"/>
      <c r="KR870" s="1874"/>
      <c r="KS870" s="1874"/>
      <c r="KT870" s="1874"/>
      <c r="KU870" s="1874"/>
      <c r="KV870" s="1874"/>
      <c r="KW870" s="1874"/>
      <c r="KX870" s="1874"/>
      <c r="KY870" s="1874"/>
      <c r="KZ870" s="1874"/>
      <c r="LA870" s="1874"/>
      <c r="LB870" s="1874"/>
      <c r="LC870" s="1874"/>
      <c r="LD870" s="1874"/>
      <c r="LE870" s="1874"/>
      <c r="LF870" s="1874"/>
      <c r="LG870" s="1874"/>
      <c r="LH870" s="1874"/>
      <c r="LI870" s="1874"/>
      <c r="LJ870" s="1874"/>
      <c r="LK870" s="1874"/>
      <c r="LL870" s="1874"/>
      <c r="LM870" s="1874"/>
      <c r="LN870" s="1874"/>
      <c r="LO870" s="1874"/>
      <c r="LP870" s="1874"/>
      <c r="LQ870" s="1874"/>
    </row>
    <row r="871" spans="1:329" ht="14.4" customHeight="1">
      <c r="A871" s="1995" t="s">
        <v>722</v>
      </c>
      <c r="B871" s="1995" t="s">
        <v>6972</v>
      </c>
      <c r="H871" s="1918"/>
      <c r="L871" s="1914">
        <f>$L$53</f>
        <v>0</v>
      </c>
      <c r="M871" s="1914"/>
      <c r="N871" s="1914"/>
      <c r="O871" s="1914"/>
      <c r="S871" s="1815" t="str">
        <f>B871</f>
        <v>UNIT SUMMARY (Continued)</v>
      </c>
      <c r="T871" s="1815"/>
      <c r="U871" s="1815"/>
      <c r="V871" s="1815"/>
      <c r="AY871" s="1815"/>
      <c r="BD871" s="1815"/>
      <c r="JW871" s="1874"/>
      <c r="KB871" s="1874"/>
      <c r="KC871" s="1874"/>
      <c r="KD871" s="1874"/>
      <c r="KE871" s="1874"/>
      <c r="KF871" s="1874"/>
      <c r="KG871" s="1874"/>
      <c r="KH871" s="1874"/>
      <c r="KI871" s="1874"/>
      <c r="KJ871" s="1874"/>
      <c r="KK871" s="1874"/>
      <c r="KL871" s="1874"/>
      <c r="KM871" s="1874"/>
      <c r="KN871" s="1874"/>
      <c r="KO871" s="1874"/>
      <c r="KP871" s="1874"/>
      <c r="KQ871" s="1874"/>
      <c r="KR871" s="1874"/>
      <c r="KS871" s="1874"/>
      <c r="KT871" s="1874"/>
      <c r="KU871" s="1874"/>
      <c r="KV871" s="1874"/>
      <c r="KW871" s="1874"/>
      <c r="KX871" s="1874"/>
      <c r="KY871" s="1874"/>
      <c r="KZ871" s="1874"/>
      <c r="LA871" s="1874"/>
      <c r="LB871" s="1874"/>
      <c r="LC871" s="1874"/>
      <c r="LD871" s="1874"/>
      <c r="LE871" s="1874"/>
      <c r="LF871" s="1874"/>
      <c r="LG871" s="1874"/>
      <c r="LH871" s="1874"/>
      <c r="LI871" s="1874"/>
      <c r="LJ871" s="1874"/>
      <c r="LK871" s="1874"/>
      <c r="LL871" s="1874"/>
      <c r="LM871" s="1874"/>
      <c r="LN871" s="1874"/>
      <c r="LO871" s="1874"/>
      <c r="LP871" s="1874"/>
      <c r="LQ871" s="1874"/>
    </row>
    <row r="872" spans="1:329" ht="9" customHeight="1">
      <c r="H872" s="1918"/>
      <c r="S872" s="1849" t="str">
        <f>C873</f>
        <v>PHA Operating Subsidy-Assisted</v>
      </c>
      <c r="U872" s="2109"/>
      <c r="AY872" s="1815"/>
      <c r="BD872" s="1815"/>
      <c r="JW872" s="1874"/>
      <c r="KB872" s="1874"/>
      <c r="KC872" s="1874"/>
      <c r="KD872" s="1874"/>
      <c r="KE872" s="1874"/>
      <c r="KF872" s="1874"/>
      <c r="KG872" s="1874"/>
      <c r="KH872" s="1874"/>
      <c r="KI872" s="1874"/>
      <c r="KJ872" s="1874"/>
      <c r="KK872" s="1874"/>
      <c r="KL872" s="1874"/>
      <c r="KM872" s="1874"/>
      <c r="KN872" s="1874"/>
      <c r="KO872" s="1874"/>
      <c r="KP872" s="1874"/>
      <c r="KQ872" s="1874"/>
      <c r="KR872" s="1874"/>
      <c r="KS872" s="1874"/>
      <c r="KT872" s="1874"/>
      <c r="KU872" s="1874"/>
      <c r="KV872" s="1874"/>
      <c r="KW872" s="1874"/>
      <c r="KX872" s="1874"/>
      <c r="KY872" s="1874"/>
      <c r="KZ872" s="1874"/>
      <c r="LA872" s="1874"/>
      <c r="LB872" s="1874"/>
      <c r="LC872" s="1874"/>
      <c r="LD872" s="1874"/>
      <c r="LE872" s="1874"/>
      <c r="LF872" s="1874"/>
      <c r="LG872" s="1874"/>
      <c r="LH872" s="1874"/>
      <c r="LI872" s="1874"/>
      <c r="LJ872" s="1874"/>
      <c r="LK872" s="1874"/>
      <c r="LL872" s="1874"/>
      <c r="LM872" s="1874"/>
      <c r="LN872" s="1874"/>
      <c r="LO872" s="1874"/>
      <c r="LP872" s="1874"/>
      <c r="LQ872" s="1874"/>
    </row>
    <row r="873" spans="1:329" ht="15" customHeight="1">
      <c r="A873" s="1897"/>
      <c r="B873" s="1897"/>
      <c r="C873" s="1910" t="s">
        <v>869</v>
      </c>
      <c r="D873" s="1910"/>
      <c r="E873" s="1910"/>
      <c r="F873" s="1815"/>
      <c r="H873" s="1897" t="s">
        <v>4120</v>
      </c>
      <c r="I873" s="449"/>
      <c r="K873" s="2111">
        <f>DY817</f>
        <v>0</v>
      </c>
      <c r="L873" s="2111">
        <f>DZ817</f>
        <v>0</v>
      </c>
      <c r="M873" s="2111">
        <f>EA817</f>
        <v>0</v>
      </c>
      <c r="N873" s="2111">
        <f>EB817</f>
        <v>0</v>
      </c>
      <c r="O873" s="2111">
        <f>EC817</f>
        <v>0</v>
      </c>
      <c r="P873" s="1906">
        <f t="shared" ref="P873:P880" si="376">SUM(K873:O873)</f>
        <v>0</v>
      </c>
      <c r="S873" s="1910"/>
      <c r="T873" s="1910"/>
      <c r="U873" s="1910"/>
      <c r="V873" s="1910"/>
      <c r="W873" s="1910"/>
      <c r="X873" s="1815"/>
      <c r="AA873" s="1815"/>
      <c r="AB873" s="449"/>
      <c r="AC873" s="1815"/>
      <c r="AF873" s="1815"/>
      <c r="AG873" s="449"/>
      <c r="AH873" s="1815"/>
      <c r="AK873" s="1815"/>
      <c r="AL873" s="449"/>
      <c r="AM873" s="1815"/>
      <c r="AP873" s="1815"/>
      <c r="AQ873" s="449"/>
      <c r="AR873" s="450"/>
      <c r="AS873" s="450"/>
      <c r="AT873" s="450"/>
      <c r="AU873" s="450"/>
      <c r="AV873" s="450"/>
      <c r="AW873" s="450"/>
      <c r="AX873" s="449"/>
      <c r="AY873" s="1815"/>
      <c r="BB873" s="450"/>
      <c r="BC873" s="449"/>
      <c r="BD873" s="1815"/>
      <c r="JW873" s="1874"/>
      <c r="KB873" s="1874"/>
      <c r="KC873" s="1874"/>
      <c r="KD873" s="1874"/>
      <c r="KE873" s="1874"/>
      <c r="KF873" s="1874"/>
      <c r="KG873" s="1874"/>
      <c r="KH873" s="1874"/>
      <c r="KI873" s="1874"/>
      <c r="KJ873" s="1874"/>
      <c r="KK873" s="1874"/>
      <c r="KL873" s="1874"/>
      <c r="KM873" s="1874"/>
      <c r="KN873" s="1874"/>
      <c r="KO873" s="1874"/>
      <c r="KP873" s="1874"/>
      <c r="KQ873" s="1874"/>
      <c r="KR873" s="1874"/>
      <c r="KS873" s="1874"/>
      <c r="KT873" s="1874"/>
      <c r="KU873" s="1874"/>
      <c r="KV873" s="1874"/>
      <c r="KW873" s="1874"/>
      <c r="KX873" s="1874"/>
      <c r="KY873" s="1874"/>
      <c r="KZ873" s="1874"/>
      <c r="LA873" s="1874"/>
      <c r="LB873" s="1874"/>
      <c r="LC873" s="1874"/>
      <c r="LD873" s="1874"/>
      <c r="LE873" s="1874"/>
      <c r="LF873" s="1874"/>
      <c r="LG873" s="1874"/>
      <c r="LH873" s="1874"/>
      <c r="LI873" s="1874"/>
      <c r="LJ873" s="1874"/>
      <c r="LK873" s="1874"/>
      <c r="LL873" s="1874"/>
      <c r="LM873" s="1874"/>
      <c r="LN873" s="1874"/>
      <c r="LO873" s="1874"/>
      <c r="LP873" s="1874"/>
      <c r="LQ873" s="1874"/>
    </row>
    <row r="874" spans="1:329" ht="15" customHeight="1">
      <c r="A874" s="1897"/>
      <c r="B874" s="1897"/>
      <c r="C874" s="449" t="s">
        <v>2446</v>
      </c>
      <c r="D874" s="1910"/>
      <c r="E874" s="1910"/>
      <c r="F874" s="1815"/>
      <c r="H874" s="1897" t="s">
        <v>4121</v>
      </c>
      <c r="I874" s="449"/>
      <c r="K874" s="1906">
        <f>DT817</f>
        <v>0</v>
      </c>
      <c r="L874" s="1906">
        <f>DU817</f>
        <v>0</v>
      </c>
      <c r="M874" s="1906">
        <f>DV817</f>
        <v>0</v>
      </c>
      <c r="N874" s="1906">
        <f>DW817</f>
        <v>0</v>
      </c>
      <c r="O874" s="1906">
        <f>DX817</f>
        <v>0</v>
      </c>
      <c r="P874" s="1906">
        <f t="shared" si="376"/>
        <v>0</v>
      </c>
      <c r="S874" s="1910"/>
      <c r="T874" s="1910"/>
      <c r="U874" s="1910"/>
      <c r="V874" s="1910"/>
      <c r="W874" s="1910"/>
      <c r="X874" s="1815"/>
      <c r="AA874" s="1815"/>
      <c r="AB874" s="449"/>
      <c r="AC874" s="1815"/>
      <c r="AF874" s="1815"/>
      <c r="AG874" s="449"/>
      <c r="AH874" s="1815"/>
      <c r="AK874" s="1815"/>
      <c r="AL874" s="449"/>
      <c r="AM874" s="1815"/>
      <c r="AP874" s="1815"/>
      <c r="AQ874" s="449"/>
      <c r="AR874" s="450"/>
      <c r="AS874" s="450"/>
      <c r="AT874" s="450"/>
      <c r="AU874" s="450"/>
      <c r="AV874" s="450"/>
      <c r="AW874" s="450"/>
      <c r="AX874" s="449"/>
      <c r="AY874" s="1815"/>
      <c r="BB874" s="450"/>
      <c r="BC874" s="449"/>
      <c r="BD874" s="1815"/>
      <c r="JW874" s="1874"/>
      <c r="KB874" s="1874"/>
      <c r="KC874" s="1874"/>
      <c r="KD874" s="1874"/>
      <c r="KE874" s="1874"/>
      <c r="KF874" s="1874"/>
      <c r="KG874" s="1874"/>
      <c r="KH874" s="1874"/>
      <c r="KI874" s="1874"/>
      <c r="KJ874" s="1874"/>
      <c r="KK874" s="1874"/>
      <c r="KL874" s="1874"/>
      <c r="KM874" s="1874"/>
      <c r="KN874" s="1874"/>
      <c r="KO874" s="1874"/>
      <c r="KP874" s="1874"/>
      <c r="KQ874" s="1874"/>
      <c r="KR874" s="1874"/>
      <c r="KS874" s="1874"/>
      <c r="KT874" s="1874"/>
      <c r="KU874" s="1874"/>
      <c r="KV874" s="1874"/>
      <c r="KW874" s="1874"/>
      <c r="KX874" s="1874"/>
      <c r="KY874" s="1874"/>
      <c r="KZ874" s="1874"/>
      <c r="LA874" s="1874"/>
      <c r="LB874" s="1874"/>
      <c r="LC874" s="1874"/>
      <c r="LD874" s="1874"/>
      <c r="LE874" s="1874"/>
      <c r="LF874" s="1874"/>
      <c r="LG874" s="1874"/>
      <c r="LH874" s="1874"/>
      <c r="LI874" s="1874"/>
      <c r="LJ874" s="1874"/>
      <c r="LK874" s="1874"/>
      <c r="LL874" s="1874"/>
      <c r="LM874" s="1874"/>
      <c r="LN874" s="1874"/>
      <c r="LO874" s="1874"/>
      <c r="LP874" s="1874"/>
      <c r="LQ874" s="1874"/>
    </row>
    <row r="875" spans="1:329" ht="15" customHeight="1">
      <c r="A875" s="1897"/>
      <c r="B875" s="1897"/>
      <c r="C875" s="1910"/>
      <c r="D875" s="1910"/>
      <c r="E875" s="1910"/>
      <c r="F875" s="1815"/>
      <c r="H875" s="1897" t="s">
        <v>1127</v>
      </c>
      <c r="I875" s="449"/>
      <c r="K875" s="1906">
        <f>DO817</f>
        <v>0</v>
      </c>
      <c r="L875" s="1906">
        <f>DP817</f>
        <v>0</v>
      </c>
      <c r="M875" s="1906">
        <f>DQ817</f>
        <v>0</v>
      </c>
      <c r="N875" s="1906">
        <f>DR817</f>
        <v>0</v>
      </c>
      <c r="O875" s="1906">
        <f>DS817</f>
        <v>0</v>
      </c>
      <c r="P875" s="1906">
        <f t="shared" si="376"/>
        <v>0</v>
      </c>
      <c r="S875" s="1910"/>
      <c r="T875" s="1910"/>
      <c r="U875" s="1910"/>
      <c r="V875" s="1910"/>
      <c r="W875" s="1910"/>
      <c r="X875" s="1815"/>
      <c r="AA875" s="1815"/>
      <c r="AB875" s="449"/>
      <c r="AC875" s="1815"/>
      <c r="AF875" s="1815"/>
      <c r="AG875" s="449"/>
      <c r="AH875" s="1815"/>
      <c r="AK875" s="1815"/>
      <c r="AL875" s="449"/>
      <c r="AM875" s="1815"/>
      <c r="AP875" s="1815"/>
      <c r="AQ875" s="449"/>
      <c r="AR875" s="450"/>
      <c r="AS875" s="450"/>
      <c r="AT875" s="450"/>
      <c r="AU875" s="450"/>
      <c r="AV875" s="450"/>
      <c r="AW875" s="450"/>
      <c r="AX875" s="449"/>
      <c r="AY875" s="1815"/>
      <c r="BB875" s="450"/>
      <c r="BC875" s="449"/>
      <c r="BD875" s="1815"/>
      <c r="JW875" s="1874"/>
      <c r="KB875" s="1874"/>
      <c r="KC875" s="1874"/>
      <c r="KD875" s="1874"/>
      <c r="KE875" s="1874"/>
      <c r="KF875" s="1874"/>
      <c r="KG875" s="1874"/>
      <c r="KH875" s="1874"/>
      <c r="KI875" s="1874"/>
      <c r="KJ875" s="1874"/>
      <c r="KK875" s="1874"/>
      <c r="KL875" s="1874"/>
      <c r="KM875" s="1874"/>
      <c r="KN875" s="1874"/>
      <c r="KO875" s="1874"/>
      <c r="KP875" s="1874"/>
      <c r="KQ875" s="1874"/>
      <c r="KR875" s="1874"/>
      <c r="KS875" s="1874"/>
      <c r="KT875" s="1874"/>
      <c r="KU875" s="1874"/>
      <c r="KV875" s="1874"/>
      <c r="KW875" s="1874"/>
      <c r="KX875" s="1874"/>
      <c r="KY875" s="1874"/>
      <c r="KZ875" s="1874"/>
      <c r="LA875" s="1874"/>
      <c r="LB875" s="1874"/>
      <c r="LC875" s="1874"/>
      <c r="LD875" s="1874"/>
      <c r="LE875" s="1874"/>
      <c r="LF875" s="1874"/>
      <c r="LG875" s="1874"/>
      <c r="LH875" s="1874"/>
      <c r="LI875" s="1874"/>
      <c r="LJ875" s="1874"/>
      <c r="LK875" s="1874"/>
      <c r="LL875" s="1874"/>
      <c r="LM875" s="1874"/>
      <c r="LN875" s="1874"/>
      <c r="LO875" s="1874"/>
      <c r="LP875" s="1874"/>
      <c r="LQ875" s="1874"/>
    </row>
    <row r="876" spans="1:329" ht="15" customHeight="1">
      <c r="A876" s="1897"/>
      <c r="B876" s="1897"/>
      <c r="C876" s="1910"/>
      <c r="D876" s="1910"/>
      <c r="E876" s="1910"/>
      <c r="F876" s="1815"/>
      <c r="H876" s="1897" t="s">
        <v>115</v>
      </c>
      <c r="I876" s="449"/>
      <c r="K876" s="1906">
        <f>DJ817</f>
        <v>0</v>
      </c>
      <c r="L876" s="1906">
        <f>DK817</f>
        <v>0</v>
      </c>
      <c r="M876" s="1906">
        <f>DL817</f>
        <v>0</v>
      </c>
      <c r="N876" s="1906">
        <f>DM817</f>
        <v>0</v>
      </c>
      <c r="O876" s="1906">
        <f>DN817</f>
        <v>0</v>
      </c>
      <c r="P876" s="1906">
        <f t="shared" si="376"/>
        <v>0</v>
      </c>
      <c r="S876" s="1910"/>
      <c r="T876" s="1910"/>
      <c r="U876" s="1910"/>
      <c r="V876" s="1910"/>
      <c r="W876" s="1910"/>
      <c r="X876" s="1815"/>
      <c r="AA876" s="1815"/>
      <c r="AB876" s="449"/>
      <c r="AC876" s="1815"/>
      <c r="AF876" s="1815"/>
      <c r="AG876" s="449"/>
      <c r="AH876" s="1815"/>
      <c r="AK876" s="1815"/>
      <c r="AL876" s="449"/>
      <c r="AM876" s="1815"/>
      <c r="AP876" s="1815"/>
      <c r="AQ876" s="449"/>
      <c r="AR876" s="450"/>
      <c r="AS876" s="450"/>
      <c r="AT876" s="450"/>
      <c r="AU876" s="450"/>
      <c r="AV876" s="450"/>
      <c r="AW876" s="450"/>
      <c r="AX876" s="449"/>
      <c r="AY876" s="1815"/>
      <c r="BB876" s="450"/>
      <c r="BC876" s="449"/>
      <c r="BD876" s="1815"/>
      <c r="JW876" s="1874"/>
      <c r="KB876" s="1874"/>
      <c r="KC876" s="1874"/>
      <c r="KD876" s="1874"/>
      <c r="KE876" s="1874"/>
      <c r="KF876" s="1874"/>
      <c r="KG876" s="1874"/>
      <c r="KH876" s="1874"/>
      <c r="KI876" s="1874"/>
      <c r="KJ876" s="1874"/>
      <c r="KK876" s="1874"/>
      <c r="KL876" s="1874"/>
      <c r="KM876" s="1874"/>
      <c r="KN876" s="1874"/>
      <c r="KO876" s="1874"/>
      <c r="KP876" s="1874"/>
      <c r="KQ876" s="1874"/>
      <c r="KR876" s="1874"/>
      <c r="KS876" s="1874"/>
      <c r="KT876" s="1874"/>
      <c r="KU876" s="1874"/>
      <c r="KV876" s="1874"/>
      <c r="KW876" s="1874"/>
      <c r="KX876" s="1874"/>
      <c r="KY876" s="1874"/>
      <c r="KZ876" s="1874"/>
      <c r="LA876" s="1874"/>
      <c r="LB876" s="1874"/>
      <c r="LC876" s="1874"/>
      <c r="LD876" s="1874"/>
      <c r="LE876" s="1874"/>
      <c r="LF876" s="1874"/>
      <c r="LG876" s="1874"/>
      <c r="LH876" s="1874"/>
      <c r="LI876" s="1874"/>
      <c r="LJ876" s="1874"/>
      <c r="LK876" s="1874"/>
      <c r="LL876" s="1874"/>
      <c r="LM876" s="1874"/>
      <c r="LN876" s="1874"/>
      <c r="LO876" s="1874"/>
      <c r="LP876" s="1874"/>
      <c r="LQ876" s="1874"/>
    </row>
    <row r="877" spans="1:329" ht="15" customHeight="1">
      <c r="A877" s="1897"/>
      <c r="B877" s="1897"/>
      <c r="C877" s="1910"/>
      <c r="D877" s="1910"/>
      <c r="E877" s="1910"/>
      <c r="F877" s="1815"/>
      <c r="H877" s="1897" t="s">
        <v>4122</v>
      </c>
      <c r="I877" s="449"/>
      <c r="K877" s="1906">
        <f>DE817</f>
        <v>0</v>
      </c>
      <c r="L877" s="1906">
        <f>DF817</f>
        <v>0</v>
      </c>
      <c r="M877" s="1906">
        <f>DG817</f>
        <v>0</v>
      </c>
      <c r="N877" s="1906">
        <f>DH817</f>
        <v>0</v>
      </c>
      <c r="O877" s="1906">
        <f>DI817</f>
        <v>0</v>
      </c>
      <c r="P877" s="1906">
        <f t="shared" si="376"/>
        <v>0</v>
      </c>
      <c r="S877" s="1910"/>
      <c r="T877" s="1910"/>
      <c r="U877" s="1910"/>
      <c r="V877" s="1910"/>
      <c r="W877" s="1910"/>
      <c r="X877" s="1815"/>
      <c r="AA877" s="1815"/>
      <c r="AB877" s="449"/>
      <c r="AC877" s="1815"/>
      <c r="AF877" s="1815"/>
      <c r="AG877" s="449"/>
      <c r="AH877" s="1815"/>
      <c r="AK877" s="1815"/>
      <c r="AL877" s="449"/>
      <c r="AM877" s="1815"/>
      <c r="AP877" s="1815"/>
      <c r="AQ877" s="449"/>
      <c r="AR877" s="450"/>
      <c r="AS877" s="450"/>
      <c r="AT877" s="450"/>
      <c r="AU877" s="450"/>
      <c r="AV877" s="450"/>
      <c r="AW877" s="450"/>
      <c r="AX877" s="449"/>
      <c r="AY877" s="1815"/>
      <c r="BB877" s="450"/>
      <c r="BC877" s="449"/>
      <c r="BD877" s="1815"/>
      <c r="JW877" s="1874"/>
      <c r="KB877" s="1874"/>
      <c r="KC877" s="1874"/>
      <c r="KD877" s="1874"/>
      <c r="KE877" s="1874"/>
      <c r="KF877" s="1874"/>
      <c r="KG877" s="1874"/>
      <c r="KH877" s="1874"/>
      <c r="KI877" s="1874"/>
      <c r="KJ877" s="1874"/>
      <c r="KK877" s="1874"/>
      <c r="KL877" s="1874"/>
      <c r="KM877" s="1874"/>
      <c r="KN877" s="1874"/>
      <c r="KO877" s="1874"/>
      <c r="KP877" s="1874"/>
      <c r="KQ877" s="1874"/>
      <c r="KR877" s="1874"/>
      <c r="KS877" s="1874"/>
      <c r="KT877" s="1874"/>
      <c r="KU877" s="1874"/>
      <c r="KV877" s="1874"/>
      <c r="KW877" s="1874"/>
      <c r="KX877" s="1874"/>
      <c r="KY877" s="1874"/>
      <c r="KZ877" s="1874"/>
      <c r="LA877" s="1874"/>
      <c r="LB877" s="1874"/>
      <c r="LC877" s="1874"/>
      <c r="LD877" s="1874"/>
      <c r="LE877" s="1874"/>
      <c r="LF877" s="1874"/>
      <c r="LG877" s="1874"/>
      <c r="LH877" s="1874"/>
      <c r="LI877" s="1874"/>
      <c r="LJ877" s="1874"/>
      <c r="LK877" s="1874"/>
      <c r="LL877" s="1874"/>
      <c r="LM877" s="1874"/>
      <c r="LN877" s="1874"/>
      <c r="LO877" s="1874"/>
      <c r="LP877" s="1874"/>
      <c r="LQ877" s="1874"/>
    </row>
    <row r="878" spans="1:329" ht="15" customHeight="1">
      <c r="A878" s="1897"/>
      <c r="B878" s="1897"/>
      <c r="C878" s="1910"/>
      <c r="D878" s="1910"/>
      <c r="E878" s="1910"/>
      <c r="F878" s="1815"/>
      <c r="H878" s="1897" t="s">
        <v>4123</v>
      </c>
      <c r="I878" s="449"/>
      <c r="K878" s="1906">
        <f>CZ817</f>
        <v>0</v>
      </c>
      <c r="L878" s="1906">
        <f>DA817</f>
        <v>0</v>
      </c>
      <c r="M878" s="1906">
        <f>DB817</f>
        <v>0</v>
      </c>
      <c r="N878" s="1906">
        <f>DC817</f>
        <v>0</v>
      </c>
      <c r="O878" s="1906">
        <f>DD817</f>
        <v>0</v>
      </c>
      <c r="P878" s="1906">
        <f t="shared" si="376"/>
        <v>0</v>
      </c>
      <c r="S878" s="1910"/>
      <c r="T878" s="1910"/>
      <c r="U878" s="1910"/>
      <c r="V878" s="1910"/>
      <c r="W878" s="1910"/>
      <c r="X878" s="1815"/>
      <c r="AA878" s="1815"/>
      <c r="AB878" s="449"/>
      <c r="AC878" s="1815"/>
      <c r="AF878" s="1815"/>
      <c r="AG878" s="449"/>
      <c r="AH878" s="1815"/>
      <c r="AK878" s="1815"/>
      <c r="AL878" s="449"/>
      <c r="AM878" s="1815"/>
      <c r="AP878" s="1815"/>
      <c r="AQ878" s="449"/>
      <c r="AR878" s="450"/>
      <c r="AS878" s="450"/>
      <c r="AT878" s="450"/>
      <c r="AU878" s="450"/>
      <c r="AV878" s="450"/>
      <c r="AW878" s="450"/>
      <c r="AX878" s="449"/>
      <c r="AY878" s="1815"/>
      <c r="BB878" s="450"/>
      <c r="BC878" s="449"/>
      <c r="BD878" s="1815"/>
      <c r="JW878" s="1874"/>
      <c r="KB878" s="1874"/>
      <c r="KC878" s="1874"/>
      <c r="KD878" s="1874"/>
      <c r="KE878" s="1874"/>
      <c r="KF878" s="1874"/>
      <c r="KG878" s="1874"/>
      <c r="KH878" s="1874"/>
      <c r="KI878" s="1874"/>
      <c r="KJ878" s="1874"/>
      <c r="KK878" s="1874"/>
      <c r="KL878" s="1874"/>
      <c r="KM878" s="1874"/>
      <c r="KN878" s="1874"/>
      <c r="KO878" s="1874"/>
      <c r="KP878" s="1874"/>
      <c r="KQ878" s="1874"/>
      <c r="KR878" s="1874"/>
      <c r="KS878" s="1874"/>
      <c r="KT878" s="1874"/>
      <c r="KU878" s="1874"/>
      <c r="KV878" s="1874"/>
      <c r="KW878" s="1874"/>
      <c r="KX878" s="1874"/>
      <c r="KY878" s="1874"/>
      <c r="KZ878" s="1874"/>
      <c r="LA878" s="1874"/>
      <c r="LB878" s="1874"/>
      <c r="LC878" s="1874"/>
      <c r="LD878" s="1874"/>
      <c r="LE878" s="1874"/>
      <c r="LF878" s="1874"/>
      <c r="LG878" s="1874"/>
      <c r="LH878" s="1874"/>
      <c r="LI878" s="1874"/>
      <c r="LJ878" s="1874"/>
      <c r="LK878" s="1874"/>
      <c r="LL878" s="1874"/>
      <c r="LM878" s="1874"/>
      <c r="LN878" s="1874"/>
      <c r="LO878" s="1874"/>
      <c r="LP878" s="1874"/>
      <c r="LQ878" s="1874"/>
    </row>
    <row r="879" spans="1:329" ht="15" customHeight="1">
      <c r="A879" s="1897"/>
      <c r="B879" s="1897"/>
      <c r="C879" s="1910"/>
      <c r="D879" s="1910"/>
      <c r="E879" s="1910"/>
      <c r="F879" s="1815"/>
      <c r="H879" s="1897" t="s">
        <v>4124</v>
      </c>
      <c r="I879" s="449"/>
      <c r="K879" s="2111">
        <f>CU817</f>
        <v>0</v>
      </c>
      <c r="L879" s="2111">
        <f>CV817</f>
        <v>0</v>
      </c>
      <c r="M879" s="2111">
        <f>CW817</f>
        <v>0</v>
      </c>
      <c r="N879" s="2111">
        <f>CX817</f>
        <v>0</v>
      </c>
      <c r="O879" s="2111">
        <f>CY817</f>
        <v>0</v>
      </c>
      <c r="P879" s="1906">
        <f t="shared" si="376"/>
        <v>0</v>
      </c>
      <c r="S879" s="1910"/>
      <c r="T879" s="1910"/>
      <c r="U879" s="1910"/>
      <c r="V879" s="1910"/>
      <c r="W879" s="1910"/>
      <c r="X879" s="449"/>
      <c r="AA879" s="1815"/>
      <c r="AB879" s="449"/>
      <c r="AC879" s="449"/>
      <c r="AF879" s="1815"/>
      <c r="AG879" s="449"/>
      <c r="AH879" s="449"/>
      <c r="AK879" s="1815"/>
      <c r="AL879" s="449"/>
      <c r="AM879" s="449"/>
      <c r="AP879" s="1815"/>
      <c r="AQ879" s="449"/>
      <c r="AR879" s="450"/>
      <c r="AS879" s="450"/>
      <c r="AT879" s="450"/>
      <c r="AU879" s="450"/>
      <c r="AV879" s="450"/>
      <c r="AW879" s="450"/>
      <c r="AX879" s="449"/>
      <c r="AY879" s="1815"/>
      <c r="BB879" s="450"/>
      <c r="BC879" s="449"/>
      <c r="BD879" s="1815"/>
      <c r="JW879" s="1874"/>
      <c r="KB879" s="1874"/>
      <c r="KC879" s="1874"/>
      <c r="KD879" s="1874"/>
      <c r="KE879" s="1874"/>
      <c r="KF879" s="1874"/>
      <c r="KG879" s="1874"/>
      <c r="KH879" s="1874"/>
      <c r="KI879" s="1874"/>
      <c r="KJ879" s="1874"/>
      <c r="KK879" s="1874"/>
      <c r="KL879" s="1874"/>
      <c r="KM879" s="1874"/>
      <c r="KN879" s="1874"/>
      <c r="KO879" s="1874"/>
      <c r="KP879" s="1874"/>
      <c r="KQ879" s="1874"/>
      <c r="KR879" s="1874"/>
      <c r="KS879" s="1874"/>
      <c r="KT879" s="1874"/>
      <c r="KU879" s="1874"/>
      <c r="KV879" s="1874"/>
      <c r="KW879" s="1874"/>
      <c r="KX879" s="1874"/>
      <c r="KY879" s="1874"/>
      <c r="KZ879" s="1874"/>
      <c r="LA879" s="1874"/>
      <c r="LB879" s="1874"/>
      <c r="LC879" s="1874"/>
      <c r="LD879" s="1874"/>
      <c r="LE879" s="1874"/>
      <c r="LF879" s="1874"/>
      <c r="LG879" s="1874"/>
      <c r="LH879" s="1874"/>
      <c r="LI879" s="1874"/>
      <c r="LJ879" s="1874"/>
      <c r="LK879" s="1874"/>
      <c r="LL879" s="1874"/>
      <c r="LM879" s="1874"/>
      <c r="LN879" s="1874"/>
      <c r="LO879" s="1874"/>
      <c r="LP879" s="1874"/>
      <c r="LQ879" s="1874"/>
    </row>
    <row r="880" spans="1:329" ht="15" customHeight="1">
      <c r="A880" s="1897"/>
      <c r="B880" s="1897"/>
      <c r="D880" s="1815"/>
      <c r="E880" s="1897"/>
      <c r="F880" s="1815"/>
      <c r="H880" s="1897" t="s">
        <v>524</v>
      </c>
      <c r="I880" s="449"/>
      <c r="K880" s="1906">
        <f>SUM(K873:K879)</f>
        <v>0</v>
      </c>
      <c r="L880" s="1906">
        <f>SUM(L873:L879)</f>
        <v>0</v>
      </c>
      <c r="M880" s="1906">
        <f>SUM(M873:M879)</f>
        <v>0</v>
      </c>
      <c r="N880" s="1906">
        <f>SUM(N873:N879)</f>
        <v>0</v>
      </c>
      <c r="O880" s="1906">
        <f>SUM(O873:O879)</f>
        <v>0</v>
      </c>
      <c r="P880" s="1906">
        <f t="shared" si="376"/>
        <v>0</v>
      </c>
      <c r="S880" s="1910"/>
      <c r="T880" s="1910"/>
      <c r="U880" s="1910"/>
      <c r="V880" s="1910"/>
      <c r="W880" s="1910"/>
      <c r="X880" s="1815"/>
      <c r="AA880" s="1815"/>
      <c r="AB880" s="449"/>
      <c r="AC880" s="1815"/>
      <c r="AF880" s="1815"/>
      <c r="AG880" s="449"/>
      <c r="AH880" s="1815"/>
      <c r="AK880" s="1815"/>
      <c r="AL880" s="449"/>
      <c r="AM880" s="1815"/>
      <c r="AP880" s="1815"/>
      <c r="AQ880" s="449"/>
      <c r="AR880" s="450"/>
      <c r="AS880" s="450"/>
      <c r="AT880" s="450"/>
      <c r="AU880" s="450"/>
      <c r="AV880" s="450"/>
      <c r="AW880" s="450"/>
      <c r="AX880" s="449"/>
      <c r="AY880" s="1815"/>
      <c r="BB880" s="450"/>
      <c r="BC880" s="449"/>
      <c r="BD880" s="1815"/>
      <c r="JW880" s="1874"/>
      <c r="KB880" s="1874"/>
      <c r="KC880" s="1874"/>
      <c r="KD880" s="1874"/>
      <c r="KE880" s="1874"/>
      <c r="KF880" s="1874"/>
      <c r="KG880" s="1874"/>
      <c r="KH880" s="1874"/>
      <c r="KI880" s="1874"/>
      <c r="KJ880" s="1874"/>
      <c r="KK880" s="1874"/>
      <c r="KL880" s="1874"/>
      <c r="KM880" s="1874"/>
      <c r="KN880" s="1874"/>
      <c r="KO880" s="1874"/>
      <c r="KP880" s="1874"/>
      <c r="KQ880" s="1874"/>
      <c r="KR880" s="1874"/>
      <c r="KS880" s="1874"/>
      <c r="KT880" s="1874"/>
      <c r="KU880" s="1874"/>
      <c r="KV880" s="1874"/>
      <c r="KW880" s="1874"/>
      <c r="KX880" s="1874"/>
      <c r="KY880" s="1874"/>
      <c r="KZ880" s="1874"/>
      <c r="LA880" s="1874"/>
      <c r="LB880" s="1874"/>
      <c r="LC880" s="1874"/>
      <c r="LD880" s="1874"/>
      <c r="LE880" s="1874"/>
      <c r="LF880" s="1874"/>
      <c r="LG880" s="1874"/>
      <c r="LH880" s="1874"/>
      <c r="LI880" s="1874"/>
      <c r="LJ880" s="1874"/>
      <c r="LK880" s="1874"/>
      <c r="LL880" s="1874"/>
      <c r="LM880" s="1874"/>
      <c r="LN880" s="1874"/>
      <c r="LO880" s="1874"/>
      <c r="LP880" s="1874"/>
      <c r="LQ880" s="1874"/>
    </row>
    <row r="881" spans="1:329" ht="9" customHeight="1">
      <c r="A881" s="1897"/>
      <c r="B881" s="1897"/>
      <c r="D881" s="1815"/>
      <c r="E881" s="1897"/>
      <c r="F881" s="1815"/>
      <c r="H881" s="1897"/>
      <c r="I881" s="449"/>
      <c r="K881" s="1909"/>
      <c r="L881" s="1909"/>
      <c r="M881" s="1909"/>
      <c r="N881" s="1909"/>
      <c r="O881" s="1909"/>
      <c r="P881" s="1909"/>
      <c r="S881" s="1849" t="str">
        <f>C882</f>
        <v>Type of Construction Activity</v>
      </c>
      <c r="U881" s="2240"/>
      <c r="X881" s="1815"/>
      <c r="AA881" s="1815"/>
      <c r="AB881" s="449"/>
      <c r="AC881" s="1815"/>
      <c r="AF881" s="1815"/>
      <c r="AG881" s="449"/>
      <c r="AH881" s="1815"/>
      <c r="AK881" s="1815"/>
      <c r="AL881" s="449"/>
      <c r="AM881" s="1815"/>
      <c r="AP881" s="1815"/>
      <c r="AQ881" s="449"/>
      <c r="AR881" s="1815"/>
      <c r="AS881" s="1815"/>
      <c r="AT881" s="1815"/>
      <c r="AU881" s="1815"/>
      <c r="AV881" s="1815"/>
      <c r="AW881" s="1815"/>
      <c r="AY881" s="1815"/>
      <c r="BB881" s="1815"/>
      <c r="BD881" s="1815"/>
      <c r="JW881" s="1874"/>
      <c r="KB881" s="1874"/>
      <c r="KC881" s="1874"/>
      <c r="KD881" s="1874"/>
      <c r="KE881" s="1874"/>
      <c r="KF881" s="1874"/>
      <c r="KG881" s="1874"/>
      <c r="KH881" s="1874"/>
      <c r="KI881" s="1874"/>
      <c r="KJ881" s="1874"/>
      <c r="KK881" s="1874"/>
      <c r="KL881" s="1874"/>
      <c r="KM881" s="1874"/>
      <c r="KN881" s="1874"/>
      <c r="KO881" s="1874"/>
      <c r="KP881" s="1874"/>
      <c r="KQ881" s="1874"/>
      <c r="KR881" s="1874"/>
      <c r="KS881" s="1874"/>
      <c r="KT881" s="1874"/>
      <c r="KU881" s="1874"/>
      <c r="KV881" s="1874"/>
      <c r="KW881" s="1874"/>
      <c r="KX881" s="1874"/>
      <c r="KY881" s="1874"/>
      <c r="KZ881" s="1874"/>
      <c r="LA881" s="1874"/>
      <c r="LB881" s="1874"/>
      <c r="LC881" s="1874"/>
      <c r="LD881" s="1874"/>
      <c r="LE881" s="1874"/>
      <c r="LF881" s="1874"/>
      <c r="LG881" s="1874"/>
      <c r="LH881" s="1874"/>
      <c r="LI881" s="1874"/>
      <c r="LJ881" s="1874"/>
      <c r="LK881" s="1874"/>
      <c r="LL881" s="1874"/>
      <c r="LM881" s="1874"/>
      <c r="LN881" s="1874"/>
      <c r="LO881" s="1874"/>
      <c r="LP881" s="1874"/>
      <c r="LQ881" s="1874"/>
    </row>
    <row r="882" spans="1:329" ht="14.25" customHeight="1">
      <c r="A882" s="1897"/>
      <c r="B882" s="1897"/>
      <c r="C882" s="1910" t="s">
        <v>36</v>
      </c>
      <c r="D882" s="1910"/>
      <c r="E882" s="1897" t="s">
        <v>2237</v>
      </c>
      <c r="F882" s="1815"/>
      <c r="H882" s="1897" t="s">
        <v>1404</v>
      </c>
      <c r="I882" s="449"/>
      <c r="K882" s="1906">
        <f>GG817</f>
        <v>0</v>
      </c>
      <c r="L882" s="1906">
        <f>GH817</f>
        <v>20</v>
      </c>
      <c r="M882" s="1906">
        <f>GI817</f>
        <v>52</v>
      </c>
      <c r="N882" s="1906">
        <f>GJ817</f>
        <v>0</v>
      </c>
      <c r="O882" s="1906">
        <f>GK817</f>
        <v>0</v>
      </c>
      <c r="P882" s="1906">
        <f t="shared" ref="P882:P892" si="377">SUM(K882:O882)</f>
        <v>72</v>
      </c>
      <c r="S882" s="1910"/>
      <c r="T882" s="1910"/>
      <c r="U882" s="1910"/>
      <c r="V882" s="1910"/>
      <c r="W882" s="1910"/>
      <c r="X882" s="1815"/>
      <c r="AA882" s="1815"/>
      <c r="AB882" s="449"/>
      <c r="AC882" s="1815"/>
      <c r="AF882" s="1815"/>
      <c r="AG882" s="449"/>
      <c r="AH882" s="1815"/>
      <c r="AK882" s="1815"/>
      <c r="AL882" s="449"/>
      <c r="AM882" s="1815"/>
      <c r="AP882" s="1815"/>
      <c r="AQ882" s="449"/>
      <c r="AR882" s="450"/>
      <c r="AS882" s="450"/>
      <c r="AT882" s="450"/>
      <c r="AU882" s="450"/>
      <c r="AV882" s="450"/>
      <c r="AW882" s="450"/>
      <c r="BB882" s="450"/>
    </row>
    <row r="883" spans="1:329" ht="14.25" customHeight="1">
      <c r="A883" s="1897"/>
      <c r="B883" s="1897"/>
      <c r="C883" s="1910"/>
      <c r="D883" s="1910"/>
      <c r="E883" s="1897"/>
      <c r="F883" s="1815"/>
      <c r="H883" s="1897" t="s">
        <v>298</v>
      </c>
      <c r="I883" s="449"/>
      <c r="K883" s="1906">
        <f>GL817</f>
        <v>0</v>
      </c>
      <c r="L883" s="1906">
        <f>GM817</f>
        <v>0</v>
      </c>
      <c r="M883" s="1906">
        <f>GN817</f>
        <v>0</v>
      </c>
      <c r="N883" s="1906">
        <f>GO817</f>
        <v>0</v>
      </c>
      <c r="O883" s="1906">
        <f>GP817</f>
        <v>0</v>
      </c>
      <c r="P883" s="1906">
        <f t="shared" si="377"/>
        <v>0</v>
      </c>
      <c r="S883" s="1910"/>
      <c r="T883" s="1910"/>
      <c r="U883" s="1910"/>
      <c r="V883" s="1910"/>
      <c r="W883" s="1910"/>
      <c r="X883" s="1815"/>
      <c r="AA883" s="1815"/>
      <c r="AB883" s="449"/>
      <c r="AC883" s="1815"/>
      <c r="AF883" s="1815"/>
      <c r="AG883" s="449"/>
      <c r="AH883" s="1815"/>
      <c r="AK883" s="1815"/>
      <c r="AL883" s="449"/>
      <c r="AM883" s="1815"/>
      <c r="AP883" s="1815"/>
      <c r="AQ883" s="449"/>
      <c r="AR883" s="450"/>
      <c r="AS883" s="450"/>
      <c r="AT883" s="450"/>
      <c r="AU883" s="450"/>
      <c r="AV883" s="450"/>
      <c r="AW883" s="450"/>
      <c r="AX883" s="1945"/>
      <c r="AY883" s="1815"/>
      <c r="BB883" s="450"/>
      <c r="BC883" s="1945"/>
      <c r="BD883" s="1815"/>
      <c r="JW883" s="1874"/>
      <c r="KB883" s="1874"/>
      <c r="KC883" s="1874"/>
      <c r="KD883" s="1874"/>
      <c r="KE883" s="1874"/>
      <c r="KF883" s="1874"/>
      <c r="KG883" s="1874"/>
      <c r="KH883" s="1874"/>
      <c r="KI883" s="1874"/>
      <c r="KJ883" s="1874"/>
      <c r="KK883" s="1874"/>
      <c r="KL883" s="1874"/>
      <c r="KM883" s="1874"/>
      <c r="KN883" s="1874"/>
      <c r="KO883" s="1874"/>
      <c r="KP883" s="1874"/>
      <c r="KQ883" s="1874"/>
      <c r="KR883" s="1874"/>
      <c r="KS883" s="1874"/>
      <c r="KT883" s="1874"/>
      <c r="KU883" s="1874"/>
      <c r="KV883" s="1874"/>
      <c r="KW883" s="1874"/>
      <c r="KX883" s="1874"/>
      <c r="KY883" s="1874"/>
      <c r="KZ883" s="1874"/>
      <c r="LA883" s="1874"/>
      <c r="LB883" s="1874"/>
      <c r="LC883" s="1874"/>
      <c r="LD883" s="1874"/>
      <c r="LE883" s="1874"/>
      <c r="LF883" s="1874"/>
      <c r="LG883" s="1874"/>
      <c r="LH883" s="1874"/>
      <c r="LI883" s="1874"/>
      <c r="LJ883" s="1874"/>
      <c r="LK883" s="1874"/>
      <c r="LL883" s="1874"/>
      <c r="LM883" s="1874"/>
      <c r="LN883" s="1874"/>
      <c r="LO883" s="1874"/>
      <c r="LP883" s="1874"/>
      <c r="LQ883" s="1874"/>
    </row>
    <row r="884" spans="1:329" ht="14.25" customHeight="1">
      <c r="A884" s="1897"/>
      <c r="B884" s="1897"/>
      <c r="C884" s="1910"/>
      <c r="D884" s="1910"/>
      <c r="E884" s="1897"/>
      <c r="F884" s="1815"/>
      <c r="H884" s="1897" t="s">
        <v>30</v>
      </c>
      <c r="I884" s="449"/>
      <c r="K884" s="1906">
        <f>SUM(K882:K883)+GQ817</f>
        <v>0</v>
      </c>
      <c r="L884" s="1906">
        <f>SUM(L882:L883)+GR817</f>
        <v>20</v>
      </c>
      <c r="M884" s="1906">
        <f>SUM(M882:M883)+GS817</f>
        <v>52</v>
      </c>
      <c r="N884" s="1906">
        <f>SUM(N882:N883)+GT817</f>
        <v>0</v>
      </c>
      <c r="O884" s="1906">
        <f>SUM(O882:O883)+GU817</f>
        <v>0</v>
      </c>
      <c r="P884" s="1906">
        <f t="shared" si="377"/>
        <v>72</v>
      </c>
      <c r="S884" s="1910"/>
      <c r="T884" s="1910"/>
      <c r="U884" s="1910"/>
      <c r="V884" s="1910"/>
      <c r="W884" s="1910"/>
      <c r="X884" s="1815"/>
      <c r="AA884" s="1815"/>
      <c r="AB884" s="449"/>
      <c r="AC884" s="1815"/>
      <c r="AF884" s="1815"/>
      <c r="AG884" s="449"/>
      <c r="AH884" s="1815"/>
      <c r="AK884" s="1815"/>
      <c r="AL884" s="449"/>
      <c r="AM884" s="1815"/>
      <c r="AP884" s="1815"/>
      <c r="AQ884" s="449"/>
      <c r="AR884" s="450"/>
      <c r="AS884" s="450"/>
      <c r="AT884" s="450"/>
      <c r="AU884" s="450"/>
      <c r="AV884" s="450"/>
      <c r="AW884" s="450"/>
      <c r="AX884" s="449"/>
      <c r="AY884" s="1815"/>
      <c r="BB884" s="450"/>
      <c r="BC884" s="449"/>
      <c r="BD884" s="1815"/>
      <c r="JW884" s="1874"/>
      <c r="KB884" s="1874"/>
      <c r="KC884" s="1874"/>
      <c r="KD884" s="1874"/>
      <c r="KE884" s="1874"/>
      <c r="KF884" s="1874"/>
      <c r="KG884" s="1874"/>
      <c r="KH884" s="1874"/>
      <c r="KI884" s="1874"/>
      <c r="KJ884" s="1874"/>
      <c r="KK884" s="1874"/>
      <c r="KL884" s="1874"/>
      <c r="KM884" s="1874"/>
      <c r="KN884" s="1874"/>
      <c r="KO884" s="1874"/>
      <c r="KP884" s="1874"/>
      <c r="KQ884" s="1874"/>
      <c r="KR884" s="1874"/>
      <c r="KS884" s="1874"/>
      <c r="KT884" s="1874"/>
      <c r="KU884" s="1874"/>
      <c r="KV884" s="1874"/>
      <c r="KW884" s="1874"/>
      <c r="KX884" s="1874"/>
      <c r="KY884" s="1874"/>
      <c r="KZ884" s="1874"/>
      <c r="LA884" s="1874"/>
      <c r="LB884" s="1874"/>
      <c r="LC884" s="1874"/>
      <c r="LD884" s="1874"/>
      <c r="LE884" s="1874"/>
      <c r="LF884" s="1874"/>
      <c r="LG884" s="1874"/>
      <c r="LH884" s="1874"/>
      <c r="LI884" s="1874"/>
      <c r="LJ884" s="1874"/>
      <c r="LK884" s="1874"/>
      <c r="LL884" s="1874"/>
      <c r="LM884" s="1874"/>
      <c r="LN884" s="1874"/>
      <c r="LO884" s="1874"/>
      <c r="LP884" s="1874"/>
      <c r="LQ884" s="1874"/>
    </row>
    <row r="885" spans="1:329" ht="14.25" customHeight="1">
      <c r="A885" s="1897"/>
      <c r="B885" s="1897"/>
      <c r="C885" s="1910"/>
      <c r="D885" s="1910"/>
      <c r="E885" s="1897" t="s">
        <v>2087</v>
      </c>
      <c r="F885" s="1815"/>
      <c r="H885" s="1897" t="s">
        <v>1404</v>
      </c>
      <c r="I885" s="449"/>
      <c r="K885" s="1906">
        <f>GV817</f>
        <v>0</v>
      </c>
      <c r="L885" s="1906">
        <f>GW817</f>
        <v>0</v>
      </c>
      <c r="M885" s="1906">
        <f>GX817</f>
        <v>0</v>
      </c>
      <c r="N885" s="1906">
        <f>GY817</f>
        <v>0</v>
      </c>
      <c r="O885" s="1906">
        <f>GZ817</f>
        <v>0</v>
      </c>
      <c r="P885" s="1906">
        <f t="shared" si="377"/>
        <v>0</v>
      </c>
      <c r="S885" s="1910"/>
      <c r="T885" s="1910"/>
      <c r="U885" s="1910"/>
      <c r="V885" s="1910"/>
      <c r="W885" s="1910"/>
      <c r="X885" s="1815"/>
      <c r="AA885" s="1815"/>
      <c r="AB885" s="449"/>
      <c r="AC885" s="1815"/>
      <c r="AF885" s="1815"/>
      <c r="AG885" s="449"/>
      <c r="AH885" s="1815"/>
      <c r="AK885" s="1815"/>
      <c r="AL885" s="449"/>
      <c r="AM885" s="1815"/>
      <c r="AP885" s="1815"/>
      <c r="AQ885" s="449"/>
      <c r="AR885" s="450"/>
      <c r="AS885" s="450"/>
      <c r="AT885" s="450"/>
      <c r="AU885" s="450"/>
      <c r="AV885" s="450"/>
      <c r="AW885" s="450"/>
      <c r="BB885" s="450"/>
    </row>
    <row r="886" spans="1:329" ht="14.25" customHeight="1">
      <c r="A886" s="1897"/>
      <c r="B886" s="1897"/>
      <c r="C886" s="1910"/>
      <c r="D886" s="1910"/>
      <c r="E886" s="1897"/>
      <c r="F886" s="1815"/>
      <c r="H886" s="1897" t="s">
        <v>298</v>
      </c>
      <c r="I886" s="449"/>
      <c r="K886" s="1906">
        <f>HA817</f>
        <v>0</v>
      </c>
      <c r="L886" s="1906">
        <f>HB817</f>
        <v>0</v>
      </c>
      <c r="M886" s="1906">
        <f>HC817</f>
        <v>0</v>
      </c>
      <c r="N886" s="1906">
        <f>HD817</f>
        <v>0</v>
      </c>
      <c r="O886" s="1906">
        <f>HE817</f>
        <v>0</v>
      </c>
      <c r="P886" s="1906">
        <f t="shared" si="377"/>
        <v>0</v>
      </c>
      <c r="S886" s="1910"/>
      <c r="T886" s="1910"/>
      <c r="U886" s="1910"/>
      <c r="V886" s="1910"/>
      <c r="W886" s="1910"/>
      <c r="X886" s="1815"/>
      <c r="AA886" s="1815"/>
      <c r="AB886" s="449"/>
      <c r="AC886" s="1815"/>
      <c r="AF886" s="1815"/>
      <c r="AG886" s="449"/>
      <c r="AH886" s="1815"/>
      <c r="AK886" s="1815"/>
      <c r="AL886" s="449"/>
      <c r="AM886" s="1815"/>
      <c r="AP886" s="1815"/>
      <c r="AQ886" s="449"/>
      <c r="AR886" s="450"/>
      <c r="AS886" s="450"/>
      <c r="AT886" s="450"/>
      <c r="AU886" s="450"/>
      <c r="AV886" s="450"/>
      <c r="AW886" s="450"/>
      <c r="AX886" s="1945"/>
      <c r="AY886" s="1815"/>
      <c r="BB886" s="450"/>
      <c r="BC886" s="1945"/>
      <c r="BD886" s="1815"/>
      <c r="JW886" s="1874"/>
      <c r="KB886" s="1874"/>
      <c r="KC886" s="1874"/>
      <c r="KD886" s="1874"/>
      <c r="KE886" s="1874"/>
      <c r="KF886" s="1874"/>
      <c r="KG886" s="1874"/>
      <c r="KH886" s="1874"/>
      <c r="KI886" s="1874"/>
      <c r="KJ886" s="1874"/>
      <c r="KK886" s="1874"/>
      <c r="KL886" s="1874"/>
      <c r="KM886" s="1874"/>
      <c r="KN886" s="1874"/>
      <c r="KO886" s="1874"/>
      <c r="KP886" s="1874"/>
      <c r="KQ886" s="1874"/>
      <c r="KR886" s="1874"/>
      <c r="KS886" s="1874"/>
      <c r="KT886" s="1874"/>
      <c r="KU886" s="1874"/>
      <c r="KV886" s="1874"/>
      <c r="KW886" s="1874"/>
      <c r="KX886" s="1874"/>
      <c r="KY886" s="1874"/>
      <c r="KZ886" s="1874"/>
      <c r="LA886" s="1874"/>
      <c r="LB886" s="1874"/>
      <c r="LC886" s="1874"/>
      <c r="LD886" s="1874"/>
      <c r="LE886" s="1874"/>
      <c r="LF886" s="1874"/>
      <c r="LG886" s="1874"/>
      <c r="LH886" s="1874"/>
      <c r="LI886" s="1874"/>
      <c r="LJ886" s="1874"/>
      <c r="LK886" s="1874"/>
      <c r="LL886" s="1874"/>
      <c r="LM886" s="1874"/>
      <c r="LN886" s="1874"/>
      <c r="LO886" s="1874"/>
      <c r="LP886" s="1874"/>
      <c r="LQ886" s="1874"/>
    </row>
    <row r="887" spans="1:329" ht="14.25" customHeight="1">
      <c r="A887" s="1897"/>
      <c r="B887" s="1897"/>
      <c r="C887" s="1910"/>
      <c r="D887" s="1910"/>
      <c r="E887" s="1897"/>
      <c r="F887" s="1815"/>
      <c r="H887" s="1897" t="s">
        <v>30</v>
      </c>
      <c r="I887" s="449"/>
      <c r="K887" s="1906">
        <f>SUM(K885:K886)+HF817</f>
        <v>0</v>
      </c>
      <c r="L887" s="1906">
        <f>SUM(L885:L886)+HG817</f>
        <v>0</v>
      </c>
      <c r="M887" s="1906">
        <f>SUM(M885:M886)+HH817</f>
        <v>0</v>
      </c>
      <c r="N887" s="1906">
        <f>SUM(N885:N886)+HI817</f>
        <v>0</v>
      </c>
      <c r="O887" s="1906">
        <f>SUM(O885:O886)+HJ817</f>
        <v>0</v>
      </c>
      <c r="P887" s="1906">
        <f t="shared" si="377"/>
        <v>0</v>
      </c>
      <c r="S887" s="1910"/>
      <c r="T887" s="1910"/>
      <c r="U887" s="1910"/>
      <c r="V887" s="1910"/>
      <c r="W887" s="1910"/>
      <c r="X887" s="1815"/>
      <c r="AA887" s="1815"/>
      <c r="AB887" s="449"/>
      <c r="AC887" s="1815"/>
      <c r="AF887" s="1815"/>
      <c r="AG887" s="449"/>
      <c r="AH887" s="1815"/>
      <c r="AK887" s="1815"/>
      <c r="AL887" s="449"/>
      <c r="AM887" s="1815"/>
      <c r="AP887" s="1815"/>
      <c r="AQ887" s="449"/>
      <c r="AR887" s="450"/>
      <c r="AS887" s="450"/>
      <c r="AT887" s="450"/>
      <c r="AU887" s="450"/>
      <c r="AV887" s="450"/>
      <c r="AW887" s="450"/>
      <c r="AX887" s="449"/>
      <c r="AY887" s="1815"/>
      <c r="BB887" s="450"/>
      <c r="BC887" s="449"/>
      <c r="BD887" s="1815"/>
      <c r="JW887" s="1874"/>
      <c r="KB887" s="1874"/>
      <c r="KC887" s="1874"/>
      <c r="KD887" s="1874"/>
      <c r="KE887" s="1874"/>
      <c r="KF887" s="1874"/>
      <c r="KG887" s="1874"/>
      <c r="KH887" s="1874"/>
      <c r="KI887" s="1874"/>
      <c r="KJ887" s="1874"/>
      <c r="KK887" s="1874"/>
      <c r="KL887" s="1874"/>
      <c r="KM887" s="1874"/>
      <c r="KN887" s="1874"/>
      <c r="KO887" s="1874"/>
      <c r="KP887" s="1874"/>
      <c r="KQ887" s="1874"/>
      <c r="KR887" s="1874"/>
      <c r="KS887" s="1874"/>
      <c r="KT887" s="1874"/>
      <c r="KU887" s="1874"/>
      <c r="KV887" s="1874"/>
      <c r="KW887" s="1874"/>
      <c r="KX887" s="1874"/>
      <c r="KY887" s="1874"/>
      <c r="KZ887" s="1874"/>
      <c r="LA887" s="1874"/>
      <c r="LB887" s="1874"/>
      <c r="LC887" s="1874"/>
      <c r="LD887" s="1874"/>
      <c r="LE887" s="1874"/>
      <c r="LF887" s="1874"/>
      <c r="LG887" s="1874"/>
      <c r="LH887" s="1874"/>
      <c r="LI887" s="1874"/>
      <c r="LJ887" s="1874"/>
      <c r="LK887" s="1874"/>
      <c r="LL887" s="1874"/>
      <c r="LM887" s="1874"/>
      <c r="LN887" s="1874"/>
      <c r="LO887" s="1874"/>
      <c r="LP887" s="1874"/>
      <c r="LQ887" s="1874"/>
    </row>
    <row r="888" spans="1:329" ht="14.25" customHeight="1">
      <c r="A888" s="1897"/>
      <c r="B888" s="1897"/>
      <c r="C888" s="1772"/>
      <c r="D888" s="1815"/>
      <c r="E888" s="1772" t="s">
        <v>1391</v>
      </c>
      <c r="F888" s="1772"/>
      <c r="H888" s="1897" t="s">
        <v>1404</v>
      </c>
      <c r="I888" s="449"/>
      <c r="K888" s="1906">
        <f>HK817</f>
        <v>0</v>
      </c>
      <c r="L888" s="1906">
        <f>HL817</f>
        <v>0</v>
      </c>
      <c r="M888" s="1906">
        <f>HM817</f>
        <v>0</v>
      </c>
      <c r="N888" s="1906">
        <f>HN817</f>
        <v>0</v>
      </c>
      <c r="O888" s="1906">
        <f>HO817</f>
        <v>0</v>
      </c>
      <c r="P888" s="1906">
        <f t="shared" si="377"/>
        <v>0</v>
      </c>
      <c r="S888" s="1910"/>
      <c r="T888" s="1910"/>
      <c r="U888" s="1910"/>
      <c r="V888" s="1910"/>
      <c r="W888" s="1910"/>
      <c r="X888" s="1815"/>
      <c r="AA888" s="1815"/>
      <c r="AB888" s="449"/>
      <c r="AC888" s="1815"/>
      <c r="AF888" s="1815"/>
      <c r="AG888" s="449"/>
      <c r="AH888" s="1815"/>
      <c r="AK888" s="1815"/>
      <c r="AL888" s="449"/>
      <c r="AM888" s="1815"/>
      <c r="AP888" s="1815"/>
      <c r="AQ888" s="449"/>
      <c r="AR888" s="450"/>
      <c r="AS888" s="450"/>
      <c r="AT888" s="450"/>
      <c r="AU888" s="450"/>
      <c r="AV888" s="450"/>
      <c r="AW888" s="450"/>
      <c r="BB888" s="450"/>
    </row>
    <row r="889" spans="1:329" ht="14.25" customHeight="1">
      <c r="A889" s="1897"/>
      <c r="B889" s="1897"/>
      <c r="C889" s="1772"/>
      <c r="D889" s="1815"/>
      <c r="E889" s="1772"/>
      <c r="F889" s="1772"/>
      <c r="H889" s="1897" t="s">
        <v>298</v>
      </c>
      <c r="I889" s="449"/>
      <c r="K889" s="1906">
        <f>HP817</f>
        <v>0</v>
      </c>
      <c r="L889" s="1906">
        <f>HQ817</f>
        <v>0</v>
      </c>
      <c r="M889" s="1906">
        <f>HR817</f>
        <v>0</v>
      </c>
      <c r="N889" s="1906">
        <f>HS817</f>
        <v>0</v>
      </c>
      <c r="O889" s="1906">
        <f>HT817</f>
        <v>0</v>
      </c>
      <c r="P889" s="1906">
        <f t="shared" si="377"/>
        <v>0</v>
      </c>
      <c r="S889" s="1910"/>
      <c r="T889" s="1910"/>
      <c r="U889" s="1910"/>
      <c r="V889" s="1910"/>
      <c r="W889" s="1910"/>
      <c r="X889" s="1815"/>
      <c r="AA889" s="1815"/>
      <c r="AB889" s="449"/>
      <c r="AC889" s="1815"/>
      <c r="AF889" s="1815"/>
      <c r="AG889" s="449"/>
      <c r="AH889" s="1815"/>
      <c r="AK889" s="1815"/>
      <c r="AL889" s="449"/>
      <c r="AM889" s="1815"/>
      <c r="AP889" s="1815"/>
      <c r="AQ889" s="449"/>
      <c r="AR889" s="450"/>
      <c r="AS889" s="450"/>
      <c r="AT889" s="450"/>
      <c r="AU889" s="450"/>
      <c r="AV889" s="450"/>
      <c r="AW889" s="450"/>
      <c r="AX889" s="1945"/>
      <c r="AY889" s="1815"/>
      <c r="BB889" s="450"/>
      <c r="BC889" s="1945"/>
      <c r="BD889" s="1815"/>
      <c r="JW889" s="1874"/>
      <c r="KB889" s="1874"/>
      <c r="KC889" s="1874"/>
      <c r="KD889" s="1874"/>
      <c r="KE889" s="1874"/>
      <c r="KF889" s="1874"/>
      <c r="KG889" s="1874"/>
      <c r="KH889" s="1874"/>
      <c r="KI889" s="1874"/>
      <c r="KJ889" s="1874"/>
      <c r="KK889" s="1874"/>
      <c r="KL889" s="1874"/>
      <c r="KM889" s="1874"/>
      <c r="KN889" s="1874"/>
      <c r="KO889" s="1874"/>
      <c r="KP889" s="1874"/>
      <c r="KQ889" s="1874"/>
      <c r="KR889" s="1874"/>
      <c r="KS889" s="1874"/>
      <c r="KT889" s="1874"/>
      <c r="KU889" s="1874"/>
      <c r="KV889" s="1874"/>
      <c r="KW889" s="1874"/>
      <c r="KX889" s="1874"/>
      <c r="KY889" s="1874"/>
      <c r="KZ889" s="1874"/>
      <c r="LA889" s="1874"/>
      <c r="LB889" s="1874"/>
      <c r="LC889" s="1874"/>
      <c r="LD889" s="1874"/>
      <c r="LE889" s="1874"/>
      <c r="LF889" s="1874"/>
      <c r="LG889" s="1874"/>
      <c r="LH889" s="1874"/>
      <c r="LI889" s="1874"/>
      <c r="LJ889" s="1874"/>
      <c r="LK889" s="1874"/>
      <c r="LL889" s="1874"/>
      <c r="LM889" s="1874"/>
      <c r="LN889" s="1874"/>
      <c r="LO889" s="1874"/>
      <c r="LP889" s="1874"/>
      <c r="LQ889" s="1874"/>
    </row>
    <row r="890" spans="1:329" ht="14.25" customHeight="1">
      <c r="A890" s="1897"/>
      <c r="B890" s="1897"/>
      <c r="C890" s="1772"/>
      <c r="D890" s="1815"/>
      <c r="E890" s="1897"/>
      <c r="F890" s="1815"/>
      <c r="H890" s="1897" t="s">
        <v>30</v>
      </c>
      <c r="I890" s="449"/>
      <c r="K890" s="1906">
        <f>SUM(K888:K889)+HU817</f>
        <v>0</v>
      </c>
      <c r="L890" s="1906">
        <f>SUM(L888:L889)+HV817</f>
        <v>0</v>
      </c>
      <c r="M890" s="1906">
        <f>SUM(M888:M889)+HW817</f>
        <v>0</v>
      </c>
      <c r="N890" s="1906">
        <f>SUM(N888:N889)+HX817</f>
        <v>0</v>
      </c>
      <c r="O890" s="1906">
        <f>SUM(O888:O889)+HY817</f>
        <v>0</v>
      </c>
      <c r="P890" s="1906">
        <f t="shared" si="377"/>
        <v>0</v>
      </c>
      <c r="S890" s="1910"/>
      <c r="T890" s="1910"/>
      <c r="U890" s="1910"/>
      <c r="V890" s="1910"/>
      <c r="W890" s="1910"/>
      <c r="X890" s="1815"/>
      <c r="AA890" s="1815"/>
      <c r="AB890" s="449"/>
      <c r="AC890" s="1815"/>
      <c r="AF890" s="1815"/>
      <c r="AG890" s="449"/>
      <c r="AH890" s="1815"/>
      <c r="AK890" s="1815"/>
      <c r="AL890" s="449"/>
      <c r="AM890" s="1815"/>
      <c r="AP890" s="1815"/>
      <c r="AQ890" s="449"/>
      <c r="AR890" s="450"/>
      <c r="AS890" s="450"/>
      <c r="AT890" s="450"/>
      <c r="AU890" s="450"/>
      <c r="AV890" s="450"/>
      <c r="AW890" s="450"/>
      <c r="AX890" s="449"/>
      <c r="AY890" s="1815"/>
      <c r="BB890" s="450"/>
      <c r="BC890" s="449"/>
      <c r="BD890" s="1815"/>
      <c r="JW890" s="1874"/>
      <c r="KB890" s="1874"/>
      <c r="KC890" s="1874"/>
      <c r="KD890" s="1874"/>
      <c r="KE890" s="1874"/>
      <c r="KF890" s="1874"/>
      <c r="KG890" s="1874"/>
      <c r="KH890" s="1874"/>
      <c r="KI890" s="1874"/>
      <c r="KJ890" s="1874"/>
      <c r="KK890" s="1874"/>
      <c r="KL890" s="1874"/>
      <c r="KM890" s="1874"/>
      <c r="KN890" s="1874"/>
      <c r="KO890" s="1874"/>
      <c r="KP890" s="1874"/>
      <c r="KQ890" s="1874"/>
      <c r="KR890" s="1874"/>
      <c r="KS890" s="1874"/>
      <c r="KT890" s="1874"/>
      <c r="KU890" s="1874"/>
      <c r="KV890" s="1874"/>
      <c r="KW890" s="1874"/>
      <c r="KX890" s="1874"/>
      <c r="KY890" s="1874"/>
      <c r="KZ890" s="1874"/>
      <c r="LA890" s="1874"/>
      <c r="LB890" s="1874"/>
      <c r="LC890" s="1874"/>
      <c r="LD890" s="1874"/>
      <c r="LE890" s="1874"/>
      <c r="LF890" s="1874"/>
      <c r="LG890" s="1874"/>
      <c r="LH890" s="1874"/>
      <c r="LI890" s="1874"/>
      <c r="LJ890" s="1874"/>
      <c r="LK890" s="1874"/>
      <c r="LL890" s="1874"/>
      <c r="LM890" s="1874"/>
      <c r="LN890" s="1874"/>
      <c r="LO890" s="1874"/>
      <c r="LP890" s="1874"/>
      <c r="LQ890" s="1874"/>
    </row>
    <row r="891" spans="1:329" ht="14.25" customHeight="1">
      <c r="A891" s="1897"/>
      <c r="B891" s="1897"/>
      <c r="C891" s="1772"/>
      <c r="D891" s="1815"/>
      <c r="E891" s="1897" t="s">
        <v>359</v>
      </c>
      <c r="F891" s="1815"/>
      <c r="G891" s="1822"/>
      <c r="H891" s="1918"/>
      <c r="K891" s="1906">
        <f>'Part VI-Revenues &amp; Expenses'!K122</f>
        <v>0</v>
      </c>
      <c r="L891" s="1906">
        <f>'Part VI-Revenues &amp; Expenses'!L122</f>
        <v>0</v>
      </c>
      <c r="M891" s="1906">
        <f>'Part VI-Revenues &amp; Expenses'!M122</f>
        <v>0</v>
      </c>
      <c r="N891" s="1906">
        <f>'Part VI-Revenues &amp; Expenses'!N122</f>
        <v>0</v>
      </c>
      <c r="O891" s="1906">
        <f>'Part VI-Revenues &amp; Expenses'!O122</f>
        <v>0</v>
      </c>
      <c r="P891" s="1906">
        <f t="shared" si="377"/>
        <v>0</v>
      </c>
      <c r="S891" s="1910"/>
      <c r="T891" s="1910"/>
      <c r="U891" s="1910"/>
      <c r="V891" s="1910"/>
      <c r="W891" s="1910"/>
      <c r="X891" s="1815"/>
      <c r="AA891" s="1815"/>
      <c r="AB891" s="449"/>
      <c r="AC891" s="1815"/>
      <c r="AF891" s="1815"/>
      <c r="AG891" s="449"/>
      <c r="AH891" s="1815"/>
      <c r="AK891" s="1815"/>
      <c r="AL891" s="449"/>
      <c r="AM891" s="1815"/>
      <c r="AP891" s="1815"/>
      <c r="AQ891" s="449"/>
      <c r="AR891" s="450"/>
      <c r="AS891" s="450"/>
      <c r="AT891" s="450"/>
      <c r="AU891" s="450"/>
      <c r="AV891" s="450"/>
      <c r="AW891" s="450"/>
      <c r="AX891" s="1945"/>
      <c r="AY891" s="1815"/>
      <c r="BB891" s="450"/>
      <c r="BC891" s="1945"/>
      <c r="BD891" s="1815"/>
      <c r="JW891" s="1874"/>
      <c r="KB891" s="1874"/>
      <c r="KC891" s="1874"/>
      <c r="KD891" s="1874"/>
      <c r="KE891" s="1874"/>
      <c r="KF891" s="1874"/>
      <c r="KG891" s="1874"/>
      <c r="KH891" s="1874"/>
      <c r="KI891" s="1874"/>
      <c r="KJ891" s="1874"/>
      <c r="KK891" s="1874"/>
      <c r="KL891" s="1874"/>
      <c r="KM891" s="1874"/>
      <c r="KN891" s="1874"/>
      <c r="KO891" s="1874"/>
      <c r="KP891" s="1874"/>
      <c r="KQ891" s="1874"/>
      <c r="KR891" s="1874"/>
      <c r="KS891" s="1874"/>
      <c r="KT891" s="1874"/>
      <c r="KU891" s="1874"/>
      <c r="KV891" s="1874"/>
      <c r="KW891" s="1874"/>
      <c r="KX891" s="1874"/>
      <c r="KY891" s="1874"/>
      <c r="KZ891" s="1874"/>
      <c r="LA891" s="1874"/>
      <c r="LB891" s="1874"/>
      <c r="LC891" s="1874"/>
      <c r="LD891" s="1874"/>
      <c r="LE891" s="1874"/>
      <c r="LF891" s="1874"/>
      <c r="LG891" s="1874"/>
      <c r="LH891" s="1874"/>
      <c r="LI891" s="1874"/>
      <c r="LJ891" s="1874"/>
      <c r="LK891" s="1874"/>
      <c r="LL891" s="1874"/>
      <c r="LM891" s="1874"/>
      <c r="LN891" s="1874"/>
      <c r="LO891" s="1874"/>
      <c r="LP891" s="1874"/>
      <c r="LQ891" s="1874"/>
    </row>
    <row r="892" spans="1:329" ht="14.25" customHeight="1">
      <c r="A892" s="1918" t="str">
        <f>IF(AND('Part IV-A-Uses of Funds'!$T$172="Yes",'Part IX Scoring Criteria'!$O$415&gt;0,P892&lt;1),"SHOW HISTORIC UNITS HERE &gt;&gt;&gt;&gt;","")</f>
        <v/>
      </c>
      <c r="B892" s="1918"/>
      <c r="C892" s="1918"/>
      <c r="D892" s="1918"/>
      <c r="E892" s="1897" t="s">
        <v>6811</v>
      </c>
      <c r="F892" s="1815"/>
      <c r="G892" s="1822"/>
      <c r="H892" s="1918"/>
      <c r="K892" s="1906">
        <f>'Part VI-Revenues &amp; Expenses'!K123</f>
        <v>0</v>
      </c>
      <c r="L892" s="1906">
        <f>'Part VI-Revenues &amp; Expenses'!L123</f>
        <v>0</v>
      </c>
      <c r="M892" s="1906">
        <f>'Part VI-Revenues &amp; Expenses'!M123</f>
        <v>0</v>
      </c>
      <c r="N892" s="1906">
        <f>'Part VI-Revenues &amp; Expenses'!N123</f>
        <v>0</v>
      </c>
      <c r="O892" s="1906">
        <f>'Part VI-Revenues &amp; Expenses'!O123</f>
        <v>0</v>
      </c>
      <c r="P892" s="1906">
        <f t="shared" si="377"/>
        <v>0</v>
      </c>
      <c r="S892" s="1910"/>
      <c r="T892" s="1910"/>
      <c r="U892" s="1910"/>
      <c r="V892" s="1910"/>
      <c r="W892" s="1910"/>
      <c r="X892" s="1815"/>
      <c r="AA892" s="1815"/>
      <c r="AB892" s="449"/>
      <c r="AC892" s="1815"/>
      <c r="AF892" s="1815"/>
      <c r="AG892" s="449"/>
      <c r="AH892" s="1815"/>
      <c r="AK892" s="1815"/>
      <c r="AL892" s="449"/>
      <c r="AM892" s="1815"/>
      <c r="AP892" s="1815"/>
      <c r="AQ892" s="449"/>
      <c r="AR892" s="450"/>
      <c r="AS892" s="450"/>
      <c r="AT892" s="450"/>
      <c r="AU892" s="450"/>
      <c r="AV892" s="450"/>
      <c r="AW892" s="450"/>
      <c r="AX892" s="1945"/>
      <c r="AY892" s="1815"/>
      <c r="BB892" s="450"/>
      <c r="BC892" s="1945"/>
      <c r="BD892" s="1815"/>
      <c r="JW892" s="1874"/>
      <c r="KB892" s="1874"/>
      <c r="KC892" s="1874"/>
      <c r="KD892" s="1874"/>
      <c r="KE892" s="1874"/>
      <c r="KF892" s="1874"/>
      <c r="KG892" s="1874"/>
      <c r="KH892" s="1874"/>
      <c r="KI892" s="1874"/>
      <c r="KJ892" s="1874"/>
      <c r="KK892" s="1874"/>
      <c r="KL892" s="1874"/>
      <c r="KM892" s="1874"/>
      <c r="KN892" s="1874"/>
      <c r="KO892" s="1874"/>
      <c r="KP892" s="1874"/>
      <c r="KQ892" s="1874"/>
      <c r="KR892" s="1874"/>
      <c r="KS892" s="1874"/>
      <c r="KT892" s="1874"/>
      <c r="KU892" s="1874"/>
      <c r="KV892" s="1874"/>
      <c r="KW892" s="1874"/>
      <c r="KX892" s="1874"/>
      <c r="KY892" s="1874"/>
      <c r="KZ892" s="1874"/>
      <c r="LA892" s="1874"/>
      <c r="LB892" s="1874"/>
      <c r="LC892" s="1874"/>
      <c r="LD892" s="1874"/>
      <c r="LE892" s="1874"/>
      <c r="LF892" s="1874"/>
      <c r="LG892" s="1874"/>
      <c r="LH892" s="1874"/>
      <c r="LI892" s="1874"/>
      <c r="LJ892" s="1874"/>
      <c r="LK892" s="1874"/>
      <c r="LL892" s="1874"/>
      <c r="LM892" s="1874"/>
      <c r="LN892" s="1874"/>
      <c r="LO892" s="1874"/>
      <c r="LP892" s="1874"/>
      <c r="LQ892" s="1874"/>
    </row>
    <row r="893" spans="1:329" ht="9" customHeight="1">
      <c r="A893" s="1912"/>
      <c r="B893" s="1912"/>
      <c r="C893" s="1912"/>
      <c r="D893" s="1912"/>
      <c r="E893" s="1897"/>
      <c r="F893" s="1815"/>
      <c r="G893" s="1822"/>
      <c r="H893" s="1918"/>
      <c r="K893" s="449"/>
      <c r="L893" s="449"/>
      <c r="M893" s="449"/>
      <c r="N893" s="449"/>
      <c r="O893" s="449"/>
      <c r="P893" s="449"/>
      <c r="S893" s="1910"/>
      <c r="T893" s="1910"/>
      <c r="U893" s="1910"/>
      <c r="V893" s="1910"/>
      <c r="W893" s="1910"/>
      <c r="X893" s="1815"/>
      <c r="AA893" s="1815"/>
      <c r="AB893" s="449"/>
      <c r="AC893" s="1815"/>
      <c r="AF893" s="1815"/>
      <c r="AG893" s="449"/>
      <c r="AH893" s="1815"/>
      <c r="AK893" s="1815"/>
      <c r="AL893" s="449"/>
      <c r="AM893" s="1815"/>
      <c r="AP893" s="1815"/>
      <c r="AQ893" s="449"/>
      <c r="AR893" s="450"/>
      <c r="AS893" s="450"/>
      <c r="AT893" s="450"/>
      <c r="AU893" s="450"/>
      <c r="AV893" s="450"/>
      <c r="AW893" s="450"/>
      <c r="AX893" s="1945"/>
      <c r="AY893" s="1815"/>
      <c r="BB893" s="450"/>
      <c r="BC893" s="1945"/>
      <c r="BD893" s="1815"/>
      <c r="JW893" s="1874"/>
      <c r="KB893" s="1874"/>
      <c r="KC893" s="1874"/>
      <c r="KD893" s="1874"/>
      <c r="KE893" s="1874"/>
      <c r="KF893" s="1874"/>
      <c r="KG893" s="1874"/>
      <c r="KH893" s="1874"/>
      <c r="KI893" s="1874"/>
      <c r="KJ893" s="1874"/>
      <c r="KK893" s="1874"/>
      <c r="KL893" s="1874"/>
      <c r="KM893" s="1874"/>
      <c r="KN893" s="1874"/>
      <c r="KO893" s="1874"/>
      <c r="KP893" s="1874"/>
      <c r="KQ893" s="1874"/>
      <c r="KR893" s="1874"/>
      <c r="KS893" s="1874"/>
      <c r="KT893" s="1874"/>
      <c r="KU893" s="1874"/>
      <c r="KV893" s="1874"/>
      <c r="KW893" s="1874"/>
      <c r="KX893" s="1874"/>
      <c r="KY893" s="1874"/>
      <c r="KZ893" s="1874"/>
      <c r="LA893" s="1874"/>
      <c r="LB893" s="1874"/>
      <c r="LC893" s="1874"/>
      <c r="LD893" s="1874"/>
      <c r="LE893" s="1874"/>
      <c r="LF893" s="1874"/>
      <c r="LG893" s="1874"/>
      <c r="LH893" s="1874"/>
      <c r="LI893" s="1874"/>
      <c r="LJ893" s="1874"/>
      <c r="LK893" s="1874"/>
      <c r="LL893" s="1874"/>
      <c r="LM893" s="1874"/>
      <c r="LN893" s="1874"/>
      <c r="LO893" s="1874"/>
      <c r="LP893" s="1874"/>
      <c r="LQ893" s="1874"/>
    </row>
    <row r="894" spans="1:329" ht="14.25" customHeight="1">
      <c r="A894" s="1912"/>
      <c r="B894" s="1912"/>
      <c r="C894" s="1912"/>
      <c r="D894" s="1912"/>
      <c r="E894" s="1897" t="s">
        <v>3251</v>
      </c>
      <c r="F894" s="1815"/>
      <c r="G894" s="1822"/>
      <c r="H894" s="1918"/>
      <c r="K894" s="1906">
        <f>K898+K900+K902+K904+K908+K910+K912+K914</f>
        <v>0</v>
      </c>
      <c r="L894" s="1906">
        <f>L898+L900+L902+L904+L908+L910+L912+L914</f>
        <v>0</v>
      </c>
      <c r="M894" s="1906">
        <f>M898+M900+M902+M904+M908+M910+M912+M914</f>
        <v>0</v>
      </c>
      <c r="N894" s="1906">
        <f>N898+N900+N902+N904+N908+N910+N912+N914</f>
        <v>0</v>
      </c>
      <c r="O894" s="1906">
        <f>O898+O900+O902+O904+O908+O910+O912+O914</f>
        <v>0</v>
      </c>
      <c r="P894" s="1906">
        <f>SUM(K894:O894)</f>
        <v>0</v>
      </c>
      <c r="S894" s="1910"/>
      <c r="T894" s="1910"/>
      <c r="U894" s="1910"/>
      <c r="V894" s="1910"/>
      <c r="W894" s="1910"/>
      <c r="X894" s="1815"/>
      <c r="AA894" s="1815"/>
      <c r="AB894" s="449"/>
      <c r="AC894" s="1815"/>
      <c r="AF894" s="1815"/>
      <c r="AG894" s="449"/>
      <c r="AH894" s="1815"/>
      <c r="AK894" s="1815"/>
      <c r="AL894" s="449"/>
      <c r="AM894" s="1815"/>
      <c r="AP894" s="1815"/>
      <c r="AQ894" s="449"/>
      <c r="AR894" s="450"/>
      <c r="AS894" s="450"/>
      <c r="AT894" s="450"/>
      <c r="AU894" s="450"/>
      <c r="AV894" s="450"/>
      <c r="AW894" s="450"/>
      <c r="AX894" s="1945"/>
      <c r="AY894" s="1815"/>
      <c r="BB894" s="450"/>
      <c r="BC894" s="1945"/>
      <c r="BD894" s="1815"/>
      <c r="JW894" s="1874"/>
      <c r="KB894" s="1874"/>
      <c r="KC894" s="1874"/>
      <c r="KD894" s="1874"/>
      <c r="KE894" s="1874"/>
      <c r="KF894" s="1874"/>
      <c r="KG894" s="1874"/>
      <c r="KH894" s="1874"/>
      <c r="KI894" s="1874"/>
      <c r="KJ894" s="1874"/>
      <c r="KK894" s="1874"/>
      <c r="KL894" s="1874"/>
      <c r="KM894" s="1874"/>
      <c r="KN894" s="1874"/>
      <c r="KO894" s="1874"/>
      <c r="KP894" s="1874"/>
      <c r="KQ894" s="1874"/>
      <c r="KR894" s="1874"/>
      <c r="KS894" s="1874"/>
      <c r="KT894" s="1874"/>
      <c r="KU894" s="1874"/>
      <c r="KV894" s="1874"/>
      <c r="KW894" s="1874"/>
      <c r="KX894" s="1874"/>
      <c r="KY894" s="1874"/>
      <c r="KZ894" s="1874"/>
      <c r="LA894" s="1874"/>
      <c r="LB894" s="1874"/>
      <c r="LC894" s="1874"/>
      <c r="LD894" s="1874"/>
      <c r="LE894" s="1874"/>
      <c r="LF894" s="1874"/>
      <c r="LG894" s="1874"/>
      <c r="LH894" s="1874"/>
      <c r="LI894" s="1874"/>
      <c r="LJ894" s="1874"/>
      <c r="LK894" s="1874"/>
      <c r="LL894" s="1874"/>
      <c r="LM894" s="1874"/>
      <c r="LN894" s="1874"/>
      <c r="LO894" s="1874"/>
      <c r="LP894" s="1874"/>
      <c r="LQ894" s="1874"/>
    </row>
    <row r="895" spans="1:329" ht="9.75" customHeight="1">
      <c r="D895" s="1815"/>
      <c r="E895" s="1897"/>
      <c r="F895" s="1815"/>
      <c r="G895" s="1822"/>
      <c r="H895" s="1918"/>
      <c r="K895" s="1909"/>
      <c r="L895" s="1909"/>
      <c r="M895" s="1909"/>
      <c r="N895" s="1909"/>
      <c r="O895" s="1909"/>
      <c r="P895" s="1909"/>
      <c r="S895" s="1849" t="str">
        <f>C896</f>
        <v>Building Type: (for Utility Allowance, Monitoring Fees and other purposes)</v>
      </c>
      <c r="U895" s="2240"/>
      <c r="X895" s="1815"/>
      <c r="AA895" s="1815"/>
      <c r="AB895" s="449"/>
      <c r="AC895" s="1815"/>
      <c r="AF895" s="1815"/>
      <c r="AG895" s="449"/>
      <c r="AH895" s="1815"/>
      <c r="AK895" s="1815"/>
      <c r="AL895" s="449"/>
      <c r="AM895" s="1815"/>
      <c r="AP895" s="1815"/>
      <c r="AQ895" s="449"/>
      <c r="AR895" s="1815"/>
      <c r="AS895" s="1815"/>
      <c r="AT895" s="1815"/>
      <c r="AU895" s="1815"/>
      <c r="AV895" s="1815"/>
      <c r="AW895" s="1815"/>
      <c r="AY895" s="1815"/>
      <c r="BB895" s="1815"/>
      <c r="BD895" s="1815"/>
      <c r="JW895" s="1874"/>
      <c r="KB895" s="1874"/>
      <c r="KC895" s="1874"/>
      <c r="KD895" s="1874"/>
      <c r="KE895" s="1874"/>
      <c r="KF895" s="1874"/>
      <c r="KG895" s="1874"/>
      <c r="KH895" s="1874"/>
      <c r="KI895" s="1874"/>
      <c r="KJ895" s="1874"/>
      <c r="KK895" s="1874"/>
      <c r="KL895" s="1874"/>
      <c r="KM895" s="1874"/>
      <c r="KN895" s="1874"/>
      <c r="KO895" s="1874"/>
      <c r="KP895" s="1874"/>
      <c r="KQ895" s="1874"/>
      <c r="KR895" s="1874"/>
      <c r="KS895" s="1874"/>
      <c r="KT895" s="1874"/>
      <c r="KU895" s="1874"/>
      <c r="KV895" s="1874"/>
      <c r="KW895" s="1874"/>
      <c r="KX895" s="1874"/>
      <c r="KY895" s="1874"/>
      <c r="KZ895" s="1874"/>
      <c r="LA895" s="1874"/>
      <c r="LB895" s="1874"/>
      <c r="LC895" s="1874"/>
      <c r="LD895" s="1874"/>
      <c r="LE895" s="1874"/>
      <c r="LF895" s="1874"/>
      <c r="LG895" s="1874"/>
      <c r="LH895" s="1874"/>
      <c r="LI895" s="1874"/>
      <c r="LJ895" s="1874"/>
      <c r="LK895" s="1874"/>
      <c r="LL895" s="1874"/>
      <c r="LM895" s="1874"/>
      <c r="LN895" s="1874"/>
      <c r="LO895" s="1874"/>
      <c r="LP895" s="1874"/>
      <c r="LQ895" s="1874"/>
    </row>
    <row r="896" spans="1:329" ht="14.25" customHeight="1">
      <c r="C896" s="1910" t="s">
        <v>6927</v>
      </c>
      <c r="D896" s="1910"/>
      <c r="E896" s="1897" t="s">
        <v>37</v>
      </c>
      <c r="F896" s="1815"/>
      <c r="G896" s="1822"/>
      <c r="H896" s="1918"/>
      <c r="K896" s="1906">
        <f>SUM(K897:K906)</f>
        <v>0</v>
      </c>
      <c r="L896" s="1906">
        <f>SUM(L897:L906)</f>
        <v>20</v>
      </c>
      <c r="M896" s="1906">
        <f t="shared" ref="M896:N896" si="378">SUM(M897:M906)</f>
        <v>52</v>
      </c>
      <c r="N896" s="1906">
        <f t="shared" si="378"/>
        <v>0</v>
      </c>
      <c r="O896" s="1906">
        <f>SUM(O897:O906)</f>
        <v>0</v>
      </c>
      <c r="P896" s="1906">
        <f>SUM(P897:P906)</f>
        <v>72</v>
      </c>
      <c r="S896" s="1910"/>
      <c r="T896" s="1910"/>
      <c r="U896" s="1910"/>
      <c r="V896" s="1910"/>
      <c r="W896" s="1910"/>
      <c r="X896" s="1815"/>
      <c r="AA896" s="1815"/>
      <c r="AB896" s="449"/>
      <c r="AC896" s="1815"/>
      <c r="AF896" s="1815"/>
      <c r="AG896" s="449"/>
      <c r="AH896" s="1815"/>
      <c r="AK896" s="1815"/>
      <c r="AL896" s="449"/>
      <c r="AM896" s="1815"/>
      <c r="AP896" s="1815"/>
      <c r="AQ896" s="449"/>
      <c r="AR896" s="450"/>
      <c r="AS896" s="450"/>
      <c r="AT896" s="450"/>
      <c r="AU896" s="450"/>
      <c r="AV896" s="450"/>
      <c r="AW896" s="450"/>
      <c r="BB896" s="450"/>
    </row>
    <row r="897" spans="3:329" ht="14.25" customHeight="1">
      <c r="C897" s="1910"/>
      <c r="D897" s="1910"/>
      <c r="E897" s="1897"/>
      <c r="F897" s="1815"/>
      <c r="H897" s="1911" t="s">
        <v>2537</v>
      </c>
      <c r="I897" s="1908"/>
      <c r="K897" s="1906">
        <f>JS817</f>
        <v>0</v>
      </c>
      <c r="L897" s="1906">
        <f>JT817</f>
        <v>0</v>
      </c>
      <c r="M897" s="1906">
        <f>JU817</f>
        <v>0</v>
      </c>
      <c r="N897" s="1906">
        <f>JV817</f>
        <v>0</v>
      </c>
      <c r="O897" s="1906">
        <f>JW817</f>
        <v>0</v>
      </c>
      <c r="P897" s="1906">
        <f t="shared" ref="P897:P914" si="379">SUM(K897:O897)</f>
        <v>0</v>
      </c>
      <c r="S897" s="1910"/>
      <c r="T897" s="1910"/>
      <c r="U897" s="1910"/>
      <c r="V897" s="1910"/>
      <c r="W897" s="1910"/>
      <c r="X897" s="1815"/>
      <c r="AA897" s="1815"/>
      <c r="AB897" s="449"/>
      <c r="AC897" s="1815"/>
      <c r="AF897" s="1815"/>
      <c r="AG897" s="449"/>
      <c r="AH897" s="1815"/>
      <c r="AK897" s="1815"/>
      <c r="AL897" s="449"/>
      <c r="AM897" s="1815"/>
      <c r="AP897" s="1815"/>
      <c r="AQ897" s="449"/>
      <c r="AR897" s="450"/>
      <c r="AS897" s="450"/>
      <c r="AT897" s="450"/>
      <c r="AU897" s="450"/>
      <c r="AV897" s="450"/>
      <c r="AW897" s="450"/>
      <c r="BB897" s="450"/>
    </row>
    <row r="898" spans="3:329" ht="14.25" customHeight="1">
      <c r="C898" s="1910"/>
      <c r="D898" s="1910"/>
      <c r="E898" s="1897"/>
      <c r="F898" s="1815"/>
      <c r="H898" s="1911" t="s">
        <v>3251</v>
      </c>
      <c r="I898" s="1908"/>
      <c r="K898" s="1906">
        <f>JX817</f>
        <v>0</v>
      </c>
      <c r="L898" s="1906">
        <f>JY817</f>
        <v>0</v>
      </c>
      <c r="M898" s="1906">
        <f>JZ817</f>
        <v>0</v>
      </c>
      <c r="N898" s="1906">
        <f>KA817</f>
        <v>0</v>
      </c>
      <c r="O898" s="1906">
        <f>KB817</f>
        <v>0</v>
      </c>
      <c r="P898" s="1906">
        <f t="shared" si="379"/>
        <v>0</v>
      </c>
      <c r="S898" s="1910"/>
      <c r="T898" s="1910"/>
      <c r="U898" s="1910"/>
      <c r="V898" s="1910"/>
      <c r="W898" s="1910"/>
      <c r="X898" s="1815"/>
      <c r="AA898" s="1815"/>
      <c r="AB898" s="449"/>
      <c r="AC898" s="1815"/>
      <c r="AF898" s="1815"/>
      <c r="AG898" s="449"/>
      <c r="AH898" s="1815"/>
      <c r="AK898" s="1815"/>
      <c r="AL898" s="449"/>
      <c r="AM898" s="1815"/>
      <c r="AP898" s="1815"/>
      <c r="AQ898" s="449"/>
      <c r="AR898" s="450"/>
      <c r="AS898" s="450"/>
      <c r="AT898" s="450"/>
      <c r="AU898" s="450"/>
      <c r="AV898" s="450"/>
      <c r="AW898" s="450"/>
      <c r="BB898" s="450"/>
    </row>
    <row r="899" spans="3:329" ht="14.25" customHeight="1">
      <c r="C899" s="1910"/>
      <c r="D899" s="1910"/>
      <c r="E899" s="1897"/>
      <c r="F899" s="1815"/>
      <c r="H899" s="1911" t="s">
        <v>2538</v>
      </c>
      <c r="I899" s="1908"/>
      <c r="K899" s="1906">
        <f>KC817</f>
        <v>0</v>
      </c>
      <c r="L899" s="1906">
        <f>KD817</f>
        <v>0</v>
      </c>
      <c r="M899" s="1906">
        <f>KE817</f>
        <v>0</v>
      </c>
      <c r="N899" s="1906">
        <f>KF817</f>
        <v>0</v>
      </c>
      <c r="O899" s="1906">
        <f>KG817</f>
        <v>0</v>
      </c>
      <c r="P899" s="1906">
        <f t="shared" si="379"/>
        <v>0</v>
      </c>
      <c r="S899" s="1910"/>
      <c r="T899" s="1910"/>
      <c r="U899" s="1910"/>
      <c r="V899" s="1910"/>
      <c r="W899" s="1910"/>
      <c r="X899" s="1815"/>
      <c r="AA899" s="1815"/>
      <c r="AB899" s="449"/>
      <c r="AC899" s="1815"/>
      <c r="AF899" s="1815"/>
      <c r="AG899" s="449"/>
      <c r="AH899" s="1815"/>
      <c r="AK899" s="1815"/>
      <c r="AL899" s="449"/>
      <c r="AM899" s="1815"/>
      <c r="AP899" s="1815"/>
      <c r="AQ899" s="449"/>
      <c r="AR899" s="450"/>
      <c r="AS899" s="450"/>
      <c r="AT899" s="450"/>
      <c r="AU899" s="450"/>
      <c r="AV899" s="450"/>
      <c r="AW899" s="450"/>
      <c r="BB899" s="450"/>
    </row>
    <row r="900" spans="3:329" ht="14.25" customHeight="1">
      <c r="C900" s="1910"/>
      <c r="D900" s="1910"/>
      <c r="E900" s="1897"/>
      <c r="F900" s="1815"/>
      <c r="H900" s="1911" t="s">
        <v>3251</v>
      </c>
      <c r="I900" s="1908"/>
      <c r="K900" s="1906">
        <f>KH817</f>
        <v>0</v>
      </c>
      <c r="L900" s="1906">
        <f>KI817</f>
        <v>0</v>
      </c>
      <c r="M900" s="1906">
        <f>KJ817</f>
        <v>0</v>
      </c>
      <c r="N900" s="1906">
        <f>KK817</f>
        <v>0</v>
      </c>
      <c r="O900" s="1906">
        <f>KL817</f>
        <v>0</v>
      </c>
      <c r="P900" s="1906">
        <f t="shared" si="379"/>
        <v>0</v>
      </c>
      <c r="S900" s="1910"/>
      <c r="T900" s="1910"/>
      <c r="U900" s="1910"/>
      <c r="V900" s="1910"/>
      <c r="W900" s="1910"/>
      <c r="X900" s="1815"/>
      <c r="AA900" s="1815"/>
      <c r="AB900" s="449"/>
      <c r="AC900" s="1815"/>
      <c r="AF900" s="1815"/>
      <c r="AG900" s="449"/>
      <c r="AH900" s="1815"/>
      <c r="AK900" s="1815"/>
      <c r="AL900" s="449"/>
      <c r="AM900" s="1815"/>
      <c r="AP900" s="1815"/>
      <c r="AQ900" s="449"/>
      <c r="AR900" s="450"/>
      <c r="AS900" s="450"/>
      <c r="AT900" s="450"/>
      <c r="AU900" s="450"/>
      <c r="AV900" s="450"/>
      <c r="AW900" s="450"/>
      <c r="BB900" s="450"/>
    </row>
    <row r="901" spans="3:329" ht="14.25" customHeight="1">
      <c r="C901" s="1910"/>
      <c r="D901" s="1910"/>
      <c r="E901" s="1897"/>
      <c r="F901" s="1815"/>
      <c r="H901" s="1911" t="s">
        <v>2540</v>
      </c>
      <c r="I901" s="1908"/>
      <c r="K901" s="1906">
        <f>KM817</f>
        <v>0</v>
      </c>
      <c r="L901" s="1906">
        <f>KN817</f>
        <v>0</v>
      </c>
      <c r="M901" s="1906">
        <f>KO817</f>
        <v>0</v>
      </c>
      <c r="N901" s="1906">
        <f>KP817</f>
        <v>0</v>
      </c>
      <c r="O901" s="1906">
        <f>KQ817</f>
        <v>0</v>
      </c>
      <c r="P901" s="1906">
        <f t="shared" si="379"/>
        <v>0</v>
      </c>
      <c r="S901" s="1910"/>
      <c r="T901" s="1910"/>
      <c r="U901" s="1910"/>
      <c r="V901" s="1910"/>
      <c r="W901" s="1910"/>
      <c r="X901" s="1815"/>
      <c r="AA901" s="1815"/>
      <c r="AB901" s="449"/>
      <c r="AC901" s="1815"/>
      <c r="AF901" s="1815"/>
      <c r="AG901" s="449"/>
      <c r="AH901" s="1815"/>
      <c r="AK901" s="1815"/>
      <c r="AL901" s="449"/>
      <c r="AM901" s="1815"/>
      <c r="AP901" s="1815"/>
      <c r="AQ901" s="449"/>
      <c r="AR901" s="450"/>
      <c r="AS901" s="450"/>
      <c r="AT901" s="450"/>
      <c r="AU901" s="450"/>
      <c r="AV901" s="450"/>
      <c r="AW901" s="450"/>
      <c r="BB901" s="450"/>
    </row>
    <row r="902" spans="3:329" ht="14.25" customHeight="1">
      <c r="C902" s="1910"/>
      <c r="D902" s="1910"/>
      <c r="E902" s="1897"/>
      <c r="F902" s="1815"/>
      <c r="H902" s="1911" t="s">
        <v>3251</v>
      </c>
      <c r="I902" s="1908"/>
      <c r="K902" s="1906">
        <f>KR817</f>
        <v>0</v>
      </c>
      <c r="L902" s="1906">
        <f>KS817</f>
        <v>0</v>
      </c>
      <c r="M902" s="1906">
        <f>KT817</f>
        <v>0</v>
      </c>
      <c r="N902" s="1906">
        <f>KU817</f>
        <v>0</v>
      </c>
      <c r="O902" s="1906">
        <f>KV817</f>
        <v>0</v>
      </c>
      <c r="P902" s="1906">
        <f t="shared" si="379"/>
        <v>0</v>
      </c>
      <c r="S902" s="1910"/>
      <c r="T902" s="1910"/>
      <c r="U902" s="1910"/>
      <c r="V902" s="1910"/>
      <c r="W902" s="1910"/>
      <c r="X902" s="1815"/>
      <c r="AA902" s="1815"/>
      <c r="AB902" s="449"/>
      <c r="AC902" s="1815"/>
      <c r="AF902" s="1815"/>
      <c r="AG902" s="449"/>
      <c r="AH902" s="1815"/>
      <c r="AK902" s="1815"/>
      <c r="AL902" s="449"/>
      <c r="AM902" s="1815"/>
      <c r="AP902" s="1815"/>
      <c r="AQ902" s="449"/>
      <c r="AR902" s="450"/>
      <c r="AS902" s="450"/>
      <c r="AT902" s="450"/>
      <c r="AU902" s="450"/>
      <c r="AV902" s="450"/>
      <c r="AW902" s="450"/>
      <c r="BB902" s="450"/>
    </row>
    <row r="903" spans="3:329" ht="14.25" customHeight="1">
      <c r="C903" s="1910"/>
      <c r="D903" s="1910"/>
      <c r="E903" s="1897"/>
      <c r="F903" s="1815"/>
      <c r="H903" s="1911" t="s">
        <v>2539</v>
      </c>
      <c r="I903" s="1908"/>
      <c r="K903" s="1906">
        <f>KW817</f>
        <v>0</v>
      </c>
      <c r="L903" s="1906">
        <f>KX817</f>
        <v>0</v>
      </c>
      <c r="M903" s="1906">
        <f>KY817</f>
        <v>0</v>
      </c>
      <c r="N903" s="1906">
        <f>KZ817</f>
        <v>0</v>
      </c>
      <c r="O903" s="1906">
        <f>LA817</f>
        <v>0</v>
      </c>
      <c r="P903" s="1906">
        <f t="shared" si="379"/>
        <v>0</v>
      </c>
      <c r="S903" s="1910"/>
      <c r="T903" s="1910"/>
      <c r="U903" s="1910"/>
      <c r="V903" s="1910"/>
      <c r="W903" s="1910"/>
      <c r="X903" s="1815"/>
      <c r="AA903" s="1815"/>
      <c r="AB903" s="449"/>
      <c r="AC903" s="1815"/>
      <c r="AF903" s="1815"/>
      <c r="AG903" s="449"/>
      <c r="AH903" s="1815"/>
      <c r="AK903" s="1815"/>
      <c r="AL903" s="449"/>
      <c r="AM903" s="1815"/>
      <c r="AP903" s="1815"/>
      <c r="AQ903" s="449"/>
      <c r="AR903" s="450"/>
      <c r="AS903" s="450"/>
      <c r="AT903" s="450"/>
      <c r="AU903" s="450"/>
      <c r="AV903" s="450"/>
      <c r="AW903" s="450"/>
      <c r="BB903" s="450"/>
    </row>
    <row r="904" spans="3:329" ht="14.25" customHeight="1">
      <c r="C904" s="1910"/>
      <c r="D904" s="1910"/>
      <c r="E904" s="1897"/>
      <c r="F904" s="1815"/>
      <c r="H904" s="1911" t="s">
        <v>3251</v>
      </c>
      <c r="I904" s="1908"/>
      <c r="K904" s="1906">
        <f>LB817</f>
        <v>0</v>
      </c>
      <c r="L904" s="1906">
        <f>LC817</f>
        <v>0</v>
      </c>
      <c r="M904" s="1906">
        <f>LD817</f>
        <v>0</v>
      </c>
      <c r="N904" s="1906">
        <f>LE817</f>
        <v>0</v>
      </c>
      <c r="O904" s="1906">
        <f>LF817</f>
        <v>0</v>
      </c>
      <c r="P904" s="1906">
        <f t="shared" si="379"/>
        <v>0</v>
      </c>
      <c r="S904" s="1910"/>
      <c r="T904" s="1910"/>
      <c r="U904" s="1910"/>
      <c r="V904" s="1910"/>
      <c r="W904" s="1910"/>
      <c r="X904" s="1815"/>
      <c r="AA904" s="1815"/>
      <c r="AB904" s="449"/>
      <c r="AC904" s="1815"/>
      <c r="AF904" s="1815"/>
      <c r="AG904" s="449"/>
      <c r="AH904" s="1815"/>
      <c r="AK904" s="1815"/>
      <c r="AL904" s="449"/>
      <c r="AM904" s="1815"/>
      <c r="AP904" s="1815"/>
      <c r="AQ904" s="449"/>
      <c r="AR904" s="450"/>
      <c r="AS904" s="450"/>
      <c r="AT904" s="450"/>
      <c r="AU904" s="450"/>
      <c r="AV904" s="450"/>
      <c r="AW904" s="450"/>
      <c r="BB904" s="450"/>
    </row>
    <row r="905" spans="3:329" ht="14.25" customHeight="1">
      <c r="C905" s="1981"/>
      <c r="D905" s="1981"/>
      <c r="E905" s="1897"/>
      <c r="F905" s="1815"/>
      <c r="H905" s="1911" t="s">
        <v>4796</v>
      </c>
      <c r="I905" s="1908"/>
      <c r="K905" s="1906">
        <f>LG817</f>
        <v>0</v>
      </c>
      <c r="L905" s="1906">
        <f>LH817</f>
        <v>20</v>
      </c>
      <c r="M905" s="1906">
        <f>LI817</f>
        <v>52</v>
      </c>
      <c r="N905" s="1906">
        <f>LJ817</f>
        <v>0</v>
      </c>
      <c r="O905" s="1906">
        <f>LK817</f>
        <v>0</v>
      </c>
      <c r="P905" s="1906">
        <f t="shared" si="379"/>
        <v>72</v>
      </c>
      <c r="S905" s="1910"/>
      <c r="T905" s="1910"/>
      <c r="U905" s="1910"/>
      <c r="V905" s="1910"/>
      <c r="W905" s="1910"/>
      <c r="X905" s="1815"/>
      <c r="AA905" s="1815"/>
      <c r="AB905" s="449"/>
      <c r="AC905" s="1815"/>
      <c r="AF905" s="1815"/>
      <c r="AG905" s="449"/>
      <c r="AH905" s="1815"/>
      <c r="AK905" s="1815"/>
      <c r="AL905" s="449"/>
      <c r="AM905" s="1815"/>
      <c r="AP905" s="1815"/>
      <c r="AQ905" s="449"/>
      <c r="AR905" s="450"/>
      <c r="AS905" s="450"/>
      <c r="AT905" s="450"/>
      <c r="AU905" s="450"/>
      <c r="AV905" s="450"/>
      <c r="AW905" s="450"/>
      <c r="BB905" s="450"/>
    </row>
    <row r="906" spans="3:329" ht="14.25" customHeight="1">
      <c r="C906" s="1981"/>
      <c r="D906" s="1981"/>
      <c r="E906" s="1897"/>
      <c r="F906" s="1815"/>
      <c r="H906" s="1911" t="s">
        <v>3251</v>
      </c>
      <c r="I906" s="1908"/>
      <c r="K906" s="1906">
        <f>LL817</f>
        <v>0</v>
      </c>
      <c r="L906" s="1906">
        <f>LM817</f>
        <v>0</v>
      </c>
      <c r="M906" s="1906">
        <f>LN817</f>
        <v>0</v>
      </c>
      <c r="N906" s="1906">
        <f>LO817</f>
        <v>0</v>
      </c>
      <c r="O906" s="1906">
        <f>LP817</f>
        <v>0</v>
      </c>
      <c r="P906" s="1906">
        <f t="shared" si="379"/>
        <v>0</v>
      </c>
      <c r="S906" s="1910"/>
      <c r="T906" s="1910"/>
      <c r="U906" s="1910"/>
      <c r="V906" s="1910"/>
      <c r="W906" s="1910"/>
      <c r="X906" s="1815"/>
      <c r="AA906" s="1815"/>
      <c r="AB906" s="449"/>
      <c r="AC906" s="1815"/>
      <c r="AF906" s="1815"/>
      <c r="AG906" s="449"/>
      <c r="AH906" s="1815"/>
      <c r="AK906" s="1815"/>
      <c r="AL906" s="449"/>
      <c r="AM906" s="1815"/>
      <c r="AP906" s="1815"/>
      <c r="AQ906" s="449"/>
      <c r="AR906" s="450"/>
      <c r="AS906" s="450"/>
      <c r="AT906" s="450"/>
      <c r="AU906" s="450"/>
      <c r="AV906" s="450"/>
      <c r="AW906" s="450"/>
      <c r="BB906" s="450"/>
    </row>
    <row r="907" spans="3:329" ht="14.25" customHeight="1">
      <c r="E907" s="1897" t="s">
        <v>38</v>
      </c>
      <c r="F907" s="1815"/>
      <c r="H907" s="1911"/>
      <c r="I907" s="1908"/>
      <c r="K907" s="1906">
        <f>IE817</f>
        <v>0</v>
      </c>
      <c r="L907" s="1906">
        <f>IF817</f>
        <v>0</v>
      </c>
      <c r="M907" s="1906">
        <f>IG817</f>
        <v>0</v>
      </c>
      <c r="N907" s="1906">
        <f>IH817</f>
        <v>0</v>
      </c>
      <c r="O907" s="1906">
        <f>II817</f>
        <v>0</v>
      </c>
      <c r="P907" s="1906">
        <f t="shared" si="379"/>
        <v>0</v>
      </c>
      <c r="S907" s="1910"/>
      <c r="T907" s="1910"/>
      <c r="U907" s="1910"/>
      <c r="V907" s="1910"/>
      <c r="W907" s="1910"/>
      <c r="X907" s="1815"/>
      <c r="AA907" s="1815"/>
      <c r="AB907" s="449"/>
      <c r="AC907" s="1815"/>
      <c r="AF907" s="1815"/>
      <c r="AG907" s="449"/>
      <c r="AH907" s="1815"/>
      <c r="AK907" s="1815"/>
      <c r="AL907" s="449"/>
      <c r="AM907" s="1815"/>
      <c r="AP907" s="1815"/>
      <c r="AQ907" s="449"/>
      <c r="AR907" s="450"/>
      <c r="AS907" s="450"/>
      <c r="AT907" s="450"/>
      <c r="AU907" s="450"/>
      <c r="AV907" s="450"/>
      <c r="AW907" s="450"/>
      <c r="AX907" s="1945"/>
      <c r="AY907" s="1815"/>
      <c r="BB907" s="450"/>
      <c r="BC907" s="1945"/>
      <c r="BD907" s="1815"/>
      <c r="JW907" s="1874"/>
      <c r="KB907" s="1874"/>
      <c r="KC907" s="1874"/>
      <c r="KD907" s="1874"/>
      <c r="KE907" s="1874"/>
      <c r="KF907" s="1874"/>
      <c r="KG907" s="1874"/>
      <c r="KH907" s="1874"/>
      <c r="KI907" s="1874"/>
      <c r="KJ907" s="1874"/>
      <c r="KK907" s="1874"/>
      <c r="KL907" s="1874"/>
      <c r="KM907" s="1874"/>
      <c r="KN907" s="1874"/>
      <c r="KO907" s="1874"/>
      <c r="KP907" s="1874"/>
      <c r="KQ907" s="1874"/>
      <c r="KR907" s="1874"/>
      <c r="KS907" s="1874"/>
      <c r="KT907" s="1874"/>
      <c r="KU907" s="1874"/>
      <c r="KV907" s="1874"/>
      <c r="KW907" s="1874"/>
      <c r="KX907" s="1874"/>
      <c r="KY907" s="1874"/>
      <c r="KZ907" s="1874"/>
      <c r="LA907" s="1874"/>
      <c r="LB907" s="1874"/>
      <c r="LC907" s="1874"/>
      <c r="LD907" s="1874"/>
      <c r="LE907" s="1874"/>
      <c r="LF907" s="1874"/>
      <c r="LG907" s="1874"/>
      <c r="LH907" s="1874"/>
      <c r="LI907" s="1874"/>
      <c r="LJ907" s="1874"/>
      <c r="LK907" s="1874"/>
      <c r="LL907" s="1874"/>
      <c r="LM907" s="1874"/>
      <c r="LN907" s="1874"/>
      <c r="LO907" s="1874"/>
      <c r="LP907" s="1874"/>
      <c r="LQ907" s="1874"/>
    </row>
    <row r="908" spans="3:329" ht="14.25" customHeight="1">
      <c r="E908" s="1897"/>
      <c r="F908" s="1815"/>
      <c r="H908" s="1911" t="s">
        <v>3251</v>
      </c>
      <c r="I908" s="1908"/>
      <c r="K908" s="1906">
        <f>IJ817</f>
        <v>0</v>
      </c>
      <c r="L908" s="1906">
        <f>IK817</f>
        <v>0</v>
      </c>
      <c r="M908" s="1906">
        <f>IL817</f>
        <v>0</v>
      </c>
      <c r="N908" s="1906">
        <f>IM817</f>
        <v>0</v>
      </c>
      <c r="O908" s="1906">
        <f>IN817</f>
        <v>0</v>
      </c>
      <c r="P908" s="1906">
        <f t="shared" si="379"/>
        <v>0</v>
      </c>
      <c r="S908" s="1910"/>
      <c r="T908" s="1910"/>
      <c r="U908" s="1910"/>
      <c r="V908" s="1910"/>
      <c r="W908" s="1910"/>
      <c r="X908" s="1815"/>
      <c r="AA908" s="1815"/>
      <c r="AB908" s="449"/>
      <c r="AC908" s="1815"/>
      <c r="AF908" s="1815"/>
      <c r="AG908" s="449"/>
      <c r="AH908" s="1815"/>
      <c r="AK908" s="1815"/>
      <c r="AL908" s="449"/>
      <c r="AM908" s="1815"/>
      <c r="AP908" s="1815"/>
      <c r="AQ908" s="449"/>
      <c r="AR908" s="450"/>
      <c r="AS908" s="450"/>
      <c r="AT908" s="450"/>
      <c r="AU908" s="450"/>
      <c r="AV908" s="450"/>
      <c r="AW908" s="450"/>
      <c r="AX908" s="1945"/>
      <c r="AY908" s="1815"/>
      <c r="BB908" s="450"/>
      <c r="BC908" s="1945"/>
      <c r="BD908" s="1815"/>
      <c r="JW908" s="1874"/>
      <c r="KB908" s="1874"/>
      <c r="KC908" s="1874"/>
      <c r="KD908" s="1874"/>
      <c r="KE908" s="1874"/>
      <c r="KF908" s="1874"/>
      <c r="KG908" s="1874"/>
      <c r="KH908" s="1874"/>
      <c r="KI908" s="1874"/>
      <c r="KJ908" s="1874"/>
      <c r="KK908" s="1874"/>
      <c r="KL908" s="1874"/>
      <c r="KM908" s="1874"/>
      <c r="KN908" s="1874"/>
      <c r="KO908" s="1874"/>
      <c r="KP908" s="1874"/>
      <c r="KQ908" s="1874"/>
      <c r="KR908" s="1874"/>
      <c r="KS908" s="1874"/>
      <c r="KT908" s="1874"/>
      <c r="KU908" s="1874"/>
      <c r="KV908" s="1874"/>
      <c r="KW908" s="1874"/>
      <c r="KX908" s="1874"/>
      <c r="KY908" s="1874"/>
      <c r="KZ908" s="1874"/>
      <c r="LA908" s="1874"/>
      <c r="LB908" s="1874"/>
      <c r="LC908" s="1874"/>
      <c r="LD908" s="1874"/>
      <c r="LE908" s="1874"/>
      <c r="LF908" s="1874"/>
      <c r="LG908" s="1874"/>
      <c r="LH908" s="1874"/>
      <c r="LI908" s="1874"/>
      <c r="LJ908" s="1874"/>
      <c r="LK908" s="1874"/>
      <c r="LL908" s="1874"/>
      <c r="LM908" s="1874"/>
      <c r="LN908" s="1874"/>
      <c r="LO908" s="1874"/>
      <c r="LP908" s="1874"/>
      <c r="LQ908" s="1874"/>
    </row>
    <row r="909" spans="3:329" ht="14.25" customHeight="1">
      <c r="C909" s="1815"/>
      <c r="D909" s="1815"/>
      <c r="E909" s="1897" t="s">
        <v>39</v>
      </c>
      <c r="F909" s="1815"/>
      <c r="H909" s="1911"/>
      <c r="I909" s="1908"/>
      <c r="K909" s="1906">
        <f>JI817</f>
        <v>0</v>
      </c>
      <c r="L909" s="1906">
        <f>JJ817</f>
        <v>0</v>
      </c>
      <c r="M909" s="1906">
        <f>JK817</f>
        <v>0</v>
      </c>
      <c r="N909" s="1906">
        <f>JL817</f>
        <v>0</v>
      </c>
      <c r="O909" s="1906">
        <f>JM817</f>
        <v>0</v>
      </c>
      <c r="P909" s="1906">
        <f t="shared" si="379"/>
        <v>0</v>
      </c>
      <c r="S909" s="1910"/>
      <c r="T909" s="1910"/>
      <c r="U909" s="1910"/>
      <c r="V909" s="1910"/>
      <c r="W909" s="1910"/>
      <c r="X909" s="1815"/>
      <c r="AA909" s="1815"/>
      <c r="AB909" s="449"/>
      <c r="AC909" s="1815"/>
      <c r="AF909" s="1815"/>
      <c r="AG909" s="449"/>
      <c r="AH909" s="1815"/>
      <c r="AK909" s="1815"/>
      <c r="AL909" s="449"/>
      <c r="AM909" s="1815"/>
      <c r="AP909" s="1815"/>
      <c r="AQ909" s="449"/>
      <c r="AR909" s="450"/>
      <c r="AS909" s="450"/>
      <c r="AT909" s="450"/>
      <c r="AU909" s="450"/>
      <c r="AV909" s="450"/>
      <c r="AW909" s="450"/>
      <c r="BB909" s="450"/>
    </row>
    <row r="910" spans="3:329" ht="14.25" customHeight="1">
      <c r="C910" s="1815"/>
      <c r="D910" s="1815"/>
      <c r="E910" s="1897"/>
      <c r="F910" s="1815"/>
      <c r="H910" s="1911" t="s">
        <v>3251</v>
      </c>
      <c r="I910" s="1908"/>
      <c r="K910" s="1906">
        <f>JN817</f>
        <v>0</v>
      </c>
      <c r="L910" s="1906">
        <f>JO817</f>
        <v>0</v>
      </c>
      <c r="M910" s="1906">
        <f>JP817</f>
        <v>0</v>
      </c>
      <c r="N910" s="1906">
        <f>JQ817</f>
        <v>0</v>
      </c>
      <c r="O910" s="1906">
        <f>JR817</f>
        <v>0</v>
      </c>
      <c r="P910" s="1906">
        <f t="shared" si="379"/>
        <v>0</v>
      </c>
      <c r="S910" s="1910"/>
      <c r="T910" s="1910"/>
      <c r="U910" s="1910"/>
      <c r="V910" s="1910"/>
      <c r="W910" s="1910"/>
      <c r="X910" s="1815"/>
      <c r="AA910" s="1815"/>
      <c r="AB910" s="449"/>
      <c r="AC910" s="1815"/>
      <c r="AF910" s="1815"/>
      <c r="AG910" s="449"/>
      <c r="AH910" s="1815"/>
      <c r="AK910" s="1815"/>
      <c r="AL910" s="449"/>
      <c r="AM910" s="1815"/>
      <c r="AP910" s="1815"/>
      <c r="AQ910" s="449"/>
      <c r="AR910" s="450"/>
      <c r="AS910" s="450"/>
      <c r="AT910" s="450"/>
      <c r="AU910" s="450"/>
      <c r="AV910" s="450"/>
      <c r="AW910" s="450"/>
      <c r="BB910" s="450"/>
    </row>
    <row r="911" spans="3:329" ht="14.25" customHeight="1">
      <c r="C911" s="1815"/>
      <c r="D911" s="1815"/>
      <c r="E911" s="1897" t="s">
        <v>548</v>
      </c>
      <c r="F911" s="1815"/>
      <c r="H911" s="1911"/>
      <c r="I911" s="1908"/>
      <c r="K911" s="1906">
        <f>IY817</f>
        <v>0</v>
      </c>
      <c r="L911" s="1906">
        <f>IZ817</f>
        <v>0</v>
      </c>
      <c r="M911" s="1906">
        <f>JA817</f>
        <v>0</v>
      </c>
      <c r="N911" s="1906">
        <f>JB817</f>
        <v>0</v>
      </c>
      <c r="O911" s="1906">
        <f>JC817</f>
        <v>0</v>
      </c>
      <c r="P911" s="1906">
        <f t="shared" si="379"/>
        <v>0</v>
      </c>
      <c r="S911" s="1910"/>
      <c r="T911" s="1910"/>
      <c r="U911" s="1910"/>
      <c r="V911" s="1910"/>
      <c r="W911" s="1910"/>
      <c r="X911" s="1815"/>
      <c r="AA911" s="1815"/>
      <c r="AB911" s="449"/>
      <c r="AC911" s="1815"/>
      <c r="AF911" s="1815"/>
      <c r="AG911" s="449"/>
      <c r="AH911" s="1815"/>
      <c r="AK911" s="1815"/>
      <c r="AL911" s="449"/>
      <c r="AM911" s="1815"/>
      <c r="AP911" s="1815"/>
      <c r="AQ911" s="449"/>
      <c r="AR911" s="450"/>
      <c r="AS911" s="450"/>
      <c r="AT911" s="450"/>
      <c r="AU911" s="450"/>
      <c r="AV911" s="450"/>
      <c r="AW911" s="450"/>
      <c r="AX911" s="1945"/>
      <c r="AY911" s="1815"/>
      <c r="BB911" s="450"/>
      <c r="BC911" s="1945"/>
      <c r="BD911" s="1815"/>
      <c r="JW911" s="1874"/>
      <c r="KB911" s="1874"/>
      <c r="KC911" s="1874"/>
      <c r="KD911" s="1874"/>
      <c r="KE911" s="1874"/>
      <c r="KF911" s="1874"/>
      <c r="KG911" s="1874"/>
      <c r="KH911" s="1874"/>
      <c r="KI911" s="1874"/>
      <c r="KJ911" s="1874"/>
      <c r="KK911" s="1874"/>
      <c r="KL911" s="1874"/>
      <c r="KM911" s="1874"/>
      <c r="KN911" s="1874"/>
      <c r="KO911" s="1874"/>
      <c r="KP911" s="1874"/>
      <c r="KQ911" s="1874"/>
      <c r="KR911" s="1874"/>
      <c r="KS911" s="1874"/>
      <c r="KT911" s="1874"/>
      <c r="KU911" s="1874"/>
      <c r="KV911" s="1874"/>
      <c r="KW911" s="1874"/>
      <c r="KX911" s="1874"/>
      <c r="KY911" s="1874"/>
      <c r="KZ911" s="1874"/>
      <c r="LA911" s="1874"/>
      <c r="LB911" s="1874"/>
      <c r="LC911" s="1874"/>
      <c r="LD911" s="1874"/>
      <c r="LE911" s="1874"/>
      <c r="LF911" s="1874"/>
      <c r="LG911" s="1874"/>
      <c r="LH911" s="1874"/>
      <c r="LI911" s="1874"/>
      <c r="LJ911" s="1874"/>
      <c r="LK911" s="1874"/>
      <c r="LL911" s="1874"/>
      <c r="LM911" s="1874"/>
      <c r="LN911" s="1874"/>
      <c r="LO911" s="1874"/>
      <c r="LP911" s="1874"/>
      <c r="LQ911" s="1874"/>
    </row>
    <row r="912" spans="3:329" ht="14.25" customHeight="1">
      <c r="C912" s="1815"/>
      <c r="D912" s="1815"/>
      <c r="E912" s="1897"/>
      <c r="F912" s="1815"/>
      <c r="H912" s="1911" t="s">
        <v>3251</v>
      </c>
      <c r="I912" s="1908"/>
      <c r="K912" s="1906">
        <f>JD817</f>
        <v>0</v>
      </c>
      <c r="L912" s="1906">
        <f>JE817</f>
        <v>0</v>
      </c>
      <c r="M912" s="1906">
        <f>JF817</f>
        <v>0</v>
      </c>
      <c r="N912" s="1906">
        <f>JG817</f>
        <v>0</v>
      </c>
      <c r="O912" s="1906">
        <f>JH817</f>
        <v>0</v>
      </c>
      <c r="P912" s="1906">
        <f t="shared" si="379"/>
        <v>0</v>
      </c>
      <c r="S912" s="1910"/>
      <c r="T912" s="1910"/>
      <c r="U912" s="1910"/>
      <c r="V912" s="1910"/>
      <c r="W912" s="1910"/>
      <c r="X912" s="1815"/>
      <c r="AA912" s="1815"/>
      <c r="AB912" s="449"/>
      <c r="AC912" s="1815"/>
      <c r="AF912" s="1815"/>
      <c r="AG912" s="449"/>
      <c r="AH912" s="1815"/>
      <c r="AK912" s="1815"/>
      <c r="AL912" s="449"/>
      <c r="AM912" s="1815"/>
      <c r="AP912" s="1815"/>
      <c r="AQ912" s="449"/>
      <c r="AR912" s="450"/>
      <c r="AS912" s="450"/>
      <c r="AT912" s="450"/>
      <c r="AU912" s="450"/>
      <c r="AV912" s="450"/>
      <c r="AW912" s="450"/>
      <c r="AX912" s="1945"/>
      <c r="AY912" s="1815"/>
      <c r="BB912" s="450"/>
      <c r="BC912" s="1945"/>
      <c r="BD912" s="1815"/>
      <c r="JW912" s="1874"/>
      <c r="KB912" s="1874"/>
      <c r="KC912" s="1874"/>
      <c r="KD912" s="1874"/>
      <c r="KE912" s="1874"/>
      <c r="KF912" s="1874"/>
      <c r="KG912" s="1874"/>
      <c r="KH912" s="1874"/>
      <c r="KI912" s="1874"/>
      <c r="KJ912" s="1874"/>
      <c r="KK912" s="1874"/>
      <c r="KL912" s="1874"/>
      <c r="KM912" s="1874"/>
      <c r="KN912" s="1874"/>
      <c r="KO912" s="1874"/>
      <c r="KP912" s="1874"/>
      <c r="KQ912" s="1874"/>
      <c r="KR912" s="1874"/>
      <c r="KS912" s="1874"/>
      <c r="KT912" s="1874"/>
      <c r="KU912" s="1874"/>
      <c r="KV912" s="1874"/>
      <c r="KW912" s="1874"/>
      <c r="KX912" s="1874"/>
      <c r="KY912" s="1874"/>
      <c r="KZ912" s="1874"/>
      <c r="LA912" s="1874"/>
      <c r="LB912" s="1874"/>
      <c r="LC912" s="1874"/>
      <c r="LD912" s="1874"/>
      <c r="LE912" s="1874"/>
      <c r="LF912" s="1874"/>
      <c r="LG912" s="1874"/>
      <c r="LH912" s="1874"/>
      <c r="LI912" s="1874"/>
      <c r="LJ912" s="1874"/>
      <c r="LK912" s="1874"/>
      <c r="LL912" s="1874"/>
      <c r="LM912" s="1874"/>
      <c r="LN912" s="1874"/>
      <c r="LO912" s="1874"/>
      <c r="LP912" s="1874"/>
      <c r="LQ912" s="1874"/>
    </row>
    <row r="913" spans="1:329" ht="14.25" customHeight="1">
      <c r="C913" s="1815"/>
      <c r="D913" s="1815"/>
      <c r="E913" s="1918" t="s">
        <v>549</v>
      </c>
      <c r="F913" s="1815"/>
      <c r="H913" s="1911"/>
      <c r="I913" s="1908"/>
      <c r="K913" s="1906">
        <f>IO817</f>
        <v>0</v>
      </c>
      <c r="L913" s="1906">
        <f>IP817</f>
        <v>0</v>
      </c>
      <c r="M913" s="1906">
        <f>IQ817</f>
        <v>0</v>
      </c>
      <c r="N913" s="1906">
        <f>IR817</f>
        <v>0</v>
      </c>
      <c r="O913" s="1906">
        <f>IS817</f>
        <v>0</v>
      </c>
      <c r="P913" s="1906">
        <f t="shared" si="379"/>
        <v>0</v>
      </c>
      <c r="S913" s="1910"/>
      <c r="T913" s="1910"/>
      <c r="U913" s="1910"/>
      <c r="V913" s="1910"/>
      <c r="W913" s="1910"/>
      <c r="X913" s="1815"/>
      <c r="AA913" s="1815"/>
      <c r="AB913" s="449"/>
      <c r="AC913" s="1815"/>
      <c r="AF913" s="1815"/>
      <c r="AG913" s="449"/>
      <c r="AH913" s="1815"/>
      <c r="AK913" s="1815"/>
      <c r="AL913" s="449"/>
      <c r="AM913" s="1815"/>
      <c r="AP913" s="1815"/>
      <c r="AQ913" s="449"/>
      <c r="AR913" s="450"/>
      <c r="AS913" s="450"/>
      <c r="AT913" s="450"/>
      <c r="AU913" s="450"/>
      <c r="AV913" s="450"/>
      <c r="AW913" s="450"/>
      <c r="BB913" s="450"/>
    </row>
    <row r="914" spans="1:329" ht="14.25" customHeight="1">
      <c r="C914" s="1815"/>
      <c r="D914" s="1815"/>
      <c r="E914" s="1918"/>
      <c r="F914" s="1815"/>
      <c r="H914" s="1911" t="s">
        <v>3251</v>
      </c>
      <c r="I914" s="1908"/>
      <c r="K914" s="1906">
        <f>IT817</f>
        <v>0</v>
      </c>
      <c r="L914" s="1906">
        <f>IU817</f>
        <v>0</v>
      </c>
      <c r="M914" s="1906">
        <f>IV817</f>
        <v>0</v>
      </c>
      <c r="N914" s="1906">
        <f>IW817</f>
        <v>0</v>
      </c>
      <c r="O914" s="1906">
        <f>IX817</f>
        <v>0</v>
      </c>
      <c r="P914" s="1906">
        <f t="shared" si="379"/>
        <v>0</v>
      </c>
      <c r="S914" s="1910"/>
      <c r="T914" s="1910"/>
      <c r="U914" s="1910"/>
      <c r="V914" s="1910"/>
      <c r="W914" s="1910"/>
      <c r="X914" s="1815"/>
      <c r="AA914" s="1815"/>
      <c r="AB914" s="449"/>
      <c r="AC914" s="1815"/>
      <c r="AF914" s="1815"/>
      <c r="AG914" s="449"/>
      <c r="AH914" s="1815"/>
      <c r="AK914" s="1815"/>
      <c r="AL914" s="449"/>
      <c r="AM914" s="1815"/>
      <c r="AP914" s="1815"/>
      <c r="AQ914" s="449"/>
      <c r="AR914" s="450"/>
      <c r="AS914" s="450"/>
      <c r="AT914" s="450"/>
      <c r="AU914" s="450"/>
      <c r="AV914" s="450"/>
      <c r="AW914" s="450"/>
      <c r="BB914" s="450"/>
    </row>
    <row r="915" spans="1:329" ht="10.5" customHeight="1">
      <c r="C915" s="1815"/>
      <c r="H915" s="1912"/>
      <c r="I915" s="1913"/>
      <c r="K915" s="2111"/>
      <c r="L915" s="2111"/>
      <c r="M915" s="2111"/>
      <c r="N915" s="2111"/>
      <c r="O915" s="2111"/>
      <c r="P915" s="2111"/>
      <c r="JW915" s="1874"/>
      <c r="KB915" s="1874"/>
      <c r="KC915" s="1874"/>
      <c r="KD915" s="1874"/>
      <c r="KE915" s="1874"/>
      <c r="KF915" s="1874"/>
      <c r="KG915" s="1874"/>
      <c r="KH915" s="1874"/>
      <c r="KI915" s="1874"/>
      <c r="KJ915" s="1874"/>
      <c r="KK915" s="1874"/>
      <c r="KL915" s="1874"/>
      <c r="KM915" s="1874"/>
      <c r="KN915" s="1874"/>
      <c r="KO915" s="1874"/>
      <c r="KP915" s="1874"/>
      <c r="KQ915" s="1874"/>
      <c r="KR915" s="1874"/>
      <c r="KS915" s="1874"/>
      <c r="KT915" s="1874"/>
      <c r="KU915" s="1874"/>
      <c r="KV915" s="1874"/>
      <c r="KW915" s="1874"/>
      <c r="KX915" s="1874"/>
      <c r="KY915" s="1874"/>
      <c r="KZ915" s="1874"/>
      <c r="LA915" s="1874"/>
      <c r="LB915" s="1874"/>
      <c r="LC915" s="1874"/>
      <c r="LD915" s="1874"/>
      <c r="LE915" s="1874"/>
      <c r="LF915" s="1874"/>
      <c r="LG915" s="1874"/>
      <c r="LH915" s="1874"/>
      <c r="LI915" s="1874"/>
      <c r="LJ915" s="1874"/>
      <c r="LK915" s="1874"/>
      <c r="LL915" s="1874"/>
      <c r="LM915" s="1874"/>
      <c r="LN915" s="1874"/>
      <c r="LO915" s="1874"/>
      <c r="LP915" s="1874"/>
      <c r="LQ915" s="1874"/>
    </row>
    <row r="916" spans="1:329" ht="14.4" customHeight="1">
      <c r="A916" s="1995" t="s">
        <v>722</v>
      </c>
      <c r="B916" s="1995" t="s">
        <v>6972</v>
      </c>
      <c r="H916" s="1918"/>
      <c r="L916" s="1914">
        <f>$L$53</f>
        <v>0</v>
      </c>
      <c r="M916" s="1914"/>
      <c r="N916" s="1914"/>
      <c r="O916" s="1914"/>
      <c r="S916" s="1815" t="str">
        <f>B916</f>
        <v>UNIT SUMMARY (Continued)</v>
      </c>
      <c r="T916" s="1815"/>
      <c r="U916" s="1815"/>
      <c r="V916" s="1815"/>
      <c r="AY916" s="1815"/>
      <c r="BD916" s="1815"/>
      <c r="JW916" s="1874"/>
      <c r="KB916" s="1874"/>
      <c r="KC916" s="1874"/>
      <c r="KD916" s="1874"/>
      <c r="KE916" s="1874"/>
      <c r="KF916" s="1874"/>
      <c r="KG916" s="1874"/>
      <c r="KH916" s="1874"/>
      <c r="KI916" s="1874"/>
      <c r="KJ916" s="1874"/>
      <c r="KK916" s="1874"/>
      <c r="KL916" s="1874"/>
      <c r="KM916" s="1874"/>
      <c r="KN916" s="1874"/>
      <c r="KO916" s="1874"/>
      <c r="KP916" s="1874"/>
      <c r="KQ916" s="1874"/>
      <c r="KR916" s="1874"/>
      <c r="KS916" s="1874"/>
      <c r="KT916" s="1874"/>
      <c r="KU916" s="1874"/>
      <c r="KV916" s="1874"/>
      <c r="KW916" s="1874"/>
      <c r="KX916" s="1874"/>
      <c r="KY916" s="1874"/>
      <c r="KZ916" s="1874"/>
      <c r="LA916" s="1874"/>
      <c r="LB916" s="1874"/>
      <c r="LC916" s="1874"/>
      <c r="LD916" s="1874"/>
      <c r="LE916" s="1874"/>
      <c r="LF916" s="1874"/>
      <c r="LG916" s="1874"/>
      <c r="LH916" s="1874"/>
      <c r="LI916" s="1874"/>
      <c r="LJ916" s="1874"/>
      <c r="LK916" s="1874"/>
      <c r="LL916" s="1874"/>
      <c r="LM916" s="1874"/>
      <c r="LN916" s="1874"/>
      <c r="LO916" s="1874"/>
      <c r="LP916" s="1874"/>
      <c r="LQ916" s="1874"/>
    </row>
    <row r="917" spans="1:329" ht="9" customHeight="1">
      <c r="H917" s="1918"/>
      <c r="Q917" s="1815"/>
      <c r="S917" s="1819" t="str">
        <f>C918</f>
        <v>Building Type:
(for Cost Limit purposes only - see Application Instructions for further detail)</v>
      </c>
      <c r="U917" s="2109"/>
      <c r="AY917" s="1815"/>
      <c r="BD917" s="1815"/>
      <c r="JW917" s="1874"/>
      <c r="KB917" s="1874"/>
      <c r="KC917" s="1874"/>
      <c r="KD917" s="1874"/>
      <c r="KE917" s="1874"/>
      <c r="KF917" s="1874"/>
      <c r="KG917" s="1874"/>
      <c r="KH917" s="1874"/>
      <c r="KI917" s="1874"/>
      <c r="KJ917" s="1874"/>
      <c r="KK917" s="1874"/>
      <c r="KL917" s="1874"/>
      <c r="KM917" s="1874"/>
      <c r="KN917" s="1874"/>
      <c r="KO917" s="1874"/>
      <c r="KP917" s="1874"/>
      <c r="KQ917" s="1874"/>
      <c r="KR917" s="1874"/>
      <c r="KS917" s="1874"/>
      <c r="KT917" s="1874"/>
      <c r="KU917" s="1874"/>
      <c r="KV917" s="1874"/>
      <c r="KW917" s="1874"/>
      <c r="KX917" s="1874"/>
      <c r="KY917" s="1874"/>
      <c r="KZ917" s="1874"/>
      <c r="LA917" s="1874"/>
      <c r="LB917" s="1874"/>
      <c r="LC917" s="1874"/>
      <c r="LD917" s="1874"/>
      <c r="LE917" s="1874"/>
      <c r="LF917" s="1874"/>
      <c r="LG917" s="1874"/>
      <c r="LH917" s="1874"/>
      <c r="LI917" s="1874"/>
      <c r="LJ917" s="1874"/>
      <c r="LK917" s="1874"/>
      <c r="LL917" s="1874"/>
      <c r="LM917" s="1874"/>
      <c r="LN917" s="1874"/>
      <c r="LO917" s="1874"/>
      <c r="LP917" s="1874"/>
      <c r="LQ917" s="1874"/>
    </row>
    <row r="918" spans="1:329" ht="14.25" customHeight="1">
      <c r="C918" s="1910" t="s">
        <v>6973</v>
      </c>
      <c r="D918" s="1910"/>
      <c r="E918" s="1897" t="s">
        <v>3246</v>
      </c>
      <c r="F918" s="1822"/>
      <c r="H918" s="1911"/>
      <c r="I918" s="1908"/>
      <c r="K918" s="1906">
        <f t="shared" ref="K918:O919" si="380">K907+K911+K913</f>
        <v>0</v>
      </c>
      <c r="L918" s="1906">
        <f>L907+L911+L913</f>
        <v>0</v>
      </c>
      <c r="M918" s="1906">
        <f t="shared" si="380"/>
        <v>0</v>
      </c>
      <c r="N918" s="1906">
        <f t="shared" si="380"/>
        <v>0</v>
      </c>
      <c r="O918" s="1906">
        <f t="shared" si="380"/>
        <v>0</v>
      </c>
      <c r="P918" s="1906">
        <f t="shared" ref="P918:P925" si="381">SUM(K918:O918)</f>
        <v>0</v>
      </c>
      <c r="S918" s="1910"/>
      <c r="T918" s="1910"/>
      <c r="U918" s="1910"/>
      <c r="V918" s="1910"/>
      <c r="W918" s="1910"/>
      <c r="X918" s="1815"/>
      <c r="AA918" s="1815"/>
      <c r="AB918" s="449"/>
      <c r="AC918" s="1815"/>
      <c r="AF918" s="1815"/>
      <c r="AG918" s="449"/>
      <c r="AH918" s="1815"/>
      <c r="AK918" s="1815"/>
      <c r="AL918" s="449"/>
      <c r="AM918" s="1815"/>
      <c r="AP918" s="1815"/>
      <c r="AQ918" s="449"/>
      <c r="AR918" s="450"/>
      <c r="AS918" s="450"/>
      <c r="AT918" s="450"/>
      <c r="AU918" s="450"/>
      <c r="AV918" s="450"/>
      <c r="AW918" s="450"/>
      <c r="BB918" s="450"/>
    </row>
    <row r="919" spans="1:329" ht="14.25" customHeight="1">
      <c r="C919" s="1910"/>
      <c r="D919" s="1910"/>
      <c r="E919" s="1897"/>
      <c r="F919" s="1822"/>
      <c r="H919" s="1911" t="s">
        <v>3251</v>
      </c>
      <c r="I919" s="1908"/>
      <c r="K919" s="1906">
        <f t="shared" si="380"/>
        <v>0</v>
      </c>
      <c r="L919" s="1906">
        <f t="shared" si="380"/>
        <v>0</v>
      </c>
      <c r="M919" s="1906">
        <f t="shared" si="380"/>
        <v>0</v>
      </c>
      <c r="N919" s="1906">
        <f t="shared" si="380"/>
        <v>0</v>
      </c>
      <c r="O919" s="1906">
        <f t="shared" si="380"/>
        <v>0</v>
      </c>
      <c r="P919" s="1906">
        <f t="shared" si="381"/>
        <v>0</v>
      </c>
      <c r="S919" s="1910"/>
      <c r="T919" s="1910"/>
      <c r="U919" s="1910"/>
      <c r="V919" s="1910"/>
      <c r="W919" s="1910"/>
      <c r="X919" s="1815"/>
      <c r="AA919" s="1815"/>
      <c r="AB919" s="449"/>
      <c r="AC919" s="1815"/>
      <c r="AF919" s="1815"/>
      <c r="AG919" s="449"/>
      <c r="AH919" s="1815"/>
      <c r="AK919" s="1815"/>
      <c r="AL919" s="449"/>
      <c r="AM919" s="1815"/>
      <c r="AP919" s="1815"/>
      <c r="AQ919" s="449"/>
      <c r="AR919" s="450"/>
      <c r="AS919" s="450"/>
      <c r="AT919" s="450"/>
      <c r="AU919" s="450"/>
      <c r="AV919" s="450"/>
      <c r="AW919" s="450"/>
      <c r="BB919" s="450"/>
    </row>
    <row r="920" spans="1:329" ht="14.25" customHeight="1">
      <c r="C920" s="1910"/>
      <c r="D920" s="1910"/>
      <c r="E920" s="1897" t="s">
        <v>3247</v>
      </c>
      <c r="F920" s="1822"/>
      <c r="H920" s="1849"/>
      <c r="I920" s="1822"/>
      <c r="K920" s="1906">
        <f t="shared" ref="K920:O921" si="382">K897+K909</f>
        <v>0</v>
      </c>
      <c r="L920" s="1906">
        <f t="shared" si="382"/>
        <v>0</v>
      </c>
      <c r="M920" s="1906">
        <f t="shared" si="382"/>
        <v>0</v>
      </c>
      <c r="N920" s="1906">
        <f t="shared" si="382"/>
        <v>0</v>
      </c>
      <c r="O920" s="1906">
        <f t="shared" si="382"/>
        <v>0</v>
      </c>
      <c r="P920" s="1906">
        <f t="shared" si="381"/>
        <v>0</v>
      </c>
      <c r="S920" s="1910"/>
      <c r="T920" s="1910"/>
      <c r="U920" s="1910"/>
      <c r="V920" s="1910"/>
      <c r="W920" s="1910"/>
      <c r="X920" s="1815"/>
      <c r="AA920" s="1815"/>
      <c r="AB920" s="449"/>
      <c r="AC920" s="1815"/>
      <c r="AF920" s="1815"/>
      <c r="AG920" s="449"/>
      <c r="AH920" s="1815"/>
      <c r="AK920" s="1815"/>
      <c r="AL920" s="449"/>
      <c r="AM920" s="1815"/>
      <c r="AP920" s="1815"/>
      <c r="AQ920" s="449"/>
      <c r="AR920" s="450"/>
      <c r="AS920" s="450"/>
      <c r="AT920" s="450"/>
      <c r="AU920" s="450"/>
      <c r="AV920" s="450"/>
      <c r="AW920" s="450"/>
      <c r="BB920" s="450"/>
    </row>
    <row r="921" spans="1:329" ht="14.25" customHeight="1">
      <c r="C921" s="1910"/>
      <c r="D921" s="1910"/>
      <c r="E921" s="1897"/>
      <c r="F921" s="1822"/>
      <c r="H921" s="1911" t="s">
        <v>3251</v>
      </c>
      <c r="I921" s="1908"/>
      <c r="K921" s="1906">
        <f t="shared" si="382"/>
        <v>0</v>
      </c>
      <c r="L921" s="1906">
        <f t="shared" si="382"/>
        <v>0</v>
      </c>
      <c r="M921" s="1906">
        <f t="shared" si="382"/>
        <v>0</v>
      </c>
      <c r="N921" s="1906">
        <f t="shared" si="382"/>
        <v>0</v>
      </c>
      <c r="O921" s="1906">
        <f t="shared" si="382"/>
        <v>0</v>
      </c>
      <c r="P921" s="1906">
        <f t="shared" si="381"/>
        <v>0</v>
      </c>
      <c r="S921" s="1910"/>
      <c r="T921" s="1910"/>
      <c r="U921" s="1910"/>
      <c r="V921" s="1910"/>
      <c r="W921" s="1910"/>
      <c r="X921" s="1815"/>
      <c r="AA921" s="1815"/>
      <c r="AB921" s="449"/>
      <c r="AC921" s="1815"/>
      <c r="AF921" s="1815"/>
      <c r="AG921" s="449"/>
      <c r="AH921" s="1815"/>
      <c r="AK921" s="1815"/>
      <c r="AL921" s="449"/>
      <c r="AM921" s="1815"/>
      <c r="AP921" s="1815"/>
      <c r="AQ921" s="449"/>
      <c r="AR921" s="450"/>
      <c r="AS921" s="450"/>
      <c r="AT921" s="450"/>
      <c r="AU921" s="450"/>
      <c r="AV921" s="450"/>
      <c r="AW921" s="450"/>
      <c r="BB921" s="450"/>
    </row>
    <row r="922" spans="1:329" ht="14.25" customHeight="1">
      <c r="C922" s="1910"/>
      <c r="D922" s="1910"/>
      <c r="E922" s="1897" t="s">
        <v>3248</v>
      </c>
      <c r="F922" s="1822"/>
      <c r="H922" s="1911"/>
      <c r="I922" s="1908"/>
      <c r="K922" s="1906">
        <f t="shared" ref="K922:O923" si="383">K901+K903</f>
        <v>0</v>
      </c>
      <c r="L922" s="1906">
        <f t="shared" si="383"/>
        <v>0</v>
      </c>
      <c r="M922" s="1906">
        <f t="shared" si="383"/>
        <v>0</v>
      </c>
      <c r="N922" s="1906">
        <f t="shared" si="383"/>
        <v>0</v>
      </c>
      <c r="O922" s="1906">
        <f t="shared" si="383"/>
        <v>0</v>
      </c>
      <c r="P922" s="1906">
        <f t="shared" si="381"/>
        <v>0</v>
      </c>
      <c r="S922" s="1910"/>
      <c r="T922" s="1910"/>
      <c r="U922" s="1910"/>
      <c r="V922" s="1910"/>
      <c r="W922" s="1910"/>
      <c r="X922" s="1815"/>
      <c r="AA922" s="1815"/>
      <c r="AB922" s="449"/>
      <c r="AC922" s="1815"/>
      <c r="AF922" s="1815"/>
      <c r="AG922" s="449"/>
      <c r="AH922" s="1815"/>
      <c r="AK922" s="1815"/>
      <c r="AL922" s="449"/>
      <c r="AM922" s="1815"/>
      <c r="AP922" s="1815"/>
      <c r="AQ922" s="449"/>
      <c r="AR922" s="450"/>
      <c r="AS922" s="450"/>
      <c r="AT922" s="450"/>
      <c r="AU922" s="450"/>
      <c r="AV922" s="450"/>
      <c r="AW922" s="450"/>
      <c r="BB922" s="450"/>
    </row>
    <row r="923" spans="1:329" ht="14.25" customHeight="1">
      <c r="C923" s="1910"/>
      <c r="D923" s="1910"/>
      <c r="E923" s="1897"/>
      <c r="F923" s="1822"/>
      <c r="H923" s="1911" t="s">
        <v>3251</v>
      </c>
      <c r="I923" s="1908"/>
      <c r="K923" s="1906">
        <f t="shared" si="383"/>
        <v>0</v>
      </c>
      <c r="L923" s="1906">
        <f t="shared" si="383"/>
        <v>0</v>
      </c>
      <c r="M923" s="1906">
        <f t="shared" si="383"/>
        <v>0</v>
      </c>
      <c r="N923" s="1906">
        <f t="shared" si="383"/>
        <v>0</v>
      </c>
      <c r="O923" s="1906">
        <f t="shared" si="383"/>
        <v>0</v>
      </c>
      <c r="P923" s="1906">
        <f t="shared" si="381"/>
        <v>0</v>
      </c>
      <c r="S923" s="1910"/>
      <c r="T923" s="1910"/>
      <c r="U923" s="1910"/>
      <c r="V923" s="1910"/>
      <c r="W923" s="1910"/>
      <c r="X923" s="1815"/>
      <c r="AA923" s="1815"/>
      <c r="AB923" s="449"/>
      <c r="AC923" s="1815"/>
      <c r="AF923" s="1815"/>
      <c r="AG923" s="449"/>
      <c r="AH923" s="1815"/>
      <c r="AK923" s="1815"/>
      <c r="AL923" s="449"/>
      <c r="AM923" s="1815"/>
      <c r="AP923" s="1815"/>
      <c r="AQ923" s="449"/>
      <c r="AR923" s="450"/>
      <c r="AS923" s="450"/>
      <c r="AT923" s="450"/>
      <c r="AU923" s="450"/>
      <c r="AV923" s="450"/>
      <c r="AW923" s="450"/>
      <c r="BB923" s="450"/>
    </row>
    <row r="924" spans="1:329" ht="14.25" customHeight="1">
      <c r="C924" s="1910"/>
      <c r="D924" s="1910"/>
      <c r="E924" s="1897" t="s">
        <v>3249</v>
      </c>
      <c r="F924" s="1822"/>
      <c r="H924" s="1911"/>
      <c r="I924" s="1908"/>
      <c r="K924" s="1906">
        <f t="shared" ref="K924:O925" si="384">K899+K905</f>
        <v>0</v>
      </c>
      <c r="L924" s="1906">
        <f t="shared" si="384"/>
        <v>20</v>
      </c>
      <c r="M924" s="1906">
        <f t="shared" si="384"/>
        <v>52</v>
      </c>
      <c r="N924" s="1906">
        <f t="shared" si="384"/>
        <v>0</v>
      </c>
      <c r="O924" s="1906">
        <f t="shared" si="384"/>
        <v>0</v>
      </c>
      <c r="P924" s="1906">
        <f t="shared" si="381"/>
        <v>72</v>
      </c>
      <c r="S924" s="1910"/>
      <c r="T924" s="1910"/>
      <c r="U924" s="1910"/>
      <c r="V924" s="1910"/>
      <c r="W924" s="1910"/>
      <c r="X924" s="1815"/>
      <c r="AA924" s="1815"/>
      <c r="AB924" s="449"/>
      <c r="AC924" s="1815"/>
      <c r="AF924" s="1815"/>
      <c r="AG924" s="449"/>
      <c r="AH924" s="1815"/>
      <c r="AK924" s="1815"/>
      <c r="AL924" s="449"/>
      <c r="AM924" s="1815"/>
      <c r="AP924" s="1815"/>
      <c r="AQ924" s="449"/>
      <c r="AR924" s="450"/>
      <c r="AS924" s="450"/>
      <c r="AT924" s="450"/>
      <c r="AU924" s="450"/>
      <c r="AV924" s="450"/>
      <c r="AW924" s="450"/>
      <c r="BB924" s="450"/>
    </row>
    <row r="925" spans="1:329" ht="14.25" customHeight="1">
      <c r="C925" s="1815"/>
      <c r="D925" s="1815"/>
      <c r="E925" s="1955"/>
      <c r="F925" s="1822"/>
      <c r="H925" s="1911" t="s">
        <v>3251</v>
      </c>
      <c r="I925" s="1908"/>
      <c r="K925" s="1906">
        <f t="shared" si="384"/>
        <v>0</v>
      </c>
      <c r="L925" s="1906">
        <f t="shared" si="384"/>
        <v>0</v>
      </c>
      <c r="M925" s="1906">
        <f t="shared" si="384"/>
        <v>0</v>
      </c>
      <c r="N925" s="1906">
        <f t="shared" si="384"/>
        <v>0</v>
      </c>
      <c r="O925" s="1906">
        <f t="shared" si="384"/>
        <v>0</v>
      </c>
      <c r="P925" s="1906">
        <f t="shared" si="381"/>
        <v>0</v>
      </c>
      <c r="Q925" s="1815" t="s">
        <v>6866</v>
      </c>
      <c r="S925" s="1910"/>
      <c r="T925" s="1910"/>
      <c r="U925" s="1910"/>
      <c r="V925" s="1910"/>
      <c r="W925" s="1910"/>
      <c r="X925" s="1815"/>
      <c r="AA925" s="1815"/>
      <c r="AB925" s="449"/>
      <c r="AC925" s="1815"/>
      <c r="AF925" s="1815"/>
      <c r="AG925" s="449"/>
      <c r="AH925" s="1815"/>
      <c r="AK925" s="1815"/>
      <c r="AL925" s="449"/>
      <c r="AM925" s="1815"/>
      <c r="AP925" s="1815"/>
      <c r="AQ925" s="449"/>
      <c r="AR925" s="450"/>
      <c r="AS925" s="450"/>
      <c r="AT925" s="450"/>
      <c r="AU925" s="450"/>
      <c r="AV925" s="450"/>
      <c r="AW925" s="450"/>
      <c r="BB925" s="450"/>
    </row>
    <row r="926" spans="1:329" ht="9" customHeight="1">
      <c r="A926" s="1897"/>
      <c r="B926" s="1897"/>
      <c r="D926" s="1815"/>
      <c r="E926" s="1897"/>
      <c r="F926" s="1815"/>
      <c r="H926" s="449"/>
      <c r="I926" s="449"/>
      <c r="K926" s="1909"/>
      <c r="L926" s="1909"/>
      <c r="M926" s="1909"/>
      <c r="N926" s="1909"/>
      <c r="O926" s="1909"/>
      <c r="P926" s="1909"/>
      <c r="Q926" s="1815"/>
      <c r="S926" s="1827"/>
      <c r="U926" s="2240"/>
      <c r="X926" s="1815"/>
      <c r="AA926" s="1815"/>
      <c r="AB926" s="449"/>
      <c r="AC926" s="1815"/>
      <c r="AF926" s="1815"/>
      <c r="AG926" s="449"/>
      <c r="AH926" s="1815"/>
      <c r="AK926" s="1815"/>
      <c r="AL926" s="449"/>
      <c r="AM926" s="1815"/>
      <c r="AP926" s="1815"/>
      <c r="AQ926" s="449"/>
      <c r="AR926" s="1815"/>
      <c r="AS926" s="1815"/>
      <c r="AT926" s="1815"/>
      <c r="AU926" s="1815"/>
      <c r="AV926" s="1815"/>
      <c r="AW926" s="1815"/>
      <c r="AY926" s="1815"/>
      <c r="BB926" s="1815"/>
      <c r="BD926" s="1815"/>
      <c r="JW926" s="1874"/>
      <c r="KB926" s="1874"/>
      <c r="KC926" s="1874"/>
      <c r="KD926" s="1874"/>
      <c r="KE926" s="1874"/>
      <c r="KF926" s="1874"/>
      <c r="KG926" s="1874"/>
      <c r="KH926" s="1874"/>
      <c r="KI926" s="1874"/>
      <c r="KJ926" s="1874"/>
      <c r="KK926" s="1874"/>
      <c r="KL926" s="1874"/>
      <c r="KM926" s="1874"/>
      <c r="KN926" s="1874"/>
      <c r="KO926" s="1874"/>
      <c r="KP926" s="1874"/>
      <c r="KQ926" s="1874"/>
      <c r="KR926" s="1874"/>
      <c r="KS926" s="1874"/>
      <c r="KT926" s="1874"/>
      <c r="KU926" s="1874"/>
      <c r="KV926" s="1874"/>
      <c r="KW926" s="1874"/>
      <c r="KX926" s="1874"/>
      <c r="KY926" s="1874"/>
      <c r="KZ926" s="1874"/>
      <c r="LA926" s="1874"/>
      <c r="LB926" s="1874"/>
      <c r="LC926" s="1874"/>
      <c r="LD926" s="1874"/>
      <c r="LE926" s="1874"/>
      <c r="LF926" s="1874"/>
      <c r="LG926" s="1874"/>
      <c r="LH926" s="1874"/>
      <c r="LI926" s="1874"/>
      <c r="LJ926" s="1874"/>
      <c r="LK926" s="1874"/>
      <c r="LL926" s="1874"/>
      <c r="LM926" s="1874"/>
      <c r="LN926" s="1874"/>
      <c r="LO926" s="1874"/>
      <c r="LP926" s="1874"/>
      <c r="LQ926" s="1874"/>
    </row>
    <row r="927" spans="1:329" ht="12" customHeight="1">
      <c r="B927" s="1995" t="s">
        <v>2115</v>
      </c>
      <c r="C927" s="1815"/>
      <c r="D927" s="1815"/>
      <c r="E927" s="1815"/>
      <c r="F927" s="1815"/>
      <c r="H927" s="1908"/>
      <c r="I927" s="1908"/>
      <c r="K927" s="1914"/>
      <c r="L927" s="1914"/>
      <c r="M927" s="1914"/>
      <c r="N927" s="1914"/>
      <c r="O927" s="1914"/>
      <c r="P927" s="1914"/>
      <c r="Q927" s="1815"/>
      <c r="S927" s="1819" t="str">
        <f>B927</f>
        <v>Unit Square Footage:</v>
      </c>
      <c r="T927" s="1819"/>
      <c r="U927" s="1819"/>
      <c r="X927" s="1815"/>
      <c r="AA927" s="1815"/>
      <c r="AB927" s="449"/>
      <c r="AC927" s="1815"/>
      <c r="AF927" s="1815"/>
      <c r="AG927" s="449"/>
      <c r="AH927" s="1815"/>
      <c r="AK927" s="1815"/>
      <c r="AL927" s="449"/>
      <c r="AM927" s="1815"/>
      <c r="AP927" s="1815"/>
      <c r="AQ927" s="449"/>
      <c r="AR927" s="1815"/>
      <c r="AS927" s="1815"/>
      <c r="AT927" s="1815"/>
      <c r="AU927" s="1815"/>
      <c r="AV927" s="1815"/>
      <c r="AW927" s="1815"/>
      <c r="AY927" s="1815"/>
      <c r="BB927" s="1815"/>
      <c r="BD927" s="1815"/>
      <c r="JW927" s="1874"/>
      <c r="KB927" s="1874"/>
      <c r="KC927" s="1874"/>
      <c r="KD927" s="1874"/>
      <c r="KE927" s="1874"/>
      <c r="KF927" s="1874"/>
      <c r="KG927" s="1874"/>
      <c r="KH927" s="1874"/>
      <c r="KI927" s="1874"/>
      <c r="KJ927" s="1874"/>
      <c r="KK927" s="1874"/>
      <c r="KL927" s="1874"/>
      <c r="KM927" s="1874"/>
      <c r="KN927" s="1874"/>
      <c r="KO927" s="1874"/>
      <c r="KP927" s="1874"/>
      <c r="KQ927" s="1874"/>
      <c r="KR927" s="1874"/>
      <c r="KS927" s="1874"/>
      <c r="KT927" s="1874"/>
      <c r="KU927" s="1874"/>
      <c r="KV927" s="1874"/>
      <c r="KW927" s="1874"/>
      <c r="KX927" s="1874"/>
      <c r="KY927" s="1874"/>
      <c r="KZ927" s="1874"/>
      <c r="LA927" s="1874"/>
      <c r="LB927" s="1874"/>
      <c r="LC927" s="1874"/>
      <c r="LD927" s="1874"/>
      <c r="LE927" s="1874"/>
      <c r="LF927" s="1874"/>
      <c r="LG927" s="1874"/>
      <c r="LH927" s="1874"/>
      <c r="LI927" s="1874"/>
      <c r="LJ927" s="1874"/>
      <c r="LK927" s="1874"/>
      <c r="LL927" s="1874"/>
      <c r="LM927" s="1874"/>
      <c r="LN927" s="1874"/>
      <c r="LO927" s="1874"/>
      <c r="LP927" s="1874"/>
      <c r="LQ927" s="1874"/>
    </row>
    <row r="928" spans="1:329" ht="14.25" customHeight="1">
      <c r="C928" s="1815" t="s">
        <v>2086</v>
      </c>
      <c r="D928" s="1815"/>
      <c r="E928" s="1815"/>
      <c r="F928" s="1815"/>
      <c r="H928" s="1918" t="s">
        <v>4120</v>
      </c>
      <c r="I928" s="1945"/>
      <c r="K928" s="2111">
        <f>EI817</f>
        <v>0</v>
      </c>
      <c r="L928" s="2111">
        <f>EJ817</f>
        <v>4000</v>
      </c>
      <c r="M928" s="2111">
        <f>EK817</f>
        <v>9000</v>
      </c>
      <c r="N928" s="2111">
        <f>EL817</f>
        <v>0</v>
      </c>
      <c r="O928" s="2111">
        <f>EM817</f>
        <v>0</v>
      </c>
      <c r="P928" s="1915">
        <f t="shared" ref="P928:P934" si="385">SUM(K928:O928)</f>
        <v>13000</v>
      </c>
      <c r="Q928" s="1916">
        <f t="shared" ref="Q928:Q934" si="386">IF(OR(P825=0,P825=""),"",P928/P825)</f>
        <v>928.57142857142856</v>
      </c>
      <c r="S928" s="1910"/>
      <c r="T928" s="1910"/>
      <c r="U928" s="1910"/>
      <c r="V928" s="1910"/>
      <c r="W928" s="1910"/>
      <c r="X928" s="1815"/>
      <c r="AA928" s="1815"/>
      <c r="AB928" s="449"/>
      <c r="AC928" s="1815"/>
      <c r="AF928" s="1815"/>
      <c r="AG928" s="449"/>
      <c r="AH928" s="1815"/>
      <c r="AK928" s="1815"/>
      <c r="AL928" s="449"/>
      <c r="AM928" s="1815"/>
      <c r="AP928" s="1815"/>
      <c r="AQ928" s="449"/>
      <c r="AR928" s="450"/>
      <c r="AS928" s="450"/>
      <c r="AT928" s="450"/>
      <c r="AU928" s="450"/>
      <c r="AV928" s="450"/>
      <c r="AW928" s="450"/>
      <c r="AY928" s="1815"/>
      <c r="BB928" s="450"/>
      <c r="BD928" s="1815"/>
      <c r="JW928" s="1874"/>
      <c r="KB928" s="1874"/>
      <c r="KC928" s="1874"/>
      <c r="KD928" s="1874"/>
      <c r="KE928" s="1874"/>
      <c r="KF928" s="1874"/>
      <c r="KG928" s="1874"/>
      <c r="KH928" s="1874"/>
      <c r="KI928" s="1874"/>
      <c r="KJ928" s="1874"/>
      <c r="KK928" s="1874"/>
      <c r="KL928" s="1874"/>
      <c r="KM928" s="1874"/>
      <c r="KN928" s="1874"/>
      <c r="KO928" s="1874"/>
      <c r="KP928" s="1874"/>
      <c r="KQ928" s="1874"/>
      <c r="KR928" s="1874"/>
      <c r="KS928" s="1874"/>
      <c r="KT928" s="1874"/>
      <c r="KU928" s="1874"/>
      <c r="KV928" s="1874"/>
      <c r="KW928" s="1874"/>
      <c r="KX928" s="1874"/>
      <c r="KY928" s="1874"/>
      <c r="KZ928" s="1874"/>
      <c r="LA928" s="1874"/>
      <c r="LB928" s="1874"/>
      <c r="LC928" s="1874"/>
      <c r="LD928" s="1874"/>
      <c r="LE928" s="1874"/>
      <c r="LF928" s="1874"/>
      <c r="LG928" s="1874"/>
      <c r="LH928" s="1874"/>
      <c r="LI928" s="1874"/>
      <c r="LJ928" s="1874"/>
      <c r="LK928" s="1874"/>
      <c r="LL928" s="1874"/>
      <c r="LM928" s="1874"/>
      <c r="LN928" s="1874"/>
      <c r="LO928" s="1874"/>
      <c r="LP928" s="1874"/>
      <c r="LQ928" s="1874"/>
    </row>
    <row r="929" spans="1:329" ht="14.25" customHeight="1">
      <c r="C929" s="1815"/>
      <c r="D929" s="1815"/>
      <c r="E929" s="1815"/>
      <c r="F929" s="1815"/>
      <c r="H929" s="1911" t="s">
        <v>4121</v>
      </c>
      <c r="I929" s="1908"/>
      <c r="K929" s="1915">
        <f>EN817</f>
        <v>0</v>
      </c>
      <c r="L929" s="1915">
        <f>EO817</f>
        <v>0</v>
      </c>
      <c r="M929" s="1915">
        <f>EP817</f>
        <v>0</v>
      </c>
      <c r="N929" s="1915">
        <f>EQ817</f>
        <v>0</v>
      </c>
      <c r="O929" s="1915">
        <f>ER817</f>
        <v>0</v>
      </c>
      <c r="P929" s="1915">
        <f t="shared" si="385"/>
        <v>0</v>
      </c>
      <c r="Q929" s="1916" t="str">
        <f t="shared" si="386"/>
        <v/>
      </c>
      <c r="S929" s="1910"/>
      <c r="T929" s="1910"/>
      <c r="U929" s="1910"/>
      <c r="V929" s="1910"/>
      <c r="W929" s="1910"/>
      <c r="X929" s="1815"/>
      <c r="AA929" s="1815"/>
      <c r="AB929" s="449"/>
      <c r="AC929" s="1815"/>
      <c r="AF929" s="1815"/>
      <c r="AG929" s="449"/>
      <c r="AH929" s="1815"/>
      <c r="AK929" s="1815"/>
      <c r="AL929" s="449"/>
      <c r="AM929" s="1815"/>
      <c r="AP929" s="1815"/>
      <c r="AQ929" s="449"/>
      <c r="AR929" s="450"/>
      <c r="AS929" s="450"/>
      <c r="AT929" s="450"/>
      <c r="AU929" s="450"/>
      <c r="AV929" s="450"/>
      <c r="AW929" s="450"/>
      <c r="AY929" s="1815"/>
      <c r="BB929" s="450"/>
      <c r="BD929" s="1815"/>
      <c r="JW929" s="1874"/>
      <c r="KB929" s="1874"/>
      <c r="KC929" s="1874"/>
      <c r="KD929" s="1874"/>
      <c r="KE929" s="1874"/>
      <c r="KF929" s="1874"/>
      <c r="KG929" s="1874"/>
      <c r="KH929" s="1874"/>
      <c r="KI929" s="1874"/>
      <c r="KJ929" s="1874"/>
      <c r="KK929" s="1874"/>
      <c r="KL929" s="1874"/>
      <c r="KM929" s="1874"/>
      <c r="KN929" s="1874"/>
      <c r="KO929" s="1874"/>
      <c r="KP929" s="1874"/>
      <c r="KQ929" s="1874"/>
      <c r="KR929" s="1874"/>
      <c r="KS929" s="1874"/>
      <c r="KT929" s="1874"/>
      <c r="KU929" s="1874"/>
      <c r="KV929" s="1874"/>
      <c r="KW929" s="1874"/>
      <c r="KX929" s="1874"/>
      <c r="KY929" s="1874"/>
      <c r="KZ929" s="1874"/>
      <c r="LA929" s="1874"/>
      <c r="LB929" s="1874"/>
      <c r="LC929" s="1874"/>
      <c r="LD929" s="1874"/>
      <c r="LE929" s="1874"/>
      <c r="LF929" s="1874"/>
      <c r="LG929" s="1874"/>
      <c r="LH929" s="1874"/>
      <c r="LI929" s="1874"/>
      <c r="LJ929" s="1874"/>
      <c r="LK929" s="1874"/>
      <c r="LL929" s="1874"/>
      <c r="LM929" s="1874"/>
      <c r="LN929" s="1874"/>
      <c r="LO929" s="1874"/>
      <c r="LP929" s="1874"/>
      <c r="LQ929" s="1874"/>
    </row>
    <row r="930" spans="1:329" ht="14.25" customHeight="1">
      <c r="C930" s="1815"/>
      <c r="D930" s="1815"/>
      <c r="E930" s="1815"/>
      <c r="F930" s="1815"/>
      <c r="H930" s="1911" t="s">
        <v>1127</v>
      </c>
      <c r="I930" s="1908"/>
      <c r="K930" s="1915">
        <f>ES817</f>
        <v>0</v>
      </c>
      <c r="L930" s="1915">
        <f>ET817</f>
        <v>7200</v>
      </c>
      <c r="M930" s="1915">
        <f>EU817</f>
        <v>25000</v>
      </c>
      <c r="N930" s="1915">
        <f>EV817</f>
        <v>0</v>
      </c>
      <c r="O930" s="1915">
        <f>EW817</f>
        <v>0</v>
      </c>
      <c r="P930" s="1915">
        <f t="shared" si="385"/>
        <v>32200</v>
      </c>
      <c r="Q930" s="1916">
        <f t="shared" si="386"/>
        <v>947.05882352941171</v>
      </c>
      <c r="S930" s="1910"/>
      <c r="T930" s="1910"/>
      <c r="U930" s="1910"/>
      <c r="V930" s="1910"/>
      <c r="W930" s="1910"/>
      <c r="X930" s="1815"/>
      <c r="AA930" s="1815"/>
      <c r="AB930" s="449"/>
      <c r="AC930" s="1815"/>
      <c r="AF930" s="1815"/>
      <c r="AG930" s="449"/>
      <c r="AH930" s="1815"/>
      <c r="AK930" s="1815"/>
      <c r="AL930" s="449"/>
      <c r="AM930" s="1815"/>
      <c r="AP930" s="1815"/>
      <c r="AQ930" s="449"/>
      <c r="AR930" s="450"/>
      <c r="AS930" s="450"/>
      <c r="AT930" s="450"/>
      <c r="AU930" s="450"/>
      <c r="AV930" s="450"/>
      <c r="AW930" s="450"/>
      <c r="AY930" s="1815"/>
      <c r="BB930" s="450"/>
      <c r="BD930" s="1815"/>
      <c r="JW930" s="1874"/>
      <c r="KB930" s="1874"/>
      <c r="KC930" s="1874"/>
      <c r="KD930" s="1874"/>
      <c r="KE930" s="1874"/>
      <c r="KF930" s="1874"/>
      <c r="KG930" s="1874"/>
      <c r="KH930" s="1874"/>
      <c r="KI930" s="1874"/>
      <c r="KJ930" s="1874"/>
      <c r="KK930" s="1874"/>
      <c r="KL930" s="1874"/>
      <c r="KM930" s="1874"/>
      <c r="KN930" s="1874"/>
      <c r="KO930" s="1874"/>
      <c r="KP930" s="1874"/>
      <c r="KQ930" s="1874"/>
      <c r="KR930" s="1874"/>
      <c r="KS930" s="1874"/>
      <c r="KT930" s="1874"/>
      <c r="KU930" s="1874"/>
      <c r="KV930" s="1874"/>
      <c r="KW930" s="1874"/>
      <c r="KX930" s="1874"/>
      <c r="KY930" s="1874"/>
      <c r="KZ930" s="1874"/>
      <c r="LA930" s="1874"/>
      <c r="LB930" s="1874"/>
      <c r="LC930" s="1874"/>
      <c r="LD930" s="1874"/>
      <c r="LE930" s="1874"/>
      <c r="LF930" s="1874"/>
      <c r="LG930" s="1874"/>
      <c r="LH930" s="1874"/>
      <c r="LI930" s="1874"/>
      <c r="LJ930" s="1874"/>
      <c r="LK930" s="1874"/>
      <c r="LL930" s="1874"/>
      <c r="LM930" s="1874"/>
      <c r="LN930" s="1874"/>
      <c r="LO930" s="1874"/>
      <c r="LP930" s="1874"/>
      <c r="LQ930" s="1874"/>
    </row>
    <row r="931" spans="1:329" ht="14.25" customHeight="1">
      <c r="C931" s="1815"/>
      <c r="D931" s="1815"/>
      <c r="E931" s="1815"/>
      <c r="F931" s="1815"/>
      <c r="H931" s="1911" t="s">
        <v>115</v>
      </c>
      <c r="I931" s="1908"/>
      <c r="K931" s="1915">
        <f>EX817</f>
        <v>0</v>
      </c>
      <c r="L931" s="1915">
        <f>EY817</f>
        <v>0</v>
      </c>
      <c r="M931" s="1915">
        <f>EZ817</f>
        <v>0</v>
      </c>
      <c r="N931" s="1915">
        <f>FA817</f>
        <v>0</v>
      </c>
      <c r="O931" s="1915">
        <f>FB817</f>
        <v>0</v>
      </c>
      <c r="P931" s="1915">
        <f t="shared" si="385"/>
        <v>0</v>
      </c>
      <c r="Q931" s="1916" t="str">
        <f t="shared" si="386"/>
        <v/>
      </c>
      <c r="S931" s="1910"/>
      <c r="T931" s="1910"/>
      <c r="U931" s="1910"/>
      <c r="V931" s="1910"/>
      <c r="W931" s="1910"/>
      <c r="X931" s="1815"/>
      <c r="AA931" s="1815"/>
      <c r="AB931" s="449"/>
      <c r="AC931" s="1815"/>
      <c r="AF931" s="1815"/>
      <c r="AG931" s="449"/>
      <c r="AH931" s="1815"/>
      <c r="AK931" s="1815"/>
      <c r="AL931" s="449"/>
      <c r="AM931" s="1815"/>
      <c r="AP931" s="1815"/>
      <c r="AQ931" s="449"/>
      <c r="AR931" s="450"/>
      <c r="AS931" s="450"/>
      <c r="AT931" s="450"/>
      <c r="AU931" s="450"/>
      <c r="AV931" s="450"/>
      <c r="AW931" s="450"/>
      <c r="AY931" s="1815"/>
      <c r="BB931" s="450"/>
      <c r="BD931" s="1815"/>
      <c r="JW931" s="1874"/>
      <c r="KB931" s="1874"/>
      <c r="KC931" s="1874"/>
      <c r="KD931" s="1874"/>
      <c r="KE931" s="1874"/>
      <c r="KF931" s="1874"/>
      <c r="KG931" s="1874"/>
      <c r="KH931" s="1874"/>
      <c r="KI931" s="1874"/>
      <c r="KJ931" s="1874"/>
      <c r="KK931" s="1874"/>
      <c r="KL931" s="1874"/>
      <c r="KM931" s="1874"/>
      <c r="KN931" s="1874"/>
      <c r="KO931" s="1874"/>
      <c r="KP931" s="1874"/>
      <c r="KQ931" s="1874"/>
      <c r="KR931" s="1874"/>
      <c r="KS931" s="1874"/>
      <c r="KT931" s="1874"/>
      <c r="KU931" s="1874"/>
      <c r="KV931" s="1874"/>
      <c r="KW931" s="1874"/>
      <c r="KX931" s="1874"/>
      <c r="KY931" s="1874"/>
      <c r="KZ931" s="1874"/>
      <c r="LA931" s="1874"/>
      <c r="LB931" s="1874"/>
      <c r="LC931" s="1874"/>
      <c r="LD931" s="1874"/>
      <c r="LE931" s="1874"/>
      <c r="LF931" s="1874"/>
      <c r="LG931" s="1874"/>
      <c r="LH931" s="1874"/>
      <c r="LI931" s="1874"/>
      <c r="LJ931" s="1874"/>
      <c r="LK931" s="1874"/>
      <c r="LL931" s="1874"/>
      <c r="LM931" s="1874"/>
      <c r="LN931" s="1874"/>
      <c r="LO931" s="1874"/>
      <c r="LP931" s="1874"/>
      <c r="LQ931" s="1874"/>
    </row>
    <row r="932" spans="1:329" ht="14.25" customHeight="1">
      <c r="C932" s="1815"/>
      <c r="D932" s="1815"/>
      <c r="E932" s="1815"/>
      <c r="F932" s="1815"/>
      <c r="H932" s="1911" t="s">
        <v>4122</v>
      </c>
      <c r="I932" s="1908"/>
      <c r="K932" s="1915">
        <f>FC817</f>
        <v>0</v>
      </c>
      <c r="L932" s="1915">
        <f>FD817</f>
        <v>4800</v>
      </c>
      <c r="M932" s="1915">
        <f>FE817</f>
        <v>18000</v>
      </c>
      <c r="N932" s="1915">
        <f>FF817</f>
        <v>0</v>
      </c>
      <c r="O932" s="1915">
        <f>FG817</f>
        <v>0</v>
      </c>
      <c r="P932" s="1915">
        <f t="shared" si="385"/>
        <v>22800</v>
      </c>
      <c r="Q932" s="1916">
        <f t="shared" si="386"/>
        <v>950</v>
      </c>
      <c r="S932" s="1910"/>
      <c r="T932" s="1910"/>
      <c r="U932" s="1910"/>
      <c r="V932" s="1910"/>
      <c r="W932" s="1910"/>
      <c r="X932" s="1815"/>
      <c r="AA932" s="1815"/>
      <c r="AB932" s="449"/>
      <c r="AC932" s="1815"/>
      <c r="AF932" s="1815"/>
      <c r="AG932" s="449"/>
      <c r="AH932" s="1815"/>
      <c r="AK932" s="1815"/>
      <c r="AL932" s="449"/>
      <c r="AM932" s="1815"/>
      <c r="AP932" s="1815"/>
      <c r="AQ932" s="449"/>
      <c r="AR932" s="450"/>
      <c r="AS932" s="450"/>
      <c r="AT932" s="450"/>
      <c r="AU932" s="450"/>
      <c r="AV932" s="450"/>
      <c r="AW932" s="450"/>
      <c r="AY932" s="1815"/>
      <c r="BB932" s="450"/>
      <c r="BD932" s="1815"/>
      <c r="JW932" s="1874"/>
      <c r="KB932" s="1874"/>
      <c r="KC932" s="1874"/>
      <c r="KD932" s="1874"/>
      <c r="KE932" s="1874"/>
      <c r="KF932" s="1874"/>
      <c r="KG932" s="1874"/>
      <c r="KH932" s="1874"/>
      <c r="KI932" s="1874"/>
      <c r="KJ932" s="1874"/>
      <c r="KK932" s="1874"/>
      <c r="KL932" s="1874"/>
      <c r="KM932" s="1874"/>
      <c r="KN932" s="1874"/>
      <c r="KO932" s="1874"/>
      <c r="KP932" s="1874"/>
      <c r="KQ932" s="1874"/>
      <c r="KR932" s="1874"/>
      <c r="KS932" s="1874"/>
      <c r="KT932" s="1874"/>
      <c r="KU932" s="1874"/>
      <c r="KV932" s="1874"/>
      <c r="KW932" s="1874"/>
      <c r="KX932" s="1874"/>
      <c r="KY932" s="1874"/>
      <c r="KZ932" s="1874"/>
      <c r="LA932" s="1874"/>
      <c r="LB932" s="1874"/>
      <c r="LC932" s="1874"/>
      <c r="LD932" s="1874"/>
      <c r="LE932" s="1874"/>
      <c r="LF932" s="1874"/>
      <c r="LG932" s="1874"/>
      <c r="LH932" s="1874"/>
      <c r="LI932" s="1874"/>
      <c r="LJ932" s="1874"/>
      <c r="LK932" s="1874"/>
      <c r="LL932" s="1874"/>
      <c r="LM932" s="1874"/>
      <c r="LN932" s="1874"/>
      <c r="LO932" s="1874"/>
      <c r="LP932" s="1874"/>
      <c r="LQ932" s="1874"/>
    </row>
    <row r="933" spans="1:329" ht="14.25" customHeight="1">
      <c r="C933" s="1815"/>
      <c r="D933" s="1815"/>
      <c r="E933" s="1815"/>
      <c r="F933" s="1815"/>
      <c r="H933" s="1911" t="s">
        <v>4123</v>
      </c>
      <c r="I933" s="1908"/>
      <c r="K933" s="1915">
        <f>FH817</f>
        <v>0</v>
      </c>
      <c r="L933" s="1915">
        <f>FI817</f>
        <v>0</v>
      </c>
      <c r="M933" s="1915">
        <f>FJ817</f>
        <v>0</v>
      </c>
      <c r="N933" s="1915">
        <f>FK817</f>
        <v>0</v>
      </c>
      <c r="O933" s="1915">
        <f>FL817</f>
        <v>0</v>
      </c>
      <c r="P933" s="1915">
        <f t="shared" si="385"/>
        <v>0</v>
      </c>
      <c r="Q933" s="1916" t="str">
        <f t="shared" si="386"/>
        <v/>
      </c>
      <c r="S933" s="1910"/>
      <c r="T933" s="1910"/>
      <c r="U933" s="1910"/>
      <c r="V933" s="1910"/>
      <c r="W933" s="1910"/>
      <c r="X933" s="1815"/>
      <c r="AA933" s="1815"/>
      <c r="AB933" s="449"/>
      <c r="AC933" s="1815"/>
      <c r="AF933" s="1815"/>
      <c r="AG933" s="449"/>
      <c r="AH933" s="1815"/>
      <c r="AK933" s="1815"/>
      <c r="AL933" s="449"/>
      <c r="AM933" s="1815"/>
      <c r="AP933" s="1815"/>
      <c r="AQ933" s="449"/>
      <c r="AR933" s="450"/>
      <c r="AS933" s="450"/>
      <c r="AT933" s="450"/>
      <c r="AU933" s="450"/>
      <c r="AV933" s="450"/>
      <c r="AW933" s="450"/>
      <c r="AY933" s="1815"/>
      <c r="BB933" s="450"/>
      <c r="BD933" s="1815"/>
      <c r="JW933" s="1874"/>
      <c r="KB933" s="1874"/>
      <c r="KC933" s="1874"/>
      <c r="KD933" s="1874"/>
      <c r="KE933" s="1874"/>
      <c r="KF933" s="1874"/>
      <c r="KG933" s="1874"/>
      <c r="KH933" s="1874"/>
      <c r="KI933" s="1874"/>
      <c r="KJ933" s="1874"/>
      <c r="KK933" s="1874"/>
      <c r="KL933" s="1874"/>
      <c r="KM933" s="1874"/>
      <c r="KN933" s="1874"/>
      <c r="KO933" s="1874"/>
      <c r="KP933" s="1874"/>
      <c r="KQ933" s="1874"/>
      <c r="KR933" s="1874"/>
      <c r="KS933" s="1874"/>
      <c r="KT933" s="1874"/>
      <c r="KU933" s="1874"/>
      <c r="KV933" s="1874"/>
      <c r="KW933" s="1874"/>
      <c r="KX933" s="1874"/>
      <c r="KY933" s="1874"/>
      <c r="KZ933" s="1874"/>
      <c r="LA933" s="1874"/>
      <c r="LB933" s="1874"/>
      <c r="LC933" s="1874"/>
      <c r="LD933" s="1874"/>
      <c r="LE933" s="1874"/>
      <c r="LF933" s="1874"/>
      <c r="LG933" s="1874"/>
      <c r="LH933" s="1874"/>
      <c r="LI933" s="1874"/>
      <c r="LJ933" s="1874"/>
      <c r="LK933" s="1874"/>
      <c r="LL933" s="1874"/>
      <c r="LM933" s="1874"/>
      <c r="LN933" s="1874"/>
      <c r="LO933" s="1874"/>
      <c r="LP933" s="1874"/>
      <c r="LQ933" s="1874"/>
    </row>
    <row r="934" spans="1:329" ht="14.25" customHeight="1">
      <c r="C934" s="1815"/>
      <c r="D934" s="1815"/>
      <c r="E934" s="1815"/>
      <c r="F934" s="1815"/>
      <c r="H934" s="1918" t="s">
        <v>4124</v>
      </c>
      <c r="I934" s="1945"/>
      <c r="K934" s="2111">
        <f>FM817</f>
        <v>0</v>
      </c>
      <c r="L934" s="2111">
        <f>FN817</f>
        <v>0</v>
      </c>
      <c r="M934" s="2111">
        <f>FO817</f>
        <v>0</v>
      </c>
      <c r="N934" s="2111">
        <f>FP817</f>
        <v>0</v>
      </c>
      <c r="O934" s="2111">
        <f>FQ817</f>
        <v>0</v>
      </c>
      <c r="P934" s="1915">
        <f t="shared" si="385"/>
        <v>0</v>
      </c>
      <c r="Q934" s="1916" t="str">
        <f t="shared" si="386"/>
        <v/>
      </c>
      <c r="S934" s="1910"/>
      <c r="T934" s="1910"/>
      <c r="U934" s="1910"/>
      <c r="V934" s="1910"/>
      <c r="W934" s="1910"/>
      <c r="X934" s="1815"/>
      <c r="AA934" s="1815"/>
      <c r="AB934" s="449"/>
      <c r="AC934" s="1815"/>
      <c r="AF934" s="1815"/>
      <c r="AG934" s="449"/>
      <c r="AH934" s="1815"/>
      <c r="AK934" s="1815"/>
      <c r="AL934" s="449"/>
      <c r="AM934" s="1815"/>
      <c r="AP934" s="1815"/>
      <c r="AQ934" s="449"/>
      <c r="AR934" s="450"/>
      <c r="AS934" s="450"/>
      <c r="AT934" s="450"/>
      <c r="AU934" s="450"/>
      <c r="AV934" s="450"/>
      <c r="AW934" s="450"/>
      <c r="AX934" s="1815"/>
      <c r="AY934" s="1815"/>
      <c r="BB934" s="450"/>
      <c r="BC934" s="1815"/>
      <c r="BD934" s="1815"/>
      <c r="JW934" s="1874"/>
      <c r="KB934" s="1874"/>
      <c r="KC934" s="1874"/>
      <c r="KD934" s="1874"/>
      <c r="KE934" s="1874"/>
      <c r="KF934" s="1874"/>
      <c r="KG934" s="1874"/>
      <c r="KH934" s="1874"/>
      <c r="KI934" s="1874"/>
      <c r="KJ934" s="1874"/>
      <c r="KK934" s="1874"/>
      <c r="KL934" s="1874"/>
      <c r="KM934" s="1874"/>
      <c r="KN934" s="1874"/>
      <c r="KO934" s="1874"/>
      <c r="KP934" s="1874"/>
      <c r="KQ934" s="1874"/>
      <c r="KR934" s="1874"/>
      <c r="KS934" s="1874"/>
      <c r="KT934" s="1874"/>
      <c r="KU934" s="1874"/>
      <c r="KV934" s="1874"/>
      <c r="KW934" s="1874"/>
      <c r="KX934" s="1874"/>
      <c r="KY934" s="1874"/>
      <c r="KZ934" s="1874"/>
      <c r="LA934" s="1874"/>
      <c r="LB934" s="1874"/>
      <c r="LC934" s="1874"/>
      <c r="LD934" s="1874"/>
      <c r="LE934" s="1874"/>
      <c r="LF934" s="1874"/>
      <c r="LG934" s="1874"/>
      <c r="LH934" s="1874"/>
      <c r="LI934" s="1874"/>
      <c r="LJ934" s="1874"/>
      <c r="LK934" s="1874"/>
      <c r="LL934" s="1874"/>
      <c r="LM934" s="1874"/>
      <c r="LN934" s="1874"/>
      <c r="LO934" s="1874"/>
      <c r="LP934" s="1874"/>
      <c r="LQ934" s="1874"/>
    </row>
    <row r="935" spans="1:329" ht="14.25" customHeight="1">
      <c r="C935" s="1815"/>
      <c r="D935" s="1815"/>
      <c r="E935" s="1815"/>
      <c r="F935" s="1815"/>
      <c r="H935" s="1911" t="s">
        <v>4205</v>
      </c>
      <c r="I935" s="1908"/>
      <c r="K935" s="1915">
        <f>SUM(K928:K934)</f>
        <v>0</v>
      </c>
      <c r="L935" s="1915">
        <f>SUM(L928:L934)</f>
        <v>16000</v>
      </c>
      <c r="M935" s="1915">
        <f>SUM(M928:M934)</f>
        <v>52000</v>
      </c>
      <c r="N935" s="1915">
        <f>SUM(N928:N934)</f>
        <v>0</v>
      </c>
      <c r="O935" s="1915">
        <f>SUM(O928:O934)</f>
        <v>0</v>
      </c>
      <c r="P935" s="1915">
        <f>SUM(K935:O935)</f>
        <v>68000</v>
      </c>
      <c r="S935" s="1910"/>
      <c r="T935" s="1910"/>
      <c r="U935" s="1910"/>
      <c r="V935" s="1910"/>
      <c r="W935" s="1910"/>
      <c r="X935" s="1815"/>
      <c r="AA935" s="1815"/>
      <c r="AB935" s="449"/>
      <c r="AC935" s="1815"/>
      <c r="AF935" s="1815"/>
      <c r="AG935" s="449"/>
      <c r="AH935" s="1815"/>
      <c r="AK935" s="1815"/>
      <c r="AL935" s="449"/>
      <c r="AM935" s="1815"/>
      <c r="AP935" s="1815"/>
      <c r="AQ935" s="449"/>
      <c r="AR935" s="450"/>
      <c r="AS935" s="450"/>
      <c r="AT935" s="450"/>
      <c r="AU935" s="450"/>
      <c r="AV935" s="450"/>
      <c r="AW935" s="450"/>
      <c r="AX935" s="1815"/>
      <c r="AY935" s="1815"/>
      <c r="BB935" s="450"/>
      <c r="BC935" s="1815"/>
      <c r="BD935" s="1815"/>
      <c r="JW935" s="1874"/>
      <c r="KB935" s="1874"/>
      <c r="KC935" s="1874"/>
      <c r="KD935" s="1874"/>
      <c r="KE935" s="1874"/>
      <c r="KF935" s="1874"/>
      <c r="KG935" s="1874"/>
      <c r="KH935" s="1874"/>
      <c r="KI935" s="1874"/>
      <c r="KJ935" s="1874"/>
      <c r="KK935" s="1874"/>
      <c r="KL935" s="1874"/>
      <c r="KM935" s="1874"/>
      <c r="KN935" s="1874"/>
      <c r="KO935" s="1874"/>
      <c r="KP935" s="1874"/>
      <c r="KQ935" s="1874"/>
      <c r="KR935" s="1874"/>
      <c r="KS935" s="1874"/>
      <c r="KT935" s="1874"/>
      <c r="KU935" s="1874"/>
      <c r="KV935" s="1874"/>
      <c r="KW935" s="1874"/>
      <c r="KX935" s="1874"/>
      <c r="KY935" s="1874"/>
      <c r="KZ935" s="1874"/>
      <c r="LA935" s="1874"/>
      <c r="LB935" s="1874"/>
      <c r="LC935" s="1874"/>
      <c r="LD935" s="1874"/>
      <c r="LE935" s="1874"/>
      <c r="LF935" s="1874"/>
      <c r="LG935" s="1874"/>
      <c r="LH935" s="1874"/>
      <c r="LI935" s="1874"/>
      <c r="LJ935" s="1874"/>
      <c r="LK935" s="1874"/>
      <c r="LL935" s="1874"/>
      <c r="LM935" s="1874"/>
      <c r="LN935" s="1874"/>
      <c r="LO935" s="1874"/>
      <c r="LP935" s="1874"/>
      <c r="LQ935" s="1874"/>
    </row>
    <row r="936" spans="1:329" ht="14.25" customHeight="1">
      <c r="C936" s="1815" t="s">
        <v>298</v>
      </c>
      <c r="D936" s="1815"/>
      <c r="E936" s="1815"/>
      <c r="F936" s="1815"/>
      <c r="G936" s="1815"/>
      <c r="K936" s="1915">
        <f>FR817</f>
        <v>0</v>
      </c>
      <c r="L936" s="1915">
        <f>FS817</f>
        <v>0</v>
      </c>
      <c r="M936" s="1915">
        <f>FT817</f>
        <v>0</v>
      </c>
      <c r="N936" s="1915">
        <f>FU817</f>
        <v>0</v>
      </c>
      <c r="O936" s="1915">
        <f>FV817</f>
        <v>0</v>
      </c>
      <c r="P936" s="1915">
        <f>SUM(K936:O936)</f>
        <v>0</v>
      </c>
      <c r="Q936" s="1916" t="str">
        <f>IF(OR(P833=0,P833=""),"",P936/P833)</f>
        <v/>
      </c>
      <c r="S936" s="1910"/>
      <c r="T936" s="1910"/>
      <c r="U936" s="1910"/>
      <c r="V936" s="1910"/>
      <c r="W936" s="1910"/>
      <c r="X936" s="1815"/>
      <c r="AA936" s="1815"/>
      <c r="AB936" s="1815"/>
      <c r="AC936" s="1815"/>
      <c r="AF936" s="1815"/>
      <c r="AG936" s="1815"/>
      <c r="AH936" s="1815"/>
      <c r="AK936" s="1815"/>
      <c r="AL936" s="1815"/>
      <c r="AM936" s="1815"/>
      <c r="AP936" s="1815"/>
      <c r="AQ936" s="1815"/>
      <c r="AR936" s="450"/>
      <c r="AS936" s="450"/>
      <c r="AT936" s="450"/>
      <c r="AU936" s="450"/>
      <c r="AV936" s="450"/>
      <c r="AW936" s="450"/>
      <c r="AY936" s="1815"/>
      <c r="BB936" s="450"/>
      <c r="BD936" s="1815"/>
      <c r="JW936" s="1874"/>
      <c r="KB936" s="1874"/>
      <c r="KC936" s="1874"/>
      <c r="KD936" s="1874"/>
      <c r="KE936" s="1874"/>
      <c r="KF936" s="1874"/>
      <c r="KG936" s="1874"/>
      <c r="KH936" s="1874"/>
      <c r="KI936" s="1874"/>
      <c r="KJ936" s="1874"/>
      <c r="KK936" s="1874"/>
      <c r="KL936" s="1874"/>
      <c r="KM936" s="1874"/>
      <c r="KN936" s="1874"/>
      <c r="KO936" s="1874"/>
      <c r="KP936" s="1874"/>
      <c r="KQ936" s="1874"/>
      <c r="KR936" s="1874"/>
      <c r="KS936" s="1874"/>
      <c r="KT936" s="1874"/>
      <c r="KU936" s="1874"/>
      <c r="KV936" s="1874"/>
      <c r="KW936" s="1874"/>
      <c r="KX936" s="1874"/>
      <c r="KY936" s="1874"/>
      <c r="KZ936" s="1874"/>
      <c r="LA936" s="1874"/>
      <c r="LB936" s="1874"/>
      <c r="LC936" s="1874"/>
      <c r="LD936" s="1874"/>
      <c r="LE936" s="1874"/>
      <c r="LF936" s="1874"/>
      <c r="LG936" s="1874"/>
      <c r="LH936" s="1874"/>
      <c r="LI936" s="1874"/>
      <c r="LJ936" s="1874"/>
      <c r="LK936" s="1874"/>
      <c r="LL936" s="1874"/>
      <c r="LM936" s="1874"/>
      <c r="LN936" s="1874"/>
      <c r="LO936" s="1874"/>
      <c r="LP936" s="1874"/>
      <c r="LQ936" s="1874"/>
    </row>
    <row r="937" spans="1:329" ht="14.25" customHeight="1">
      <c r="C937" s="1815" t="s">
        <v>1116</v>
      </c>
      <c r="D937" s="1815"/>
      <c r="E937" s="1815"/>
      <c r="F937" s="1815"/>
      <c r="G937" s="1815"/>
      <c r="K937" s="1915">
        <f>SUM(K935:K936)</f>
        <v>0</v>
      </c>
      <c r="L937" s="1915">
        <f>SUM(L935:L936)</f>
        <v>16000</v>
      </c>
      <c r="M937" s="1915">
        <f>SUM(M935:M936)</f>
        <v>52000</v>
      </c>
      <c r="N937" s="1915">
        <f>SUM(N935:N936)</f>
        <v>0</v>
      </c>
      <c r="O937" s="1915">
        <f>SUM(O935:O936)</f>
        <v>0</v>
      </c>
      <c r="P937" s="1915">
        <f>SUM(K937:O937)</f>
        <v>68000</v>
      </c>
      <c r="S937" s="1910"/>
      <c r="T937" s="1910"/>
      <c r="U937" s="1910"/>
      <c r="V937" s="1910"/>
      <c r="W937" s="1910"/>
      <c r="X937" s="1815"/>
      <c r="AA937" s="1815"/>
      <c r="AB937" s="1815"/>
      <c r="AC937" s="1815"/>
      <c r="AF937" s="1815"/>
      <c r="AG937" s="1815"/>
      <c r="AH937" s="1815"/>
      <c r="AK937" s="1815"/>
      <c r="AL937" s="1815"/>
      <c r="AM937" s="1815"/>
      <c r="AP937" s="1815"/>
      <c r="AQ937" s="1815"/>
      <c r="AR937" s="450"/>
      <c r="AS937" s="450"/>
      <c r="AT937" s="450"/>
      <c r="AU937" s="450"/>
      <c r="AV937" s="450"/>
      <c r="AW937" s="450"/>
      <c r="AY937" s="1815"/>
      <c r="BB937" s="450"/>
      <c r="BD937" s="1815"/>
      <c r="JW937" s="1874"/>
      <c r="KB937" s="1874"/>
      <c r="KC937" s="1874"/>
      <c r="KD937" s="1874"/>
      <c r="KE937" s="1874"/>
      <c r="KF937" s="1874"/>
      <c r="KG937" s="1874"/>
      <c r="KH937" s="1874"/>
      <c r="KI937" s="1874"/>
      <c r="KJ937" s="1874"/>
      <c r="KK937" s="1874"/>
      <c r="KL937" s="1874"/>
      <c r="KM937" s="1874"/>
      <c r="KN937" s="1874"/>
      <c r="KO937" s="1874"/>
      <c r="KP937" s="1874"/>
      <c r="KQ937" s="1874"/>
      <c r="KR937" s="1874"/>
      <c r="KS937" s="1874"/>
      <c r="KT937" s="1874"/>
      <c r="KU937" s="1874"/>
      <c r="KV937" s="1874"/>
      <c r="KW937" s="1874"/>
      <c r="KX937" s="1874"/>
      <c r="KY937" s="1874"/>
      <c r="KZ937" s="1874"/>
      <c r="LA937" s="1874"/>
      <c r="LB937" s="1874"/>
      <c r="LC937" s="1874"/>
      <c r="LD937" s="1874"/>
      <c r="LE937" s="1874"/>
      <c r="LF937" s="1874"/>
      <c r="LG937" s="1874"/>
      <c r="LH937" s="1874"/>
      <c r="LI937" s="1874"/>
      <c r="LJ937" s="1874"/>
      <c r="LK937" s="1874"/>
      <c r="LL937" s="1874"/>
      <c r="LM937" s="1874"/>
      <c r="LN937" s="1874"/>
      <c r="LO937" s="1874"/>
      <c r="LP937" s="1874"/>
      <c r="LQ937" s="1874"/>
    </row>
    <row r="938" spans="1:329" ht="14.25" customHeight="1">
      <c r="C938" s="1815" t="s">
        <v>2445</v>
      </c>
      <c r="D938" s="1815"/>
      <c r="E938" s="1815"/>
      <c r="F938" s="1815"/>
      <c r="G938" s="1815"/>
      <c r="K938" s="1915">
        <f>GB817</f>
        <v>0</v>
      </c>
      <c r="L938" s="1915">
        <f>GC817</f>
        <v>0</v>
      </c>
      <c r="M938" s="1915">
        <f>GD817</f>
        <v>0</v>
      </c>
      <c r="N938" s="1915">
        <f>GE817</f>
        <v>0</v>
      </c>
      <c r="O938" s="1915">
        <f>GF817</f>
        <v>0</v>
      </c>
      <c r="P938" s="1915">
        <f>SUM(K938:O938)</f>
        <v>0</v>
      </c>
      <c r="Q938" s="1916" t="str">
        <f>IF(OR(P835=0,P835=""),"",P938/P835)</f>
        <v/>
      </c>
      <c r="S938" s="1910"/>
      <c r="T938" s="1910"/>
      <c r="U938" s="1910"/>
      <c r="V938" s="1910"/>
      <c r="W938" s="1910"/>
      <c r="X938" s="1815"/>
      <c r="AA938" s="1815"/>
      <c r="AB938" s="1815"/>
      <c r="AC938" s="1815"/>
      <c r="AF938" s="1815"/>
      <c r="AG938" s="1815"/>
      <c r="AH938" s="1815"/>
      <c r="AK938" s="1815"/>
      <c r="AL938" s="1815"/>
      <c r="AM938" s="1815"/>
      <c r="AP938" s="1815"/>
      <c r="AQ938" s="1815"/>
      <c r="AR938" s="450"/>
      <c r="AS938" s="450"/>
      <c r="AT938" s="450"/>
      <c r="AU938" s="450"/>
      <c r="AV938" s="450"/>
      <c r="AW938" s="450"/>
      <c r="AY938" s="1815"/>
      <c r="BB938" s="450"/>
      <c r="BD938" s="1815"/>
      <c r="JW938" s="1874"/>
      <c r="KB938" s="1874"/>
      <c r="KC938" s="1874"/>
      <c r="KD938" s="1874"/>
      <c r="KE938" s="1874"/>
      <c r="KF938" s="1874"/>
      <c r="KG938" s="1874"/>
      <c r="KH938" s="1874"/>
      <c r="KI938" s="1874"/>
      <c r="KJ938" s="1874"/>
      <c r="KK938" s="1874"/>
      <c r="KL938" s="1874"/>
      <c r="KM938" s="1874"/>
      <c r="KN938" s="1874"/>
      <c r="KO938" s="1874"/>
      <c r="KP938" s="1874"/>
      <c r="KQ938" s="1874"/>
      <c r="KR938" s="1874"/>
      <c r="KS938" s="1874"/>
      <c r="KT938" s="1874"/>
      <c r="KU938" s="1874"/>
      <c r="KV938" s="1874"/>
      <c r="KW938" s="1874"/>
      <c r="KX938" s="1874"/>
      <c r="KY938" s="1874"/>
      <c r="KZ938" s="1874"/>
      <c r="LA938" s="1874"/>
      <c r="LB938" s="1874"/>
      <c r="LC938" s="1874"/>
      <c r="LD938" s="1874"/>
      <c r="LE938" s="1874"/>
      <c r="LF938" s="1874"/>
      <c r="LG938" s="1874"/>
      <c r="LH938" s="1874"/>
      <c r="LI938" s="1874"/>
      <c r="LJ938" s="1874"/>
      <c r="LK938" s="1874"/>
      <c r="LL938" s="1874"/>
      <c r="LM938" s="1874"/>
      <c r="LN938" s="1874"/>
      <c r="LO938" s="1874"/>
      <c r="LP938" s="1874"/>
      <c r="LQ938" s="1874"/>
    </row>
    <row r="939" spans="1:329" ht="14.25" customHeight="1">
      <c r="C939" s="1815" t="s">
        <v>524</v>
      </c>
      <c r="D939" s="1815"/>
      <c r="E939" s="1815"/>
      <c r="F939" s="1815"/>
      <c r="G939" s="1815"/>
      <c r="K939" s="1915">
        <f>SUM(K937:K938)</f>
        <v>0</v>
      </c>
      <c r="L939" s="1915">
        <f>SUM(L937:L938)</f>
        <v>16000</v>
      </c>
      <c r="M939" s="1915">
        <f>SUM(M937:M938)</f>
        <v>52000</v>
      </c>
      <c r="N939" s="1915">
        <f>SUM(N937:N938)</f>
        <v>0</v>
      </c>
      <c r="O939" s="1915">
        <f>SUM(O937:O938)</f>
        <v>0</v>
      </c>
      <c r="P939" s="1915">
        <f>SUM(K939:O939)</f>
        <v>68000</v>
      </c>
      <c r="S939" s="1910"/>
      <c r="T939" s="1910"/>
      <c r="U939" s="1910"/>
      <c r="V939" s="1910"/>
      <c r="W939" s="1910"/>
      <c r="X939" s="1815"/>
      <c r="AA939" s="1815"/>
      <c r="AB939" s="1815"/>
      <c r="AC939" s="1815"/>
      <c r="AF939" s="1815"/>
      <c r="AG939" s="1815"/>
      <c r="AH939" s="1815"/>
      <c r="AK939" s="1815"/>
      <c r="AL939" s="1815"/>
      <c r="AM939" s="1815"/>
      <c r="AP939" s="1815"/>
      <c r="AQ939" s="1815"/>
      <c r="AR939" s="450"/>
      <c r="AS939" s="450"/>
      <c r="AT939" s="450"/>
      <c r="AU939" s="450"/>
      <c r="AV939" s="450"/>
      <c r="AW939" s="450"/>
      <c r="AY939" s="1815"/>
      <c r="BB939" s="450"/>
      <c r="BD939" s="1815"/>
      <c r="JW939" s="1874"/>
      <c r="KB939" s="1874"/>
      <c r="KC939" s="1874"/>
      <c r="KD939" s="1874"/>
      <c r="KE939" s="1874"/>
      <c r="KF939" s="1874"/>
      <c r="KG939" s="1874"/>
      <c r="KH939" s="1874"/>
      <c r="KI939" s="1874"/>
      <c r="KJ939" s="1874"/>
      <c r="KK939" s="1874"/>
      <c r="KL939" s="1874"/>
      <c r="KM939" s="1874"/>
      <c r="KN939" s="1874"/>
      <c r="KO939" s="1874"/>
      <c r="KP939" s="1874"/>
      <c r="KQ939" s="1874"/>
      <c r="KR939" s="1874"/>
      <c r="KS939" s="1874"/>
      <c r="KT939" s="1874"/>
      <c r="KU939" s="1874"/>
      <c r="KV939" s="1874"/>
      <c r="KW939" s="1874"/>
      <c r="KX939" s="1874"/>
      <c r="KY939" s="1874"/>
      <c r="KZ939" s="1874"/>
      <c r="LA939" s="1874"/>
      <c r="LB939" s="1874"/>
      <c r="LC939" s="1874"/>
      <c r="LD939" s="1874"/>
      <c r="LE939" s="1874"/>
      <c r="LF939" s="1874"/>
      <c r="LG939" s="1874"/>
      <c r="LH939" s="1874"/>
      <c r="LI939" s="1874"/>
      <c r="LJ939" s="1874"/>
      <c r="LK939" s="1874"/>
      <c r="LL939" s="1874"/>
      <c r="LM939" s="1874"/>
      <c r="LN939" s="1874"/>
      <c r="LO939" s="1874"/>
      <c r="LP939" s="1874"/>
      <c r="LQ939" s="1874"/>
    </row>
    <row r="940" spans="1:329" ht="14.1" customHeight="1">
      <c r="JW940" s="1874"/>
      <c r="KB940" s="1874"/>
      <c r="KC940" s="1874"/>
      <c r="KD940" s="1874"/>
      <c r="KE940" s="1874"/>
      <c r="KF940" s="1874"/>
      <c r="KG940" s="1874"/>
      <c r="KH940" s="1874"/>
      <c r="KI940" s="1874"/>
      <c r="KJ940" s="1874"/>
      <c r="KK940" s="1874"/>
      <c r="KL940" s="1874"/>
      <c r="KM940" s="1874"/>
      <c r="KN940" s="1874"/>
      <c r="KO940" s="1874"/>
      <c r="KP940" s="1874"/>
      <c r="KQ940" s="1874"/>
      <c r="KR940" s="1874"/>
      <c r="KS940" s="1874"/>
      <c r="KT940" s="1874"/>
      <c r="KU940" s="1874"/>
      <c r="KV940" s="1874"/>
      <c r="KW940" s="1874"/>
      <c r="KX940" s="1874"/>
      <c r="KY940" s="1874"/>
      <c r="KZ940" s="1874"/>
      <c r="LA940" s="1874"/>
      <c r="LB940" s="1874"/>
      <c r="LC940" s="1874"/>
      <c r="LD940" s="1874"/>
      <c r="LE940" s="1874"/>
      <c r="LF940" s="1874"/>
      <c r="LG940" s="1874"/>
      <c r="LH940" s="1874"/>
      <c r="LI940" s="1874"/>
      <c r="LJ940" s="1874"/>
      <c r="LK940" s="1874"/>
      <c r="LL940" s="1874"/>
      <c r="LM940" s="1874"/>
      <c r="LN940" s="1874"/>
      <c r="LO940" s="1874"/>
      <c r="LP940" s="1874"/>
      <c r="LQ940" s="1874"/>
    </row>
    <row r="941" spans="1:329" s="1815" customFormat="1" ht="14.1" customHeight="1">
      <c r="JW941" s="1896"/>
      <c r="KB941" s="1896"/>
      <c r="KC941" s="1896"/>
      <c r="KD941" s="1896"/>
      <c r="KE941" s="1896"/>
      <c r="KF941" s="1896"/>
      <c r="KG941" s="1896"/>
      <c r="KH941" s="1896"/>
      <c r="KI941" s="1896"/>
      <c r="KJ941" s="1896"/>
      <c r="KK941" s="1896"/>
      <c r="KL941" s="1896"/>
      <c r="KM941" s="1896"/>
      <c r="KN941" s="1896"/>
      <c r="KO941" s="1896"/>
      <c r="KP941" s="1896"/>
      <c r="KQ941" s="1896"/>
      <c r="KR941" s="1896"/>
      <c r="KS941" s="1896"/>
      <c r="KT941" s="1896"/>
      <c r="KU941" s="1896"/>
      <c r="KV941" s="1896"/>
      <c r="KW941" s="1896"/>
      <c r="KX941" s="1896"/>
      <c r="KY941" s="1896"/>
      <c r="KZ941" s="1896"/>
      <c r="LA941" s="1896"/>
      <c r="LB941" s="1896"/>
      <c r="LC941" s="1896"/>
      <c r="LD941" s="1896"/>
      <c r="LE941" s="1896"/>
      <c r="LF941" s="1896"/>
      <c r="LG941" s="1896"/>
      <c r="LH941" s="1896"/>
      <c r="LI941" s="1896"/>
      <c r="LJ941" s="1896"/>
      <c r="LK941" s="1896"/>
      <c r="LL941" s="1896"/>
      <c r="LM941" s="1896"/>
      <c r="LN941" s="1896"/>
      <c r="LO941" s="1896"/>
      <c r="LP941" s="1896"/>
      <c r="LQ941" s="1896"/>
    </row>
    <row r="942" spans="1:329" s="1815" customFormat="1" ht="14.25" customHeight="1">
      <c r="C942" s="1815" t="s">
        <v>6974</v>
      </c>
      <c r="K942" s="1917" t="str">
        <f>IF(OR(K836="",K836=0),"",K939/K836)</f>
        <v/>
      </c>
      <c r="L942" s="1917">
        <f>IF(OR(L836="",L836=0),"",L939/L836)</f>
        <v>800</v>
      </c>
      <c r="M942" s="1917">
        <f>IF(OR(M836="",M836=0),"",M939/M836)</f>
        <v>1000</v>
      </c>
      <c r="N942" s="1917" t="str">
        <f>IF(OR(N836="",N836=0),"",N939/N836)</f>
        <v/>
      </c>
      <c r="O942" s="1917" t="str">
        <f>IF(OR(O836="",O836=0),"",O939/O836)</f>
        <v/>
      </c>
      <c r="P942" s="1917"/>
      <c r="JW942" s="1896"/>
      <c r="KB942" s="1896"/>
      <c r="KC942" s="1896"/>
      <c r="KD942" s="1896"/>
      <c r="KE942" s="1896"/>
      <c r="KF942" s="1896"/>
      <c r="KG942" s="1896"/>
      <c r="KH942" s="1896"/>
      <c r="KI942" s="1896"/>
      <c r="KJ942" s="1896"/>
      <c r="KK942" s="1896"/>
      <c r="KL942" s="1896"/>
      <c r="KM942" s="1896"/>
      <c r="KN942" s="1896"/>
      <c r="KO942" s="1896"/>
      <c r="KP942" s="1896"/>
      <c r="KQ942" s="1896"/>
      <c r="KR942" s="1896"/>
      <c r="KS942" s="1896"/>
      <c r="KT942" s="1896"/>
      <c r="KU942" s="1896"/>
      <c r="KV942" s="1896"/>
      <c r="KW942" s="1896"/>
      <c r="KX942" s="1896"/>
      <c r="KY942" s="1896"/>
      <c r="KZ942" s="1896"/>
      <c r="LA942" s="1896"/>
      <c r="LB942" s="1896"/>
      <c r="LC942" s="1896"/>
      <c r="LD942" s="1896"/>
      <c r="LE942" s="1896"/>
      <c r="LF942" s="1896"/>
      <c r="LG942" s="1896"/>
      <c r="LH942" s="1896"/>
      <c r="LI942" s="1896"/>
      <c r="LJ942" s="1896"/>
      <c r="LK942" s="1896"/>
      <c r="LL942" s="1896"/>
      <c r="LM942" s="1896"/>
      <c r="LN942" s="1896"/>
      <c r="LO942" s="1896"/>
      <c r="LP942" s="1896"/>
      <c r="LQ942" s="1896"/>
    </row>
    <row r="943" spans="1:329" s="1815" customFormat="1" ht="14.1" customHeight="1">
      <c r="JW943" s="1896"/>
      <c r="KB943" s="1896"/>
      <c r="KC943" s="1896"/>
      <c r="KD943" s="1896"/>
      <c r="KE943" s="1896"/>
      <c r="KF943" s="1896"/>
      <c r="KG943" s="1896"/>
      <c r="KH943" s="1896"/>
      <c r="KI943" s="1896"/>
      <c r="KJ943" s="1896"/>
      <c r="KK943" s="1896"/>
      <c r="KL943" s="1896"/>
      <c r="KM943" s="1896"/>
      <c r="KN943" s="1896"/>
      <c r="KO943" s="1896"/>
      <c r="KP943" s="1896"/>
      <c r="KQ943" s="1896"/>
      <c r="KR943" s="1896"/>
      <c r="KS943" s="1896"/>
      <c r="KT943" s="1896"/>
      <c r="KU943" s="1896"/>
      <c r="KV943" s="1896"/>
      <c r="KW943" s="1896"/>
      <c r="KX943" s="1896"/>
      <c r="KY943" s="1896"/>
      <c r="KZ943" s="1896"/>
      <c r="LA943" s="1896"/>
      <c r="LB943" s="1896"/>
      <c r="LC943" s="1896"/>
      <c r="LD943" s="1896"/>
      <c r="LE943" s="1896"/>
      <c r="LF943" s="1896"/>
      <c r="LG943" s="1896"/>
      <c r="LH943" s="1896"/>
      <c r="LI943" s="1896"/>
      <c r="LJ943" s="1896"/>
      <c r="LK943" s="1896"/>
      <c r="LL943" s="1896"/>
      <c r="LM943" s="1896"/>
      <c r="LN943" s="1896"/>
      <c r="LO943" s="1896"/>
      <c r="LP943" s="1896"/>
      <c r="LQ943" s="1896"/>
    </row>
    <row r="944" spans="1:329" s="1815" customFormat="1" ht="14.1" customHeight="1">
      <c r="A944" s="2112"/>
      <c r="JW944" s="1896"/>
      <c r="KB944" s="1896"/>
      <c r="KC944" s="1896"/>
      <c r="KD944" s="1896"/>
      <c r="KE944" s="1896"/>
      <c r="KF944" s="1896"/>
      <c r="KG944" s="1896"/>
      <c r="KH944" s="1896"/>
      <c r="KI944" s="1896"/>
      <c r="KJ944" s="1896"/>
      <c r="KK944" s="1896"/>
      <c r="KL944" s="1896"/>
      <c r="KM944" s="1896"/>
      <c r="KN944" s="1896"/>
      <c r="KO944" s="1896"/>
      <c r="KP944" s="1896"/>
      <c r="KQ944" s="1896"/>
      <c r="KR944" s="1896"/>
      <c r="KS944" s="1896"/>
      <c r="KT944" s="1896"/>
      <c r="KU944" s="1896"/>
      <c r="KV944" s="1896"/>
      <c r="KW944" s="1896"/>
      <c r="KX944" s="1896"/>
      <c r="KY944" s="1896"/>
      <c r="KZ944" s="1896"/>
      <c r="LA944" s="1896"/>
      <c r="LB944" s="1896"/>
      <c r="LC944" s="1896"/>
      <c r="LD944" s="1896"/>
      <c r="LE944" s="1896"/>
      <c r="LF944" s="1896"/>
      <c r="LG944" s="1896"/>
      <c r="LH944" s="1896"/>
      <c r="LI944" s="1896"/>
      <c r="LJ944" s="1896"/>
      <c r="LK944" s="1896"/>
      <c r="LL944" s="1896"/>
      <c r="LM944" s="1896"/>
      <c r="LN944" s="1896"/>
      <c r="LO944" s="1896"/>
      <c r="LP944" s="1896"/>
      <c r="LQ944" s="1896"/>
    </row>
    <row r="945" spans="1:330" ht="14.1" customHeight="1">
      <c r="A945" s="1995" t="s">
        <v>724</v>
      </c>
      <c r="B945" s="1995" t="s">
        <v>6928</v>
      </c>
      <c r="S945" s="1995" t="s">
        <v>1799</v>
      </c>
      <c r="U945" s="1815"/>
      <c r="KC945" s="1874"/>
      <c r="KD945" s="1874"/>
      <c r="KE945" s="1874"/>
      <c r="KF945" s="1874"/>
      <c r="KG945" s="1874"/>
      <c r="KH945" s="1874"/>
      <c r="KI945" s="1874"/>
      <c r="KJ945" s="1874"/>
      <c r="KK945" s="1874"/>
      <c r="KL945" s="1874"/>
      <c r="KM945" s="1874"/>
      <c r="KN945" s="1874"/>
      <c r="KO945" s="1874"/>
      <c r="KP945" s="1874"/>
      <c r="KQ945" s="1874"/>
      <c r="KR945" s="1874"/>
      <c r="KS945" s="1874"/>
      <c r="KT945" s="1874"/>
      <c r="KU945" s="1874"/>
      <c r="KV945" s="1874"/>
      <c r="KW945" s="1874"/>
      <c r="KX945" s="1874"/>
      <c r="KY945" s="1874"/>
      <c r="KZ945" s="1874"/>
      <c r="LA945" s="1874"/>
      <c r="LB945" s="1874"/>
      <c r="LC945" s="1874"/>
      <c r="LD945" s="1874"/>
      <c r="LE945" s="1874"/>
      <c r="LF945" s="1874"/>
      <c r="LG945" s="1874"/>
      <c r="LH945" s="1874"/>
      <c r="LI945" s="1874"/>
      <c r="LJ945" s="1874"/>
      <c r="LK945" s="1874"/>
      <c r="LL945" s="1874"/>
      <c r="LM945" s="1874"/>
      <c r="LN945" s="1874"/>
      <c r="LO945" s="1874"/>
      <c r="LP945" s="1874"/>
      <c r="LQ945" s="1874"/>
      <c r="LR945" s="1874"/>
    </row>
    <row r="946" spans="1:330" ht="2.25" customHeight="1">
      <c r="Q946" s="1815"/>
      <c r="R946" s="1815"/>
      <c r="JW946" s="1874"/>
      <c r="KB946" s="1874"/>
      <c r="KC946" s="1874"/>
      <c r="KD946" s="1874"/>
      <c r="KE946" s="1874"/>
      <c r="KF946" s="1874"/>
      <c r="KG946" s="1874"/>
      <c r="KH946" s="1874"/>
      <c r="KI946" s="1874"/>
      <c r="KJ946" s="1874"/>
      <c r="KK946" s="1874"/>
      <c r="KL946" s="1874"/>
      <c r="KM946" s="1874"/>
      <c r="KN946" s="1874"/>
      <c r="KO946" s="1874"/>
      <c r="KP946" s="1874"/>
      <c r="KQ946" s="1874"/>
      <c r="KR946" s="1874"/>
      <c r="KS946" s="1874"/>
      <c r="KT946" s="1874"/>
      <c r="KU946" s="1874"/>
      <c r="KV946" s="1874"/>
      <c r="KW946" s="1874"/>
      <c r="KX946" s="1874"/>
      <c r="KY946" s="1874"/>
      <c r="KZ946" s="1874"/>
      <c r="LA946" s="1874"/>
      <c r="LB946" s="1874"/>
      <c r="LC946" s="1874"/>
      <c r="LD946" s="1874"/>
      <c r="LE946" s="1874"/>
      <c r="LF946" s="1874"/>
      <c r="LG946" s="1874"/>
      <c r="LH946" s="1874"/>
      <c r="LI946" s="1874"/>
      <c r="LJ946" s="1874"/>
      <c r="LK946" s="1874"/>
      <c r="LL946" s="1874"/>
      <c r="LM946" s="1874"/>
      <c r="LN946" s="1874"/>
      <c r="LO946" s="1874"/>
      <c r="LP946" s="1874"/>
      <c r="LQ946" s="1874"/>
    </row>
    <row r="947" spans="1:330" ht="15.6" customHeight="1">
      <c r="B947" s="1918" t="s">
        <v>994</v>
      </c>
      <c r="C947" s="1918"/>
      <c r="D947" s="1897"/>
      <c r="E947" s="1918"/>
      <c r="F947" s="1918"/>
      <c r="G947" s="1918"/>
      <c r="H947" s="2219">
        <f>'Part VI-Revenues &amp; Expenses'!H178</f>
        <v>10171.44</v>
      </c>
      <c r="I947" s="2219"/>
      <c r="J947" s="2219"/>
      <c r="K947" s="1918"/>
      <c r="L947" s="1912" t="s">
        <v>6867</v>
      </c>
      <c r="M947" s="1918"/>
      <c r="N947" s="1918"/>
      <c r="O947" s="1918"/>
      <c r="P947" s="2113">
        <f>H947/M818</f>
        <v>0.02</v>
      </c>
      <c r="Q947" s="1897"/>
      <c r="R947" s="1897"/>
      <c r="S947" s="1815" t="str">
        <f>B947</f>
        <v>Ancillary Income</v>
      </c>
      <c r="JW947" s="1874"/>
      <c r="KB947" s="1874"/>
      <c r="KC947" s="1874"/>
      <c r="KD947" s="1874"/>
      <c r="KE947" s="1874"/>
      <c r="KF947" s="1874"/>
      <c r="KG947" s="1874"/>
      <c r="KH947" s="1874"/>
      <c r="KI947" s="1874"/>
      <c r="KJ947" s="1874"/>
      <c r="KK947" s="1874"/>
      <c r="KL947" s="1874"/>
      <c r="KM947" s="1874"/>
      <c r="KN947" s="1874"/>
      <c r="KO947" s="1874"/>
      <c r="KP947" s="1874"/>
      <c r="KQ947" s="1874"/>
      <c r="KR947" s="1874"/>
      <c r="KS947" s="1874"/>
      <c r="KT947" s="1874"/>
      <c r="KU947" s="1874"/>
      <c r="KV947" s="1874"/>
      <c r="KW947" s="1874"/>
      <c r="KX947" s="1874"/>
      <c r="KY947" s="1874"/>
      <c r="KZ947" s="1874"/>
      <c r="LA947" s="1874"/>
      <c r="LB947" s="1874"/>
      <c r="LC947" s="1874"/>
      <c r="LD947" s="1874"/>
      <c r="LE947" s="1874"/>
      <c r="LF947" s="1874"/>
      <c r="LG947" s="1874"/>
      <c r="LH947" s="1874"/>
      <c r="LI947" s="1874"/>
      <c r="LJ947" s="1874"/>
      <c r="LK947" s="1874"/>
      <c r="LL947" s="1874"/>
      <c r="LM947" s="1874"/>
      <c r="LN947" s="1874"/>
      <c r="LO947" s="1874"/>
      <c r="LP947" s="1874"/>
      <c r="LQ947" s="1874"/>
    </row>
    <row r="948" spans="1:330" ht="15.6" customHeight="1">
      <c r="B948" s="1918"/>
      <c r="C948" s="1918"/>
      <c r="D948" s="1897"/>
      <c r="E948" s="1918"/>
      <c r="F948" s="1918"/>
      <c r="G948" s="1918"/>
      <c r="H948" s="1918"/>
      <c r="I948" s="1918"/>
      <c r="J948" s="1912"/>
      <c r="K948" s="1918"/>
      <c r="L948" s="1918"/>
      <c r="M948" s="1918"/>
      <c r="N948" s="1918"/>
      <c r="O948" s="1918"/>
      <c r="P948" s="1918"/>
      <c r="Q948" s="1897"/>
      <c r="R948" s="1897"/>
      <c r="JW948" s="1874"/>
      <c r="KB948" s="1874"/>
      <c r="KC948" s="1874"/>
      <c r="KD948" s="1874"/>
      <c r="KE948" s="1874"/>
      <c r="KF948" s="1874"/>
      <c r="KG948" s="1874"/>
      <c r="KH948" s="1874"/>
      <c r="KI948" s="1874"/>
      <c r="KJ948" s="1874"/>
      <c r="KK948" s="1874"/>
      <c r="KL948" s="1874"/>
      <c r="KM948" s="1874"/>
      <c r="KN948" s="1874"/>
      <c r="KO948" s="1874"/>
      <c r="KP948" s="1874"/>
      <c r="KQ948" s="1874"/>
      <c r="KR948" s="1874"/>
      <c r="KS948" s="1874"/>
      <c r="KT948" s="1874"/>
      <c r="KU948" s="1874"/>
      <c r="KV948" s="1874"/>
      <c r="KW948" s="1874"/>
      <c r="KX948" s="1874"/>
      <c r="KY948" s="1874"/>
      <c r="KZ948" s="1874"/>
      <c r="LA948" s="1874"/>
      <c r="LB948" s="1874"/>
      <c r="LC948" s="1874"/>
      <c r="LD948" s="1874"/>
      <c r="LE948" s="1874"/>
      <c r="LF948" s="1874"/>
      <c r="LG948" s="1874"/>
      <c r="LH948" s="1874"/>
      <c r="LI948" s="1874"/>
      <c r="LJ948" s="1874"/>
      <c r="LK948" s="1874"/>
      <c r="LL948" s="1874"/>
      <c r="LM948" s="1874"/>
      <c r="LN948" s="1874"/>
      <c r="LO948" s="1874"/>
      <c r="LP948" s="1874"/>
      <c r="LQ948" s="1874"/>
    </row>
    <row r="949" spans="1:330" ht="15.6" customHeight="1">
      <c r="B949" s="1918" t="s">
        <v>1417</v>
      </c>
      <c r="C949" s="1918"/>
      <c r="D949" s="1918"/>
      <c r="E949" s="1918"/>
      <c r="F949" s="1918"/>
      <c r="G949" s="1918"/>
      <c r="H949" s="1918"/>
      <c r="I949" s="1918"/>
      <c r="J949" s="1918"/>
      <c r="K949" s="1918"/>
      <c r="L949" s="2114"/>
      <c r="M949" s="1918"/>
      <c r="N949" s="1918"/>
      <c r="O949" s="1918"/>
      <c r="P949" s="1918"/>
      <c r="Q949" s="1918"/>
      <c r="S949" s="1896" t="str">
        <f>B949</f>
        <v>Other Income (OI) by Year:</v>
      </c>
      <c r="JW949" s="1874"/>
      <c r="KB949" s="1874"/>
      <c r="KC949" s="1874"/>
      <c r="KD949" s="1874"/>
      <c r="KE949" s="1874"/>
      <c r="KF949" s="1874"/>
      <c r="KG949" s="1874"/>
      <c r="KH949" s="1874"/>
      <c r="KI949" s="1874"/>
      <c r="KJ949" s="1874"/>
      <c r="KK949" s="1874"/>
      <c r="KL949" s="1874"/>
      <c r="KM949" s="1874"/>
      <c r="KN949" s="1874"/>
      <c r="KO949" s="1874"/>
      <c r="KP949" s="1874"/>
      <c r="KQ949" s="1874"/>
      <c r="KR949" s="1874"/>
      <c r="KS949" s="1874"/>
      <c r="KT949" s="1874"/>
      <c r="KU949" s="1874"/>
      <c r="KV949" s="1874"/>
      <c r="KW949" s="1874"/>
      <c r="KX949" s="1874"/>
      <c r="KY949" s="1874"/>
      <c r="KZ949" s="1874"/>
      <c r="LA949" s="1874"/>
      <c r="LB949" s="1874"/>
      <c r="LC949" s="1874"/>
      <c r="LD949" s="1874"/>
      <c r="LE949" s="1874"/>
      <c r="LF949" s="1874"/>
      <c r="LG949" s="1874"/>
      <c r="LH949" s="1874"/>
      <c r="LI949" s="1874"/>
      <c r="LJ949" s="1874"/>
      <c r="LK949" s="1874"/>
      <c r="LL949" s="1874"/>
      <c r="LM949" s="1874"/>
      <c r="LN949" s="1874"/>
      <c r="LO949" s="1874"/>
      <c r="LP949" s="1874"/>
      <c r="LQ949" s="1874"/>
    </row>
    <row r="950" spans="1:330" ht="15.6" customHeight="1">
      <c r="B950" s="1918" t="s">
        <v>2228</v>
      </c>
      <c r="C950" s="1918"/>
      <c r="D950" s="1918"/>
      <c r="E950" s="1918"/>
      <c r="F950" s="1918"/>
      <c r="H950" s="2115">
        <v>1</v>
      </c>
      <c r="I950" s="2115">
        <v>2</v>
      </c>
      <c r="J950" s="2115">
        <v>3</v>
      </c>
      <c r="K950" s="2115">
        <v>4</v>
      </c>
      <c r="L950" s="2115">
        <v>5</v>
      </c>
      <c r="M950" s="2115">
        <v>6</v>
      </c>
      <c r="N950" s="2115">
        <v>7</v>
      </c>
      <c r="O950" s="2115">
        <v>8</v>
      </c>
      <c r="P950" s="2115">
        <v>9</v>
      </c>
      <c r="Q950" s="2115">
        <v>10</v>
      </c>
      <c r="R950" s="2116"/>
      <c r="S950" s="1815" t="str">
        <f>B950</f>
        <v>Included in Mgt Fee:</v>
      </c>
      <c r="JW950" s="1874"/>
      <c r="KB950" s="1874"/>
      <c r="KC950" s="1874"/>
      <c r="KD950" s="1874"/>
      <c r="KE950" s="1874"/>
      <c r="KF950" s="1874"/>
      <c r="KG950" s="1874"/>
      <c r="KH950" s="1874"/>
      <c r="KI950" s="1874"/>
      <c r="KJ950" s="1874"/>
      <c r="KK950" s="1874"/>
      <c r="KL950" s="1874"/>
      <c r="KM950" s="1874"/>
      <c r="KN950" s="1874"/>
      <c r="KO950" s="1874"/>
      <c r="KP950" s="1874"/>
      <c r="KQ950" s="1874"/>
      <c r="KR950" s="1874"/>
      <c r="KS950" s="1874"/>
      <c r="KT950" s="1874"/>
      <c r="KU950" s="1874"/>
      <c r="KV950" s="1874"/>
      <c r="KW950" s="1874"/>
      <c r="KX950" s="1874"/>
      <c r="KY950" s="1874"/>
      <c r="KZ950" s="1874"/>
      <c r="LA950" s="1874"/>
      <c r="LB950" s="1874"/>
      <c r="LC950" s="1874"/>
      <c r="LD950" s="1874"/>
      <c r="LE950" s="1874"/>
      <c r="LF950" s="1874"/>
      <c r="LG950" s="1874"/>
      <c r="LH950" s="1874"/>
      <c r="LI950" s="1874"/>
      <c r="LJ950" s="1874"/>
      <c r="LK950" s="1874"/>
      <c r="LL950" s="1874"/>
      <c r="LM950" s="1874"/>
      <c r="LN950" s="1874"/>
      <c r="LO950" s="1874"/>
      <c r="LP950" s="1874"/>
      <c r="LQ950" s="1874"/>
    </row>
    <row r="951" spans="1:330" ht="15.6" customHeight="1">
      <c r="B951" s="1897" t="s">
        <v>995</v>
      </c>
      <c r="C951" s="1897"/>
      <c r="D951" s="1897"/>
      <c r="E951" s="1897"/>
      <c r="F951" s="1897"/>
      <c r="H951" s="2127">
        <f>'Part VI-Revenues &amp; Expenses'!H182</f>
        <v>0</v>
      </c>
      <c r="I951" s="2127">
        <f>'Part VI-Revenues &amp; Expenses'!I182</f>
        <v>0</v>
      </c>
      <c r="J951" s="2127">
        <f>'Part VI-Revenues &amp; Expenses'!J182</f>
        <v>0</v>
      </c>
      <c r="K951" s="2127">
        <f>'Part VI-Revenues &amp; Expenses'!K182</f>
        <v>0</v>
      </c>
      <c r="L951" s="2127">
        <f>'Part VI-Revenues &amp; Expenses'!L182</f>
        <v>0</v>
      </c>
      <c r="M951" s="2127">
        <f>'Part VI-Revenues &amp; Expenses'!M182</f>
        <v>0</v>
      </c>
      <c r="N951" s="2127">
        <f>'Part VI-Revenues &amp; Expenses'!N182</f>
        <v>0</v>
      </c>
      <c r="O951" s="2127">
        <f>'Part VI-Revenues &amp; Expenses'!O182</f>
        <v>0</v>
      </c>
      <c r="P951" s="2127">
        <f>'Part VI-Revenues &amp; Expenses'!P182</f>
        <v>0</v>
      </c>
      <c r="Q951" s="2127">
        <f>'Part VI-Revenues &amp; Expenses'!Q182</f>
        <v>0</v>
      </c>
      <c r="R951" s="1917"/>
      <c r="S951" s="1910"/>
      <c r="T951" s="1910"/>
      <c r="U951" s="1910"/>
      <c r="V951" s="1910"/>
      <c r="W951" s="1910"/>
      <c r="JW951" s="1874"/>
      <c r="KB951" s="1874"/>
      <c r="KC951" s="1874"/>
      <c r="KD951" s="1874"/>
      <c r="KE951" s="1874"/>
      <c r="KF951" s="1874"/>
      <c r="KG951" s="1874"/>
      <c r="KH951" s="1874"/>
      <c r="KI951" s="1874"/>
      <c r="KJ951" s="1874"/>
      <c r="KK951" s="1874"/>
      <c r="KL951" s="1874"/>
      <c r="KM951" s="1874"/>
      <c r="KN951" s="1874"/>
      <c r="KO951" s="1874"/>
      <c r="KP951" s="1874"/>
      <c r="KQ951" s="1874"/>
      <c r="KR951" s="1874"/>
      <c r="KS951" s="1874"/>
      <c r="KT951" s="1874"/>
      <c r="KU951" s="1874"/>
      <c r="KV951" s="1874"/>
      <c r="KW951" s="1874"/>
      <c r="KX951" s="1874"/>
      <c r="KY951" s="1874"/>
      <c r="KZ951" s="1874"/>
      <c r="LA951" s="1874"/>
      <c r="LB951" s="1874"/>
      <c r="LC951" s="1874"/>
      <c r="LD951" s="1874"/>
      <c r="LE951" s="1874"/>
      <c r="LF951" s="1874"/>
      <c r="LG951" s="1874"/>
      <c r="LH951" s="1874"/>
      <c r="LI951" s="1874"/>
      <c r="LJ951" s="1874"/>
      <c r="LK951" s="1874"/>
      <c r="LL951" s="1874"/>
      <c r="LM951" s="1874"/>
      <c r="LN951" s="1874"/>
      <c r="LO951" s="1874"/>
      <c r="LP951" s="1874"/>
      <c r="LQ951" s="1874"/>
    </row>
    <row r="952" spans="1:330" ht="15.6" customHeight="1">
      <c r="B952" s="1897" t="s">
        <v>723</v>
      </c>
      <c r="C952" s="1897">
        <f>'Part VI-Revenues &amp; Expenses'!C183</f>
        <v>0</v>
      </c>
      <c r="D952" s="1897"/>
      <c r="E952" s="1897"/>
      <c r="F952" s="1897"/>
      <c r="H952" s="2127">
        <f>'Part VI-Revenues &amp; Expenses'!H183</f>
        <v>0</v>
      </c>
      <c r="I952" s="2127">
        <f>'Part VI-Revenues &amp; Expenses'!I183</f>
        <v>0</v>
      </c>
      <c r="J952" s="2127">
        <f>'Part VI-Revenues &amp; Expenses'!J183</f>
        <v>0</v>
      </c>
      <c r="K952" s="2127">
        <f>'Part VI-Revenues &amp; Expenses'!K183</f>
        <v>0</v>
      </c>
      <c r="L952" s="2127">
        <f>'Part VI-Revenues &amp; Expenses'!L183</f>
        <v>0</v>
      </c>
      <c r="M952" s="2127">
        <f>'Part VI-Revenues &amp; Expenses'!M183</f>
        <v>0</v>
      </c>
      <c r="N952" s="2127">
        <f>'Part VI-Revenues &amp; Expenses'!N183</f>
        <v>0</v>
      </c>
      <c r="O952" s="2127">
        <f>'Part VI-Revenues &amp; Expenses'!O183</f>
        <v>0</v>
      </c>
      <c r="P952" s="2127">
        <f>'Part VI-Revenues &amp; Expenses'!P183</f>
        <v>0</v>
      </c>
      <c r="Q952" s="2127">
        <f>'Part VI-Revenues &amp; Expenses'!Q183</f>
        <v>0</v>
      </c>
      <c r="R952" s="1917"/>
      <c r="S952" s="1910"/>
      <c r="T952" s="1910"/>
      <c r="U952" s="1910"/>
      <c r="V952" s="1910"/>
      <c r="W952" s="1910"/>
      <c r="JW952" s="1874"/>
      <c r="KB952" s="1874"/>
      <c r="KC952" s="1874"/>
      <c r="KD952" s="1874"/>
      <c r="KE952" s="1874"/>
      <c r="KF952" s="1874"/>
      <c r="KG952" s="1874"/>
      <c r="KH952" s="1874"/>
      <c r="KI952" s="1874"/>
      <c r="KJ952" s="1874"/>
      <c r="KK952" s="1874"/>
      <c r="KL952" s="1874"/>
      <c r="KM952" s="1874"/>
      <c r="KN952" s="1874"/>
      <c r="KO952" s="1874"/>
      <c r="KP952" s="1874"/>
      <c r="KQ952" s="1874"/>
      <c r="KR952" s="1874"/>
      <c r="KS952" s="1874"/>
      <c r="KT952" s="1874"/>
      <c r="KU952" s="1874"/>
      <c r="KV952" s="1874"/>
      <c r="KW952" s="1874"/>
      <c r="KX952" s="1874"/>
      <c r="KY952" s="1874"/>
      <c r="KZ952" s="1874"/>
      <c r="LA952" s="1874"/>
      <c r="LB952" s="1874"/>
      <c r="LC952" s="1874"/>
      <c r="LD952" s="1874"/>
      <c r="LE952" s="1874"/>
      <c r="LF952" s="1874"/>
      <c r="LG952" s="1874"/>
      <c r="LH952" s="1874"/>
      <c r="LI952" s="1874"/>
      <c r="LJ952" s="1874"/>
      <c r="LK952" s="1874"/>
      <c r="LL952" s="1874"/>
      <c r="LM952" s="1874"/>
      <c r="LN952" s="1874"/>
      <c r="LO952" s="1874"/>
      <c r="LP952" s="1874"/>
      <c r="LQ952" s="1874"/>
    </row>
    <row r="953" spans="1:330" ht="15.6" customHeight="1">
      <c r="B953" s="1897"/>
      <c r="C953" s="1897" t="s">
        <v>907</v>
      </c>
      <c r="D953" s="1897"/>
      <c r="E953" s="1897"/>
      <c r="F953" s="1897"/>
      <c r="H953" s="1919">
        <f>SUM(H951:H952)</f>
        <v>0</v>
      </c>
      <c r="I953" s="1919">
        <f>SUM(I951:I952)</f>
        <v>0</v>
      </c>
      <c r="J953" s="1919">
        <f t="shared" ref="J953:Q953" si="387">SUM(J951:J952)</f>
        <v>0</v>
      </c>
      <c r="K953" s="1919">
        <f t="shared" si="387"/>
        <v>0</v>
      </c>
      <c r="L953" s="1919">
        <f t="shared" si="387"/>
        <v>0</v>
      </c>
      <c r="M953" s="1919">
        <f t="shared" si="387"/>
        <v>0</v>
      </c>
      <c r="N953" s="1919">
        <f t="shared" si="387"/>
        <v>0</v>
      </c>
      <c r="O953" s="1919">
        <f t="shared" si="387"/>
        <v>0</v>
      </c>
      <c r="P953" s="1919">
        <f t="shared" si="387"/>
        <v>0</v>
      </c>
      <c r="Q953" s="1919">
        <f t="shared" si="387"/>
        <v>0</v>
      </c>
      <c r="R953" s="450"/>
      <c r="S953" s="1910"/>
      <c r="T953" s="1910"/>
      <c r="U953" s="1910"/>
      <c r="V953" s="1910"/>
      <c r="W953" s="1910"/>
      <c r="JW953" s="1874"/>
      <c r="KB953" s="1874"/>
      <c r="KC953" s="1874"/>
      <c r="KD953" s="1874"/>
      <c r="KE953" s="1874"/>
      <c r="KF953" s="1874"/>
      <c r="KG953" s="1874"/>
      <c r="KH953" s="1874"/>
      <c r="KI953" s="1874"/>
      <c r="KJ953" s="1874"/>
      <c r="KK953" s="1874"/>
      <c r="KL953" s="1874"/>
      <c r="KM953" s="1874"/>
      <c r="KN953" s="1874"/>
      <c r="KO953" s="1874"/>
      <c r="KP953" s="1874"/>
      <c r="KQ953" s="1874"/>
      <c r="KR953" s="1874"/>
      <c r="KS953" s="1874"/>
      <c r="KT953" s="1874"/>
      <c r="KU953" s="1874"/>
      <c r="KV953" s="1874"/>
      <c r="KW953" s="1874"/>
      <c r="KX953" s="1874"/>
      <c r="KY953" s="1874"/>
      <c r="KZ953" s="1874"/>
      <c r="LA953" s="1874"/>
      <c r="LB953" s="1874"/>
      <c r="LC953" s="1874"/>
      <c r="LD953" s="1874"/>
      <c r="LE953" s="1874"/>
      <c r="LF953" s="1874"/>
      <c r="LG953" s="1874"/>
      <c r="LH953" s="1874"/>
      <c r="LI953" s="1874"/>
      <c r="LJ953" s="1874"/>
      <c r="LK953" s="1874"/>
      <c r="LL953" s="1874"/>
      <c r="LM953" s="1874"/>
      <c r="LN953" s="1874"/>
      <c r="LO953" s="1874"/>
      <c r="LP953" s="1874"/>
      <c r="LQ953" s="1874"/>
    </row>
    <row r="954" spans="1:330" ht="15.6" customHeight="1">
      <c r="B954" s="1918" t="s">
        <v>6868</v>
      </c>
      <c r="C954" s="1918"/>
      <c r="D954" s="1918"/>
      <c r="E954" s="1918"/>
      <c r="F954" s="1918"/>
      <c r="H954" s="2117"/>
      <c r="I954" s="1918"/>
      <c r="J954" s="1918"/>
      <c r="K954" s="1918"/>
      <c r="L954" s="1918"/>
      <c r="M954" s="1918"/>
      <c r="N954" s="1918"/>
      <c r="O954" s="1918"/>
      <c r="P954" s="1918"/>
      <c r="Q954" s="1918"/>
      <c r="S954" s="1815" t="str">
        <f>B954</f>
        <v>NOT Included in Mgt Fee:</v>
      </c>
      <c r="JW954" s="1874"/>
      <c r="KB954" s="1874"/>
      <c r="KC954" s="1874"/>
      <c r="KD954" s="1874"/>
      <c r="KE954" s="1874"/>
      <c r="KF954" s="1874"/>
      <c r="KG954" s="1874"/>
      <c r="KH954" s="1874"/>
      <c r="KI954" s="1874"/>
      <c r="KJ954" s="1874"/>
      <c r="KK954" s="1874"/>
      <c r="KL954" s="1874"/>
      <c r="KM954" s="1874"/>
      <c r="KN954" s="1874"/>
      <c r="KO954" s="1874"/>
      <c r="KP954" s="1874"/>
      <c r="KQ954" s="1874"/>
      <c r="KR954" s="1874"/>
      <c r="KS954" s="1874"/>
      <c r="KT954" s="1874"/>
      <c r="KU954" s="1874"/>
      <c r="KV954" s="1874"/>
      <c r="KW954" s="1874"/>
      <c r="KX954" s="1874"/>
      <c r="KY954" s="1874"/>
      <c r="KZ954" s="1874"/>
      <c r="LA954" s="1874"/>
      <c r="LB954" s="1874"/>
      <c r="LC954" s="1874"/>
      <c r="LD954" s="1874"/>
      <c r="LE954" s="1874"/>
      <c r="LF954" s="1874"/>
      <c r="LG954" s="1874"/>
      <c r="LH954" s="1874"/>
      <c r="LI954" s="1874"/>
      <c r="LJ954" s="1874"/>
      <c r="LK954" s="1874"/>
      <c r="LL954" s="1874"/>
      <c r="LM954" s="1874"/>
      <c r="LN954" s="1874"/>
      <c r="LO954" s="1874"/>
      <c r="LP954" s="1874"/>
      <c r="LQ954" s="1874"/>
    </row>
    <row r="955" spans="1:330" ht="15.6" customHeight="1">
      <c r="B955" s="1897" t="s">
        <v>518</v>
      </c>
      <c r="C955" s="1897"/>
      <c r="D955" s="1897"/>
      <c r="E955" s="1897"/>
      <c r="F955" s="1897"/>
      <c r="H955" s="2127">
        <f>'Part VI-Revenues &amp; Expenses'!H186</f>
        <v>0</v>
      </c>
      <c r="I955" s="2127">
        <f>'Part VI-Revenues &amp; Expenses'!I186</f>
        <v>0</v>
      </c>
      <c r="J955" s="2127">
        <f>'Part VI-Revenues &amp; Expenses'!J186</f>
        <v>0</v>
      </c>
      <c r="K955" s="2127">
        <f>'Part VI-Revenues &amp; Expenses'!K186</f>
        <v>0</v>
      </c>
      <c r="L955" s="2127">
        <f>'Part VI-Revenues &amp; Expenses'!L186</f>
        <v>0</v>
      </c>
      <c r="M955" s="2127">
        <f>'Part VI-Revenues &amp; Expenses'!M186</f>
        <v>0</v>
      </c>
      <c r="N955" s="2127">
        <f>'Part VI-Revenues &amp; Expenses'!N186</f>
        <v>0</v>
      </c>
      <c r="O955" s="2127">
        <f>'Part VI-Revenues &amp; Expenses'!O186</f>
        <v>0</v>
      </c>
      <c r="P955" s="2127">
        <f>'Part VI-Revenues &amp; Expenses'!P186</f>
        <v>0</v>
      </c>
      <c r="Q955" s="2127">
        <f>'Part VI-Revenues &amp; Expenses'!Q186</f>
        <v>0</v>
      </c>
      <c r="R955" s="1917"/>
      <c r="S955" s="1910"/>
      <c r="T955" s="1910"/>
      <c r="U955" s="1910"/>
      <c r="V955" s="1910"/>
      <c r="W955" s="1910"/>
      <c r="JW955" s="1874"/>
      <c r="KB955" s="1874"/>
      <c r="KC955" s="1874"/>
      <c r="KD955" s="1874"/>
      <c r="KE955" s="1874"/>
      <c r="KF955" s="1874"/>
      <c r="KG955" s="1874"/>
      <c r="KH955" s="1874"/>
      <c r="KI955" s="1874"/>
      <c r="KJ955" s="1874"/>
      <c r="KK955" s="1874"/>
      <c r="KL955" s="1874"/>
      <c r="KM955" s="1874"/>
      <c r="KN955" s="1874"/>
      <c r="KO955" s="1874"/>
      <c r="KP955" s="1874"/>
      <c r="KQ955" s="1874"/>
      <c r="KR955" s="1874"/>
      <c r="KS955" s="1874"/>
      <c r="KT955" s="1874"/>
      <c r="KU955" s="1874"/>
      <c r="KV955" s="1874"/>
      <c r="KW955" s="1874"/>
      <c r="KX955" s="1874"/>
      <c r="KY955" s="1874"/>
      <c r="KZ955" s="1874"/>
      <c r="LA955" s="1874"/>
      <c r="LB955" s="1874"/>
      <c r="LC955" s="1874"/>
      <c r="LD955" s="1874"/>
      <c r="LE955" s="1874"/>
      <c r="LF955" s="1874"/>
      <c r="LG955" s="1874"/>
      <c r="LH955" s="1874"/>
      <c r="LI955" s="1874"/>
      <c r="LJ955" s="1874"/>
      <c r="LK955" s="1874"/>
      <c r="LL955" s="1874"/>
      <c r="LM955" s="1874"/>
      <c r="LN955" s="1874"/>
      <c r="LO955" s="1874"/>
      <c r="LP955" s="1874"/>
      <c r="LQ955" s="1874"/>
    </row>
    <row r="956" spans="1:330" ht="15.6" customHeight="1">
      <c r="B956" s="1897" t="s">
        <v>723</v>
      </c>
      <c r="C956" s="1897">
        <f>'Part VI-Revenues &amp; Expenses'!C187</f>
        <v>0</v>
      </c>
      <c r="D956" s="1897"/>
      <c r="E956" s="1897"/>
      <c r="F956" s="1897"/>
      <c r="H956" s="2127">
        <f>'Part VI-Revenues &amp; Expenses'!H187</f>
        <v>0</v>
      </c>
      <c r="I956" s="2127">
        <f>'Part VI-Revenues &amp; Expenses'!I187</f>
        <v>0</v>
      </c>
      <c r="J956" s="2127">
        <f>'Part VI-Revenues &amp; Expenses'!J187</f>
        <v>0</v>
      </c>
      <c r="K956" s="2127">
        <f>'Part VI-Revenues &amp; Expenses'!K187</f>
        <v>0</v>
      </c>
      <c r="L956" s="2127">
        <f>'Part VI-Revenues &amp; Expenses'!L187</f>
        <v>0</v>
      </c>
      <c r="M956" s="2127">
        <f>'Part VI-Revenues &amp; Expenses'!M187</f>
        <v>0</v>
      </c>
      <c r="N956" s="2127">
        <f>'Part VI-Revenues &amp; Expenses'!N187</f>
        <v>0</v>
      </c>
      <c r="O956" s="2127">
        <f>'Part VI-Revenues &amp; Expenses'!O187</f>
        <v>0</v>
      </c>
      <c r="P956" s="2127">
        <f>'Part VI-Revenues &amp; Expenses'!P187</f>
        <v>0</v>
      </c>
      <c r="Q956" s="2127">
        <f>'Part VI-Revenues &amp; Expenses'!Q187</f>
        <v>0</v>
      </c>
      <c r="R956" s="1917"/>
      <c r="S956" s="1910"/>
      <c r="T956" s="1910"/>
      <c r="U956" s="1910"/>
      <c r="V956" s="1910"/>
      <c r="W956" s="1910"/>
      <c r="JW956" s="1874"/>
      <c r="KB956" s="1874"/>
      <c r="KC956" s="1874"/>
      <c r="KD956" s="1874"/>
      <c r="KE956" s="1874"/>
      <c r="KF956" s="1874"/>
      <c r="KG956" s="1874"/>
      <c r="KH956" s="1874"/>
      <c r="KI956" s="1874"/>
      <c r="KJ956" s="1874"/>
      <c r="KK956" s="1874"/>
      <c r="KL956" s="1874"/>
      <c r="KM956" s="1874"/>
      <c r="KN956" s="1874"/>
      <c r="KO956" s="1874"/>
      <c r="KP956" s="1874"/>
      <c r="KQ956" s="1874"/>
      <c r="KR956" s="1874"/>
      <c r="KS956" s="1874"/>
      <c r="KT956" s="1874"/>
      <c r="KU956" s="1874"/>
      <c r="KV956" s="1874"/>
      <c r="KW956" s="1874"/>
      <c r="KX956" s="1874"/>
      <c r="KY956" s="1874"/>
      <c r="KZ956" s="1874"/>
      <c r="LA956" s="1874"/>
      <c r="LB956" s="1874"/>
      <c r="LC956" s="1874"/>
      <c r="LD956" s="1874"/>
      <c r="LE956" s="1874"/>
      <c r="LF956" s="1874"/>
      <c r="LG956" s="1874"/>
      <c r="LH956" s="1874"/>
      <c r="LI956" s="1874"/>
      <c r="LJ956" s="1874"/>
      <c r="LK956" s="1874"/>
      <c r="LL956" s="1874"/>
      <c r="LM956" s="1874"/>
      <c r="LN956" s="1874"/>
      <c r="LO956" s="1874"/>
      <c r="LP956" s="1874"/>
      <c r="LQ956" s="1874"/>
    </row>
    <row r="957" spans="1:330" ht="15.6" customHeight="1">
      <c r="B957" s="1897"/>
      <c r="C957" s="1897" t="s">
        <v>6869</v>
      </c>
      <c r="D957" s="1897"/>
      <c r="E957" s="1897"/>
      <c r="F957" s="1897"/>
      <c r="H957" s="1919">
        <f>SUM(H955:H956)</f>
        <v>0</v>
      </c>
      <c r="I957" s="1919">
        <f>SUM(I955:I956)</f>
        <v>0</v>
      </c>
      <c r="J957" s="1919">
        <f t="shared" ref="J957:Q957" si="388">SUM(J955:J956)</f>
        <v>0</v>
      </c>
      <c r="K957" s="1919">
        <f t="shared" si="388"/>
        <v>0</v>
      </c>
      <c r="L957" s="1919">
        <f t="shared" si="388"/>
        <v>0</v>
      </c>
      <c r="M957" s="1919">
        <f t="shared" si="388"/>
        <v>0</v>
      </c>
      <c r="N957" s="1919">
        <f t="shared" si="388"/>
        <v>0</v>
      </c>
      <c r="O957" s="1919">
        <f t="shared" si="388"/>
        <v>0</v>
      </c>
      <c r="P957" s="1919">
        <f t="shared" si="388"/>
        <v>0</v>
      </c>
      <c r="Q957" s="1919">
        <f t="shared" si="388"/>
        <v>0</v>
      </c>
      <c r="R957" s="450"/>
      <c r="S957" s="1910"/>
      <c r="T957" s="1910"/>
      <c r="U957" s="1910"/>
      <c r="V957" s="1910"/>
      <c r="W957" s="1910"/>
      <c r="JW957" s="1874"/>
      <c r="KB957" s="1874"/>
      <c r="KC957" s="1874"/>
      <c r="KD957" s="1874"/>
      <c r="KE957" s="1874"/>
      <c r="KF957" s="1874"/>
      <c r="KG957" s="1874"/>
      <c r="KH957" s="1874"/>
      <c r="KI957" s="1874"/>
      <c r="KJ957" s="1874"/>
      <c r="KK957" s="1874"/>
      <c r="KL957" s="1874"/>
      <c r="KM957" s="1874"/>
      <c r="KN957" s="1874"/>
      <c r="KO957" s="1874"/>
      <c r="KP957" s="1874"/>
      <c r="KQ957" s="1874"/>
      <c r="KR957" s="1874"/>
      <c r="KS957" s="1874"/>
      <c r="KT957" s="1874"/>
      <c r="KU957" s="1874"/>
      <c r="KV957" s="1874"/>
      <c r="KW957" s="1874"/>
      <c r="KX957" s="1874"/>
      <c r="KY957" s="1874"/>
      <c r="KZ957" s="1874"/>
      <c r="LA957" s="1874"/>
      <c r="LB957" s="1874"/>
      <c r="LC957" s="1874"/>
      <c r="LD957" s="1874"/>
      <c r="LE957" s="1874"/>
      <c r="LF957" s="1874"/>
      <c r="LG957" s="1874"/>
      <c r="LH957" s="1874"/>
      <c r="LI957" s="1874"/>
      <c r="LJ957" s="1874"/>
      <c r="LK957" s="1874"/>
      <c r="LL957" s="1874"/>
      <c r="LM957" s="1874"/>
      <c r="LN957" s="1874"/>
      <c r="LO957" s="1874"/>
      <c r="LP957" s="1874"/>
      <c r="LQ957" s="1874"/>
    </row>
    <row r="958" spans="1:330" ht="15.6" customHeight="1">
      <c r="B958" s="1918"/>
      <c r="C958" s="1918"/>
      <c r="D958" s="1918"/>
      <c r="E958" s="1918"/>
      <c r="F958" s="1918"/>
      <c r="H958" s="2117"/>
      <c r="I958" s="1918"/>
      <c r="J958" s="1918"/>
      <c r="K958" s="1918"/>
      <c r="L958" s="1918"/>
      <c r="M958" s="1918"/>
      <c r="N958" s="1918"/>
      <c r="O958" s="1918"/>
      <c r="P958" s="1918"/>
      <c r="Q958" s="1918"/>
      <c r="JW958" s="1874"/>
      <c r="KB958" s="1874"/>
      <c r="KC958" s="1874"/>
      <c r="KD958" s="1874"/>
      <c r="KE958" s="1874"/>
      <c r="KF958" s="1874"/>
      <c r="KG958" s="1874"/>
      <c r="KH958" s="1874"/>
      <c r="KI958" s="1874"/>
      <c r="KJ958" s="1874"/>
      <c r="KK958" s="1874"/>
      <c r="KL958" s="1874"/>
      <c r="KM958" s="1874"/>
      <c r="KN958" s="1874"/>
      <c r="KO958" s="1874"/>
      <c r="KP958" s="1874"/>
      <c r="KQ958" s="1874"/>
      <c r="KR958" s="1874"/>
      <c r="KS958" s="1874"/>
      <c r="KT958" s="1874"/>
      <c r="KU958" s="1874"/>
      <c r="KV958" s="1874"/>
      <c r="KW958" s="1874"/>
      <c r="KX958" s="1874"/>
      <c r="KY958" s="1874"/>
      <c r="KZ958" s="1874"/>
      <c r="LA958" s="1874"/>
      <c r="LB958" s="1874"/>
      <c r="LC958" s="1874"/>
      <c r="LD958" s="1874"/>
      <c r="LE958" s="1874"/>
      <c r="LF958" s="1874"/>
      <c r="LG958" s="1874"/>
      <c r="LH958" s="1874"/>
      <c r="LI958" s="1874"/>
      <c r="LJ958" s="1874"/>
      <c r="LK958" s="1874"/>
      <c r="LL958" s="1874"/>
      <c r="LM958" s="1874"/>
      <c r="LN958" s="1874"/>
      <c r="LO958" s="1874"/>
      <c r="LP958" s="1874"/>
      <c r="LQ958" s="1874"/>
    </row>
    <row r="959" spans="1:330" ht="15.6" customHeight="1">
      <c r="B959" s="1918" t="s">
        <v>2228</v>
      </c>
      <c r="C959" s="1918"/>
      <c r="D959" s="1918"/>
      <c r="E959" s="1918"/>
      <c r="F959" s="1918"/>
      <c r="H959" s="2115">
        <v>11</v>
      </c>
      <c r="I959" s="2115">
        <v>12</v>
      </c>
      <c r="J959" s="2115">
        <v>13</v>
      </c>
      <c r="K959" s="2115">
        <v>14</v>
      </c>
      <c r="L959" s="2115">
        <v>15</v>
      </c>
      <c r="M959" s="2115">
        <v>16</v>
      </c>
      <c r="N959" s="2115">
        <v>17</v>
      </c>
      <c r="O959" s="2115">
        <v>18</v>
      </c>
      <c r="P959" s="2115">
        <v>19</v>
      </c>
      <c r="Q959" s="2115">
        <v>20</v>
      </c>
      <c r="S959" s="1904" t="s">
        <v>2554</v>
      </c>
      <c r="T959" s="1815" t="str">
        <f>B959</f>
        <v>Included in Mgt Fee:</v>
      </c>
      <c r="JW959" s="1874"/>
      <c r="KB959" s="1874"/>
      <c r="KC959" s="1874"/>
      <c r="KD959" s="1874"/>
      <c r="KE959" s="1874"/>
      <c r="KF959" s="1874"/>
      <c r="KG959" s="1874"/>
      <c r="KH959" s="1874"/>
      <c r="KI959" s="1874"/>
      <c r="KJ959" s="1874"/>
      <c r="KK959" s="1874"/>
      <c r="KL959" s="1874"/>
      <c r="KM959" s="1874"/>
      <c r="KN959" s="1874"/>
      <c r="KO959" s="1874"/>
      <c r="KP959" s="1874"/>
      <c r="KQ959" s="1874"/>
      <c r="KR959" s="1874"/>
      <c r="KS959" s="1874"/>
      <c r="KT959" s="1874"/>
      <c r="KU959" s="1874"/>
      <c r="KV959" s="1874"/>
      <c r="KW959" s="1874"/>
      <c r="KX959" s="1874"/>
      <c r="KY959" s="1874"/>
      <c r="KZ959" s="1874"/>
      <c r="LA959" s="1874"/>
      <c r="LB959" s="1874"/>
      <c r="LC959" s="1874"/>
      <c r="LD959" s="1874"/>
      <c r="LE959" s="1874"/>
      <c r="LF959" s="1874"/>
      <c r="LG959" s="1874"/>
      <c r="LH959" s="1874"/>
      <c r="LI959" s="1874"/>
      <c r="LJ959" s="1874"/>
      <c r="LK959" s="1874"/>
      <c r="LL959" s="1874"/>
      <c r="LM959" s="1874"/>
      <c r="LN959" s="1874"/>
      <c r="LO959" s="1874"/>
      <c r="LP959" s="1874"/>
      <c r="LQ959" s="1874"/>
    </row>
    <row r="960" spans="1:330" ht="15.6" customHeight="1">
      <c r="B960" s="1897" t="s">
        <v>995</v>
      </c>
      <c r="C960" s="1897"/>
      <c r="D960" s="1897"/>
      <c r="E960" s="1897"/>
      <c r="F960" s="1897"/>
      <c r="H960" s="2127">
        <f>'Part VI-Revenues &amp; Expenses'!H191</f>
        <v>0</v>
      </c>
      <c r="I960" s="2127">
        <f>'Part VI-Revenues &amp; Expenses'!I191</f>
        <v>0</v>
      </c>
      <c r="J960" s="2127">
        <f>'Part VI-Revenues &amp; Expenses'!J191</f>
        <v>0</v>
      </c>
      <c r="K960" s="2127">
        <f>'Part VI-Revenues &amp; Expenses'!K191</f>
        <v>0</v>
      </c>
      <c r="L960" s="2127">
        <f>'Part VI-Revenues &amp; Expenses'!L191</f>
        <v>0</v>
      </c>
      <c r="M960" s="2127">
        <f>'Part VI-Revenues &amp; Expenses'!M191</f>
        <v>0</v>
      </c>
      <c r="N960" s="2127">
        <f>'Part VI-Revenues &amp; Expenses'!N191</f>
        <v>0</v>
      </c>
      <c r="O960" s="2127">
        <f>'Part VI-Revenues &amp; Expenses'!O191</f>
        <v>0</v>
      </c>
      <c r="P960" s="2127">
        <f>'Part VI-Revenues &amp; Expenses'!P191</f>
        <v>0</v>
      </c>
      <c r="Q960" s="2127">
        <f>'Part VI-Revenues &amp; Expenses'!Q191</f>
        <v>0</v>
      </c>
      <c r="R960" s="1917"/>
      <c r="S960" s="1910"/>
      <c r="T960" s="1910"/>
      <c r="U960" s="1910"/>
      <c r="V960" s="1910"/>
      <c r="W960" s="1910"/>
    </row>
    <row r="961" spans="2:329" ht="15.6" customHeight="1">
      <c r="B961" s="1897" t="s">
        <v>723</v>
      </c>
      <c r="C961" s="1897">
        <f>'Part VI-Revenues &amp; Expenses'!C192</f>
        <v>0</v>
      </c>
      <c r="D961" s="1897"/>
      <c r="E961" s="1897"/>
      <c r="F961" s="1897"/>
      <c r="H961" s="2127">
        <f>'Part VI-Revenues &amp; Expenses'!H192</f>
        <v>0</v>
      </c>
      <c r="I961" s="2127">
        <f>'Part VI-Revenues &amp; Expenses'!I192</f>
        <v>0</v>
      </c>
      <c r="J961" s="2127">
        <f>'Part VI-Revenues &amp; Expenses'!J192</f>
        <v>0</v>
      </c>
      <c r="K961" s="2127">
        <f>'Part VI-Revenues &amp; Expenses'!K192</f>
        <v>0</v>
      </c>
      <c r="L961" s="2127">
        <f>'Part VI-Revenues &amp; Expenses'!L192</f>
        <v>0</v>
      </c>
      <c r="M961" s="2127">
        <f>'Part VI-Revenues &amp; Expenses'!M192</f>
        <v>0</v>
      </c>
      <c r="N961" s="2127">
        <f>'Part VI-Revenues &amp; Expenses'!N192</f>
        <v>0</v>
      </c>
      <c r="O961" s="2127">
        <f>'Part VI-Revenues &amp; Expenses'!O192</f>
        <v>0</v>
      </c>
      <c r="P961" s="2127">
        <f>'Part VI-Revenues &amp; Expenses'!P192</f>
        <v>0</v>
      </c>
      <c r="Q961" s="2127">
        <f>'Part VI-Revenues &amp; Expenses'!Q192</f>
        <v>0</v>
      </c>
      <c r="R961" s="1917"/>
      <c r="S961" s="1910"/>
      <c r="T961" s="1910"/>
      <c r="U961" s="1910"/>
      <c r="V961" s="1910"/>
      <c r="W961" s="1910"/>
    </row>
    <row r="962" spans="2:329" ht="15.6" customHeight="1">
      <c r="B962" s="1897"/>
      <c r="C962" s="1897" t="s">
        <v>907</v>
      </c>
      <c r="D962" s="1897"/>
      <c r="E962" s="1897"/>
      <c r="F962" s="1897"/>
      <c r="H962" s="1919">
        <f>SUM(H960:H961)</f>
        <v>0</v>
      </c>
      <c r="I962" s="1919">
        <f>SUM(I960:I961)</f>
        <v>0</v>
      </c>
      <c r="J962" s="1919">
        <f t="shared" ref="J962:Q962" si="389">SUM(J960:J961)</f>
        <v>0</v>
      </c>
      <c r="K962" s="1919">
        <f t="shared" si="389"/>
        <v>0</v>
      </c>
      <c r="L962" s="1919">
        <f t="shared" si="389"/>
        <v>0</v>
      </c>
      <c r="M962" s="1919">
        <f t="shared" si="389"/>
        <v>0</v>
      </c>
      <c r="N962" s="1919">
        <f t="shared" si="389"/>
        <v>0</v>
      </c>
      <c r="O962" s="1919">
        <f t="shared" si="389"/>
        <v>0</v>
      </c>
      <c r="P962" s="1919">
        <f t="shared" si="389"/>
        <v>0</v>
      </c>
      <c r="Q962" s="1919">
        <f t="shared" si="389"/>
        <v>0</v>
      </c>
      <c r="R962" s="450"/>
      <c r="S962" s="1910"/>
      <c r="T962" s="1910"/>
      <c r="U962" s="1910"/>
      <c r="V962" s="1910"/>
      <c r="W962" s="1910"/>
    </row>
    <row r="963" spans="2:329" ht="15.6" customHeight="1">
      <c r="B963" s="1918" t="s">
        <v>6868</v>
      </c>
      <c r="C963" s="1918"/>
      <c r="D963" s="1918"/>
      <c r="E963" s="1918"/>
      <c r="F963" s="1918"/>
      <c r="H963" s="2117"/>
      <c r="I963" s="1918"/>
      <c r="J963" s="1918"/>
      <c r="K963" s="1918"/>
      <c r="L963" s="1918"/>
      <c r="M963" s="1918"/>
      <c r="N963" s="1918"/>
      <c r="O963" s="1918"/>
      <c r="P963" s="1918"/>
      <c r="Q963" s="1918"/>
      <c r="S963" s="1815" t="str">
        <f>B963</f>
        <v>NOT Included in Mgt Fee:</v>
      </c>
    </row>
    <row r="964" spans="2:329" ht="15.6" customHeight="1">
      <c r="B964" s="1897" t="s">
        <v>518</v>
      </c>
      <c r="C964" s="1897"/>
      <c r="D964" s="1897"/>
      <c r="E964" s="1897"/>
      <c r="F964" s="1897"/>
      <c r="H964" s="2127">
        <f>'Part VI-Revenues &amp; Expenses'!H195</f>
        <v>0</v>
      </c>
      <c r="I964" s="2127">
        <f>'Part VI-Revenues &amp; Expenses'!I195</f>
        <v>0</v>
      </c>
      <c r="J964" s="2127">
        <f>'Part VI-Revenues &amp; Expenses'!J195</f>
        <v>0</v>
      </c>
      <c r="K964" s="2127">
        <f>'Part VI-Revenues &amp; Expenses'!K195</f>
        <v>0</v>
      </c>
      <c r="L964" s="2127">
        <f>'Part VI-Revenues &amp; Expenses'!L195</f>
        <v>0</v>
      </c>
      <c r="M964" s="2127">
        <f>'Part VI-Revenues &amp; Expenses'!M195</f>
        <v>0</v>
      </c>
      <c r="N964" s="2127">
        <f>'Part VI-Revenues &amp; Expenses'!N195</f>
        <v>0</v>
      </c>
      <c r="O964" s="2127">
        <f>'Part VI-Revenues &amp; Expenses'!O195</f>
        <v>0</v>
      </c>
      <c r="P964" s="2127">
        <f>'Part VI-Revenues &amp; Expenses'!P195</f>
        <v>0</v>
      </c>
      <c r="Q964" s="2127">
        <f>'Part VI-Revenues &amp; Expenses'!Q195</f>
        <v>0</v>
      </c>
      <c r="R964" s="1917"/>
      <c r="S964" s="1910"/>
      <c r="T964" s="1910"/>
      <c r="U964" s="1910"/>
      <c r="V964" s="1910"/>
      <c r="W964" s="1910"/>
    </row>
    <row r="965" spans="2:329" ht="15.6" customHeight="1">
      <c r="B965" s="1897" t="s">
        <v>723</v>
      </c>
      <c r="C965" s="1897">
        <f>'Part VI-Revenues &amp; Expenses'!C196</f>
        <v>0</v>
      </c>
      <c r="D965" s="1897"/>
      <c r="E965" s="1897"/>
      <c r="F965" s="1897"/>
      <c r="H965" s="2127">
        <f>'Part VI-Revenues &amp; Expenses'!H196</f>
        <v>0</v>
      </c>
      <c r="I965" s="2127">
        <f>'Part VI-Revenues &amp; Expenses'!I196</f>
        <v>0</v>
      </c>
      <c r="J965" s="2127">
        <f>'Part VI-Revenues &amp; Expenses'!J196</f>
        <v>0</v>
      </c>
      <c r="K965" s="2127">
        <f>'Part VI-Revenues &amp; Expenses'!K196</f>
        <v>0</v>
      </c>
      <c r="L965" s="2127">
        <f>'Part VI-Revenues &amp; Expenses'!L196</f>
        <v>0</v>
      </c>
      <c r="M965" s="2127">
        <f>'Part VI-Revenues &amp; Expenses'!M196</f>
        <v>0</v>
      </c>
      <c r="N965" s="2127">
        <f>'Part VI-Revenues &amp; Expenses'!N196</f>
        <v>0</v>
      </c>
      <c r="O965" s="2127">
        <f>'Part VI-Revenues &amp; Expenses'!O196</f>
        <v>0</v>
      </c>
      <c r="P965" s="2127">
        <f>'Part VI-Revenues &amp; Expenses'!P196</f>
        <v>0</v>
      </c>
      <c r="Q965" s="2127">
        <f>'Part VI-Revenues &amp; Expenses'!Q196</f>
        <v>0</v>
      </c>
      <c r="R965" s="1917"/>
      <c r="S965" s="1910"/>
      <c r="T965" s="1910"/>
      <c r="U965" s="1910"/>
      <c r="V965" s="1910"/>
      <c r="W965" s="1910"/>
    </row>
    <row r="966" spans="2:329" ht="15.6" customHeight="1">
      <c r="B966" s="1897"/>
      <c r="C966" s="1897" t="s">
        <v>6869</v>
      </c>
      <c r="D966" s="1897"/>
      <c r="E966" s="1897"/>
      <c r="F966" s="1897"/>
      <c r="H966" s="1919">
        <f>SUM(H964:H965)</f>
        <v>0</v>
      </c>
      <c r="I966" s="1919">
        <f>SUM(I964:I965)</f>
        <v>0</v>
      </c>
      <c r="J966" s="1919">
        <f t="shared" ref="J966:Q966" si="390">SUM(J964:J965)</f>
        <v>0</v>
      </c>
      <c r="K966" s="1919">
        <f t="shared" si="390"/>
        <v>0</v>
      </c>
      <c r="L966" s="1919">
        <f t="shared" si="390"/>
        <v>0</v>
      </c>
      <c r="M966" s="1919">
        <f t="shared" si="390"/>
        <v>0</v>
      </c>
      <c r="N966" s="1919">
        <f t="shared" si="390"/>
        <v>0</v>
      </c>
      <c r="O966" s="1919">
        <f t="shared" si="390"/>
        <v>0</v>
      </c>
      <c r="P966" s="1919">
        <f t="shared" si="390"/>
        <v>0</v>
      </c>
      <c r="Q966" s="1919">
        <f t="shared" si="390"/>
        <v>0</v>
      </c>
      <c r="R966" s="450"/>
      <c r="S966" s="1910"/>
      <c r="T966" s="1910"/>
      <c r="U966" s="1910"/>
      <c r="V966" s="1910"/>
      <c r="W966" s="1910"/>
    </row>
    <row r="967" spans="2:329" ht="15.6" customHeight="1">
      <c r="B967" s="1918"/>
      <c r="C967" s="1918"/>
      <c r="D967" s="1918"/>
      <c r="E967" s="1918"/>
      <c r="F967" s="1918"/>
      <c r="H967" s="2117"/>
      <c r="I967" s="1918"/>
      <c r="J967" s="1918"/>
      <c r="K967" s="1918"/>
      <c r="L967" s="1918"/>
      <c r="M967" s="1918"/>
      <c r="N967" s="1918"/>
      <c r="O967" s="1918"/>
      <c r="P967" s="1918"/>
      <c r="Q967" s="1918"/>
    </row>
    <row r="968" spans="2:329" ht="15.6" customHeight="1">
      <c r="B968" s="1918" t="s">
        <v>2228</v>
      </c>
      <c r="C968" s="1918"/>
      <c r="D968" s="1918"/>
      <c r="E968" s="1918"/>
      <c r="F968" s="1918"/>
      <c r="H968" s="2115">
        <v>21</v>
      </c>
      <c r="I968" s="2115">
        <v>22</v>
      </c>
      <c r="J968" s="2115">
        <v>23</v>
      </c>
      <c r="K968" s="2115">
        <v>24</v>
      </c>
      <c r="L968" s="2115">
        <v>25</v>
      </c>
      <c r="M968" s="2115">
        <v>26</v>
      </c>
      <c r="N968" s="2115">
        <v>27</v>
      </c>
      <c r="O968" s="2115">
        <v>28</v>
      </c>
      <c r="P968" s="2115">
        <v>29</v>
      </c>
      <c r="Q968" s="2115">
        <v>30</v>
      </c>
      <c r="R968" s="2116"/>
      <c r="S968" s="1904" t="s">
        <v>2555</v>
      </c>
      <c r="T968" s="1815" t="str">
        <f>B968</f>
        <v>Included in Mgt Fee:</v>
      </c>
    </row>
    <row r="969" spans="2:329" ht="15.6" customHeight="1">
      <c r="B969" s="1897" t="s">
        <v>995</v>
      </c>
      <c r="C969" s="1897"/>
      <c r="D969" s="1897"/>
      <c r="E969" s="1897"/>
      <c r="F969" s="1897"/>
      <c r="H969" s="2127">
        <f>'Part VI-Revenues &amp; Expenses'!H200</f>
        <v>0</v>
      </c>
      <c r="I969" s="2127">
        <f>'Part VI-Revenues &amp; Expenses'!I200</f>
        <v>0</v>
      </c>
      <c r="J969" s="2127">
        <f>'Part VI-Revenues &amp; Expenses'!J200</f>
        <v>0</v>
      </c>
      <c r="K969" s="2127">
        <f>'Part VI-Revenues &amp; Expenses'!K200</f>
        <v>0</v>
      </c>
      <c r="L969" s="2127">
        <f>'Part VI-Revenues &amp; Expenses'!L200</f>
        <v>0</v>
      </c>
      <c r="M969" s="2127">
        <f>'Part VI-Revenues &amp; Expenses'!M200</f>
        <v>0</v>
      </c>
      <c r="N969" s="2127">
        <f>'Part VI-Revenues &amp; Expenses'!N200</f>
        <v>0</v>
      </c>
      <c r="O969" s="2127">
        <f>'Part VI-Revenues &amp; Expenses'!O200</f>
        <v>0</v>
      </c>
      <c r="P969" s="2127">
        <f>'Part VI-Revenues &amp; Expenses'!P200</f>
        <v>0</v>
      </c>
      <c r="Q969" s="2127">
        <f>'Part VI-Revenues &amp; Expenses'!Q200</f>
        <v>0</v>
      </c>
      <c r="R969" s="1917"/>
      <c r="S969" s="1910"/>
      <c r="T969" s="1910"/>
      <c r="U969" s="1910"/>
      <c r="V969" s="1910"/>
      <c r="W969" s="1910"/>
    </row>
    <row r="970" spans="2:329" ht="15.6" customHeight="1">
      <c r="B970" s="1897" t="s">
        <v>723</v>
      </c>
      <c r="C970" s="1897">
        <f>'Part VI-Revenues &amp; Expenses'!C201</f>
        <v>0</v>
      </c>
      <c r="D970" s="1897"/>
      <c r="E970" s="1897"/>
      <c r="F970" s="1897"/>
      <c r="H970" s="2127">
        <f>'Part VI-Revenues &amp; Expenses'!H201</f>
        <v>0</v>
      </c>
      <c r="I970" s="2127">
        <f>'Part VI-Revenues &amp; Expenses'!I201</f>
        <v>0</v>
      </c>
      <c r="J970" s="2127">
        <f>'Part VI-Revenues &amp; Expenses'!J201</f>
        <v>0</v>
      </c>
      <c r="K970" s="2127">
        <f>'Part VI-Revenues &amp; Expenses'!K201</f>
        <v>0</v>
      </c>
      <c r="L970" s="2127">
        <f>'Part VI-Revenues &amp; Expenses'!L201</f>
        <v>0</v>
      </c>
      <c r="M970" s="2127">
        <f>'Part VI-Revenues &amp; Expenses'!M201</f>
        <v>0</v>
      </c>
      <c r="N970" s="2127">
        <f>'Part VI-Revenues &amp; Expenses'!N201</f>
        <v>0</v>
      </c>
      <c r="O970" s="2127">
        <f>'Part VI-Revenues &amp; Expenses'!O201</f>
        <v>0</v>
      </c>
      <c r="P970" s="2127">
        <f>'Part VI-Revenues &amp; Expenses'!P201</f>
        <v>0</v>
      </c>
      <c r="Q970" s="2127">
        <f>'Part VI-Revenues &amp; Expenses'!Q201</f>
        <v>0</v>
      </c>
      <c r="R970" s="1917"/>
      <c r="S970" s="1910"/>
      <c r="T970" s="1910"/>
      <c r="U970" s="1910"/>
      <c r="V970" s="1910"/>
      <c r="W970" s="1910"/>
    </row>
    <row r="971" spans="2:329" ht="15.6" customHeight="1">
      <c r="B971" s="1897"/>
      <c r="C971" s="1897" t="s">
        <v>907</v>
      </c>
      <c r="D971" s="1897"/>
      <c r="E971" s="1897"/>
      <c r="F971" s="1897"/>
      <c r="H971" s="1919">
        <f>SUM(H969:H970)</f>
        <v>0</v>
      </c>
      <c r="I971" s="1919">
        <f>SUM(I969:I970)</f>
        <v>0</v>
      </c>
      <c r="J971" s="1919">
        <f t="shared" ref="J971:Q971" si="391">SUM(J969:J970)</f>
        <v>0</v>
      </c>
      <c r="K971" s="1919">
        <f t="shared" si="391"/>
        <v>0</v>
      </c>
      <c r="L971" s="1919">
        <f t="shared" si="391"/>
        <v>0</v>
      </c>
      <c r="M971" s="1919">
        <f t="shared" si="391"/>
        <v>0</v>
      </c>
      <c r="N971" s="1919">
        <f t="shared" si="391"/>
        <v>0</v>
      </c>
      <c r="O971" s="1919">
        <f t="shared" si="391"/>
        <v>0</v>
      </c>
      <c r="P971" s="1919">
        <f t="shared" si="391"/>
        <v>0</v>
      </c>
      <c r="Q971" s="1919">
        <f t="shared" si="391"/>
        <v>0</v>
      </c>
      <c r="R971" s="450"/>
      <c r="S971" s="1910"/>
      <c r="T971" s="1910"/>
      <c r="U971" s="1910"/>
      <c r="V971" s="1910"/>
      <c r="W971" s="1910"/>
    </row>
    <row r="972" spans="2:329" ht="15.6" customHeight="1">
      <c r="B972" s="1918" t="s">
        <v>6868</v>
      </c>
      <c r="C972" s="1918"/>
      <c r="D972" s="1918"/>
      <c r="E972" s="1918"/>
      <c r="F972" s="1918"/>
      <c r="H972" s="2117"/>
      <c r="I972" s="1918"/>
      <c r="J972" s="1918"/>
      <c r="K972" s="1918"/>
      <c r="L972" s="1918"/>
      <c r="M972" s="1918"/>
      <c r="N972" s="1918"/>
      <c r="O972" s="1918"/>
      <c r="P972" s="1918"/>
      <c r="Q972" s="1918"/>
      <c r="S972" s="1815" t="str">
        <f>B972</f>
        <v>NOT Included in Mgt Fee:</v>
      </c>
    </row>
    <row r="973" spans="2:329" ht="15.6" customHeight="1">
      <c r="B973" s="1897" t="s">
        <v>518</v>
      </c>
      <c r="C973" s="1897"/>
      <c r="D973" s="1897"/>
      <c r="E973" s="1897"/>
      <c r="F973" s="1897"/>
      <c r="H973" s="2127">
        <f>'Part VI-Revenues &amp; Expenses'!H204</f>
        <v>0</v>
      </c>
      <c r="I973" s="2127">
        <f>'Part VI-Revenues &amp; Expenses'!I204</f>
        <v>0</v>
      </c>
      <c r="J973" s="2127">
        <f>'Part VI-Revenues &amp; Expenses'!J204</f>
        <v>0</v>
      </c>
      <c r="K973" s="2127">
        <f>'Part VI-Revenues &amp; Expenses'!K204</f>
        <v>0</v>
      </c>
      <c r="L973" s="2127">
        <f>'Part VI-Revenues &amp; Expenses'!L204</f>
        <v>0</v>
      </c>
      <c r="M973" s="2127">
        <f>'Part VI-Revenues &amp; Expenses'!M204</f>
        <v>0</v>
      </c>
      <c r="N973" s="2127">
        <f>'Part VI-Revenues &amp; Expenses'!N204</f>
        <v>0</v>
      </c>
      <c r="O973" s="2127">
        <f>'Part VI-Revenues &amp; Expenses'!O204</f>
        <v>0</v>
      </c>
      <c r="P973" s="2127">
        <f>'Part VI-Revenues &amp; Expenses'!P204</f>
        <v>0</v>
      </c>
      <c r="Q973" s="2127">
        <f>'Part VI-Revenues &amp; Expenses'!Q204</f>
        <v>0</v>
      </c>
      <c r="R973" s="1917"/>
      <c r="S973" s="1910"/>
      <c r="T973" s="1910"/>
      <c r="U973" s="1910"/>
      <c r="V973" s="1910"/>
      <c r="W973" s="1910"/>
    </row>
    <row r="974" spans="2:329" ht="15.6" customHeight="1">
      <c r="B974" s="1897" t="s">
        <v>723</v>
      </c>
      <c r="C974" s="1897">
        <f>'Part VI-Revenues &amp; Expenses'!C205</f>
        <v>0</v>
      </c>
      <c r="D974" s="1897"/>
      <c r="E974" s="1897"/>
      <c r="F974" s="1897"/>
      <c r="H974" s="2127">
        <f>'Part VI-Revenues &amp; Expenses'!H205</f>
        <v>0</v>
      </c>
      <c r="I974" s="2127">
        <f>'Part VI-Revenues &amp; Expenses'!I205</f>
        <v>0</v>
      </c>
      <c r="J974" s="2127">
        <f>'Part VI-Revenues &amp; Expenses'!J205</f>
        <v>0</v>
      </c>
      <c r="K974" s="2127">
        <f>'Part VI-Revenues &amp; Expenses'!K205</f>
        <v>0</v>
      </c>
      <c r="L974" s="2127">
        <f>'Part VI-Revenues &amp; Expenses'!L205</f>
        <v>0</v>
      </c>
      <c r="M974" s="2127">
        <f>'Part VI-Revenues &amp; Expenses'!M205</f>
        <v>0</v>
      </c>
      <c r="N974" s="2127">
        <f>'Part VI-Revenues &amp; Expenses'!N205</f>
        <v>0</v>
      </c>
      <c r="O974" s="2127">
        <f>'Part VI-Revenues &amp; Expenses'!O205</f>
        <v>0</v>
      </c>
      <c r="P974" s="2127">
        <f>'Part VI-Revenues &amp; Expenses'!P205</f>
        <v>0</v>
      </c>
      <c r="Q974" s="2127">
        <f>'Part VI-Revenues &amp; Expenses'!Q205</f>
        <v>0</v>
      </c>
      <c r="R974" s="1917"/>
      <c r="S974" s="1910"/>
      <c r="T974" s="1910"/>
      <c r="U974" s="1910"/>
      <c r="V974" s="1910"/>
      <c r="W974" s="1910"/>
    </row>
    <row r="975" spans="2:329" ht="15.6" customHeight="1">
      <c r="B975" s="1897"/>
      <c r="C975" s="1897" t="s">
        <v>6869</v>
      </c>
      <c r="D975" s="1897"/>
      <c r="E975" s="1897"/>
      <c r="F975" s="1897"/>
      <c r="H975" s="1919">
        <f>SUM(H973:H974)</f>
        <v>0</v>
      </c>
      <c r="I975" s="1919">
        <f>SUM(I973:I974)</f>
        <v>0</v>
      </c>
      <c r="J975" s="1919">
        <f t="shared" ref="J975:Q975" si="392">SUM(J973:J974)</f>
        <v>0</v>
      </c>
      <c r="K975" s="1919">
        <f t="shared" si="392"/>
        <v>0</v>
      </c>
      <c r="L975" s="1919">
        <f t="shared" si="392"/>
        <v>0</v>
      </c>
      <c r="M975" s="1919">
        <f t="shared" si="392"/>
        <v>0</v>
      </c>
      <c r="N975" s="1919">
        <f t="shared" si="392"/>
        <v>0</v>
      </c>
      <c r="O975" s="1919">
        <f t="shared" si="392"/>
        <v>0</v>
      </c>
      <c r="P975" s="1919">
        <f t="shared" si="392"/>
        <v>0</v>
      </c>
      <c r="Q975" s="1919">
        <f t="shared" si="392"/>
        <v>0</v>
      </c>
      <c r="R975" s="450"/>
      <c r="S975" s="1910"/>
      <c r="T975" s="1910"/>
      <c r="U975" s="1910"/>
      <c r="V975" s="1910"/>
      <c r="W975" s="1910"/>
    </row>
    <row r="976" spans="2:329" ht="15.6" customHeight="1">
      <c r="B976" s="1918"/>
      <c r="C976" s="1918"/>
      <c r="D976" s="1918"/>
      <c r="E976" s="1918"/>
      <c r="F976" s="1918"/>
      <c r="H976" s="2117"/>
      <c r="I976" s="1918"/>
      <c r="J976" s="1918"/>
      <c r="K976" s="1918"/>
      <c r="L976" s="1918"/>
      <c r="M976" s="1918"/>
      <c r="N976" s="1918"/>
      <c r="O976" s="1918"/>
      <c r="P976" s="1918"/>
      <c r="Q976" s="1918"/>
      <c r="JW976" s="1874"/>
      <c r="KB976" s="1874"/>
      <c r="KC976" s="1874"/>
      <c r="KD976" s="1874"/>
      <c r="KE976" s="1874"/>
      <c r="KF976" s="1874"/>
      <c r="KG976" s="1874"/>
      <c r="KH976" s="1874"/>
      <c r="KI976" s="1874"/>
      <c r="KJ976" s="1874"/>
      <c r="KK976" s="1874"/>
      <c r="KL976" s="1874"/>
      <c r="KM976" s="1874"/>
      <c r="KN976" s="1874"/>
      <c r="KO976" s="1874"/>
      <c r="KP976" s="1874"/>
      <c r="KQ976" s="1874"/>
      <c r="KR976" s="1874"/>
      <c r="KS976" s="1874"/>
      <c r="KT976" s="1874"/>
      <c r="KU976" s="1874"/>
      <c r="KV976" s="1874"/>
      <c r="KW976" s="1874"/>
      <c r="KX976" s="1874"/>
      <c r="KY976" s="1874"/>
      <c r="KZ976" s="1874"/>
      <c r="LA976" s="1874"/>
      <c r="LB976" s="1874"/>
      <c r="LC976" s="1874"/>
      <c r="LD976" s="1874"/>
      <c r="LE976" s="1874"/>
      <c r="LF976" s="1874"/>
      <c r="LG976" s="1874"/>
      <c r="LH976" s="1874"/>
      <c r="LI976" s="1874"/>
      <c r="LJ976" s="1874"/>
      <c r="LK976" s="1874"/>
      <c r="LL976" s="1874"/>
      <c r="LM976" s="1874"/>
      <c r="LN976" s="1874"/>
      <c r="LO976" s="1874"/>
      <c r="LP976" s="1874"/>
      <c r="LQ976" s="1874"/>
    </row>
    <row r="977" spans="1:329" ht="15.6" customHeight="1">
      <c r="B977" s="1918" t="s">
        <v>2228</v>
      </c>
      <c r="C977" s="1918"/>
      <c r="D977" s="1918"/>
      <c r="E977" s="1918"/>
      <c r="F977" s="1918"/>
      <c r="H977" s="2115">
        <v>31</v>
      </c>
      <c r="I977" s="2115">
        <v>32</v>
      </c>
      <c r="J977" s="2115">
        <v>33</v>
      </c>
      <c r="K977" s="2115">
        <v>34</v>
      </c>
      <c r="L977" s="2115">
        <v>35</v>
      </c>
      <c r="M977" s="1918"/>
      <c r="N977" s="1918"/>
      <c r="O977" s="1918"/>
      <c r="P977" s="1918"/>
      <c r="Q977" s="1918"/>
      <c r="S977" s="1904" t="s">
        <v>2555</v>
      </c>
      <c r="T977" s="1815" t="str">
        <f>B977</f>
        <v>Included in Mgt Fee:</v>
      </c>
      <c r="JW977" s="1874"/>
      <c r="KB977" s="1874"/>
      <c r="KC977" s="1874"/>
      <c r="KD977" s="1874"/>
      <c r="KE977" s="1874"/>
      <c r="KF977" s="1874"/>
      <c r="KG977" s="1874"/>
      <c r="KH977" s="1874"/>
      <c r="KI977" s="1874"/>
      <c r="KJ977" s="1874"/>
      <c r="KK977" s="1874"/>
      <c r="KL977" s="1874"/>
      <c r="KM977" s="1874"/>
      <c r="KN977" s="1874"/>
      <c r="KO977" s="1874"/>
      <c r="KP977" s="1874"/>
      <c r="KQ977" s="1874"/>
      <c r="KR977" s="1874"/>
      <c r="KS977" s="1874"/>
      <c r="KT977" s="1874"/>
      <c r="KU977" s="1874"/>
      <c r="KV977" s="1874"/>
      <c r="KW977" s="1874"/>
      <c r="KX977" s="1874"/>
      <c r="KY977" s="1874"/>
      <c r="KZ977" s="1874"/>
      <c r="LA977" s="1874"/>
      <c r="LB977" s="1874"/>
      <c r="LC977" s="1874"/>
      <c r="LD977" s="1874"/>
      <c r="LE977" s="1874"/>
      <c r="LF977" s="1874"/>
      <c r="LG977" s="1874"/>
      <c r="LH977" s="1874"/>
      <c r="LI977" s="1874"/>
      <c r="LJ977" s="1874"/>
      <c r="LK977" s="1874"/>
      <c r="LL977" s="1874"/>
      <c r="LM977" s="1874"/>
      <c r="LN977" s="1874"/>
      <c r="LO977" s="1874"/>
      <c r="LP977" s="1874"/>
      <c r="LQ977" s="1874"/>
    </row>
    <row r="978" spans="1:329" ht="15.6" customHeight="1">
      <c r="B978" s="1897" t="s">
        <v>995</v>
      </c>
      <c r="C978" s="1897"/>
      <c r="D978" s="1897"/>
      <c r="E978" s="1897"/>
      <c r="F978" s="1897"/>
      <c r="H978" s="2127">
        <f>'Part VI-Revenues &amp; Expenses'!H209</f>
        <v>0</v>
      </c>
      <c r="I978" s="2127">
        <f>'Part VI-Revenues &amp; Expenses'!I209</f>
        <v>0</v>
      </c>
      <c r="J978" s="2127">
        <f>'Part VI-Revenues &amp; Expenses'!J209</f>
        <v>0</v>
      </c>
      <c r="K978" s="2127">
        <f>'Part VI-Revenues &amp; Expenses'!K209</f>
        <v>0</v>
      </c>
      <c r="L978" s="2127">
        <f>'Part VI-Revenues &amp; Expenses'!L209</f>
        <v>0</v>
      </c>
      <c r="M978" s="1918"/>
      <c r="N978" s="1918"/>
      <c r="O978" s="1918"/>
      <c r="P978" s="1918"/>
      <c r="Q978" s="1918"/>
      <c r="S978" s="1910"/>
      <c r="T978" s="1910"/>
      <c r="U978" s="1910"/>
      <c r="V978" s="1910"/>
      <c r="W978" s="1910"/>
      <c r="JW978" s="1874"/>
      <c r="KB978" s="1874"/>
      <c r="KC978" s="1874"/>
      <c r="KD978" s="1874"/>
      <c r="KE978" s="1874"/>
      <c r="KF978" s="1874"/>
      <c r="KG978" s="1874"/>
      <c r="KH978" s="1874"/>
      <c r="KI978" s="1874"/>
      <c r="KJ978" s="1874"/>
      <c r="KK978" s="1874"/>
      <c r="KL978" s="1874"/>
      <c r="KM978" s="1874"/>
      <c r="KN978" s="1874"/>
      <c r="KO978" s="1874"/>
      <c r="KP978" s="1874"/>
      <c r="KQ978" s="1874"/>
      <c r="KR978" s="1874"/>
      <c r="KS978" s="1874"/>
      <c r="KT978" s="1874"/>
      <c r="KU978" s="1874"/>
      <c r="KV978" s="1874"/>
      <c r="KW978" s="1874"/>
      <c r="KX978" s="1874"/>
      <c r="KY978" s="1874"/>
      <c r="KZ978" s="1874"/>
      <c r="LA978" s="1874"/>
      <c r="LB978" s="1874"/>
      <c r="LC978" s="1874"/>
      <c r="LD978" s="1874"/>
      <c r="LE978" s="1874"/>
      <c r="LF978" s="1874"/>
      <c r="LG978" s="1874"/>
      <c r="LH978" s="1874"/>
      <c r="LI978" s="1874"/>
      <c r="LJ978" s="1874"/>
      <c r="LK978" s="1874"/>
      <c r="LL978" s="1874"/>
      <c r="LM978" s="1874"/>
      <c r="LN978" s="1874"/>
      <c r="LO978" s="1874"/>
      <c r="LP978" s="1874"/>
      <c r="LQ978" s="1874"/>
    </row>
    <row r="979" spans="1:329" ht="15.6" customHeight="1">
      <c r="B979" s="1897" t="s">
        <v>723</v>
      </c>
      <c r="C979" s="1897">
        <f>'Part VI-Revenues &amp; Expenses'!C210</f>
        <v>0</v>
      </c>
      <c r="D979" s="1897"/>
      <c r="E979" s="1897"/>
      <c r="F979" s="1897"/>
      <c r="H979" s="2127">
        <f>'Part VI-Revenues &amp; Expenses'!H210</f>
        <v>0</v>
      </c>
      <c r="I979" s="2127">
        <f>'Part VI-Revenues &amp; Expenses'!I210</f>
        <v>0</v>
      </c>
      <c r="J979" s="2127">
        <f>'Part VI-Revenues &amp; Expenses'!J210</f>
        <v>0</v>
      </c>
      <c r="K979" s="2127">
        <f>'Part VI-Revenues &amp; Expenses'!K210</f>
        <v>0</v>
      </c>
      <c r="L979" s="2127">
        <f>'Part VI-Revenues &amp; Expenses'!L210</f>
        <v>0</v>
      </c>
      <c r="M979" s="1918"/>
      <c r="N979" s="1918"/>
      <c r="O979" s="1918"/>
      <c r="P979" s="1918"/>
      <c r="Q979" s="1918"/>
      <c r="S979" s="1910"/>
      <c r="T979" s="1910"/>
      <c r="U979" s="1910"/>
      <c r="V979" s="1910"/>
      <c r="W979" s="1910"/>
      <c r="JW979" s="1874"/>
      <c r="KB979" s="1874"/>
      <c r="KC979" s="1874"/>
      <c r="KD979" s="1874"/>
      <c r="KE979" s="1874"/>
      <c r="KF979" s="1874"/>
      <c r="KG979" s="1874"/>
      <c r="KH979" s="1874"/>
      <c r="KI979" s="1874"/>
      <c r="KJ979" s="1874"/>
      <c r="KK979" s="1874"/>
      <c r="KL979" s="1874"/>
      <c r="KM979" s="1874"/>
      <c r="KN979" s="1874"/>
      <c r="KO979" s="1874"/>
      <c r="KP979" s="1874"/>
      <c r="KQ979" s="1874"/>
      <c r="KR979" s="1874"/>
      <c r="KS979" s="1874"/>
      <c r="KT979" s="1874"/>
      <c r="KU979" s="1874"/>
      <c r="KV979" s="1874"/>
      <c r="KW979" s="1874"/>
      <c r="KX979" s="1874"/>
      <c r="KY979" s="1874"/>
      <c r="KZ979" s="1874"/>
      <c r="LA979" s="1874"/>
      <c r="LB979" s="1874"/>
      <c r="LC979" s="1874"/>
      <c r="LD979" s="1874"/>
      <c r="LE979" s="1874"/>
      <c r="LF979" s="1874"/>
      <c r="LG979" s="1874"/>
      <c r="LH979" s="1874"/>
      <c r="LI979" s="1874"/>
      <c r="LJ979" s="1874"/>
      <c r="LK979" s="1874"/>
      <c r="LL979" s="1874"/>
      <c r="LM979" s="1874"/>
      <c r="LN979" s="1874"/>
      <c r="LO979" s="1874"/>
      <c r="LP979" s="1874"/>
      <c r="LQ979" s="1874"/>
    </row>
    <row r="980" spans="1:329" ht="15.6" customHeight="1">
      <c r="B980" s="1897"/>
      <c r="C980" s="1897" t="s">
        <v>907</v>
      </c>
      <c r="D980" s="1897"/>
      <c r="E980" s="1897"/>
      <c r="F980" s="1897"/>
      <c r="H980" s="1919">
        <f>SUM(H978:H979)</f>
        <v>0</v>
      </c>
      <c r="I980" s="1919">
        <f>SUM(I978:I979)</f>
        <v>0</v>
      </c>
      <c r="J980" s="1919">
        <f>SUM(J978:J979)</f>
        <v>0</v>
      </c>
      <c r="K980" s="1919">
        <f>SUM(K978:K979)</f>
        <v>0</v>
      </c>
      <c r="L980" s="1919">
        <f>SUM(L978:L979)</f>
        <v>0</v>
      </c>
      <c r="M980" s="1918"/>
      <c r="N980" s="1918"/>
      <c r="O980" s="1918"/>
      <c r="P980" s="1918"/>
      <c r="Q980" s="1918"/>
      <c r="S980" s="1910"/>
      <c r="T980" s="1910"/>
      <c r="U980" s="1910"/>
      <c r="V980" s="1910"/>
      <c r="W980" s="1910"/>
      <c r="JW980" s="1874"/>
      <c r="KB980" s="1874"/>
      <c r="KC980" s="1874"/>
      <c r="KD980" s="1874"/>
      <c r="KE980" s="1874"/>
      <c r="KF980" s="1874"/>
      <c r="KG980" s="1874"/>
      <c r="KH980" s="1874"/>
      <c r="KI980" s="1874"/>
      <c r="KJ980" s="1874"/>
      <c r="KK980" s="1874"/>
      <c r="KL980" s="1874"/>
      <c r="KM980" s="1874"/>
      <c r="KN980" s="1874"/>
      <c r="KO980" s="1874"/>
      <c r="KP980" s="1874"/>
      <c r="KQ980" s="1874"/>
      <c r="KR980" s="1874"/>
      <c r="KS980" s="1874"/>
      <c r="KT980" s="1874"/>
      <c r="KU980" s="1874"/>
      <c r="KV980" s="1874"/>
      <c r="KW980" s="1874"/>
      <c r="KX980" s="1874"/>
      <c r="KY980" s="1874"/>
      <c r="KZ980" s="1874"/>
      <c r="LA980" s="1874"/>
      <c r="LB980" s="1874"/>
      <c r="LC980" s="1874"/>
      <c r="LD980" s="1874"/>
      <c r="LE980" s="1874"/>
      <c r="LF980" s="1874"/>
      <c r="LG980" s="1874"/>
      <c r="LH980" s="1874"/>
      <c r="LI980" s="1874"/>
      <c r="LJ980" s="1874"/>
      <c r="LK980" s="1874"/>
      <c r="LL980" s="1874"/>
      <c r="LM980" s="1874"/>
      <c r="LN980" s="1874"/>
      <c r="LO980" s="1874"/>
      <c r="LP980" s="1874"/>
      <c r="LQ980" s="1874"/>
    </row>
    <row r="981" spans="1:329" ht="15.6" customHeight="1">
      <c r="B981" s="1918" t="s">
        <v>6868</v>
      </c>
      <c r="C981" s="1918"/>
      <c r="D981" s="1918"/>
      <c r="E981" s="1918"/>
      <c r="F981" s="1918"/>
      <c r="H981" s="2117"/>
      <c r="I981" s="1918"/>
      <c r="J981" s="1918"/>
      <c r="K981" s="1918"/>
      <c r="L981" s="1918"/>
      <c r="M981" s="1918"/>
      <c r="N981" s="1918"/>
      <c r="O981" s="1918"/>
      <c r="P981" s="1918"/>
      <c r="Q981" s="1918"/>
      <c r="S981" s="1815" t="str">
        <f>B981</f>
        <v>NOT Included in Mgt Fee:</v>
      </c>
      <c r="JW981" s="1874"/>
      <c r="KB981" s="1874"/>
      <c r="KC981" s="1874"/>
      <c r="KD981" s="1874"/>
      <c r="KE981" s="1874"/>
      <c r="KF981" s="1874"/>
      <c r="KG981" s="1874"/>
      <c r="KH981" s="1874"/>
      <c r="KI981" s="1874"/>
      <c r="KJ981" s="1874"/>
      <c r="KK981" s="1874"/>
      <c r="KL981" s="1874"/>
      <c r="KM981" s="1874"/>
      <c r="KN981" s="1874"/>
      <c r="KO981" s="1874"/>
      <c r="KP981" s="1874"/>
      <c r="KQ981" s="1874"/>
      <c r="KR981" s="1874"/>
      <c r="KS981" s="1874"/>
      <c r="KT981" s="1874"/>
      <c r="KU981" s="1874"/>
      <c r="KV981" s="1874"/>
      <c r="KW981" s="1874"/>
      <c r="KX981" s="1874"/>
      <c r="KY981" s="1874"/>
      <c r="KZ981" s="1874"/>
      <c r="LA981" s="1874"/>
      <c r="LB981" s="1874"/>
      <c r="LC981" s="1874"/>
      <c r="LD981" s="1874"/>
      <c r="LE981" s="1874"/>
      <c r="LF981" s="1874"/>
      <c r="LG981" s="1874"/>
      <c r="LH981" s="1874"/>
      <c r="LI981" s="1874"/>
      <c r="LJ981" s="1874"/>
      <c r="LK981" s="1874"/>
      <c r="LL981" s="1874"/>
      <c r="LM981" s="1874"/>
      <c r="LN981" s="1874"/>
      <c r="LO981" s="1874"/>
      <c r="LP981" s="1874"/>
      <c r="LQ981" s="1874"/>
    </row>
    <row r="982" spans="1:329" ht="15.6" customHeight="1">
      <c r="B982" s="1897" t="s">
        <v>518</v>
      </c>
      <c r="C982" s="1897"/>
      <c r="D982" s="1897"/>
      <c r="E982" s="1897"/>
      <c r="F982" s="1897"/>
      <c r="H982" s="2127">
        <f>'Part VI-Revenues &amp; Expenses'!H213</f>
        <v>0</v>
      </c>
      <c r="I982" s="2127">
        <f>'Part VI-Revenues &amp; Expenses'!I213</f>
        <v>0</v>
      </c>
      <c r="J982" s="2127">
        <f>'Part VI-Revenues &amp; Expenses'!J213</f>
        <v>0</v>
      </c>
      <c r="K982" s="2127">
        <f>'Part VI-Revenues &amp; Expenses'!K213</f>
        <v>0</v>
      </c>
      <c r="L982" s="2127">
        <f>'Part VI-Revenues &amp; Expenses'!L213</f>
        <v>0</v>
      </c>
      <c r="M982" s="1918"/>
      <c r="N982" s="1918"/>
      <c r="O982" s="1918"/>
      <c r="P982" s="1918"/>
      <c r="Q982" s="1918"/>
      <c r="S982" s="1910"/>
      <c r="T982" s="1910"/>
      <c r="U982" s="1910"/>
      <c r="V982" s="1910"/>
      <c r="W982" s="1910"/>
      <c r="JW982" s="1874"/>
      <c r="KB982" s="1874"/>
      <c r="KC982" s="1874"/>
      <c r="KD982" s="1874"/>
      <c r="KE982" s="1874"/>
      <c r="KF982" s="1874"/>
      <c r="KG982" s="1874"/>
      <c r="KH982" s="1874"/>
      <c r="KI982" s="1874"/>
      <c r="KJ982" s="1874"/>
      <c r="KK982" s="1874"/>
      <c r="KL982" s="1874"/>
      <c r="KM982" s="1874"/>
      <c r="KN982" s="1874"/>
      <c r="KO982" s="1874"/>
      <c r="KP982" s="1874"/>
      <c r="KQ982" s="1874"/>
      <c r="KR982" s="1874"/>
      <c r="KS982" s="1874"/>
      <c r="KT982" s="1874"/>
      <c r="KU982" s="1874"/>
      <c r="KV982" s="1874"/>
      <c r="KW982" s="1874"/>
      <c r="KX982" s="1874"/>
      <c r="KY982" s="1874"/>
      <c r="KZ982" s="1874"/>
      <c r="LA982" s="1874"/>
      <c r="LB982" s="1874"/>
      <c r="LC982" s="1874"/>
      <c r="LD982" s="1874"/>
      <c r="LE982" s="1874"/>
      <c r="LF982" s="1874"/>
      <c r="LG982" s="1874"/>
      <c r="LH982" s="1874"/>
      <c r="LI982" s="1874"/>
      <c r="LJ982" s="1874"/>
      <c r="LK982" s="1874"/>
      <c r="LL982" s="1874"/>
      <c r="LM982" s="1874"/>
      <c r="LN982" s="1874"/>
      <c r="LO982" s="1874"/>
      <c r="LP982" s="1874"/>
      <c r="LQ982" s="1874"/>
    </row>
    <row r="983" spans="1:329" ht="15.6" customHeight="1">
      <c r="B983" s="1897" t="s">
        <v>723</v>
      </c>
      <c r="C983" s="1897">
        <f>'Part VI-Revenues &amp; Expenses'!C214</f>
        <v>0</v>
      </c>
      <c r="D983" s="1897"/>
      <c r="E983" s="1897"/>
      <c r="F983" s="1897"/>
      <c r="H983" s="2127">
        <f>'Part VI-Revenues &amp; Expenses'!H214</f>
        <v>0</v>
      </c>
      <c r="I983" s="2127">
        <f>'Part VI-Revenues &amp; Expenses'!I214</f>
        <v>0</v>
      </c>
      <c r="J983" s="2127">
        <f>'Part VI-Revenues &amp; Expenses'!J214</f>
        <v>0</v>
      </c>
      <c r="K983" s="2127">
        <f>'Part VI-Revenues &amp; Expenses'!K214</f>
        <v>0</v>
      </c>
      <c r="L983" s="2127">
        <f>'Part VI-Revenues &amp; Expenses'!L214</f>
        <v>0</v>
      </c>
      <c r="M983" s="1918"/>
      <c r="N983" s="1918"/>
      <c r="O983" s="1918"/>
      <c r="P983" s="1918"/>
      <c r="Q983" s="1918"/>
      <c r="S983" s="1910"/>
      <c r="T983" s="1910"/>
      <c r="U983" s="1910"/>
      <c r="V983" s="1910"/>
      <c r="W983" s="1910"/>
      <c r="JW983" s="1874"/>
      <c r="KB983" s="1874"/>
      <c r="KC983" s="1874"/>
      <c r="KD983" s="1874"/>
      <c r="KE983" s="1874"/>
      <c r="KF983" s="1874"/>
      <c r="KG983" s="1874"/>
      <c r="KH983" s="1874"/>
      <c r="KI983" s="1874"/>
      <c r="KJ983" s="1874"/>
      <c r="KK983" s="1874"/>
      <c r="KL983" s="1874"/>
      <c r="KM983" s="1874"/>
      <c r="KN983" s="1874"/>
      <c r="KO983" s="1874"/>
      <c r="KP983" s="1874"/>
      <c r="KQ983" s="1874"/>
      <c r="KR983" s="1874"/>
      <c r="KS983" s="1874"/>
      <c r="KT983" s="1874"/>
      <c r="KU983" s="1874"/>
      <c r="KV983" s="1874"/>
      <c r="KW983" s="1874"/>
      <c r="KX983" s="1874"/>
      <c r="KY983" s="1874"/>
      <c r="KZ983" s="1874"/>
      <c r="LA983" s="1874"/>
      <c r="LB983" s="1874"/>
      <c r="LC983" s="1874"/>
      <c r="LD983" s="1874"/>
      <c r="LE983" s="1874"/>
      <c r="LF983" s="1874"/>
      <c r="LG983" s="1874"/>
      <c r="LH983" s="1874"/>
      <c r="LI983" s="1874"/>
      <c r="LJ983" s="1874"/>
      <c r="LK983" s="1874"/>
      <c r="LL983" s="1874"/>
      <c r="LM983" s="1874"/>
      <c r="LN983" s="1874"/>
      <c r="LO983" s="1874"/>
      <c r="LP983" s="1874"/>
      <c r="LQ983" s="1874"/>
    </row>
    <row r="984" spans="1:329" ht="15.6" customHeight="1">
      <c r="B984" s="1897"/>
      <c r="C984" s="1897" t="s">
        <v>6869</v>
      </c>
      <c r="D984" s="1897"/>
      <c r="E984" s="1897"/>
      <c r="F984" s="1897"/>
      <c r="H984" s="1919">
        <f>SUM(H982:H983)</f>
        <v>0</v>
      </c>
      <c r="I984" s="1919">
        <f>SUM(I982:I983)</f>
        <v>0</v>
      </c>
      <c r="J984" s="1919">
        <f>SUM(J982:J983)</f>
        <v>0</v>
      </c>
      <c r="K984" s="1919">
        <f>SUM(K982:K983)</f>
        <v>0</v>
      </c>
      <c r="L984" s="1919">
        <f>SUM(L982:L983)</f>
        <v>0</v>
      </c>
      <c r="M984" s="1918"/>
      <c r="N984" s="1918"/>
      <c r="O984" s="1918"/>
      <c r="P984" s="1918"/>
      <c r="Q984" s="1918"/>
      <c r="S984" s="1910"/>
      <c r="T984" s="1910"/>
      <c r="U984" s="1910"/>
      <c r="V984" s="1910"/>
      <c r="W984" s="1910"/>
      <c r="JW984" s="1874"/>
      <c r="KB984" s="1874"/>
      <c r="KC984" s="1874"/>
      <c r="KD984" s="1874"/>
      <c r="KE984" s="1874"/>
      <c r="KF984" s="1874"/>
      <c r="KG984" s="1874"/>
      <c r="KH984" s="1874"/>
      <c r="KI984" s="1874"/>
      <c r="KJ984" s="1874"/>
      <c r="KK984" s="1874"/>
      <c r="KL984" s="1874"/>
      <c r="KM984" s="1874"/>
      <c r="KN984" s="1874"/>
      <c r="KO984" s="1874"/>
      <c r="KP984" s="1874"/>
      <c r="KQ984" s="1874"/>
      <c r="KR984" s="1874"/>
      <c r="KS984" s="1874"/>
      <c r="KT984" s="1874"/>
      <c r="KU984" s="1874"/>
      <c r="KV984" s="1874"/>
      <c r="KW984" s="1874"/>
      <c r="KX984" s="1874"/>
      <c r="KY984" s="1874"/>
      <c r="KZ984" s="1874"/>
      <c r="LA984" s="1874"/>
      <c r="LB984" s="1874"/>
      <c r="LC984" s="1874"/>
      <c r="LD984" s="1874"/>
      <c r="LE984" s="1874"/>
      <c r="LF984" s="1874"/>
      <c r="LG984" s="1874"/>
      <c r="LH984" s="1874"/>
      <c r="LI984" s="1874"/>
      <c r="LJ984" s="1874"/>
      <c r="LK984" s="1874"/>
      <c r="LL984" s="1874"/>
      <c r="LM984" s="1874"/>
      <c r="LN984" s="1874"/>
      <c r="LO984" s="1874"/>
      <c r="LP984" s="1874"/>
      <c r="LQ984" s="1874"/>
    </row>
    <row r="985" spans="1:329" ht="2.25" customHeight="1">
      <c r="F985" s="2118"/>
      <c r="G985" s="2118"/>
      <c r="JW985" s="1874"/>
      <c r="KB985" s="1874"/>
      <c r="KC985" s="1874"/>
      <c r="KD985" s="1874"/>
      <c r="KE985" s="1874"/>
      <c r="KF985" s="1874"/>
      <c r="KG985" s="1874"/>
      <c r="KH985" s="1874"/>
      <c r="KI985" s="1874"/>
      <c r="KJ985" s="1874"/>
      <c r="KK985" s="1874"/>
      <c r="KL985" s="1874"/>
      <c r="KM985" s="1874"/>
      <c r="KN985" s="1874"/>
      <c r="KO985" s="1874"/>
      <c r="KP985" s="1874"/>
      <c r="KQ985" s="1874"/>
      <c r="KR985" s="1874"/>
      <c r="KS985" s="1874"/>
      <c r="KT985" s="1874"/>
      <c r="KU985" s="1874"/>
      <c r="KV985" s="1874"/>
      <c r="KW985" s="1874"/>
      <c r="KX985" s="1874"/>
      <c r="KY985" s="1874"/>
      <c r="KZ985" s="1874"/>
      <c r="LA985" s="1874"/>
      <c r="LB985" s="1874"/>
      <c r="LC985" s="1874"/>
      <c r="LD985" s="1874"/>
      <c r="LE985" s="1874"/>
      <c r="LF985" s="1874"/>
      <c r="LG985" s="1874"/>
      <c r="LH985" s="1874"/>
      <c r="LI985" s="1874"/>
      <c r="LJ985" s="1874"/>
      <c r="LK985" s="1874"/>
      <c r="LL985" s="1874"/>
      <c r="LM985" s="1874"/>
      <c r="LN985" s="1874"/>
      <c r="LO985" s="1874"/>
      <c r="LP985" s="1874"/>
      <c r="LQ985" s="1874"/>
    </row>
    <row r="986" spans="1:329" s="1815" customFormat="1" ht="11.25" customHeight="1">
      <c r="A986" s="1815" t="s">
        <v>1748</v>
      </c>
      <c r="B986" s="1922" t="s">
        <v>997</v>
      </c>
      <c r="C986" s="1922"/>
      <c r="D986" s="1922"/>
      <c r="E986" s="1922"/>
      <c r="F986" s="1922"/>
      <c r="G986" s="1922"/>
      <c r="H986" s="1922"/>
      <c r="I986" s="1922"/>
      <c r="J986" s="1922"/>
      <c r="K986" s="1922"/>
      <c r="L986" s="1922"/>
      <c r="N986" s="1948"/>
      <c r="O986" s="1896"/>
      <c r="P986" s="1896"/>
      <c r="S986" s="1815" t="str">
        <f>B986</f>
        <v>ANNUAL OPERATING EXPENSE BUDGET</v>
      </c>
      <c r="T986" s="1995"/>
      <c r="X986" s="1995"/>
      <c r="AC986" s="1995"/>
      <c r="AH986" s="1995"/>
      <c r="AM986" s="1995"/>
      <c r="JW986" s="1896"/>
      <c r="KB986" s="1896"/>
      <c r="KC986" s="1896"/>
      <c r="KD986" s="1896"/>
      <c r="KE986" s="1896"/>
      <c r="KF986" s="1896"/>
      <c r="KG986" s="1896"/>
      <c r="KH986" s="1896"/>
      <c r="KI986" s="1896"/>
      <c r="KJ986" s="1896"/>
      <c r="KK986" s="1896"/>
      <c r="KL986" s="1896"/>
      <c r="KM986" s="1896"/>
      <c r="KN986" s="1896"/>
      <c r="KO986" s="1896"/>
      <c r="KP986" s="1896"/>
      <c r="KQ986" s="1896"/>
      <c r="KR986" s="1896"/>
      <c r="KS986" s="1896"/>
      <c r="KT986" s="1896"/>
      <c r="KU986" s="1896"/>
      <c r="KV986" s="1896"/>
      <c r="KW986" s="1896"/>
      <c r="KX986" s="1896"/>
      <c r="KY986" s="1896"/>
      <c r="KZ986" s="1896"/>
      <c r="LA986" s="1896"/>
      <c r="LB986" s="1896"/>
      <c r="LC986" s="1896"/>
      <c r="LD986" s="1896"/>
      <c r="LE986" s="1896"/>
      <c r="LF986" s="1896"/>
      <c r="LG986" s="1896"/>
      <c r="LH986" s="1896"/>
      <c r="LI986" s="1896"/>
      <c r="LJ986" s="1896"/>
      <c r="LK986" s="1896"/>
      <c r="LL986" s="1896"/>
      <c r="LM986" s="1896"/>
      <c r="LN986" s="1896"/>
      <c r="LO986" s="1896"/>
      <c r="LP986" s="1896"/>
      <c r="LQ986" s="1896"/>
    </row>
    <row r="987" spans="1:329" s="1815" customFormat="1" ht="11.25" customHeight="1">
      <c r="B987" s="1922"/>
      <c r="C987" s="1922"/>
      <c r="D987" s="1922"/>
      <c r="E987" s="1922"/>
      <c r="F987" s="1922"/>
      <c r="G987" s="1922"/>
      <c r="H987" s="1922"/>
      <c r="I987" s="1922"/>
      <c r="J987" s="1922"/>
      <c r="K987" s="1922"/>
      <c r="S987" s="1945" t="s">
        <v>1799</v>
      </c>
      <c r="T987" s="1945"/>
      <c r="JW987" s="1896"/>
      <c r="KB987" s="1896"/>
      <c r="KC987" s="1896"/>
      <c r="KD987" s="1896"/>
      <c r="KE987" s="1896"/>
      <c r="KF987" s="1896"/>
      <c r="KG987" s="1896"/>
      <c r="KH987" s="1896"/>
      <c r="KI987" s="1896"/>
      <c r="KJ987" s="1896"/>
      <c r="KK987" s="1896"/>
      <c r="KL987" s="1896"/>
      <c r="KM987" s="1896"/>
      <c r="KN987" s="1896"/>
      <c r="KO987" s="1896"/>
      <c r="KP987" s="1896"/>
      <c r="KQ987" s="1896"/>
      <c r="KR987" s="1896"/>
      <c r="KS987" s="1896"/>
      <c r="KT987" s="1896"/>
      <c r="KU987" s="1896"/>
      <c r="KV987" s="1896"/>
      <c r="KW987" s="1896"/>
      <c r="KX987" s="1896"/>
      <c r="KY987" s="1896"/>
      <c r="KZ987" s="1896"/>
      <c r="LA987" s="1896"/>
      <c r="LB987" s="1896"/>
      <c r="LC987" s="1896"/>
      <c r="LD987" s="1896"/>
      <c r="LE987" s="1896"/>
      <c r="LF987" s="1896"/>
      <c r="LG987" s="1896"/>
      <c r="LH987" s="1896"/>
      <c r="LI987" s="1896"/>
      <c r="LJ987" s="1896"/>
      <c r="LK987" s="1896"/>
      <c r="LL987" s="1896"/>
      <c r="LM987" s="1896"/>
      <c r="LN987" s="1896"/>
      <c r="LO987" s="1896"/>
      <c r="LP987" s="1896"/>
      <c r="LQ987" s="1896"/>
    </row>
    <row r="988" spans="1:329" s="1815" customFormat="1" ht="13.35" customHeight="1">
      <c r="B988" s="1815" t="s">
        <v>1264</v>
      </c>
      <c r="F988" s="1995"/>
      <c r="G988" s="1995"/>
      <c r="I988" s="1815" t="s">
        <v>1350</v>
      </c>
      <c r="O988" s="1815" t="s">
        <v>1353</v>
      </c>
      <c r="Q988" s="1920">
        <f>IF(OR('Part VII-Pro Forma'!$B$21 = "Choose Mgt Fee",'Part VII-Pro Forma'!$B$21 = "Choose One!"), 0,- 'Part VII-Pro Forma'!$B$21)</f>
        <v>38595</v>
      </c>
      <c r="S988" s="1910"/>
      <c r="T988" s="1910"/>
      <c r="U988" s="1910"/>
      <c r="V988" s="1910"/>
      <c r="W988" s="1910"/>
      <c r="X988" s="1995"/>
      <c r="AC988" s="1995"/>
      <c r="AH988" s="1995"/>
      <c r="AM988" s="1995"/>
      <c r="JW988" s="1896"/>
      <c r="KB988" s="1896"/>
      <c r="KC988" s="1896"/>
      <c r="KD988" s="1896"/>
      <c r="KE988" s="1896"/>
      <c r="KF988" s="1896"/>
      <c r="KG988" s="1896"/>
      <c r="KH988" s="1896"/>
      <c r="KI988" s="1896"/>
      <c r="KJ988" s="1896"/>
      <c r="KK988" s="1896"/>
      <c r="KL988" s="1896"/>
      <c r="KM988" s="1896"/>
      <c r="KN988" s="1896"/>
      <c r="KO988" s="1896"/>
      <c r="KP988" s="1896"/>
      <c r="KQ988" s="1896"/>
      <c r="KR988" s="1896"/>
      <c r="KS988" s="1896"/>
      <c r="KT988" s="1896"/>
      <c r="KU988" s="1896"/>
      <c r="KV988" s="1896"/>
      <c r="KW988" s="1896"/>
      <c r="KX988" s="1896"/>
      <c r="KY988" s="1896"/>
      <c r="KZ988" s="1896"/>
      <c r="LA988" s="1896"/>
      <c r="LB988" s="1896"/>
      <c r="LC988" s="1896"/>
      <c r="LD988" s="1896"/>
      <c r="LE988" s="1896"/>
      <c r="LF988" s="1896"/>
      <c r="LG988" s="1896"/>
      <c r="LH988" s="1896"/>
      <c r="LI988" s="1896"/>
      <c r="LJ988" s="1896"/>
      <c r="LK988" s="1896"/>
      <c r="LL988" s="1896"/>
      <c r="LM988" s="1896"/>
      <c r="LN988" s="1896"/>
      <c r="LO988" s="1896"/>
      <c r="LP988" s="1896"/>
      <c r="LQ988" s="1896"/>
    </row>
    <row r="989" spans="1:329" s="1815" customFormat="1" ht="15.6" customHeight="1">
      <c r="B989" s="1815" t="s">
        <v>2146</v>
      </c>
      <c r="F989" s="1915">
        <f>'Part VI-Revenues &amp; Expenses'!F220</f>
        <v>35000</v>
      </c>
      <c r="G989" s="1915"/>
      <c r="I989" s="1815" t="s">
        <v>1351</v>
      </c>
      <c r="L989" s="1915">
        <f>'Part VI-Revenues &amp; Expenses'!L220</f>
        <v>0</v>
      </c>
      <c r="M989" s="1915"/>
      <c r="O989" s="1921">
        <f>+Q988/(P836*0.93)</f>
        <v>576.3888888888888</v>
      </c>
      <c r="P989" s="449" t="s">
        <v>2667</v>
      </c>
      <c r="R989" s="1917"/>
      <c r="S989" s="1910"/>
      <c r="T989" s="1910"/>
      <c r="U989" s="1910"/>
      <c r="V989" s="1910"/>
      <c r="W989" s="1910"/>
      <c r="X989" s="1995"/>
      <c r="AC989" s="1995"/>
      <c r="AH989" s="1995"/>
      <c r="AM989" s="1995"/>
      <c r="JW989" s="1896"/>
      <c r="KB989" s="1896"/>
      <c r="KC989" s="1896"/>
      <c r="KD989" s="1896"/>
      <c r="KE989" s="1896"/>
      <c r="KF989" s="1896"/>
      <c r="KG989" s="1896"/>
      <c r="KH989" s="1896"/>
      <c r="KI989" s="1896"/>
      <c r="KJ989" s="1896"/>
      <c r="KK989" s="1896"/>
      <c r="KL989" s="1896"/>
      <c r="KM989" s="1896"/>
      <c r="KN989" s="1896"/>
      <c r="KO989" s="1896"/>
      <c r="KP989" s="1896"/>
      <c r="KQ989" s="1896"/>
      <c r="KR989" s="1896"/>
      <c r="KS989" s="1896"/>
      <c r="KT989" s="1896"/>
      <c r="KU989" s="1896"/>
      <c r="KV989" s="1896"/>
      <c r="KW989" s="1896"/>
      <c r="KX989" s="1896"/>
      <c r="KY989" s="1896"/>
      <c r="KZ989" s="1896"/>
      <c r="LA989" s="1896"/>
      <c r="LB989" s="1896"/>
      <c r="LC989" s="1896"/>
      <c r="LD989" s="1896"/>
      <c r="LE989" s="1896"/>
      <c r="LF989" s="1896"/>
      <c r="LG989" s="1896"/>
      <c r="LH989" s="1896"/>
      <c r="LI989" s="1896"/>
      <c r="LJ989" s="1896"/>
      <c r="LK989" s="1896"/>
      <c r="LL989" s="1896"/>
      <c r="LM989" s="1896"/>
      <c r="LN989" s="1896"/>
      <c r="LO989" s="1896"/>
      <c r="LP989" s="1896"/>
      <c r="LQ989" s="1896"/>
    </row>
    <row r="990" spans="1:329" s="1815" customFormat="1" ht="15.6" customHeight="1">
      <c r="B990" s="1815" t="s">
        <v>1340</v>
      </c>
      <c r="F990" s="1915">
        <f>'Part VI-Revenues &amp; Expenses'!F221</f>
        <v>25000</v>
      </c>
      <c r="G990" s="1915"/>
      <c r="I990" s="1815" t="s">
        <v>1352</v>
      </c>
      <c r="L990" s="1915">
        <f>'Part VI-Revenues &amp; Expenses'!L221</f>
        <v>0</v>
      </c>
      <c r="M990" s="1915"/>
      <c r="O990" s="1921">
        <f>+Q988/(P836*0.93)/12</f>
        <v>48.032407407407398</v>
      </c>
      <c r="P990" s="449" t="s">
        <v>2668</v>
      </c>
      <c r="R990" s="1917"/>
      <c r="S990" s="1910"/>
      <c r="T990" s="1910"/>
      <c r="U990" s="1910"/>
      <c r="V990" s="1910"/>
      <c r="W990" s="1910"/>
      <c r="X990" s="1995"/>
      <c r="AC990" s="1995"/>
      <c r="AH990" s="1995"/>
      <c r="AM990" s="1995"/>
      <c r="JW990" s="1896"/>
      <c r="KB990" s="1896"/>
      <c r="KC990" s="1896"/>
      <c r="KD990" s="1896"/>
      <c r="KE990" s="1896"/>
      <c r="KF990" s="1896"/>
      <c r="KG990" s="1896"/>
      <c r="KH990" s="1896"/>
      <c r="KI990" s="1896"/>
      <c r="KJ990" s="1896"/>
      <c r="KK990" s="1896"/>
      <c r="KL990" s="1896"/>
      <c r="KM990" s="1896"/>
      <c r="KN990" s="1896"/>
      <c r="KO990" s="1896"/>
      <c r="KP990" s="1896"/>
      <c r="KQ990" s="1896"/>
      <c r="KR990" s="1896"/>
      <c r="KS990" s="1896"/>
      <c r="KT990" s="1896"/>
      <c r="KU990" s="1896"/>
      <c r="KV990" s="1896"/>
      <c r="KW990" s="1896"/>
      <c r="KX990" s="1896"/>
      <c r="KY990" s="1896"/>
      <c r="KZ990" s="1896"/>
      <c r="LA990" s="1896"/>
      <c r="LB990" s="1896"/>
      <c r="LC990" s="1896"/>
      <c r="LD990" s="1896"/>
      <c r="LE990" s="1896"/>
      <c r="LF990" s="1896"/>
      <c r="LG990" s="1896"/>
      <c r="LH990" s="1896"/>
      <c r="LI990" s="1896"/>
      <c r="LJ990" s="1896"/>
      <c r="LK990" s="1896"/>
      <c r="LL990" s="1896"/>
      <c r="LM990" s="1896"/>
      <c r="LN990" s="1896"/>
      <c r="LO990" s="1896"/>
      <c r="LP990" s="1896"/>
      <c r="LQ990" s="1896"/>
    </row>
    <row r="991" spans="1:329" s="1815" customFormat="1" ht="15.6" customHeight="1">
      <c r="B991" s="1815" t="s">
        <v>1213</v>
      </c>
      <c r="F991" s="1915">
        <f>'Part VI-Revenues &amp; Expenses'!F222</f>
        <v>5000</v>
      </c>
      <c r="G991" s="1915"/>
      <c r="K991" s="1948" t="s">
        <v>187</v>
      </c>
      <c r="L991" s="1915">
        <f>SUM(L989:M990)</f>
        <v>0</v>
      </c>
      <c r="M991" s="1915"/>
      <c r="O991" s="449" t="s">
        <v>3545</v>
      </c>
      <c r="P991" s="449"/>
      <c r="Q991" s="449"/>
      <c r="R991" s="1917"/>
      <c r="S991" s="1910"/>
      <c r="T991" s="1910"/>
      <c r="U991" s="1910"/>
      <c r="V991" s="1910"/>
      <c r="W991" s="1910"/>
      <c r="X991" s="1995"/>
      <c r="AC991" s="1995"/>
      <c r="AH991" s="1995"/>
      <c r="AM991" s="1995"/>
      <c r="JW991" s="1896"/>
      <c r="KB991" s="1896"/>
      <c r="KC991" s="1896"/>
      <c r="KD991" s="1896"/>
      <c r="KE991" s="1896"/>
      <c r="KF991" s="1896"/>
      <c r="KG991" s="1896"/>
      <c r="KH991" s="1896"/>
      <c r="KI991" s="1896"/>
      <c r="KJ991" s="1896"/>
      <c r="KK991" s="1896"/>
      <c r="KL991" s="1896"/>
      <c r="KM991" s="1896"/>
      <c r="KN991" s="1896"/>
      <c r="KO991" s="1896"/>
      <c r="KP991" s="1896"/>
      <c r="KQ991" s="1896"/>
      <c r="KR991" s="1896"/>
      <c r="KS991" s="1896"/>
      <c r="KT991" s="1896"/>
      <c r="KU991" s="1896"/>
      <c r="KV991" s="1896"/>
      <c r="KW991" s="1896"/>
      <c r="KX991" s="1896"/>
      <c r="KY991" s="1896"/>
      <c r="KZ991" s="1896"/>
      <c r="LA991" s="1896"/>
      <c r="LB991" s="1896"/>
      <c r="LC991" s="1896"/>
      <c r="LD991" s="1896"/>
      <c r="LE991" s="1896"/>
      <c r="LF991" s="1896"/>
      <c r="LG991" s="1896"/>
      <c r="LH991" s="1896"/>
      <c r="LI991" s="1896"/>
      <c r="LJ991" s="1896"/>
      <c r="LK991" s="1896"/>
      <c r="LL991" s="1896"/>
      <c r="LM991" s="1896"/>
      <c r="LN991" s="1896"/>
      <c r="LO991" s="1896"/>
      <c r="LP991" s="1896"/>
      <c r="LQ991" s="1896"/>
    </row>
    <row r="992" spans="1:329" s="1815" customFormat="1" ht="15.6" customHeight="1">
      <c r="B992" s="1922" t="s">
        <v>4697</v>
      </c>
      <c r="F992" s="1915">
        <f>'Part VI-Revenues &amp; Expenses'!F223</f>
        <v>12480</v>
      </c>
      <c r="G992" s="1915"/>
      <c r="R992" s="1917"/>
      <c r="S992" s="1910"/>
      <c r="T992" s="1910"/>
      <c r="U992" s="1910"/>
      <c r="V992" s="1910"/>
      <c r="W992" s="1910"/>
      <c r="X992" s="1995"/>
      <c r="AC992" s="1995"/>
      <c r="AH992" s="1995"/>
      <c r="AM992" s="1995"/>
      <c r="JW992" s="1896"/>
      <c r="KB992" s="1896"/>
      <c r="KC992" s="1896"/>
      <c r="KD992" s="1896"/>
      <c r="KE992" s="1896"/>
      <c r="KF992" s="1896"/>
      <c r="KG992" s="1896"/>
      <c r="KH992" s="1896"/>
      <c r="KI992" s="1896"/>
      <c r="KJ992" s="1896"/>
      <c r="KK992" s="1896"/>
      <c r="KL992" s="1896"/>
      <c r="KM992" s="1896"/>
      <c r="KN992" s="1896"/>
      <c r="KO992" s="1896"/>
      <c r="KP992" s="1896"/>
      <c r="KQ992" s="1896"/>
      <c r="KR992" s="1896"/>
      <c r="KS992" s="1896"/>
      <c r="KT992" s="1896"/>
      <c r="KU992" s="1896"/>
      <c r="KV992" s="1896"/>
      <c r="KW992" s="1896"/>
      <c r="KX992" s="1896"/>
      <c r="KY992" s="1896"/>
      <c r="KZ992" s="1896"/>
      <c r="LA992" s="1896"/>
      <c r="LB992" s="1896"/>
      <c r="LC992" s="1896"/>
      <c r="LD992" s="1896"/>
      <c r="LE992" s="1896"/>
      <c r="LF992" s="1896"/>
      <c r="LG992" s="1896"/>
      <c r="LH992" s="1896"/>
      <c r="LI992" s="1896"/>
      <c r="LJ992" s="1896"/>
      <c r="LK992" s="1896"/>
      <c r="LL992" s="1896"/>
      <c r="LM992" s="1896"/>
      <c r="LN992" s="1896"/>
      <c r="LO992" s="1896"/>
      <c r="LP992" s="1896"/>
      <c r="LQ992" s="1896"/>
    </row>
    <row r="993" spans="2:329" s="1815" customFormat="1" ht="15.6" customHeight="1">
      <c r="B993" s="1922" t="s">
        <v>4698</v>
      </c>
      <c r="F993" s="1915">
        <f>'Part VI-Revenues &amp; Expenses'!F224</f>
        <v>0</v>
      </c>
      <c r="G993" s="1915"/>
      <c r="R993" s="1917"/>
      <c r="S993" s="1910"/>
      <c r="T993" s="1910"/>
      <c r="U993" s="1910"/>
      <c r="V993" s="1910"/>
      <c r="W993" s="1910"/>
      <c r="X993" s="1995"/>
      <c r="AC993" s="1995"/>
      <c r="AH993" s="1995"/>
      <c r="AM993" s="1995"/>
      <c r="JW993" s="1896"/>
      <c r="KB993" s="1896"/>
      <c r="KC993" s="1896"/>
      <c r="KD993" s="1896"/>
      <c r="KE993" s="1896"/>
      <c r="KF993" s="1896"/>
      <c r="KG993" s="1896"/>
      <c r="KH993" s="1896"/>
      <c r="KI993" s="1896"/>
      <c r="KJ993" s="1896"/>
      <c r="KK993" s="1896"/>
      <c r="KL993" s="1896"/>
      <c r="KM993" s="1896"/>
      <c r="KN993" s="1896"/>
      <c r="KO993" s="1896"/>
      <c r="KP993" s="1896"/>
      <c r="KQ993" s="1896"/>
      <c r="KR993" s="1896"/>
      <c r="KS993" s="1896"/>
      <c r="KT993" s="1896"/>
      <c r="KU993" s="1896"/>
      <c r="KV993" s="1896"/>
      <c r="KW993" s="1896"/>
      <c r="KX993" s="1896"/>
      <c r="KY993" s="1896"/>
      <c r="KZ993" s="1896"/>
      <c r="LA993" s="1896"/>
      <c r="LB993" s="1896"/>
      <c r="LC993" s="1896"/>
      <c r="LD993" s="1896"/>
      <c r="LE993" s="1896"/>
      <c r="LF993" s="1896"/>
      <c r="LG993" s="1896"/>
      <c r="LH993" s="1896"/>
      <c r="LI993" s="1896"/>
      <c r="LJ993" s="1896"/>
      <c r="LK993" s="1896"/>
      <c r="LL993" s="1896"/>
      <c r="LM993" s="1896"/>
      <c r="LN993" s="1896"/>
      <c r="LO993" s="1896"/>
      <c r="LP993" s="1896"/>
      <c r="LQ993" s="1896"/>
    </row>
    <row r="994" spans="2:329" s="1815" customFormat="1" ht="15.6" customHeight="1">
      <c r="B994" s="449" t="str">
        <f>'Part VI-Revenues &amp; Expenses'!B225</f>
        <v xml:space="preserve">Healthy Eating Initative </v>
      </c>
      <c r="C994" s="449"/>
      <c r="D994" s="449"/>
      <c r="E994" s="449"/>
      <c r="F994" s="1915">
        <f>'Part VI-Revenues &amp; Expenses'!F225</f>
        <v>2100</v>
      </c>
      <c r="G994" s="1915"/>
      <c r="I994" s="1815" t="s">
        <v>1266</v>
      </c>
      <c r="R994" s="1917"/>
      <c r="S994" s="1910"/>
      <c r="T994" s="1910"/>
      <c r="U994" s="1910"/>
      <c r="V994" s="1910"/>
      <c r="W994" s="1910"/>
      <c r="X994" s="1995"/>
      <c r="AC994" s="1995"/>
      <c r="AH994" s="1995"/>
      <c r="AM994" s="1995"/>
      <c r="JW994" s="1896"/>
      <c r="KB994" s="1896"/>
      <c r="KC994" s="1896"/>
      <c r="KD994" s="1896"/>
      <c r="KE994" s="1896"/>
      <c r="KF994" s="1896"/>
      <c r="KG994" s="1896"/>
      <c r="KH994" s="1896"/>
      <c r="KI994" s="1896"/>
      <c r="KJ994" s="1896"/>
      <c r="KK994" s="1896"/>
      <c r="KL994" s="1896"/>
      <c r="KM994" s="1896"/>
      <c r="KN994" s="1896"/>
      <c r="KO994" s="1896"/>
      <c r="KP994" s="1896"/>
      <c r="KQ994" s="1896"/>
      <c r="KR994" s="1896"/>
      <c r="KS994" s="1896"/>
      <c r="KT994" s="1896"/>
      <c r="KU994" s="1896"/>
      <c r="KV994" s="1896"/>
      <c r="KW994" s="1896"/>
      <c r="KX994" s="1896"/>
      <c r="KY994" s="1896"/>
      <c r="KZ994" s="1896"/>
      <c r="LA994" s="1896"/>
      <c r="LB994" s="1896"/>
      <c r="LC994" s="1896"/>
      <c r="LD994" s="1896"/>
      <c r="LE994" s="1896"/>
      <c r="LF994" s="1896"/>
      <c r="LG994" s="1896"/>
      <c r="LH994" s="1896"/>
      <c r="LI994" s="1896"/>
      <c r="LJ994" s="1896"/>
      <c r="LK994" s="1896"/>
      <c r="LL994" s="1896"/>
      <c r="LM994" s="1896"/>
      <c r="LN994" s="1896"/>
      <c r="LO994" s="1896"/>
      <c r="LP994" s="1896"/>
      <c r="LQ994" s="1896"/>
    </row>
    <row r="995" spans="2:329" s="1815" customFormat="1" ht="15.6" customHeight="1">
      <c r="E995" s="1948" t="s">
        <v>187</v>
      </c>
      <c r="F995" s="1915">
        <f>SUM(F989:G994)</f>
        <v>79580</v>
      </c>
      <c r="G995" s="1915"/>
      <c r="I995" s="1815" t="s">
        <v>1569</v>
      </c>
      <c r="L995" s="1915">
        <f>'Part VI-Revenues &amp; Expenses'!L226</f>
        <v>4000</v>
      </c>
      <c r="M995" s="1915"/>
      <c r="S995" s="1910"/>
      <c r="T995" s="1910"/>
      <c r="U995" s="1910"/>
      <c r="V995" s="1910"/>
      <c r="W995" s="1910"/>
      <c r="X995" s="1995"/>
      <c r="AC995" s="1995"/>
      <c r="AH995" s="1995"/>
      <c r="AM995" s="1995"/>
      <c r="JW995" s="1896"/>
      <c r="KB995" s="1896"/>
      <c r="KC995" s="1896"/>
      <c r="KD995" s="1896"/>
      <c r="KE995" s="1896"/>
      <c r="KF995" s="1896"/>
      <c r="KG995" s="1896"/>
      <c r="KH995" s="1896"/>
      <c r="KI995" s="1896"/>
      <c r="KJ995" s="1896"/>
      <c r="KK995" s="1896"/>
      <c r="KL995" s="1896"/>
      <c r="KM995" s="1896"/>
      <c r="KN995" s="1896"/>
      <c r="KO995" s="1896"/>
      <c r="KP995" s="1896"/>
      <c r="KQ995" s="1896"/>
      <c r="KR995" s="1896"/>
      <c r="KS995" s="1896"/>
      <c r="KT995" s="1896"/>
      <c r="KU995" s="1896"/>
      <c r="KV995" s="1896"/>
      <c r="KW995" s="1896"/>
      <c r="KX995" s="1896"/>
      <c r="KY995" s="1896"/>
      <c r="KZ995" s="1896"/>
      <c r="LA995" s="1896"/>
      <c r="LB995" s="1896"/>
      <c r="LC995" s="1896"/>
      <c r="LD995" s="1896"/>
      <c r="LE995" s="1896"/>
      <c r="LF995" s="1896"/>
      <c r="LG995" s="1896"/>
      <c r="LH995" s="1896"/>
      <c r="LI995" s="1896"/>
      <c r="LJ995" s="1896"/>
      <c r="LK995" s="1896"/>
      <c r="LL995" s="1896"/>
      <c r="LM995" s="1896"/>
      <c r="LN995" s="1896"/>
      <c r="LO995" s="1896"/>
      <c r="LP995" s="1896"/>
      <c r="LQ995" s="1896"/>
    </row>
    <row r="996" spans="2:329" s="1815" customFormat="1" ht="15" customHeight="1">
      <c r="D996" s="1948"/>
      <c r="F996" s="1906"/>
      <c r="G996" s="1906"/>
      <c r="I996" s="1815" t="s">
        <v>2001</v>
      </c>
      <c r="L996" s="1915">
        <f>'Part VI-Revenues &amp; Expenses'!L227</f>
        <v>4000</v>
      </c>
      <c r="M996" s="1915"/>
      <c r="N996" s="1897" t="str">
        <f>IF(Q998="","",IF(Q996&lt;Q998, "WARNING! OE below required minimum.",""))</f>
        <v/>
      </c>
      <c r="O996" s="1815" t="s">
        <v>2136</v>
      </c>
      <c r="Q996" s="1917">
        <f>F995+F1004+F1015+L991+L999+L1008+L1015+Q988</f>
        <v>324000</v>
      </c>
      <c r="S996" s="1910"/>
      <c r="T996" s="1910"/>
      <c r="U996" s="1910"/>
      <c r="V996" s="1910"/>
      <c r="W996" s="1910"/>
      <c r="JW996" s="1896"/>
      <c r="KB996" s="1896"/>
      <c r="KC996" s="1896"/>
      <c r="KD996" s="1896"/>
      <c r="KE996" s="1896"/>
      <c r="KF996" s="1896"/>
      <c r="KG996" s="1896"/>
      <c r="KH996" s="1896"/>
      <c r="KI996" s="1896"/>
      <c r="KJ996" s="1896"/>
      <c r="KK996" s="1896"/>
      <c r="KL996" s="1896"/>
      <c r="KM996" s="1896"/>
      <c r="KN996" s="1896"/>
      <c r="KO996" s="1896"/>
      <c r="KP996" s="1896"/>
      <c r="KQ996" s="1896"/>
      <c r="KR996" s="1896"/>
      <c r="KS996" s="1896"/>
      <c r="KT996" s="1896"/>
      <c r="KU996" s="1896"/>
      <c r="KV996" s="1896"/>
      <c r="KW996" s="1896"/>
      <c r="KX996" s="1896"/>
      <c r="KY996" s="1896"/>
      <c r="KZ996" s="1896"/>
      <c r="LA996" s="1896"/>
      <c r="LB996" s="1896"/>
      <c r="LC996" s="1896"/>
      <c r="LD996" s="1896"/>
      <c r="LE996" s="1896"/>
      <c r="LF996" s="1896"/>
      <c r="LG996" s="1896"/>
      <c r="LH996" s="1896"/>
      <c r="LI996" s="1896"/>
      <c r="LJ996" s="1896"/>
      <c r="LK996" s="1896"/>
      <c r="LL996" s="1896"/>
      <c r="LM996" s="1896"/>
      <c r="LN996" s="1896"/>
      <c r="LO996" s="1896"/>
      <c r="LP996" s="1896"/>
      <c r="LQ996" s="1896"/>
    </row>
    <row r="997" spans="2:329" s="1815" customFormat="1" ht="13.35" customHeight="1">
      <c r="B997" s="1815" t="s">
        <v>1265</v>
      </c>
      <c r="D997" s="1923"/>
      <c r="I997" s="1815" t="s">
        <v>1570</v>
      </c>
      <c r="L997" s="1915">
        <f>'Part VI-Revenues &amp; Expenses'!L228</f>
        <v>5000</v>
      </c>
      <c r="M997" s="1915"/>
      <c r="N997" s="1897"/>
      <c r="O997" s="449" t="s">
        <v>2669</v>
      </c>
      <c r="P997" s="1921">
        <f>+Q996/P836</f>
        <v>4500</v>
      </c>
      <c r="R997" s="1920"/>
      <c r="S997" s="1910"/>
      <c r="T997" s="1910"/>
      <c r="U997" s="1910"/>
      <c r="V997" s="1910"/>
      <c r="W997" s="1910"/>
      <c r="X997" s="1995"/>
      <c r="AC997" s="1995"/>
      <c r="AH997" s="1995"/>
      <c r="AM997" s="1995"/>
      <c r="JW997" s="1896"/>
      <c r="KB997" s="1896"/>
      <c r="KC997" s="1896"/>
      <c r="KD997" s="1896"/>
      <c r="KE997" s="1896"/>
      <c r="KF997" s="1896"/>
      <c r="KG997" s="1896"/>
      <c r="KH997" s="1896"/>
      <c r="KI997" s="1896"/>
      <c r="KJ997" s="1896"/>
      <c r="KK997" s="1896"/>
      <c r="KL997" s="1896"/>
      <c r="KM997" s="1896"/>
      <c r="KN997" s="1896"/>
      <c r="KO997" s="1896"/>
      <c r="KP997" s="1896"/>
      <c r="KQ997" s="1896"/>
      <c r="KR997" s="1896"/>
      <c r="KS997" s="1896"/>
      <c r="KT997" s="1896"/>
      <c r="KU997" s="1896"/>
      <c r="KV997" s="1896"/>
      <c r="KW997" s="1896"/>
      <c r="KX997" s="1896"/>
      <c r="KY997" s="1896"/>
      <c r="KZ997" s="1896"/>
      <c r="LA997" s="1896"/>
      <c r="LB997" s="1896"/>
      <c r="LC997" s="1896"/>
      <c r="LD997" s="1896"/>
      <c r="LE997" s="1896"/>
      <c r="LF997" s="1896"/>
      <c r="LG997" s="1896"/>
      <c r="LH997" s="1896"/>
      <c r="LI997" s="1896"/>
      <c r="LJ997" s="1896"/>
      <c r="LK997" s="1896"/>
      <c r="LL997" s="1896"/>
      <c r="LM997" s="1896"/>
      <c r="LN997" s="1896"/>
      <c r="LO997" s="1896"/>
      <c r="LP997" s="1896"/>
      <c r="LQ997" s="1896"/>
    </row>
    <row r="998" spans="2:329" s="1815" customFormat="1" ht="15.6" customHeight="1">
      <c r="B998" s="1815" t="s">
        <v>1345</v>
      </c>
      <c r="D998" s="1923"/>
      <c r="F998" s="1915">
        <f>'Part VI-Revenues &amp; Expenses'!F229</f>
        <v>5000</v>
      </c>
      <c r="G998" s="1915"/>
      <c r="I998" s="2155" t="str">
        <f>'Part VI-Revenues &amp; Expenses'!I229</f>
        <v>Other (describe here)</v>
      </c>
      <c r="J998" s="2155"/>
      <c r="K998" s="2155"/>
      <c r="L998" s="1915">
        <f>'Part VI-Revenues &amp; Expenses'!L229</f>
        <v>0</v>
      </c>
      <c r="M998" s="1915"/>
      <c r="N998" s="1897"/>
      <c r="P998" s="449" t="s">
        <v>3546</v>
      </c>
      <c r="Q998" s="1917">
        <f>IF(AND('Part I-Project Information'!$I$183="Yes",'Part I-Project Information'!$O$183&gt;0),'Part I-Project Information'!$O$183, IF(AND('Part I-Project Information'!$F$38="Atlanta",'Part I-Project Information'!$K$40="Urban",'Part I-Project Information'!$N$40="MSA"),'DCA Underwriting Assumptions'!$Q$63*$P$67,IF(AND('Part I-Project Information'!$K$40="Urban",'Part I-Project Information'!$N$40="MSA"),'DCA Underwriting Assumptions'!$Q$64*$P$67,IF(AND('Part I-Project Information'!$K$40="Rural",'Part I-Project Information'!$N$40="MSA",OR('Part III-Sources of Funds'!$E$8="",'Part III-Sources of Funds'!$E$8="No")),'DCA Underwriting Assumptions'!$Q$65*$P$67,IF(AND('Part I-Project Information'!$K$40="Rural",'Part I-Project Information'!$N$40="Non-MSA",OR('Part III-Sources of Funds'!$E$8="",'Part III-Sources of Funds'!$E$8="No")),'DCA Underwriting Assumptions'!$Q$66*$P$67,IF(AND('Part I-Project Information'!$K$40="Rural",'Part I-Project Information'!$N$40="Non-MSA",'Part III-Sources of Funds'!$E$8="Yes"),'DCA Underwriting Assumptions'!$Q$67*$P$67,""))))))</f>
        <v>0</v>
      </c>
      <c r="S998" s="1910"/>
      <c r="T998" s="1910"/>
      <c r="U998" s="1910"/>
      <c r="V998" s="1910"/>
      <c r="W998" s="1910"/>
      <c r="X998" s="1995"/>
      <c r="AC998" s="1995"/>
      <c r="AH998" s="1995"/>
      <c r="AM998" s="1995"/>
      <c r="JW998" s="1896"/>
      <c r="KB998" s="1896"/>
      <c r="KC998" s="1896"/>
      <c r="KD998" s="1896"/>
      <c r="KE998" s="1896"/>
      <c r="KF998" s="1896"/>
      <c r="KG998" s="1896"/>
      <c r="KH998" s="1896"/>
      <c r="KI998" s="1896"/>
      <c r="KJ998" s="1896"/>
      <c r="KK998" s="1896"/>
      <c r="KL998" s="1896"/>
      <c r="KM998" s="1896"/>
      <c r="KN998" s="1896"/>
      <c r="KO998" s="1896"/>
      <c r="KP998" s="1896"/>
      <c r="KQ998" s="1896"/>
      <c r="KR998" s="1896"/>
      <c r="KS998" s="1896"/>
      <c r="KT998" s="1896"/>
      <c r="KU998" s="1896"/>
      <c r="KV998" s="1896"/>
      <c r="KW998" s="1896"/>
      <c r="KX998" s="1896"/>
      <c r="KY998" s="1896"/>
      <c r="KZ998" s="1896"/>
      <c r="LA998" s="1896"/>
      <c r="LB998" s="1896"/>
      <c r="LC998" s="1896"/>
      <c r="LD998" s="1896"/>
      <c r="LE998" s="1896"/>
      <c r="LF998" s="1896"/>
      <c r="LG998" s="1896"/>
      <c r="LH998" s="1896"/>
      <c r="LI998" s="1896"/>
      <c r="LJ998" s="1896"/>
      <c r="LK998" s="1896"/>
      <c r="LL998" s="1896"/>
      <c r="LM998" s="1896"/>
      <c r="LN998" s="1896"/>
      <c r="LO998" s="1896"/>
      <c r="LP998" s="1896"/>
      <c r="LQ998" s="1896"/>
    </row>
    <row r="999" spans="2:329" s="1815" customFormat="1" ht="15.6" customHeight="1">
      <c r="B999" s="1815" t="s">
        <v>1346</v>
      </c>
      <c r="D999" s="1923"/>
      <c r="F999" s="1915">
        <f>'Part VI-Revenues &amp; Expenses'!F230</f>
        <v>2500</v>
      </c>
      <c r="G999" s="1915"/>
      <c r="K999" s="1948" t="s">
        <v>187</v>
      </c>
      <c r="L999" s="1917">
        <f>SUM(L995:L998)</f>
        <v>13000</v>
      </c>
      <c r="M999" s="1917"/>
      <c r="N999" s="1897"/>
      <c r="S999" s="1910"/>
      <c r="T999" s="1910"/>
      <c r="U999" s="1910"/>
      <c r="V999" s="1910"/>
      <c r="W999" s="1910"/>
      <c r="X999" s="1995"/>
      <c r="AC999" s="1995"/>
      <c r="AH999" s="1995"/>
      <c r="AM999" s="1995"/>
      <c r="JW999" s="1896"/>
      <c r="KB999" s="1896"/>
      <c r="KC999" s="1896"/>
      <c r="KD999" s="1896"/>
      <c r="KE999" s="1896"/>
      <c r="KF999" s="1896"/>
      <c r="KG999" s="1896"/>
      <c r="KH999" s="1896"/>
      <c r="KI999" s="1896"/>
      <c r="KJ999" s="1896"/>
      <c r="KK999" s="1896"/>
      <c r="KL999" s="1896"/>
      <c r="KM999" s="1896"/>
      <c r="KN999" s="1896"/>
      <c r="KO999" s="1896"/>
      <c r="KP999" s="1896"/>
      <c r="KQ999" s="1896"/>
      <c r="KR999" s="1896"/>
      <c r="KS999" s="1896"/>
      <c r="KT999" s="1896"/>
      <c r="KU999" s="1896"/>
      <c r="KV999" s="1896"/>
      <c r="KW999" s="1896"/>
      <c r="KX999" s="1896"/>
      <c r="KY999" s="1896"/>
      <c r="KZ999" s="1896"/>
      <c r="LA999" s="1896"/>
      <c r="LB999" s="1896"/>
      <c r="LC999" s="1896"/>
      <c r="LD999" s="1896"/>
      <c r="LE999" s="1896"/>
      <c r="LF999" s="1896"/>
      <c r="LG999" s="1896"/>
      <c r="LH999" s="1896"/>
      <c r="LI999" s="1896"/>
      <c r="LJ999" s="1896"/>
      <c r="LK999" s="1896"/>
      <c r="LL999" s="1896"/>
      <c r="LM999" s="1896"/>
      <c r="LN999" s="1896"/>
      <c r="LO999" s="1896"/>
      <c r="LP999" s="1896"/>
      <c r="LQ999" s="1896"/>
    </row>
    <row r="1000" spans="2:329" s="1815" customFormat="1" ht="15.6" customHeight="1">
      <c r="B1000" s="1815" t="s">
        <v>1347</v>
      </c>
      <c r="D1000" s="1923"/>
      <c r="F1000" s="1915">
        <f>'Part VI-Revenues &amp; Expenses'!F231</f>
        <v>2500</v>
      </c>
      <c r="G1000" s="1915"/>
      <c r="R1000" s="1908"/>
      <c r="S1000" s="1910"/>
      <c r="T1000" s="1910"/>
      <c r="U1000" s="1910"/>
      <c r="V1000" s="1910"/>
      <c r="W1000" s="1910"/>
      <c r="X1000" s="1995"/>
      <c r="AC1000" s="1995"/>
      <c r="AH1000" s="1995"/>
      <c r="AM1000" s="1995"/>
      <c r="JW1000" s="1896"/>
      <c r="KB1000" s="1896"/>
      <c r="KC1000" s="1896"/>
      <c r="KD1000" s="1896"/>
      <c r="KE1000" s="1896"/>
      <c r="KF1000" s="1896"/>
      <c r="KG1000" s="1896"/>
      <c r="KH1000" s="1896"/>
      <c r="KI1000" s="1896"/>
      <c r="KJ1000" s="1896"/>
      <c r="KK1000" s="1896"/>
      <c r="KL1000" s="1896"/>
      <c r="KM1000" s="1896"/>
      <c r="KN1000" s="1896"/>
      <c r="KO1000" s="1896"/>
      <c r="KP1000" s="1896"/>
      <c r="KQ1000" s="1896"/>
      <c r="KR1000" s="1896"/>
      <c r="KS1000" s="1896"/>
      <c r="KT1000" s="1896"/>
      <c r="KU1000" s="1896"/>
      <c r="KV1000" s="1896"/>
      <c r="KW1000" s="1896"/>
      <c r="KX1000" s="1896"/>
      <c r="KY1000" s="1896"/>
      <c r="KZ1000" s="1896"/>
      <c r="LA1000" s="1896"/>
      <c r="LB1000" s="1896"/>
      <c r="LC1000" s="1896"/>
      <c r="LD1000" s="1896"/>
      <c r="LE1000" s="1896"/>
      <c r="LF1000" s="1896"/>
      <c r="LG1000" s="1896"/>
      <c r="LH1000" s="1896"/>
      <c r="LI1000" s="1896"/>
      <c r="LJ1000" s="1896"/>
      <c r="LK1000" s="1896"/>
      <c r="LL1000" s="1896"/>
      <c r="LM1000" s="1896"/>
      <c r="LN1000" s="1896"/>
      <c r="LO1000" s="1896"/>
      <c r="LP1000" s="1896"/>
      <c r="LQ1000" s="1896"/>
    </row>
    <row r="1001" spans="2:329" s="1815" customFormat="1" ht="15.6" customHeight="1">
      <c r="B1001" s="1815" t="s">
        <v>2282</v>
      </c>
      <c r="D1001" s="1923"/>
      <c r="F1001" s="1915">
        <f>'Part VI-Revenues &amp; Expenses'!F232</f>
        <v>0</v>
      </c>
      <c r="G1001" s="1915"/>
      <c r="R1001" s="1908"/>
      <c r="S1001" s="1910"/>
      <c r="T1001" s="1910"/>
      <c r="U1001" s="1910"/>
      <c r="V1001" s="1910"/>
      <c r="W1001" s="1910"/>
      <c r="X1001" s="1995"/>
      <c r="AC1001" s="1995"/>
      <c r="AH1001" s="1995"/>
      <c r="AM1001" s="1995"/>
      <c r="JW1001" s="1896"/>
      <c r="KB1001" s="1896"/>
      <c r="KC1001" s="1896"/>
      <c r="KD1001" s="1896"/>
      <c r="KE1001" s="1896"/>
      <c r="KF1001" s="1896"/>
      <c r="KG1001" s="1896"/>
      <c r="KH1001" s="1896"/>
      <c r="KI1001" s="1896"/>
      <c r="KJ1001" s="1896"/>
      <c r="KK1001" s="1896"/>
      <c r="KL1001" s="1896"/>
      <c r="KM1001" s="1896"/>
      <c r="KN1001" s="1896"/>
      <c r="KO1001" s="1896"/>
      <c r="KP1001" s="1896"/>
      <c r="KQ1001" s="1896"/>
      <c r="KR1001" s="1896"/>
      <c r="KS1001" s="1896"/>
      <c r="KT1001" s="1896"/>
      <c r="KU1001" s="1896"/>
      <c r="KV1001" s="1896"/>
      <c r="KW1001" s="1896"/>
      <c r="KX1001" s="1896"/>
      <c r="KY1001" s="1896"/>
      <c r="KZ1001" s="1896"/>
      <c r="LA1001" s="1896"/>
      <c r="LB1001" s="1896"/>
      <c r="LC1001" s="1896"/>
      <c r="LD1001" s="1896"/>
      <c r="LE1001" s="1896"/>
      <c r="LF1001" s="1896"/>
      <c r="LG1001" s="1896"/>
      <c r="LH1001" s="1896"/>
      <c r="LI1001" s="1896"/>
      <c r="LJ1001" s="1896"/>
      <c r="LK1001" s="1896"/>
      <c r="LL1001" s="1896"/>
      <c r="LM1001" s="1896"/>
      <c r="LN1001" s="1896"/>
      <c r="LO1001" s="1896"/>
      <c r="LP1001" s="1896"/>
      <c r="LQ1001" s="1896"/>
    </row>
    <row r="1002" spans="2:329" s="1815" customFormat="1" ht="15.6" customHeight="1">
      <c r="B1002" s="1815" t="s">
        <v>1567</v>
      </c>
      <c r="D1002" s="1923"/>
      <c r="F1002" s="1915">
        <f>'Part VI-Revenues &amp; Expenses'!F233</f>
        <v>4996</v>
      </c>
      <c r="G1002" s="1915"/>
      <c r="I1002" s="1815" t="s">
        <v>1348</v>
      </c>
      <c r="K1002" s="1821" t="s">
        <v>4435</v>
      </c>
      <c r="O1002" s="1815" t="s">
        <v>3360</v>
      </c>
      <c r="Q1002" s="2220">
        <f>'Part VI-Revenues &amp; Expenses'!Q233</f>
        <v>18000</v>
      </c>
      <c r="S1002" s="1910"/>
      <c r="T1002" s="1910"/>
      <c r="U1002" s="1910"/>
      <c r="V1002" s="1910"/>
      <c r="W1002" s="1910"/>
      <c r="X1002" s="1995"/>
      <c r="AC1002" s="1995"/>
      <c r="AH1002" s="1995"/>
      <c r="AM1002" s="1995"/>
      <c r="JW1002" s="1896"/>
      <c r="KB1002" s="1896"/>
      <c r="KC1002" s="1896"/>
      <c r="KD1002" s="1896"/>
      <c r="KE1002" s="1896"/>
      <c r="KF1002" s="1896"/>
      <c r="KG1002" s="1896"/>
      <c r="KH1002" s="1896"/>
      <c r="KI1002" s="1896"/>
      <c r="KJ1002" s="1896"/>
      <c r="KK1002" s="1896"/>
      <c r="KL1002" s="1896"/>
      <c r="KM1002" s="1896"/>
      <c r="KN1002" s="1896"/>
      <c r="KO1002" s="1896"/>
      <c r="KP1002" s="1896"/>
      <c r="KQ1002" s="1896"/>
      <c r="KR1002" s="1896"/>
      <c r="KS1002" s="1896"/>
      <c r="KT1002" s="1896"/>
      <c r="KU1002" s="1896"/>
      <c r="KV1002" s="1896"/>
      <c r="KW1002" s="1896"/>
      <c r="KX1002" s="1896"/>
      <c r="KY1002" s="1896"/>
      <c r="KZ1002" s="1896"/>
      <c r="LA1002" s="1896"/>
      <c r="LB1002" s="1896"/>
      <c r="LC1002" s="1896"/>
      <c r="LD1002" s="1896"/>
      <c r="LE1002" s="1896"/>
      <c r="LF1002" s="1896"/>
      <c r="LG1002" s="1896"/>
      <c r="LH1002" s="1896"/>
      <c r="LI1002" s="1896"/>
      <c r="LJ1002" s="1896"/>
      <c r="LK1002" s="1896"/>
      <c r="LL1002" s="1896"/>
      <c r="LM1002" s="1896"/>
      <c r="LN1002" s="1896"/>
      <c r="LO1002" s="1896"/>
      <c r="LP1002" s="1896"/>
      <c r="LQ1002" s="1896"/>
    </row>
    <row r="1003" spans="2:329" s="1815" customFormat="1" ht="15.6" customHeight="1">
      <c r="B1003" s="449" t="str">
        <f>'Part VI-Revenues &amp; Expenses'!B234</f>
        <v>Other (describe here)</v>
      </c>
      <c r="C1003" s="449"/>
      <c r="D1003" s="449"/>
      <c r="E1003" s="449"/>
      <c r="F1003" s="1915">
        <f>'Part VI-Revenues &amp; Expenses'!F234</f>
        <v>0</v>
      </c>
      <c r="G1003" s="1915"/>
      <c r="I1003" s="1815" t="s">
        <v>1341</v>
      </c>
      <c r="K1003" s="1864">
        <f>L1003/12/P836</f>
        <v>11.574074074074074</v>
      </c>
      <c r="L1003" s="1915">
        <f>'Part VI-Revenues &amp; Expenses'!L234</f>
        <v>10000</v>
      </c>
      <c r="M1003" s="1915"/>
      <c r="N1003" s="1897" t="str">
        <f>IF(Q1002&lt;Q1011, "WARNING! RR proposed is below the DCA required minimum.","")</f>
        <v/>
      </c>
      <c r="O1003" s="449" t="s">
        <v>4434</v>
      </c>
      <c r="Q1003" s="1924">
        <f>Q1002/P1011</f>
        <v>250</v>
      </c>
      <c r="R1003" s="1917"/>
      <c r="S1003" s="1910"/>
      <c r="T1003" s="1910"/>
      <c r="U1003" s="1910"/>
      <c r="V1003" s="1910"/>
      <c r="W1003" s="1910"/>
      <c r="X1003" s="1995"/>
      <c r="AC1003" s="1995"/>
      <c r="AH1003" s="1995"/>
      <c r="AM1003" s="1995"/>
      <c r="JW1003" s="1896"/>
      <c r="KB1003" s="1896"/>
      <c r="KC1003" s="1896"/>
      <c r="KD1003" s="1896"/>
      <c r="KE1003" s="1896"/>
      <c r="KF1003" s="1896"/>
      <c r="KG1003" s="1896"/>
      <c r="KH1003" s="1896"/>
      <c r="KI1003" s="1896"/>
      <c r="KJ1003" s="1896"/>
      <c r="KK1003" s="1896"/>
      <c r="KL1003" s="1896"/>
      <c r="KM1003" s="1896"/>
      <c r="KN1003" s="1896"/>
      <c r="KO1003" s="1896"/>
      <c r="KP1003" s="1896"/>
      <c r="KQ1003" s="1896"/>
      <c r="KR1003" s="1896"/>
      <c r="KS1003" s="1896"/>
      <c r="KT1003" s="1896"/>
      <c r="KU1003" s="1896"/>
      <c r="KV1003" s="1896"/>
      <c r="KW1003" s="1896"/>
      <c r="KX1003" s="1896"/>
      <c r="KY1003" s="1896"/>
      <c r="KZ1003" s="1896"/>
      <c r="LA1003" s="1896"/>
      <c r="LB1003" s="1896"/>
      <c r="LC1003" s="1896"/>
      <c r="LD1003" s="1896"/>
      <c r="LE1003" s="1896"/>
      <c r="LF1003" s="1896"/>
      <c r="LG1003" s="1896"/>
      <c r="LH1003" s="1896"/>
      <c r="LI1003" s="1896"/>
      <c r="LJ1003" s="1896"/>
      <c r="LK1003" s="1896"/>
      <c r="LL1003" s="1896"/>
      <c r="LM1003" s="1896"/>
      <c r="LN1003" s="1896"/>
      <c r="LO1003" s="1896"/>
      <c r="LP1003" s="1896"/>
      <c r="LQ1003" s="1896"/>
    </row>
    <row r="1004" spans="2:329" s="1815" customFormat="1" ht="15.6" customHeight="1">
      <c r="E1004" s="1948" t="s">
        <v>187</v>
      </c>
      <c r="F1004" s="1915">
        <f>SUM(F998:G1003)</f>
        <v>14996</v>
      </c>
      <c r="G1004" s="1915"/>
      <c r="I1004" s="1815" t="s">
        <v>1342</v>
      </c>
      <c r="K1004" s="1864">
        <f>L1004/12/P836</f>
        <v>0</v>
      </c>
      <c r="L1004" s="1915">
        <f>'Part VI-Revenues &amp; Expenses'!L235</f>
        <v>0</v>
      </c>
      <c r="M1004" s="1915"/>
      <c r="N1004" s="1897"/>
      <c r="O1004" s="2119" t="s">
        <v>3553</v>
      </c>
      <c r="P1004" s="2119"/>
      <c r="Q1004" s="2119"/>
      <c r="S1004" s="1910"/>
      <c r="T1004" s="1910"/>
      <c r="U1004" s="1910"/>
      <c r="V1004" s="1910"/>
      <c r="W1004" s="1910"/>
      <c r="X1004" s="1995"/>
      <c r="AC1004" s="1995"/>
      <c r="AH1004" s="1995"/>
      <c r="AM1004" s="1995"/>
      <c r="JW1004" s="1896"/>
      <c r="KB1004" s="1896"/>
      <c r="KC1004" s="1896"/>
      <c r="KD1004" s="1896"/>
      <c r="KE1004" s="1896"/>
      <c r="KF1004" s="1896"/>
      <c r="KG1004" s="1896"/>
      <c r="KH1004" s="1896"/>
      <c r="KI1004" s="1896"/>
      <c r="KJ1004" s="1896"/>
      <c r="KK1004" s="1896"/>
      <c r="KL1004" s="1896"/>
      <c r="KM1004" s="1896"/>
      <c r="KN1004" s="1896"/>
      <c r="KO1004" s="1896"/>
      <c r="KP1004" s="1896"/>
      <c r="KQ1004" s="1896"/>
      <c r="KR1004" s="1896"/>
      <c r="KS1004" s="1896"/>
      <c r="KT1004" s="1896"/>
      <c r="KU1004" s="1896"/>
      <c r="KV1004" s="1896"/>
      <c r="KW1004" s="1896"/>
      <c r="KX1004" s="1896"/>
      <c r="KY1004" s="1896"/>
      <c r="KZ1004" s="1896"/>
      <c r="LA1004" s="1896"/>
      <c r="LB1004" s="1896"/>
      <c r="LC1004" s="1896"/>
      <c r="LD1004" s="1896"/>
      <c r="LE1004" s="1896"/>
      <c r="LF1004" s="1896"/>
      <c r="LG1004" s="1896"/>
      <c r="LH1004" s="1896"/>
      <c r="LI1004" s="1896"/>
      <c r="LJ1004" s="1896"/>
      <c r="LK1004" s="1896"/>
      <c r="LL1004" s="1896"/>
      <c r="LM1004" s="1896"/>
      <c r="LN1004" s="1896"/>
      <c r="LO1004" s="1896"/>
      <c r="LP1004" s="1896"/>
      <c r="LQ1004" s="1896"/>
    </row>
    <row r="1005" spans="2:329" s="1815" customFormat="1" ht="15" customHeight="1">
      <c r="D1005" s="1948"/>
      <c r="F1005" s="1906"/>
      <c r="G1005" s="1906"/>
      <c r="I1005" s="1815" t="s">
        <v>4517</v>
      </c>
      <c r="K1005" s="1864">
        <f>L1005/12/P836</f>
        <v>11.574074074074074</v>
      </c>
      <c r="L1005" s="1915">
        <f>'Part VI-Revenues &amp; Expenses'!L236</f>
        <v>10000</v>
      </c>
      <c r="M1005" s="1915"/>
      <c r="N1005" s="1897"/>
      <c r="O1005" s="1945" t="s">
        <v>2634</v>
      </c>
      <c r="P1005" s="1817" t="s">
        <v>3633</v>
      </c>
      <c r="Q1005" s="1817" t="s">
        <v>3324</v>
      </c>
      <c r="S1005" s="1910"/>
      <c r="T1005" s="1910"/>
      <c r="U1005" s="1910"/>
      <c r="V1005" s="1910"/>
      <c r="W1005" s="1910"/>
      <c r="JW1005" s="1896"/>
      <c r="KB1005" s="1896"/>
      <c r="KC1005" s="1896"/>
      <c r="KD1005" s="1896"/>
      <c r="KE1005" s="1896"/>
      <c r="KF1005" s="1896"/>
      <c r="KG1005" s="1896"/>
      <c r="KH1005" s="1896"/>
      <c r="KI1005" s="1896"/>
      <c r="KJ1005" s="1896"/>
      <c r="KK1005" s="1896"/>
      <c r="KL1005" s="1896"/>
      <c r="KM1005" s="1896"/>
      <c r="KN1005" s="1896"/>
      <c r="KO1005" s="1896"/>
      <c r="KP1005" s="1896"/>
      <c r="KQ1005" s="1896"/>
      <c r="KR1005" s="1896"/>
      <c r="KS1005" s="1896"/>
      <c r="KT1005" s="1896"/>
      <c r="KU1005" s="1896"/>
      <c r="KV1005" s="1896"/>
      <c r="KW1005" s="1896"/>
      <c r="KX1005" s="1896"/>
      <c r="KY1005" s="1896"/>
      <c r="KZ1005" s="1896"/>
      <c r="LA1005" s="1896"/>
      <c r="LB1005" s="1896"/>
      <c r="LC1005" s="1896"/>
      <c r="LD1005" s="1896"/>
      <c r="LE1005" s="1896"/>
      <c r="LF1005" s="1896"/>
      <c r="LG1005" s="1896"/>
      <c r="LH1005" s="1896"/>
      <c r="LI1005" s="1896"/>
      <c r="LJ1005" s="1896"/>
      <c r="LK1005" s="1896"/>
      <c r="LL1005" s="1896"/>
      <c r="LM1005" s="1896"/>
      <c r="LN1005" s="1896"/>
      <c r="LO1005" s="1896"/>
      <c r="LP1005" s="1896"/>
      <c r="LQ1005" s="1896"/>
    </row>
    <row r="1006" spans="2:329" s="1815" customFormat="1" ht="15.75" customHeight="1">
      <c r="B1006" s="1815" t="s">
        <v>1267</v>
      </c>
      <c r="D1006" s="1923"/>
      <c r="I1006" s="1815" t="s">
        <v>1344</v>
      </c>
      <c r="L1006" s="1915">
        <f>'Part VI-Revenues &amp; Expenses'!L237</f>
        <v>12000</v>
      </c>
      <c r="M1006" s="1915"/>
      <c r="N1006" s="1897"/>
      <c r="O1006" s="1955" t="s">
        <v>37</v>
      </c>
      <c r="R1006" s="1920"/>
      <c r="S1006" s="1910"/>
      <c r="T1006" s="1910"/>
      <c r="U1006" s="1910"/>
      <c r="V1006" s="1910"/>
      <c r="W1006" s="1910"/>
      <c r="X1006" s="1995"/>
      <c r="AC1006" s="1995"/>
      <c r="AH1006" s="1995"/>
      <c r="AM1006" s="1995"/>
      <c r="JW1006" s="1896"/>
      <c r="KB1006" s="1896"/>
      <c r="KC1006" s="1896"/>
      <c r="KD1006" s="1896"/>
      <c r="KE1006" s="1896"/>
      <c r="KF1006" s="1896"/>
      <c r="KG1006" s="1896"/>
      <c r="KH1006" s="1896"/>
      <c r="KI1006" s="1896"/>
      <c r="KJ1006" s="1896"/>
      <c r="KK1006" s="1896"/>
      <c r="KL1006" s="1896"/>
      <c r="KM1006" s="1896"/>
      <c r="KN1006" s="1896"/>
      <c r="KO1006" s="1896"/>
      <c r="KP1006" s="1896"/>
      <c r="KQ1006" s="1896"/>
      <c r="KR1006" s="1896"/>
      <c r="KS1006" s="1896"/>
      <c r="KT1006" s="1896"/>
      <c r="KU1006" s="1896"/>
      <c r="KV1006" s="1896"/>
      <c r="KW1006" s="1896"/>
      <c r="KX1006" s="1896"/>
      <c r="KY1006" s="1896"/>
      <c r="KZ1006" s="1896"/>
      <c r="LA1006" s="1896"/>
      <c r="LB1006" s="1896"/>
      <c r="LC1006" s="1896"/>
      <c r="LD1006" s="1896"/>
      <c r="LE1006" s="1896"/>
      <c r="LF1006" s="1896"/>
      <c r="LG1006" s="1896"/>
      <c r="LH1006" s="1896"/>
      <c r="LI1006" s="1896"/>
      <c r="LJ1006" s="1896"/>
      <c r="LK1006" s="1896"/>
      <c r="LL1006" s="1896"/>
      <c r="LM1006" s="1896"/>
      <c r="LN1006" s="1896"/>
      <c r="LO1006" s="1896"/>
      <c r="LP1006" s="1896"/>
      <c r="LQ1006" s="1896"/>
    </row>
    <row r="1007" spans="2:329" s="1815" customFormat="1" ht="15.6" customHeight="1">
      <c r="B1007" s="1815" t="s">
        <v>1571</v>
      </c>
      <c r="D1007" s="1923"/>
      <c r="F1007" s="1915">
        <f>'Part VI-Revenues &amp; Expenses'!F238</f>
        <v>15500</v>
      </c>
      <c r="G1007" s="1915"/>
      <c r="I1007" s="2155" t="str">
        <f>'Part VI-Revenues &amp; Expenses'!I238</f>
        <v>Other (describe here)</v>
      </c>
      <c r="J1007" s="2155"/>
      <c r="K1007" s="2155"/>
      <c r="L1007" s="1915">
        <f>'Part VI-Revenues &amp; Expenses'!L238</f>
        <v>0</v>
      </c>
      <c r="M1007" s="1915"/>
      <c r="N1007" s="1897"/>
      <c r="O1007" s="1822" t="s">
        <v>3316</v>
      </c>
      <c r="P1007" s="1925" t="str">
        <f>CONCATENATE(SUM(MP817:MT817)," units x $",'DCA Underwriting Assumptions'!$Q$68," =")</f>
        <v>0 units x $350 =</v>
      </c>
      <c r="Q1007" s="1925">
        <f>SUM(MP817:MT817)*'DCA Underwriting Assumptions'!$Q$68</f>
        <v>0</v>
      </c>
      <c r="R1007" s="2220"/>
      <c r="S1007" s="1910"/>
      <c r="T1007" s="1910"/>
      <c r="U1007" s="1910"/>
      <c r="V1007" s="1910"/>
      <c r="W1007" s="1910"/>
      <c r="X1007" s="1995"/>
      <c r="AC1007" s="1995"/>
      <c r="AH1007" s="1995"/>
      <c r="AM1007" s="1995"/>
      <c r="JW1007" s="1896"/>
      <c r="KB1007" s="1896"/>
      <c r="KC1007" s="1896"/>
      <c r="KD1007" s="1896"/>
      <c r="KE1007" s="1896"/>
      <c r="KF1007" s="1896"/>
      <c r="KG1007" s="1896"/>
      <c r="KH1007" s="1896"/>
      <c r="KI1007" s="1896"/>
      <c r="KJ1007" s="1896"/>
      <c r="KK1007" s="1896"/>
      <c r="KL1007" s="1896"/>
      <c r="KM1007" s="1896"/>
      <c r="KN1007" s="1896"/>
      <c r="KO1007" s="1896"/>
      <c r="KP1007" s="1896"/>
      <c r="KQ1007" s="1896"/>
      <c r="KR1007" s="1896"/>
      <c r="KS1007" s="1896"/>
      <c r="KT1007" s="1896"/>
      <c r="KU1007" s="1896"/>
      <c r="KV1007" s="1896"/>
      <c r="KW1007" s="1896"/>
      <c r="KX1007" s="1896"/>
      <c r="KY1007" s="1896"/>
      <c r="KZ1007" s="1896"/>
      <c r="LA1007" s="1896"/>
      <c r="LB1007" s="1896"/>
      <c r="LC1007" s="1896"/>
      <c r="LD1007" s="1896"/>
      <c r="LE1007" s="1896"/>
      <c r="LF1007" s="1896"/>
      <c r="LG1007" s="1896"/>
      <c r="LH1007" s="1896"/>
      <c r="LI1007" s="1896"/>
      <c r="LJ1007" s="1896"/>
      <c r="LK1007" s="1896"/>
      <c r="LL1007" s="1896"/>
      <c r="LM1007" s="1896"/>
      <c r="LN1007" s="1896"/>
      <c r="LO1007" s="1896"/>
      <c r="LP1007" s="1896"/>
      <c r="LQ1007" s="1896"/>
    </row>
    <row r="1008" spans="2:329" s="1815" customFormat="1" ht="15.6" customHeight="1">
      <c r="B1008" s="1815" t="s">
        <v>1572</v>
      </c>
      <c r="D1008" s="1923"/>
      <c r="F1008" s="1915">
        <f>'Part VI-Revenues &amp; Expenses'!F239</f>
        <v>15000</v>
      </c>
      <c r="G1008" s="1915"/>
      <c r="K1008" s="1948" t="s">
        <v>187</v>
      </c>
      <c r="L1008" s="1917">
        <f>SUM(L1003:L1007)</f>
        <v>32000</v>
      </c>
      <c r="M1008" s="1917"/>
      <c r="N1008" s="1897"/>
      <c r="O1008" s="1822" t="s">
        <v>3315</v>
      </c>
      <c r="P1008" s="1925" t="str">
        <f>CONCATENATE(SUM(MU817:MY817)," units x $",'DCA Underwriting Assumptions'!$Q$69," =")</f>
        <v>72 units x $250 =</v>
      </c>
      <c r="Q1008" s="1925">
        <f>SUM(MU817:MY817)*'DCA Underwriting Assumptions'!$Q$69</f>
        <v>18000</v>
      </c>
      <c r="S1008" s="1910"/>
      <c r="T1008" s="1910"/>
      <c r="U1008" s="1910"/>
      <c r="V1008" s="1910"/>
      <c r="W1008" s="1910"/>
      <c r="X1008" s="1995"/>
      <c r="AC1008" s="1995"/>
      <c r="AH1008" s="1995"/>
      <c r="AM1008" s="1995"/>
      <c r="JW1008" s="1896"/>
      <c r="KB1008" s="1896"/>
      <c r="KC1008" s="1896"/>
      <c r="KD1008" s="1896"/>
      <c r="KE1008" s="1896"/>
      <c r="KF1008" s="1896"/>
      <c r="KG1008" s="1896"/>
      <c r="KH1008" s="1896"/>
      <c r="KI1008" s="1896"/>
      <c r="KJ1008" s="1896"/>
      <c r="KK1008" s="1896"/>
      <c r="KL1008" s="1896"/>
      <c r="KM1008" s="1896"/>
      <c r="KN1008" s="1896"/>
      <c r="KO1008" s="1896"/>
      <c r="KP1008" s="1896"/>
      <c r="KQ1008" s="1896"/>
      <c r="KR1008" s="1896"/>
      <c r="KS1008" s="1896"/>
      <c r="KT1008" s="1896"/>
      <c r="KU1008" s="1896"/>
      <c r="KV1008" s="1896"/>
      <c r="KW1008" s="1896"/>
      <c r="KX1008" s="1896"/>
      <c r="KY1008" s="1896"/>
      <c r="KZ1008" s="1896"/>
      <c r="LA1008" s="1896"/>
      <c r="LB1008" s="1896"/>
      <c r="LC1008" s="1896"/>
      <c r="LD1008" s="1896"/>
      <c r="LE1008" s="1896"/>
      <c r="LF1008" s="1896"/>
      <c r="LG1008" s="1896"/>
      <c r="LH1008" s="1896"/>
      <c r="LI1008" s="1896"/>
      <c r="LJ1008" s="1896"/>
      <c r="LK1008" s="1896"/>
      <c r="LL1008" s="1896"/>
      <c r="LM1008" s="1896"/>
      <c r="LN1008" s="1896"/>
      <c r="LO1008" s="1896"/>
      <c r="LP1008" s="1896"/>
      <c r="LQ1008" s="1896"/>
    </row>
    <row r="1009" spans="1:329" s="1815" customFormat="1" ht="15.6" customHeight="1">
      <c r="B1009" s="1815" t="s">
        <v>1573</v>
      </c>
      <c r="D1009" s="1923"/>
      <c r="F1009" s="1915">
        <f>'Part VI-Revenues &amp; Expenses'!F240</f>
        <v>12000</v>
      </c>
      <c r="G1009" s="1915"/>
      <c r="N1009" s="1897"/>
      <c r="O1009" s="1822" t="s">
        <v>3319</v>
      </c>
      <c r="P1009" s="1925" t="str">
        <f>CONCATENATE(SUM(MZ817:ND817)," units x $",'DCA Underwriting Assumptions'!$Q$70," =")</f>
        <v>0 units x $420 =</v>
      </c>
      <c r="Q1009" s="1925">
        <f>SUM(MZ817:ND817)*'DCA Underwriting Assumptions'!$Q$70</f>
        <v>0</v>
      </c>
      <c r="R1009" s="1817"/>
      <c r="S1009" s="1910"/>
      <c r="T1009" s="1910"/>
      <c r="U1009" s="1910"/>
      <c r="V1009" s="1910"/>
      <c r="W1009" s="1910"/>
      <c r="X1009" s="1995"/>
      <c r="AC1009" s="1995"/>
      <c r="AH1009" s="1995"/>
      <c r="AM1009" s="1995"/>
      <c r="JW1009" s="1896"/>
      <c r="KB1009" s="1896"/>
      <c r="KC1009" s="1896"/>
      <c r="KD1009" s="1896"/>
      <c r="KE1009" s="1896"/>
      <c r="KF1009" s="1896"/>
      <c r="KG1009" s="1896"/>
      <c r="KH1009" s="1896"/>
      <c r="KI1009" s="1896"/>
      <c r="KJ1009" s="1896"/>
      <c r="KK1009" s="1896"/>
      <c r="KL1009" s="1896"/>
      <c r="KM1009" s="1896"/>
      <c r="KN1009" s="1896"/>
      <c r="KO1009" s="1896"/>
      <c r="KP1009" s="1896"/>
      <c r="KQ1009" s="1896"/>
      <c r="KR1009" s="1896"/>
      <c r="KS1009" s="1896"/>
      <c r="KT1009" s="1896"/>
      <c r="KU1009" s="1896"/>
      <c r="KV1009" s="1896"/>
      <c r="KW1009" s="1896"/>
      <c r="KX1009" s="1896"/>
      <c r="KY1009" s="1896"/>
      <c r="KZ1009" s="1896"/>
      <c r="LA1009" s="1896"/>
      <c r="LB1009" s="1896"/>
      <c r="LC1009" s="1896"/>
      <c r="LD1009" s="1896"/>
      <c r="LE1009" s="1896"/>
      <c r="LF1009" s="1896"/>
      <c r="LG1009" s="1896"/>
      <c r="LH1009" s="1896"/>
      <c r="LI1009" s="1896"/>
      <c r="LJ1009" s="1896"/>
      <c r="LK1009" s="1896"/>
      <c r="LL1009" s="1896"/>
      <c r="LM1009" s="1896"/>
      <c r="LN1009" s="1896"/>
      <c r="LO1009" s="1896"/>
      <c r="LP1009" s="1896"/>
      <c r="LQ1009" s="1896"/>
    </row>
    <row r="1010" spans="1:329" s="1815" customFormat="1" ht="15.6" customHeight="1">
      <c r="B1010" s="1815" t="s">
        <v>981</v>
      </c>
      <c r="D1010" s="1923"/>
      <c r="F1010" s="1915">
        <f>'Part VI-Revenues &amp; Expenses'!F241</f>
        <v>10600</v>
      </c>
      <c r="G1010" s="1915"/>
      <c r="O1010" s="1822" t="s">
        <v>3314</v>
      </c>
      <c r="P1010" s="1925" t="str">
        <f>CONCATENATE(P894," units x $",'DCA Underwriting Assumptions'!$Q$70," =")</f>
        <v>0 units x $420 =</v>
      </c>
      <c r="Q1010" s="1925">
        <f>P894*'DCA Underwriting Assumptions'!$Q$70</f>
        <v>0</v>
      </c>
      <c r="S1010" s="1910"/>
      <c r="T1010" s="1910"/>
      <c r="U1010" s="1910"/>
      <c r="V1010" s="1910"/>
      <c r="W1010" s="1910"/>
      <c r="X1010" s="1995"/>
      <c r="AC1010" s="1995"/>
      <c r="AH1010" s="1995"/>
      <c r="AM1010" s="1995"/>
      <c r="JW1010" s="1896"/>
      <c r="KB1010" s="1896"/>
      <c r="KC1010" s="1896"/>
      <c r="KD1010" s="1896"/>
      <c r="KE1010" s="1896"/>
      <c r="KF1010" s="1896"/>
      <c r="KG1010" s="1896"/>
      <c r="KH1010" s="1896"/>
      <c r="KI1010" s="1896"/>
      <c r="KJ1010" s="1896"/>
      <c r="KK1010" s="1896"/>
      <c r="KL1010" s="1896"/>
      <c r="KM1010" s="1896"/>
      <c r="KN1010" s="1896"/>
      <c r="KO1010" s="1896"/>
      <c r="KP1010" s="1896"/>
      <c r="KQ1010" s="1896"/>
      <c r="KR1010" s="1896"/>
      <c r="KS1010" s="1896"/>
      <c r="KT1010" s="1896"/>
      <c r="KU1010" s="1896"/>
      <c r="KV1010" s="1896"/>
      <c r="KW1010" s="1896"/>
      <c r="KX1010" s="1896"/>
      <c r="KY1010" s="1896"/>
      <c r="KZ1010" s="1896"/>
      <c r="LA1010" s="1896"/>
      <c r="LB1010" s="1896"/>
      <c r="LC1010" s="1896"/>
      <c r="LD1010" s="1896"/>
      <c r="LE1010" s="1896"/>
      <c r="LF1010" s="1896"/>
      <c r="LG1010" s="1896"/>
      <c r="LH1010" s="1896"/>
      <c r="LI1010" s="1896"/>
      <c r="LJ1010" s="1896"/>
      <c r="LK1010" s="1896"/>
      <c r="LL1010" s="1896"/>
      <c r="LM1010" s="1896"/>
      <c r="LN1010" s="1896"/>
      <c r="LO1010" s="1896"/>
      <c r="LP1010" s="1896"/>
      <c r="LQ1010" s="1896"/>
    </row>
    <row r="1011" spans="1:329" s="1815" customFormat="1" ht="15.6" customHeight="1">
      <c r="B1011" s="1815" t="s">
        <v>982</v>
      </c>
      <c r="D1011" s="1923"/>
      <c r="F1011" s="1915">
        <f>'Part VI-Revenues &amp; Expenses'!F242</f>
        <v>14569</v>
      </c>
      <c r="G1011" s="1915"/>
      <c r="I1011" s="1815" t="s">
        <v>1349</v>
      </c>
      <c r="O1011" s="1904" t="s">
        <v>2637</v>
      </c>
      <c r="P1011" s="1926">
        <f>SUM(MP817:MT817)+SUM(MU817:MY817)+SUM(MZ817:ND817)+P894</f>
        <v>72</v>
      </c>
      <c r="Q1011" s="1926">
        <f>SUM(Q1007:Q1010)</f>
        <v>18000</v>
      </c>
      <c r="R1011" s="1925"/>
      <c r="S1011" s="1910"/>
      <c r="T1011" s="1910"/>
      <c r="U1011" s="1910"/>
      <c r="V1011" s="1910"/>
      <c r="W1011" s="1910"/>
      <c r="X1011" s="1995"/>
      <c r="AC1011" s="1995"/>
      <c r="AH1011" s="1995"/>
      <c r="AM1011" s="1995"/>
      <c r="JW1011" s="1896"/>
      <c r="KB1011" s="1896"/>
      <c r="KC1011" s="1896"/>
      <c r="KD1011" s="1896"/>
      <c r="KE1011" s="1896"/>
      <c r="KF1011" s="1896"/>
      <c r="KG1011" s="1896"/>
      <c r="KH1011" s="1896"/>
      <c r="KI1011" s="1896"/>
      <c r="KJ1011" s="1896"/>
      <c r="KK1011" s="1896"/>
      <c r="KL1011" s="1896"/>
      <c r="KM1011" s="1896"/>
      <c r="KN1011" s="1896"/>
      <c r="KO1011" s="1896"/>
      <c r="KP1011" s="1896"/>
      <c r="KQ1011" s="1896"/>
      <c r="KR1011" s="1896"/>
      <c r="KS1011" s="1896"/>
      <c r="KT1011" s="1896"/>
      <c r="KU1011" s="1896"/>
      <c r="KV1011" s="1896"/>
      <c r="KW1011" s="1896"/>
      <c r="KX1011" s="1896"/>
      <c r="KY1011" s="1896"/>
      <c r="KZ1011" s="1896"/>
      <c r="LA1011" s="1896"/>
      <c r="LB1011" s="1896"/>
      <c r="LC1011" s="1896"/>
      <c r="LD1011" s="1896"/>
      <c r="LE1011" s="1896"/>
      <c r="LF1011" s="1896"/>
      <c r="LG1011" s="1896"/>
      <c r="LH1011" s="1896"/>
      <c r="LI1011" s="1896"/>
      <c r="LJ1011" s="1896"/>
      <c r="LK1011" s="1896"/>
      <c r="LL1011" s="1896"/>
      <c r="LM1011" s="1896"/>
      <c r="LN1011" s="1896"/>
      <c r="LO1011" s="1896"/>
      <c r="LP1011" s="1896"/>
      <c r="LQ1011" s="1896"/>
    </row>
    <row r="1012" spans="1:329" s="1815" customFormat="1" ht="15.6" customHeight="1">
      <c r="B1012" s="1815" t="s">
        <v>983</v>
      </c>
      <c r="D1012" s="1923"/>
      <c r="F1012" s="1915">
        <f>'Part VI-Revenues &amp; Expenses'!F243</f>
        <v>5000</v>
      </c>
      <c r="G1012" s="1915"/>
      <c r="I1012" s="1815" t="s">
        <v>6826</v>
      </c>
      <c r="L1012" s="1915">
        <f>'Part VI-Revenues &amp; Expenses'!L243</f>
        <v>42345</v>
      </c>
      <c r="M1012" s="1915"/>
      <c r="R1012" s="1925"/>
      <c r="S1012" s="1910"/>
      <c r="T1012" s="1910"/>
      <c r="U1012" s="1910"/>
      <c r="V1012" s="1910"/>
      <c r="W1012" s="1910"/>
      <c r="X1012" s="1995"/>
      <c r="AC1012" s="1995"/>
      <c r="AH1012" s="1995"/>
      <c r="AM1012" s="1995"/>
      <c r="JW1012" s="1896"/>
      <c r="KB1012" s="1896"/>
      <c r="KC1012" s="1896"/>
      <c r="KD1012" s="1896"/>
      <c r="KE1012" s="1896"/>
      <c r="KF1012" s="1896"/>
      <c r="KG1012" s="1896"/>
      <c r="KH1012" s="1896"/>
      <c r="KI1012" s="1896"/>
      <c r="KJ1012" s="1896"/>
      <c r="KK1012" s="1896"/>
      <c r="KL1012" s="1896"/>
      <c r="KM1012" s="1896"/>
      <c r="KN1012" s="1896"/>
      <c r="KO1012" s="1896"/>
      <c r="KP1012" s="1896"/>
      <c r="KQ1012" s="1896"/>
      <c r="KR1012" s="1896"/>
      <c r="KS1012" s="1896"/>
      <c r="KT1012" s="1896"/>
      <c r="KU1012" s="1896"/>
      <c r="KV1012" s="1896"/>
      <c r="KW1012" s="1896"/>
      <c r="KX1012" s="1896"/>
      <c r="KY1012" s="1896"/>
      <c r="KZ1012" s="1896"/>
      <c r="LA1012" s="1896"/>
      <c r="LB1012" s="1896"/>
      <c r="LC1012" s="1896"/>
      <c r="LD1012" s="1896"/>
      <c r="LE1012" s="1896"/>
      <c r="LF1012" s="1896"/>
      <c r="LG1012" s="1896"/>
      <c r="LH1012" s="1896"/>
      <c r="LI1012" s="1896"/>
      <c r="LJ1012" s="1896"/>
      <c r="LK1012" s="1896"/>
      <c r="LL1012" s="1896"/>
      <c r="LM1012" s="1896"/>
      <c r="LN1012" s="1896"/>
      <c r="LO1012" s="1896"/>
      <c r="LP1012" s="1896"/>
      <c r="LQ1012" s="1896"/>
    </row>
    <row r="1013" spans="1:329" s="1815" customFormat="1" ht="15.6" customHeight="1">
      <c r="B1013" s="1815" t="s">
        <v>848</v>
      </c>
      <c r="D1013" s="1923"/>
      <c r="F1013" s="1915">
        <f>'Part VI-Revenues &amp; Expenses'!F244</f>
        <v>9575</v>
      </c>
      <c r="G1013" s="1915"/>
      <c r="I1013" s="1815" t="s">
        <v>143</v>
      </c>
      <c r="L1013" s="1915">
        <f>'Part VI-Revenues &amp; Expenses'!L244</f>
        <v>21240</v>
      </c>
      <c r="M1013" s="1915"/>
      <c r="R1013" s="1925"/>
      <c r="S1013" s="1910"/>
      <c r="T1013" s="1910"/>
      <c r="U1013" s="1910"/>
      <c r="V1013" s="1910"/>
      <c r="W1013" s="1910"/>
      <c r="X1013" s="1995"/>
      <c r="AC1013" s="1995"/>
      <c r="AH1013" s="1995"/>
      <c r="AM1013" s="1995"/>
      <c r="JW1013" s="1896"/>
      <c r="KB1013" s="1896"/>
      <c r="KC1013" s="1896"/>
      <c r="KD1013" s="1896"/>
      <c r="KE1013" s="1896"/>
      <c r="KF1013" s="1896"/>
      <c r="KG1013" s="1896"/>
      <c r="KH1013" s="1896"/>
      <c r="KI1013" s="1896"/>
      <c r="KJ1013" s="1896"/>
      <c r="KK1013" s="1896"/>
      <c r="KL1013" s="1896"/>
      <c r="KM1013" s="1896"/>
      <c r="KN1013" s="1896"/>
      <c r="KO1013" s="1896"/>
      <c r="KP1013" s="1896"/>
      <c r="KQ1013" s="1896"/>
      <c r="KR1013" s="1896"/>
      <c r="KS1013" s="1896"/>
      <c r="KT1013" s="1896"/>
      <c r="KU1013" s="1896"/>
      <c r="KV1013" s="1896"/>
      <c r="KW1013" s="1896"/>
      <c r="KX1013" s="1896"/>
      <c r="KY1013" s="1896"/>
      <c r="KZ1013" s="1896"/>
      <c r="LA1013" s="1896"/>
      <c r="LB1013" s="1896"/>
      <c r="LC1013" s="1896"/>
      <c r="LD1013" s="1896"/>
      <c r="LE1013" s="1896"/>
      <c r="LF1013" s="1896"/>
      <c r="LG1013" s="1896"/>
      <c r="LH1013" s="1896"/>
      <c r="LI1013" s="1896"/>
      <c r="LJ1013" s="1896"/>
      <c r="LK1013" s="1896"/>
      <c r="LL1013" s="1896"/>
      <c r="LM1013" s="1896"/>
      <c r="LN1013" s="1896"/>
      <c r="LO1013" s="1896"/>
      <c r="LP1013" s="1896"/>
      <c r="LQ1013" s="1896"/>
    </row>
    <row r="1014" spans="1:329" s="1815" customFormat="1" ht="15.6" customHeight="1">
      <c r="B1014" s="449" t="str">
        <f>'Part VI-Revenues &amp; Expenses'!B245</f>
        <v>Other (describe here)</v>
      </c>
      <c r="C1014" s="449"/>
      <c r="D1014" s="449"/>
      <c r="E1014" s="449"/>
      <c r="F1014" s="1915">
        <f>'Part VI-Revenues &amp; Expenses'!F245</f>
        <v>0</v>
      </c>
      <c r="G1014" s="1915"/>
      <c r="I1014" s="2155" t="str">
        <f>'Part VI-Revenues &amp; Expenses'!I245</f>
        <v>Other (describe here)</v>
      </c>
      <c r="J1014" s="2155"/>
      <c r="K1014" s="2155"/>
      <c r="L1014" s="1915">
        <f>'Part VI-Revenues &amp; Expenses'!L245</f>
        <v>0</v>
      </c>
      <c r="M1014" s="1915"/>
      <c r="R1014" s="1925"/>
      <c r="S1014" s="1910"/>
      <c r="T1014" s="1910"/>
      <c r="U1014" s="1910"/>
      <c r="V1014" s="1910"/>
      <c r="W1014" s="1910"/>
      <c r="X1014" s="1995"/>
      <c r="AC1014" s="1995"/>
      <c r="AH1014" s="1995"/>
      <c r="AM1014" s="1995"/>
      <c r="JW1014" s="1896"/>
      <c r="KB1014" s="1896"/>
      <c r="KC1014" s="1896"/>
      <c r="KD1014" s="1896"/>
      <c r="KE1014" s="1896"/>
      <c r="KF1014" s="1896"/>
      <c r="KG1014" s="1896"/>
      <c r="KH1014" s="1896"/>
      <c r="KI1014" s="1896"/>
      <c r="KJ1014" s="1896"/>
      <c r="KK1014" s="1896"/>
      <c r="KL1014" s="1896"/>
      <c r="KM1014" s="1896"/>
      <c r="KN1014" s="1896"/>
      <c r="KO1014" s="1896"/>
      <c r="KP1014" s="1896"/>
      <c r="KQ1014" s="1896"/>
      <c r="KR1014" s="1896"/>
      <c r="KS1014" s="1896"/>
      <c r="KT1014" s="1896"/>
      <c r="KU1014" s="1896"/>
      <c r="KV1014" s="1896"/>
      <c r="KW1014" s="1896"/>
      <c r="KX1014" s="1896"/>
      <c r="KY1014" s="1896"/>
      <c r="KZ1014" s="1896"/>
      <c r="LA1014" s="1896"/>
      <c r="LB1014" s="1896"/>
      <c r="LC1014" s="1896"/>
      <c r="LD1014" s="1896"/>
      <c r="LE1014" s="1896"/>
      <c r="LF1014" s="1896"/>
      <c r="LG1014" s="1896"/>
      <c r="LH1014" s="1896"/>
      <c r="LI1014" s="1896"/>
      <c r="LJ1014" s="1896"/>
      <c r="LK1014" s="1896"/>
      <c r="LL1014" s="1896"/>
      <c r="LM1014" s="1896"/>
      <c r="LN1014" s="1896"/>
      <c r="LO1014" s="1896"/>
      <c r="LP1014" s="1896"/>
      <c r="LQ1014" s="1896"/>
    </row>
    <row r="1015" spans="1:329" s="1815" customFormat="1" ht="15.6" customHeight="1">
      <c r="E1015" s="1948" t="s">
        <v>187</v>
      </c>
      <c r="F1015" s="1915">
        <f>SUM(F1007:G1014)</f>
        <v>82244</v>
      </c>
      <c r="G1015" s="1915"/>
      <c r="K1015" s="1948" t="s">
        <v>187</v>
      </c>
      <c r="L1015" s="1917">
        <f>SUM(L1011:L1014)</f>
        <v>63585</v>
      </c>
      <c r="M1015" s="1917"/>
      <c r="O1015" s="1815" t="s">
        <v>2137</v>
      </c>
      <c r="Q1015" s="1917">
        <f>Q996+Q1002</f>
        <v>342000</v>
      </c>
      <c r="R1015" s="1925"/>
      <c r="S1015" s="1910"/>
      <c r="T1015" s="1910"/>
      <c r="U1015" s="1910"/>
      <c r="V1015" s="1910"/>
      <c r="W1015" s="1910"/>
      <c r="X1015" s="1995"/>
      <c r="AC1015" s="1995"/>
      <c r="AH1015" s="1995"/>
      <c r="AM1015" s="1995"/>
      <c r="JW1015" s="1896"/>
      <c r="KB1015" s="1896"/>
      <c r="KC1015" s="1896"/>
      <c r="KD1015" s="1896"/>
      <c r="KE1015" s="1896"/>
      <c r="KF1015" s="1896"/>
      <c r="KG1015" s="1896"/>
      <c r="KH1015" s="1896"/>
      <c r="KI1015" s="1896"/>
      <c r="KJ1015" s="1896"/>
      <c r="KK1015" s="1896"/>
      <c r="KL1015" s="1896"/>
      <c r="KM1015" s="1896"/>
      <c r="KN1015" s="1896"/>
      <c r="KO1015" s="1896"/>
      <c r="KP1015" s="1896"/>
      <c r="KQ1015" s="1896"/>
      <c r="KR1015" s="1896"/>
      <c r="KS1015" s="1896"/>
      <c r="KT1015" s="1896"/>
      <c r="KU1015" s="1896"/>
      <c r="KV1015" s="1896"/>
      <c r="KW1015" s="1896"/>
      <c r="KX1015" s="1896"/>
      <c r="KY1015" s="1896"/>
      <c r="KZ1015" s="1896"/>
      <c r="LA1015" s="1896"/>
      <c r="LB1015" s="1896"/>
      <c r="LC1015" s="1896"/>
      <c r="LD1015" s="1896"/>
      <c r="LE1015" s="1896"/>
      <c r="LF1015" s="1896"/>
      <c r="LG1015" s="1896"/>
      <c r="LH1015" s="1896"/>
      <c r="LI1015" s="1896"/>
      <c r="LJ1015" s="1896"/>
      <c r="LK1015" s="1896"/>
      <c r="LL1015" s="1896"/>
      <c r="LM1015" s="1896"/>
      <c r="LN1015" s="1896"/>
      <c r="LO1015" s="1896"/>
      <c r="LP1015" s="1896"/>
      <c r="LQ1015" s="1896"/>
    </row>
    <row r="1016" spans="1:329" s="1815" customFormat="1" ht="6" customHeight="1">
      <c r="C1016" s="1948"/>
      <c r="F1016" s="1906"/>
      <c r="G1016" s="1906"/>
      <c r="K1016" s="1906"/>
      <c r="X1016" s="1995"/>
      <c r="AC1016" s="1995"/>
      <c r="AH1016" s="1995"/>
      <c r="AM1016" s="1995"/>
      <c r="JW1016" s="1896"/>
      <c r="KB1016" s="1896"/>
      <c r="KC1016" s="1896"/>
      <c r="KD1016" s="1896"/>
      <c r="KE1016" s="1896"/>
      <c r="KF1016" s="1896"/>
      <c r="KG1016" s="1896"/>
      <c r="KH1016" s="1896"/>
      <c r="KI1016" s="1896"/>
      <c r="KJ1016" s="1896"/>
      <c r="KK1016" s="1896"/>
      <c r="KL1016" s="1896"/>
      <c r="KM1016" s="1896"/>
      <c r="KN1016" s="1896"/>
      <c r="KO1016" s="1896"/>
      <c r="KP1016" s="1896"/>
      <c r="KQ1016" s="1896"/>
      <c r="KR1016" s="1896"/>
      <c r="KS1016" s="1896"/>
      <c r="KT1016" s="1896"/>
      <c r="KU1016" s="1896"/>
      <c r="KV1016" s="1896"/>
      <c r="KW1016" s="1896"/>
      <c r="KX1016" s="1896"/>
      <c r="KY1016" s="1896"/>
      <c r="KZ1016" s="1896"/>
      <c r="LA1016" s="1896"/>
      <c r="LB1016" s="1896"/>
      <c r="LC1016" s="1896"/>
      <c r="LD1016" s="1896"/>
      <c r="LE1016" s="1896"/>
      <c r="LF1016" s="1896"/>
      <c r="LG1016" s="1896"/>
      <c r="LH1016" s="1896"/>
      <c r="LI1016" s="1896"/>
      <c r="LJ1016" s="1896"/>
      <c r="LK1016" s="1896"/>
      <c r="LL1016" s="1896"/>
      <c r="LM1016" s="1896"/>
      <c r="LN1016" s="1896"/>
      <c r="LO1016" s="1896"/>
      <c r="LP1016" s="1896"/>
      <c r="LQ1016" s="1896"/>
    </row>
    <row r="1017" spans="1:329" s="1815" customFormat="1" ht="15.6" customHeight="1">
      <c r="C1017" s="1948"/>
      <c r="F1017" s="1906"/>
      <c r="G1017" s="1906"/>
      <c r="K1017" s="1906"/>
      <c r="R1017" s="1917"/>
      <c r="X1017" s="1995"/>
      <c r="AC1017" s="1995"/>
      <c r="AH1017" s="1995"/>
      <c r="AM1017" s="1995"/>
      <c r="JW1017" s="1896"/>
      <c r="KB1017" s="1896"/>
      <c r="KC1017" s="1896"/>
      <c r="KD1017" s="1896"/>
      <c r="KE1017" s="1896"/>
      <c r="KF1017" s="1896"/>
      <c r="KG1017" s="1896"/>
      <c r="KH1017" s="1896"/>
      <c r="KI1017" s="1896"/>
      <c r="KJ1017" s="1896"/>
      <c r="KK1017" s="1896"/>
      <c r="KL1017" s="1896"/>
      <c r="KM1017" s="1896"/>
      <c r="KN1017" s="1896"/>
      <c r="KO1017" s="1896"/>
      <c r="KP1017" s="1896"/>
      <c r="KQ1017" s="1896"/>
      <c r="KR1017" s="1896"/>
      <c r="KS1017" s="1896"/>
      <c r="KT1017" s="1896"/>
      <c r="KU1017" s="1896"/>
      <c r="KV1017" s="1896"/>
      <c r="KW1017" s="1896"/>
      <c r="KX1017" s="1896"/>
      <c r="KY1017" s="1896"/>
      <c r="KZ1017" s="1896"/>
      <c r="LA1017" s="1896"/>
      <c r="LB1017" s="1896"/>
      <c r="LC1017" s="1896"/>
      <c r="LD1017" s="1896"/>
      <c r="LE1017" s="1896"/>
      <c r="LF1017" s="1896"/>
      <c r="LG1017" s="1896"/>
      <c r="LH1017" s="1896"/>
      <c r="LI1017" s="1896"/>
      <c r="LJ1017" s="1896"/>
      <c r="LK1017" s="1896"/>
      <c r="LL1017" s="1896"/>
      <c r="LM1017" s="1896"/>
      <c r="LN1017" s="1896"/>
      <c r="LO1017" s="1896"/>
      <c r="LP1017" s="1896"/>
      <c r="LQ1017" s="1896"/>
    </row>
    <row r="1018" spans="1:329" s="1815" customFormat="1" ht="15" customHeight="1">
      <c r="C1018" s="1948"/>
      <c r="F1018" s="1906"/>
      <c r="G1018" s="1906"/>
      <c r="K1018" s="1906"/>
      <c r="Q1018" s="1917"/>
      <c r="R1018" s="1917"/>
      <c r="X1018" s="1995"/>
      <c r="AC1018" s="1995"/>
      <c r="AH1018" s="1995"/>
      <c r="AM1018" s="1995"/>
      <c r="JW1018" s="1896"/>
      <c r="KB1018" s="1896"/>
      <c r="KC1018" s="1896"/>
      <c r="KD1018" s="1896"/>
      <c r="KE1018" s="1896"/>
      <c r="KF1018" s="1896"/>
      <c r="KG1018" s="1896"/>
      <c r="KH1018" s="1896"/>
      <c r="KI1018" s="1896"/>
      <c r="KJ1018" s="1896"/>
      <c r="KK1018" s="1896"/>
      <c r="KL1018" s="1896"/>
      <c r="KM1018" s="1896"/>
      <c r="KN1018" s="1896"/>
      <c r="KO1018" s="1896"/>
      <c r="KP1018" s="1896"/>
      <c r="KQ1018" s="1896"/>
      <c r="KR1018" s="1896"/>
      <c r="KS1018" s="1896"/>
      <c r="KT1018" s="1896"/>
      <c r="KU1018" s="1896"/>
      <c r="KV1018" s="1896"/>
      <c r="KW1018" s="1896"/>
      <c r="KX1018" s="1896"/>
      <c r="KY1018" s="1896"/>
      <c r="KZ1018" s="1896"/>
      <c r="LA1018" s="1896"/>
      <c r="LB1018" s="1896"/>
      <c r="LC1018" s="1896"/>
      <c r="LD1018" s="1896"/>
      <c r="LE1018" s="1896"/>
      <c r="LF1018" s="1896"/>
      <c r="LG1018" s="1896"/>
      <c r="LH1018" s="1896"/>
      <c r="LI1018" s="1896"/>
      <c r="LJ1018" s="1896"/>
      <c r="LK1018" s="1896"/>
      <c r="LL1018" s="1896"/>
      <c r="LM1018" s="1896"/>
      <c r="LN1018" s="1896"/>
      <c r="LO1018" s="1896"/>
      <c r="LP1018" s="1896"/>
      <c r="LQ1018" s="1896"/>
    </row>
    <row r="1019" spans="1:329" s="1815" customFormat="1" ht="15" customHeight="1">
      <c r="A1019" s="1995" t="s">
        <v>1750</v>
      </c>
      <c r="B1019" s="1815" t="s">
        <v>4421</v>
      </c>
      <c r="C1019" s="1948"/>
      <c r="H1019" s="1906"/>
      <c r="I1019" s="1927" t="s">
        <v>4422</v>
      </c>
      <c r="K1019" s="1917">
        <f>'Part VI-Revenues &amp; Expenses'!K250</f>
        <v>0</v>
      </c>
      <c r="L1019" s="1917"/>
      <c r="M1019" s="1922" t="s">
        <v>4478</v>
      </c>
      <c r="N1019" s="1916">
        <f>'Part VI-Revenues &amp; Expenses'!N250</f>
        <v>0</v>
      </c>
      <c r="O1019" s="1815" t="s">
        <v>4424</v>
      </c>
      <c r="Q1019" s="1916">
        <f>K1019*N1019</f>
        <v>0</v>
      </c>
      <c r="R1019" s="1917"/>
      <c r="S1019" s="1910"/>
      <c r="T1019" s="1910"/>
      <c r="U1019" s="1910"/>
      <c r="V1019" s="1910"/>
      <c r="W1019" s="1910"/>
      <c r="X1019" s="1995"/>
      <c r="AC1019" s="1995"/>
      <c r="AH1019" s="1995"/>
      <c r="AM1019" s="1995"/>
      <c r="JW1019" s="1896"/>
      <c r="KB1019" s="1896"/>
      <c r="KC1019" s="1896"/>
      <c r="KD1019" s="1896"/>
      <c r="KE1019" s="1896"/>
      <c r="KF1019" s="1896"/>
      <c r="KG1019" s="1896"/>
      <c r="KH1019" s="1896"/>
      <c r="KI1019" s="1896"/>
      <c r="KJ1019" s="1896"/>
      <c r="KK1019" s="1896"/>
      <c r="KL1019" s="1896"/>
      <c r="KM1019" s="1896"/>
      <c r="KN1019" s="1896"/>
      <c r="KO1019" s="1896"/>
      <c r="KP1019" s="1896"/>
      <c r="KQ1019" s="1896"/>
      <c r="KR1019" s="1896"/>
      <c r="KS1019" s="1896"/>
      <c r="KT1019" s="1896"/>
      <c r="KU1019" s="1896"/>
      <c r="KV1019" s="1896"/>
      <c r="KW1019" s="1896"/>
      <c r="KX1019" s="1896"/>
      <c r="KY1019" s="1896"/>
      <c r="KZ1019" s="1896"/>
      <c r="LA1019" s="1896"/>
      <c r="LB1019" s="1896"/>
      <c r="LC1019" s="1896"/>
      <c r="LD1019" s="1896"/>
      <c r="LE1019" s="1896"/>
      <c r="LF1019" s="1896"/>
      <c r="LG1019" s="1896"/>
      <c r="LH1019" s="1896"/>
      <c r="LI1019" s="1896"/>
      <c r="LJ1019" s="1896"/>
      <c r="LK1019" s="1896"/>
      <c r="LL1019" s="1896"/>
      <c r="LM1019" s="1896"/>
      <c r="LN1019" s="1896"/>
      <c r="LO1019" s="1896"/>
      <c r="LP1019" s="1896"/>
      <c r="LQ1019" s="1896"/>
    </row>
    <row r="1020" spans="1:329" s="1815" customFormat="1" ht="6" customHeight="1">
      <c r="C1020" s="1948"/>
      <c r="F1020" s="1906"/>
      <c r="G1020" s="1906"/>
      <c r="K1020" s="1906"/>
      <c r="Q1020" s="1917"/>
      <c r="R1020" s="1917"/>
      <c r="X1020" s="1995"/>
      <c r="AC1020" s="1995"/>
      <c r="AH1020" s="1995"/>
      <c r="AM1020" s="1995"/>
      <c r="JW1020" s="1896"/>
      <c r="KB1020" s="1896"/>
      <c r="KC1020" s="1896"/>
      <c r="KD1020" s="1896"/>
      <c r="KE1020" s="1896"/>
      <c r="KF1020" s="1896"/>
      <c r="KG1020" s="1896"/>
      <c r="KH1020" s="1896"/>
      <c r="KI1020" s="1896"/>
      <c r="KJ1020" s="1896"/>
      <c r="KK1020" s="1896"/>
      <c r="KL1020" s="1896"/>
      <c r="KM1020" s="1896"/>
      <c r="KN1020" s="1896"/>
      <c r="KO1020" s="1896"/>
      <c r="KP1020" s="1896"/>
      <c r="KQ1020" s="1896"/>
      <c r="KR1020" s="1896"/>
      <c r="KS1020" s="1896"/>
      <c r="KT1020" s="1896"/>
      <c r="KU1020" s="1896"/>
      <c r="KV1020" s="1896"/>
      <c r="KW1020" s="1896"/>
      <c r="KX1020" s="1896"/>
      <c r="KY1020" s="1896"/>
      <c r="KZ1020" s="1896"/>
      <c r="LA1020" s="1896"/>
      <c r="LB1020" s="1896"/>
      <c r="LC1020" s="1896"/>
      <c r="LD1020" s="1896"/>
      <c r="LE1020" s="1896"/>
      <c r="LF1020" s="1896"/>
      <c r="LG1020" s="1896"/>
      <c r="LH1020" s="1896"/>
      <c r="LI1020" s="1896"/>
      <c r="LJ1020" s="1896"/>
      <c r="LK1020" s="1896"/>
      <c r="LL1020" s="1896"/>
      <c r="LM1020" s="1896"/>
      <c r="LN1020" s="1896"/>
      <c r="LO1020" s="1896"/>
      <c r="LP1020" s="1896"/>
      <c r="LQ1020" s="1896"/>
    </row>
    <row r="1021" spans="1:329" s="1815" customFormat="1" ht="15" customHeight="1">
      <c r="B1021" s="1815" t="s">
        <v>4479</v>
      </c>
      <c r="C1021" s="1948"/>
      <c r="F1021" s="1906"/>
      <c r="G1021" s="1906"/>
      <c r="J1021" s="1896" t="str">
        <f>'Part VI-Revenues &amp; Expenses'!J252</f>
        <v>&lt;&lt;Select&gt;&gt;</v>
      </c>
      <c r="K1021" s="1927" t="s">
        <v>4481</v>
      </c>
      <c r="L1021" s="1896" t="str">
        <f>'Part VI-Revenues &amp; Expenses'!L252</f>
        <v>&lt;&lt;Select&gt;&gt;</v>
      </c>
      <c r="M1021" s="1896" t="s">
        <v>4482</v>
      </c>
      <c r="N1021" s="1916">
        <f>'Part VI-Revenues &amp; Expenses'!N252</f>
        <v>0</v>
      </c>
      <c r="O1021" s="1815" t="s">
        <v>4480</v>
      </c>
      <c r="Q1021" s="1916">
        <f>'Part VI-Revenues &amp; Expenses'!Q252</f>
        <v>0</v>
      </c>
      <c r="R1021" s="1917"/>
      <c r="S1021" s="1910"/>
      <c r="T1021" s="1910"/>
      <c r="U1021" s="1910"/>
      <c r="V1021" s="1910"/>
      <c r="W1021" s="1910"/>
      <c r="X1021" s="1995"/>
      <c r="AC1021" s="1995"/>
      <c r="AH1021" s="1995"/>
      <c r="AM1021" s="1995"/>
      <c r="JW1021" s="1896"/>
      <c r="KB1021" s="1896"/>
      <c r="KC1021" s="1896"/>
      <c r="KD1021" s="1896"/>
      <c r="KE1021" s="1896"/>
      <c r="KF1021" s="1896"/>
      <c r="KG1021" s="1896"/>
      <c r="KH1021" s="1896"/>
      <c r="KI1021" s="1896"/>
      <c r="KJ1021" s="1896"/>
      <c r="KK1021" s="1896"/>
      <c r="KL1021" s="1896"/>
      <c r="KM1021" s="1896"/>
      <c r="KN1021" s="1896"/>
      <c r="KO1021" s="1896"/>
      <c r="KP1021" s="1896"/>
      <c r="KQ1021" s="1896"/>
      <c r="KR1021" s="1896"/>
      <c r="KS1021" s="1896"/>
      <c r="KT1021" s="1896"/>
      <c r="KU1021" s="1896"/>
      <c r="KV1021" s="1896"/>
      <c r="KW1021" s="1896"/>
      <c r="KX1021" s="1896"/>
      <c r="KY1021" s="1896"/>
      <c r="KZ1021" s="1896"/>
      <c r="LA1021" s="1896"/>
      <c r="LB1021" s="1896"/>
      <c r="LC1021" s="1896"/>
      <c r="LD1021" s="1896"/>
      <c r="LE1021" s="1896"/>
      <c r="LF1021" s="1896"/>
      <c r="LG1021" s="1896"/>
      <c r="LH1021" s="1896"/>
      <c r="LI1021" s="1896"/>
      <c r="LJ1021" s="1896"/>
      <c r="LK1021" s="1896"/>
      <c r="LL1021" s="1896"/>
      <c r="LM1021" s="1896"/>
      <c r="LN1021" s="1896"/>
      <c r="LO1021" s="1896"/>
      <c r="LP1021" s="1896"/>
      <c r="LQ1021" s="1896"/>
    </row>
    <row r="1022" spans="1:329" s="1815" customFormat="1" ht="39" customHeight="1">
      <c r="C1022" s="1948"/>
      <c r="F1022" s="1906"/>
      <c r="G1022" s="1906"/>
      <c r="K1022" s="1906"/>
      <c r="Q1022" s="1917"/>
      <c r="R1022" s="1917"/>
      <c r="X1022" s="1995"/>
      <c r="AC1022" s="1995"/>
      <c r="AH1022" s="1995"/>
      <c r="AM1022" s="1995"/>
      <c r="JW1022" s="1896"/>
      <c r="KB1022" s="1896"/>
      <c r="KC1022" s="1896"/>
      <c r="KD1022" s="1896"/>
      <c r="KE1022" s="1896"/>
      <c r="KF1022" s="1896"/>
      <c r="KG1022" s="1896"/>
      <c r="KH1022" s="1896"/>
      <c r="KI1022" s="1896"/>
      <c r="KJ1022" s="1896"/>
      <c r="KK1022" s="1896"/>
      <c r="KL1022" s="1896"/>
      <c r="KM1022" s="1896"/>
      <c r="KN1022" s="1896"/>
      <c r="KO1022" s="1896"/>
      <c r="KP1022" s="1896"/>
      <c r="KQ1022" s="1896"/>
      <c r="KR1022" s="1896"/>
      <c r="KS1022" s="1896"/>
      <c r="KT1022" s="1896"/>
      <c r="KU1022" s="1896"/>
      <c r="KV1022" s="1896"/>
      <c r="KW1022" s="1896"/>
      <c r="KX1022" s="1896"/>
      <c r="KY1022" s="1896"/>
      <c r="KZ1022" s="1896"/>
      <c r="LA1022" s="1896"/>
      <c r="LB1022" s="1896"/>
      <c r="LC1022" s="1896"/>
      <c r="LD1022" s="1896"/>
      <c r="LE1022" s="1896"/>
      <c r="LF1022" s="1896"/>
      <c r="LG1022" s="1896"/>
      <c r="LH1022" s="1896"/>
      <c r="LI1022" s="1896"/>
      <c r="LJ1022" s="1896"/>
      <c r="LK1022" s="1896"/>
      <c r="LL1022" s="1896"/>
      <c r="LM1022" s="1896"/>
      <c r="LN1022" s="1896"/>
      <c r="LO1022" s="1896"/>
      <c r="LP1022" s="1896"/>
      <c r="LQ1022" s="1896"/>
    </row>
    <row r="1023" spans="1:329" ht="12" customHeight="1">
      <c r="A1023" s="1995" t="s">
        <v>3789</v>
      </c>
      <c r="B1023" s="1995" t="s">
        <v>555</v>
      </c>
      <c r="N1023" s="1995" t="s">
        <v>4420</v>
      </c>
      <c r="JW1023" s="1874"/>
      <c r="KB1023" s="1874"/>
      <c r="KC1023" s="1874"/>
      <c r="KD1023" s="1874"/>
      <c r="KE1023" s="1874"/>
      <c r="KF1023" s="1874"/>
      <c r="KG1023" s="1874"/>
      <c r="KH1023" s="1874"/>
      <c r="KI1023" s="1874"/>
      <c r="KJ1023" s="1874"/>
      <c r="KK1023" s="1874"/>
      <c r="KL1023" s="1874"/>
      <c r="KM1023" s="1874"/>
      <c r="KN1023" s="1874"/>
      <c r="KO1023" s="1874"/>
      <c r="KP1023" s="1874"/>
      <c r="KQ1023" s="1874"/>
      <c r="KR1023" s="1874"/>
      <c r="KS1023" s="1874"/>
      <c r="KT1023" s="1874"/>
      <c r="KU1023" s="1874"/>
      <c r="KV1023" s="1874"/>
      <c r="KW1023" s="1874"/>
      <c r="KX1023" s="1874"/>
      <c r="KY1023" s="1874"/>
      <c r="KZ1023" s="1874"/>
      <c r="LA1023" s="1874"/>
      <c r="LB1023" s="1874"/>
      <c r="LC1023" s="1874"/>
      <c r="LD1023" s="1874"/>
      <c r="LE1023" s="1874"/>
      <c r="LF1023" s="1874"/>
      <c r="LG1023" s="1874"/>
      <c r="LH1023" s="1874"/>
      <c r="LI1023" s="1874"/>
      <c r="LJ1023" s="1874"/>
      <c r="LK1023" s="1874"/>
      <c r="LL1023" s="1874"/>
      <c r="LM1023" s="1874"/>
      <c r="LN1023" s="1874"/>
      <c r="LO1023" s="1874"/>
      <c r="LP1023" s="1874"/>
      <c r="LQ1023" s="1874"/>
    </row>
    <row r="1024" spans="1:329" ht="116.4" customHeight="1">
      <c r="A1024" s="1887" t="str">
        <f>'Part VI-Revenues &amp; Expenses'!A255</f>
        <v xml:space="preserve">*To all Applicants: Real estate taxes shown in Operating Budget should be prior to any tax abatement.  In addition to your other comments, please provide methodology for determining real estate tax calculation. 
**To all Applicants: in addition to your other comments, please provide methodology for insurance calculation. 
Property Taxes were calculated as follows:  Property Tax Eagle estimated the FMV of  this property at $2,613,900.   Using the income approach to value prescribed by DOR requires application of a factor of 40% Assessment Ratio to FMV to developed Assessed Value (AV) of $1,045,560.  The estimated millage of .0405 is then applied to AV  to derive an estimated property tax liability of $42,345 for year-one.  See documentation from our property tax advisor in TAB 01.
Property insurance is based on $295/unit or $21,240 annually per our insurance agent.  See documentation in TAB 01.
Included above is the estimated annual budget for our  Health Service Coordinator for our Healthy Housing Initiative, Healthy Way.  This person will make $12 an hour x 1,040 hours. The annual  cost of the healthy eating intiative and community garden is $2,100. See TAB 29 for details on this annual amount.
Harper Woods II will have 1 residential building. This building will be 3 stories.  
</v>
      </c>
      <c r="B1024" s="1887"/>
      <c r="C1024" s="1887"/>
      <c r="D1024" s="1887"/>
      <c r="E1024" s="1887"/>
      <c r="F1024" s="1887"/>
      <c r="G1024" s="1887"/>
      <c r="H1024" s="1887"/>
      <c r="I1024" s="1887"/>
      <c r="J1024" s="1887"/>
      <c r="K1024" s="1887"/>
      <c r="L1024" s="1887"/>
      <c r="M1024" s="1887"/>
      <c r="N1024" s="1887">
        <f>'Part VI-Revenues &amp; Expenses'!N255</f>
        <v>0</v>
      </c>
      <c r="O1024" s="1887"/>
      <c r="P1024" s="1887"/>
      <c r="Q1024" s="1887"/>
      <c r="R1024" s="1973" t="s">
        <v>3788</v>
      </c>
      <c r="S1024" s="1973"/>
      <c r="T1024" s="1973"/>
      <c r="U1024" s="1973"/>
      <c r="JW1024" s="1874"/>
      <c r="KB1024" s="1874"/>
      <c r="KC1024" s="1874"/>
      <c r="KD1024" s="1874"/>
      <c r="KE1024" s="1874"/>
      <c r="KF1024" s="1874"/>
      <c r="KG1024" s="1874"/>
      <c r="KH1024" s="1874"/>
      <c r="KI1024" s="1874"/>
      <c r="KJ1024" s="1874"/>
      <c r="KK1024" s="1874"/>
      <c r="KL1024" s="1874"/>
      <c r="KM1024" s="1874"/>
      <c r="KN1024" s="1874"/>
      <c r="KO1024" s="1874"/>
      <c r="KP1024" s="1874"/>
      <c r="KQ1024" s="1874"/>
      <c r="KR1024" s="1874"/>
      <c r="KS1024" s="1874"/>
      <c r="KT1024" s="1874"/>
      <c r="KU1024" s="1874"/>
      <c r="KV1024" s="1874"/>
      <c r="KW1024" s="1874"/>
      <c r="KX1024" s="1874"/>
      <c r="KY1024" s="1874"/>
      <c r="KZ1024" s="1874"/>
      <c r="LA1024" s="1874"/>
      <c r="LB1024" s="1874"/>
      <c r="LC1024" s="1874"/>
      <c r="LD1024" s="1874"/>
      <c r="LE1024" s="1874"/>
      <c r="LF1024" s="1874"/>
      <c r="LG1024" s="1874"/>
      <c r="LH1024" s="1874"/>
      <c r="LI1024" s="1874"/>
      <c r="LJ1024" s="1874"/>
      <c r="LK1024" s="1874"/>
      <c r="LL1024" s="1874"/>
      <c r="LM1024" s="1874"/>
      <c r="LN1024" s="1874"/>
      <c r="LO1024" s="1874"/>
      <c r="LP1024" s="1874"/>
      <c r="LQ1024" s="1874"/>
    </row>
    <row r="1029" spans="1:16" ht="14.1" customHeight="1">
      <c r="A1029" s="1815" t="str">
        <f>CONCATENATE("PART SEVEN - OPERATING PRO FORMA","  -  ",'Part I-Project Information'!$O$6," ",'Part I-Project Information'!$F$34,", ",'Part I-Project Information'!F1066,", ",'Part I-Project Information'!J1067," County")</f>
        <v>PART SEVEN - OPERATING PRO FORMA  -  2020-074 Harper Woods II, ,  County</v>
      </c>
      <c r="L1029" s="1815"/>
      <c r="M1029" s="1815"/>
      <c r="N1029" s="1815" t="str">
        <f>A1029</f>
        <v>PART SEVEN - OPERATING PRO FORMA  -  2020-074 Harper Woods II, ,  County</v>
      </c>
      <c r="O1029" s="1815"/>
      <c r="P1029" s="1815"/>
    </row>
    <row r="1030" spans="1:16" ht="13.5" customHeight="1">
      <c r="N1030" s="1995" t="s">
        <v>1799</v>
      </c>
    </row>
    <row r="1031" spans="1:16" ht="13.5" customHeight="1">
      <c r="A1031" s="1995" t="s">
        <v>88</v>
      </c>
      <c r="C1031" s="2120" t="str">
        <f>'Part I-Project Information'!$B$6</f>
        <v>May 26, 2020 Version</v>
      </c>
      <c r="D1031" s="1995" t="s">
        <v>78</v>
      </c>
      <c r="E1031" s="1896"/>
      <c r="F1031" s="1820" t="s">
        <v>6870</v>
      </c>
      <c r="N1031" s="1995" t="str">
        <f>A1031</f>
        <v>I.  OPERATING ASSUMPTIONS</v>
      </c>
    </row>
    <row r="1032" spans="1:16" ht="2.4" customHeight="1">
      <c r="C1032" s="2120"/>
    </row>
    <row r="1033" spans="1:16" ht="13.5" customHeight="1">
      <c r="A1033" s="1995" t="s">
        <v>2138</v>
      </c>
      <c r="B1033" s="1928">
        <v>0.02</v>
      </c>
      <c r="C1033" s="2120"/>
      <c r="D1033" s="1910" t="s">
        <v>6827</v>
      </c>
      <c r="E1033" s="1910"/>
      <c r="F1033" s="1910"/>
      <c r="G1033" s="2221">
        <f>'Part VII-Pro Forma'!G5</f>
        <v>5400</v>
      </c>
      <c r="H1033" s="1913" t="s">
        <v>1860</v>
      </c>
      <c r="K1033" s="1929">
        <f>'Part VII-Pro Forma'!K5</f>
        <v>-1.1193301283777634E-2</v>
      </c>
      <c r="N1033" s="1910"/>
      <c r="O1033" s="1910"/>
    </row>
    <row r="1034" spans="1:16">
      <c r="A1034" s="1995" t="s">
        <v>2139</v>
      </c>
      <c r="B1034" s="1928">
        <v>0.03</v>
      </c>
      <c r="C1034" s="2120"/>
      <c r="D1034" s="1910"/>
      <c r="E1034" s="1910"/>
      <c r="F1034" s="1910"/>
      <c r="G1034" s="2121">
        <f>'Part VII-Pro Forma'!G6</f>
        <v>0</v>
      </c>
      <c r="N1034" s="1910"/>
      <c r="O1034" s="1910"/>
    </row>
    <row r="1035" spans="1:16">
      <c r="A1035" s="1995" t="s">
        <v>2141</v>
      </c>
      <c r="B1035" s="1928">
        <v>0.03</v>
      </c>
      <c r="C1035" s="2120"/>
      <c r="D1035" s="1815" t="s">
        <v>265</v>
      </c>
      <c r="G1035" s="1930"/>
      <c r="H1035" s="1913" t="s">
        <v>2314</v>
      </c>
      <c r="K1035" s="1929">
        <f>'Part VII-Pro Forma'!K7</f>
        <v>8.0001011675444031E-2</v>
      </c>
      <c r="N1035" s="1910"/>
      <c r="O1035" s="1910"/>
    </row>
    <row r="1036" spans="1:16" ht="13.35" customHeight="1">
      <c r="A1036" s="1995" t="s">
        <v>2140</v>
      </c>
      <c r="B1036" s="1928">
        <f>'Part VII-Pro Forma'!B8</f>
        <v>7.0000000000000007E-2</v>
      </c>
      <c r="C1036" s="1821" t="str">
        <f>IF(B1036&lt;0.07, "Must be &gt;= 7%!","")</f>
        <v/>
      </c>
      <c r="D1036" s="1815" t="s">
        <v>2443</v>
      </c>
      <c r="G1036" s="2222" t="str">
        <f>'Part VII-Pro Forma'!G8</f>
        <v>No</v>
      </c>
      <c r="H1036" s="1931" t="s">
        <v>1416</v>
      </c>
      <c r="K1036" s="2223">
        <f>'Part VII-Pro Forma'!K8</f>
        <v>0</v>
      </c>
      <c r="N1036" s="1910"/>
      <c r="O1036" s="1910"/>
    </row>
    <row r="1037" spans="1:16">
      <c r="A1037" s="1995" t="s">
        <v>1390</v>
      </c>
      <c r="B1037" s="1928">
        <v>0.02</v>
      </c>
      <c r="D1037" s="1815" t="s">
        <v>1676</v>
      </c>
      <c r="G1037" s="2222" t="str">
        <f>'Part VII-Pro Forma'!G9</f>
        <v>Yes</v>
      </c>
      <c r="H1037" s="1931" t="s">
        <v>2296</v>
      </c>
      <c r="K1037" s="2224">
        <f>'Part VII-Pro Forma'!K9</f>
        <v>0.08</v>
      </c>
      <c r="N1037" s="1910"/>
      <c r="O1037" s="1910"/>
    </row>
    <row r="1038" spans="1:16" ht="9" customHeight="1"/>
    <row r="1039" spans="1:16">
      <c r="A1039" s="1995" t="s">
        <v>89</v>
      </c>
      <c r="D1039" s="1922"/>
      <c r="N1039" s="1995" t="str">
        <f>A1039</f>
        <v>II.  OPERATING PRO FORMA</v>
      </c>
    </row>
    <row r="1040" spans="1:16" ht="2.4" customHeight="1"/>
    <row r="1041" spans="1:19" ht="14.4" customHeight="1">
      <c r="A1041" s="1995" t="s">
        <v>2416</v>
      </c>
      <c r="B1041" s="1995">
        <v>1</v>
      </c>
      <c r="C1041" s="1995">
        <f t="shared" ref="C1041:K1041" si="393">B1041+1</f>
        <v>2</v>
      </c>
      <c r="D1041" s="1995">
        <f t="shared" si="393"/>
        <v>3</v>
      </c>
      <c r="E1041" s="1995">
        <f t="shared" si="393"/>
        <v>4</v>
      </c>
      <c r="F1041" s="1995">
        <f t="shared" si="393"/>
        <v>5</v>
      </c>
      <c r="G1041" s="1995">
        <f t="shared" si="393"/>
        <v>6</v>
      </c>
      <c r="H1041" s="1995">
        <f t="shared" si="393"/>
        <v>7</v>
      </c>
      <c r="I1041" s="1995">
        <f t="shared" si="393"/>
        <v>8</v>
      </c>
      <c r="J1041" s="1995">
        <f t="shared" si="393"/>
        <v>9</v>
      </c>
      <c r="K1041" s="1995">
        <f t="shared" si="393"/>
        <v>10</v>
      </c>
      <c r="N1041" s="1995" t="s">
        <v>2556</v>
      </c>
    </row>
    <row r="1042" spans="1:19" ht="13.35" customHeight="1">
      <c r="A1042" s="1995" t="s">
        <v>2342</v>
      </c>
      <c r="B1042" s="2122">
        <f>'Part VII-Pro Forma'!B14</f>
        <v>508572</v>
      </c>
      <c r="C1042" s="2122">
        <f>'Part VII-Pro Forma'!C14</f>
        <v>518743.44</v>
      </c>
      <c r="D1042" s="2122">
        <f>'Part VII-Pro Forma'!D14</f>
        <v>529118.3088</v>
      </c>
      <c r="E1042" s="2122">
        <f>'Part VII-Pro Forma'!E14</f>
        <v>539700.67497599998</v>
      </c>
      <c r="F1042" s="2122">
        <f>'Part VII-Pro Forma'!F14</f>
        <v>550494.68847552</v>
      </c>
      <c r="G1042" s="2122">
        <f>'Part VII-Pro Forma'!G14</f>
        <v>561504.58224503044</v>
      </c>
      <c r="H1042" s="2122">
        <f>'Part VII-Pro Forma'!H14</f>
        <v>572734.67388993106</v>
      </c>
      <c r="I1042" s="2122">
        <f>'Part VII-Pro Forma'!I14</f>
        <v>584189.36736772954</v>
      </c>
      <c r="J1042" s="2122">
        <f>'Part VII-Pro Forma'!J14</f>
        <v>595873.15471508424</v>
      </c>
      <c r="K1042" s="2122">
        <f>'Part VII-Pro Forma'!K14</f>
        <v>607790.61780938588</v>
      </c>
      <c r="N1042" s="1910"/>
      <c r="O1042" s="1910"/>
      <c r="S1042" s="1918" t="s">
        <v>3835</v>
      </c>
    </row>
    <row r="1043" spans="1:19" ht="13.35" customHeight="1">
      <c r="A1043" s="1995" t="s">
        <v>994</v>
      </c>
      <c r="B1043" s="2122">
        <f>'Part VII-Pro Forma'!B15</f>
        <v>10171.44</v>
      </c>
      <c r="C1043" s="2122">
        <f>'Part VII-Pro Forma'!C15</f>
        <v>10374.8688</v>
      </c>
      <c r="D1043" s="2122">
        <f>'Part VII-Pro Forma'!D15</f>
        <v>10582.366176</v>
      </c>
      <c r="E1043" s="2122">
        <f>'Part VII-Pro Forma'!E15</f>
        <v>10794.013499520001</v>
      </c>
      <c r="F1043" s="2122">
        <f>'Part VII-Pro Forma'!F15</f>
        <v>11009.8937695104</v>
      </c>
      <c r="G1043" s="2122">
        <f>'Part VII-Pro Forma'!G15</f>
        <v>11230.091644900609</v>
      </c>
      <c r="H1043" s="2122">
        <f>'Part VII-Pro Forma'!H15</f>
        <v>11454.693477798621</v>
      </c>
      <c r="I1043" s="2122">
        <f>'Part VII-Pro Forma'!I15</f>
        <v>11683.787347354591</v>
      </c>
      <c r="J1043" s="2122">
        <f>'Part VII-Pro Forma'!J15</f>
        <v>11917.463094301684</v>
      </c>
      <c r="K1043" s="2122">
        <f>'Part VII-Pro Forma'!K15</f>
        <v>12155.812356187718</v>
      </c>
      <c r="N1043" s="1910"/>
      <c r="O1043" s="1910"/>
      <c r="S1043" s="1918"/>
    </row>
    <row r="1044" spans="1:19" ht="13.35" customHeight="1">
      <c r="A1044" s="1995" t="s">
        <v>2343</v>
      </c>
      <c r="B1044" s="2122">
        <f>'Part VII-Pro Forma'!B16</f>
        <v>-36312.040800000002</v>
      </c>
      <c r="C1044" s="2122">
        <f>'Part VII-Pro Forma'!C16</f>
        <v>-37038.281616</v>
      </c>
      <c r="D1044" s="2122">
        <f>'Part VII-Pro Forma'!D16</f>
        <v>-37779.047248319999</v>
      </c>
      <c r="E1044" s="2122">
        <f>'Part VII-Pro Forma'!E16</f>
        <v>-38534.6281932864</v>
      </c>
      <c r="F1044" s="2122">
        <f>'Part VII-Pro Forma'!F16</f>
        <v>-39305.320757152134</v>
      </c>
      <c r="G1044" s="2122">
        <f>'Part VII-Pro Forma'!G16</f>
        <v>-40091.427172295174</v>
      </c>
      <c r="H1044" s="2122">
        <f>'Part VII-Pro Forma'!H16</f>
        <v>-40893.255715741077</v>
      </c>
      <c r="I1044" s="2122">
        <f>'Part VII-Pro Forma'!I16</f>
        <v>-41711.120830055894</v>
      </c>
      <c r="J1044" s="2122">
        <f>'Part VII-Pro Forma'!J16</f>
        <v>-42545.343246657016</v>
      </c>
      <c r="K1044" s="2122">
        <f>'Part VII-Pro Forma'!K16</f>
        <v>-43396.250111590154</v>
      </c>
      <c r="N1044" s="1910"/>
      <c r="O1044" s="1910"/>
      <c r="Q1044" s="1918" t="s">
        <v>3658</v>
      </c>
      <c r="R1044" s="1918" t="s">
        <v>3834</v>
      </c>
      <c r="S1044" s="1918"/>
    </row>
    <row r="1045" spans="1:19" ht="13.35" customHeight="1">
      <c r="A1045" s="1995" t="s">
        <v>50</v>
      </c>
      <c r="B1045" s="2122">
        <f>'Part VII-Pro Forma'!B17</f>
        <v>0</v>
      </c>
      <c r="C1045" s="2122">
        <f>'Part VII-Pro Forma'!C17</f>
        <v>0</v>
      </c>
      <c r="D1045" s="2122">
        <f>'Part VII-Pro Forma'!D17</f>
        <v>0</v>
      </c>
      <c r="E1045" s="2122">
        <f>'Part VII-Pro Forma'!E17</f>
        <v>0</v>
      </c>
      <c r="F1045" s="2122">
        <f>'Part VII-Pro Forma'!F17</f>
        <v>0</v>
      </c>
      <c r="G1045" s="2122">
        <f>'Part VII-Pro Forma'!G17</f>
        <v>0</v>
      </c>
      <c r="H1045" s="2122">
        <f>'Part VII-Pro Forma'!H17</f>
        <v>0</v>
      </c>
      <c r="I1045" s="2122">
        <f>'Part VII-Pro Forma'!I17</f>
        <v>0</v>
      </c>
      <c r="J1045" s="2122">
        <f>'Part VII-Pro Forma'!J17</f>
        <v>0</v>
      </c>
      <c r="K1045" s="2122">
        <f>'Part VII-Pro Forma'!K17</f>
        <v>0</v>
      </c>
      <c r="N1045" s="1910"/>
      <c r="O1045" s="1910"/>
      <c r="Q1045" s="1918"/>
      <c r="R1045" s="1918"/>
      <c r="S1045" s="1918"/>
    </row>
    <row r="1046" spans="1:19" ht="13.35" customHeight="1">
      <c r="A1046" s="1995" t="s">
        <v>51</v>
      </c>
      <c r="B1046" s="2122">
        <f>'Part VII-Pro Forma'!B18</f>
        <v>0</v>
      </c>
      <c r="C1046" s="2122">
        <f>'Part VII-Pro Forma'!C18</f>
        <v>0</v>
      </c>
      <c r="D1046" s="2122">
        <f>'Part VII-Pro Forma'!D18</f>
        <v>0</v>
      </c>
      <c r="E1046" s="2122">
        <f>'Part VII-Pro Forma'!E18</f>
        <v>0</v>
      </c>
      <c r="F1046" s="2122">
        <f>'Part VII-Pro Forma'!F18</f>
        <v>0</v>
      </c>
      <c r="G1046" s="2122">
        <f>'Part VII-Pro Forma'!G18</f>
        <v>0</v>
      </c>
      <c r="H1046" s="2122">
        <f>'Part VII-Pro Forma'!H18</f>
        <v>0</v>
      </c>
      <c r="I1046" s="2122">
        <f>'Part VII-Pro Forma'!I18</f>
        <v>0</v>
      </c>
      <c r="J1046" s="2122">
        <f>'Part VII-Pro Forma'!J18</f>
        <v>0</v>
      </c>
      <c r="K1046" s="2122">
        <f>'Part VII-Pro Forma'!K18</f>
        <v>0</v>
      </c>
      <c r="N1046" s="1910"/>
      <c r="O1046" s="1910"/>
    </row>
    <row r="1047" spans="1:19" ht="13.35" customHeight="1">
      <c r="A1047" s="1995" t="s">
        <v>4376</v>
      </c>
      <c r="B1047" s="2122">
        <f>'Part VII-Pro Forma'!B19</f>
        <v>482431.39919999999</v>
      </c>
      <c r="C1047" s="2122">
        <f>'Part VII-Pro Forma'!C19</f>
        <v>492080.02718400001</v>
      </c>
      <c r="D1047" s="2122">
        <f>'Part VII-Pro Forma'!D19</f>
        <v>501921.62772767997</v>
      </c>
      <c r="E1047" s="2122">
        <f>'Part VII-Pro Forma'!E19</f>
        <v>511960.06028223358</v>
      </c>
      <c r="F1047" s="2122">
        <f>'Part VII-Pro Forma'!F19</f>
        <v>522199.26148787828</v>
      </c>
      <c r="G1047" s="2122">
        <f>'Part VII-Pro Forma'!G19</f>
        <v>532643.24671763589</v>
      </c>
      <c r="H1047" s="2122">
        <f>'Part VII-Pro Forma'!H19</f>
        <v>543296.11165198858</v>
      </c>
      <c r="I1047" s="2122">
        <f>'Part VII-Pro Forma'!I19</f>
        <v>554162.03388502821</v>
      </c>
      <c r="J1047" s="2122">
        <f>'Part VII-Pro Forma'!J19</f>
        <v>565245.27456272882</v>
      </c>
      <c r="K1047" s="2122">
        <f>'Part VII-Pro Forma'!K19</f>
        <v>576550.18005398347</v>
      </c>
      <c r="N1047" s="1910"/>
      <c r="O1047" s="1910"/>
    </row>
    <row r="1048" spans="1:19" ht="13.35" customHeight="1">
      <c r="A1048" s="1995" t="s">
        <v>597</v>
      </c>
      <c r="B1048" s="2122">
        <f>'Part VII-Pro Forma'!B20</f>
        <v>-285405</v>
      </c>
      <c r="C1048" s="2122">
        <f>'Part VII-Pro Forma'!C20</f>
        <v>-293967.15000000002</v>
      </c>
      <c r="D1048" s="2122">
        <f>'Part VII-Pro Forma'!D20</f>
        <v>-302786.16450000001</v>
      </c>
      <c r="E1048" s="2122">
        <f>'Part VII-Pro Forma'!E20</f>
        <v>-311869.74943500001</v>
      </c>
      <c r="F1048" s="2122">
        <f>'Part VII-Pro Forma'!F20</f>
        <v>-321225.84191804996</v>
      </c>
      <c r="G1048" s="2122">
        <f>'Part VII-Pro Forma'!G20</f>
        <v>-330862.61717559147</v>
      </c>
      <c r="H1048" s="2122">
        <f>'Part VII-Pro Forma'!H20</f>
        <v>-340788.49569085921</v>
      </c>
      <c r="I1048" s="2122">
        <f>'Part VII-Pro Forma'!I20</f>
        <v>-351012.15056158503</v>
      </c>
      <c r="J1048" s="2122">
        <f>'Part VII-Pro Forma'!J20</f>
        <v>-361542.51507843251</v>
      </c>
      <c r="K1048" s="2122">
        <f>'Part VII-Pro Forma'!K20</f>
        <v>-372388.79053078551</v>
      </c>
      <c r="N1048" s="1910"/>
      <c r="O1048" s="1910"/>
      <c r="Q1048" s="1874">
        <v>1</v>
      </c>
      <c r="R1048" s="1900">
        <f>'Part VII-Pro Forma'!R20</f>
        <v>84.587212355789219</v>
      </c>
      <c r="S1048" s="1900">
        <f>'Part VII-Pro Forma'!S20</f>
        <v>37174.073627839723</v>
      </c>
    </row>
    <row r="1049" spans="1:19" ht="13.35" customHeight="1">
      <c r="A1049" s="1995" t="s">
        <v>1093</v>
      </c>
      <c r="B1049" s="2122">
        <f>'Part VII-Pro Forma'!B21</f>
        <v>-38595</v>
      </c>
      <c r="C1049" s="2122">
        <f>'Part VII-Pro Forma'!C21</f>
        <v>-39366</v>
      </c>
      <c r="D1049" s="2122">
        <f>'Part VII-Pro Forma'!D21</f>
        <v>-40154</v>
      </c>
      <c r="E1049" s="2122">
        <f>'Part VII-Pro Forma'!E21</f>
        <v>-40957</v>
      </c>
      <c r="F1049" s="2122">
        <f>'Part VII-Pro Forma'!F21</f>
        <v>-41776</v>
      </c>
      <c r="G1049" s="2122">
        <f>'Part VII-Pro Forma'!G21</f>
        <v>-42611</v>
      </c>
      <c r="H1049" s="2122">
        <f>'Part VII-Pro Forma'!H21</f>
        <v>-43464</v>
      </c>
      <c r="I1049" s="2122">
        <f>'Part VII-Pro Forma'!I21</f>
        <v>-44333</v>
      </c>
      <c r="J1049" s="2122">
        <f>'Part VII-Pro Forma'!J21</f>
        <v>-45220</v>
      </c>
      <c r="K1049" s="2122">
        <f>'Part VII-Pro Forma'!K21</f>
        <v>-46124</v>
      </c>
      <c r="N1049" s="1910"/>
      <c r="O1049" s="1910"/>
      <c r="Q1049" s="1874">
        <v>2</v>
      </c>
      <c r="R1049" s="1900">
        <f>'Part VII-Pro Forma'!R21</f>
        <v>169.17442471157844</v>
      </c>
      <c r="S1049" s="1900">
        <f>'Part VII-Pro Forma'!S21</f>
        <v>73961.625239679444</v>
      </c>
    </row>
    <row r="1050" spans="1:19" ht="13.35" customHeight="1">
      <c r="A1050" s="1995" t="s">
        <v>1176</v>
      </c>
      <c r="B1050" s="2122">
        <f>'Part VII-Pro Forma'!B22</f>
        <v>-18000</v>
      </c>
      <c r="C1050" s="2122">
        <f>'Part VII-Pro Forma'!C22</f>
        <v>-18540</v>
      </c>
      <c r="D1050" s="2122">
        <f>'Part VII-Pro Forma'!D22</f>
        <v>-19096.2</v>
      </c>
      <c r="E1050" s="2122">
        <f>'Part VII-Pro Forma'!E22</f>
        <v>-19669.085999999999</v>
      </c>
      <c r="F1050" s="2122">
        <f>'Part VII-Pro Forma'!F22</f>
        <v>-20259.158579999999</v>
      </c>
      <c r="G1050" s="2122">
        <f>'Part VII-Pro Forma'!G22</f>
        <v>-20866.933337399998</v>
      </c>
      <c r="H1050" s="2122">
        <f>'Part VII-Pro Forma'!H22</f>
        <v>-21492.941337521999</v>
      </c>
      <c r="I1050" s="2122">
        <f>'Part VII-Pro Forma'!I22</f>
        <v>-22137.72957764766</v>
      </c>
      <c r="J1050" s="2122">
        <f>'Part VII-Pro Forma'!J22</f>
        <v>-22801.861464977086</v>
      </c>
      <c r="K1050" s="2122">
        <f>'Part VII-Pro Forma'!K22</f>
        <v>-23485.9173089264</v>
      </c>
      <c r="N1050" s="1910"/>
      <c r="O1050" s="1910"/>
      <c r="Q1050" s="1874">
        <v>3</v>
      </c>
      <c r="R1050" s="1900">
        <f>'Part VII-Pro Forma'!R22</f>
        <v>253.76163706736764</v>
      </c>
      <c r="S1050" s="1900">
        <f>'Part VII-Pro Forma'!S22</f>
        <v>110260.70289519912</v>
      </c>
    </row>
    <row r="1051" spans="1:19" ht="13.35" customHeight="1">
      <c r="A1051" s="1995" t="s">
        <v>4375</v>
      </c>
      <c r="B1051" s="2122">
        <f>'Part VII-Pro Forma'!B23</f>
        <v>0</v>
      </c>
      <c r="C1051" s="2122">
        <f>'Part VII-Pro Forma'!C23</f>
        <v>0</v>
      </c>
      <c r="D1051" s="2122">
        <f>'Part VII-Pro Forma'!D23</f>
        <v>0</v>
      </c>
      <c r="E1051" s="2122">
        <f>'Part VII-Pro Forma'!E23</f>
        <v>0</v>
      </c>
      <c r="F1051" s="2122">
        <f>'Part VII-Pro Forma'!F23</f>
        <v>0</v>
      </c>
      <c r="G1051" s="2122">
        <f>'Part VII-Pro Forma'!G23</f>
        <v>0</v>
      </c>
      <c r="H1051" s="2122">
        <f>'Part VII-Pro Forma'!H23</f>
        <v>0</v>
      </c>
      <c r="I1051" s="2122">
        <f>'Part VII-Pro Forma'!I23</f>
        <v>0</v>
      </c>
      <c r="J1051" s="2122">
        <f>'Part VII-Pro Forma'!J23</f>
        <v>0</v>
      </c>
      <c r="K1051" s="2122">
        <f>'Part VII-Pro Forma'!K23</f>
        <v>0</v>
      </c>
      <c r="N1051" s="1910"/>
      <c r="O1051" s="1910"/>
      <c r="Q1051" s="1874">
        <v>4</v>
      </c>
      <c r="R1051" s="1900">
        <f>'Part VII-Pro Forma'!R23</f>
        <v>338.34884942315688</v>
      </c>
      <c r="S1051" s="1900">
        <f>'Part VII-Pro Forma'!S23</f>
        <v>145966.87637027242</v>
      </c>
    </row>
    <row r="1052" spans="1:19" ht="13.35" customHeight="1">
      <c r="A1052" s="1995" t="s">
        <v>1177</v>
      </c>
      <c r="B1052" s="2122">
        <f>'Part VII-Pro Forma'!B24</f>
        <v>140431.39919999999</v>
      </c>
      <c r="C1052" s="2122">
        <f>'Part VII-Pro Forma'!C24</f>
        <v>140206.87718399998</v>
      </c>
      <c r="D1052" s="2122">
        <f>'Part VII-Pro Forma'!D24</f>
        <v>139885.26322767994</v>
      </c>
      <c r="E1052" s="2122">
        <f>'Part VII-Pro Forma'!E24</f>
        <v>139464.22484723356</v>
      </c>
      <c r="F1052" s="2122">
        <f>'Part VII-Pro Forma'!F24</f>
        <v>138938.26098982833</v>
      </c>
      <c r="G1052" s="2122">
        <f>'Part VII-Pro Forma'!G24</f>
        <v>138302.69620464442</v>
      </c>
      <c r="H1052" s="2122">
        <f>'Part VII-Pro Forma'!H24</f>
        <v>137550.67462360737</v>
      </c>
      <c r="I1052" s="2122">
        <f>'Part VII-Pro Forma'!I24</f>
        <v>136679.15374579551</v>
      </c>
      <c r="J1052" s="2122">
        <f>'Part VII-Pro Forma'!J24</f>
        <v>135680.89801931923</v>
      </c>
      <c r="K1052" s="2122">
        <f>'Part VII-Pro Forma'!K24</f>
        <v>134551.47221427155</v>
      </c>
      <c r="N1052" s="1910"/>
      <c r="O1052" s="1910"/>
      <c r="Q1052" s="1874">
        <v>5</v>
      </c>
      <c r="R1052" s="1900">
        <f>'Part VII-Pro Forma'!R24</f>
        <v>422.93606177894611</v>
      </c>
      <c r="S1052" s="1900">
        <f>'Part VII-Pro Forma'!S24</f>
        <v>180970.0642139405</v>
      </c>
    </row>
    <row r="1053" spans="1:19" ht="13.35" customHeight="1">
      <c r="A1053" s="1995" t="s">
        <v>1558</v>
      </c>
      <c r="B1053" s="2122">
        <f>'Part VII-Pro Forma'!B25</f>
        <v>-63365.252550325516</v>
      </c>
      <c r="C1053" s="2122">
        <f>'Part VII-Pro Forma'!C25</f>
        <v>-63365.252550325516</v>
      </c>
      <c r="D1053" s="2122">
        <f>'Part VII-Pro Forma'!D25</f>
        <v>-63365.252550325516</v>
      </c>
      <c r="E1053" s="2122">
        <f>'Part VII-Pro Forma'!E25</f>
        <v>-63365.252550325516</v>
      </c>
      <c r="F1053" s="2122">
        <f>'Part VII-Pro Forma'!F25</f>
        <v>-63365.252550325516</v>
      </c>
      <c r="G1053" s="2122">
        <f>'Part VII-Pro Forma'!G25</f>
        <v>-63365.252550325516</v>
      </c>
      <c r="H1053" s="2122">
        <f>'Part VII-Pro Forma'!H25</f>
        <v>-63365.252550325516</v>
      </c>
      <c r="I1053" s="2122">
        <f>'Part VII-Pro Forma'!I25</f>
        <v>-63365.252550325516</v>
      </c>
      <c r="J1053" s="2122">
        <f>'Part VII-Pro Forma'!J25</f>
        <v>-63365.252550325516</v>
      </c>
      <c r="K1053" s="2122">
        <f>'Part VII-Pro Forma'!K25</f>
        <v>-63365.252550325516</v>
      </c>
      <c r="N1053" s="1910"/>
      <c r="O1053" s="1910"/>
      <c r="Q1053" s="1874">
        <v>6</v>
      </c>
      <c r="R1053" s="1900">
        <f>'Part VII-Pro Forma'!R25</f>
        <v>507.52327413473535</v>
      </c>
      <c r="S1053" s="1900">
        <f>'Part VII-Pro Forma'!S25</f>
        <v>215155.35484520465</v>
      </c>
    </row>
    <row r="1054" spans="1:19" ht="13.35" customHeight="1">
      <c r="A1054" s="1995" t="s">
        <v>1559</v>
      </c>
      <c r="B1054" s="2122">
        <f>'Part VII-Pro Forma'!B26</f>
        <v>-34492.073021834745</v>
      </c>
      <c r="C1054" s="2122">
        <f>'Part VII-Pro Forma'!C26</f>
        <v>-34492.073021834745</v>
      </c>
      <c r="D1054" s="2122">
        <f>'Part VII-Pro Forma'!D26</f>
        <v>-34492.073021834745</v>
      </c>
      <c r="E1054" s="2122">
        <f>'Part VII-Pro Forma'!E26</f>
        <v>-34492.073021834745</v>
      </c>
      <c r="F1054" s="2122">
        <f>'Part VII-Pro Forma'!F26</f>
        <v>-34492.073021834745</v>
      </c>
      <c r="G1054" s="2122">
        <f>'Part VII-Pro Forma'!G26</f>
        <v>-34492.073021834745</v>
      </c>
      <c r="H1054" s="2122">
        <f>'Part VII-Pro Forma'!H26</f>
        <v>-34492.073021834745</v>
      </c>
      <c r="I1054" s="2122">
        <f>'Part VII-Pro Forma'!I26</f>
        <v>-34492.073021834745</v>
      </c>
      <c r="J1054" s="2122">
        <f>'Part VII-Pro Forma'!J26</f>
        <v>-34492.073021834745</v>
      </c>
      <c r="K1054" s="2122">
        <f>'Part VII-Pro Forma'!K26</f>
        <v>-34492.073021834745</v>
      </c>
      <c r="N1054" s="1910"/>
      <c r="O1054" s="1910"/>
      <c r="Q1054" s="1874">
        <v>7</v>
      </c>
      <c r="R1054" s="1900">
        <f>'Part VII-Pro Forma'!R26</f>
        <v>592.11048649052452</v>
      </c>
      <c r="S1054" s="1900">
        <f>'Part VII-Pro Forma'!S26</f>
        <v>248400.82149539518</v>
      </c>
    </row>
    <row r="1055" spans="1:19" ht="13.35" customHeight="1">
      <c r="A1055" s="1995" t="s">
        <v>1560</v>
      </c>
      <c r="B1055" s="2122">
        <f>'Part VII-Pro Forma'!B27</f>
        <v>0</v>
      </c>
      <c r="C1055" s="2122">
        <f>'Part VII-Pro Forma'!C27</f>
        <v>0</v>
      </c>
      <c r="D1055" s="2122">
        <f>'Part VII-Pro Forma'!D27</f>
        <v>0</v>
      </c>
      <c r="E1055" s="2122">
        <f>'Part VII-Pro Forma'!E27</f>
        <v>0</v>
      </c>
      <c r="F1055" s="2122">
        <f>'Part VII-Pro Forma'!F27</f>
        <v>0</v>
      </c>
      <c r="G1055" s="2122">
        <f>'Part VII-Pro Forma'!G27</f>
        <v>0</v>
      </c>
      <c r="H1055" s="2122">
        <f>'Part VII-Pro Forma'!H27</f>
        <v>0</v>
      </c>
      <c r="I1055" s="2122">
        <f>'Part VII-Pro Forma'!I27</f>
        <v>0</v>
      </c>
      <c r="J1055" s="2122">
        <f>'Part VII-Pro Forma'!J27</f>
        <v>0</v>
      </c>
      <c r="K1055" s="2122">
        <f>'Part VII-Pro Forma'!K27</f>
        <v>0</v>
      </c>
      <c r="N1055" s="1910"/>
      <c r="O1055" s="1910"/>
      <c r="Q1055" s="1874">
        <v>8</v>
      </c>
      <c r="R1055" s="1900">
        <f>'Part VII-Pro Forma'!R27</f>
        <v>676.69769884631376</v>
      </c>
      <c r="S1055" s="1900">
        <f>'Part VII-Pro Forma'!S27</f>
        <v>280581.33079573611</v>
      </c>
    </row>
    <row r="1056" spans="1:19" ht="13.35" customHeight="1">
      <c r="A1056" s="1995" t="s">
        <v>3634</v>
      </c>
      <c r="B1056" s="2122">
        <f>'Part VII-Pro Forma'!B28</f>
        <v>0</v>
      </c>
      <c r="C1056" s="2122">
        <f>'Part VII-Pro Forma'!C28</f>
        <v>0</v>
      </c>
      <c r="D1056" s="2122">
        <f>'Part VII-Pro Forma'!D28</f>
        <v>0</v>
      </c>
      <c r="E1056" s="2122">
        <f>'Part VII-Pro Forma'!E28</f>
        <v>0</v>
      </c>
      <c r="F1056" s="2122">
        <f>'Part VII-Pro Forma'!F28</f>
        <v>0</v>
      </c>
      <c r="G1056" s="2122">
        <f>'Part VII-Pro Forma'!G28</f>
        <v>0</v>
      </c>
      <c r="H1056" s="2122">
        <f>'Part VII-Pro Forma'!H28</f>
        <v>0</v>
      </c>
      <c r="I1056" s="2122">
        <f>'Part VII-Pro Forma'!I28</f>
        <v>0</v>
      </c>
      <c r="J1056" s="2122">
        <f>'Part VII-Pro Forma'!J28</f>
        <v>0</v>
      </c>
      <c r="K1056" s="2122">
        <f>'Part VII-Pro Forma'!K28</f>
        <v>0</v>
      </c>
      <c r="N1056" s="1910"/>
      <c r="O1056" s="1910"/>
      <c r="Q1056" s="1874">
        <v>9</v>
      </c>
      <c r="R1056" s="1900">
        <f>'Part VII-Pro Forma'!R28</f>
        <v>761.28491120210299</v>
      </c>
      <c r="S1056" s="1900">
        <f>'Part VII-Pro Forma'!S28</f>
        <v>311564.34480340197</v>
      </c>
    </row>
    <row r="1057" spans="1:19" ht="13.35" customHeight="1">
      <c r="A1057" s="1995" t="s">
        <v>745</v>
      </c>
      <c r="B1057" s="2122">
        <f>'Part VII-Pro Forma'!B29</f>
        <v>0</v>
      </c>
      <c r="C1057" s="2122">
        <f>'Part VII-Pro Forma'!C29</f>
        <v>0</v>
      </c>
      <c r="D1057" s="2122">
        <f>'Part VII-Pro Forma'!D29</f>
        <v>0</v>
      </c>
      <c r="E1057" s="2122">
        <f>'Part VII-Pro Forma'!E29</f>
        <v>0</v>
      </c>
      <c r="F1057" s="2122">
        <f>'Part VII-Pro Forma'!F29</f>
        <v>0</v>
      </c>
      <c r="G1057" s="2122">
        <f>'Part VII-Pro Forma'!G29</f>
        <v>0</v>
      </c>
      <c r="H1057" s="2122">
        <f>'Part VII-Pro Forma'!H29</f>
        <v>0</v>
      </c>
      <c r="I1057" s="2122">
        <f>'Part VII-Pro Forma'!I29</f>
        <v>0</v>
      </c>
      <c r="J1057" s="2122">
        <f>'Part VII-Pro Forma'!J29</f>
        <v>0</v>
      </c>
      <c r="K1057" s="2122">
        <f>'Part VII-Pro Forma'!K29</f>
        <v>0</v>
      </c>
      <c r="N1057" s="1910"/>
      <c r="O1057" s="1910"/>
      <c r="Q1057" s="1874">
        <v>10</v>
      </c>
      <c r="R1057" s="1900">
        <f>'Part VII-Pro Forma'!R29</f>
        <v>845.87212355789222</v>
      </c>
      <c r="S1057" s="1900">
        <f>'Part VII-Pro Forma'!S29</f>
        <v>341212.71625283535</v>
      </c>
    </row>
    <row r="1058" spans="1:19" ht="13.35" customHeight="1">
      <c r="A1058" s="1995" t="s">
        <v>1141</v>
      </c>
      <c r="B1058" s="2122">
        <f>'Part VII-Pro Forma'!B30</f>
        <v>-5400</v>
      </c>
      <c r="C1058" s="2122">
        <f>'Part VII-Pro Forma'!C30</f>
        <v>-5562</v>
      </c>
      <c r="D1058" s="2122">
        <f>'Part VII-Pro Forma'!D30</f>
        <v>-5728.86</v>
      </c>
      <c r="E1058" s="2122">
        <f>'Part VII-Pro Forma'!E30</f>
        <v>-5900.7257999999993</v>
      </c>
      <c r="F1058" s="2122">
        <f>'Part VII-Pro Forma'!F30</f>
        <v>-6077.7475739999991</v>
      </c>
      <c r="G1058" s="2122">
        <f>'Part VII-Pro Forma'!G30</f>
        <v>-6260.0800012199988</v>
      </c>
      <c r="H1058" s="2122">
        <f>'Part VII-Pro Forma'!H30</f>
        <v>-6447.8824012565992</v>
      </c>
      <c r="I1058" s="2122">
        <f>'Part VII-Pro Forma'!I30</f>
        <v>-6641.3188732942972</v>
      </c>
      <c r="J1058" s="2122">
        <f>'Part VII-Pro Forma'!J30</f>
        <v>-6840.5584394931257</v>
      </c>
      <c r="K1058" s="2122">
        <f>'Part VII-Pro Forma'!K30</f>
        <v>-7045.7751926779192</v>
      </c>
      <c r="N1058" s="1910"/>
      <c r="O1058" s="1910"/>
      <c r="Q1058" s="1874">
        <v>11</v>
      </c>
      <c r="R1058" s="1900">
        <f>'Part VII-Pro Forma'!R30</f>
        <v>845.87212355789222</v>
      </c>
      <c r="S1058" s="1900">
        <f>'Part VII-Pro Forma'!S30</f>
        <v>369382.47681237658</v>
      </c>
    </row>
    <row r="1059" spans="1:19" ht="13.35" customHeight="1">
      <c r="A1059" s="1995" t="s">
        <v>3769</v>
      </c>
      <c r="B1059" s="2122">
        <f>'Part VII-Pro Forma'!B31</f>
        <v>-84.587212355789219</v>
      </c>
      <c r="C1059" s="2122">
        <f>'Part VII-Pro Forma'!C31</f>
        <v>-84.587212355789219</v>
      </c>
      <c r="D1059" s="2122">
        <f>'Part VII-Pro Forma'!D31</f>
        <v>-84.587212355789219</v>
      </c>
      <c r="E1059" s="2122">
        <f>'Part VII-Pro Forma'!E31</f>
        <v>-84.587212355789219</v>
      </c>
      <c r="F1059" s="2122">
        <f>'Part VII-Pro Forma'!F31</f>
        <v>-84.587212355789219</v>
      </c>
      <c r="G1059" s="2122">
        <f>'Part VII-Pro Forma'!G31</f>
        <v>-84.587212355789219</v>
      </c>
      <c r="H1059" s="2122">
        <f>'Part VII-Pro Forma'!H31</f>
        <v>-84.587212355789219</v>
      </c>
      <c r="I1059" s="2122">
        <f>'Part VII-Pro Forma'!I31</f>
        <v>-84.587212355789219</v>
      </c>
      <c r="J1059" s="2122">
        <f>'Part VII-Pro Forma'!J31</f>
        <v>-84.587212355789219</v>
      </c>
      <c r="K1059" s="2122">
        <f>'Part VII-Pro Forma'!K31</f>
        <v>-84.587212355789219</v>
      </c>
      <c r="N1059" s="1910"/>
      <c r="O1059" s="1910"/>
      <c r="Q1059" s="1874">
        <v>12</v>
      </c>
      <c r="R1059" s="1900">
        <f>'Part VII-Pro Forma'!R31</f>
        <v>845.87212355789222</v>
      </c>
      <c r="S1059" s="1900">
        <f>'Part VII-Pro Forma'!S31</f>
        <v>395922.61811931815</v>
      </c>
    </row>
    <row r="1060" spans="1:19" ht="13.35" customHeight="1">
      <c r="A1060" s="1995" t="s">
        <v>1142</v>
      </c>
      <c r="B1060" s="2122">
        <f>'Part VII-Pro Forma'!B32</f>
        <v>37089.486415483938</v>
      </c>
      <c r="C1060" s="2122">
        <f>'Part VII-Pro Forma'!C32</f>
        <v>36702.964399483935</v>
      </c>
      <c r="D1060" s="2122">
        <f>'Part VII-Pro Forma'!D32</f>
        <v>36214.490443163893</v>
      </c>
      <c r="E1060" s="2122">
        <f>'Part VII-Pro Forma'!E32</f>
        <v>35621.586262717516</v>
      </c>
      <c r="F1060" s="2122">
        <f>'Part VII-Pro Forma'!F32</f>
        <v>34918.600631312278</v>
      </c>
      <c r="G1060" s="2122">
        <f>'Part VII-Pro Forma'!G32</f>
        <v>34100.703418908379</v>
      </c>
      <c r="H1060" s="2122">
        <f>'Part VII-Pro Forma'!H32</f>
        <v>33160.879437834723</v>
      </c>
      <c r="I1060" s="2122">
        <f>'Part VII-Pro Forma'!I32</f>
        <v>32095.922087985164</v>
      </c>
      <c r="J1060" s="2122">
        <f>'Part VII-Pro Forma'!J32</f>
        <v>30898.42679531005</v>
      </c>
      <c r="K1060" s="2122">
        <f>'Part VII-Pro Forma'!K32</f>
        <v>29563.784237077576</v>
      </c>
      <c r="N1060" s="1910"/>
      <c r="O1060" s="1910"/>
      <c r="Q1060" s="1874">
        <v>13</v>
      </c>
      <c r="R1060" s="1900">
        <f>'Part VII-Pro Forma'!R32</f>
        <v>845.87212355789222</v>
      </c>
      <c r="S1060" s="1900">
        <f>'Part VII-Pro Forma'!S32</f>
        <v>420675.86535935133</v>
      </c>
    </row>
    <row r="1061" spans="1:19" ht="13.35" customHeight="1">
      <c r="A1061" s="1995" t="str">
        <f>IF('Part III-Sources of Funds'!$E$38 = "Neither", "", "DCR Mortgage A")</f>
        <v>DCR Mortgage A</v>
      </c>
      <c r="B1061" s="2122">
        <f>'Part VII-Pro Forma'!B33</f>
        <v>2.2162209341542121</v>
      </c>
      <c r="C1061" s="2122">
        <f>'Part VII-Pro Forma'!C33</f>
        <v>2.2126776354697841</v>
      </c>
      <c r="D1061" s="2122">
        <f>'Part VII-Pro Forma'!D33</f>
        <v>2.207602078388013</v>
      </c>
      <c r="E1061" s="2122">
        <f>'Part VII-Pro Forma'!E33</f>
        <v>2.2009574527690745</v>
      </c>
      <c r="F1061" s="2122">
        <f>'Part VII-Pro Forma'!F33</f>
        <v>2.1926569436377097</v>
      </c>
      <c r="G1061" s="2122">
        <f>'Part VII-Pro Forma'!G33</f>
        <v>2.1826267652733273</v>
      </c>
      <c r="H1061" s="2122">
        <f>'Part VII-Pro Forma'!H33</f>
        <v>2.1707587216568389</v>
      </c>
      <c r="I1061" s="2122">
        <f>'Part VII-Pro Forma'!I33</f>
        <v>2.1570047974991202</v>
      </c>
      <c r="J1061" s="2122">
        <f>'Part VII-Pro Forma'!J33</f>
        <v>2.1412508047933634</v>
      </c>
      <c r="K1061" s="2122">
        <f>'Part VII-Pro Forma'!K33</f>
        <v>2.123426748870116</v>
      </c>
      <c r="N1061" s="1910"/>
      <c r="O1061" s="1910"/>
      <c r="Q1061" s="1874">
        <v>14</v>
      </c>
      <c r="R1061" s="1900">
        <f>'Part VII-Pro Forma'!R33</f>
        <v>845.87212355789222</v>
      </c>
      <c r="S1061" s="1900">
        <f>'Part VII-Pro Forma'!S33</f>
        <v>477970.51617083786</v>
      </c>
    </row>
    <row r="1062" spans="1:19" ht="13.35" customHeight="1">
      <c r="A1062" s="1995" t="str">
        <f>IF('Part III-Sources of Funds'!$E$38 = "Neither", "", "DCR Mortgage B")</f>
        <v>DCR Mortgage B</v>
      </c>
      <c r="B1062" s="2122">
        <f>'Part VII-Pro Forma'!B34</f>
        <v>2.2343147250351922</v>
      </c>
      <c r="C1062" s="2122">
        <f>'Part VII-Pro Forma'!C34</f>
        <v>2.2278053448695561</v>
      </c>
      <c r="D1062" s="2122">
        <f>'Part VII-Pro Forma'!D34</f>
        <v>2.2184810587903621</v>
      </c>
      <c r="E1062" s="2122">
        <f>'Part VII-Pro Forma'!E34</f>
        <v>2.2062742430335982</v>
      </c>
      <c r="F1062" s="2122">
        <f>'Part VII-Pro Forma'!F34</f>
        <v>2.1910254101474949</v>
      </c>
      <c r="G1062" s="2122">
        <f>'Part VII-Pro Forma'!G34</f>
        <v>2.1725990086731164</v>
      </c>
      <c r="H1062" s="2122">
        <f>'Part VII-Pro Forma'!H34</f>
        <v>2.1507962721266352</v>
      </c>
      <c r="I1062" s="2122">
        <f>'Part VII-Pro Forma'!I34</f>
        <v>2.1255289918080487</v>
      </c>
      <c r="J1062" s="2122">
        <f>'Part VII-Pro Forma'!J34</f>
        <v>2.0965873933763057</v>
      </c>
      <c r="K1062" s="2122">
        <f>'Part VII-Pro Forma'!K34</f>
        <v>2.0638428898977033</v>
      </c>
      <c r="N1062" s="1910"/>
      <c r="O1062" s="1910"/>
      <c r="Q1062" s="1874">
        <v>15</v>
      </c>
      <c r="R1062" s="1900">
        <f>'Part VII-Pro Forma'!R34</f>
        <v>845.87212355789222</v>
      </c>
      <c r="S1062" s="1900">
        <f>'Part VII-Pro Forma'!S34</f>
        <v>533142.97951573646</v>
      </c>
    </row>
    <row r="1063" spans="1:19" ht="13.35" customHeight="1">
      <c r="A1063" s="1995" t="str">
        <f>IF('Part III-Sources of Funds'!$E$38 = "Neither", "DCR First Mortgage", "DCR Mortgage C")</f>
        <v>DCR Mortgage C</v>
      </c>
      <c r="B1063" s="2122" t="str">
        <f>'Part VII-Pro Forma'!B35</f>
        <v/>
      </c>
      <c r="C1063" s="2122" t="str">
        <f>'Part VII-Pro Forma'!C35</f>
        <v/>
      </c>
      <c r="D1063" s="2122" t="str">
        <f>'Part VII-Pro Forma'!D35</f>
        <v/>
      </c>
      <c r="E1063" s="2122" t="str">
        <f>'Part VII-Pro Forma'!E35</f>
        <v/>
      </c>
      <c r="F1063" s="2122" t="str">
        <f>'Part VII-Pro Forma'!F35</f>
        <v/>
      </c>
      <c r="G1063" s="2122" t="str">
        <f>'Part VII-Pro Forma'!G35</f>
        <v/>
      </c>
      <c r="H1063" s="2122" t="str">
        <f>'Part VII-Pro Forma'!H35</f>
        <v/>
      </c>
      <c r="I1063" s="2122" t="str">
        <f>'Part VII-Pro Forma'!I35</f>
        <v/>
      </c>
      <c r="J1063" s="2122" t="str">
        <f>'Part VII-Pro Forma'!J35</f>
        <v/>
      </c>
      <c r="K1063" s="2122" t="str">
        <f>'Part VII-Pro Forma'!K35</f>
        <v/>
      </c>
      <c r="N1063" s="1910"/>
      <c r="O1063" s="1910"/>
      <c r="Q1063" s="1874">
        <v>16</v>
      </c>
      <c r="R1063" s="1900">
        <f>'Part VII-Pro Forma'!R35</f>
        <v>845.87212355789222</v>
      </c>
      <c r="S1063" s="1900">
        <f>'Part VII-Pro Forma'!S35</f>
        <v>586015.74447870045</v>
      </c>
    </row>
    <row r="1064" spans="1:19" ht="13.35" customHeight="1">
      <c r="A1064" s="1995" t="s">
        <v>763</v>
      </c>
      <c r="B1064" s="2122" t="str">
        <f>'Part VII-Pro Forma'!B36</f>
        <v/>
      </c>
      <c r="C1064" s="2122" t="str">
        <f>'Part VII-Pro Forma'!C36</f>
        <v/>
      </c>
      <c r="D1064" s="2122" t="str">
        <f>'Part VII-Pro Forma'!D36</f>
        <v/>
      </c>
      <c r="E1064" s="2122" t="str">
        <f>'Part VII-Pro Forma'!E36</f>
        <v/>
      </c>
      <c r="F1064" s="2122" t="str">
        <f>'Part VII-Pro Forma'!F36</f>
        <v/>
      </c>
      <c r="G1064" s="2122" t="str">
        <f>'Part VII-Pro Forma'!G36</f>
        <v/>
      </c>
      <c r="H1064" s="2122" t="str">
        <f>'Part VII-Pro Forma'!H36</f>
        <v/>
      </c>
      <c r="I1064" s="2122" t="str">
        <f>'Part VII-Pro Forma'!I36</f>
        <v/>
      </c>
      <c r="J1064" s="2122" t="str">
        <f>'Part VII-Pro Forma'!J36</f>
        <v/>
      </c>
      <c r="K1064" s="2122" t="str">
        <f>'Part VII-Pro Forma'!K36</f>
        <v/>
      </c>
      <c r="N1064" s="1910"/>
      <c r="O1064" s="1910"/>
      <c r="Q1064" s="1874">
        <v>17</v>
      </c>
      <c r="R1064" s="1900">
        <f>'Part VII-Pro Forma'!R36</f>
        <v>845.87212355789222</v>
      </c>
      <c r="S1064" s="1900">
        <f>'Part VII-Pro Forma'!S36</f>
        <v>636402.04851109651</v>
      </c>
    </row>
    <row r="1065" spans="1:19" ht="13.35" customHeight="1">
      <c r="A1065" s="1995" t="s">
        <v>3532</v>
      </c>
      <c r="B1065" s="2122">
        <f>'Part VII-Pro Forma'!B37</f>
        <v>1.4350627137918814</v>
      </c>
      <c r="C1065" s="2122">
        <f>'Part VII-Pro Forma'!C37</f>
        <v>1.4327683325108966</v>
      </c>
      <c r="D1065" s="2122">
        <f>'Part VII-Pro Forma'!D37</f>
        <v>1.4294817726704392</v>
      </c>
      <c r="E1065" s="2122">
        <f>'Part VII-Pro Forma'!E37</f>
        <v>1.4251791987140734</v>
      </c>
      <c r="F1065" s="2122">
        <f>'Part VII-Pro Forma'!F37</f>
        <v>1.4198043956083275</v>
      </c>
      <c r="G1065" s="2122">
        <f>'Part VII-Pro Forma'!G37</f>
        <v>1.4133095851128654</v>
      </c>
      <c r="H1065" s="2122">
        <f>'Part VII-Pro Forma'!H37</f>
        <v>1.4056247073927759</v>
      </c>
      <c r="I1065" s="2122">
        <f>'Part VII-Pro Forma'!I37</f>
        <v>1.3967186712558164</v>
      </c>
      <c r="J1065" s="2122">
        <f>'Part VII-Pro Forma'!J37</f>
        <v>1.3865175368937275</v>
      </c>
      <c r="K1065" s="2122">
        <f>'Part VII-Pro Forma'!K37</f>
        <v>1.3749759808738378</v>
      </c>
      <c r="N1065" s="1910"/>
      <c r="O1065" s="1910"/>
      <c r="Q1065" s="1874">
        <v>18</v>
      </c>
      <c r="R1065" s="1900">
        <f>'Part VII-Pro Forma'!R37</f>
        <v>845.87212355789222</v>
      </c>
      <c r="S1065" s="1900">
        <f>'Part VII-Pro Forma'!S37</f>
        <v>684107.60995588801</v>
      </c>
    </row>
    <row r="1066" spans="1:19" ht="13.35" customHeight="1">
      <c r="A1066" s="1995" t="s">
        <v>752</v>
      </c>
      <c r="B1066" s="2122">
        <f>'Part VII-Pro Forma'!B38</f>
        <v>1.4106181263157895</v>
      </c>
      <c r="C1066" s="2122">
        <f>'Part VII-Pro Forma'!C38</f>
        <v>1.3984585842483293</v>
      </c>
      <c r="D1066" s="2122">
        <f>'Part VII-Pro Forma'!D38</f>
        <v>1.3863845650446529</v>
      </c>
      <c r="E1066" s="2122">
        <f>'Part VII-Pro Forma'!E38</f>
        <v>1.3744047894773574</v>
      </c>
      <c r="F1066" s="2122">
        <f>'Part VII-Pro Forma'!F38</f>
        <v>1.3625160420947533</v>
      </c>
      <c r="G1066" s="2122">
        <f>'Part VII-Pro Forma'!G38</f>
        <v>1.350718930692592</v>
      </c>
      <c r="H1066" s="2122">
        <f>'Part VII-Pro Forma'!H38</f>
        <v>1.3390073234858977</v>
      </c>
      <c r="I1066" s="2122">
        <f>'Part VII-Pro Forma'!I38</f>
        <v>1.3273886433384103</v>
      </c>
      <c r="J1066" s="2122">
        <f>'Part VII-Pro Forma'!J38</f>
        <v>1.3158569598138175</v>
      </c>
      <c r="K1066" s="2122">
        <f>'Part VII-Pro Forma'!K38</f>
        <v>1.3044159854491379</v>
      </c>
      <c r="N1066" s="1910"/>
      <c r="O1066" s="1910"/>
      <c r="Q1066" s="1874">
        <v>19</v>
      </c>
      <c r="R1066" s="1900">
        <f>'Part VII-Pro Forma'!R38</f>
        <v>845.87212355789222</v>
      </c>
      <c r="S1066" s="1900">
        <f>'Part VII-Pro Forma'!S38</f>
        <v>728931.35154974507</v>
      </c>
    </row>
    <row r="1067" spans="1:19" ht="13.35" customHeight="1">
      <c r="A1067" s="1995" t="s">
        <v>2550</v>
      </c>
      <c r="B1067" s="2122">
        <f>'Part VII-Pro Forma'!B39</f>
        <v>917472.06799213053</v>
      </c>
      <c r="C1067" s="2122">
        <f>'Part VII-Pro Forma'!C39</f>
        <v>904237.46214464167</v>
      </c>
      <c r="D1067" s="2122">
        <f>'Part VII-Pro Forma'!D39</f>
        <v>890256.32049825008</v>
      </c>
      <c r="E1067" s="2122">
        <f>'Part VII-Pro Forma'!E39</f>
        <v>875486.53256583854</v>
      </c>
      <c r="F1067" s="2122">
        <f>'Part VII-Pro Forma'!F39</f>
        <v>859883.61249781155</v>
      </c>
      <c r="G1067" s="2122">
        <f>'Part VII-Pro Forma'!G39</f>
        <v>843400.56509298063</v>
      </c>
      <c r="H1067" s="2122">
        <f>'Part VII-Pro Forma'!H39</f>
        <v>825987.74425140978</v>
      </c>
      <c r="I1067" s="2122">
        <f>'Part VII-Pro Forma'!I39</f>
        <v>807592.70344288927</v>
      </c>
      <c r="J1067" s="2122">
        <f>'Part VII-Pro Forma'!J39</f>
        <v>788160.03774065548</v>
      </c>
      <c r="K1067" s="2122">
        <f>'Part VII-Pro Forma'!K39</f>
        <v>767631.21694457135</v>
      </c>
      <c r="N1067" s="1910"/>
      <c r="O1067" s="1910"/>
      <c r="Q1067" s="1874">
        <v>20</v>
      </c>
      <c r="R1067" s="1900">
        <f>'Part VII-Pro Forma'!R39</f>
        <v>845.87212355789222</v>
      </c>
      <c r="S1067" s="1900">
        <f>'Part VII-Pro Forma'!S39</f>
        <v>770661.11461172393</v>
      </c>
    </row>
    <row r="1068" spans="1:19" ht="13.35" customHeight="1">
      <c r="A1068" s="1995" t="s">
        <v>2551</v>
      </c>
      <c r="B1068" s="2122">
        <f>'Part VII-Pro Forma'!B40</f>
        <v>596628.12390497513</v>
      </c>
      <c r="C1068" s="2122">
        <f>'Part VII-Pro Forma'!C40</f>
        <v>567971.22505240364</v>
      </c>
      <c r="D1068" s="2122">
        <f>'Part VII-Pro Forma'!D40</f>
        <v>539026.4401148113</v>
      </c>
      <c r="E1068" s="2122">
        <f>'Part VII-Pro Forma'!E40</f>
        <v>509790.87699984806</v>
      </c>
      <c r="F1068" s="2122">
        <f>'Part VII-Pro Forma'!F40</f>
        <v>480261.61456131726</v>
      </c>
      <c r="G1068" s="2122">
        <f>'Part VII-Pro Forma'!G40</f>
        <v>450435.70230730169</v>
      </c>
      <c r="H1068" s="2122">
        <f>'Part VII-Pro Forma'!H40</f>
        <v>420310.16010535776</v>
      </c>
      <c r="I1068" s="2122">
        <f>'Part VII-Pro Forma'!I40</f>
        <v>389881.97788474802</v>
      </c>
      <c r="J1068" s="2122">
        <f>'Part VII-Pro Forma'!J40</f>
        <v>359148.11533568206</v>
      </c>
      <c r="K1068" s="2122">
        <f>'Part VII-Pro Forma'!K40</f>
        <v>328105.50160553609</v>
      </c>
      <c r="N1068" s="1910"/>
      <c r="O1068" s="1910"/>
    </row>
    <row r="1069" spans="1:19" ht="13.35" customHeight="1">
      <c r="A1069" s="1995" t="s">
        <v>2552</v>
      </c>
      <c r="B1069" s="2122" t="str">
        <f>'Part VII-Pro Forma'!B41</f>
        <v/>
      </c>
      <c r="C1069" s="2122" t="str">
        <f>'Part VII-Pro Forma'!C41</f>
        <v/>
      </c>
      <c r="D1069" s="2122" t="str">
        <f>'Part VII-Pro Forma'!D41</f>
        <v/>
      </c>
      <c r="E1069" s="2122" t="str">
        <f>'Part VII-Pro Forma'!E41</f>
        <v/>
      </c>
      <c r="F1069" s="2122" t="str">
        <f>'Part VII-Pro Forma'!F41</f>
        <v/>
      </c>
      <c r="G1069" s="2122" t="str">
        <f>'Part VII-Pro Forma'!G41</f>
        <v/>
      </c>
      <c r="H1069" s="2122" t="str">
        <f>'Part VII-Pro Forma'!H41</f>
        <v/>
      </c>
      <c r="I1069" s="2122" t="str">
        <f>'Part VII-Pro Forma'!I41</f>
        <v/>
      </c>
      <c r="J1069" s="2122" t="str">
        <f>'Part VII-Pro Forma'!J41</f>
        <v/>
      </c>
      <c r="K1069" s="2122" t="str">
        <f>'Part VII-Pro Forma'!K41</f>
        <v/>
      </c>
      <c r="N1069" s="1910"/>
      <c r="O1069" s="1910"/>
    </row>
    <row r="1070" spans="1:19" ht="13.35" customHeight="1">
      <c r="A1070" s="1995" t="s">
        <v>764</v>
      </c>
      <c r="B1070" s="2122" t="str">
        <f>'Part VII-Pro Forma'!B42</f>
        <v/>
      </c>
      <c r="C1070" s="2122" t="str">
        <f>'Part VII-Pro Forma'!C42</f>
        <v/>
      </c>
      <c r="D1070" s="2122" t="str">
        <f>'Part VII-Pro Forma'!D42</f>
        <v/>
      </c>
      <c r="E1070" s="2122" t="str">
        <f>'Part VII-Pro Forma'!E42</f>
        <v/>
      </c>
      <c r="F1070" s="2122" t="str">
        <f>'Part VII-Pro Forma'!F42</f>
        <v/>
      </c>
      <c r="G1070" s="2122" t="str">
        <f>'Part VII-Pro Forma'!G42</f>
        <v/>
      </c>
      <c r="H1070" s="2122" t="str">
        <f>'Part VII-Pro Forma'!H42</f>
        <v/>
      </c>
      <c r="I1070" s="2122" t="str">
        <f>'Part VII-Pro Forma'!I42</f>
        <v/>
      </c>
      <c r="J1070" s="2122" t="str">
        <f>'Part VII-Pro Forma'!J42</f>
        <v/>
      </c>
      <c r="K1070" s="2122" t="str">
        <f>'Part VII-Pro Forma'!K42</f>
        <v/>
      </c>
      <c r="N1070" s="1910"/>
      <c r="O1070" s="1910"/>
    </row>
    <row r="1071" spans="1:19" ht="13.35" customHeight="1">
      <c r="A1071" s="1995" t="s">
        <v>3770</v>
      </c>
      <c r="B1071" s="2122">
        <f>'Part VII-Pro Forma'!B43</f>
        <v>666.44361499861554</v>
      </c>
      <c r="C1071" s="2122">
        <f>'Part VII-Pro Forma'!C43</f>
        <v>600.95410172945071</v>
      </c>
      <c r="D1071" s="2122">
        <f>'Part VII-Pro Forma'!D43</f>
        <v>533.47266224640452</v>
      </c>
      <c r="E1071" s="2122">
        <f>'Part VII-Pro Forma'!E43</f>
        <v>463.93871020758058</v>
      </c>
      <c r="F1071" s="2122">
        <f>'Part VII-Pro Forma'!F43</f>
        <v>392.28981647951792</v>
      </c>
      <c r="G1071" s="2122">
        <f>'Part VII-Pro Forma'!G43</f>
        <v>318.46165308692207</v>
      </c>
      <c r="H1071" s="2122">
        <f>'Part VII-Pro Forma'!H43</f>
        <v>242.38793545757369</v>
      </c>
      <c r="I1071" s="2122">
        <f>'Part VII-Pro Forma'!I43</f>
        <v>164.0003629105608</v>
      </c>
      <c r="J1071" s="2122">
        <f>'Part VII-Pro Forma'!J43</f>
        <v>83.228557334403561</v>
      </c>
      <c r="K1071" s="2122">
        <f>'Part VII-Pro Forma'!K43</f>
        <v>1.5788259588589426E-11</v>
      </c>
      <c r="N1071" s="1910"/>
      <c r="O1071" s="1910"/>
    </row>
    <row r="1072" spans="1:19" ht="4.3499999999999996" customHeight="1">
      <c r="B1072" s="2122"/>
      <c r="C1072" s="2122"/>
      <c r="D1072" s="2122"/>
      <c r="E1072" s="2122"/>
      <c r="F1072" s="2122"/>
      <c r="G1072" s="2122"/>
      <c r="H1072" s="2122"/>
      <c r="I1072" s="2122"/>
      <c r="J1072" s="2122"/>
      <c r="K1072" s="2122"/>
    </row>
    <row r="1073" spans="1:19" ht="14.4" customHeight="1">
      <c r="A1073" s="1995" t="s">
        <v>2416</v>
      </c>
      <c r="B1073" s="2122">
        <f>K1041+1</f>
        <v>11</v>
      </c>
      <c r="C1073" s="2122">
        <f t="shared" ref="C1073:K1073" si="394">B1073+1</f>
        <v>12</v>
      </c>
      <c r="D1073" s="2122">
        <f t="shared" si="394"/>
        <v>13</v>
      </c>
      <c r="E1073" s="2122">
        <f t="shared" si="394"/>
        <v>14</v>
      </c>
      <c r="F1073" s="2122">
        <f t="shared" si="394"/>
        <v>15</v>
      </c>
      <c r="G1073" s="2122">
        <f t="shared" si="394"/>
        <v>16</v>
      </c>
      <c r="H1073" s="2122">
        <f t="shared" si="394"/>
        <v>17</v>
      </c>
      <c r="I1073" s="2122">
        <f t="shared" si="394"/>
        <v>18</v>
      </c>
      <c r="J1073" s="2122">
        <f t="shared" si="394"/>
        <v>19</v>
      </c>
      <c r="K1073" s="2122">
        <f t="shared" si="394"/>
        <v>20</v>
      </c>
      <c r="N1073" s="1995" t="s">
        <v>2554</v>
      </c>
    </row>
    <row r="1074" spans="1:19" ht="13.35" customHeight="1">
      <c r="A1074" s="1995" t="s">
        <v>2342</v>
      </c>
      <c r="B1074" s="2122">
        <f>'Part VII-Pro Forma'!B46</f>
        <v>619946.43016557361</v>
      </c>
      <c r="C1074" s="2122">
        <f>'Part VII-Pro Forma'!C46</f>
        <v>632345.35876888491</v>
      </c>
      <c r="D1074" s="2122">
        <f>'Part VII-Pro Forma'!D46</f>
        <v>644992.26594426273</v>
      </c>
      <c r="E1074" s="2122">
        <f>'Part VII-Pro Forma'!E46</f>
        <v>657892.11126314802</v>
      </c>
      <c r="F1074" s="2122">
        <f>'Part VII-Pro Forma'!F46</f>
        <v>671049.95348841103</v>
      </c>
      <c r="G1074" s="2122">
        <f>'Part VII-Pro Forma'!G46</f>
        <v>684470.95255817904</v>
      </c>
      <c r="H1074" s="2122">
        <f>'Part VII-Pro Forma'!H46</f>
        <v>698160.37160934275</v>
      </c>
      <c r="I1074" s="2122">
        <f>'Part VII-Pro Forma'!I46</f>
        <v>712123.57904152968</v>
      </c>
      <c r="J1074" s="2122">
        <f>'Part VII-Pro Forma'!J46</f>
        <v>726366.0506223602</v>
      </c>
      <c r="K1074" s="2122">
        <f>'Part VII-Pro Forma'!K46</f>
        <v>740893.37163480732</v>
      </c>
      <c r="N1074" s="1910"/>
      <c r="O1074" s="1910"/>
    </row>
    <row r="1075" spans="1:19" ht="13.35" customHeight="1">
      <c r="A1075" s="1995" t="s">
        <v>994</v>
      </c>
      <c r="B1075" s="2122">
        <f>'Part VII-Pro Forma'!B47</f>
        <v>12398.928603311473</v>
      </c>
      <c r="C1075" s="2122">
        <f>'Part VII-Pro Forma'!C47</f>
        <v>12646.907175377701</v>
      </c>
      <c r="D1075" s="2122">
        <f>'Part VII-Pro Forma'!D47</f>
        <v>12899.845318885256</v>
      </c>
      <c r="E1075" s="2122">
        <f>'Part VII-Pro Forma'!E47</f>
        <v>13157.842225262961</v>
      </c>
      <c r="F1075" s="2122">
        <f>'Part VII-Pro Forma'!F47</f>
        <v>13420.999069768221</v>
      </c>
      <c r="G1075" s="2122">
        <f>'Part VII-Pro Forma'!G47</f>
        <v>13689.419051163582</v>
      </c>
      <c r="H1075" s="2122">
        <f>'Part VII-Pro Forma'!H47</f>
        <v>13963.207432186855</v>
      </c>
      <c r="I1075" s="2122">
        <f>'Part VII-Pro Forma'!I47</f>
        <v>14242.471580830594</v>
      </c>
      <c r="J1075" s="2122">
        <f>'Part VII-Pro Forma'!J47</f>
        <v>14527.321012447204</v>
      </c>
      <c r="K1075" s="2122">
        <f>'Part VII-Pro Forma'!K47</f>
        <v>14817.867432696148</v>
      </c>
      <c r="N1075" s="1910"/>
      <c r="O1075" s="1910"/>
    </row>
    <row r="1076" spans="1:19" ht="13.35" customHeight="1">
      <c r="A1076" s="1995" t="s">
        <v>2343</v>
      </c>
      <c r="B1076" s="2122">
        <f>'Part VII-Pro Forma'!B48</f>
        <v>-44264.175113821955</v>
      </c>
      <c r="C1076" s="2122">
        <f>'Part VII-Pro Forma'!C48</f>
        <v>-45149.458616098389</v>
      </c>
      <c r="D1076" s="2122">
        <f>'Part VII-Pro Forma'!D48</f>
        <v>-46052.447788420366</v>
      </c>
      <c r="E1076" s="2122">
        <f>'Part VII-Pro Forma'!E48</f>
        <v>-46973.496744188778</v>
      </c>
      <c r="F1076" s="2122">
        <f>'Part VII-Pro Forma'!F48</f>
        <v>-47912.966679072553</v>
      </c>
      <c r="G1076" s="2122">
        <f>'Part VII-Pro Forma'!G48</f>
        <v>-48871.226012653991</v>
      </c>
      <c r="H1076" s="2122">
        <f>'Part VII-Pro Forma'!H48</f>
        <v>-49848.650532907071</v>
      </c>
      <c r="I1076" s="2122">
        <f>'Part VII-Pro Forma'!I48</f>
        <v>-50845.623543565227</v>
      </c>
      <c r="J1076" s="2122">
        <f>'Part VII-Pro Forma'!J48</f>
        <v>-51862.536014436526</v>
      </c>
      <c r="K1076" s="2122">
        <f>'Part VII-Pro Forma'!K48</f>
        <v>-52899.786734725247</v>
      </c>
      <c r="N1076" s="1910"/>
      <c r="O1076" s="1910"/>
    </row>
    <row r="1077" spans="1:19" ht="13.35" customHeight="1">
      <c r="A1077" s="1995" t="s">
        <v>50</v>
      </c>
      <c r="B1077" s="2122">
        <f>'Part VII-Pro Forma'!B49</f>
        <v>0</v>
      </c>
      <c r="C1077" s="2122">
        <f>'Part VII-Pro Forma'!C49</f>
        <v>0</v>
      </c>
      <c r="D1077" s="2122">
        <f>'Part VII-Pro Forma'!D49</f>
        <v>0</v>
      </c>
      <c r="E1077" s="2122">
        <f>'Part VII-Pro Forma'!E49</f>
        <v>0</v>
      </c>
      <c r="F1077" s="2122">
        <f>'Part VII-Pro Forma'!F49</f>
        <v>0</v>
      </c>
      <c r="G1077" s="2122">
        <f>'Part VII-Pro Forma'!G49</f>
        <v>0</v>
      </c>
      <c r="H1077" s="2122">
        <f>'Part VII-Pro Forma'!H49</f>
        <v>0</v>
      </c>
      <c r="I1077" s="2122">
        <f>'Part VII-Pro Forma'!I49</f>
        <v>0</v>
      </c>
      <c r="J1077" s="2122">
        <f>'Part VII-Pro Forma'!J49</f>
        <v>0</v>
      </c>
      <c r="K1077" s="2122">
        <f>'Part VII-Pro Forma'!K49</f>
        <v>0</v>
      </c>
      <c r="N1077" s="1910"/>
      <c r="O1077" s="1910"/>
    </row>
    <row r="1078" spans="1:19" ht="13.35" customHeight="1">
      <c r="A1078" s="1995" t="s">
        <v>51</v>
      </c>
      <c r="B1078" s="2122">
        <f>'Part VII-Pro Forma'!B50</f>
        <v>0</v>
      </c>
      <c r="C1078" s="2122">
        <f>'Part VII-Pro Forma'!C50</f>
        <v>0</v>
      </c>
      <c r="D1078" s="2122">
        <f>'Part VII-Pro Forma'!D50</f>
        <v>0</v>
      </c>
      <c r="E1078" s="2122">
        <f>'Part VII-Pro Forma'!E50</f>
        <v>0</v>
      </c>
      <c r="F1078" s="2122">
        <f>'Part VII-Pro Forma'!F50</f>
        <v>0</v>
      </c>
      <c r="G1078" s="2122">
        <f>'Part VII-Pro Forma'!G50</f>
        <v>0</v>
      </c>
      <c r="H1078" s="2122">
        <f>'Part VII-Pro Forma'!H50</f>
        <v>0</v>
      </c>
      <c r="I1078" s="2122">
        <f>'Part VII-Pro Forma'!I50</f>
        <v>0</v>
      </c>
      <c r="J1078" s="2122">
        <f>'Part VII-Pro Forma'!J50</f>
        <v>0</v>
      </c>
      <c r="K1078" s="2122">
        <f>'Part VII-Pro Forma'!K50</f>
        <v>0</v>
      </c>
      <c r="N1078" s="1910"/>
      <c r="O1078" s="1910"/>
    </row>
    <row r="1079" spans="1:19" ht="13.35" customHeight="1">
      <c r="A1079" s="1995" t="s">
        <v>4376</v>
      </c>
      <c r="B1079" s="2122">
        <f>'Part VII-Pro Forma'!B51</f>
        <v>588081.18365506304</v>
      </c>
      <c r="C1079" s="2122">
        <f>'Part VII-Pro Forma'!C51</f>
        <v>599842.80732816423</v>
      </c>
      <c r="D1079" s="2122">
        <f>'Part VII-Pro Forma'!D51</f>
        <v>611839.66347472765</v>
      </c>
      <c r="E1079" s="2122">
        <f>'Part VII-Pro Forma'!E51</f>
        <v>624076.4567442222</v>
      </c>
      <c r="F1079" s="2122">
        <f>'Part VII-Pro Forma'!F51</f>
        <v>636557.98587910668</v>
      </c>
      <c r="G1079" s="2122">
        <f>'Part VII-Pro Forma'!G51</f>
        <v>649289.14559668861</v>
      </c>
      <c r="H1079" s="2122">
        <f>'Part VII-Pro Forma'!H51</f>
        <v>662274.92850862246</v>
      </c>
      <c r="I1079" s="2122">
        <f>'Part VII-Pro Forma'!I51</f>
        <v>675520.42707879504</v>
      </c>
      <c r="J1079" s="2122">
        <f>'Part VII-Pro Forma'!J51</f>
        <v>689030.83562037093</v>
      </c>
      <c r="K1079" s="2122">
        <f>'Part VII-Pro Forma'!K51</f>
        <v>702811.45233277825</v>
      </c>
      <c r="N1079" s="1910"/>
      <c r="O1079" s="1910"/>
    </row>
    <row r="1080" spans="1:19" ht="13.35" customHeight="1">
      <c r="A1080" s="1995" t="s">
        <v>597</v>
      </c>
      <c r="B1080" s="2122">
        <f>'Part VII-Pro Forma'!B52</f>
        <v>-383560.45424670907</v>
      </c>
      <c r="C1080" s="2122">
        <f>'Part VII-Pro Forma'!C52</f>
        <v>-395067.26787411037</v>
      </c>
      <c r="D1080" s="2122">
        <f>'Part VII-Pro Forma'!D52</f>
        <v>-406919.28591033362</v>
      </c>
      <c r="E1080" s="2122">
        <f>'Part VII-Pro Forma'!E52</f>
        <v>-419126.86448764359</v>
      </c>
      <c r="F1080" s="2122">
        <f>'Part VII-Pro Forma'!F52</f>
        <v>-431700.67042227293</v>
      </c>
      <c r="G1080" s="2122">
        <f>'Part VII-Pro Forma'!G52</f>
        <v>-444651.69053494115</v>
      </c>
      <c r="H1080" s="2122">
        <f>'Part VII-Pro Forma'!H52</f>
        <v>-457991.24125098932</v>
      </c>
      <c r="I1080" s="2122">
        <f>'Part VII-Pro Forma'!I52</f>
        <v>-471730.97848851903</v>
      </c>
      <c r="J1080" s="2122">
        <f>'Part VII-Pro Forma'!J52</f>
        <v>-485882.90784317459</v>
      </c>
      <c r="K1080" s="2122">
        <f>'Part VII-Pro Forma'!K52</f>
        <v>-500459.39507846982</v>
      </c>
      <c r="N1080" s="1910"/>
      <c r="O1080" s="1910"/>
    </row>
    <row r="1081" spans="1:19" ht="13.35" customHeight="1">
      <c r="A1081" s="1995" t="s">
        <v>1093</v>
      </c>
      <c r="B1081" s="2122">
        <f>'Part VII-Pro Forma'!B53</f>
        <v>-47046</v>
      </c>
      <c r="C1081" s="2122">
        <f>'Part VII-Pro Forma'!C53</f>
        <v>-47987</v>
      </c>
      <c r="D1081" s="2122">
        <f>'Part VII-Pro Forma'!D53</f>
        <v>-48947</v>
      </c>
      <c r="E1081" s="2122">
        <f>'Part VII-Pro Forma'!E53</f>
        <v>-49926</v>
      </c>
      <c r="F1081" s="2122">
        <f>'Part VII-Pro Forma'!F53</f>
        <v>-50925</v>
      </c>
      <c r="G1081" s="2122">
        <f>'Part VII-Pro Forma'!G53</f>
        <v>-51943</v>
      </c>
      <c r="H1081" s="2122">
        <f>'Part VII-Pro Forma'!H53</f>
        <v>-52982</v>
      </c>
      <c r="I1081" s="2122">
        <f>'Part VII-Pro Forma'!I53</f>
        <v>-54042</v>
      </c>
      <c r="J1081" s="2122">
        <f>'Part VII-Pro Forma'!J53</f>
        <v>-55122</v>
      </c>
      <c r="K1081" s="2122">
        <f>'Part VII-Pro Forma'!K53</f>
        <v>-56225</v>
      </c>
      <c r="N1081" s="1910"/>
      <c r="O1081" s="1910"/>
    </row>
    <row r="1082" spans="1:19" ht="13.35" customHeight="1">
      <c r="A1082" s="1995" t="s">
        <v>1176</v>
      </c>
      <c r="B1082" s="2122">
        <f>'Part VII-Pro Forma'!B54</f>
        <v>-24190.494828194191</v>
      </c>
      <c r="C1082" s="2122">
        <f>'Part VII-Pro Forma'!C54</f>
        <v>-24916.209673040019</v>
      </c>
      <c r="D1082" s="2122">
        <f>'Part VII-Pro Forma'!D54</f>
        <v>-25663.695963231214</v>
      </c>
      <c r="E1082" s="2122">
        <f>'Part VII-Pro Forma'!E54</f>
        <v>-26433.606842128149</v>
      </c>
      <c r="F1082" s="2122">
        <f>'Part VII-Pro Forma'!F54</f>
        <v>-27226.615047391999</v>
      </c>
      <c r="G1082" s="2122">
        <f>'Part VII-Pro Forma'!G54</f>
        <v>-28043.413498813759</v>
      </c>
      <c r="H1082" s="2122">
        <f>'Part VII-Pro Forma'!H54</f>
        <v>-28884.715903778168</v>
      </c>
      <c r="I1082" s="2122">
        <f>'Part VII-Pro Forma'!I54</f>
        <v>-29751.257380891511</v>
      </c>
      <c r="J1082" s="2122">
        <f>'Part VII-Pro Forma'!J54</f>
        <v>-30643.795102318258</v>
      </c>
      <c r="K1082" s="2122">
        <f>'Part VII-Pro Forma'!K54</f>
        <v>-31563.108955387805</v>
      </c>
      <c r="N1082" s="1910"/>
      <c r="O1082" s="1910"/>
      <c r="Q1082" s="1874">
        <v>10</v>
      </c>
      <c r="R1082" s="1900">
        <f>-SUM(B1088:K1088)</f>
        <v>0</v>
      </c>
      <c r="S1082" s="1900">
        <f>SUM(B1089:K1089)+R1082</f>
        <v>0</v>
      </c>
    </row>
    <row r="1083" spans="1:19" ht="13.35" customHeight="1">
      <c r="A1083" s="1995" t="s">
        <v>4375</v>
      </c>
      <c r="B1083" s="2122">
        <f>'Part VII-Pro Forma'!B55</f>
        <v>0</v>
      </c>
      <c r="C1083" s="2122">
        <f>'Part VII-Pro Forma'!C55</f>
        <v>0</v>
      </c>
      <c r="D1083" s="2122">
        <f>'Part VII-Pro Forma'!D55</f>
        <v>0</v>
      </c>
      <c r="E1083" s="2122">
        <f>'Part VII-Pro Forma'!E55</f>
        <v>0</v>
      </c>
      <c r="F1083" s="2122">
        <f>'Part VII-Pro Forma'!F55</f>
        <v>0</v>
      </c>
      <c r="G1083" s="2122">
        <f>'Part VII-Pro Forma'!G55</f>
        <v>0</v>
      </c>
      <c r="H1083" s="2122">
        <f>'Part VII-Pro Forma'!H55</f>
        <v>0</v>
      </c>
      <c r="I1083" s="2122">
        <f>'Part VII-Pro Forma'!I55</f>
        <v>0</v>
      </c>
      <c r="J1083" s="2122">
        <f>'Part VII-Pro Forma'!J55</f>
        <v>0</v>
      </c>
      <c r="K1083" s="2122">
        <f>'Part VII-Pro Forma'!K55</f>
        <v>0</v>
      </c>
      <c r="N1083" s="1910"/>
      <c r="O1083" s="1910"/>
    </row>
    <row r="1084" spans="1:19" ht="13.35" customHeight="1">
      <c r="A1084" s="1995" t="s">
        <v>1177</v>
      </c>
      <c r="B1084" s="2122">
        <f>'Part VII-Pro Forma'!B56</f>
        <v>133284.23458015977</v>
      </c>
      <c r="C1084" s="2122">
        <f>'Part VII-Pro Forma'!C56</f>
        <v>131872.32978101383</v>
      </c>
      <c r="D1084" s="2122">
        <f>'Part VII-Pro Forma'!D56</f>
        <v>130309.68160116283</v>
      </c>
      <c r="E1084" s="2122">
        <f>'Part VII-Pro Forma'!E56</f>
        <v>128589.98541445046</v>
      </c>
      <c r="F1084" s="2122">
        <f>'Part VII-Pro Forma'!F56</f>
        <v>126705.70040944175</v>
      </c>
      <c r="G1084" s="2122">
        <f>'Part VII-Pro Forma'!G56</f>
        <v>124651.04156293371</v>
      </c>
      <c r="H1084" s="2122">
        <f>'Part VII-Pro Forma'!H56</f>
        <v>122416.97135385497</v>
      </c>
      <c r="I1084" s="2122">
        <f>'Part VII-Pro Forma'!I56</f>
        <v>119996.1912093845</v>
      </c>
      <c r="J1084" s="2122">
        <f>'Part VII-Pro Forma'!J56</f>
        <v>117382.13267487808</v>
      </c>
      <c r="K1084" s="2122">
        <f>'Part VII-Pro Forma'!K56</f>
        <v>114563.94829892062</v>
      </c>
      <c r="N1084" s="1910"/>
      <c r="O1084" s="1910"/>
    </row>
    <row r="1085" spans="1:19" ht="13.35" customHeight="1">
      <c r="A1085" s="1995" t="str">
        <f>$A1053</f>
        <v>Mortgage A</v>
      </c>
      <c r="B1085" s="2122">
        <f>'Part VII-Pro Forma'!B57</f>
        <v>-63365.252550325516</v>
      </c>
      <c r="C1085" s="2122">
        <f>'Part VII-Pro Forma'!C57</f>
        <v>-63365.252550325516</v>
      </c>
      <c r="D1085" s="2122">
        <f>'Part VII-Pro Forma'!D57</f>
        <v>-63365.252550325516</v>
      </c>
      <c r="E1085" s="2122">
        <f>'Part VII-Pro Forma'!E57</f>
        <v>-63365.252550325516</v>
      </c>
      <c r="F1085" s="2122">
        <f>'Part VII-Pro Forma'!F57</f>
        <v>-63365.252550325516</v>
      </c>
      <c r="G1085" s="2122">
        <f>'Part VII-Pro Forma'!G57</f>
        <v>-63365.252550325516</v>
      </c>
      <c r="H1085" s="2122">
        <f>'Part VII-Pro Forma'!H57</f>
        <v>-63365.252550325516</v>
      </c>
      <c r="I1085" s="2122">
        <f>'Part VII-Pro Forma'!I57</f>
        <v>-63365.252550325516</v>
      </c>
      <c r="J1085" s="2122">
        <f>'Part VII-Pro Forma'!J57</f>
        <v>-63365.252550325516</v>
      </c>
      <c r="K1085" s="2122">
        <f>'Part VII-Pro Forma'!K57</f>
        <v>-63365.252550325516</v>
      </c>
      <c r="N1085" s="1910"/>
      <c r="O1085" s="1910"/>
    </row>
    <row r="1086" spans="1:19" ht="13.35" customHeight="1">
      <c r="A1086" s="1995" t="str">
        <f>$A1054</f>
        <v>Mortgage B</v>
      </c>
      <c r="B1086" s="2122">
        <f>'Part VII-Pro Forma'!B58</f>
        <v>-34492.073021834745</v>
      </c>
      <c r="C1086" s="2122">
        <f>'Part VII-Pro Forma'!C58</f>
        <v>-34492.073021834745</v>
      </c>
      <c r="D1086" s="2122">
        <f>'Part VII-Pro Forma'!D58</f>
        <v>-34492.073021834745</v>
      </c>
      <c r="E1086" s="2122">
        <f>'Part VII-Pro Forma'!E58</f>
        <v>0</v>
      </c>
      <c r="F1086" s="2122">
        <f>'Part VII-Pro Forma'!F58</f>
        <v>0</v>
      </c>
      <c r="G1086" s="2122">
        <f>'Part VII-Pro Forma'!G58</f>
        <v>0</v>
      </c>
      <c r="H1086" s="2122">
        <f>'Part VII-Pro Forma'!H58</f>
        <v>0</v>
      </c>
      <c r="I1086" s="2122">
        <f>'Part VII-Pro Forma'!I58</f>
        <v>0</v>
      </c>
      <c r="J1086" s="2122">
        <f>'Part VII-Pro Forma'!J58</f>
        <v>0</v>
      </c>
      <c r="K1086" s="2122">
        <f>'Part VII-Pro Forma'!K58</f>
        <v>0</v>
      </c>
      <c r="N1086" s="1910"/>
      <c r="O1086" s="1910"/>
    </row>
    <row r="1087" spans="1:19" ht="13.35" customHeight="1">
      <c r="A1087" s="1995" t="str">
        <f>$A1055</f>
        <v>Mortgage C</v>
      </c>
      <c r="B1087" s="2122">
        <f>'Part VII-Pro Forma'!B59</f>
        <v>0</v>
      </c>
      <c r="C1087" s="2122">
        <f>'Part VII-Pro Forma'!C59</f>
        <v>0</v>
      </c>
      <c r="D1087" s="2122">
        <f>'Part VII-Pro Forma'!D59</f>
        <v>0</v>
      </c>
      <c r="E1087" s="2122">
        <f>'Part VII-Pro Forma'!E59</f>
        <v>0</v>
      </c>
      <c r="F1087" s="2122">
        <f>'Part VII-Pro Forma'!F59</f>
        <v>0</v>
      </c>
      <c r="G1087" s="2122">
        <f>'Part VII-Pro Forma'!G59</f>
        <v>0</v>
      </c>
      <c r="H1087" s="2122">
        <f>'Part VII-Pro Forma'!H59</f>
        <v>0</v>
      </c>
      <c r="I1087" s="2122">
        <f>'Part VII-Pro Forma'!I59</f>
        <v>0</v>
      </c>
      <c r="J1087" s="2122">
        <f>'Part VII-Pro Forma'!J59</f>
        <v>0</v>
      </c>
      <c r="K1087" s="2122">
        <f>'Part VII-Pro Forma'!K59</f>
        <v>0</v>
      </c>
      <c r="N1087" s="1910"/>
      <c r="O1087" s="1910"/>
    </row>
    <row r="1088" spans="1:19" ht="13.35" customHeight="1">
      <c r="A1088" s="1995" t="str">
        <f>$A1056</f>
        <v>D/S Other Source,not DDF</v>
      </c>
      <c r="B1088" s="2122">
        <f>'Part VII-Pro Forma'!B60</f>
        <v>0</v>
      </c>
      <c r="C1088" s="2122">
        <f>'Part VII-Pro Forma'!C60</f>
        <v>0</v>
      </c>
      <c r="D1088" s="2122">
        <f>'Part VII-Pro Forma'!D60</f>
        <v>0</v>
      </c>
      <c r="E1088" s="2122">
        <f>'Part VII-Pro Forma'!E60</f>
        <v>0</v>
      </c>
      <c r="F1088" s="2122">
        <f>'Part VII-Pro Forma'!F60</f>
        <v>0</v>
      </c>
      <c r="G1088" s="2122">
        <f>'Part VII-Pro Forma'!G60</f>
        <v>0</v>
      </c>
      <c r="H1088" s="2122">
        <f>'Part VII-Pro Forma'!H60</f>
        <v>0</v>
      </c>
      <c r="I1088" s="2122">
        <f>'Part VII-Pro Forma'!I60</f>
        <v>0</v>
      </c>
      <c r="J1088" s="2122">
        <f>'Part VII-Pro Forma'!J60</f>
        <v>0</v>
      </c>
      <c r="K1088" s="2122">
        <f>'Part VII-Pro Forma'!K60</f>
        <v>0</v>
      </c>
      <c r="N1088" s="1910"/>
      <c r="O1088" s="1910"/>
    </row>
    <row r="1089" spans="1:18" ht="13.35" customHeight="1">
      <c r="A1089" s="1995" t="s">
        <v>745</v>
      </c>
      <c r="B1089" s="2122">
        <f>'Part VII-Pro Forma'!B61</f>
        <v>0</v>
      </c>
      <c r="C1089" s="2122">
        <f>'Part VII-Pro Forma'!C61</f>
        <v>0</v>
      </c>
      <c r="D1089" s="2122">
        <f>'Part VII-Pro Forma'!D61</f>
        <v>0</v>
      </c>
      <c r="E1089" s="2122">
        <f>'Part VII-Pro Forma'!E61</f>
        <v>0</v>
      </c>
      <c r="F1089" s="2122">
        <f>'Part VII-Pro Forma'!F61</f>
        <v>0</v>
      </c>
      <c r="G1089" s="2122">
        <f>'Part VII-Pro Forma'!G61</f>
        <v>0</v>
      </c>
      <c r="H1089" s="2122">
        <f>'Part VII-Pro Forma'!H61</f>
        <v>0</v>
      </c>
      <c r="I1089" s="2122">
        <f>'Part VII-Pro Forma'!I61</f>
        <v>0</v>
      </c>
      <c r="J1089" s="2122">
        <f>'Part VII-Pro Forma'!J61</f>
        <v>0</v>
      </c>
      <c r="K1089" s="2122">
        <f>'Part VII-Pro Forma'!K61</f>
        <v>0</v>
      </c>
      <c r="N1089" s="1910"/>
      <c r="O1089" s="1910"/>
      <c r="Q1089" s="1874"/>
      <c r="R1089" s="1900"/>
    </row>
    <row r="1090" spans="1:18" ht="13.35" customHeight="1">
      <c r="A1090" s="1995" t="s">
        <v>1141</v>
      </c>
      <c r="B1090" s="2122">
        <f>'Part VII-Pro Forma'!B62</f>
        <v>-7257.148448458257</v>
      </c>
      <c r="C1090" s="2122">
        <f>'Part VII-Pro Forma'!C62</f>
        <v>-7474.8629019120044</v>
      </c>
      <c r="D1090" s="2122">
        <f>'Part VII-Pro Forma'!D62</f>
        <v>-7699.1087889693645</v>
      </c>
      <c r="E1090" s="2122">
        <f>'Part VII-Pro Forma'!E62</f>
        <v>-7930.082052638445</v>
      </c>
      <c r="F1090" s="2122">
        <f>'Part VII-Pro Forma'!F62</f>
        <v>-8167.9845142175982</v>
      </c>
      <c r="G1090" s="2122">
        <f>'Part VII-Pro Forma'!G62</f>
        <v>-8413.0240496441256</v>
      </c>
      <c r="H1090" s="2122">
        <f>'Part VII-Pro Forma'!H62</f>
        <v>-8665.4147711334499</v>
      </c>
      <c r="I1090" s="2122">
        <f>'Part VII-Pro Forma'!I62</f>
        <v>-8925.3772142674534</v>
      </c>
      <c r="J1090" s="2122">
        <f>'Part VII-Pro Forma'!J62</f>
        <v>-9193.1385306954762</v>
      </c>
      <c r="K1090" s="2122">
        <f>'Part VII-Pro Forma'!K62</f>
        <v>-9468.932686616341</v>
      </c>
      <c r="N1090" s="1910"/>
      <c r="O1090" s="1910"/>
    </row>
    <row r="1091" spans="1:18" ht="13.35" customHeight="1">
      <c r="A1091" s="1995" t="s">
        <v>3769</v>
      </c>
      <c r="B1091" s="2122">
        <f>'Part VII-Pro Forma'!B63</f>
        <v>0</v>
      </c>
      <c r="C1091" s="2122">
        <f>'Part VII-Pro Forma'!C63</f>
        <v>0</v>
      </c>
      <c r="D1091" s="2122">
        <f>'Part VII-Pro Forma'!D63</f>
        <v>0</v>
      </c>
      <c r="E1091" s="2122">
        <f>'Part VII-Pro Forma'!E63</f>
        <v>0</v>
      </c>
      <c r="F1091" s="2122">
        <f>'Part VII-Pro Forma'!F63</f>
        <v>0</v>
      </c>
      <c r="G1091" s="2122">
        <f>'Part VII-Pro Forma'!G63</f>
        <v>0</v>
      </c>
      <c r="H1091" s="2122">
        <f>'Part VII-Pro Forma'!H63</f>
        <v>0</v>
      </c>
      <c r="I1091" s="2122">
        <f>'Part VII-Pro Forma'!I63</f>
        <v>0</v>
      </c>
      <c r="J1091" s="2122">
        <f>'Part VII-Pro Forma'!J63</f>
        <v>0</v>
      </c>
      <c r="K1091" s="2122">
        <f>'Part VII-Pro Forma'!K63</f>
        <v>0</v>
      </c>
      <c r="N1091" s="1910"/>
      <c r="O1091" s="1910"/>
    </row>
    <row r="1092" spans="1:18" ht="13.35" customHeight="1">
      <c r="A1092" s="1995" t="s">
        <v>1142</v>
      </c>
      <c r="B1092" s="2122">
        <f>'Part VII-Pro Forma'!B64</f>
        <v>28169.76055954125</v>
      </c>
      <c r="C1092" s="2122">
        <f>'Part VII-Pro Forma'!C64</f>
        <v>26540.141306941565</v>
      </c>
      <c r="D1092" s="2122">
        <f>'Part VII-Pro Forma'!D64</f>
        <v>24753.247240033197</v>
      </c>
      <c r="E1092" s="2122">
        <f>'Part VII-Pro Forma'!E64</f>
        <v>57294.650811486499</v>
      </c>
      <c r="F1092" s="2122">
        <f>'Part VII-Pro Forma'!F64</f>
        <v>55172.463344898635</v>
      </c>
      <c r="G1092" s="2122">
        <f>'Part VII-Pro Forma'!G64</f>
        <v>52872.764962964065</v>
      </c>
      <c r="H1092" s="2122">
        <f>'Part VII-Pro Forma'!H64</f>
        <v>50386.304032396001</v>
      </c>
      <c r="I1092" s="2122">
        <f>'Part VII-Pro Forma'!I64</f>
        <v>47705.561444791529</v>
      </c>
      <c r="J1092" s="2122">
        <f>'Part VII-Pro Forma'!J64</f>
        <v>44823.741593857092</v>
      </c>
      <c r="K1092" s="2122">
        <f>'Part VII-Pro Forma'!K64</f>
        <v>41729.76306197876</v>
      </c>
      <c r="N1092" s="1910"/>
      <c r="O1092" s="1910"/>
    </row>
    <row r="1093" spans="1:18" ht="13.35" customHeight="1">
      <c r="A1093" s="1995" t="str">
        <f>$A1061</f>
        <v>DCR Mortgage A</v>
      </c>
      <c r="B1093" s="2122">
        <f>'Part VII-Pro Forma'!B65</f>
        <v>2.1034278128111881</v>
      </c>
      <c r="C1093" s="2122">
        <f>'Part VII-Pro Forma'!C65</f>
        <v>2.0811458089949078</v>
      </c>
      <c r="D1093" s="2122">
        <f>'Part VII-Pro Forma'!D65</f>
        <v>2.0564848455021805</v>
      </c>
      <c r="E1093" s="2122">
        <f>'Part VII-Pro Forma'!E65</f>
        <v>2.0293454257492716</v>
      </c>
      <c r="F1093" s="2122">
        <f>'Part VII-Pro Forma'!F65</f>
        <v>1.9996085442697544</v>
      </c>
      <c r="G1093" s="2122">
        <f>'Part VII-Pro Forma'!G65</f>
        <v>1.9671829046042895</v>
      </c>
      <c r="H1093" s="2122">
        <f>'Part VII-Pro Forma'!H65</f>
        <v>1.9319258809333997</v>
      </c>
      <c r="I1093" s="2122">
        <f>'Part VII-Pro Forma'!I65</f>
        <v>1.8937222906841877</v>
      </c>
      <c r="J1093" s="2122">
        <f>'Part VII-Pro Forma'!J65</f>
        <v>1.8524684736583612</v>
      </c>
      <c r="K1093" s="2122">
        <f>'Part VII-Pro Forma'!K65</f>
        <v>1.8079932405845367</v>
      </c>
      <c r="N1093" s="1910"/>
      <c r="O1093" s="1910"/>
    </row>
    <row r="1094" spans="1:18" ht="13.35" customHeight="1">
      <c r="A1094" s="1995" t="str">
        <f>$A1062</f>
        <v>DCR Mortgage B</v>
      </c>
      <c r="B1094" s="2122">
        <f>'Part VII-Pro Forma'!B66</f>
        <v>2.0271029226214665</v>
      </c>
      <c r="C1094" s="2122">
        <f>'Part VII-Pro Forma'!C66</f>
        <v>1.986168740490629</v>
      </c>
      <c r="D1094" s="2122">
        <f>'Part VII-Pro Forma'!D66</f>
        <v>1.9408641808353773</v>
      </c>
      <c r="E1094" s="2122" t="str">
        <f>'Part VII-Pro Forma'!E66</f>
        <v/>
      </c>
      <c r="F1094" s="2122" t="str">
        <f>'Part VII-Pro Forma'!F66</f>
        <v/>
      </c>
      <c r="G1094" s="2122" t="str">
        <f>'Part VII-Pro Forma'!G66</f>
        <v/>
      </c>
      <c r="H1094" s="2122" t="str">
        <f>'Part VII-Pro Forma'!H66</f>
        <v/>
      </c>
      <c r="I1094" s="2122" t="str">
        <f>'Part VII-Pro Forma'!I66</f>
        <v/>
      </c>
      <c r="J1094" s="2122" t="str">
        <f>'Part VII-Pro Forma'!J66</f>
        <v/>
      </c>
      <c r="K1094" s="2122" t="str">
        <f>'Part VII-Pro Forma'!K66</f>
        <v/>
      </c>
      <c r="N1094" s="1910"/>
      <c r="O1094" s="1910"/>
    </row>
    <row r="1095" spans="1:18" ht="13.35" customHeight="1">
      <c r="A1095" s="1995" t="str">
        <f>$A1063</f>
        <v>DCR Mortgage C</v>
      </c>
      <c r="B1095" s="2122" t="str">
        <f>'Part VII-Pro Forma'!B67</f>
        <v/>
      </c>
      <c r="C1095" s="2122" t="str">
        <f>'Part VII-Pro Forma'!C67</f>
        <v/>
      </c>
      <c r="D1095" s="2122" t="str">
        <f>'Part VII-Pro Forma'!D67</f>
        <v/>
      </c>
      <c r="E1095" s="2122" t="str">
        <f>'Part VII-Pro Forma'!E67</f>
        <v/>
      </c>
      <c r="F1095" s="2122" t="str">
        <f>'Part VII-Pro Forma'!F67</f>
        <v/>
      </c>
      <c r="G1095" s="2122" t="str">
        <f>'Part VII-Pro Forma'!G67</f>
        <v/>
      </c>
      <c r="H1095" s="2122" t="str">
        <f>'Part VII-Pro Forma'!H67</f>
        <v/>
      </c>
      <c r="I1095" s="2122" t="str">
        <f>'Part VII-Pro Forma'!I67</f>
        <v/>
      </c>
      <c r="J1095" s="2122" t="str">
        <f>'Part VII-Pro Forma'!J67</f>
        <v/>
      </c>
      <c r="K1095" s="2122" t="str">
        <f>'Part VII-Pro Forma'!K67</f>
        <v/>
      </c>
      <c r="N1095" s="1910"/>
      <c r="O1095" s="1910"/>
    </row>
    <row r="1096" spans="1:18" ht="13.35" customHeight="1">
      <c r="A1096" s="1995" t="str">
        <f>$A1064</f>
        <v>DCR Other Source</v>
      </c>
      <c r="B1096" s="2122" t="str">
        <f>'Part VII-Pro Forma'!B68</f>
        <v/>
      </c>
      <c r="C1096" s="2122" t="str">
        <f>'Part VII-Pro Forma'!C68</f>
        <v/>
      </c>
      <c r="D1096" s="2122" t="str">
        <f>'Part VII-Pro Forma'!D68</f>
        <v/>
      </c>
      <c r="E1096" s="2122" t="str">
        <f>'Part VII-Pro Forma'!E68</f>
        <v/>
      </c>
      <c r="F1096" s="2122" t="str">
        <f>'Part VII-Pro Forma'!F68</f>
        <v/>
      </c>
      <c r="G1096" s="2122" t="str">
        <f>'Part VII-Pro Forma'!G68</f>
        <v/>
      </c>
      <c r="H1096" s="2122" t="str">
        <f>'Part VII-Pro Forma'!H68</f>
        <v/>
      </c>
      <c r="I1096" s="2122" t="str">
        <f>'Part VII-Pro Forma'!I68</f>
        <v/>
      </c>
      <c r="J1096" s="2122" t="str">
        <f>'Part VII-Pro Forma'!J68</f>
        <v/>
      </c>
      <c r="K1096" s="2122" t="str">
        <f>'Part VII-Pro Forma'!K68</f>
        <v/>
      </c>
      <c r="N1096" s="1910"/>
      <c r="O1096" s="1910"/>
    </row>
    <row r="1097" spans="1:18" ht="13.35" customHeight="1">
      <c r="A1097" s="1995" t="s">
        <v>3532</v>
      </c>
      <c r="B1097" s="2122">
        <f>'Part VII-Pro Forma'!B69</f>
        <v>1.3620261314200295</v>
      </c>
      <c r="C1097" s="2122">
        <f>'Part VII-Pro Forma'!C69</f>
        <v>1.3475979341349444</v>
      </c>
      <c r="D1097" s="2122">
        <f>'Part VII-Pro Forma'!D69</f>
        <v>1.3316292964196339</v>
      </c>
      <c r="E1097" s="2122">
        <f>'Part VII-Pro Forma'!E69</f>
        <v>2.0293454257492716</v>
      </c>
      <c r="F1097" s="2122">
        <f>'Part VII-Pro Forma'!F69</f>
        <v>1.9996085442697544</v>
      </c>
      <c r="G1097" s="2122">
        <f>'Part VII-Pro Forma'!G69</f>
        <v>1.9671829046042895</v>
      </c>
      <c r="H1097" s="2122">
        <f>'Part VII-Pro Forma'!H69</f>
        <v>1.9319258809333997</v>
      </c>
      <c r="I1097" s="2122">
        <f>'Part VII-Pro Forma'!I69</f>
        <v>1.8937222906841877</v>
      </c>
      <c r="J1097" s="2122">
        <f>'Part VII-Pro Forma'!J69</f>
        <v>1.8524684736583612</v>
      </c>
      <c r="K1097" s="2122">
        <f>'Part VII-Pro Forma'!K69</f>
        <v>1.8079932405845367</v>
      </c>
      <c r="N1097" s="1910"/>
      <c r="O1097" s="1910"/>
    </row>
    <row r="1098" spans="1:18" ht="13.35" customHeight="1">
      <c r="A1098" s="1995" t="s">
        <v>752</v>
      </c>
      <c r="B1098" s="2122">
        <f>'Part VII-Pro Forma'!B70</f>
        <v>1.2930631677527116</v>
      </c>
      <c r="C1098" s="2122">
        <f>'Part VII-Pro Forma'!C70</f>
        <v>1.2817962587559319</v>
      </c>
      <c r="D1098" s="2122">
        <f>'Part VII-Pro Forma'!D70</f>
        <v>1.2706159252932627</v>
      </c>
      <c r="E1098" s="2122">
        <f>'Part VII-Pro Forma'!E70</f>
        <v>1.2595226970967432</v>
      </c>
      <c r="F1098" s="2122">
        <f>'Part VII-Pro Forma'!F70</f>
        <v>1.248514528659459</v>
      </c>
      <c r="G1098" s="2122">
        <f>'Part VII-Pro Forma'!G70</f>
        <v>1.2375943352275338</v>
      </c>
      <c r="H1098" s="2122">
        <f>'Part VII-Pro Forma'!H70</f>
        <v>1.2267577419790818</v>
      </c>
      <c r="I1098" s="2122">
        <f>'Part VII-Pro Forma'!I70</f>
        <v>1.216005321570871</v>
      </c>
      <c r="J1098" s="2122">
        <f>'Part VII-Pro Forma'!J70</f>
        <v>1.2053396291639455</v>
      </c>
      <c r="K1098" s="2122">
        <f>'Part VII-Pro Forma'!K70</f>
        <v>1.1947546696132292</v>
      </c>
      <c r="N1098" s="1910"/>
      <c r="O1098" s="1910"/>
    </row>
    <row r="1099" spans="1:18" ht="13.35" customHeight="1">
      <c r="A1099" s="1995" t="s">
        <v>2550</v>
      </c>
      <c r="B1099" s="2122">
        <f>'Part VII-Pro Forma'!B71</f>
        <v>745944.40929114202</v>
      </c>
      <c r="C1099" s="2122">
        <f>'Part VII-Pro Forma'!C71</f>
        <v>723034.29521939007</v>
      </c>
      <c r="D1099" s="2122">
        <f>'Part VII-Pro Forma'!D71</f>
        <v>698831.87063166208</v>
      </c>
      <c r="E1099" s="2122">
        <f>'Part VII-Pro Forma'!E71</f>
        <v>673264.23905679805</v>
      </c>
      <c r="F1099" s="2122">
        <f>'Part VII-Pro Forma'!F71</f>
        <v>646254.39208967029</v>
      </c>
      <c r="G1099" s="2122">
        <f>'Part VII-Pro Forma'!G71</f>
        <v>617720.97744578612</v>
      </c>
      <c r="H1099" s="2122">
        <f>'Part VII-Pro Forma'!H71</f>
        <v>587578.0539323471</v>
      </c>
      <c r="I1099" s="2122">
        <f>'Part VII-Pro Forma'!I71</f>
        <v>555734.83259775024</v>
      </c>
      <c r="J1099" s="2122">
        <f>'Part VII-Pro Forma'!J71</f>
        <v>522095.40327988565</v>
      </c>
      <c r="K1099" s="2122">
        <f>'Part VII-Pro Forma'!K71</f>
        <v>486558.44572960993</v>
      </c>
      <c r="N1099" s="1910"/>
      <c r="O1099" s="1910"/>
    </row>
    <row r="1100" spans="1:18" ht="13.35" customHeight="1">
      <c r="A1100" s="1995" t="s">
        <v>2551</v>
      </c>
      <c r="B1100" s="2122">
        <f>'Part VII-Pro Forma'!B72</f>
        <v>296751.03499202128</v>
      </c>
      <c r="C1100" s="2122">
        <f>'Part VII-Pro Forma'!C72</f>
        <v>265081.58263326867</v>
      </c>
      <c r="D1100" s="2122">
        <f>'Part VII-Pro Forma'!D72</f>
        <v>233093.98019480161</v>
      </c>
      <c r="E1100" s="2122">
        <f>'Part VII-Pro Forma'!E72</f>
        <v>235435.63320287582</v>
      </c>
      <c r="F1100" s="2122">
        <f>'Part VII-Pro Forma'!F72</f>
        <v>0</v>
      </c>
      <c r="G1100" s="2122">
        <f>'Part VII-Pro Forma'!G72</f>
        <v>0</v>
      </c>
      <c r="H1100" s="2122">
        <f>'Part VII-Pro Forma'!H72</f>
        <v>0</v>
      </c>
      <c r="I1100" s="2122">
        <f>'Part VII-Pro Forma'!I72</f>
        <v>0</v>
      </c>
      <c r="J1100" s="2122">
        <f>'Part VII-Pro Forma'!J72</f>
        <v>0</v>
      </c>
      <c r="K1100" s="2122">
        <f>'Part VII-Pro Forma'!K72</f>
        <v>0</v>
      </c>
      <c r="N1100" s="1910"/>
      <c r="O1100" s="1910"/>
    </row>
    <row r="1101" spans="1:18" ht="13.35" customHeight="1">
      <c r="A1101" s="1995" t="s">
        <v>2552</v>
      </c>
      <c r="B1101" s="2122" t="str">
        <f>'Part VII-Pro Forma'!B73</f>
        <v/>
      </c>
      <c r="C1101" s="2122" t="str">
        <f>'Part VII-Pro Forma'!C73</f>
        <v/>
      </c>
      <c r="D1101" s="2122" t="str">
        <f>'Part VII-Pro Forma'!D73</f>
        <v/>
      </c>
      <c r="E1101" s="2122" t="str">
        <f>'Part VII-Pro Forma'!E73</f>
        <v/>
      </c>
      <c r="F1101" s="2122" t="str">
        <f>'Part VII-Pro Forma'!F73</f>
        <v/>
      </c>
      <c r="G1101" s="2122" t="str">
        <f>'Part VII-Pro Forma'!G73</f>
        <v/>
      </c>
      <c r="H1101" s="2122" t="str">
        <f>'Part VII-Pro Forma'!H73</f>
        <v/>
      </c>
      <c r="I1101" s="2122" t="str">
        <f>'Part VII-Pro Forma'!I73</f>
        <v/>
      </c>
      <c r="J1101" s="2122" t="str">
        <f>'Part VII-Pro Forma'!J73</f>
        <v/>
      </c>
      <c r="K1101" s="2122" t="str">
        <f>'Part VII-Pro Forma'!K73</f>
        <v/>
      </c>
      <c r="N1101" s="1910"/>
      <c r="O1101" s="1910"/>
    </row>
    <row r="1102" spans="1:18" ht="13.35" customHeight="1">
      <c r="A1102" s="1995" t="s">
        <v>764</v>
      </c>
      <c r="B1102" s="2122" t="str">
        <f>'Part VII-Pro Forma'!B74</f>
        <v/>
      </c>
      <c r="C1102" s="2122" t="str">
        <f>'Part VII-Pro Forma'!C74</f>
        <v/>
      </c>
      <c r="D1102" s="2122" t="str">
        <f>'Part VII-Pro Forma'!D74</f>
        <v/>
      </c>
      <c r="E1102" s="2122" t="str">
        <f>'Part VII-Pro Forma'!E74</f>
        <v/>
      </c>
      <c r="F1102" s="2122" t="str">
        <f>'Part VII-Pro Forma'!F74</f>
        <v/>
      </c>
      <c r="G1102" s="2122" t="str">
        <f>'Part VII-Pro Forma'!G74</f>
        <v/>
      </c>
      <c r="H1102" s="2122" t="str">
        <f>'Part VII-Pro Forma'!H74</f>
        <v/>
      </c>
      <c r="I1102" s="2122" t="str">
        <f>'Part VII-Pro Forma'!I74</f>
        <v/>
      </c>
      <c r="J1102" s="2122" t="str">
        <f>'Part VII-Pro Forma'!J74</f>
        <v/>
      </c>
      <c r="K1102" s="2122" t="str">
        <f>'Part VII-Pro Forma'!K74</f>
        <v/>
      </c>
      <c r="N1102" s="1910"/>
      <c r="O1102" s="1910"/>
    </row>
    <row r="1103" spans="1:18" ht="13.35" customHeight="1">
      <c r="A1103" s="1995" t="s">
        <v>3770</v>
      </c>
      <c r="B1103" s="2122">
        <f>'Part VII-Pro Forma'!B75</f>
        <v>1.626847461197522E-11</v>
      </c>
      <c r="C1103" s="2122">
        <f>'Part VII-Pro Forma'!C75</f>
        <v>1.6763295834821536E-11</v>
      </c>
      <c r="D1103" s="2122">
        <f>'Part VII-Pro Forma'!D75</f>
        <v>1.7273167518661836E-11</v>
      </c>
      <c r="E1103" s="2122">
        <f>'Part VII-Pro Forma'!E75</f>
        <v>1.7798547437669237E-11</v>
      </c>
      <c r="F1103" s="2122">
        <f>'Part VII-Pro Forma'!F75</f>
        <v>1.833990728965639E-11</v>
      </c>
      <c r="G1103" s="2122">
        <f>'Part VII-Pro Forma'!G75</f>
        <v>1.8897733119576286E-11</v>
      </c>
      <c r="H1103" s="2122" t="str">
        <f>'Part VII-Pro Forma'!H75</f>
        <v/>
      </c>
      <c r="I1103" s="2122" t="str">
        <f>'Part VII-Pro Forma'!I75</f>
        <v/>
      </c>
      <c r="J1103" s="2122" t="str">
        <f>'Part VII-Pro Forma'!J75</f>
        <v/>
      </c>
      <c r="K1103" s="2122" t="str">
        <f>'Part VII-Pro Forma'!K75</f>
        <v/>
      </c>
      <c r="N1103" s="1910"/>
      <c r="O1103" s="1910"/>
    </row>
    <row r="1104" spans="1:18" ht="4.3499999999999996" customHeight="1">
      <c r="B1104" s="2122"/>
      <c r="C1104" s="2122"/>
      <c r="D1104" s="2122"/>
      <c r="E1104" s="2122"/>
      <c r="F1104" s="2122"/>
      <c r="G1104" s="2122"/>
      <c r="H1104" s="2122"/>
      <c r="I1104" s="2122"/>
      <c r="J1104" s="2122"/>
      <c r="K1104" s="2122"/>
    </row>
    <row r="1105" spans="1:19" ht="14.4" customHeight="1">
      <c r="A1105" s="1995" t="s">
        <v>2416</v>
      </c>
      <c r="B1105" s="2122">
        <f>K1073+1</f>
        <v>21</v>
      </c>
      <c r="C1105" s="2122">
        <f t="shared" ref="C1105:K1105" si="395">B1105+1</f>
        <v>22</v>
      </c>
      <c r="D1105" s="2122">
        <f t="shared" si="395"/>
        <v>23</v>
      </c>
      <c r="E1105" s="2122">
        <f t="shared" si="395"/>
        <v>24</v>
      </c>
      <c r="F1105" s="2122">
        <f t="shared" si="395"/>
        <v>25</v>
      </c>
      <c r="G1105" s="2122">
        <f t="shared" si="395"/>
        <v>26</v>
      </c>
      <c r="H1105" s="2122">
        <f t="shared" si="395"/>
        <v>27</v>
      </c>
      <c r="I1105" s="2122">
        <f t="shared" si="395"/>
        <v>28</v>
      </c>
      <c r="J1105" s="2122">
        <f t="shared" si="395"/>
        <v>29</v>
      </c>
      <c r="K1105" s="2122">
        <f t="shared" si="395"/>
        <v>30</v>
      </c>
      <c r="N1105" s="1995" t="s">
        <v>2555</v>
      </c>
    </row>
    <row r="1106" spans="1:19" ht="13.35" customHeight="1">
      <c r="A1106" s="1995" t="s">
        <v>2342</v>
      </c>
      <c r="B1106" s="2122">
        <f>'Part VII-Pro Forma'!B78</f>
        <v>755711.2390675036</v>
      </c>
      <c r="C1106" s="2122">
        <f>'Part VII-Pro Forma'!C78</f>
        <v>770825.4638488536</v>
      </c>
      <c r="D1106" s="2122">
        <f>'Part VII-Pro Forma'!D78</f>
        <v>786241.97312583076</v>
      </c>
      <c r="E1106" s="2122">
        <f>'Part VII-Pro Forma'!E78</f>
        <v>801966.81258834712</v>
      </c>
      <c r="F1106" s="2122">
        <f>'Part VII-Pro Forma'!F78</f>
        <v>818006.14884011413</v>
      </c>
      <c r="G1106" s="2122">
        <f>'Part VII-Pro Forma'!G78</f>
        <v>834366.27181691641</v>
      </c>
      <c r="H1106" s="2122">
        <f>'Part VII-Pro Forma'!H78</f>
        <v>851053.59725325485</v>
      </c>
      <c r="I1106" s="2122">
        <f>'Part VII-Pro Forma'!I78</f>
        <v>868074.66919831978</v>
      </c>
      <c r="J1106" s="2122">
        <f>'Part VII-Pro Forma'!J78</f>
        <v>885436.1625822864</v>
      </c>
      <c r="K1106" s="2122">
        <f>'Part VII-Pro Forma'!K78</f>
        <v>903144.88583393197</v>
      </c>
      <c r="N1106" s="1910"/>
      <c r="O1106" s="1910"/>
    </row>
    <row r="1107" spans="1:19" ht="13.35" customHeight="1">
      <c r="A1107" s="1995" t="s">
        <v>994</v>
      </c>
      <c r="B1107" s="2122">
        <f>'Part VII-Pro Forma'!B79</f>
        <v>15114.224781350073</v>
      </c>
      <c r="C1107" s="2122">
        <f>'Part VII-Pro Forma'!C79</f>
        <v>15416.509276977073</v>
      </c>
      <c r="D1107" s="2122">
        <f>'Part VII-Pro Forma'!D79</f>
        <v>15724.839462516615</v>
      </c>
      <c r="E1107" s="2122">
        <f>'Part VII-Pro Forma'!E79</f>
        <v>16039.336251766945</v>
      </c>
      <c r="F1107" s="2122">
        <f>'Part VII-Pro Forma'!F79</f>
        <v>16360.122976802284</v>
      </c>
      <c r="G1107" s="2122">
        <f>'Part VII-Pro Forma'!G79</f>
        <v>16687.325436338331</v>
      </c>
      <c r="H1107" s="2122">
        <f>'Part VII-Pro Forma'!H79</f>
        <v>17021.071945065098</v>
      </c>
      <c r="I1107" s="2122">
        <f>'Part VII-Pro Forma'!I79</f>
        <v>17361.493383966397</v>
      </c>
      <c r="J1107" s="2122">
        <f>'Part VII-Pro Forma'!J79</f>
        <v>17708.72325164573</v>
      </c>
      <c r="K1107" s="2122">
        <f>'Part VII-Pro Forma'!K79</f>
        <v>18062.897716678639</v>
      </c>
      <c r="N1107" s="1910"/>
      <c r="O1107" s="1910"/>
    </row>
    <row r="1108" spans="1:19" ht="13.35" customHeight="1">
      <c r="A1108" s="1995" t="s">
        <v>2343</v>
      </c>
      <c r="B1108" s="2122">
        <f>'Part VII-Pro Forma'!B80</f>
        <v>-53957.782469419762</v>
      </c>
      <c r="C1108" s="2122">
        <f>'Part VII-Pro Forma'!C80</f>
        <v>-55036.938118808153</v>
      </c>
      <c r="D1108" s="2122">
        <f>'Part VII-Pro Forma'!D80</f>
        <v>-56137.676881184321</v>
      </c>
      <c r="E1108" s="2122">
        <f>'Part VII-Pro Forma'!E80</f>
        <v>-57260.430418807984</v>
      </c>
      <c r="F1108" s="2122">
        <f>'Part VII-Pro Forma'!F80</f>
        <v>-58405.639027184152</v>
      </c>
      <c r="G1108" s="2122">
        <f>'Part VII-Pro Forma'!G80</f>
        <v>-59573.751807727836</v>
      </c>
      <c r="H1108" s="2122">
        <f>'Part VII-Pro Forma'!H80</f>
        <v>-60765.226843882396</v>
      </c>
      <c r="I1108" s="2122">
        <f>'Part VII-Pro Forma'!I80</f>
        <v>-61980.53138076004</v>
      </c>
      <c r="J1108" s="2122">
        <f>'Part VII-Pro Forma'!J80</f>
        <v>-63220.142008375253</v>
      </c>
      <c r="K1108" s="2122">
        <f>'Part VII-Pro Forma'!K80</f>
        <v>-64484.544848542755</v>
      </c>
      <c r="N1108" s="1910"/>
      <c r="O1108" s="1910"/>
    </row>
    <row r="1109" spans="1:19" ht="13.35" customHeight="1">
      <c r="A1109" s="1995" t="s">
        <v>50</v>
      </c>
      <c r="B1109" s="2122">
        <f>'Part VII-Pro Forma'!B81</f>
        <v>0</v>
      </c>
      <c r="C1109" s="2122">
        <f>'Part VII-Pro Forma'!C81</f>
        <v>0</v>
      </c>
      <c r="D1109" s="2122">
        <f>'Part VII-Pro Forma'!D81</f>
        <v>0</v>
      </c>
      <c r="E1109" s="2122">
        <f>'Part VII-Pro Forma'!E81</f>
        <v>0</v>
      </c>
      <c r="F1109" s="2122">
        <f>'Part VII-Pro Forma'!F81</f>
        <v>0</v>
      </c>
      <c r="G1109" s="2122">
        <f>'Part VII-Pro Forma'!G81</f>
        <v>0</v>
      </c>
      <c r="H1109" s="2122">
        <f>'Part VII-Pro Forma'!H81</f>
        <v>0</v>
      </c>
      <c r="I1109" s="2122">
        <f>'Part VII-Pro Forma'!I81</f>
        <v>0</v>
      </c>
      <c r="J1109" s="2122">
        <f>'Part VII-Pro Forma'!J81</f>
        <v>0</v>
      </c>
      <c r="K1109" s="2122">
        <f>'Part VII-Pro Forma'!K81</f>
        <v>0</v>
      </c>
      <c r="N1109" s="1910"/>
      <c r="O1109" s="1910"/>
    </row>
    <row r="1110" spans="1:19" ht="13.35" customHeight="1">
      <c r="A1110" s="1995" t="s">
        <v>51</v>
      </c>
      <c r="B1110" s="2122">
        <f>'Part VII-Pro Forma'!B82</f>
        <v>0</v>
      </c>
      <c r="C1110" s="2122">
        <f>'Part VII-Pro Forma'!C82</f>
        <v>0</v>
      </c>
      <c r="D1110" s="2122">
        <f>'Part VII-Pro Forma'!D82</f>
        <v>0</v>
      </c>
      <c r="E1110" s="2122">
        <f>'Part VII-Pro Forma'!E82</f>
        <v>0</v>
      </c>
      <c r="F1110" s="2122">
        <f>'Part VII-Pro Forma'!F82</f>
        <v>0</v>
      </c>
      <c r="G1110" s="2122">
        <f>'Part VII-Pro Forma'!G82</f>
        <v>0</v>
      </c>
      <c r="H1110" s="2122">
        <f>'Part VII-Pro Forma'!H82</f>
        <v>0</v>
      </c>
      <c r="I1110" s="2122">
        <f>'Part VII-Pro Forma'!I82</f>
        <v>0</v>
      </c>
      <c r="J1110" s="2122">
        <f>'Part VII-Pro Forma'!J82</f>
        <v>0</v>
      </c>
      <c r="K1110" s="2122">
        <f>'Part VII-Pro Forma'!K82</f>
        <v>0</v>
      </c>
      <c r="N1110" s="1910"/>
      <c r="O1110" s="1910"/>
    </row>
    <row r="1111" spans="1:19" ht="13.35" customHeight="1">
      <c r="A1111" s="1995" t="s">
        <v>4376</v>
      </c>
      <c r="B1111" s="2122">
        <f>'Part VII-Pro Forma'!B83</f>
        <v>716867.68137943395</v>
      </c>
      <c r="C1111" s="2122">
        <f>'Part VII-Pro Forma'!C83</f>
        <v>731205.03500702244</v>
      </c>
      <c r="D1111" s="2122">
        <f>'Part VII-Pro Forma'!D83</f>
        <v>745829.13570716302</v>
      </c>
      <c r="E1111" s="2122">
        <f>'Part VII-Pro Forma'!E83</f>
        <v>760745.718421306</v>
      </c>
      <c r="F1111" s="2122">
        <f>'Part VII-Pro Forma'!F83</f>
        <v>775960.63278973231</v>
      </c>
      <c r="G1111" s="2122">
        <f>'Part VII-Pro Forma'!G83</f>
        <v>791479.84544552688</v>
      </c>
      <c r="H1111" s="2122">
        <f>'Part VII-Pro Forma'!H83</f>
        <v>807309.44235443755</v>
      </c>
      <c r="I1111" s="2122">
        <f>'Part VII-Pro Forma'!I83</f>
        <v>823455.63120152615</v>
      </c>
      <c r="J1111" s="2122">
        <f>'Part VII-Pro Forma'!J83</f>
        <v>839924.74382555683</v>
      </c>
      <c r="K1111" s="2122">
        <f>'Part VII-Pro Forma'!K83</f>
        <v>856723.23870206787</v>
      </c>
      <c r="N1111" s="1910"/>
      <c r="O1111" s="1910"/>
    </row>
    <row r="1112" spans="1:19" ht="13.35" customHeight="1">
      <c r="A1112" s="1995" t="s">
        <v>597</v>
      </c>
      <c r="B1112" s="2122">
        <f>'Part VII-Pro Forma'!B84</f>
        <v>-515473.17693082389</v>
      </c>
      <c r="C1112" s="2122">
        <f>'Part VII-Pro Forma'!C84</f>
        <v>-530937.37223874859</v>
      </c>
      <c r="D1112" s="2122">
        <f>'Part VII-Pro Forma'!D84</f>
        <v>-546865.49340591102</v>
      </c>
      <c r="E1112" s="2122">
        <f>'Part VII-Pro Forma'!E84</f>
        <v>-563271.45820808841</v>
      </c>
      <c r="F1112" s="2122">
        <f>'Part VII-Pro Forma'!F84</f>
        <v>-580169.60195433092</v>
      </c>
      <c r="G1112" s="2122">
        <f>'Part VII-Pro Forma'!G84</f>
        <v>-597574.69001296093</v>
      </c>
      <c r="H1112" s="2122">
        <f>'Part VII-Pro Forma'!H84</f>
        <v>-615501.93071334984</v>
      </c>
      <c r="I1112" s="2122">
        <f>'Part VII-Pro Forma'!I84</f>
        <v>-633966.98863475025</v>
      </c>
      <c r="J1112" s="2122">
        <f>'Part VII-Pro Forma'!J84</f>
        <v>-652985.99829379271</v>
      </c>
      <c r="K1112" s="2122">
        <f>'Part VII-Pro Forma'!K84</f>
        <v>-672575.57824260648</v>
      </c>
      <c r="N1112" s="1910"/>
      <c r="O1112" s="1910"/>
    </row>
    <row r="1113" spans="1:19" ht="13.35" customHeight="1">
      <c r="A1113" s="1995" t="s">
        <v>1093</v>
      </c>
      <c r="B1113" s="2122">
        <f>'Part VII-Pro Forma'!B85</f>
        <v>-57349</v>
      </c>
      <c r="C1113" s="2122">
        <f>'Part VII-Pro Forma'!C85</f>
        <v>-58496</v>
      </c>
      <c r="D1113" s="2122">
        <f>'Part VII-Pro Forma'!D85</f>
        <v>-59666</v>
      </c>
      <c r="E1113" s="2122">
        <f>'Part VII-Pro Forma'!E85</f>
        <v>-60860</v>
      </c>
      <c r="F1113" s="2122">
        <f>'Part VII-Pro Forma'!F85</f>
        <v>-62077</v>
      </c>
      <c r="G1113" s="2122">
        <f>'Part VII-Pro Forma'!G85</f>
        <v>-63318</v>
      </c>
      <c r="H1113" s="2122">
        <f>'Part VII-Pro Forma'!H85</f>
        <v>-64585</v>
      </c>
      <c r="I1113" s="2122">
        <f>'Part VII-Pro Forma'!I85</f>
        <v>-65876</v>
      </c>
      <c r="J1113" s="2122">
        <f>'Part VII-Pro Forma'!J85</f>
        <v>-67194</v>
      </c>
      <c r="K1113" s="2122">
        <f>'Part VII-Pro Forma'!K85</f>
        <v>-68538</v>
      </c>
      <c r="N1113" s="1910"/>
      <c r="O1113" s="1910"/>
    </row>
    <row r="1114" spans="1:19" ht="13.35" customHeight="1">
      <c r="A1114" s="1995" t="s">
        <v>1176</v>
      </c>
      <c r="B1114" s="2122">
        <f>'Part VII-Pro Forma'!B86</f>
        <v>-32510.00222404944</v>
      </c>
      <c r="C1114" s="2122">
        <f>'Part VII-Pro Forma'!C86</f>
        <v>-33485.302290770916</v>
      </c>
      <c r="D1114" s="2122">
        <f>'Part VII-Pro Forma'!D86</f>
        <v>-34489.861359494047</v>
      </c>
      <c r="E1114" s="2122">
        <f>'Part VII-Pro Forma'!E86</f>
        <v>-35524.557200278869</v>
      </c>
      <c r="F1114" s="2122">
        <f>'Part VII-Pro Forma'!F86</f>
        <v>-36590.293916287235</v>
      </c>
      <c r="G1114" s="2122">
        <f>'Part VII-Pro Forma'!G86</f>
        <v>-37688.002733775851</v>
      </c>
      <c r="H1114" s="2122">
        <f>'Part VII-Pro Forma'!H86</f>
        <v>-38818.642815789128</v>
      </c>
      <c r="I1114" s="2122">
        <f>'Part VII-Pro Forma'!I86</f>
        <v>-39983.202100262803</v>
      </c>
      <c r="J1114" s="2122">
        <f>'Part VII-Pro Forma'!J86</f>
        <v>-41182.698163270681</v>
      </c>
      <c r="K1114" s="2122">
        <f>'Part VII-Pro Forma'!K86</f>
        <v>-42418.179108168799</v>
      </c>
      <c r="N1114" s="1910"/>
      <c r="O1114" s="1910"/>
      <c r="Q1114" s="1874">
        <v>10</v>
      </c>
      <c r="R1114" s="1900">
        <f>-SUM(B1120:K1120)</f>
        <v>0</v>
      </c>
      <c r="S1114" s="1900">
        <f>SUM(B1121:K1121)+R1114</f>
        <v>0</v>
      </c>
    </row>
    <row r="1115" spans="1:19" ht="13.35" customHeight="1">
      <c r="A1115" s="1995" t="s">
        <v>4375</v>
      </c>
      <c r="B1115" s="2122">
        <f>'Part VII-Pro Forma'!B87</f>
        <v>0</v>
      </c>
      <c r="C1115" s="2122">
        <f>'Part VII-Pro Forma'!C87</f>
        <v>0</v>
      </c>
      <c r="D1115" s="2122">
        <f>'Part VII-Pro Forma'!D87</f>
        <v>0</v>
      </c>
      <c r="E1115" s="2122">
        <f>'Part VII-Pro Forma'!E87</f>
        <v>0</v>
      </c>
      <c r="F1115" s="2122">
        <f>'Part VII-Pro Forma'!F87</f>
        <v>0</v>
      </c>
      <c r="G1115" s="2122">
        <f>'Part VII-Pro Forma'!G87</f>
        <v>0</v>
      </c>
      <c r="H1115" s="2122">
        <f>'Part VII-Pro Forma'!H87</f>
        <v>0</v>
      </c>
      <c r="I1115" s="2122">
        <f>'Part VII-Pro Forma'!I87</f>
        <v>0</v>
      </c>
      <c r="J1115" s="2122">
        <f>'Part VII-Pro Forma'!J87</f>
        <v>0</v>
      </c>
      <c r="K1115" s="2122">
        <f>'Part VII-Pro Forma'!K87</f>
        <v>0</v>
      </c>
      <c r="N1115" s="1910"/>
      <c r="O1115" s="1910"/>
    </row>
    <row r="1116" spans="1:19" ht="13.35" customHeight="1">
      <c r="A1116" s="1995" t="s">
        <v>1177</v>
      </c>
      <c r="B1116" s="2122">
        <f>'Part VII-Pro Forma'!B88</f>
        <v>111535.50222456062</v>
      </c>
      <c r="C1116" s="2122">
        <f>'Part VII-Pro Forma'!C88</f>
        <v>108286.36047750292</v>
      </c>
      <c r="D1116" s="2122">
        <f>'Part VII-Pro Forma'!D88</f>
        <v>104807.78094175796</v>
      </c>
      <c r="E1116" s="2122">
        <f>'Part VII-Pro Forma'!E88</f>
        <v>101089.70301293871</v>
      </c>
      <c r="F1116" s="2122">
        <f>'Part VII-Pro Forma'!F88</f>
        <v>97123.736919114148</v>
      </c>
      <c r="G1116" s="2122">
        <f>'Part VII-Pro Forma'!G88</f>
        <v>92899.152698790102</v>
      </c>
      <c r="H1116" s="2122">
        <f>'Part VII-Pro Forma'!H88</f>
        <v>88403.868825298588</v>
      </c>
      <c r="I1116" s="2122">
        <f>'Part VII-Pro Forma'!I88</f>
        <v>83629.440466513101</v>
      </c>
      <c r="J1116" s="2122">
        <f>'Part VII-Pro Forma'!J88</f>
        <v>78562.047368493426</v>
      </c>
      <c r="K1116" s="2122">
        <f>'Part VII-Pro Forma'!K88</f>
        <v>73191.48135129259</v>
      </c>
      <c r="N1116" s="1910"/>
      <c r="O1116" s="1910"/>
    </row>
    <row r="1117" spans="1:19" ht="13.35" customHeight="1">
      <c r="A1117" s="1995" t="str">
        <f>$A1085</f>
        <v>Mortgage A</v>
      </c>
      <c r="B1117" s="2122">
        <f>'Part VII-Pro Forma'!B89</f>
        <v>0</v>
      </c>
      <c r="C1117" s="2122">
        <f>'Part VII-Pro Forma'!C89</f>
        <v>0</v>
      </c>
      <c r="D1117" s="2122">
        <f>'Part VII-Pro Forma'!D89</f>
        <v>0</v>
      </c>
      <c r="E1117" s="2122">
        <f>'Part VII-Pro Forma'!E89</f>
        <v>0</v>
      </c>
      <c r="F1117" s="2122">
        <f>'Part VII-Pro Forma'!F89</f>
        <v>0</v>
      </c>
      <c r="G1117" s="2122">
        <f>'Part VII-Pro Forma'!G89</f>
        <v>0</v>
      </c>
      <c r="H1117" s="2122">
        <f>'Part VII-Pro Forma'!H89</f>
        <v>0</v>
      </c>
      <c r="I1117" s="2122">
        <f>'Part VII-Pro Forma'!I89</f>
        <v>0</v>
      </c>
      <c r="J1117" s="2122">
        <f>'Part VII-Pro Forma'!J89</f>
        <v>0</v>
      </c>
      <c r="K1117" s="2122">
        <f>'Part VII-Pro Forma'!K89</f>
        <v>0</v>
      </c>
      <c r="N1117" s="1910"/>
      <c r="O1117" s="1910"/>
    </row>
    <row r="1118" spans="1:19" ht="13.35" customHeight="1">
      <c r="A1118" s="1995" t="str">
        <f>$A1086</f>
        <v>Mortgage B</v>
      </c>
      <c r="B1118" s="2122">
        <f>'Part VII-Pro Forma'!B90</f>
        <v>0</v>
      </c>
      <c r="C1118" s="2122">
        <f>'Part VII-Pro Forma'!C90</f>
        <v>0</v>
      </c>
      <c r="D1118" s="2122">
        <f>'Part VII-Pro Forma'!D90</f>
        <v>0</v>
      </c>
      <c r="E1118" s="2122">
        <f>'Part VII-Pro Forma'!E90</f>
        <v>0</v>
      </c>
      <c r="F1118" s="2122">
        <f>'Part VII-Pro Forma'!F90</f>
        <v>0</v>
      </c>
      <c r="G1118" s="2122">
        <f>'Part VII-Pro Forma'!G90</f>
        <v>0</v>
      </c>
      <c r="H1118" s="2122">
        <f>'Part VII-Pro Forma'!H90</f>
        <v>0</v>
      </c>
      <c r="I1118" s="2122">
        <f>'Part VII-Pro Forma'!I90</f>
        <v>0</v>
      </c>
      <c r="J1118" s="2122">
        <f>'Part VII-Pro Forma'!J90</f>
        <v>0</v>
      </c>
      <c r="K1118" s="2122">
        <f>'Part VII-Pro Forma'!K90</f>
        <v>0</v>
      </c>
      <c r="N1118" s="1910"/>
      <c r="O1118" s="1910"/>
    </row>
    <row r="1119" spans="1:19" ht="13.35" customHeight="1">
      <c r="A1119" s="1995" t="str">
        <f>$A1087</f>
        <v>Mortgage C</v>
      </c>
      <c r="B1119" s="2122">
        <f>'Part VII-Pro Forma'!B91</f>
        <v>0</v>
      </c>
      <c r="C1119" s="2122">
        <f>'Part VII-Pro Forma'!C91</f>
        <v>0</v>
      </c>
      <c r="D1119" s="2122">
        <f>'Part VII-Pro Forma'!D91</f>
        <v>0</v>
      </c>
      <c r="E1119" s="2122">
        <f>'Part VII-Pro Forma'!E91</f>
        <v>0</v>
      </c>
      <c r="F1119" s="2122">
        <f>'Part VII-Pro Forma'!F91</f>
        <v>0</v>
      </c>
      <c r="G1119" s="2122">
        <f>'Part VII-Pro Forma'!G91</f>
        <v>0</v>
      </c>
      <c r="H1119" s="2122">
        <f>'Part VII-Pro Forma'!H91</f>
        <v>0</v>
      </c>
      <c r="I1119" s="2122">
        <f>'Part VII-Pro Forma'!I91</f>
        <v>0</v>
      </c>
      <c r="J1119" s="2122">
        <f>'Part VII-Pro Forma'!J91</f>
        <v>0</v>
      </c>
      <c r="K1119" s="2122">
        <f>'Part VII-Pro Forma'!K91</f>
        <v>0</v>
      </c>
      <c r="N1119" s="1910"/>
      <c r="O1119" s="1910"/>
    </row>
    <row r="1120" spans="1:19" ht="13.35" customHeight="1">
      <c r="A1120" s="1995" t="str">
        <f>$A1088</f>
        <v>D/S Other Source,not DDF</v>
      </c>
      <c r="B1120" s="2122">
        <f>'Part VII-Pro Forma'!B92</f>
        <v>0</v>
      </c>
      <c r="C1120" s="2122">
        <f>'Part VII-Pro Forma'!C92</f>
        <v>0</v>
      </c>
      <c r="D1120" s="2122">
        <f>'Part VII-Pro Forma'!D92</f>
        <v>0</v>
      </c>
      <c r="E1120" s="2122">
        <f>'Part VII-Pro Forma'!E92</f>
        <v>0</v>
      </c>
      <c r="F1120" s="2122">
        <f>'Part VII-Pro Forma'!F92</f>
        <v>0</v>
      </c>
      <c r="G1120" s="2122">
        <f>'Part VII-Pro Forma'!G92</f>
        <v>0</v>
      </c>
      <c r="H1120" s="2122">
        <f>'Part VII-Pro Forma'!H92</f>
        <v>0</v>
      </c>
      <c r="I1120" s="2122">
        <f>'Part VII-Pro Forma'!I92</f>
        <v>0</v>
      </c>
      <c r="J1120" s="2122">
        <f>'Part VII-Pro Forma'!J92</f>
        <v>0</v>
      </c>
      <c r="K1120" s="2122">
        <f>'Part VII-Pro Forma'!K92</f>
        <v>0</v>
      </c>
      <c r="N1120" s="1910"/>
      <c r="O1120" s="1910"/>
    </row>
    <row r="1121" spans="1:15" ht="13.35" customHeight="1">
      <c r="A1121" s="1995" t="s">
        <v>745</v>
      </c>
      <c r="B1121" s="2122">
        <f>'Part VII-Pro Forma'!B93</f>
        <v>0</v>
      </c>
      <c r="C1121" s="2122">
        <f>'Part VII-Pro Forma'!C93</f>
        <v>0</v>
      </c>
      <c r="D1121" s="2122">
        <f>'Part VII-Pro Forma'!D93</f>
        <v>0</v>
      </c>
      <c r="E1121" s="2122">
        <f>'Part VII-Pro Forma'!E93</f>
        <v>0</v>
      </c>
      <c r="F1121" s="2122">
        <f>'Part VII-Pro Forma'!F93</f>
        <v>0</v>
      </c>
      <c r="G1121" s="2122">
        <f>'Part VII-Pro Forma'!G93</f>
        <v>0</v>
      </c>
      <c r="H1121" s="2122">
        <f>'Part VII-Pro Forma'!H93</f>
        <v>0</v>
      </c>
      <c r="I1121" s="2122">
        <f>'Part VII-Pro Forma'!I93</f>
        <v>0</v>
      </c>
      <c r="J1121" s="2122">
        <f>'Part VII-Pro Forma'!J93</f>
        <v>0</v>
      </c>
      <c r="K1121" s="2122">
        <f>'Part VII-Pro Forma'!K93</f>
        <v>0</v>
      </c>
      <c r="N1121" s="1910"/>
      <c r="O1121" s="1910"/>
    </row>
    <row r="1122" spans="1:15" ht="13.35" customHeight="1">
      <c r="A1122" s="1995" t="s">
        <v>1141</v>
      </c>
      <c r="B1122" s="2122">
        <f>'Part VII-Pro Forma'!B94</f>
        <v>-9468.932686616341</v>
      </c>
      <c r="C1122" s="2122">
        <f>'Part VII-Pro Forma'!C94</f>
        <v>-9468.932686616341</v>
      </c>
      <c r="D1122" s="2122">
        <f>'Part VII-Pro Forma'!D94</f>
        <v>-9468.932686616341</v>
      </c>
      <c r="E1122" s="2122">
        <f>'Part VII-Pro Forma'!E94</f>
        <v>-9468.932686616341</v>
      </c>
      <c r="F1122" s="2122">
        <f>'Part VII-Pro Forma'!F94</f>
        <v>-9468.932686616341</v>
      </c>
      <c r="G1122" s="2122">
        <f>'Part VII-Pro Forma'!G94</f>
        <v>-9468.932686616341</v>
      </c>
      <c r="H1122" s="2122">
        <f>'Part VII-Pro Forma'!H94</f>
        <v>-9468.932686616341</v>
      </c>
      <c r="I1122" s="2122">
        <f>'Part VII-Pro Forma'!I94</f>
        <v>-9468.932686616341</v>
      </c>
      <c r="J1122" s="2122">
        <f>'Part VII-Pro Forma'!J94</f>
        <v>-9468.932686616341</v>
      </c>
      <c r="K1122" s="2122">
        <f>'Part VII-Pro Forma'!K94</f>
        <v>-9468.932686616341</v>
      </c>
      <c r="N1122" s="1910"/>
      <c r="O1122" s="1910"/>
    </row>
    <row r="1123" spans="1:15" ht="13.35" customHeight="1">
      <c r="A1123" s="1995" t="s">
        <v>1142</v>
      </c>
      <c r="B1123" s="2122">
        <f>'Part VII-Pro Forma'!B95</f>
        <v>102066.56953794428</v>
      </c>
      <c r="C1123" s="2122">
        <f>'Part VII-Pro Forma'!C95</f>
        <v>98817.427790886577</v>
      </c>
      <c r="D1123" s="2122">
        <f>'Part VII-Pro Forma'!D95</f>
        <v>95338.848255141609</v>
      </c>
      <c r="E1123" s="2122">
        <f>'Part VII-Pro Forma'!E95</f>
        <v>91620.770326322367</v>
      </c>
      <c r="F1123" s="2122">
        <f>'Part VII-Pro Forma'!F95</f>
        <v>87654.804232497801</v>
      </c>
      <c r="G1123" s="2122">
        <f>'Part VII-Pro Forma'!G95</f>
        <v>83430.220012173755</v>
      </c>
      <c r="H1123" s="2122">
        <f>'Part VII-Pro Forma'!H95</f>
        <v>78934.936138682242</v>
      </c>
      <c r="I1123" s="2122">
        <f>'Part VII-Pro Forma'!I95</f>
        <v>74160.507779896754</v>
      </c>
      <c r="J1123" s="2122">
        <f>'Part VII-Pro Forma'!J95</f>
        <v>69093.114681877079</v>
      </c>
      <c r="K1123" s="2122">
        <f>'Part VII-Pro Forma'!K95</f>
        <v>63722.548664676251</v>
      </c>
      <c r="N1123" s="1910"/>
      <c r="O1123" s="1910"/>
    </row>
    <row r="1124" spans="1:15" ht="13.35" customHeight="1">
      <c r="A1124" s="1995" t="str">
        <f>$A1093</f>
        <v>DCR Mortgage A</v>
      </c>
      <c r="B1124" s="2122" t="str">
        <f>'Part VII-Pro Forma'!B96</f>
        <v/>
      </c>
      <c r="C1124" s="2122" t="str">
        <f>'Part VII-Pro Forma'!C96</f>
        <v/>
      </c>
      <c r="D1124" s="2122" t="str">
        <f>'Part VII-Pro Forma'!D96</f>
        <v/>
      </c>
      <c r="E1124" s="2122" t="str">
        <f>'Part VII-Pro Forma'!E96</f>
        <v/>
      </c>
      <c r="F1124" s="2122" t="str">
        <f>'Part VII-Pro Forma'!F96</f>
        <v/>
      </c>
      <c r="G1124" s="2122" t="str">
        <f>'Part VII-Pro Forma'!G96</f>
        <v/>
      </c>
      <c r="H1124" s="2122" t="str">
        <f>'Part VII-Pro Forma'!H96</f>
        <v/>
      </c>
      <c r="I1124" s="2122" t="str">
        <f>'Part VII-Pro Forma'!I96</f>
        <v/>
      </c>
      <c r="J1124" s="2122" t="str">
        <f>'Part VII-Pro Forma'!J96</f>
        <v/>
      </c>
      <c r="K1124" s="2122" t="str">
        <f>'Part VII-Pro Forma'!K96</f>
        <v/>
      </c>
      <c r="N1124" s="1910"/>
      <c r="O1124" s="1910"/>
    </row>
    <row r="1125" spans="1:15" ht="13.35" customHeight="1">
      <c r="A1125" s="1995" t="str">
        <f>$A1094</f>
        <v>DCR Mortgage B</v>
      </c>
      <c r="B1125" s="2122" t="str">
        <f>'Part VII-Pro Forma'!B97</f>
        <v/>
      </c>
      <c r="C1125" s="2122" t="str">
        <f>'Part VII-Pro Forma'!C97</f>
        <v/>
      </c>
      <c r="D1125" s="2122" t="str">
        <f>'Part VII-Pro Forma'!D97</f>
        <v/>
      </c>
      <c r="E1125" s="2122" t="str">
        <f>'Part VII-Pro Forma'!E97</f>
        <v/>
      </c>
      <c r="F1125" s="2122" t="str">
        <f>'Part VII-Pro Forma'!F97</f>
        <v/>
      </c>
      <c r="G1125" s="2122" t="str">
        <f>'Part VII-Pro Forma'!G97</f>
        <v/>
      </c>
      <c r="H1125" s="2122" t="str">
        <f>'Part VII-Pro Forma'!H97</f>
        <v/>
      </c>
      <c r="I1125" s="2122" t="str">
        <f>'Part VII-Pro Forma'!I97</f>
        <v/>
      </c>
      <c r="J1125" s="2122" t="str">
        <f>'Part VII-Pro Forma'!J97</f>
        <v/>
      </c>
      <c r="K1125" s="2122" t="str">
        <f>'Part VII-Pro Forma'!K97</f>
        <v/>
      </c>
      <c r="N1125" s="1910"/>
      <c r="O1125" s="1910"/>
    </row>
    <row r="1126" spans="1:15" ht="13.35" customHeight="1">
      <c r="A1126" s="1995" t="str">
        <f>$A1095</f>
        <v>DCR Mortgage C</v>
      </c>
      <c r="B1126" s="2122" t="str">
        <f>'Part VII-Pro Forma'!B98</f>
        <v/>
      </c>
      <c r="C1126" s="2122" t="str">
        <f>'Part VII-Pro Forma'!C98</f>
        <v/>
      </c>
      <c r="D1126" s="2122" t="str">
        <f>'Part VII-Pro Forma'!D98</f>
        <v/>
      </c>
      <c r="E1126" s="2122" t="str">
        <f>'Part VII-Pro Forma'!E98</f>
        <v/>
      </c>
      <c r="F1126" s="2122" t="str">
        <f>'Part VII-Pro Forma'!F98</f>
        <v/>
      </c>
      <c r="G1126" s="2122" t="str">
        <f>'Part VII-Pro Forma'!G98</f>
        <v/>
      </c>
      <c r="H1126" s="2122" t="str">
        <f>'Part VII-Pro Forma'!H98</f>
        <v/>
      </c>
      <c r="I1126" s="2122" t="str">
        <f>'Part VII-Pro Forma'!I98</f>
        <v/>
      </c>
      <c r="J1126" s="2122" t="str">
        <f>'Part VII-Pro Forma'!J98</f>
        <v/>
      </c>
      <c r="K1126" s="2122" t="str">
        <f>'Part VII-Pro Forma'!K98</f>
        <v/>
      </c>
      <c r="N1126" s="1910"/>
      <c r="O1126" s="1910"/>
    </row>
    <row r="1127" spans="1:15" ht="13.35" customHeight="1">
      <c r="A1127" s="1995" t="str">
        <f>$A1096</f>
        <v>DCR Other Source</v>
      </c>
      <c r="B1127" s="2122" t="str">
        <f>'Part VII-Pro Forma'!B99</f>
        <v/>
      </c>
      <c r="C1127" s="2122" t="str">
        <f>'Part VII-Pro Forma'!C99</f>
        <v/>
      </c>
      <c r="D1127" s="2122" t="str">
        <f>'Part VII-Pro Forma'!D99</f>
        <v/>
      </c>
      <c r="E1127" s="2122" t="str">
        <f>'Part VII-Pro Forma'!E99</f>
        <v/>
      </c>
      <c r="F1127" s="2122" t="str">
        <f>'Part VII-Pro Forma'!F99</f>
        <v/>
      </c>
      <c r="G1127" s="2122" t="str">
        <f>'Part VII-Pro Forma'!G99</f>
        <v/>
      </c>
      <c r="H1127" s="2122" t="str">
        <f>'Part VII-Pro Forma'!H99</f>
        <v/>
      </c>
      <c r="I1127" s="2122" t="str">
        <f>'Part VII-Pro Forma'!I99</f>
        <v/>
      </c>
      <c r="J1127" s="2122" t="str">
        <f>'Part VII-Pro Forma'!J99</f>
        <v/>
      </c>
      <c r="K1127" s="2122" t="str">
        <f>'Part VII-Pro Forma'!K99</f>
        <v/>
      </c>
      <c r="N1127" s="1910"/>
      <c r="O1127" s="1910"/>
    </row>
    <row r="1128" spans="1:15" ht="13.35" customHeight="1">
      <c r="A1128" s="1995" t="s">
        <v>3532</v>
      </c>
      <c r="B1128" s="2122" t="str">
        <f>'Part VII-Pro Forma'!B100</f>
        <v/>
      </c>
      <c r="C1128" s="2122" t="str">
        <f>'Part VII-Pro Forma'!C100</f>
        <v/>
      </c>
      <c r="D1128" s="2122" t="str">
        <f>'Part VII-Pro Forma'!D100</f>
        <v/>
      </c>
      <c r="E1128" s="2122" t="str">
        <f>'Part VII-Pro Forma'!E100</f>
        <v/>
      </c>
      <c r="F1128" s="2122" t="str">
        <f>'Part VII-Pro Forma'!F100</f>
        <v/>
      </c>
      <c r="G1128" s="2122" t="str">
        <f>'Part VII-Pro Forma'!G100</f>
        <v/>
      </c>
      <c r="H1128" s="2122" t="str">
        <f>'Part VII-Pro Forma'!H100</f>
        <v/>
      </c>
      <c r="I1128" s="2122" t="str">
        <f>'Part VII-Pro Forma'!I100</f>
        <v/>
      </c>
      <c r="J1128" s="2122" t="str">
        <f>'Part VII-Pro Forma'!J100</f>
        <v/>
      </c>
      <c r="K1128" s="2122" t="str">
        <f>'Part VII-Pro Forma'!K100</f>
        <v/>
      </c>
      <c r="N1128" s="1910"/>
      <c r="O1128" s="1910"/>
    </row>
    <row r="1129" spans="1:15" ht="13.35" customHeight="1">
      <c r="A1129" s="1995" t="s">
        <v>752</v>
      </c>
      <c r="B1129" s="2122">
        <f>'Part VII-Pro Forma'!B101</f>
        <v>1.184255035607523</v>
      </c>
      <c r="C1129" s="2122">
        <f>'Part VII-Pro Forma'!C101</f>
        <v>1.1738370752157814</v>
      </c>
      <c r="D1129" s="2122">
        <f>'Part VII-Pro Forma'!D101</f>
        <v>1.163501231530913</v>
      </c>
      <c r="E1129" s="2122">
        <f>'Part VII-Pro Forma'!E101</f>
        <v>1.1532460868265684</v>
      </c>
      <c r="F1129" s="2122">
        <f>'Part VII-Pro Forma'!F101</f>
        <v>1.1430737449745592</v>
      </c>
      <c r="G1129" s="2122">
        <f>'Part VII-Pro Forma'!G101</f>
        <v>1.1329827086023829</v>
      </c>
      <c r="H1129" s="2122">
        <f>'Part VII-Pro Forma'!H101</f>
        <v>1.1229700701739176</v>
      </c>
      <c r="I1129" s="2122">
        <f>'Part VII-Pro Forma'!I101</f>
        <v>1.1130393077642031</v>
      </c>
      <c r="J1129" s="2122">
        <f>'Part VII-Pro Forma'!J101</f>
        <v>1.1031861000467651</v>
      </c>
      <c r="K1129" s="2122">
        <f>'Part VII-Pro Forma'!K101</f>
        <v>1.0934122716337149</v>
      </c>
      <c r="N1129" s="1910"/>
      <c r="O1129" s="1910"/>
    </row>
    <row r="1130" spans="1:15" ht="13.35" customHeight="1">
      <c r="A1130" s="1995" t="s">
        <v>2550</v>
      </c>
      <c r="B1130" s="2122">
        <f>'Part VII-Pro Forma'!B102</f>
        <v>0</v>
      </c>
      <c r="C1130" s="2122">
        <f>'Part VII-Pro Forma'!C102</f>
        <v>0</v>
      </c>
      <c r="D1130" s="2122">
        <f>'Part VII-Pro Forma'!D102</f>
        <v>0</v>
      </c>
      <c r="E1130" s="2122">
        <f>'Part VII-Pro Forma'!E102</f>
        <v>0</v>
      </c>
      <c r="F1130" s="2122">
        <f>'Part VII-Pro Forma'!F102</f>
        <v>0</v>
      </c>
      <c r="G1130" s="2122">
        <f>'Part VII-Pro Forma'!G102</f>
        <v>0</v>
      </c>
      <c r="H1130" s="2122">
        <f>'Part VII-Pro Forma'!H102</f>
        <v>0</v>
      </c>
      <c r="I1130" s="2122">
        <f>'Part VII-Pro Forma'!I102</f>
        <v>0</v>
      </c>
      <c r="J1130" s="2122">
        <f>'Part VII-Pro Forma'!J102</f>
        <v>0</v>
      </c>
      <c r="K1130" s="2122">
        <f>'Part VII-Pro Forma'!K102</f>
        <v>0</v>
      </c>
      <c r="N1130" s="1910"/>
      <c r="O1130" s="1910"/>
    </row>
    <row r="1131" spans="1:15" ht="13.35" customHeight="1">
      <c r="A1131" s="1995" t="s">
        <v>2551</v>
      </c>
      <c r="B1131" s="2122">
        <f>'Part VII-Pro Forma'!B103</f>
        <v>0</v>
      </c>
      <c r="C1131" s="2122">
        <f>'Part VII-Pro Forma'!C103</f>
        <v>0</v>
      </c>
      <c r="D1131" s="2122">
        <f>'Part VII-Pro Forma'!D103</f>
        <v>0</v>
      </c>
      <c r="E1131" s="2122">
        <f>'Part VII-Pro Forma'!E103</f>
        <v>0</v>
      </c>
      <c r="F1131" s="2122">
        <f>'Part VII-Pro Forma'!F103</f>
        <v>0</v>
      </c>
      <c r="G1131" s="2122">
        <f>'Part VII-Pro Forma'!G103</f>
        <v>0</v>
      </c>
      <c r="H1131" s="2122">
        <f>'Part VII-Pro Forma'!H103</f>
        <v>0</v>
      </c>
      <c r="I1131" s="2122">
        <f>'Part VII-Pro Forma'!I103</f>
        <v>0</v>
      </c>
      <c r="J1131" s="2122">
        <f>'Part VII-Pro Forma'!J103</f>
        <v>0</v>
      </c>
      <c r="K1131" s="2122">
        <f>'Part VII-Pro Forma'!K103</f>
        <v>0</v>
      </c>
      <c r="N1131" s="1910"/>
      <c r="O1131" s="1910"/>
    </row>
    <row r="1132" spans="1:15" ht="13.35" customHeight="1">
      <c r="A1132" s="1995" t="s">
        <v>2552</v>
      </c>
      <c r="B1132" s="2122" t="str">
        <f>'Part VII-Pro Forma'!B104</f>
        <v/>
      </c>
      <c r="C1132" s="2122" t="str">
        <f>'Part VII-Pro Forma'!C104</f>
        <v/>
      </c>
      <c r="D1132" s="2122" t="str">
        <f>'Part VII-Pro Forma'!D104</f>
        <v/>
      </c>
      <c r="E1132" s="2122" t="str">
        <f>'Part VII-Pro Forma'!E104</f>
        <v/>
      </c>
      <c r="F1132" s="2122" t="str">
        <f>'Part VII-Pro Forma'!F104</f>
        <v/>
      </c>
      <c r="G1132" s="2122" t="str">
        <f>'Part VII-Pro Forma'!G104</f>
        <v/>
      </c>
      <c r="H1132" s="2122" t="str">
        <f>'Part VII-Pro Forma'!H104</f>
        <v/>
      </c>
      <c r="I1132" s="2122" t="str">
        <f>'Part VII-Pro Forma'!I104</f>
        <v/>
      </c>
      <c r="J1132" s="2122" t="str">
        <f>'Part VII-Pro Forma'!J104</f>
        <v/>
      </c>
      <c r="K1132" s="2122" t="str">
        <f>'Part VII-Pro Forma'!K104</f>
        <v/>
      </c>
      <c r="N1132" s="1910"/>
      <c r="O1132" s="1910"/>
    </row>
    <row r="1133" spans="1:15" ht="13.35" customHeight="1">
      <c r="A1133" s="1995" t="s">
        <v>764</v>
      </c>
      <c r="B1133" s="2122" t="str">
        <f>'Part VII-Pro Forma'!B105</f>
        <v/>
      </c>
      <c r="C1133" s="2122" t="str">
        <f>'Part VII-Pro Forma'!C105</f>
        <v/>
      </c>
      <c r="D1133" s="2122" t="str">
        <f>'Part VII-Pro Forma'!D105</f>
        <v/>
      </c>
      <c r="E1133" s="2122" t="str">
        <f>'Part VII-Pro Forma'!E105</f>
        <v/>
      </c>
      <c r="F1133" s="2122" t="str">
        <f>'Part VII-Pro Forma'!F105</f>
        <v/>
      </c>
      <c r="G1133" s="2122" t="str">
        <f>'Part VII-Pro Forma'!G105</f>
        <v/>
      </c>
      <c r="H1133" s="2122" t="str">
        <f>'Part VII-Pro Forma'!H105</f>
        <v/>
      </c>
      <c r="I1133" s="2122" t="str">
        <f>'Part VII-Pro Forma'!I105</f>
        <v/>
      </c>
      <c r="J1133" s="2122" t="str">
        <f>'Part VII-Pro Forma'!J105</f>
        <v/>
      </c>
      <c r="K1133" s="2122" t="str">
        <f>'Part VII-Pro Forma'!K105</f>
        <v/>
      </c>
      <c r="N1133" s="1910"/>
      <c r="O1133" s="1910"/>
    </row>
    <row r="1134" spans="1:15" ht="4.3499999999999996" customHeight="1">
      <c r="B1134" s="2122"/>
      <c r="C1134" s="2122"/>
      <c r="D1134" s="2122"/>
      <c r="E1134" s="2122"/>
      <c r="F1134" s="2122"/>
      <c r="G1134" s="2122"/>
      <c r="H1134" s="2122"/>
      <c r="I1134" s="2122"/>
      <c r="J1134" s="2122"/>
      <c r="K1134" s="2122"/>
    </row>
    <row r="1135" spans="1:15" ht="14.4" customHeight="1">
      <c r="A1135" s="1995" t="s">
        <v>2416</v>
      </c>
      <c r="B1135" s="2122">
        <f>K1105+1</f>
        <v>31</v>
      </c>
      <c r="C1135" s="2122">
        <f>B1135+1</f>
        <v>32</v>
      </c>
      <c r="D1135" s="2122">
        <f>C1135+1</f>
        <v>33</v>
      </c>
      <c r="E1135" s="2122">
        <f>D1135+1</f>
        <v>34</v>
      </c>
      <c r="F1135" s="2122">
        <f>E1135+1</f>
        <v>35</v>
      </c>
      <c r="G1135" s="2122"/>
      <c r="H1135" s="2122"/>
      <c r="I1135" s="2122"/>
      <c r="J1135" s="2122"/>
      <c r="K1135" s="2122"/>
      <c r="N1135" s="1995" t="s">
        <v>3523</v>
      </c>
    </row>
    <row r="1136" spans="1:15" ht="13.35" customHeight="1">
      <c r="A1136" s="1995" t="s">
        <v>2342</v>
      </c>
      <c r="B1136" s="2122">
        <f>'Part VII-Pro Forma'!B108</f>
        <v>921207.78355061065</v>
      </c>
      <c r="C1136" s="2122">
        <f>'Part VII-Pro Forma'!C108</f>
        <v>939631.93922162266</v>
      </c>
      <c r="D1136" s="2122">
        <f>'Part VII-Pro Forma'!D108</f>
        <v>958424.57800605532</v>
      </c>
      <c r="E1136" s="2122">
        <f>'Part VII-Pro Forma'!E108</f>
        <v>977593.06956617651</v>
      </c>
      <c r="F1136" s="2122">
        <f>'Part VII-Pro Forma'!F108</f>
        <v>997144.93095749989</v>
      </c>
      <c r="G1136" s="2122"/>
      <c r="H1136" s="2122"/>
      <c r="I1136" s="2122"/>
      <c r="J1136" s="2122"/>
      <c r="K1136" s="2122"/>
      <c r="N1136" s="1910"/>
      <c r="O1136" s="1910"/>
    </row>
    <row r="1137" spans="1:19" ht="13.35" customHeight="1">
      <c r="A1137" s="1995" t="s">
        <v>994</v>
      </c>
      <c r="B1137" s="2122">
        <f>'Part VII-Pro Forma'!B109</f>
        <v>18424.155671012213</v>
      </c>
      <c r="C1137" s="2122">
        <f>'Part VII-Pro Forma'!C109</f>
        <v>18792.638784432456</v>
      </c>
      <c r="D1137" s="2122">
        <f>'Part VII-Pro Forma'!D109</f>
        <v>19168.491560121107</v>
      </c>
      <c r="E1137" s="2122">
        <f>'Part VII-Pro Forma'!E109</f>
        <v>19551.861391323531</v>
      </c>
      <c r="F1137" s="2122">
        <f>'Part VII-Pro Forma'!F109</f>
        <v>19942.898619150001</v>
      </c>
      <c r="G1137" s="2122"/>
      <c r="H1137" s="2122"/>
      <c r="I1137" s="2122"/>
      <c r="J1137" s="2122"/>
      <c r="K1137" s="2122"/>
      <c r="N1137" s="1910"/>
      <c r="O1137" s="1910"/>
    </row>
    <row r="1138" spans="1:19" ht="13.35" customHeight="1">
      <c r="A1138" s="1995" t="s">
        <v>2343</v>
      </c>
      <c r="B1138" s="2122">
        <f>'Part VII-Pro Forma'!B110</f>
        <v>-65774.235745513608</v>
      </c>
      <c r="C1138" s="2122">
        <f>'Part VII-Pro Forma'!C110</f>
        <v>-67089.720460423865</v>
      </c>
      <c r="D1138" s="2122">
        <f>'Part VII-Pro Forma'!D110</f>
        <v>-68431.514869632359</v>
      </c>
      <c r="E1138" s="2122">
        <f>'Part VII-Pro Forma'!E110</f>
        <v>-69800.14516702501</v>
      </c>
      <c r="F1138" s="2122">
        <f>'Part VII-Pro Forma'!F110</f>
        <v>-71196.148070365496</v>
      </c>
      <c r="G1138" s="2122"/>
      <c r="H1138" s="2122"/>
      <c r="I1138" s="2122"/>
      <c r="J1138" s="2122"/>
      <c r="K1138" s="2122"/>
      <c r="N1138" s="1910"/>
      <c r="O1138" s="1910"/>
    </row>
    <row r="1139" spans="1:19" ht="13.35" customHeight="1">
      <c r="A1139" s="1995" t="s">
        <v>50</v>
      </c>
      <c r="B1139" s="2122">
        <f>'Part VII-Pro Forma'!B111</f>
        <v>0</v>
      </c>
      <c r="C1139" s="2122">
        <f>'Part VII-Pro Forma'!C111</f>
        <v>0</v>
      </c>
      <c r="D1139" s="2122">
        <f>'Part VII-Pro Forma'!D111</f>
        <v>0</v>
      </c>
      <c r="E1139" s="2122">
        <f>'Part VII-Pro Forma'!E111</f>
        <v>0</v>
      </c>
      <c r="F1139" s="2122">
        <f>'Part VII-Pro Forma'!F111</f>
        <v>0</v>
      </c>
      <c r="G1139" s="2122"/>
      <c r="H1139" s="2122"/>
      <c r="I1139" s="2122"/>
      <c r="J1139" s="2122"/>
      <c r="K1139" s="2122"/>
      <c r="N1139" s="1910"/>
      <c r="O1139" s="1910"/>
    </row>
    <row r="1140" spans="1:19" ht="13.35" customHeight="1">
      <c r="A1140" s="1995" t="s">
        <v>51</v>
      </c>
      <c r="B1140" s="2122">
        <f>'Part VII-Pro Forma'!B112</f>
        <v>0</v>
      </c>
      <c r="C1140" s="2122">
        <f>'Part VII-Pro Forma'!C112</f>
        <v>0</v>
      </c>
      <c r="D1140" s="2122">
        <f>'Part VII-Pro Forma'!D112</f>
        <v>0</v>
      </c>
      <c r="E1140" s="2122">
        <f>'Part VII-Pro Forma'!E112</f>
        <v>0</v>
      </c>
      <c r="F1140" s="2122">
        <f>'Part VII-Pro Forma'!F112</f>
        <v>0</v>
      </c>
      <c r="G1140" s="2122"/>
      <c r="H1140" s="2122"/>
      <c r="I1140" s="2122"/>
      <c r="J1140" s="2122"/>
      <c r="K1140" s="2122"/>
      <c r="N1140" s="1910"/>
      <c r="O1140" s="1910"/>
    </row>
    <row r="1141" spans="1:19" ht="13.35" customHeight="1">
      <c r="A1141" s="1995" t="s">
        <v>4376</v>
      </c>
      <c r="B1141" s="2122">
        <f>'Part VII-Pro Forma'!B113</f>
        <v>873857.70347610931</v>
      </c>
      <c r="C1141" s="2122">
        <f>'Part VII-Pro Forma'!C113</f>
        <v>891334.85754563124</v>
      </c>
      <c r="D1141" s="2122">
        <f>'Part VII-Pro Forma'!D113</f>
        <v>909161.55469654407</v>
      </c>
      <c r="E1141" s="2122">
        <f>'Part VII-Pro Forma'!E113</f>
        <v>927344.78579047497</v>
      </c>
      <c r="F1141" s="2122">
        <f>'Part VII-Pro Forma'!F113</f>
        <v>945891.6815062844</v>
      </c>
      <c r="G1141" s="2122"/>
      <c r="H1141" s="2122"/>
      <c r="I1141" s="2122"/>
      <c r="J1141" s="2122"/>
      <c r="K1141" s="2122"/>
      <c r="N1141" s="1910"/>
      <c r="O1141" s="1910"/>
    </row>
    <row r="1142" spans="1:19" ht="13.35" customHeight="1">
      <c r="A1142" s="1995" t="s">
        <v>597</v>
      </c>
      <c r="B1142" s="2122">
        <f>'Part VII-Pro Forma'!B114</f>
        <v>-692752.84558988467</v>
      </c>
      <c r="C1142" s="2122">
        <f>'Part VII-Pro Forma'!C114</f>
        <v>-713535.43095758127</v>
      </c>
      <c r="D1142" s="2122">
        <f>'Part VII-Pro Forma'!D114</f>
        <v>-734941.49388630863</v>
      </c>
      <c r="E1142" s="2122">
        <f>'Part VII-Pro Forma'!E114</f>
        <v>-756989.73870289791</v>
      </c>
      <c r="F1142" s="2122">
        <f>'Part VII-Pro Forma'!F114</f>
        <v>-779699.43086398474</v>
      </c>
      <c r="G1142" s="2122"/>
      <c r="H1142" s="2122"/>
      <c r="I1142" s="2122"/>
      <c r="J1142" s="2122"/>
      <c r="K1142" s="2122"/>
      <c r="N1142" s="1910"/>
      <c r="O1142" s="1910"/>
    </row>
    <row r="1143" spans="1:19" ht="13.35" customHeight="1">
      <c r="A1143" s="1995" t="s">
        <v>1093</v>
      </c>
      <c r="B1143" s="2122">
        <f>'Part VII-Pro Forma'!B115</f>
        <v>-69909</v>
      </c>
      <c r="C1143" s="2122">
        <f>'Part VII-Pro Forma'!C115</f>
        <v>-71307</v>
      </c>
      <c r="D1143" s="2122">
        <f>'Part VII-Pro Forma'!D115</f>
        <v>-72733</v>
      </c>
      <c r="E1143" s="2122">
        <f>'Part VII-Pro Forma'!E115</f>
        <v>-74188</v>
      </c>
      <c r="F1143" s="2122">
        <f>'Part VII-Pro Forma'!F115</f>
        <v>-75671</v>
      </c>
      <c r="G1143" s="2122"/>
      <c r="H1143" s="2122"/>
      <c r="I1143" s="2122"/>
      <c r="J1143" s="2122"/>
      <c r="K1143" s="2122"/>
      <c r="N1143" s="1910"/>
      <c r="O1143" s="1910"/>
    </row>
    <row r="1144" spans="1:19" ht="13.35" customHeight="1">
      <c r="A1144" s="1995" t="s">
        <v>1176</v>
      </c>
      <c r="B1144" s="2122">
        <f>'Part VII-Pro Forma'!B116</f>
        <v>-43690.724481413861</v>
      </c>
      <c r="C1144" s="2122">
        <f>'Part VII-Pro Forma'!C116</f>
        <v>-45001.446215856289</v>
      </c>
      <c r="D1144" s="2122">
        <f>'Part VII-Pro Forma'!D116</f>
        <v>-46351.489602331967</v>
      </c>
      <c r="E1144" s="2122">
        <f>'Part VII-Pro Forma'!E116</f>
        <v>-47742.034290401927</v>
      </c>
      <c r="F1144" s="2122">
        <f>'Part VII-Pro Forma'!F116</f>
        <v>-49174.295319113975</v>
      </c>
      <c r="G1144" s="2122"/>
      <c r="H1144" s="2122"/>
      <c r="I1144" s="2122"/>
      <c r="J1144" s="2122"/>
      <c r="K1144" s="2122"/>
      <c r="N1144" s="1910"/>
      <c r="O1144" s="1910"/>
      <c r="Q1144" s="1874">
        <v>10</v>
      </c>
      <c r="R1144" s="1900">
        <f>-SUM(B1150:K1150)</f>
        <v>0</v>
      </c>
      <c r="S1144" s="1900">
        <f>SUM(B1151:K1151)+R1144</f>
        <v>0</v>
      </c>
    </row>
    <row r="1145" spans="1:19" ht="13.35" customHeight="1">
      <c r="A1145" s="1995" t="s">
        <v>4375</v>
      </c>
      <c r="B1145" s="2122">
        <f>'Part VII-Pro Forma'!B117</f>
        <v>0</v>
      </c>
      <c r="C1145" s="2122">
        <f>'Part VII-Pro Forma'!C117</f>
        <v>0</v>
      </c>
      <c r="D1145" s="2122">
        <f>'Part VII-Pro Forma'!D117</f>
        <v>0</v>
      </c>
      <c r="E1145" s="2122">
        <f>'Part VII-Pro Forma'!E117</f>
        <v>0</v>
      </c>
      <c r="F1145" s="2122">
        <f>'Part VII-Pro Forma'!F117</f>
        <v>0</v>
      </c>
      <c r="G1145" s="2122"/>
      <c r="H1145" s="2122"/>
      <c r="I1145" s="2122"/>
      <c r="J1145" s="2122"/>
      <c r="K1145" s="2122"/>
      <c r="N1145" s="1910"/>
      <c r="O1145" s="1910"/>
    </row>
    <row r="1146" spans="1:19" ht="13.35" customHeight="1">
      <c r="A1146" s="1995" t="s">
        <v>1177</v>
      </c>
      <c r="B1146" s="2122">
        <f>'Part VII-Pro Forma'!B118</f>
        <v>67505.133404810767</v>
      </c>
      <c r="C1146" s="2122">
        <f>'Part VII-Pro Forma'!C118</f>
        <v>61490.980372193684</v>
      </c>
      <c r="D1146" s="2122">
        <f>'Part VII-Pro Forma'!D118</f>
        <v>55135.571207903478</v>
      </c>
      <c r="E1146" s="2122">
        <f>'Part VII-Pro Forma'!E118</f>
        <v>48425.012797175128</v>
      </c>
      <c r="F1146" s="2122">
        <f>'Part VII-Pro Forma'!F118</f>
        <v>41346.955323185677</v>
      </c>
      <c r="G1146" s="2122"/>
      <c r="H1146" s="2122"/>
      <c r="I1146" s="2122"/>
      <c r="J1146" s="2122"/>
      <c r="K1146" s="2122"/>
      <c r="N1146" s="1910"/>
      <c r="O1146" s="1910"/>
    </row>
    <row r="1147" spans="1:19" ht="13.35" customHeight="1">
      <c r="A1147" s="1995" t="str">
        <f>$A1117</f>
        <v>Mortgage A</v>
      </c>
      <c r="B1147" s="2122">
        <f>'Part VII-Pro Forma'!B119</f>
        <v>0</v>
      </c>
      <c r="C1147" s="2122">
        <f>'Part VII-Pro Forma'!C119</f>
        <v>0</v>
      </c>
      <c r="D1147" s="2122">
        <f>'Part VII-Pro Forma'!D119</f>
        <v>0</v>
      </c>
      <c r="E1147" s="2122">
        <f>'Part VII-Pro Forma'!E119</f>
        <v>0</v>
      </c>
      <c r="F1147" s="2122">
        <f>'Part VII-Pro Forma'!F119</f>
        <v>0</v>
      </c>
      <c r="G1147" s="2122"/>
      <c r="H1147" s="2122"/>
      <c r="I1147" s="2122"/>
      <c r="J1147" s="2122"/>
      <c r="K1147" s="2122"/>
      <c r="N1147" s="1910"/>
      <c r="O1147" s="1910"/>
    </row>
    <row r="1148" spans="1:19" ht="13.35" customHeight="1">
      <c r="A1148" s="1995" t="str">
        <f>$A1118</f>
        <v>Mortgage B</v>
      </c>
      <c r="B1148" s="2122">
        <f>'Part VII-Pro Forma'!B120</f>
        <v>0</v>
      </c>
      <c r="C1148" s="2122">
        <f>'Part VII-Pro Forma'!C120</f>
        <v>0</v>
      </c>
      <c r="D1148" s="2122">
        <f>'Part VII-Pro Forma'!D120</f>
        <v>0</v>
      </c>
      <c r="E1148" s="2122">
        <f>'Part VII-Pro Forma'!E120</f>
        <v>0</v>
      </c>
      <c r="F1148" s="2122">
        <f>'Part VII-Pro Forma'!F120</f>
        <v>0</v>
      </c>
      <c r="G1148" s="2122"/>
      <c r="H1148" s="2122"/>
      <c r="I1148" s="2122"/>
      <c r="J1148" s="2122"/>
      <c r="K1148" s="2122"/>
      <c r="N1148" s="1910"/>
      <c r="O1148" s="1910"/>
    </row>
    <row r="1149" spans="1:19" ht="13.35" customHeight="1">
      <c r="A1149" s="1995" t="str">
        <f>$A1119</f>
        <v>Mortgage C</v>
      </c>
      <c r="B1149" s="2122">
        <f>'Part VII-Pro Forma'!B121</f>
        <v>0</v>
      </c>
      <c r="C1149" s="2122">
        <f>'Part VII-Pro Forma'!C121</f>
        <v>0</v>
      </c>
      <c r="D1149" s="2122">
        <f>'Part VII-Pro Forma'!D121</f>
        <v>0</v>
      </c>
      <c r="E1149" s="2122">
        <f>'Part VII-Pro Forma'!E121</f>
        <v>0</v>
      </c>
      <c r="F1149" s="2122">
        <f>'Part VII-Pro Forma'!F121</f>
        <v>0</v>
      </c>
      <c r="G1149" s="2122"/>
      <c r="H1149" s="2122"/>
      <c r="I1149" s="2122"/>
      <c r="J1149" s="2122"/>
      <c r="K1149" s="2122"/>
      <c r="N1149" s="1910"/>
      <c r="O1149" s="1910"/>
    </row>
    <row r="1150" spans="1:19" ht="13.35" customHeight="1">
      <c r="A1150" s="1995" t="str">
        <f>$A1120</f>
        <v>D/S Other Source,not DDF</v>
      </c>
      <c r="B1150" s="2122">
        <f>'Part VII-Pro Forma'!B122</f>
        <v>0</v>
      </c>
      <c r="C1150" s="2122">
        <f>'Part VII-Pro Forma'!C122</f>
        <v>0</v>
      </c>
      <c r="D1150" s="2122">
        <f>'Part VII-Pro Forma'!D122</f>
        <v>0</v>
      </c>
      <c r="E1150" s="2122">
        <f>'Part VII-Pro Forma'!E122</f>
        <v>0</v>
      </c>
      <c r="F1150" s="2122">
        <f>'Part VII-Pro Forma'!F122</f>
        <v>0</v>
      </c>
      <c r="G1150" s="2122"/>
      <c r="H1150" s="2122"/>
      <c r="I1150" s="2122"/>
      <c r="J1150" s="2122"/>
      <c r="K1150" s="2122"/>
      <c r="N1150" s="1910"/>
      <c r="O1150" s="1910"/>
    </row>
    <row r="1151" spans="1:19" ht="13.35" customHeight="1">
      <c r="A1151" s="1995" t="s">
        <v>745</v>
      </c>
      <c r="B1151" s="2122">
        <f>'Part VII-Pro Forma'!B123</f>
        <v>0</v>
      </c>
      <c r="C1151" s="2122">
        <f>'Part VII-Pro Forma'!C123</f>
        <v>0</v>
      </c>
      <c r="D1151" s="2122">
        <f>'Part VII-Pro Forma'!D123</f>
        <v>0</v>
      </c>
      <c r="E1151" s="2122">
        <f>'Part VII-Pro Forma'!E123</f>
        <v>0</v>
      </c>
      <c r="F1151" s="2122">
        <f>'Part VII-Pro Forma'!F123</f>
        <v>0</v>
      </c>
      <c r="G1151" s="2122"/>
      <c r="H1151" s="2122"/>
      <c r="I1151" s="2122"/>
      <c r="J1151" s="2122"/>
      <c r="K1151" s="2122"/>
      <c r="N1151" s="1910"/>
      <c r="O1151" s="1910"/>
    </row>
    <row r="1152" spans="1:19" ht="13.35" customHeight="1">
      <c r="A1152" s="1995" t="s">
        <v>1141</v>
      </c>
      <c r="B1152" s="2122">
        <f>'Part VII-Pro Forma'!B124</f>
        <v>-9468.932686616341</v>
      </c>
      <c r="C1152" s="2122">
        <f>'Part VII-Pro Forma'!C124</f>
        <v>-9468.932686616341</v>
      </c>
      <c r="D1152" s="2122">
        <f>'Part VII-Pro Forma'!D124</f>
        <v>-9468.932686616341</v>
      </c>
      <c r="E1152" s="2122">
        <f>'Part VII-Pro Forma'!E124</f>
        <v>-9468.932686616341</v>
      </c>
      <c r="F1152" s="2122">
        <f>'Part VII-Pro Forma'!F124</f>
        <v>-9468.932686616341</v>
      </c>
      <c r="G1152" s="2122"/>
      <c r="H1152" s="2122"/>
      <c r="I1152" s="2122"/>
      <c r="J1152" s="2122"/>
      <c r="K1152" s="2122"/>
      <c r="N1152" s="1910"/>
      <c r="O1152" s="1910"/>
    </row>
    <row r="1153" spans="1:15" ht="13.35" customHeight="1">
      <c r="A1153" s="1995" t="s">
        <v>1142</v>
      </c>
      <c r="B1153" s="2122">
        <f>'Part VII-Pro Forma'!B125</f>
        <v>58036.200718194428</v>
      </c>
      <c r="C1153" s="2122">
        <f>'Part VII-Pro Forma'!C125</f>
        <v>52022.047685577345</v>
      </c>
      <c r="D1153" s="2122">
        <f>'Part VII-Pro Forma'!D125</f>
        <v>45666.638521287139</v>
      </c>
      <c r="E1153" s="2122">
        <f>'Part VII-Pro Forma'!E125</f>
        <v>38956.080110558789</v>
      </c>
      <c r="F1153" s="2122">
        <f>'Part VII-Pro Forma'!F125</f>
        <v>31878.022636569338</v>
      </c>
      <c r="G1153" s="2122"/>
      <c r="H1153" s="2122"/>
      <c r="I1153" s="2122"/>
      <c r="J1153" s="2122"/>
      <c r="K1153" s="2122"/>
      <c r="N1153" s="1910"/>
      <c r="O1153" s="1910"/>
    </row>
    <row r="1154" spans="1:15" ht="13.35" customHeight="1">
      <c r="A1154" s="1995" t="str">
        <f>$A1124</f>
        <v>DCR Mortgage A</v>
      </c>
      <c r="B1154" s="2122" t="str">
        <f>'Part VII-Pro Forma'!B126</f>
        <v/>
      </c>
      <c r="C1154" s="2122" t="str">
        <f>'Part VII-Pro Forma'!C126</f>
        <v/>
      </c>
      <c r="D1154" s="2122" t="str">
        <f>'Part VII-Pro Forma'!D126</f>
        <v/>
      </c>
      <c r="E1154" s="2122" t="str">
        <f>'Part VII-Pro Forma'!E126</f>
        <v/>
      </c>
      <c r="F1154" s="2122" t="str">
        <f>'Part VII-Pro Forma'!F126</f>
        <v/>
      </c>
      <c r="G1154" s="2122"/>
      <c r="H1154" s="2122"/>
      <c r="I1154" s="2122"/>
      <c r="J1154" s="2122"/>
      <c r="K1154" s="2122"/>
      <c r="N1154" s="1910"/>
      <c r="O1154" s="1910"/>
    </row>
    <row r="1155" spans="1:15" ht="13.35" customHeight="1">
      <c r="A1155" s="1995" t="str">
        <f>$A1125</f>
        <v>DCR Mortgage B</v>
      </c>
      <c r="B1155" s="2122" t="str">
        <f>'Part VII-Pro Forma'!B127</f>
        <v/>
      </c>
      <c r="C1155" s="2122" t="str">
        <f>'Part VII-Pro Forma'!C127</f>
        <v/>
      </c>
      <c r="D1155" s="2122" t="str">
        <f>'Part VII-Pro Forma'!D127</f>
        <v/>
      </c>
      <c r="E1155" s="2122" t="str">
        <f>'Part VII-Pro Forma'!E127</f>
        <v/>
      </c>
      <c r="F1155" s="2122" t="str">
        <f>'Part VII-Pro Forma'!F127</f>
        <v/>
      </c>
      <c r="G1155" s="2122"/>
      <c r="H1155" s="2122"/>
      <c r="I1155" s="2122"/>
      <c r="J1155" s="2122"/>
      <c r="K1155" s="2122"/>
      <c r="N1155" s="1910"/>
      <c r="O1155" s="1910"/>
    </row>
    <row r="1156" spans="1:15" ht="13.35" customHeight="1">
      <c r="A1156" s="1995" t="str">
        <f>$A1126</f>
        <v>DCR Mortgage C</v>
      </c>
      <c r="B1156" s="2122" t="str">
        <f>'Part VII-Pro Forma'!B128</f>
        <v/>
      </c>
      <c r="C1156" s="2122" t="str">
        <f>'Part VII-Pro Forma'!C128</f>
        <v/>
      </c>
      <c r="D1156" s="2122" t="str">
        <f>'Part VII-Pro Forma'!D128</f>
        <v/>
      </c>
      <c r="E1156" s="2122" t="str">
        <f>'Part VII-Pro Forma'!E128</f>
        <v/>
      </c>
      <c r="F1156" s="2122" t="str">
        <f>'Part VII-Pro Forma'!F128</f>
        <v/>
      </c>
      <c r="G1156" s="2122"/>
      <c r="H1156" s="2122"/>
      <c r="I1156" s="2122"/>
      <c r="J1156" s="2122"/>
      <c r="K1156" s="2122"/>
      <c r="N1156" s="1910"/>
      <c r="O1156" s="1910"/>
    </row>
    <row r="1157" spans="1:15" ht="13.35" customHeight="1">
      <c r="A1157" s="1995" t="str">
        <f>$A1127</f>
        <v>DCR Other Source</v>
      </c>
      <c r="B1157" s="2122" t="str">
        <f>'Part VII-Pro Forma'!B129</f>
        <v/>
      </c>
      <c r="C1157" s="2122" t="str">
        <f>'Part VII-Pro Forma'!C129</f>
        <v/>
      </c>
      <c r="D1157" s="2122" t="str">
        <f>'Part VII-Pro Forma'!D129</f>
        <v/>
      </c>
      <c r="E1157" s="2122" t="str">
        <f>'Part VII-Pro Forma'!E129</f>
        <v/>
      </c>
      <c r="F1157" s="2122" t="str">
        <f>'Part VII-Pro Forma'!F129</f>
        <v/>
      </c>
      <c r="G1157" s="2122"/>
      <c r="H1157" s="2122"/>
      <c r="I1157" s="2122"/>
      <c r="J1157" s="2122"/>
      <c r="K1157" s="2122"/>
      <c r="N1157" s="1910"/>
      <c r="O1157" s="1910"/>
    </row>
    <row r="1158" spans="1:15" ht="13.35" customHeight="1">
      <c r="A1158" s="1995" t="s">
        <v>3532</v>
      </c>
      <c r="B1158" s="2122" t="str">
        <f>'Part VII-Pro Forma'!B130</f>
        <v/>
      </c>
      <c r="C1158" s="2122" t="str">
        <f>'Part VII-Pro Forma'!C130</f>
        <v/>
      </c>
      <c r="D1158" s="2122" t="str">
        <f>'Part VII-Pro Forma'!D130</f>
        <v/>
      </c>
      <c r="E1158" s="2122" t="str">
        <f>'Part VII-Pro Forma'!E130</f>
        <v/>
      </c>
      <c r="F1158" s="2122" t="str">
        <f>'Part VII-Pro Forma'!F130</f>
        <v/>
      </c>
      <c r="G1158" s="2122"/>
      <c r="H1158" s="2122"/>
      <c r="I1158" s="2122"/>
      <c r="J1158" s="2122"/>
      <c r="K1158" s="2122"/>
      <c r="N1158" s="1910"/>
      <c r="O1158" s="1910"/>
    </row>
    <row r="1159" spans="1:15" ht="13.35" customHeight="1">
      <c r="A1159" s="1995" t="s">
        <v>752</v>
      </c>
      <c r="B1159" s="2122">
        <f>'Part VII-Pro Forma'!B131</f>
        <v>1.0837166469238659</v>
      </c>
      <c r="C1159" s="2122">
        <f>'Part VII-Pro Forma'!C131</f>
        <v>1.0740994566130204</v>
      </c>
      <c r="D1159" s="2122">
        <f>'Part VII-Pro Forma'!D131</f>
        <v>1.0645595945250732</v>
      </c>
      <c r="E1159" s="2122">
        <f>'Part VII-Pro Forma'!E131</f>
        <v>1.0550960557324318</v>
      </c>
      <c r="F1159" s="2122">
        <f>'Part VII-Pro Forma'!F131</f>
        <v>1.0457102386718422</v>
      </c>
      <c r="G1159" s="2122"/>
      <c r="H1159" s="2122"/>
      <c r="I1159" s="2122"/>
      <c r="J1159" s="2122"/>
      <c r="K1159" s="2122"/>
      <c r="N1159" s="1910"/>
      <c r="O1159" s="1910"/>
    </row>
    <row r="1160" spans="1:15" ht="13.35" customHeight="1">
      <c r="A1160" s="1995" t="s">
        <v>2550</v>
      </c>
      <c r="B1160" s="2122">
        <f>'Part VII-Pro Forma'!B132</f>
        <v>0</v>
      </c>
      <c r="C1160" s="2122">
        <f>'Part VII-Pro Forma'!C132</f>
        <v>0</v>
      </c>
      <c r="D1160" s="2122">
        <f>'Part VII-Pro Forma'!D132</f>
        <v>0</v>
      </c>
      <c r="E1160" s="2122">
        <f>'Part VII-Pro Forma'!E132</f>
        <v>0</v>
      </c>
      <c r="F1160" s="2122">
        <f>'Part VII-Pro Forma'!F132</f>
        <v>0</v>
      </c>
      <c r="G1160" s="2122"/>
      <c r="H1160" s="2122"/>
      <c r="I1160" s="2122"/>
      <c r="J1160" s="2122"/>
      <c r="K1160" s="2122"/>
      <c r="N1160" s="1910"/>
      <c r="O1160" s="1910"/>
    </row>
    <row r="1161" spans="1:15" ht="13.35" customHeight="1">
      <c r="A1161" s="1995" t="s">
        <v>2551</v>
      </c>
      <c r="B1161" s="2122">
        <f>'Part VII-Pro Forma'!B133</f>
        <v>0</v>
      </c>
      <c r="C1161" s="2122">
        <f>'Part VII-Pro Forma'!C133</f>
        <v>0</v>
      </c>
      <c r="D1161" s="2122">
        <f>'Part VII-Pro Forma'!D133</f>
        <v>0</v>
      </c>
      <c r="E1161" s="2122">
        <f>'Part VII-Pro Forma'!E133</f>
        <v>0</v>
      </c>
      <c r="F1161" s="2122">
        <f>'Part VII-Pro Forma'!F133</f>
        <v>0</v>
      </c>
      <c r="G1161" s="2122"/>
      <c r="H1161" s="2122"/>
      <c r="I1161" s="2122"/>
      <c r="J1161" s="2122"/>
      <c r="K1161" s="2122"/>
      <c r="N1161" s="1910"/>
      <c r="O1161" s="1910"/>
    </row>
    <row r="1162" spans="1:15" ht="13.35" customHeight="1">
      <c r="A1162" s="1995" t="s">
        <v>2552</v>
      </c>
      <c r="B1162" s="2122" t="str">
        <f>'Part VII-Pro Forma'!B134</f>
        <v/>
      </c>
      <c r="C1162" s="2122" t="str">
        <f>'Part VII-Pro Forma'!C134</f>
        <v/>
      </c>
      <c r="D1162" s="2122" t="str">
        <f>'Part VII-Pro Forma'!D134</f>
        <v/>
      </c>
      <c r="E1162" s="2122" t="str">
        <f>'Part VII-Pro Forma'!E134</f>
        <v/>
      </c>
      <c r="F1162" s="2122" t="str">
        <f>'Part VII-Pro Forma'!F134</f>
        <v/>
      </c>
      <c r="G1162" s="2122"/>
      <c r="H1162" s="2122"/>
      <c r="I1162" s="2122"/>
      <c r="J1162" s="2122"/>
      <c r="K1162" s="2122"/>
      <c r="N1162" s="1910"/>
      <c r="O1162" s="1910"/>
    </row>
    <row r="1163" spans="1:15" ht="13.35" customHeight="1">
      <c r="A1163" s="1995" t="s">
        <v>764</v>
      </c>
      <c r="B1163" s="2122" t="str">
        <f>'Part VII-Pro Forma'!B135</f>
        <v/>
      </c>
      <c r="C1163" s="2122" t="str">
        <f>'Part VII-Pro Forma'!C135</f>
        <v/>
      </c>
      <c r="D1163" s="2122" t="str">
        <f>'Part VII-Pro Forma'!D135</f>
        <v/>
      </c>
      <c r="E1163" s="2122" t="str">
        <f>'Part VII-Pro Forma'!E135</f>
        <v/>
      </c>
      <c r="F1163" s="2122" t="str">
        <f>'Part VII-Pro Forma'!F135</f>
        <v/>
      </c>
      <c r="G1163" s="2122"/>
      <c r="H1163" s="2122"/>
      <c r="I1163" s="2122"/>
      <c r="J1163" s="2122"/>
      <c r="K1163" s="2122"/>
      <c r="N1163" s="1910"/>
      <c r="O1163" s="1910"/>
    </row>
    <row r="1164" spans="1:15" ht="4.3499999999999996" customHeight="1"/>
    <row r="1165" spans="1:15" ht="12" customHeight="1">
      <c r="A1165" s="1995" t="s">
        <v>554</v>
      </c>
      <c r="G1165" s="1995" t="s">
        <v>1009</v>
      </c>
    </row>
    <row r="1166" spans="1:15" ht="12" customHeight="1"/>
    <row r="1167" spans="1:15" ht="59.4" customHeight="1">
      <c r="A1167" s="1887" t="str">
        <f>'Part VII-Pro Forma'!A139</f>
        <v>APPLICANTS: Explain any any debt service payment amounts that deviate from the amount shown in Permanent Sources (Part III)
Synovus' asset management fee is $5,400 annually escallating at 3% a year.  The state investor will not charge an asset management fee.
The HOME loan has a 15 year term; a 2 year construction phase plus a 13 year permanent phase. Our proforma assumes that the HOME loan will convert to the permanent phase at Placed In Service,  and there will be a ballon note after year 13.</v>
      </c>
      <c r="B1167" s="1887"/>
      <c r="C1167" s="1887"/>
      <c r="D1167" s="1887"/>
      <c r="E1167" s="1887"/>
      <c r="F1167" s="1887"/>
      <c r="G1167" s="1887">
        <f>'Part VII-Pro Forma'!G139</f>
        <v>0</v>
      </c>
      <c r="H1167" s="1887"/>
      <c r="I1167" s="1887"/>
      <c r="J1167" s="1887"/>
      <c r="K1167" s="1887"/>
      <c r="N1167" s="1973" t="s">
        <v>2614</v>
      </c>
      <c r="O1167" s="1973"/>
    </row>
    <row r="1171" spans="1:19" ht="14.1" customHeight="1">
      <c r="A1171" s="1815" t="str">
        <f>CONCATENATE("PART EIGHT - THRESHOLD CRITERIA","  -  ",'Part I-Project Information'!$O$6," ",'Part I-Project Information'!$F$34,", ",'Part I-Project Information'!F1208,", ",'Part I-Project Information'!J1209," County")</f>
        <v>PART EIGHT - THRESHOLD CRITERIA  -  2020-074 Harper Woods II, ,  County</v>
      </c>
      <c r="B1171" s="1815"/>
      <c r="C1171" s="1815"/>
      <c r="D1171" s="1815"/>
      <c r="E1171" s="1815"/>
      <c r="F1171" s="1815"/>
      <c r="G1171" s="1815"/>
      <c r="H1171" s="1815"/>
      <c r="I1171" s="1815"/>
      <c r="J1171" s="1815"/>
      <c r="K1171" s="1815"/>
      <c r="L1171" s="1815"/>
      <c r="M1171" s="1815"/>
      <c r="N1171" s="1815"/>
      <c r="O1171" s="1815"/>
      <c r="P1171" s="1815"/>
      <c r="Q1171" s="1815"/>
      <c r="R1171" s="2103" t="str">
        <f>'Part I-Project Information'!$B$6</f>
        <v>May 26, 2020 Version</v>
      </c>
      <c r="S1171" s="2103"/>
    </row>
    <row r="1172" spans="1:19" ht="3" customHeight="1">
      <c r="R1172" s="2103"/>
      <c r="S1172" s="2103"/>
    </row>
    <row r="1173" spans="1:19" ht="13.5" customHeight="1">
      <c r="A1173" s="2123" t="str">
        <f>IF(OR(P1199="Fail",P1206="Fail",P1243="Fail",P1247="Fail",P1262="Fail",P1279="Fail",P1301="Fail",P1339="Fail",P1349="Fail",P1359="Fail",P1376="Fail",P1384="Fail",P1394="Fail",P1424="Fail",P1445="Fail",P1457="Fail",P1467="Fail",P1492="Fail",P1509="Fail",P1521="Fail",P1537="Fail",P1560="Fail",P1570="Fail",P1581="Fail",P1611="Fail",P1628="Fail",P1642="Fail",P1649="Fail"),"Preliminary Rating: FAIL",IF(OR(P1199="",P1206="",P1243="",P1247="",P1262="",P1279="",P1301="",P1339="",P1349="",P1359="",P1376="",P1384="",P1394="",P1424="",P1445="",P1457="",P1467="",P1492="",P1509="",P1521="",P1537="",P1560="",P1570="",P1581="",P1611="",P1628="",P1642="",P1649=""),"Preliminary Rating: Incomplete",IF(OR(P1199="TBD",P1206="TBD",P1243="TBD",P1247="TBD",P1262="TBD",P1279="TBD",P1301="TBD",P1339="TBD",P1349="TBD",P1359="TBD",P1376="TBD",P1384="TBD",P1394="TBD",P1424="TBD",P1445="TBD",P1457="TBD",P1467="TBD",P1492="TBD",P1509="TBD",P1521="TBD",P1537="TBD",P1560="TBD",P1570="TBD",P1581="TBD",P1611="TBD",P1628="TBD",P1642="TBD",P1649="TBD"),"Preliminary Rating: TBD","")))</f>
        <v>Preliminary Rating: Incomplete</v>
      </c>
      <c r="B1173" s="2123"/>
      <c r="C1173" s="2123"/>
      <c r="D1173" s="2123"/>
      <c r="E1173" s="2123"/>
      <c r="F1173" s="2123"/>
      <c r="G1173" s="2123"/>
      <c r="H1173" s="2123" t="str">
        <f>IF(AND(NOT(A1173="Preliminary Rating: Fail"),NOT(A1173="Preliminary Rating: Incomplete"),NOT(A1173="Preliminary Rating: TBD"),OR(P1199="Conditional Pass",P1206="Conditional Pass",P1243="Conditional Pass",P1247="Conditional Pass",P1262="Conditional Pass",P1279="Conditional Pass",P1301="Conditional Pass",P1339="Conditional Pass",P1349="Conditional Pass",P1359="Conditional Pass",P1376="Conditional Pass",P1384="Conditional Pass",P1394="Conditional Pass",P1424="Conditional Pass",P1445="Conditional Pass",P1457="Conditional Pass",P1467="Conditional Pass",P1492="Conditional Pass",P1509="Conditional Pass",P1521="Conditional Pass",P1537="Conditional Pass",P1560="Conditional Pass",P1570="Conditional Pass",P1581="Conditional Pass",P1611="Conditional Pass",P1628="Conditional Pass",P1642="Conditional Pass",P1649="Conditional Pass")),"Preliminary Rating: Conditional Pass","")</f>
        <v/>
      </c>
      <c r="I1173" s="2123"/>
      <c r="J1173" s="2123"/>
      <c r="K1173" s="2123"/>
      <c r="L1173" s="2123"/>
      <c r="M1173" s="2123"/>
      <c r="N1173" s="2123"/>
      <c r="O1173" s="1897" t="s">
        <v>913</v>
      </c>
      <c r="P1173" s="1897"/>
      <c r="Q1173" s="1732" t="s">
        <v>1796</v>
      </c>
      <c r="R1173" s="2103"/>
      <c r="S1173" s="2103"/>
    </row>
    <row r="1174" spans="1:19" ht="3" customHeight="1">
      <c r="A1174" s="1732"/>
      <c r="B1174" s="1897"/>
      <c r="C1174" s="1897"/>
      <c r="D1174" s="1897"/>
      <c r="E1174" s="1732"/>
      <c r="F1174" s="1732"/>
      <c r="G1174" s="1732"/>
      <c r="H1174" s="1732"/>
      <c r="I1174" s="1732"/>
      <c r="J1174" s="1732"/>
      <c r="K1174" s="1732"/>
      <c r="L1174" s="1732"/>
      <c r="M1174" s="1732"/>
      <c r="N1174" s="1732"/>
      <c r="P1174" s="1732"/>
      <c r="Q1174" s="1732"/>
      <c r="R1174" s="2103"/>
      <c r="S1174" s="2103"/>
    </row>
    <row r="1175" spans="1:19" ht="11.1" hidden="1" customHeight="1">
      <c r="A1175" s="1732"/>
      <c r="B1175" s="1732"/>
      <c r="C1175" s="1732"/>
      <c r="D1175" s="1732"/>
      <c r="E1175" s="1732"/>
      <c r="F1175" s="1732"/>
      <c r="G1175" s="1732"/>
      <c r="H1175" s="1732"/>
      <c r="I1175" s="1732"/>
      <c r="J1175" s="1732"/>
      <c r="K1175" s="1732"/>
      <c r="L1175" s="1732"/>
      <c r="M1175" s="1732"/>
      <c r="N1175" s="1732"/>
      <c r="P1175" s="1732"/>
      <c r="Q1175" s="1732"/>
      <c r="R1175" s="2103"/>
      <c r="S1175" s="2103"/>
    </row>
    <row r="1176" spans="1:19" ht="17.25" customHeight="1">
      <c r="A1176" s="2124" t="s">
        <v>550</v>
      </c>
      <c r="J1176" s="1990" t="s">
        <v>6904</v>
      </c>
      <c r="K1176" s="1990"/>
      <c r="L1176" s="1990"/>
      <c r="M1176" s="1990"/>
      <c r="N1176" s="1990"/>
      <c r="O1176" s="1990"/>
      <c r="P1176" s="2125"/>
      <c r="Q1176" s="2125"/>
      <c r="R1176" s="2103"/>
      <c r="S1176" s="2103"/>
    </row>
    <row r="1177" spans="1:19" ht="12.6" customHeight="1">
      <c r="A1177" s="1771" t="s">
        <v>3336</v>
      </c>
      <c r="H1177" s="1815"/>
      <c r="I1177" s="1815"/>
      <c r="J1177" s="1815"/>
      <c r="K1177" s="1815"/>
      <c r="L1177" s="1815"/>
      <c r="M1177" s="1732"/>
      <c r="N1177" s="1732"/>
    </row>
    <row r="1178" spans="1:19" ht="24.6" customHeight="1">
      <c r="A1178" s="1956" t="s">
        <v>1381</v>
      </c>
      <c r="B1178" s="1956"/>
      <c r="C1178" s="1956"/>
      <c r="D1178" s="1956"/>
      <c r="E1178" s="1956"/>
      <c r="F1178" s="1956"/>
      <c r="G1178" s="1956"/>
      <c r="H1178" s="1956"/>
      <c r="I1178" s="1956"/>
      <c r="J1178" s="1956"/>
      <c r="K1178" s="1956"/>
      <c r="L1178" s="1956"/>
      <c r="M1178" s="1956"/>
      <c r="N1178" s="1956"/>
      <c r="O1178" s="1956"/>
      <c r="P1178" s="1956"/>
      <c r="Q1178" s="1956"/>
      <c r="R1178" s="1973" t="s">
        <v>1984</v>
      </c>
      <c r="S1178" s="1973"/>
    </row>
    <row r="1179" spans="1:19" ht="24.6" customHeight="1">
      <c r="A1179" s="1956" t="s">
        <v>221</v>
      </c>
      <c r="B1179" s="1956"/>
      <c r="C1179" s="1956"/>
      <c r="D1179" s="1956"/>
      <c r="E1179" s="1956"/>
      <c r="F1179" s="1956"/>
      <c r="G1179" s="1956"/>
      <c r="H1179" s="1956"/>
      <c r="I1179" s="1956"/>
      <c r="J1179" s="1956"/>
      <c r="K1179" s="1956"/>
      <c r="L1179" s="1956"/>
      <c r="M1179" s="1956"/>
      <c r="N1179" s="1956"/>
      <c r="O1179" s="1956"/>
      <c r="P1179" s="1956"/>
      <c r="Q1179" s="1956"/>
      <c r="R1179" s="1973"/>
      <c r="S1179" s="1973"/>
    </row>
    <row r="1180" spans="1:19" ht="24.6" customHeight="1">
      <c r="A1180" s="1956" t="s">
        <v>1377</v>
      </c>
      <c r="B1180" s="1956"/>
      <c r="C1180" s="1956"/>
      <c r="D1180" s="1956"/>
      <c r="E1180" s="1956"/>
      <c r="F1180" s="1956"/>
      <c r="G1180" s="1956"/>
      <c r="H1180" s="1956"/>
      <c r="I1180" s="1956"/>
      <c r="J1180" s="1956"/>
      <c r="K1180" s="1956"/>
      <c r="L1180" s="1956"/>
      <c r="M1180" s="1956"/>
      <c r="N1180" s="1956"/>
      <c r="O1180" s="1956"/>
      <c r="P1180" s="1956"/>
      <c r="Q1180" s="1956"/>
      <c r="R1180" s="1973"/>
      <c r="S1180" s="1973"/>
    </row>
    <row r="1181" spans="1:19" ht="24.6" customHeight="1">
      <c r="A1181" s="1956" t="s">
        <v>1378</v>
      </c>
      <c r="B1181" s="1956"/>
      <c r="C1181" s="1956"/>
      <c r="D1181" s="1956"/>
      <c r="E1181" s="1956"/>
      <c r="F1181" s="1956"/>
      <c r="G1181" s="1956"/>
      <c r="H1181" s="1956"/>
      <c r="I1181" s="1956"/>
      <c r="J1181" s="1956"/>
      <c r="K1181" s="1956"/>
      <c r="L1181" s="1956"/>
      <c r="M1181" s="1956"/>
      <c r="N1181" s="1956"/>
      <c r="O1181" s="1956"/>
      <c r="P1181" s="1956"/>
      <c r="Q1181" s="1956"/>
      <c r="R1181" s="1973"/>
      <c r="S1181" s="1973"/>
    </row>
    <row r="1182" spans="1:19" ht="24" customHeight="1">
      <c r="A1182" s="1956" t="s">
        <v>1379</v>
      </c>
      <c r="B1182" s="1956"/>
      <c r="C1182" s="1956"/>
      <c r="D1182" s="1956"/>
      <c r="E1182" s="1956"/>
      <c r="F1182" s="1956"/>
      <c r="G1182" s="1956"/>
      <c r="H1182" s="1956"/>
      <c r="I1182" s="1956"/>
      <c r="J1182" s="1956"/>
      <c r="K1182" s="1956"/>
      <c r="L1182" s="1956"/>
      <c r="M1182" s="1956"/>
      <c r="N1182" s="1956"/>
      <c r="O1182" s="1956"/>
      <c r="P1182" s="1956"/>
      <c r="Q1182" s="1956"/>
      <c r="R1182" s="2241"/>
      <c r="S1182" s="2241"/>
    </row>
    <row r="1183" spans="1:19" ht="11.25" customHeight="1">
      <c r="A1183" s="1956" t="s">
        <v>1380</v>
      </c>
      <c r="B1183" s="1956"/>
      <c r="C1183" s="1956"/>
      <c r="D1183" s="1956"/>
      <c r="E1183" s="1956"/>
      <c r="F1183" s="1956"/>
      <c r="G1183" s="1956"/>
      <c r="H1183" s="1956"/>
      <c r="I1183" s="1956"/>
      <c r="J1183" s="1956"/>
      <c r="K1183" s="1956"/>
      <c r="L1183" s="1956"/>
      <c r="M1183" s="1956"/>
      <c r="N1183" s="1956"/>
      <c r="O1183" s="1956"/>
      <c r="P1183" s="1956"/>
      <c r="Q1183" s="1956"/>
      <c r="R1183" s="2241"/>
      <c r="S1183" s="2241"/>
    </row>
    <row r="1184" spans="1:19" ht="11.25" customHeight="1">
      <c r="A1184" s="1956" t="s">
        <v>1382</v>
      </c>
      <c r="B1184" s="1956"/>
      <c r="C1184" s="1956"/>
      <c r="D1184" s="1956"/>
      <c r="E1184" s="1956"/>
      <c r="F1184" s="1956"/>
      <c r="G1184" s="1956"/>
      <c r="H1184" s="1956"/>
      <c r="I1184" s="1956"/>
      <c r="J1184" s="1956"/>
      <c r="K1184" s="1956"/>
      <c r="L1184" s="1956"/>
      <c r="M1184" s="1956"/>
      <c r="N1184" s="1956"/>
      <c r="O1184" s="1956"/>
      <c r="P1184" s="1956"/>
      <c r="Q1184" s="1956"/>
    </row>
    <row r="1185" spans="1:19" ht="11.25" customHeight="1">
      <c r="A1185" s="1956" t="s">
        <v>1971</v>
      </c>
      <c r="B1185" s="1956"/>
      <c r="C1185" s="1956"/>
      <c r="D1185" s="1956"/>
      <c r="E1185" s="1956"/>
      <c r="F1185" s="1956"/>
      <c r="G1185" s="1956"/>
      <c r="H1185" s="1956"/>
      <c r="I1185" s="1956"/>
      <c r="J1185" s="1956"/>
      <c r="K1185" s="1956"/>
      <c r="L1185" s="1956"/>
      <c r="M1185" s="1956"/>
      <c r="N1185" s="1956"/>
      <c r="O1185" s="1956"/>
      <c r="P1185" s="1956"/>
      <c r="Q1185" s="1956"/>
      <c r="R1185" s="1973" t="s">
        <v>1984</v>
      </c>
      <c r="S1185" s="1973"/>
    </row>
    <row r="1186" spans="1:19" ht="11.25" customHeight="1">
      <c r="A1186" s="1956" t="s">
        <v>1972</v>
      </c>
      <c r="B1186" s="1956"/>
      <c r="C1186" s="1956"/>
      <c r="D1186" s="1956"/>
      <c r="E1186" s="1956"/>
      <c r="F1186" s="1956"/>
      <c r="G1186" s="1956"/>
      <c r="H1186" s="1956"/>
      <c r="I1186" s="1956"/>
      <c r="J1186" s="1956"/>
      <c r="K1186" s="1956"/>
      <c r="L1186" s="1956"/>
      <c r="M1186" s="1956"/>
      <c r="N1186" s="1956"/>
      <c r="O1186" s="1956"/>
      <c r="P1186" s="1956"/>
      <c r="Q1186" s="1956"/>
      <c r="R1186" s="1973"/>
      <c r="S1186" s="1973"/>
    </row>
    <row r="1187" spans="1:19" ht="11.25" customHeight="1">
      <c r="A1187" s="1956" t="s">
        <v>1973</v>
      </c>
      <c r="B1187" s="1956"/>
      <c r="C1187" s="1956"/>
      <c r="D1187" s="1956"/>
      <c r="E1187" s="1956"/>
      <c r="F1187" s="1956"/>
      <c r="G1187" s="1956"/>
      <c r="H1187" s="1956"/>
      <c r="I1187" s="1956"/>
      <c r="J1187" s="1956"/>
      <c r="K1187" s="1956"/>
      <c r="L1187" s="1956"/>
      <c r="M1187" s="1956"/>
      <c r="N1187" s="1956"/>
      <c r="O1187" s="1956"/>
      <c r="P1187" s="1956"/>
      <c r="Q1187" s="1956"/>
      <c r="R1187" s="1973"/>
      <c r="S1187" s="1973"/>
    </row>
    <row r="1188" spans="1:19" ht="11.25" customHeight="1">
      <c r="A1188" s="1956" t="s">
        <v>1974</v>
      </c>
      <c r="B1188" s="1956"/>
      <c r="C1188" s="1956"/>
      <c r="D1188" s="1956"/>
      <c r="E1188" s="1956"/>
      <c r="F1188" s="1956"/>
      <c r="G1188" s="1956"/>
      <c r="H1188" s="1956"/>
      <c r="I1188" s="1956"/>
      <c r="J1188" s="1956"/>
      <c r="K1188" s="1956"/>
      <c r="L1188" s="1956"/>
      <c r="M1188" s="1956"/>
      <c r="N1188" s="1956"/>
      <c r="O1188" s="1956"/>
      <c r="P1188" s="1956"/>
      <c r="Q1188" s="1956"/>
      <c r="R1188" s="1973"/>
      <c r="S1188" s="1973"/>
    </row>
    <row r="1189" spans="1:19" ht="11.25" customHeight="1">
      <c r="A1189" s="1956" t="s">
        <v>1975</v>
      </c>
      <c r="B1189" s="1956"/>
      <c r="C1189" s="1956"/>
      <c r="D1189" s="1956"/>
      <c r="E1189" s="1956"/>
      <c r="F1189" s="1956"/>
      <c r="G1189" s="1956"/>
      <c r="H1189" s="1956"/>
      <c r="I1189" s="1956"/>
      <c r="J1189" s="1956"/>
      <c r="K1189" s="1956"/>
      <c r="L1189" s="1956"/>
      <c r="M1189" s="1956"/>
      <c r="N1189" s="1956"/>
      <c r="O1189" s="1956"/>
      <c r="P1189" s="1956"/>
      <c r="Q1189" s="1956"/>
      <c r="R1189" s="1973"/>
      <c r="S1189" s="1973"/>
    </row>
    <row r="1190" spans="1:19" ht="11.25" customHeight="1">
      <c r="A1190" s="1956" t="s">
        <v>1976</v>
      </c>
      <c r="B1190" s="1956"/>
      <c r="C1190" s="1956"/>
      <c r="D1190" s="1956"/>
      <c r="E1190" s="1956"/>
      <c r="F1190" s="1956"/>
      <c r="G1190" s="1956"/>
      <c r="H1190" s="1956"/>
      <c r="I1190" s="1956"/>
      <c r="J1190" s="1956"/>
      <c r="K1190" s="1956"/>
      <c r="L1190" s="1956"/>
      <c r="M1190" s="1956"/>
      <c r="N1190" s="1956"/>
      <c r="O1190" s="1956"/>
      <c r="P1190" s="1956"/>
      <c r="Q1190" s="1956"/>
      <c r="R1190" s="1973"/>
      <c r="S1190" s="1973"/>
    </row>
    <row r="1191" spans="1:19" ht="11.25" customHeight="1">
      <c r="A1191" s="1956" t="s">
        <v>1977</v>
      </c>
      <c r="B1191" s="1956"/>
      <c r="C1191" s="1956"/>
      <c r="D1191" s="1956"/>
      <c r="E1191" s="1956"/>
      <c r="F1191" s="1956"/>
      <c r="G1191" s="1956"/>
      <c r="H1191" s="1956"/>
      <c r="I1191" s="1956"/>
      <c r="J1191" s="1956"/>
      <c r="K1191" s="1956"/>
      <c r="L1191" s="1956"/>
      <c r="M1191" s="1956"/>
      <c r="N1191" s="1956"/>
      <c r="O1191" s="1956"/>
      <c r="P1191" s="1956"/>
      <c r="Q1191" s="1956"/>
    </row>
    <row r="1192" spans="1:19" ht="11.25" customHeight="1">
      <c r="A1192" s="1956" t="s">
        <v>1978</v>
      </c>
      <c r="B1192" s="1956"/>
      <c r="C1192" s="1956"/>
      <c r="D1192" s="1956"/>
      <c r="E1192" s="1956"/>
      <c r="F1192" s="1956"/>
      <c r="G1192" s="1956"/>
      <c r="H1192" s="1956"/>
      <c r="I1192" s="1956"/>
      <c r="J1192" s="1956"/>
      <c r="K1192" s="1956"/>
      <c r="L1192" s="1956"/>
      <c r="M1192" s="1956"/>
      <c r="N1192" s="1956"/>
      <c r="O1192" s="1956"/>
      <c r="P1192" s="1956"/>
      <c r="Q1192" s="1956"/>
      <c r="R1192" s="1973" t="s">
        <v>1984</v>
      </c>
      <c r="S1192" s="1973"/>
    </row>
    <row r="1193" spans="1:19" ht="11.25" customHeight="1">
      <c r="A1193" s="1956" t="s">
        <v>1979</v>
      </c>
      <c r="B1193" s="1956"/>
      <c r="C1193" s="1956"/>
      <c r="D1193" s="1956"/>
      <c r="E1193" s="1956"/>
      <c r="F1193" s="1956"/>
      <c r="G1193" s="1956"/>
      <c r="H1193" s="1956"/>
      <c r="I1193" s="1956"/>
      <c r="J1193" s="1956"/>
      <c r="K1193" s="1956"/>
      <c r="L1193" s="1956"/>
      <c r="M1193" s="1956"/>
      <c r="N1193" s="1956"/>
      <c r="O1193" s="1956"/>
      <c r="P1193" s="1956"/>
      <c r="Q1193" s="1956"/>
      <c r="R1193" s="1973"/>
      <c r="S1193" s="1973"/>
    </row>
    <row r="1194" spans="1:19" ht="11.25" customHeight="1">
      <c r="A1194" s="1956" t="s">
        <v>1980</v>
      </c>
      <c r="B1194" s="1956"/>
      <c r="C1194" s="1956"/>
      <c r="D1194" s="1956"/>
      <c r="E1194" s="1956"/>
      <c r="F1194" s="1956"/>
      <c r="G1194" s="1956"/>
      <c r="H1194" s="1956"/>
      <c r="I1194" s="1956"/>
      <c r="J1194" s="1956"/>
      <c r="K1194" s="1956"/>
      <c r="L1194" s="1956"/>
      <c r="M1194" s="1956"/>
      <c r="N1194" s="1956"/>
      <c r="O1194" s="1956"/>
      <c r="P1194" s="1956"/>
      <c r="Q1194" s="1956"/>
      <c r="R1194" s="1973"/>
      <c r="S1194" s="1973"/>
    </row>
    <row r="1195" spans="1:19" ht="11.25" customHeight="1">
      <c r="A1195" s="1956" t="s">
        <v>1981</v>
      </c>
      <c r="B1195" s="1956"/>
      <c r="C1195" s="1956"/>
      <c r="D1195" s="1956"/>
      <c r="E1195" s="1956"/>
      <c r="F1195" s="1956"/>
      <c r="G1195" s="1956"/>
      <c r="H1195" s="1956"/>
      <c r="I1195" s="1956"/>
      <c r="J1195" s="1956"/>
      <c r="K1195" s="1956"/>
      <c r="L1195" s="1956"/>
      <c r="M1195" s="1956"/>
      <c r="N1195" s="1956"/>
      <c r="O1195" s="1956"/>
      <c r="P1195" s="1956"/>
      <c r="Q1195" s="1956"/>
      <c r="R1195" s="1973"/>
      <c r="S1195" s="1973"/>
    </row>
    <row r="1196" spans="1:19" ht="11.25" customHeight="1">
      <c r="A1196" s="1956" t="s">
        <v>1982</v>
      </c>
      <c r="B1196" s="1956"/>
      <c r="C1196" s="1956"/>
      <c r="D1196" s="1956"/>
      <c r="E1196" s="1956"/>
      <c r="F1196" s="1956"/>
      <c r="G1196" s="1956"/>
      <c r="H1196" s="1956"/>
      <c r="I1196" s="1956"/>
      <c r="J1196" s="1956"/>
      <c r="K1196" s="1956"/>
      <c r="L1196" s="1956"/>
      <c r="M1196" s="1956"/>
      <c r="N1196" s="1956"/>
      <c r="O1196" s="1956"/>
      <c r="P1196" s="1956"/>
      <c r="Q1196" s="1956"/>
      <c r="R1196" s="1973"/>
      <c r="S1196" s="1973"/>
    </row>
    <row r="1197" spans="1:19" ht="11.25" customHeight="1">
      <c r="A1197" s="1956" t="s">
        <v>1983</v>
      </c>
      <c r="B1197" s="1956"/>
      <c r="C1197" s="1956"/>
      <c r="D1197" s="1956"/>
      <c r="E1197" s="1956"/>
      <c r="F1197" s="1956"/>
      <c r="G1197" s="1956"/>
      <c r="H1197" s="1956"/>
      <c r="I1197" s="1956"/>
      <c r="J1197" s="1956"/>
      <c r="K1197" s="1956"/>
      <c r="L1197" s="1956"/>
      <c r="M1197" s="1956"/>
      <c r="N1197" s="1956"/>
      <c r="O1197" s="1956"/>
      <c r="P1197" s="1956"/>
      <c r="Q1197" s="1956"/>
      <c r="R1197" s="1973"/>
      <c r="S1197" s="1973"/>
    </row>
    <row r="1198" spans="1:19" ht="6" customHeight="1"/>
    <row r="1199" spans="1:19" ht="14.1" customHeight="1">
      <c r="A1199" s="1981" t="s">
        <v>598</v>
      </c>
      <c r="B1199" s="1910" t="s">
        <v>2579</v>
      </c>
      <c r="C1199" s="1936"/>
      <c r="D1199" s="449"/>
      <c r="E1199" s="449"/>
      <c r="F1199" s="449"/>
      <c r="G1199" s="449"/>
      <c r="I1199" s="1229"/>
      <c r="J1199" s="1229"/>
      <c r="K1199" s="1229"/>
      <c r="L1199" s="1732"/>
      <c r="M1199" s="1732"/>
      <c r="O1199" s="1942" t="s">
        <v>1821</v>
      </c>
      <c r="P1199" s="1897"/>
      <c r="Q1199" s="1897"/>
    </row>
    <row r="1200" spans="1:19" ht="3" customHeight="1"/>
    <row r="1201" spans="1:32" ht="11.25" customHeight="1">
      <c r="B1201" s="449" t="s">
        <v>3565</v>
      </c>
      <c r="C1201" s="449"/>
      <c r="D1201" s="449"/>
      <c r="E1201" s="449"/>
      <c r="F1201" s="449"/>
      <c r="G1201" s="1229"/>
      <c r="H1201" s="1229"/>
      <c r="I1201" s="1229"/>
      <c r="J1201" s="1229"/>
      <c r="K1201" s="1732"/>
      <c r="L1201" s="1732"/>
      <c r="M1201" s="1732"/>
      <c r="N1201" s="1732"/>
      <c r="O1201" s="1732"/>
      <c r="P1201" s="1732"/>
      <c r="S1201" s="2123"/>
      <c r="T1201" s="2123"/>
    </row>
    <row r="1202" spans="1:32" ht="108.75" customHeight="1">
      <c r="A1202" s="1936" t="str">
        <f>'Part VIII-Threshold Criteria'!A32</f>
        <v xml:space="preserve">Applicant has met Threshold by adhereing to DCA's feasibility assumptions and policies.  Applicant has made all required certifications to DCA related to subsidies, sources and uses of funds and financing agreements.  Applicant's  income includes rental income plus 2% of gross potential rents  for other income and is within HUD's maximum allowable rent limits.  Development and Construction costs are reasonable and consistent for the project's scope of work.  Applicant  believes the Federal and State Equity Pricing shown in the commitments in TAB 01 are consistent with current equity market pricing.  Annual operating expenses are above the minimums stated in Exhibit A of Appendix I of the 2020 QAP.  Applicant has followed all of DCA's policies pertaining to Project Rents, Operating Utility Allowances, Deferred Developer Fees and Commitments in this application. Applicant has met Threshold because all costs directly associated with developing unrestricted units for this project are covered by conventional or unrestricted financing sources. 
</v>
      </c>
      <c r="B1202" s="1936"/>
      <c r="C1202" s="1936"/>
      <c r="D1202" s="1936"/>
      <c r="E1202" s="1936"/>
      <c r="F1202" s="1936"/>
      <c r="G1202" s="1936"/>
      <c r="H1202" s="1936"/>
      <c r="I1202" s="1936"/>
      <c r="J1202" s="1936"/>
      <c r="K1202" s="1936"/>
      <c r="L1202" s="1936"/>
      <c r="M1202" s="1936"/>
      <c r="N1202" s="1936"/>
      <c r="O1202" s="1936"/>
      <c r="P1202" s="1936"/>
      <c r="Q1202" s="1936"/>
      <c r="R1202" s="1973" t="s">
        <v>1228</v>
      </c>
      <c r="S1202" s="1973"/>
      <c r="T1202" s="2123"/>
      <c r="U1202" s="1897"/>
      <c r="V1202" s="1897"/>
      <c r="W1202" s="1897"/>
      <c r="X1202" s="1897"/>
      <c r="Y1202" s="1897"/>
      <c r="Z1202" s="1897"/>
      <c r="AA1202" s="1897"/>
      <c r="AB1202" s="1897"/>
      <c r="AC1202" s="1897"/>
      <c r="AD1202" s="1897"/>
      <c r="AE1202" s="1897"/>
    </row>
    <row r="1203" spans="1:32" ht="11.25" customHeight="1">
      <c r="B1203" s="1936" t="s">
        <v>1820</v>
      </c>
      <c r="C1203" s="1936"/>
      <c r="D1203" s="1939"/>
      <c r="E1203" s="1939"/>
      <c r="F1203" s="1939"/>
      <c r="G1203" s="1939"/>
      <c r="H1203" s="1939"/>
      <c r="I1203" s="1939"/>
      <c r="J1203" s="1939"/>
      <c r="K1203" s="1939"/>
      <c r="L1203" s="1939"/>
      <c r="M1203" s="1939"/>
      <c r="N1203" s="1939"/>
      <c r="O1203" s="1939"/>
      <c r="P1203" s="1939"/>
    </row>
    <row r="1204" spans="1:32" ht="36" customHeight="1">
      <c r="A1204" s="1936"/>
      <c r="B1204" s="1936"/>
      <c r="C1204" s="1936"/>
      <c r="D1204" s="1936"/>
      <c r="E1204" s="1936"/>
      <c r="F1204" s="1936"/>
      <c r="G1204" s="1936"/>
      <c r="H1204" s="1936"/>
      <c r="I1204" s="1936"/>
      <c r="J1204" s="1936"/>
      <c r="K1204" s="1936"/>
      <c r="L1204" s="1936"/>
      <c r="M1204" s="1936"/>
      <c r="N1204" s="1936"/>
      <c r="O1204" s="1936"/>
      <c r="P1204" s="1936"/>
      <c r="Q1204" s="1936"/>
      <c r="R1204" s="1973" t="s">
        <v>1228</v>
      </c>
      <c r="S1204" s="1973"/>
    </row>
    <row r="1205" spans="1:32" ht="3" customHeight="1">
      <c r="B1205" s="1229"/>
      <c r="C1205" s="1939"/>
      <c r="D1205" s="1939"/>
      <c r="E1205" s="1939"/>
      <c r="F1205" s="1939"/>
      <c r="G1205" s="1939"/>
      <c r="H1205" s="1939"/>
      <c r="I1205" s="1939"/>
      <c r="J1205" s="1939"/>
      <c r="K1205" s="1939"/>
      <c r="L1205" s="1939"/>
      <c r="M1205" s="1939"/>
      <c r="N1205" s="1939"/>
      <c r="O1205" s="1939"/>
      <c r="P1205" s="1939"/>
      <c r="Q1205" s="1732"/>
    </row>
    <row r="1206" spans="1:32" ht="12.75" customHeight="1">
      <c r="A1206" s="1922" t="s">
        <v>722</v>
      </c>
      <c r="B1206" s="1815" t="s">
        <v>2631</v>
      </c>
      <c r="C1206" s="1815"/>
      <c r="D1206" s="1815"/>
      <c r="E1206" s="1939"/>
      <c r="G1206" s="1897"/>
      <c r="H1206" s="1897"/>
      <c r="I1206" s="1897"/>
      <c r="J1206" s="1815"/>
      <c r="L1206" s="2120"/>
      <c r="M1206" s="2120"/>
      <c r="N1206" s="2120"/>
      <c r="O1206" s="1942" t="s">
        <v>1821</v>
      </c>
      <c r="P1206" s="1897"/>
      <c r="Q1206" s="1897"/>
    </row>
    <row r="1207" spans="1:32" ht="11.25" customHeight="1">
      <c r="A1207" s="1986"/>
      <c r="B1207" s="1986"/>
      <c r="C1207" s="1986"/>
      <c r="D1207" s="1986"/>
      <c r="E1207" s="1986"/>
      <c r="F1207" s="1986"/>
      <c r="G1207" s="1822" t="s">
        <v>2635</v>
      </c>
      <c r="H1207" s="1822"/>
      <c r="I1207" s="449"/>
      <c r="J1207" s="1815"/>
      <c r="K1207" s="449" t="s">
        <v>3467</v>
      </c>
      <c r="L1207" s="449"/>
      <c r="M1207" s="449"/>
      <c r="N1207" s="449"/>
    </row>
    <row r="1208" spans="1:32" ht="11.25" customHeight="1">
      <c r="A1208" s="1986"/>
      <c r="B1208" s="1986"/>
      <c r="C1208" s="1986"/>
      <c r="D1208" s="1986"/>
      <c r="E1208" s="1986"/>
      <c r="F1208" s="1986"/>
      <c r="G1208" s="1822" t="s">
        <v>341</v>
      </c>
      <c r="H1208" s="1822"/>
      <c r="I1208" s="449"/>
      <c r="J1208" s="1815"/>
      <c r="K1208" s="449" t="s">
        <v>3468</v>
      </c>
      <c r="L1208" s="449"/>
      <c r="M1208" s="449"/>
      <c r="N1208" s="449"/>
      <c r="P1208" s="1868" t="s">
        <v>2650</v>
      </c>
      <c r="Q1208" s="1229" t="str">
        <f>'Part VIII-Threshold Criteria'!Q38</f>
        <v>Yes</v>
      </c>
    </row>
    <row r="1209" spans="1:32" ht="4.5" customHeight="1">
      <c r="A1209" s="1986"/>
      <c r="B1209" s="1986"/>
      <c r="C1209" s="1986"/>
      <c r="D1209" s="1986"/>
      <c r="E1209" s="1986"/>
      <c r="F1209" s="1986"/>
      <c r="G1209" s="449"/>
      <c r="H1209" s="449"/>
      <c r="I1209" s="449"/>
      <c r="J1209" s="1815"/>
      <c r="K1209" s="449"/>
      <c r="L1209" s="449"/>
      <c r="M1209" s="449"/>
      <c r="N1209" s="449"/>
      <c r="P1209" s="1849" t="s">
        <v>4530</v>
      </c>
      <c r="Q1209" s="1849"/>
    </row>
    <row r="1210" spans="1:32" ht="10.5" customHeight="1">
      <c r="D1210" s="1932" t="s">
        <v>2634</v>
      </c>
      <c r="F1210" s="1945" t="s">
        <v>3337</v>
      </c>
      <c r="G1210" s="1945" t="s">
        <v>4453</v>
      </c>
      <c r="H1210" s="1945"/>
      <c r="I1210" s="1945"/>
      <c r="K1210" s="1945" t="s">
        <v>3337</v>
      </c>
      <c r="L1210" s="1945" t="s">
        <v>4452</v>
      </c>
      <c r="M1210" s="1945"/>
      <c r="N1210" s="1945"/>
      <c r="P1210" s="1849"/>
      <c r="Q1210" s="1849"/>
      <c r="R1210" s="2240"/>
      <c r="V1210" s="1815"/>
      <c r="W1210" s="1815"/>
      <c r="X1210" s="1918"/>
      <c r="Y1210" s="1815"/>
      <c r="Z1210" s="449"/>
      <c r="AA1210" s="450"/>
      <c r="AB1210" s="450"/>
      <c r="AC1210" s="450"/>
      <c r="AD1210" s="450"/>
      <c r="AE1210" s="450"/>
      <c r="AF1210" s="450"/>
    </row>
    <row r="1211" spans="1:32" ht="10.5" customHeight="1">
      <c r="A1211" s="1956" t="s">
        <v>3252</v>
      </c>
      <c r="B1211" s="1956"/>
      <c r="C1211" s="1956"/>
      <c r="D1211" s="1933" t="s">
        <v>551</v>
      </c>
      <c r="E1211" s="1229">
        <v>0</v>
      </c>
      <c r="F1211" s="1934" t="str">
        <f>'Part VIII-Threshold Criteria'!F41</f>
        <v/>
      </c>
      <c r="G1211" s="2126">
        <f>'Part VIII-Threshold Criteria'!G41</f>
        <v>168301.19999999998</v>
      </c>
      <c r="H1211" s="1908" t="str">
        <f>'Part VIII-Threshold Criteria'!H41</f>
        <v xml:space="preserve">x  units = </v>
      </c>
      <c r="I1211" s="1875" t="str">
        <f>IF(F1211="","",F1211*G1211)</f>
        <v/>
      </c>
      <c r="J1211" s="1815"/>
      <c r="K1211" s="1934" t="str">
        <f>'Part VIII-Threshold Criteria'!K41</f>
        <v/>
      </c>
      <c r="L1211" s="2126">
        <f>'Part VIII-Threshold Criteria'!L41</f>
        <v>185131.32</v>
      </c>
      <c r="M1211" s="1908" t="str">
        <f>'Part VIII-Threshold Criteria'!M41</f>
        <v xml:space="preserve">x  units = </v>
      </c>
      <c r="N1211" s="1875" t="str">
        <f>IF(K1211="","",K1211*L1211)</f>
        <v/>
      </c>
      <c r="O1211" s="1939"/>
      <c r="P1211" s="1849"/>
      <c r="Q1211" s="1849"/>
      <c r="R1211" s="2240"/>
      <c r="V1211" s="1815"/>
      <c r="W1211" s="1815"/>
      <c r="X1211" s="1918"/>
      <c r="Y1211" s="1815"/>
      <c r="Z1211" s="449"/>
      <c r="AA1211" s="450"/>
      <c r="AB1211" s="450"/>
      <c r="AC1211" s="450"/>
      <c r="AD1211" s="450"/>
      <c r="AE1211" s="450"/>
      <c r="AF1211" s="450"/>
    </row>
    <row r="1212" spans="1:32" ht="10.5" customHeight="1">
      <c r="A1212" s="1956"/>
      <c r="B1212" s="1956"/>
      <c r="C1212" s="1956"/>
      <c r="D1212" s="1933" t="s">
        <v>2377</v>
      </c>
      <c r="E1212" s="1229">
        <v>1</v>
      </c>
      <c r="F1212" s="1934" t="str">
        <f>'Part VIII-Threshold Criteria'!F42</f>
        <v/>
      </c>
      <c r="G1212" s="2126">
        <f>'Part VIII-Threshold Criteria'!G42</f>
        <v>208644.49999999997</v>
      </c>
      <c r="H1212" s="1908" t="str">
        <f>'Part VIII-Threshold Criteria'!H42</f>
        <v xml:space="preserve">x  units = </v>
      </c>
      <c r="I1212" s="1875" t="str">
        <f>IF(F1212="","",F1212*G1212)</f>
        <v/>
      </c>
      <c r="J1212" s="1815"/>
      <c r="K1212" s="1934" t="str">
        <f>'Part VIII-Threshold Criteria'!K42</f>
        <v/>
      </c>
      <c r="L1212" s="2126">
        <f>'Part VIII-Threshold Criteria'!L42</f>
        <v>229508.94999999998</v>
      </c>
      <c r="M1212" s="1908" t="str">
        <f>'Part VIII-Threshold Criteria'!M42</f>
        <v xml:space="preserve">x  units = </v>
      </c>
      <c r="N1212" s="1875" t="str">
        <f>IF(K1212="","",K1212*L1212)</f>
        <v/>
      </c>
      <c r="O1212" s="1939"/>
      <c r="P1212" s="2103" t="str">
        <f>'Part VIII-Threshold Criteria'!P42</f>
        <v>Columbus</v>
      </c>
      <c r="Q1212" s="2103"/>
      <c r="R1212" s="2240"/>
      <c r="W1212" s="1815"/>
      <c r="X1212" s="1918"/>
      <c r="Y1212" s="1815"/>
      <c r="Z1212" s="449"/>
      <c r="AA1212" s="450"/>
      <c r="AB1212" s="450"/>
      <c r="AC1212" s="450"/>
      <c r="AD1212" s="450"/>
      <c r="AE1212" s="450"/>
      <c r="AF1212" s="450"/>
    </row>
    <row r="1213" spans="1:32" ht="10.5" customHeight="1">
      <c r="A1213" s="1956"/>
      <c r="B1213" s="1956"/>
      <c r="C1213" s="1956"/>
      <c r="D1213" s="1933" t="s">
        <v>2378</v>
      </c>
      <c r="E1213" s="1229">
        <v>2</v>
      </c>
      <c r="F1213" s="1934" t="str">
        <f>'Part VIII-Threshold Criteria'!F43</f>
        <v/>
      </c>
      <c r="G1213" s="2126">
        <f>'Part VIII-Threshold Criteria'!G43</f>
        <v>249636.24999999997</v>
      </c>
      <c r="H1213" s="1908" t="str">
        <f>'Part VIII-Threshold Criteria'!H43</f>
        <v xml:space="preserve">x  units = </v>
      </c>
      <c r="I1213" s="1875" t="str">
        <f>IF(F1213="","",F1213*G1213)</f>
        <v/>
      </c>
      <c r="J1213" s="1815"/>
      <c r="K1213" s="1934" t="str">
        <f>'Part VIII-Threshold Criteria'!K43</f>
        <v/>
      </c>
      <c r="L1213" s="2126">
        <f>'Part VIII-Threshold Criteria'!L43</f>
        <v>274599.875</v>
      </c>
      <c r="M1213" s="1908" t="str">
        <f>'Part VIII-Threshold Criteria'!M43</f>
        <v xml:space="preserve">x  units = </v>
      </c>
      <c r="N1213" s="1875" t="str">
        <f>IF(K1213="","",K1213*L1213)</f>
        <v/>
      </c>
      <c r="O1213" s="1939"/>
      <c r="P1213" s="2103"/>
      <c r="Q1213" s="2103"/>
      <c r="W1213" s="1815"/>
      <c r="X1213" s="1918"/>
      <c r="Y1213" s="1815"/>
      <c r="Z1213" s="449"/>
      <c r="AA1213" s="450"/>
      <c r="AB1213" s="450"/>
      <c r="AC1213" s="450"/>
      <c r="AD1213" s="450"/>
      <c r="AE1213" s="450"/>
      <c r="AF1213" s="450"/>
    </row>
    <row r="1214" spans="1:32" ht="10.5" customHeight="1">
      <c r="A1214" s="1956"/>
      <c r="B1214" s="1956"/>
      <c r="C1214" s="1956"/>
      <c r="D1214" s="1933" t="s">
        <v>2379</v>
      </c>
      <c r="E1214" s="1229">
        <v>3</v>
      </c>
      <c r="F1214" s="1934" t="str">
        <f>'Part VIII-Threshold Criteria'!F44</f>
        <v/>
      </c>
      <c r="G1214" s="2126">
        <f>'Part VIII-Threshold Criteria'!G44</f>
        <v>284659.10000000003</v>
      </c>
      <c r="H1214" s="1908" t="str">
        <f>'Part VIII-Threshold Criteria'!H44</f>
        <v xml:space="preserve">x  units = </v>
      </c>
      <c r="I1214" s="1875" t="str">
        <f>IF(F1214="","",F1214*G1214)</f>
        <v/>
      </c>
      <c r="J1214" s="1815"/>
      <c r="K1214" s="1934" t="str">
        <f>'Part VIII-Threshold Criteria'!K44</f>
        <v/>
      </c>
      <c r="L1214" s="2126">
        <f>'Part VIII-Threshold Criteria'!L44</f>
        <v>313125.01000000007</v>
      </c>
      <c r="M1214" s="1908" t="str">
        <f>'Part VIII-Threshold Criteria'!M44</f>
        <v xml:space="preserve">x  units = </v>
      </c>
      <c r="N1214" s="1875" t="str">
        <f>IF(K1214="","",K1214*L1214)</f>
        <v/>
      </c>
      <c r="O1214" s="1939"/>
      <c r="P1214" s="449" t="s">
        <v>4531</v>
      </c>
      <c r="Q1214" s="449"/>
      <c r="W1214" s="1815"/>
      <c r="X1214" s="1918"/>
      <c r="AC1214" s="450"/>
      <c r="AD1214" s="450"/>
      <c r="AE1214" s="450"/>
      <c r="AF1214" s="450"/>
    </row>
    <row r="1215" spans="1:32" ht="10.5" customHeight="1">
      <c r="C1215" s="1815"/>
      <c r="D1215" s="1933" t="s">
        <v>2380</v>
      </c>
      <c r="E1215" s="1229">
        <v>4</v>
      </c>
      <c r="F1215" s="1934" t="str">
        <f>'Part VIII-Threshold Criteria'!F45</f>
        <v/>
      </c>
      <c r="G1215" s="2126">
        <f>'Part VIII-Threshold Criteria'!G45</f>
        <v>335406.5</v>
      </c>
      <c r="H1215" s="1908" t="str">
        <f>'Part VIII-Threshold Criteria'!H45</f>
        <v xml:space="preserve">x  units = </v>
      </c>
      <c r="I1215" s="1875" t="str">
        <f>IF(F1215="","",F1215*G1215)</f>
        <v/>
      </c>
      <c r="J1215" s="1815"/>
      <c r="K1215" s="1934" t="str">
        <f>'Part VIII-Threshold Criteria'!K45</f>
        <v/>
      </c>
      <c r="L1215" s="2126">
        <f>'Part VIII-Threshold Criteria'!L45</f>
        <v>368947.15</v>
      </c>
      <c r="M1215" s="1908" t="str">
        <f>'Part VIII-Threshold Criteria'!M45</f>
        <v xml:space="preserve">x  units = </v>
      </c>
      <c r="N1215" s="1875" t="str">
        <f>IF(K1215="","",K1215*L1215)</f>
        <v/>
      </c>
      <c r="O1215" s="1939"/>
      <c r="P1215" s="2127">
        <f>'Part IV-A-Uses of Funds'!$G$132</f>
        <v>12452350</v>
      </c>
      <c r="Q1215" s="2127"/>
      <c r="AC1215" s="450"/>
      <c r="AD1215" s="450"/>
      <c r="AE1215" s="450"/>
      <c r="AF1215" s="450"/>
    </row>
    <row r="1216" spans="1:32" ht="10.5" customHeight="1">
      <c r="C1216" s="1815"/>
      <c r="D1216" s="2128" t="s">
        <v>3262</v>
      </c>
      <c r="E1216" s="1910"/>
      <c r="F1216" s="2129">
        <f>SUM(F1211:F1215)</f>
        <v>0</v>
      </c>
      <c r="G1216" s="2130"/>
      <c r="H1216" s="1938"/>
      <c r="I1216" s="2131">
        <f>SUM(I1211:I1215)</f>
        <v>0</v>
      </c>
      <c r="J1216" s="1910"/>
      <c r="K1216" s="2129">
        <f>SUM(K1211:K1215)</f>
        <v>0</v>
      </c>
      <c r="L1216" s="1910"/>
      <c r="M1216" s="1938"/>
      <c r="N1216" s="2131">
        <f>SUM(N1211:N1215)</f>
        <v>0</v>
      </c>
      <c r="O1216" s="1939"/>
      <c r="P1216" s="449" t="s">
        <v>4516</v>
      </c>
      <c r="Q1216" s="449"/>
      <c r="R1216" s="1935" t="s">
        <v>4532</v>
      </c>
      <c r="S1216" s="1935"/>
      <c r="T1216" s="1935"/>
      <c r="V1216" s="2200"/>
      <c r="W1216" s="2200"/>
      <c r="AC1216" s="450"/>
      <c r="AD1216" s="450"/>
      <c r="AE1216" s="450"/>
      <c r="AF1216" s="450"/>
    </row>
    <row r="1217" spans="1:32" ht="1.5" customHeight="1">
      <c r="C1217" s="1815"/>
      <c r="D1217" s="1986"/>
      <c r="E1217" s="1986"/>
      <c r="F1217" s="1817"/>
      <c r="G1217" s="1936"/>
      <c r="I1217" s="1817"/>
      <c r="K1217" s="1817"/>
      <c r="M1217" s="1939"/>
      <c r="N1217" s="1817"/>
      <c r="O1217" s="1939"/>
      <c r="R1217" s="2240"/>
      <c r="AC1217" s="450"/>
      <c r="AD1217" s="450"/>
      <c r="AE1217" s="450"/>
      <c r="AF1217" s="450"/>
    </row>
    <row r="1218" spans="1:32" ht="10.5" customHeight="1">
      <c r="A1218" s="1956" t="s">
        <v>3247</v>
      </c>
      <c r="B1218" s="1956"/>
      <c r="C1218" s="1956"/>
      <c r="D1218" s="1933" t="s">
        <v>551</v>
      </c>
      <c r="E1218" s="1934">
        <v>0</v>
      </c>
      <c r="F1218" s="1934" t="str">
        <f>'Part VIII-Threshold Criteria'!F48</f>
        <v/>
      </c>
      <c r="G1218" s="2126">
        <f>'Part VIII-Threshold Criteria'!G48</f>
        <v>144937.19999999998</v>
      </c>
      <c r="H1218" s="1908" t="str">
        <f>'Part VIII-Threshold Criteria'!H48</f>
        <v xml:space="preserve">x  units = </v>
      </c>
      <c r="I1218" s="1875" t="str">
        <f>IF(F1218="","",F1218*G1218)</f>
        <v/>
      </c>
      <c r="J1218" s="1815"/>
      <c r="K1218" s="1934" t="s">
        <v>4485</v>
      </c>
      <c r="L1218" s="2126">
        <v>159979.19999999998</v>
      </c>
      <c r="M1218" s="1908" t="s">
        <v>6815</v>
      </c>
      <c r="N1218" s="1875" t="str">
        <f>IF(K1218="","",K1218*L1218)</f>
        <v/>
      </c>
      <c r="P1218" s="2127">
        <f>'Part VIII-Threshold Criteria'!P48</f>
        <v>11830095</v>
      </c>
      <c r="Q1218" s="2127"/>
      <c r="AC1218" s="450"/>
      <c r="AD1218" s="450"/>
      <c r="AE1218" s="450"/>
      <c r="AF1218" s="450"/>
    </row>
    <row r="1219" spans="1:32" ht="10.5" customHeight="1">
      <c r="A1219" s="1956"/>
      <c r="B1219" s="1956"/>
      <c r="C1219" s="1956"/>
      <c r="D1219" s="1933" t="s">
        <v>2377</v>
      </c>
      <c r="E1219" s="1229">
        <v>1</v>
      </c>
      <c r="F1219" s="1934" t="str">
        <f>'Part VIII-Threshold Criteria'!F49</f>
        <v/>
      </c>
      <c r="G1219" s="2126">
        <f>'Part VIII-Threshold Criteria'!G49</f>
        <v>181344.65</v>
      </c>
      <c r="H1219" s="1908" t="str">
        <f>'Part VIII-Threshold Criteria'!H49</f>
        <v xml:space="preserve">x  units = </v>
      </c>
      <c r="I1219" s="1875" t="str">
        <f>IF(F1219="","",F1219*G1219)</f>
        <v/>
      </c>
      <c r="J1219" s="1815"/>
      <c r="K1219" s="1934" t="s">
        <v>4485</v>
      </c>
      <c r="L1219" s="2126">
        <v>198564.74999999997</v>
      </c>
      <c r="M1219" s="1908" t="s">
        <v>6815</v>
      </c>
      <c r="N1219" s="1875" t="str">
        <f>IF(K1219="","",K1219*L1219)</f>
        <v/>
      </c>
      <c r="P1219" s="1822" t="s">
        <v>3773</v>
      </c>
      <c r="Q1219" s="1822"/>
      <c r="AC1219" s="450"/>
      <c r="AD1219" s="450"/>
      <c r="AE1219" s="450"/>
      <c r="AF1219" s="450"/>
    </row>
    <row r="1220" spans="1:32" ht="10.5" customHeight="1">
      <c r="A1220" s="1956"/>
      <c r="B1220" s="1956"/>
      <c r="C1220" s="1956"/>
      <c r="D1220" s="1933" t="s">
        <v>2378</v>
      </c>
      <c r="E1220" s="1229">
        <v>2</v>
      </c>
      <c r="F1220" s="1934" t="str">
        <f>'Part VIII-Threshold Criteria'!F50</f>
        <v/>
      </c>
      <c r="G1220" s="2126">
        <f>'Part VIII-Threshold Criteria'!G50</f>
        <v>219739.69999999998</v>
      </c>
      <c r="H1220" s="1908" t="str">
        <f>'Part VIII-Threshold Criteria'!H50</f>
        <v xml:space="preserve">x  units = </v>
      </c>
      <c r="I1220" s="1875" t="str">
        <f>IF(F1220="","",F1220*G1220)</f>
        <v/>
      </c>
      <c r="J1220" s="1815"/>
      <c r="K1220" s="1934" t="s">
        <v>4485</v>
      </c>
      <c r="L1220" s="2126">
        <v>237737.19999999998</v>
      </c>
      <c r="M1220" s="1908" t="s">
        <v>6815</v>
      </c>
      <c r="N1220" s="1875" t="str">
        <f>IF(K1220="","",K1220*L1220)</f>
        <v/>
      </c>
      <c r="O1220" s="1896"/>
      <c r="P1220" s="2132"/>
      <c r="Q1220" s="2132"/>
      <c r="R1220" s="2240"/>
      <c r="S1220" s="1952" t="s">
        <v>6929</v>
      </c>
      <c r="T1220" s="1952"/>
      <c r="U1220" s="1952"/>
      <c r="V1220" s="1952"/>
      <c r="AC1220" s="450"/>
      <c r="AD1220" s="450"/>
      <c r="AE1220" s="450"/>
      <c r="AF1220" s="450"/>
    </row>
    <row r="1221" spans="1:32" ht="10.5" customHeight="1">
      <c r="C1221" s="1815"/>
      <c r="D1221" s="1933" t="s">
        <v>2379</v>
      </c>
      <c r="E1221" s="1229">
        <v>3</v>
      </c>
      <c r="F1221" s="1934" t="str">
        <f>'Part VIII-Threshold Criteria'!F51</f>
        <v/>
      </c>
      <c r="G1221" s="2126">
        <f>'Part VIII-Threshold Criteria'!G51</f>
        <v>256490.30000000002</v>
      </c>
      <c r="H1221" s="1908" t="str">
        <f>'Part VIII-Threshold Criteria'!H51</f>
        <v xml:space="preserve">x  units = </v>
      </c>
      <c r="I1221" s="1875" t="str">
        <f>IF(F1221="","",F1221*G1221)</f>
        <v/>
      </c>
      <c r="J1221" s="1815"/>
      <c r="K1221" s="1934" t="s">
        <v>4485</v>
      </c>
      <c r="L1221" s="2126">
        <v>271326</v>
      </c>
      <c r="M1221" s="1908" t="s">
        <v>6815</v>
      </c>
      <c r="N1221" s="1875" t="str">
        <f>IF(K1221="","",K1221*L1221)</f>
        <v/>
      </c>
      <c r="O1221" s="1896"/>
      <c r="P1221" s="2132"/>
      <c r="Q1221" s="2132"/>
      <c r="S1221" s="1952"/>
      <c r="T1221" s="1952"/>
      <c r="U1221" s="1952"/>
      <c r="V1221" s="1952"/>
      <c r="AC1221" s="450"/>
      <c r="AD1221" s="450"/>
      <c r="AE1221" s="450"/>
      <c r="AF1221" s="450"/>
    </row>
    <row r="1222" spans="1:32" ht="10.5" customHeight="1">
      <c r="C1222" s="1815"/>
      <c r="D1222" s="1933" t="s">
        <v>2380</v>
      </c>
      <c r="E1222" s="1229">
        <v>4</v>
      </c>
      <c r="F1222" s="1934" t="str">
        <f>'Part VIII-Threshold Criteria'!F52</f>
        <v/>
      </c>
      <c r="G1222" s="2126">
        <f>'Part VIII-Threshold Criteria'!G52</f>
        <v>304225.90000000002</v>
      </c>
      <c r="H1222" s="1908" t="str">
        <f>'Part VIII-Threshold Criteria'!H52</f>
        <v xml:space="preserve">x  units = </v>
      </c>
      <c r="I1222" s="1875" t="str">
        <f>IF(F1222="","",F1222*G1222)</f>
        <v/>
      </c>
      <c r="J1222" s="1815"/>
      <c r="K1222" s="1934" t="s">
        <v>4485</v>
      </c>
      <c r="L1222" s="2126">
        <v>319916.30000000005</v>
      </c>
      <c r="M1222" s="1908" t="s">
        <v>6815</v>
      </c>
      <c r="N1222" s="1875" t="str">
        <f>IF(K1222="","",K1222*L1222)</f>
        <v/>
      </c>
      <c r="O1222" s="1896"/>
      <c r="P1222" s="1849" t="s">
        <v>3463</v>
      </c>
      <c r="Q1222" s="1849"/>
      <c r="S1222" s="1952"/>
      <c r="T1222" s="1952"/>
      <c r="U1222" s="1952"/>
      <c r="V1222" s="1952"/>
      <c r="AC1222" s="450"/>
      <c r="AD1222" s="450"/>
      <c r="AE1222" s="450"/>
      <c r="AF1222" s="450"/>
    </row>
    <row r="1223" spans="1:32" ht="10.5" customHeight="1">
      <c r="C1223" s="1815"/>
      <c r="D1223" s="2128" t="s">
        <v>3262</v>
      </c>
      <c r="E1223" s="1910"/>
      <c r="F1223" s="2129">
        <f>SUM(F1218:F1222)</f>
        <v>0</v>
      </c>
      <c r="G1223" s="2130"/>
      <c r="H1223" s="1938"/>
      <c r="I1223" s="2131">
        <f>SUM(I1218:I1222)</f>
        <v>0</v>
      </c>
      <c r="J1223" s="1910"/>
      <c r="K1223" s="2129">
        <f>SUM(K1218:K1222)</f>
        <v>0</v>
      </c>
      <c r="L1223" s="1910"/>
      <c r="M1223" s="1938"/>
      <c r="N1223" s="2131">
        <f>SUM(N1218:N1222)</f>
        <v>0</v>
      </c>
      <c r="O1223" s="1896"/>
      <c r="P1223" s="1898" t="s">
        <v>3141</v>
      </c>
      <c r="Q1223" s="1898" t="s">
        <v>251</v>
      </c>
      <c r="R1223" s="2240"/>
      <c r="S1223" s="1952"/>
      <c r="T1223" s="1952"/>
      <c r="U1223" s="1952"/>
      <c r="V1223" s="1952"/>
      <c r="AB1223" s="450"/>
      <c r="AC1223" s="450"/>
      <c r="AD1223" s="450"/>
      <c r="AE1223" s="450"/>
      <c r="AF1223" s="450"/>
    </row>
    <row r="1224" spans="1:32" ht="1.5" customHeight="1">
      <c r="C1224" s="1815"/>
      <c r="D1224" s="1986"/>
      <c r="E1224" s="1986"/>
      <c r="F1224" s="1817"/>
      <c r="G1224" s="1936"/>
      <c r="I1224" s="1817"/>
      <c r="K1224" s="1817"/>
      <c r="M1224" s="1939"/>
      <c r="N1224" s="1817"/>
      <c r="O1224" s="1896"/>
      <c r="R1224" s="2240"/>
      <c r="S1224" s="1952"/>
      <c r="T1224" s="1952"/>
      <c r="U1224" s="1952"/>
      <c r="V1224" s="1952"/>
      <c r="W1224" s="1815"/>
      <c r="AB1224" s="450"/>
      <c r="AC1224" s="450"/>
      <c r="AD1224" s="450"/>
      <c r="AE1224" s="450"/>
      <c r="AF1224" s="450"/>
    </row>
    <row r="1225" spans="1:32" ht="10.5" customHeight="1">
      <c r="A1225" s="1822" t="s">
        <v>3248</v>
      </c>
      <c r="C1225" s="1815"/>
      <c r="D1225" s="1933" t="s">
        <v>551</v>
      </c>
      <c r="E1225" s="1229">
        <v>0</v>
      </c>
      <c r="F1225" s="1934" t="str">
        <f>'Part VIII-Threshold Criteria'!F55</f>
        <v/>
      </c>
      <c r="G1225" s="2126">
        <f>'Part VIII-Threshold Criteria'!G55</f>
        <v>127420.79999999999</v>
      </c>
      <c r="H1225" s="1908" t="str">
        <f>'Part VIII-Threshold Criteria'!H55</f>
        <v xml:space="preserve">x  units = </v>
      </c>
      <c r="I1225" s="1875" t="str">
        <f>IF(F1225="","",F1225*G1225)</f>
        <v/>
      </c>
      <c r="J1225" s="1815"/>
      <c r="K1225" s="1934" t="str">
        <f>'Part VIII-Threshold Criteria'!K55</f>
        <v/>
      </c>
      <c r="L1225" s="2126">
        <f>'Part VIII-Threshold Criteria'!L55</f>
        <v>140162.88</v>
      </c>
      <c r="M1225" s="1908" t="str">
        <f>'Part VIII-Threshold Criteria'!M55</f>
        <v xml:space="preserve">x  units = </v>
      </c>
      <c r="N1225" s="1875" t="str">
        <f>IF(K1225="","",K1225*L1225)</f>
        <v/>
      </c>
      <c r="O1225" s="1896"/>
      <c r="P1225" s="1916">
        <f>'Part VIII-Threshold Criteria'!P55</f>
        <v>0</v>
      </c>
      <c r="Q1225" s="1916">
        <f>'Part VIII-Threshold Criteria'!Q55</f>
        <v>0</v>
      </c>
      <c r="R1225" s="2240"/>
      <c r="S1225" s="1952"/>
      <c r="T1225" s="1952"/>
      <c r="U1225" s="1952"/>
      <c r="V1225" s="1952"/>
      <c r="W1225" s="1815"/>
      <c r="AB1225" s="450"/>
      <c r="AC1225" s="450"/>
      <c r="AD1225" s="450"/>
      <c r="AE1225" s="450"/>
      <c r="AF1225" s="450"/>
    </row>
    <row r="1226" spans="1:32" ht="10.5" customHeight="1">
      <c r="C1226" s="1815"/>
      <c r="D1226" s="1933" t="s">
        <v>2377</v>
      </c>
      <c r="E1226" s="1229">
        <v>1</v>
      </c>
      <c r="F1226" s="1934" t="str">
        <f>'Part VIII-Threshold Criteria'!F56</f>
        <v/>
      </c>
      <c r="G1226" s="2126">
        <f>'Part VIII-Threshold Criteria'!G56</f>
        <v>166761.5</v>
      </c>
      <c r="H1226" s="1908" t="str">
        <f>'Part VIII-Threshold Criteria'!H56</f>
        <v xml:space="preserve">x  units = </v>
      </c>
      <c r="I1226" s="1875" t="str">
        <f>IF(F1226="","",F1226*G1226)</f>
        <v/>
      </c>
      <c r="J1226" s="1815"/>
      <c r="K1226" s="1934" t="str">
        <f>'Part VIII-Threshold Criteria'!K56</f>
        <v/>
      </c>
      <c r="L1226" s="2126">
        <f>'Part VIII-Threshold Criteria'!L56</f>
        <v>183437.65000000002</v>
      </c>
      <c r="M1226" s="1908" t="str">
        <f>'Part VIII-Threshold Criteria'!M56</f>
        <v xml:space="preserve">x  units = </v>
      </c>
      <c r="N1226" s="1875" t="str">
        <f>IF(K1226="","",K1226*L1226)</f>
        <v/>
      </c>
      <c r="P1226" s="1849" t="s">
        <v>3464</v>
      </c>
      <c r="Q1226" s="1849"/>
      <c r="S1226" s="1952"/>
      <c r="T1226" s="1952"/>
      <c r="U1226" s="1952"/>
      <c r="V1226" s="1952"/>
      <c r="W1226" s="1815"/>
      <c r="AB1226" s="450"/>
      <c r="AC1226" s="450"/>
      <c r="AD1226" s="450"/>
      <c r="AE1226" s="450"/>
      <c r="AF1226" s="450"/>
    </row>
    <row r="1227" spans="1:32" ht="10.5" customHeight="1">
      <c r="C1227" s="1815"/>
      <c r="D1227" s="1933" t="s">
        <v>2378</v>
      </c>
      <c r="E1227" s="1229">
        <v>2</v>
      </c>
      <c r="F1227" s="1934" t="str">
        <f>'Part VIII-Threshold Criteria'!F57</f>
        <v/>
      </c>
      <c r="G1227" s="2126">
        <f>'Part VIII-Threshold Criteria'!G57</f>
        <v>211096.3</v>
      </c>
      <c r="H1227" s="1908" t="str">
        <f>'Part VIII-Threshold Criteria'!H57</f>
        <v xml:space="preserve">x  units = </v>
      </c>
      <c r="I1227" s="1875" t="str">
        <f>IF(F1227="","",F1227*G1227)</f>
        <v/>
      </c>
      <c r="J1227" s="1815"/>
      <c r="K1227" s="1934" t="str">
        <f>'Part VIII-Threshold Criteria'!K57</f>
        <v/>
      </c>
      <c r="L1227" s="2126">
        <f>'Part VIII-Threshold Criteria'!L57</f>
        <v>232205.93</v>
      </c>
      <c r="M1227" s="1908" t="str">
        <f>'Part VIII-Threshold Criteria'!M57</f>
        <v xml:space="preserve">x  units = </v>
      </c>
      <c r="N1227" s="1875" t="str">
        <f>IF(K1227="","",K1227*L1227)</f>
        <v/>
      </c>
      <c r="P1227" s="1898" t="s">
        <v>3141</v>
      </c>
      <c r="Q1227" s="1898" t="s">
        <v>251</v>
      </c>
      <c r="S1227" s="1952"/>
      <c r="T1227" s="1952"/>
      <c r="U1227" s="1952"/>
      <c r="V1227" s="1952"/>
      <c r="W1227" s="1815"/>
      <c r="AB1227" s="450"/>
      <c r="AC1227" s="450"/>
      <c r="AD1227" s="450"/>
      <c r="AE1227" s="450"/>
      <c r="AF1227" s="450"/>
    </row>
    <row r="1228" spans="1:32" ht="10.5" customHeight="1">
      <c r="C1228" s="1815"/>
      <c r="D1228" s="1933" t="s">
        <v>2379</v>
      </c>
      <c r="E1228" s="1229">
        <v>3</v>
      </c>
      <c r="F1228" s="1934" t="str">
        <f>'Part VIII-Threshold Criteria'!F58</f>
        <v/>
      </c>
      <c r="G1228" s="2126">
        <f>'Part VIII-Threshold Criteria'!G58</f>
        <v>266068</v>
      </c>
      <c r="H1228" s="1908" t="str">
        <f>'Part VIII-Threshold Criteria'!H58</f>
        <v xml:space="preserve">x  units = </v>
      </c>
      <c r="I1228" s="1875" t="str">
        <f>IF(F1228="","",F1228*G1228)</f>
        <v/>
      </c>
      <c r="J1228" s="1815"/>
      <c r="K1228" s="1934" t="str">
        <f>'Part VIII-Threshold Criteria'!K58</f>
        <v/>
      </c>
      <c r="L1228" s="2126">
        <f>'Part VIII-Threshold Criteria'!L58</f>
        <v>292674.80000000005</v>
      </c>
      <c r="M1228" s="1908" t="str">
        <f>'Part VIII-Threshold Criteria'!M58</f>
        <v xml:space="preserve">x  units = </v>
      </c>
      <c r="N1228" s="1875" t="str">
        <f>IF(K1228="","",K1228*L1228)</f>
        <v/>
      </c>
      <c r="O1228" s="1896"/>
      <c r="P1228" s="1916">
        <f>'Part VIII-Threshold Criteria'!P58</f>
        <v>3</v>
      </c>
      <c r="Q1228" s="1916">
        <f>'Part VIII-Threshold Criteria'!Q58</f>
        <v>0</v>
      </c>
      <c r="S1228" s="1952"/>
      <c r="T1228" s="1952"/>
      <c r="U1228" s="1952"/>
      <c r="V1228" s="1952"/>
      <c r="W1228" s="1815"/>
      <c r="AB1228" s="450"/>
      <c r="AC1228" s="450"/>
      <c r="AD1228" s="450"/>
      <c r="AE1228" s="450"/>
      <c r="AF1228" s="450"/>
    </row>
    <row r="1229" spans="1:32" ht="10.5" customHeight="1">
      <c r="C1229" s="1815"/>
      <c r="D1229" s="1933" t="s">
        <v>2380</v>
      </c>
      <c r="E1229" s="1229">
        <v>4</v>
      </c>
      <c r="F1229" s="1934" t="str">
        <f>'Part VIII-Threshold Criteria'!F59</f>
        <v/>
      </c>
      <c r="G1229" s="2126">
        <f>'Part VIII-Threshold Criteria'!G59</f>
        <v>329800.90000000002</v>
      </c>
      <c r="H1229" s="1908" t="str">
        <f>'Part VIII-Threshold Criteria'!H59</f>
        <v xml:space="preserve">x  units = </v>
      </c>
      <c r="I1229" s="1875" t="str">
        <f>IF(F1229="","",F1229*G1229)</f>
        <v/>
      </c>
      <c r="J1229" s="1815"/>
      <c r="K1229" s="1934" t="str">
        <f>'Part VIII-Threshold Criteria'!K59</f>
        <v/>
      </c>
      <c r="L1229" s="2126">
        <f>'Part VIII-Threshold Criteria'!L59</f>
        <v>362780.99000000005</v>
      </c>
      <c r="M1229" s="1908" t="str">
        <f>'Part VIII-Threshold Criteria'!M59</f>
        <v xml:space="preserve">x  units = </v>
      </c>
      <c r="N1229" s="1875" t="str">
        <f>IF(K1229="","",K1229*L1229)</f>
        <v/>
      </c>
      <c r="O1229" s="1896"/>
      <c r="P1229" s="1995" t="s">
        <v>2679</v>
      </c>
      <c r="S1229" s="1952"/>
      <c r="T1229" s="1952"/>
      <c r="U1229" s="1952"/>
      <c r="V1229" s="1952"/>
      <c r="W1229" s="1815"/>
      <c r="AB1229" s="450"/>
      <c r="AC1229" s="450"/>
      <c r="AD1229" s="450"/>
      <c r="AE1229" s="450"/>
      <c r="AF1229" s="450"/>
    </row>
    <row r="1230" spans="1:32" ht="10.5" customHeight="1">
      <c r="C1230" s="1815"/>
      <c r="D1230" s="2128" t="s">
        <v>3262</v>
      </c>
      <c r="E1230" s="1910"/>
      <c r="F1230" s="2129">
        <f>SUM(F1225:F1229)</f>
        <v>0</v>
      </c>
      <c r="G1230" s="2130"/>
      <c r="H1230" s="1938"/>
      <c r="I1230" s="2131">
        <f>SUM(I1225:I1229)</f>
        <v>0</v>
      </c>
      <c r="J1230" s="1910"/>
      <c r="K1230" s="2129">
        <f>SUM(K1225:K1229)</f>
        <v>0</v>
      </c>
      <c r="L1230" s="1910"/>
      <c r="M1230" s="1938"/>
      <c r="N1230" s="2131">
        <f>SUM(N1225:N1229)</f>
        <v>0</v>
      </c>
      <c r="O1230" s="1896"/>
      <c r="S1230" s="1952"/>
      <c r="T1230" s="1952"/>
      <c r="U1230" s="1952"/>
      <c r="V1230" s="1952"/>
      <c r="W1230" s="1815"/>
      <c r="AB1230" s="450"/>
      <c r="AC1230" s="450"/>
      <c r="AD1230" s="450"/>
      <c r="AE1230" s="450"/>
      <c r="AF1230" s="450"/>
    </row>
    <row r="1231" spans="1:32" ht="1.5" customHeight="1">
      <c r="C1231" s="1815"/>
      <c r="D1231" s="1986"/>
      <c r="E1231" s="1986"/>
      <c r="F1231" s="1817"/>
      <c r="G1231" s="1936"/>
      <c r="I1231" s="1817"/>
      <c r="K1231" s="1817"/>
      <c r="M1231" s="1939"/>
      <c r="N1231" s="1817"/>
      <c r="O1231" s="1896"/>
      <c r="R1231" s="2240"/>
      <c r="S1231" s="1952"/>
      <c r="T1231" s="1952"/>
      <c r="U1231" s="1952"/>
      <c r="V1231" s="1952"/>
      <c r="W1231" s="1815"/>
      <c r="AB1231" s="450"/>
      <c r="AC1231" s="450"/>
      <c r="AD1231" s="450"/>
      <c r="AE1231" s="450"/>
      <c r="AF1231" s="450"/>
    </row>
    <row r="1232" spans="1:32" ht="10.5" customHeight="1">
      <c r="A1232" s="1822" t="s">
        <v>3249</v>
      </c>
      <c r="C1232" s="1815"/>
      <c r="D1232" s="1933" t="s">
        <v>551</v>
      </c>
      <c r="E1232" s="1229">
        <v>0</v>
      </c>
      <c r="F1232" s="1934" t="str">
        <f>'Part VIII-Threshold Criteria'!F62</f>
        <v/>
      </c>
      <c r="G1232" s="2126">
        <f>'Part VIII-Threshold Criteria'!G62</f>
        <v>131222.39999999999</v>
      </c>
      <c r="H1232" s="1908" t="str">
        <f>'Part VIII-Threshold Criteria'!H62</f>
        <v xml:space="preserve">x  units = </v>
      </c>
      <c r="I1232" s="1875" t="str">
        <f>IF(F1232="","",F1232*G1232)</f>
        <v/>
      </c>
      <c r="J1232" s="1815"/>
      <c r="K1232" s="1934" t="str">
        <f>'Part VIII-Threshold Criteria'!K62</f>
        <v/>
      </c>
      <c r="L1232" s="2126">
        <f>'Part VIII-Threshold Criteria'!L62</f>
        <v>144344.64000000001</v>
      </c>
      <c r="M1232" s="1908" t="str">
        <f>'Part VIII-Threshold Criteria'!M62</f>
        <v xml:space="preserve">x  units = </v>
      </c>
      <c r="N1232" s="1875" t="str">
        <f>IF(K1232="","",K1232*L1232)</f>
        <v/>
      </c>
      <c r="O1232" s="1896"/>
      <c r="R1232" s="2240"/>
      <c r="S1232" s="1952"/>
      <c r="T1232" s="1952"/>
      <c r="U1232" s="1952"/>
      <c r="V1232" s="1952"/>
      <c r="W1232" s="1815"/>
      <c r="X1232" s="1918"/>
      <c r="Y1232" s="1815"/>
      <c r="Z1232" s="449"/>
      <c r="AA1232" s="450"/>
      <c r="AB1232" s="450"/>
      <c r="AC1232" s="450"/>
      <c r="AD1232" s="450"/>
      <c r="AE1232" s="450"/>
      <c r="AF1232" s="450"/>
    </row>
    <row r="1233" spans="1:32" ht="10.5" customHeight="1">
      <c r="C1233" s="1815"/>
      <c r="D1233" s="1933" t="s">
        <v>2377</v>
      </c>
      <c r="E1233" s="1229">
        <v>1</v>
      </c>
      <c r="F1233" s="1934">
        <f>'Part VIII-Threshold Criteria'!F63</f>
        <v>20</v>
      </c>
      <c r="G1233" s="2126">
        <f>'Part VIII-Threshold Criteria'!G63</f>
        <v>176056.94999999998</v>
      </c>
      <c r="H1233" s="1908" t="str">
        <f>'Part VIII-Threshold Criteria'!H63</f>
        <v xml:space="preserve">x 20 units = </v>
      </c>
      <c r="I1233" s="1875">
        <f>IF(F1233="","",F1233*G1233)</f>
        <v>3521138.9999999995</v>
      </c>
      <c r="J1233" s="1815"/>
      <c r="K1233" s="1934" t="str">
        <f>'Part VIII-Threshold Criteria'!K63</f>
        <v/>
      </c>
      <c r="L1233" s="2126">
        <f>'Part VIII-Threshold Criteria'!L63</f>
        <v>193662.64499999999</v>
      </c>
      <c r="M1233" s="1908" t="str">
        <f>'Part VIII-Threshold Criteria'!M63</f>
        <v xml:space="preserve">x  units = </v>
      </c>
      <c r="N1233" s="1875" t="str">
        <f>IF(K1233="","",K1233*L1233)</f>
        <v/>
      </c>
      <c r="O1233" s="1896"/>
      <c r="P1233" s="2133">
        <f>'Part VIII-Threshold Criteria'!P63</f>
        <v>15291752.399999999</v>
      </c>
      <c r="Q1233" s="2133"/>
      <c r="R1233" s="1815"/>
      <c r="S1233" s="1815"/>
      <c r="V1233" s="1815"/>
      <c r="W1233" s="1815"/>
      <c r="X1233" s="1918"/>
      <c r="Y1233" s="1815"/>
      <c r="Z1233" s="449"/>
      <c r="AA1233" s="450"/>
      <c r="AB1233" s="450"/>
      <c r="AC1233" s="450"/>
      <c r="AD1233" s="450"/>
      <c r="AE1233" s="450"/>
      <c r="AF1233" s="450"/>
    </row>
    <row r="1234" spans="1:32" ht="10.5" customHeight="1">
      <c r="C1234" s="1815"/>
      <c r="D1234" s="1933" t="s">
        <v>2378</v>
      </c>
      <c r="E1234" s="1229">
        <v>2</v>
      </c>
      <c r="F1234" s="1934">
        <f>'Part VIII-Threshold Criteria'!F64</f>
        <v>52</v>
      </c>
      <c r="G1234" s="2126">
        <f>'Part VIII-Threshold Criteria'!G64</f>
        <v>226357.94999999998</v>
      </c>
      <c r="H1234" s="1908" t="str">
        <f>'Part VIII-Threshold Criteria'!H64</f>
        <v xml:space="preserve">x 52 units = </v>
      </c>
      <c r="I1234" s="1875">
        <f>IF(F1234="","",F1234*G1234)</f>
        <v>11770613.399999999</v>
      </c>
      <c r="J1234" s="1815"/>
      <c r="K1234" s="1934" t="str">
        <f>'Part VIII-Threshold Criteria'!K64</f>
        <v/>
      </c>
      <c r="L1234" s="2126">
        <f>'Part VIII-Threshold Criteria'!L64</f>
        <v>248993.745</v>
      </c>
      <c r="M1234" s="1908" t="str">
        <f>'Part VIII-Threshold Criteria'!M64</f>
        <v xml:space="preserve">x  units = </v>
      </c>
      <c r="N1234" s="1875" t="str">
        <f>IF(K1234="","",K1234*L1234)</f>
        <v/>
      </c>
      <c r="P1234" s="2133"/>
      <c r="Q1234" s="2133"/>
      <c r="R1234" s="1815"/>
      <c r="S1234" s="1815"/>
      <c r="V1234" s="1815"/>
      <c r="W1234" s="1815"/>
      <c r="X1234" s="1918"/>
      <c r="Y1234" s="1815"/>
      <c r="Z1234" s="449"/>
      <c r="AA1234" s="450"/>
      <c r="AB1234" s="450"/>
      <c r="AC1234" s="450"/>
      <c r="AD1234" s="450"/>
      <c r="AE1234" s="450"/>
      <c r="AF1234" s="450"/>
    </row>
    <row r="1235" spans="1:32" ht="10.5" customHeight="1">
      <c r="C1235" s="1815"/>
      <c r="D1235" s="1933" t="s">
        <v>2379</v>
      </c>
      <c r="E1235" s="1229">
        <v>3</v>
      </c>
      <c r="F1235" s="1934" t="str">
        <f>'Part VIII-Threshold Criteria'!F65</f>
        <v/>
      </c>
      <c r="G1235" s="2126">
        <f>'Part VIII-Threshold Criteria'!G65</f>
        <v>288689.5</v>
      </c>
      <c r="H1235" s="1908" t="str">
        <f>'Part VIII-Threshold Criteria'!H65</f>
        <v xml:space="preserve">x  units = </v>
      </c>
      <c r="I1235" s="1875" t="str">
        <f>IF(F1235="","",F1235*G1235)</f>
        <v/>
      </c>
      <c r="J1235" s="1815"/>
      <c r="K1235" s="1934" t="str">
        <f>'Part VIII-Threshold Criteria'!K65</f>
        <v/>
      </c>
      <c r="L1235" s="2126">
        <f>'Part VIII-Threshold Criteria'!L65</f>
        <v>317558.45</v>
      </c>
      <c r="M1235" s="1908" t="str">
        <f>'Part VIII-Threshold Criteria'!M65</f>
        <v xml:space="preserve">x  units = </v>
      </c>
      <c r="N1235" s="1875" t="str">
        <f>IF(K1235="","",K1235*L1235)</f>
        <v/>
      </c>
      <c r="P1235" s="1986" t="s">
        <v>6812</v>
      </c>
      <c r="Q1235" s="1986"/>
      <c r="R1235" s="2240"/>
      <c r="V1235" s="1815"/>
      <c r="W1235" s="1815"/>
      <c r="X1235" s="1918"/>
      <c r="Y1235" s="1815"/>
      <c r="Z1235" s="449"/>
      <c r="AA1235" s="450"/>
      <c r="AB1235" s="450"/>
      <c r="AC1235" s="450"/>
      <c r="AD1235" s="450"/>
      <c r="AE1235" s="450"/>
      <c r="AF1235" s="450"/>
    </row>
    <row r="1236" spans="1:32" ht="10.5" customHeight="1">
      <c r="C1236" s="1815"/>
      <c r="D1236" s="1933" t="s">
        <v>2380</v>
      </c>
      <c r="E1236" s="1229">
        <v>4</v>
      </c>
      <c r="F1236" s="1934" t="str">
        <f>'Part VIII-Threshold Criteria'!F66</f>
        <v/>
      </c>
      <c r="G1236" s="2126">
        <f>'Part VIII-Threshold Criteria'!G66</f>
        <v>360861.60000000003</v>
      </c>
      <c r="H1236" s="1908" t="str">
        <f>'Part VIII-Threshold Criteria'!H66</f>
        <v xml:space="preserve">x  units = </v>
      </c>
      <c r="I1236" s="1875" t="str">
        <f>IF(F1236="","",F1236*G1236)</f>
        <v/>
      </c>
      <c r="J1236" s="1815"/>
      <c r="K1236" s="1934" t="str">
        <f>'Part VIII-Threshold Criteria'!K66</f>
        <v/>
      </c>
      <c r="L1236" s="2126">
        <f>'Part VIII-Threshold Criteria'!L66</f>
        <v>396947.76000000007</v>
      </c>
      <c r="M1236" s="1908" t="str">
        <f>'Part VIII-Threshold Criteria'!M66</f>
        <v xml:space="preserve">x  units = </v>
      </c>
      <c r="N1236" s="1875" t="str">
        <f>IF(K1236="","",K1236*L1236)</f>
        <v/>
      </c>
      <c r="O1236" s="1896"/>
      <c r="P1236" s="1986"/>
      <c r="Q1236" s="1986"/>
      <c r="R1236" s="2240"/>
      <c r="V1236" s="1815"/>
      <c r="W1236" s="1815"/>
      <c r="X1236" s="1918"/>
      <c r="Y1236" s="1815"/>
      <c r="Z1236" s="449"/>
      <c r="AA1236" s="450"/>
      <c r="AB1236" s="450"/>
      <c r="AC1236" s="450"/>
      <c r="AD1236" s="450"/>
      <c r="AE1236" s="450"/>
      <c r="AF1236" s="450"/>
    </row>
    <row r="1237" spans="1:32" ht="10.5" customHeight="1">
      <c r="C1237" s="1815"/>
      <c r="D1237" s="2128" t="s">
        <v>3262</v>
      </c>
      <c r="E1237" s="1910"/>
      <c r="F1237" s="2129">
        <f>SUM(F1232:F1236)</f>
        <v>72</v>
      </c>
      <c r="G1237" s="2130"/>
      <c r="H1237" s="1938"/>
      <c r="I1237" s="2131">
        <f>SUM(I1232:I1236)</f>
        <v>15291752.399999999</v>
      </c>
      <c r="J1237" s="1910"/>
      <c r="K1237" s="2129">
        <f>SUM(K1232:K1236)</f>
        <v>0</v>
      </c>
      <c r="L1237" s="1910"/>
      <c r="M1237" s="1938"/>
      <c r="N1237" s="2131">
        <f>SUM(N1232:N1236)</f>
        <v>0</v>
      </c>
      <c r="O1237" s="1896"/>
      <c r="P1237" s="1986"/>
      <c r="Q1237" s="1986"/>
      <c r="R1237" s="2240"/>
      <c r="V1237" s="1815"/>
      <c r="W1237" s="1815"/>
      <c r="X1237" s="1918"/>
      <c r="Y1237" s="1815"/>
      <c r="Z1237" s="449"/>
      <c r="AA1237" s="450"/>
      <c r="AB1237" s="450"/>
      <c r="AC1237" s="450"/>
      <c r="AD1237" s="450"/>
      <c r="AE1237" s="450"/>
      <c r="AF1237" s="450"/>
    </row>
    <row r="1238" spans="1:32" ht="1.5" customHeight="1">
      <c r="C1238" s="1815"/>
      <c r="D1238" s="1815"/>
      <c r="E1238" s="1918"/>
      <c r="F1238" s="1815"/>
      <c r="G1238" s="449"/>
      <c r="H1238" s="1937"/>
      <c r="I1238" s="1937"/>
      <c r="J1238" s="1937"/>
      <c r="K1238" s="1937"/>
      <c r="L1238" s="1937"/>
      <c r="M1238" s="1937"/>
      <c r="N1238" s="1229"/>
      <c r="O1238" s="1896"/>
      <c r="P1238" s="1986"/>
      <c r="Q1238" s="1986"/>
      <c r="R1238" s="2240"/>
      <c r="S1238" s="2240"/>
      <c r="V1238" s="1815"/>
      <c r="W1238" s="1815"/>
      <c r="X1238" s="1918"/>
      <c r="Y1238" s="1815"/>
      <c r="Z1238" s="449"/>
      <c r="AA1238" s="450"/>
      <c r="AB1238" s="450"/>
      <c r="AC1238" s="450"/>
      <c r="AD1238" s="450"/>
      <c r="AE1238" s="450"/>
      <c r="AF1238" s="450"/>
    </row>
    <row r="1239" spans="1:32" ht="12.75" customHeight="1">
      <c r="A1239" s="1908" t="s">
        <v>3263</v>
      </c>
      <c r="B1239" s="1815"/>
      <c r="C1239" s="1815"/>
      <c r="D1239" s="1815"/>
      <c r="E1239" s="1897"/>
      <c r="F1239" s="2134">
        <f>F1216+F1223+F1230+F1237</f>
        <v>72</v>
      </c>
      <c r="G1239" s="1849"/>
      <c r="H1239" s="1858">
        <f>I1216+I1223+I1230+I1237</f>
        <v>15291752.399999999</v>
      </c>
      <c r="I1239" s="1858"/>
      <c r="J1239" s="1858"/>
      <c r="K1239" s="2134">
        <f>K1216+K1223+K1230+K1237</f>
        <v>0</v>
      </c>
      <c r="L1239" s="2135"/>
      <c r="M1239" s="1858">
        <f>N1216+N1223+N1230+N1237</f>
        <v>0</v>
      </c>
      <c r="N1239" s="1858"/>
      <c r="O1239" s="1858"/>
      <c r="P1239" s="1986"/>
      <c r="Q1239" s="1986"/>
      <c r="R1239" s="2240"/>
      <c r="S1239" s="2240"/>
      <c r="V1239" s="1815"/>
      <c r="W1239" s="1815"/>
      <c r="X1239" s="1918"/>
      <c r="Y1239" s="1815"/>
      <c r="Z1239" s="449"/>
      <c r="AA1239" s="450"/>
      <c r="AB1239" s="450"/>
      <c r="AC1239" s="450"/>
      <c r="AD1239" s="450"/>
      <c r="AE1239" s="450"/>
      <c r="AF1239" s="450"/>
    </row>
    <row r="1240" spans="1:32" ht="10.5" customHeight="1">
      <c r="B1240" s="1908" t="s">
        <v>3565</v>
      </c>
      <c r="D1240" s="1908"/>
      <c r="E1240" s="1908"/>
      <c r="F1240" s="1908"/>
      <c r="G1240" s="1908"/>
      <c r="H1240" s="1908"/>
      <c r="I1240" s="1229"/>
      <c r="J1240" s="1229"/>
      <c r="K1240" s="1936" t="s">
        <v>1820</v>
      </c>
      <c r="L1240" s="1732"/>
      <c r="M1240" s="1732"/>
      <c r="N1240" s="1732"/>
      <c r="O1240" s="1732"/>
      <c r="P1240" s="1986"/>
      <c r="Q1240" s="1986"/>
    </row>
    <row r="1241" spans="1:32" ht="10.5" customHeight="1">
      <c r="A1241" s="1936" t="str">
        <f>'Part VIII-Threshold Criteria'!A71</f>
        <v xml:space="preserve">Applicant has met Threshold because project costs are within DCA's Cost Limits. Please note that the Unit Cost Limits shown above utilize HUD's 2019 TDC Limits for buildings with elevators.  This project contains elevators and has three story walk-up buildings as noted on the Revenues &amp; Expenses tab. </v>
      </c>
      <c r="B1241" s="1936"/>
      <c r="C1241" s="1936"/>
      <c r="D1241" s="1936"/>
      <c r="E1241" s="1936"/>
      <c r="F1241" s="1936"/>
      <c r="G1241" s="1936"/>
      <c r="H1241" s="1936"/>
      <c r="I1241" s="1936"/>
      <c r="J1241" s="1936"/>
      <c r="K1241" s="1936"/>
      <c r="L1241" s="1936"/>
      <c r="M1241" s="1936"/>
      <c r="N1241" s="1936"/>
      <c r="O1241" s="1936"/>
      <c r="P1241" s="1936"/>
      <c r="Q1241" s="1936"/>
      <c r="R1241" s="1973" t="s">
        <v>1228</v>
      </c>
      <c r="U1241" s="1897"/>
      <c r="V1241" s="1897"/>
      <c r="W1241" s="1897"/>
      <c r="X1241" s="1897"/>
      <c r="Y1241" s="1897"/>
      <c r="Z1241" s="1897"/>
      <c r="AA1241" s="1897"/>
      <c r="AB1241" s="1897"/>
      <c r="AC1241" s="1897"/>
      <c r="AD1241" s="1897"/>
      <c r="AE1241" s="1897"/>
    </row>
    <row r="1242" spans="1:32" ht="3" customHeight="1">
      <c r="B1242" s="1229"/>
      <c r="C1242" s="1939"/>
      <c r="D1242" s="1939"/>
      <c r="E1242" s="1939"/>
      <c r="F1242" s="1939"/>
      <c r="G1242" s="1939"/>
      <c r="H1242" s="1939"/>
      <c r="I1242" s="1939"/>
      <c r="J1242" s="1939"/>
      <c r="K1242" s="1939"/>
      <c r="L1242" s="1939"/>
      <c r="M1242" s="1939"/>
      <c r="N1242" s="1939"/>
      <c r="O1242" s="1939"/>
      <c r="P1242" s="1939"/>
      <c r="Q1242" s="1732"/>
    </row>
    <row r="1243" spans="1:32" ht="12.75" customHeight="1">
      <c r="A1243" s="1922" t="s">
        <v>724</v>
      </c>
      <c r="B1243" s="1815" t="s">
        <v>1166</v>
      </c>
      <c r="C1243" s="1815"/>
      <c r="D1243" s="1815"/>
      <c r="E1243" s="1939"/>
      <c r="F1243" s="1939"/>
      <c r="G1243" s="1936" t="s">
        <v>4555</v>
      </c>
      <c r="H1243" s="1939"/>
      <c r="J1243" s="449" t="str">
        <f>'Part I-Project Information'!$H$82</f>
        <v>HFOP</v>
      </c>
      <c r="K1243" s="449"/>
      <c r="L1243" s="449"/>
      <c r="O1243" s="1942" t="s">
        <v>1821</v>
      </c>
      <c r="P1243" s="1897"/>
      <c r="Q1243" s="1897"/>
    </row>
    <row r="1244" spans="1:32" ht="10.5" customHeight="1">
      <c r="B1244" s="1908" t="s">
        <v>3565</v>
      </c>
      <c r="D1244" s="1908"/>
      <c r="E1244" s="1908"/>
      <c r="F1244" s="1908"/>
      <c r="G1244" s="1908"/>
      <c r="H1244" s="1908"/>
      <c r="I1244" s="1229"/>
      <c r="J1244" s="1229"/>
      <c r="K1244" s="1936" t="s">
        <v>1820</v>
      </c>
      <c r="L1244" s="1732"/>
      <c r="M1244" s="1732"/>
      <c r="N1244" s="1732"/>
      <c r="O1244" s="1732"/>
      <c r="P1244" s="1732"/>
      <c r="Q1244" s="1732"/>
    </row>
    <row r="1245" spans="1:32" ht="10.5" customHeight="1">
      <c r="A1245" s="1936" t="str">
        <f>'Part VIII-Threshold Criteria'!A75</f>
        <v xml:space="preserve">Applicant has met Threshold by designating this a senior (HFOP) project. 
. </v>
      </c>
      <c r="B1245" s="1936"/>
      <c r="C1245" s="1936"/>
      <c r="D1245" s="1936"/>
      <c r="E1245" s="1936"/>
      <c r="F1245" s="1936"/>
      <c r="G1245" s="1936"/>
      <c r="H1245" s="1936"/>
      <c r="I1245" s="1936"/>
      <c r="J1245" s="1936"/>
      <c r="K1245" s="1936"/>
      <c r="L1245" s="1936"/>
      <c r="M1245" s="1936"/>
      <c r="N1245" s="1936"/>
      <c r="O1245" s="1936"/>
      <c r="P1245" s="1936"/>
      <c r="Q1245" s="1936"/>
      <c r="R1245" s="1973" t="s">
        <v>1228</v>
      </c>
      <c r="U1245" s="1897"/>
      <c r="V1245" s="1897"/>
      <c r="W1245" s="1897"/>
      <c r="X1245" s="1897"/>
      <c r="Y1245" s="1897"/>
      <c r="Z1245" s="1897"/>
      <c r="AA1245" s="1897"/>
      <c r="AB1245" s="1897"/>
      <c r="AC1245" s="1897"/>
      <c r="AD1245" s="1897"/>
      <c r="AE1245" s="1897"/>
    </row>
    <row r="1246" spans="1:32" ht="3" customHeight="1">
      <c r="A1246" s="1732"/>
      <c r="B1246" s="1229"/>
      <c r="C1246" s="1939"/>
      <c r="D1246" s="1939"/>
      <c r="E1246" s="1939"/>
      <c r="F1246" s="1939"/>
      <c r="G1246" s="1939"/>
      <c r="H1246" s="1939"/>
      <c r="I1246" s="1939"/>
      <c r="J1246" s="1939"/>
      <c r="K1246" s="1939"/>
      <c r="L1246" s="1939"/>
      <c r="M1246" s="1939"/>
      <c r="N1246" s="1939"/>
      <c r="O1246" s="1939"/>
      <c r="P1246" s="1939"/>
      <c r="Q1246" s="1732"/>
    </row>
    <row r="1247" spans="1:32" ht="12.75" customHeight="1">
      <c r="A1247" s="1922" t="s">
        <v>1748</v>
      </c>
      <c r="B1247" s="1922" t="s">
        <v>2580</v>
      </c>
      <c r="C1247" s="1908"/>
      <c r="D1247" s="1939"/>
      <c r="E1247" s="1939"/>
      <c r="F1247" s="1939"/>
      <c r="G1247" s="1939"/>
      <c r="H1247" s="1939"/>
      <c r="I1247" s="1939"/>
      <c r="J1247" s="1939"/>
      <c r="L1247" s="1940" t="s">
        <v>4250</v>
      </c>
      <c r="M1247" s="1229" t="s">
        <v>4251</v>
      </c>
      <c r="O1247" s="1942" t="s">
        <v>1821</v>
      </c>
      <c r="P1247" s="1897"/>
      <c r="Q1247" s="1897"/>
    </row>
    <row r="1248" spans="1:32" ht="1.5" customHeight="1"/>
    <row r="1249" spans="1:31" ht="12" customHeight="1">
      <c r="A1249" s="1942" t="s">
        <v>1936</v>
      </c>
      <c r="B1249" s="1936" t="s">
        <v>4243</v>
      </c>
      <c r="C1249" s="1936"/>
      <c r="D1249" s="1936"/>
      <c r="E1249" s="1936"/>
      <c r="F1249" s="1936"/>
      <c r="G1249" s="1936"/>
      <c r="H1249" s="1936"/>
      <c r="I1249" s="1936"/>
      <c r="J1249" s="1936"/>
      <c r="L1249" s="1938" t="s">
        <v>2808</v>
      </c>
      <c r="M1249" s="1817">
        <v>2</v>
      </c>
      <c r="N1249" s="1936" t="s">
        <v>4700</v>
      </c>
      <c r="P1249" s="449" t="str">
        <f>'Part VIII-Threshold Criteria'!P79</f>
        <v>Agree</v>
      </c>
      <c r="Q1249" s="449"/>
    </row>
    <row r="1250" spans="1:31" ht="12" customHeight="1">
      <c r="A1250" s="1942"/>
      <c r="B1250" s="1936"/>
      <c r="C1250" s="1936"/>
      <c r="D1250" s="1936"/>
      <c r="E1250" s="1936"/>
      <c r="F1250" s="1936"/>
      <c r="G1250" s="1936"/>
      <c r="H1250" s="1936"/>
      <c r="I1250" s="1936"/>
      <c r="J1250" s="1936"/>
      <c r="L1250" s="1938" t="s">
        <v>4249</v>
      </c>
      <c r="M1250" s="1938">
        <v>4</v>
      </c>
      <c r="O1250" s="1936"/>
      <c r="P1250" s="449"/>
      <c r="Q1250" s="449"/>
    </row>
    <row r="1251" spans="1:31" ht="12" customHeight="1">
      <c r="A1251" s="1940" t="s">
        <v>1938</v>
      </c>
      <c r="B1251" s="1936" t="s">
        <v>4252</v>
      </c>
      <c r="C1251" s="1936"/>
      <c r="D1251" s="1936"/>
      <c r="E1251" s="1936"/>
      <c r="F1251" s="1936"/>
      <c r="G1251" s="1936"/>
      <c r="H1251" s="1936"/>
      <c r="I1251" s="1936"/>
      <c r="J1251" s="1936"/>
      <c r="K1251" s="1936"/>
      <c r="L1251" s="1936"/>
      <c r="N1251" s="1936"/>
      <c r="O1251" s="1936"/>
      <c r="P1251" s="1936"/>
    </row>
    <row r="1252" spans="1:31" ht="12" customHeight="1">
      <c r="A1252" s="1940"/>
      <c r="B1252" s="1939" t="s">
        <v>1694</v>
      </c>
      <c r="C1252" s="1936" t="s">
        <v>4256</v>
      </c>
      <c r="D1252" s="1936"/>
      <c r="E1252" s="1936"/>
      <c r="F1252" s="1936"/>
      <c r="G1252" s="1936"/>
      <c r="H1252" s="1936"/>
      <c r="I1252" s="1936"/>
      <c r="J1252" s="1936"/>
      <c r="K1252" s="1936"/>
      <c r="L1252" s="1936"/>
      <c r="N1252" s="1936" t="s">
        <v>4701</v>
      </c>
      <c r="O1252" s="1936"/>
      <c r="P1252" s="1229" t="str">
        <f>'Part VIII-Threshold Criteria'!P82</f>
        <v>N/ap</v>
      </c>
      <c r="Q1252" s="1229"/>
    </row>
    <row r="1253" spans="1:31" ht="12" customHeight="1">
      <c r="A1253" s="1940"/>
      <c r="B1253" s="1939" t="s">
        <v>1695</v>
      </c>
      <c r="C1253" s="1936" t="s">
        <v>4253</v>
      </c>
      <c r="D1253" s="1936"/>
      <c r="E1253" s="1936"/>
      <c r="F1253" s="1936"/>
      <c r="G1253" s="1936"/>
      <c r="H1253" s="1936"/>
      <c r="I1253" s="1936"/>
      <c r="J1253" s="1936"/>
      <c r="K1253" s="1936"/>
      <c r="L1253" s="1936"/>
      <c r="N1253" s="1936" t="s">
        <v>4702</v>
      </c>
      <c r="O1253" s="1936"/>
      <c r="P1253" s="1229" t="str">
        <f>'Part VIII-Threshold Criteria'!P83</f>
        <v>Agree</v>
      </c>
      <c r="Q1253" s="1229"/>
    </row>
    <row r="1254" spans="1:31" ht="12" customHeight="1">
      <c r="A1254" s="1942"/>
      <c r="B1254" s="1939" t="s">
        <v>1696</v>
      </c>
      <c r="C1254" s="1936" t="s">
        <v>4254</v>
      </c>
      <c r="E1254" s="1936"/>
      <c r="F1254" s="1936"/>
      <c r="G1254" s="1936"/>
      <c r="H1254" s="1936"/>
      <c r="I1254" s="1936"/>
      <c r="J1254" s="1936"/>
      <c r="K1254" s="1936"/>
      <c r="L1254" s="1936"/>
      <c r="M1254" s="1936"/>
      <c r="N1254" s="1936" t="s">
        <v>4703</v>
      </c>
      <c r="O1254" s="1936"/>
      <c r="P1254" s="1229" t="str">
        <f>'Part VIII-Threshold Criteria'!P84</f>
        <v>Agree</v>
      </c>
      <c r="Q1254" s="1229"/>
    </row>
    <row r="1255" spans="1:31" ht="11.1" customHeight="1">
      <c r="A1255" s="1982"/>
      <c r="B1255" s="1939" t="s">
        <v>2305</v>
      </c>
      <c r="C1255" s="1939" t="s">
        <v>4257</v>
      </c>
      <c r="D1255" s="449"/>
      <c r="E1255" s="449"/>
      <c r="F1255" s="449"/>
      <c r="G1255" s="449"/>
      <c r="H1255" s="449"/>
      <c r="I1255" s="1815"/>
      <c r="J1255" s="1815"/>
      <c r="N1255" s="1936" t="s">
        <v>4704</v>
      </c>
      <c r="O1255" s="1936"/>
      <c r="P1255" s="1229" t="str">
        <f>'Part VIII-Threshold Criteria'!P85</f>
        <v>N/Ap</v>
      </c>
      <c r="Q1255" s="1229"/>
    </row>
    <row r="1256" spans="1:31" ht="11.1" customHeight="1">
      <c r="A1256" s="1982"/>
      <c r="B1256" s="1939"/>
      <c r="C1256" s="1936" t="s">
        <v>4258</v>
      </c>
      <c r="D1256" s="449"/>
      <c r="E1256" s="449"/>
      <c r="F1256" s="449"/>
      <c r="G1256" s="449"/>
      <c r="H1256" s="449"/>
      <c r="I1256" s="1815"/>
      <c r="J1256" s="1815"/>
      <c r="L1256" s="449">
        <f>'Part VIII-Threshold Criteria'!L86</f>
        <v>0</v>
      </c>
      <c r="M1256" s="449"/>
      <c r="N1256" s="449"/>
      <c r="O1256" s="449"/>
      <c r="P1256" s="449"/>
      <c r="Q1256" s="449"/>
    </row>
    <row r="1257" spans="1:31" ht="11.25" customHeight="1">
      <c r="A1257" s="1982"/>
      <c r="B1257" s="1939" t="s">
        <v>1516</v>
      </c>
      <c r="C1257" s="1936" t="s">
        <v>4255</v>
      </c>
      <c r="D1257" s="1936"/>
      <c r="E1257" s="1936"/>
      <c r="F1257" s="1936"/>
      <c r="G1257" s="1936"/>
      <c r="H1257" s="1936"/>
      <c r="I1257" s="1936"/>
      <c r="J1257" s="1936"/>
      <c r="K1257" s="1936"/>
      <c r="L1257" s="1936"/>
      <c r="M1257" s="1945"/>
      <c r="N1257" s="1936" t="s">
        <v>4705</v>
      </c>
      <c r="O1257" s="1936"/>
      <c r="P1257" s="1229" t="str">
        <f>'Part VIII-Threshold Criteria'!P87</f>
        <v>Agree</v>
      </c>
      <c r="Q1257" s="1229"/>
    </row>
    <row r="1258" spans="1:31" ht="11.25" customHeight="1">
      <c r="A1258" s="1940"/>
      <c r="C1258" s="1936"/>
      <c r="D1258" s="1936"/>
      <c r="E1258" s="1936"/>
      <c r="F1258" s="1936"/>
      <c r="G1258" s="1936"/>
      <c r="H1258" s="1936"/>
      <c r="I1258" s="1936"/>
      <c r="J1258" s="1936"/>
      <c r="K1258" s="1936"/>
      <c r="L1258" s="1936"/>
      <c r="M1258" s="1945"/>
    </row>
    <row r="1259" spans="1:31" ht="10.5" customHeight="1">
      <c r="B1259" s="1908" t="s">
        <v>3565</v>
      </c>
      <c r="D1259" s="1908"/>
      <c r="E1259" s="1908"/>
      <c r="F1259" s="1908"/>
      <c r="G1259" s="1908"/>
      <c r="H1259" s="1908"/>
      <c r="I1259" s="1229"/>
      <c r="J1259" s="1229"/>
      <c r="K1259" s="1936" t="s">
        <v>1820</v>
      </c>
      <c r="L1259" s="1732"/>
      <c r="M1259" s="1732"/>
      <c r="N1259" s="1732"/>
      <c r="O1259" s="1732"/>
      <c r="P1259" s="1732"/>
      <c r="Q1259" s="1732"/>
    </row>
    <row r="1260" spans="1:31" ht="10.5" customHeight="1">
      <c r="A1260" s="1936" t="str">
        <f>'Part VIII-Threshold Criteria'!A90</f>
        <v>Applicant has met Threshold by agreeing to the above statements and that all selcted services will meet QAP policies. Since there are 72 units in this senior project, Applicant will include at least two services from two of the service categories stated in the 2020 QAP.</v>
      </c>
      <c r="B1260" s="1936"/>
      <c r="C1260" s="1936"/>
      <c r="D1260" s="1936"/>
      <c r="E1260" s="1936"/>
      <c r="F1260" s="1936"/>
      <c r="G1260" s="1936"/>
      <c r="H1260" s="1936"/>
      <c r="I1260" s="1936"/>
      <c r="J1260" s="1936"/>
      <c r="K1260" s="1936"/>
      <c r="L1260" s="1936"/>
      <c r="M1260" s="1936"/>
      <c r="N1260" s="1936"/>
      <c r="O1260" s="1936"/>
      <c r="P1260" s="1936"/>
      <c r="Q1260" s="1936"/>
      <c r="R1260" s="1973" t="s">
        <v>1228</v>
      </c>
      <c r="U1260" s="1897"/>
      <c r="V1260" s="1897"/>
      <c r="W1260" s="1897"/>
      <c r="X1260" s="1897"/>
      <c r="Y1260" s="1897"/>
      <c r="Z1260" s="1897"/>
      <c r="AA1260" s="1897"/>
      <c r="AB1260" s="1897"/>
      <c r="AC1260" s="1897"/>
      <c r="AD1260" s="1897"/>
      <c r="AE1260" s="1897"/>
    </row>
    <row r="1261" spans="1:31" ht="3" customHeight="1">
      <c r="A1261" s="1732"/>
      <c r="B1261" s="1229"/>
      <c r="C1261" s="1939"/>
      <c r="D1261" s="1939"/>
      <c r="E1261" s="1939"/>
      <c r="F1261" s="1939"/>
      <c r="G1261" s="1939"/>
      <c r="H1261" s="1939"/>
      <c r="I1261" s="1939"/>
      <c r="J1261" s="1939"/>
      <c r="K1261" s="1939"/>
      <c r="L1261" s="1939"/>
      <c r="M1261" s="1939"/>
      <c r="N1261" s="1939"/>
      <c r="O1261" s="1939"/>
      <c r="P1261" s="1939"/>
      <c r="Q1261" s="1732"/>
    </row>
    <row r="1262" spans="1:31" ht="14.1" customHeight="1">
      <c r="A1262" s="1922" t="s">
        <v>1750</v>
      </c>
      <c r="B1262" s="1922" t="s">
        <v>4694</v>
      </c>
      <c r="C1262" s="1922"/>
      <c r="D1262" s="1939"/>
      <c r="E1262" s="1939"/>
      <c r="F1262" s="1939"/>
      <c r="G1262" s="1939"/>
      <c r="H1262" s="1229" t="str">
        <f>'Part I-Project Information'!$K$40</f>
        <v>Urban</v>
      </c>
      <c r="J1262" s="1940" t="s">
        <v>4699</v>
      </c>
      <c r="K1262" s="449" t="str">
        <f>'Part I-Project Information'!$H$105</f>
        <v>Flexible</v>
      </c>
      <c r="L1262" s="1940" t="s">
        <v>4309</v>
      </c>
      <c r="M1262" s="1908" t="str">
        <f>'Part I-Project Information'!$H$82</f>
        <v>HFOP</v>
      </c>
      <c r="O1262" s="1942" t="s">
        <v>1821</v>
      </c>
      <c r="P1262" s="1897"/>
      <c r="Q1262" s="1897"/>
    </row>
    <row r="1263" spans="1:31" ht="3" customHeight="1"/>
    <row r="1264" spans="1:31" ht="10.5" customHeight="1">
      <c r="A1264" s="1940" t="s">
        <v>1936</v>
      </c>
      <c r="B1264" s="449" t="s">
        <v>2396</v>
      </c>
      <c r="D1264" s="449"/>
      <c r="E1264" s="449"/>
      <c r="F1264" s="449"/>
      <c r="G1264" s="449"/>
      <c r="H1264" s="449"/>
      <c r="I1264" s="1815"/>
      <c r="J1264" s="1815"/>
      <c r="K1264" s="1815"/>
      <c r="L1264" s="1940" t="s">
        <v>1936</v>
      </c>
      <c r="M1264" s="449" t="str">
        <f>'Part VIII-Threshold Criteria'!M94</f>
        <v>Real Property Research Group</v>
      </c>
      <c r="N1264" s="449"/>
      <c r="O1264" s="449"/>
      <c r="P1264" s="1815"/>
      <c r="Q1264" s="1229"/>
    </row>
    <row r="1265" spans="1:31" ht="10.5" customHeight="1">
      <c r="A1265" s="1940" t="s">
        <v>1938</v>
      </c>
      <c r="B1265" s="449" t="s">
        <v>4556</v>
      </c>
      <c r="D1265" s="449"/>
      <c r="E1265" s="449"/>
      <c r="F1265" s="449"/>
      <c r="L1265" s="1940" t="s">
        <v>1938</v>
      </c>
      <c r="M1265" s="449" t="str">
        <f>'Part VIII-Threshold Criteria'!M95</f>
        <v>11 units/ month for 6 months</v>
      </c>
      <c r="N1265" s="449"/>
      <c r="O1265" s="449"/>
      <c r="P1265" s="1815"/>
      <c r="Q1265" s="1229"/>
    </row>
    <row r="1266" spans="1:31" ht="10.5" customHeight="1">
      <c r="A1266" s="1940" t="s">
        <v>731</v>
      </c>
      <c r="B1266" s="449" t="s">
        <v>2779</v>
      </c>
      <c r="D1266" s="449"/>
      <c r="E1266" s="449"/>
      <c r="F1266" s="449"/>
      <c r="L1266" s="1940" t="s">
        <v>731</v>
      </c>
      <c r="M1266" s="2136">
        <f>'Part VIII-Threshold Criteria'!M96</f>
        <v>0.95299999999999996</v>
      </c>
      <c r="N1266" s="2136"/>
      <c r="O1266" s="2136"/>
      <c r="P1266" s="2225"/>
      <c r="Q1266" s="1229"/>
    </row>
    <row r="1267" spans="1:31" ht="10.5" customHeight="1">
      <c r="A1267" s="1940" t="s">
        <v>2065</v>
      </c>
      <c r="B1267" s="449" t="s">
        <v>3665</v>
      </c>
      <c r="D1267" s="449"/>
      <c r="E1267" s="449"/>
      <c r="F1267" s="449"/>
      <c r="L1267" s="1940" t="s">
        <v>3666</v>
      </c>
      <c r="M1267" s="2226">
        <f>'Part VIII-Threshold Criteria'!M97</f>
        <v>0.223</v>
      </c>
      <c r="N1267" s="2136"/>
      <c r="O1267" s="1941" t="s">
        <v>3805</v>
      </c>
      <c r="P1267" s="1985">
        <f>'Part VIII-Threshold Criteria'!P97</f>
        <v>0</v>
      </c>
      <c r="Q1267" s="1229"/>
    </row>
    <row r="1268" spans="1:31" ht="10.5" customHeight="1">
      <c r="A1268" s="1940" t="s">
        <v>1692</v>
      </c>
      <c r="B1268" s="449" t="s">
        <v>4557</v>
      </c>
      <c r="D1268" s="1936"/>
      <c r="E1268" s="1936"/>
      <c r="F1268" s="1936"/>
      <c r="G1268" s="1936"/>
      <c r="H1268" s="1936"/>
      <c r="I1268" s="1936"/>
      <c r="J1268" s="1936"/>
      <c r="K1268" s="1936"/>
      <c r="L1268" s="1936"/>
      <c r="M1268" s="1936"/>
      <c r="N1268" s="1936"/>
      <c r="O1268" s="1936"/>
      <c r="P1268" s="1936"/>
      <c r="Q1268" s="1936"/>
    </row>
    <row r="1269" spans="1:31" ht="10.5" customHeight="1">
      <c r="B1269" s="1940"/>
      <c r="C1269" s="449"/>
      <c r="D1269" s="1229" t="s">
        <v>2317</v>
      </c>
      <c r="E1269" s="1908" t="s">
        <v>599</v>
      </c>
      <c r="F1269" s="1908"/>
      <c r="H1269" s="449"/>
      <c r="I1269" s="1229" t="s">
        <v>2317</v>
      </c>
      <c r="J1269" s="1908" t="s">
        <v>599</v>
      </c>
      <c r="K1269" s="1908"/>
      <c r="M1269" s="449"/>
      <c r="N1269" s="1229" t="s">
        <v>2317</v>
      </c>
      <c r="O1269" s="1908" t="s">
        <v>599</v>
      </c>
      <c r="P1269" s="1908"/>
      <c r="Q1269" s="1940"/>
    </row>
    <row r="1270" spans="1:31" ht="10.5" customHeight="1">
      <c r="C1270" s="1940" t="s">
        <v>1694</v>
      </c>
      <c r="D1270" s="1229" t="str">
        <f>'Part VIII-Threshold Criteria'!D100</f>
        <v>2001-533</v>
      </c>
      <c r="E1270" s="449" t="str">
        <f>'Part VIII-Threshold Criteria'!E100</f>
        <v>Northgate Village</v>
      </c>
      <c r="F1270" s="449"/>
      <c r="G1270" s="449"/>
      <c r="H1270" s="1940" t="s">
        <v>1696</v>
      </c>
      <c r="I1270" s="1229" t="str">
        <f>'Part VIII-Threshold Criteria'!I100</f>
        <v>2019-006</v>
      </c>
      <c r="J1270" s="449" t="str">
        <f>'Part VIII-Threshold Criteria'!J100</f>
        <v xml:space="preserve">Harper Woods </v>
      </c>
      <c r="K1270" s="449"/>
      <c r="L1270" s="449"/>
      <c r="M1270" s="1940" t="s">
        <v>1516</v>
      </c>
      <c r="N1270" s="1229">
        <f>'Part VIII-Threshold Criteria'!N100</f>
        <v>0</v>
      </c>
      <c r="O1270" s="449">
        <f>'Part VIII-Threshold Criteria'!O100</f>
        <v>0</v>
      </c>
      <c r="P1270" s="449"/>
      <c r="Q1270" s="449"/>
    </row>
    <row r="1271" spans="1:31" ht="10.5" customHeight="1">
      <c r="C1271" s="1940" t="s">
        <v>1695</v>
      </c>
      <c r="D1271" s="1229" t="str">
        <f>'Part VIII-Threshold Criteria'!D101</f>
        <v>2018-050</v>
      </c>
      <c r="E1271" s="449" t="str">
        <f>'Part VIII-Threshold Criteria'!E101</f>
        <v>Highland Kayne</v>
      </c>
      <c r="F1271" s="449"/>
      <c r="G1271" s="449"/>
      <c r="H1271" s="1940" t="s">
        <v>2305</v>
      </c>
      <c r="I1271" s="1229">
        <f>'Part VIII-Threshold Criteria'!I101</f>
        <v>0</v>
      </c>
      <c r="J1271" s="449">
        <f>'Part VIII-Threshold Criteria'!J101</f>
        <v>0</v>
      </c>
      <c r="K1271" s="449"/>
      <c r="L1271" s="449"/>
      <c r="M1271" s="1940" t="s">
        <v>1517</v>
      </c>
      <c r="N1271" s="1229">
        <f>'Part VIII-Threshold Criteria'!N101</f>
        <v>0</v>
      </c>
      <c r="O1271" s="449">
        <f>'Part VIII-Threshold Criteria'!O101</f>
        <v>0</v>
      </c>
      <c r="P1271" s="449"/>
      <c r="Q1271" s="449"/>
    </row>
    <row r="1272" spans="1:31" ht="10.5" customHeight="1">
      <c r="A1272" s="1940" t="s">
        <v>1693</v>
      </c>
      <c r="B1272" s="449" t="s">
        <v>0</v>
      </c>
      <c r="D1272" s="449"/>
      <c r="E1272" s="449"/>
      <c r="F1272" s="449"/>
      <c r="G1272" s="449"/>
      <c r="H1272" s="449"/>
      <c r="I1272" s="1815"/>
      <c r="J1272" s="1815"/>
      <c r="K1272" s="449"/>
      <c r="L1272" s="1908"/>
      <c r="M1272" s="1908"/>
      <c r="O1272" s="1940" t="s">
        <v>1693</v>
      </c>
      <c r="P1272" s="1229" t="str">
        <f>'Part VIII-Threshold Criteria'!P102</f>
        <v>Yes</v>
      </c>
      <c r="Q1272" s="1229"/>
    </row>
    <row r="1273" spans="1:31" s="1910" customFormat="1" ht="43.2" customHeight="1">
      <c r="A1273" s="1942" t="s">
        <v>1900</v>
      </c>
      <c r="B1273" s="1936" t="s">
        <v>6871</v>
      </c>
      <c r="C1273" s="1936"/>
      <c r="D1273" s="1936"/>
      <c r="E1273" s="1936"/>
      <c r="F1273" s="1936"/>
      <c r="G1273" s="1936"/>
      <c r="H1273" s="1936"/>
      <c r="I1273" s="1936"/>
      <c r="J1273" s="1936"/>
      <c r="K1273" s="1936"/>
      <c r="L1273" s="1936"/>
      <c r="M1273" s="1936"/>
      <c r="N1273" s="1936"/>
      <c r="O1273" s="1942" t="s">
        <v>4789</v>
      </c>
      <c r="P1273" s="1938" t="str">
        <f>'Part VIII-Threshold Criteria'!P103</f>
        <v>Yes</v>
      </c>
      <c r="Q1273" s="1938"/>
    </row>
    <row r="1274" spans="1:31" s="1815" customFormat="1" ht="10.5" customHeight="1">
      <c r="A1274" s="1940"/>
      <c r="B1274" s="1939" t="s">
        <v>1695</v>
      </c>
      <c r="C1274" s="449" t="s">
        <v>4790</v>
      </c>
      <c r="D1274" s="449"/>
      <c r="E1274" s="449"/>
      <c r="F1274" s="449"/>
      <c r="G1274" s="449"/>
      <c r="H1274" s="449"/>
      <c r="K1274" s="449"/>
      <c r="L1274" s="1908"/>
      <c r="M1274" s="1908"/>
      <c r="O1274" s="1940" t="s">
        <v>1695</v>
      </c>
      <c r="P1274" s="1229" t="str">
        <f>'Part VIII-Threshold Criteria'!P104</f>
        <v>No</v>
      </c>
      <c r="Q1274" s="1229"/>
    </row>
    <row r="1275" spans="1:31" ht="9.75" customHeight="1">
      <c r="B1275" s="1908" t="s">
        <v>3565</v>
      </c>
      <c r="D1275" s="1908"/>
      <c r="E1275" s="1908"/>
      <c r="F1275" s="1908"/>
      <c r="G1275" s="1908"/>
      <c r="H1275" s="1908"/>
      <c r="I1275" s="1229"/>
      <c r="J1275" s="1229"/>
      <c r="K1275" s="1229"/>
      <c r="L1275" s="1732"/>
      <c r="M1275" s="1732"/>
      <c r="N1275" s="1732"/>
      <c r="O1275" s="1732"/>
      <c r="P1275" s="1732"/>
      <c r="Q1275" s="1732"/>
    </row>
    <row r="1276" spans="1:31" ht="33" customHeight="1">
      <c r="A1276" s="1936" t="str">
        <f>'Part VIII-Threshold Criteria'!A106</f>
        <v>Applicant has met Threshold by providing a Market Study that adheres to all requirements of the 2020 Market Study Manual. There are no DCA funded projects in the PMA which have physical occupancy rates of less than 90% and which compete for the same tenant base as Harper Woods II.   There are no capture rates over 55% for either a specific bedroom type or market segement.  The overall capture rate is 22.3%.   The other LIHTC projects in the PMA are Northgate Village and Highland Kayne. Highland Kayne is currently under construction for a family tenancy. Harper Woods Phase I is also in the PMA and has a family tenancy. 
Harper Woods II Market Area has a stabilized vacancy rate of 4.7% and most communities including the only LIHTC community have vacancy rates below 3%. The overall  capture rate is 22.3%, which is below DCA's threshold of 30%.  
Applicant has also met Threshold because no more than two DCA funded projects in Harper Woods II's primary market area have a physical occupancy rate of less than 90% and compete for the same tenant base. Furthermore, if there are other competing applications in the City of Columbus, the QAP allows for two Flexible Pool Applicants to be awarded in the same Local Government Area with different tenancy and/or the QAP allows for two Flexible Pool Applicants to be awarded in the same Local Government with the same tenancy providing that each development is in a different market area, i.e. Harper Woods Phase I - 2019-006.  See Tab 44 for a copy of the slide presented at the 2020 QAP Application Workshop on how DCA responded to Market Area Competing Applications in the 2019 round.</v>
      </c>
      <c r="B1276" s="1936"/>
      <c r="C1276" s="1936"/>
      <c r="D1276" s="1936"/>
      <c r="E1276" s="1936"/>
      <c r="F1276" s="1936"/>
      <c r="G1276" s="1936"/>
      <c r="H1276" s="1936"/>
      <c r="I1276" s="1936"/>
      <c r="J1276" s="1936"/>
      <c r="K1276" s="1936"/>
      <c r="L1276" s="1936"/>
      <c r="M1276" s="1936"/>
      <c r="N1276" s="1936"/>
      <c r="O1276" s="1936"/>
      <c r="P1276" s="1936"/>
      <c r="Q1276" s="1936"/>
      <c r="U1276" s="1897"/>
      <c r="V1276" s="1897"/>
      <c r="W1276" s="1897"/>
      <c r="X1276" s="1897"/>
      <c r="Y1276" s="1897"/>
      <c r="Z1276" s="1897"/>
      <c r="AA1276" s="1897"/>
      <c r="AB1276" s="1897"/>
      <c r="AC1276" s="1897"/>
      <c r="AD1276" s="1897"/>
      <c r="AE1276" s="1897"/>
    </row>
    <row r="1277" spans="1:31" ht="9.75" customHeight="1">
      <c r="B1277" s="1936" t="s">
        <v>1820</v>
      </c>
      <c r="C1277" s="1936"/>
      <c r="D1277" s="1939"/>
      <c r="E1277" s="1939"/>
      <c r="F1277" s="1939"/>
      <c r="G1277" s="1939"/>
      <c r="H1277" s="1939"/>
      <c r="I1277" s="1939"/>
      <c r="J1277" s="1939"/>
      <c r="K1277" s="1939"/>
      <c r="L1277" s="1939"/>
      <c r="M1277" s="1939"/>
      <c r="N1277" s="1939"/>
      <c r="O1277" s="1939"/>
      <c r="P1277" s="1939"/>
      <c r="Q1277" s="1939"/>
    </row>
    <row r="1278" spans="1:31" ht="33" customHeight="1">
      <c r="A1278" s="1936"/>
      <c r="B1278" s="1936"/>
      <c r="C1278" s="1936"/>
      <c r="D1278" s="1936"/>
      <c r="E1278" s="1936"/>
      <c r="F1278" s="1936"/>
      <c r="G1278" s="1936"/>
      <c r="H1278" s="1936"/>
      <c r="I1278" s="1936"/>
      <c r="J1278" s="1936"/>
      <c r="K1278" s="1936"/>
      <c r="L1278" s="1936"/>
      <c r="M1278" s="1936"/>
      <c r="N1278" s="1936"/>
      <c r="O1278" s="1936"/>
      <c r="P1278" s="1936"/>
      <c r="Q1278" s="1936"/>
    </row>
    <row r="1279" spans="1:31" ht="14.1" customHeight="1">
      <c r="A1279" s="1922" t="s">
        <v>516</v>
      </c>
      <c r="B1279" s="1922" t="s">
        <v>2581</v>
      </c>
      <c r="C1279" s="1922"/>
      <c r="D1279" s="1939"/>
      <c r="E1279" s="1939"/>
      <c r="F1279" s="1939"/>
      <c r="G1279" s="1939"/>
      <c r="H1279" s="1939"/>
      <c r="I1279" s="1939"/>
      <c r="J1279" s="1939"/>
      <c r="K1279" s="1939"/>
      <c r="L1279" s="1939"/>
      <c r="M1279" s="1939"/>
      <c r="O1279" s="1942" t="s">
        <v>1821</v>
      </c>
      <c r="P1279" s="1897"/>
      <c r="Q1279" s="1897"/>
    </row>
    <row r="1280" spans="1:31" ht="3" customHeight="1"/>
    <row r="1281" spans="1:17" ht="10.5" customHeight="1">
      <c r="A1281" s="1940" t="s">
        <v>1936</v>
      </c>
      <c r="B1281" s="449" t="s">
        <v>4706</v>
      </c>
      <c r="C1281" s="449"/>
      <c r="E1281" s="449"/>
      <c r="F1281" s="449"/>
      <c r="G1281" s="449"/>
      <c r="H1281" s="449"/>
      <c r="I1281" s="449"/>
      <c r="J1281" s="449"/>
      <c r="K1281" s="449"/>
      <c r="L1281" s="1908"/>
      <c r="M1281" s="1908"/>
      <c r="O1281" s="1940" t="s">
        <v>1936</v>
      </c>
      <c r="P1281" s="1229" t="str">
        <f>'Part VIII-Threshold Criteria'!P111</f>
        <v>Yes</v>
      </c>
      <c r="Q1281" s="1229"/>
    </row>
    <row r="1282" spans="1:17" ht="10.5" customHeight="1">
      <c r="B1282" s="1939" t="s">
        <v>1694</v>
      </c>
      <c r="C1282" s="449" t="s">
        <v>538</v>
      </c>
      <c r="E1282" s="1815"/>
      <c r="F1282" s="1815"/>
      <c r="G1282" s="1815"/>
      <c r="H1282" s="1815"/>
      <c r="I1282" s="1815"/>
      <c r="L1282" s="1940" t="s">
        <v>539</v>
      </c>
      <c r="M1282" s="449" t="str">
        <f>'Part VIII-Threshold Criteria'!M112</f>
        <v xml:space="preserve">Novogradac </v>
      </c>
      <c r="N1282" s="449"/>
      <c r="O1282" s="449"/>
      <c r="P1282" s="1815"/>
      <c r="Q1282" s="1229"/>
    </row>
    <row r="1283" spans="1:17" s="1815" customFormat="1" ht="9.75" customHeight="1">
      <c r="B1283" s="1908" t="s">
        <v>1695</v>
      </c>
      <c r="C1283" s="449" t="s">
        <v>4374</v>
      </c>
      <c r="O1283" s="1940" t="s">
        <v>1695</v>
      </c>
      <c r="P1283" s="1229" t="str">
        <f>'Part VIII-Threshold Criteria'!P113</f>
        <v>Yes</v>
      </c>
      <c r="Q1283" s="1229"/>
    </row>
    <row r="1284" spans="1:17" s="1815" customFormat="1" ht="9.75" customHeight="1">
      <c r="B1284" s="1939" t="s">
        <v>1696</v>
      </c>
      <c r="C1284" s="449" t="s">
        <v>4742</v>
      </c>
      <c r="O1284" s="1942" t="s">
        <v>1696</v>
      </c>
      <c r="P1284" s="2137">
        <f>'Part VIII-Threshold Criteria'!P114</f>
        <v>43979</v>
      </c>
      <c r="Q1284" s="2137"/>
    </row>
    <row r="1285" spans="1:17" ht="10.5" customHeight="1">
      <c r="A1285" s="1229"/>
      <c r="B1285" s="1939" t="s">
        <v>2305</v>
      </c>
      <c r="C1285" s="1908" t="s">
        <v>4259</v>
      </c>
      <c r="D1285" s="1922"/>
      <c r="E1285" s="1922"/>
      <c r="F1285" s="1922"/>
      <c r="G1285" s="1922"/>
      <c r="H1285" s="1922"/>
      <c r="I1285" s="1922"/>
      <c r="J1285" s="1922"/>
      <c r="K1285" s="1922"/>
      <c r="L1285" s="1922"/>
      <c r="M1285" s="1922"/>
      <c r="O1285" s="1942" t="s">
        <v>2305</v>
      </c>
      <c r="P1285" s="1229" t="str">
        <f>'Part VIII-Threshold Criteria'!P115</f>
        <v>Yes</v>
      </c>
      <c r="Q1285" s="1229"/>
    </row>
    <row r="1286" spans="1:17" ht="10.5" customHeight="1">
      <c r="A1286" s="1229"/>
      <c r="B1286" s="1939" t="s">
        <v>1516</v>
      </c>
      <c r="C1286" s="1908" t="s">
        <v>3352</v>
      </c>
      <c r="D1286" s="1922"/>
      <c r="E1286" s="1922"/>
      <c r="F1286" s="1922"/>
      <c r="G1286" s="1922"/>
      <c r="H1286" s="1922"/>
      <c r="I1286" s="1922"/>
      <c r="J1286" s="1922"/>
      <c r="K1286" s="1922"/>
      <c r="L1286" s="1922"/>
      <c r="M1286" s="1922"/>
      <c r="O1286" s="1942" t="s">
        <v>1516</v>
      </c>
      <c r="P1286" s="1229" t="str">
        <f>'Part VIII-Threshold Criteria'!P116</f>
        <v>Yes</v>
      </c>
      <c r="Q1286" s="1229"/>
    </row>
    <row r="1287" spans="1:17" ht="10.5" customHeight="1">
      <c r="A1287" s="1229"/>
      <c r="B1287" s="1939" t="s">
        <v>1517</v>
      </c>
      <c r="C1287" s="1908" t="s">
        <v>3353</v>
      </c>
      <c r="D1287" s="1922"/>
      <c r="E1287" s="1922"/>
      <c r="F1287" s="1922"/>
      <c r="G1287" s="1922"/>
      <c r="H1287" s="1922"/>
      <c r="I1287" s="1922"/>
      <c r="J1287" s="1922"/>
      <c r="K1287" s="1922"/>
      <c r="L1287" s="1922"/>
      <c r="M1287" s="1922"/>
      <c r="O1287" s="1942" t="s">
        <v>1517</v>
      </c>
      <c r="P1287" s="1229" t="str">
        <f>'Part VIII-Threshold Criteria'!P117</f>
        <v>Yes</v>
      </c>
      <c r="Q1287" s="1229"/>
    </row>
    <row r="1288" spans="1:17" ht="10.5" customHeight="1">
      <c r="A1288" s="1229"/>
      <c r="B1288" s="1939" t="s">
        <v>96</v>
      </c>
      <c r="C1288" s="1908" t="s">
        <v>2780</v>
      </c>
      <c r="D1288" s="1908"/>
      <c r="E1288" s="1908"/>
      <c r="F1288" s="1908"/>
      <c r="G1288" s="1908"/>
      <c r="H1288" s="1908"/>
      <c r="I1288" s="1908"/>
      <c r="J1288" s="1908"/>
      <c r="K1288" s="1908"/>
      <c r="L1288" s="1908"/>
      <c r="M1288" s="1913"/>
      <c r="O1288" s="1942" t="s">
        <v>96</v>
      </c>
      <c r="P1288" s="1229" t="str">
        <f>'Part VIII-Threshold Criteria'!P118</f>
        <v>Yes</v>
      </c>
      <c r="Q1288" s="1229"/>
    </row>
    <row r="1289" spans="1:17" s="1910" customFormat="1" ht="20.399999999999999" customHeight="1">
      <c r="A1289" s="1938"/>
      <c r="B1289" s="1939" t="s">
        <v>500</v>
      </c>
      <c r="C1289" s="1936" t="s">
        <v>4559</v>
      </c>
      <c r="D1289" s="1936"/>
      <c r="E1289" s="1936"/>
      <c r="F1289" s="1936"/>
      <c r="G1289" s="1936"/>
      <c r="H1289" s="1936"/>
      <c r="I1289" s="1936"/>
      <c r="J1289" s="1936"/>
      <c r="K1289" s="1936"/>
      <c r="L1289" s="1936"/>
      <c r="M1289" s="1936"/>
      <c r="N1289" s="1936"/>
      <c r="O1289" s="1942" t="s">
        <v>500</v>
      </c>
      <c r="P1289" s="1938">
        <f>'Part VIII-Threshold Criteria'!P119</f>
        <v>0</v>
      </c>
      <c r="Q1289" s="1938"/>
    </row>
    <row r="1290" spans="1:17" ht="10.5" customHeight="1">
      <c r="A1290" s="1940" t="s">
        <v>1938</v>
      </c>
      <c r="B1290" s="449" t="s">
        <v>4558</v>
      </c>
      <c r="C1290" s="449"/>
      <c r="E1290" s="449"/>
      <c r="F1290" s="449"/>
      <c r="G1290" s="449"/>
      <c r="H1290" s="449"/>
      <c r="I1290" s="449"/>
      <c r="J1290" s="449"/>
      <c r="K1290" s="449"/>
      <c r="L1290" s="449"/>
      <c r="M1290" s="449"/>
      <c r="O1290" s="1940" t="s">
        <v>1938</v>
      </c>
      <c r="P1290" s="1229" t="str">
        <f>'Part VIII-Threshold Criteria'!P120</f>
        <v>Yes</v>
      </c>
      <c r="Q1290" s="1229"/>
    </row>
    <row r="1291" spans="1:17" ht="10.5" customHeight="1">
      <c r="B1291" s="1939" t="s">
        <v>1694</v>
      </c>
      <c r="C1291" s="449" t="s">
        <v>4798</v>
      </c>
      <c r="D1291" s="449"/>
      <c r="E1291" s="449"/>
      <c r="F1291" s="449"/>
      <c r="G1291" s="449"/>
      <c r="H1291" s="449"/>
      <c r="I1291" s="449"/>
      <c r="J1291" s="449"/>
      <c r="K1291" s="449"/>
      <c r="L1291" s="449"/>
      <c r="M1291" s="449"/>
      <c r="O1291" s="1942" t="s">
        <v>1694</v>
      </c>
      <c r="P1291" s="1229" t="str">
        <f>'Part VIII-Threshold Criteria'!P121</f>
        <v>Yes</v>
      </c>
      <c r="Q1291" s="1229"/>
    </row>
    <row r="1292" spans="1:17" ht="10.5" customHeight="1">
      <c r="A1292" s="1940"/>
      <c r="B1292" s="1908" t="s">
        <v>1695</v>
      </c>
      <c r="C1292" s="449" t="s">
        <v>4797</v>
      </c>
      <c r="D1292" s="449"/>
      <c r="E1292" s="449"/>
      <c r="F1292" s="449"/>
      <c r="G1292" s="449"/>
      <c r="H1292" s="449"/>
      <c r="I1292" s="449"/>
      <c r="J1292" s="449"/>
      <c r="K1292" s="449"/>
      <c r="L1292" s="449"/>
      <c r="M1292" s="449"/>
      <c r="O1292" s="1940" t="s">
        <v>1695</v>
      </c>
      <c r="P1292" s="1229">
        <f>'Part VIII-Threshold Criteria'!P122</f>
        <v>0</v>
      </c>
      <c r="Q1292" s="1229"/>
    </row>
    <row r="1293" spans="1:17" ht="10.5" customHeight="1">
      <c r="A1293" s="1940" t="s">
        <v>731</v>
      </c>
      <c r="B1293" s="449" t="s">
        <v>1400</v>
      </c>
      <c r="D1293" s="449"/>
      <c r="E1293" s="449"/>
      <c r="G1293" s="449"/>
      <c r="I1293" s="449"/>
      <c r="K1293" s="449"/>
      <c r="L1293" s="1908"/>
      <c r="M1293" s="1908"/>
      <c r="N1293" s="1908"/>
      <c r="O1293" s="1940" t="s">
        <v>731</v>
      </c>
      <c r="P1293" s="1908"/>
      <c r="Q1293" s="1908"/>
    </row>
    <row r="1294" spans="1:17" ht="10.5" customHeight="1">
      <c r="A1294" s="1940"/>
      <c r="B1294" s="1908" t="s">
        <v>1694</v>
      </c>
      <c r="C1294" s="449" t="s">
        <v>1401</v>
      </c>
      <c r="E1294" s="449"/>
      <c r="F1294" s="449"/>
      <c r="G1294" s="449"/>
      <c r="H1294" s="449"/>
      <c r="I1294" s="449"/>
      <c r="J1294" s="449"/>
      <c r="K1294" s="449"/>
      <c r="L1294" s="1908"/>
      <c r="M1294" s="1908"/>
      <c r="O1294" s="1940" t="s">
        <v>1694</v>
      </c>
      <c r="P1294" s="1229" t="str">
        <f>'Part VIII-Threshold Criteria'!P124</f>
        <v>Yes</v>
      </c>
      <c r="Q1294" s="1229"/>
    </row>
    <row r="1295" spans="1:17" ht="10.5" customHeight="1">
      <c r="B1295" s="1908" t="s">
        <v>1695</v>
      </c>
      <c r="C1295" s="449" t="s">
        <v>1402</v>
      </c>
      <c r="E1295" s="449"/>
      <c r="F1295" s="449"/>
      <c r="G1295" s="449"/>
      <c r="H1295" s="449"/>
      <c r="I1295" s="449"/>
      <c r="J1295" s="449"/>
      <c r="K1295" s="449"/>
      <c r="L1295" s="1908"/>
      <c r="M1295" s="1908"/>
      <c r="O1295" s="1940" t="s">
        <v>1695</v>
      </c>
      <c r="P1295" s="1229" t="str">
        <f>'Part VIII-Threshold Criteria'!P125</f>
        <v>Yes</v>
      </c>
      <c r="Q1295" s="1229"/>
    </row>
    <row r="1296" spans="1:17" ht="10.5" customHeight="1">
      <c r="B1296" s="1908" t="s">
        <v>1696</v>
      </c>
      <c r="C1296" s="449" t="s">
        <v>1403</v>
      </c>
      <c r="E1296" s="449"/>
      <c r="F1296" s="449"/>
      <c r="G1296" s="449"/>
      <c r="H1296" s="449"/>
      <c r="I1296" s="449"/>
      <c r="J1296" s="449"/>
      <c r="K1296" s="449"/>
      <c r="L1296" s="1908"/>
      <c r="M1296" s="1908"/>
      <c r="O1296" s="1940" t="s">
        <v>1696</v>
      </c>
      <c r="P1296" s="1229" t="str">
        <f>'Part VIII-Threshold Criteria'!P126</f>
        <v>No</v>
      </c>
      <c r="Q1296" s="1229"/>
    </row>
    <row r="1297" spans="1:31" ht="10.5" customHeight="1">
      <c r="B1297" s="1908" t="s">
        <v>3565</v>
      </c>
      <c r="D1297" s="1908"/>
      <c r="E1297" s="1908"/>
      <c r="F1297" s="1908"/>
      <c r="G1297" s="1908"/>
      <c r="H1297" s="1908"/>
      <c r="I1297" s="1229"/>
      <c r="J1297" s="1229"/>
      <c r="K1297" s="1229"/>
      <c r="L1297" s="1732"/>
      <c r="M1297" s="1732"/>
      <c r="N1297" s="1732"/>
      <c r="O1297" s="1732"/>
      <c r="P1297" s="1732"/>
      <c r="Q1297" s="1732"/>
    </row>
    <row r="1298" spans="1:31" ht="22.5" customHeight="1">
      <c r="A1298" s="1936" t="str">
        <f>'Part VIII-Threshold Criteria'!A128</f>
        <v xml:space="preserve">Applicant has met Threshold by providing an apprasial from Novogradac, a certified third-party, and meeting the requirements in the DCA Appraisal Manual.In Section A, question 8 is left unanswered because this property does not involve DCA HOME funds. TBG Development Services, Inc.  and Harper Woods Apartments II, LP have the same principal/ president (Kevin Buckner).  Prior to the Applicant's involvement, the previous owner rezoned the property to RO in 2017. This land was also subdivided March 2020. </v>
      </c>
      <c r="B1298" s="1936"/>
      <c r="C1298" s="1936"/>
      <c r="D1298" s="1936"/>
      <c r="E1298" s="1936"/>
      <c r="F1298" s="1936"/>
      <c r="G1298" s="1936"/>
      <c r="H1298" s="1936"/>
      <c r="I1298" s="1936"/>
      <c r="J1298" s="1936"/>
      <c r="K1298" s="1936"/>
      <c r="L1298" s="1936"/>
      <c r="M1298" s="1936"/>
      <c r="N1298" s="1936"/>
      <c r="O1298" s="1936"/>
      <c r="P1298" s="1936"/>
      <c r="Q1298" s="1936"/>
      <c r="U1298" s="1897"/>
      <c r="V1298" s="1897"/>
      <c r="W1298" s="1897"/>
      <c r="X1298" s="1897"/>
      <c r="Y1298" s="1897"/>
      <c r="Z1298" s="1897"/>
      <c r="AA1298" s="1897"/>
      <c r="AB1298" s="1897"/>
      <c r="AC1298" s="1897"/>
      <c r="AD1298" s="1897"/>
      <c r="AE1298" s="1897"/>
    </row>
    <row r="1299" spans="1:31" ht="11.25" customHeight="1">
      <c r="B1299" s="1936" t="s">
        <v>1820</v>
      </c>
      <c r="C1299" s="1936"/>
      <c r="D1299" s="1939"/>
      <c r="E1299" s="1939"/>
      <c r="F1299" s="1939"/>
      <c r="G1299" s="1939"/>
      <c r="H1299" s="1939"/>
      <c r="I1299" s="1939"/>
      <c r="J1299" s="1939"/>
      <c r="K1299" s="1939"/>
      <c r="L1299" s="1939"/>
      <c r="M1299" s="1939"/>
      <c r="N1299" s="1939"/>
      <c r="O1299" s="1939"/>
      <c r="P1299" s="1939"/>
      <c r="Q1299" s="1939"/>
    </row>
    <row r="1300" spans="1:31" ht="22.5" customHeight="1">
      <c r="A1300" s="1936"/>
      <c r="B1300" s="1936"/>
      <c r="C1300" s="1936"/>
      <c r="D1300" s="1936"/>
      <c r="E1300" s="1936"/>
      <c r="F1300" s="1936"/>
      <c r="G1300" s="1936"/>
      <c r="H1300" s="1936"/>
      <c r="I1300" s="1936"/>
      <c r="J1300" s="1936"/>
      <c r="K1300" s="1936"/>
      <c r="L1300" s="1936"/>
      <c r="M1300" s="1936"/>
      <c r="N1300" s="1936"/>
      <c r="O1300" s="1936"/>
      <c r="P1300" s="1936"/>
      <c r="Q1300" s="1936"/>
    </row>
    <row r="1301" spans="1:31" ht="14.1" customHeight="1">
      <c r="A1301" s="1922" t="s">
        <v>754</v>
      </c>
      <c r="B1301" s="1922" t="s">
        <v>2582</v>
      </c>
      <c r="C1301" s="1908"/>
      <c r="D1301" s="1939"/>
      <c r="E1301" s="1939"/>
      <c r="F1301" s="1939"/>
      <c r="G1301" s="1939"/>
      <c r="H1301" s="1939"/>
      <c r="I1301" s="1939"/>
      <c r="J1301" s="1939"/>
      <c r="K1301" s="1939"/>
      <c r="L1301" s="1939"/>
      <c r="M1301" s="1939"/>
      <c r="O1301" s="1942" t="s">
        <v>1821</v>
      </c>
      <c r="P1301" s="1897"/>
      <c r="Q1301" s="1897"/>
    </row>
    <row r="1302" spans="1:31" ht="6.6" customHeight="1"/>
    <row r="1303" spans="1:31" ht="12" customHeight="1">
      <c r="A1303" s="1940" t="s">
        <v>1936</v>
      </c>
      <c r="B1303" s="449" t="s">
        <v>3469</v>
      </c>
      <c r="D1303" s="449"/>
      <c r="E1303" s="449"/>
      <c r="F1303" s="449"/>
      <c r="G1303" s="449"/>
      <c r="H1303" s="449"/>
      <c r="I1303" s="1815"/>
      <c r="J1303" s="1815"/>
      <c r="K1303" s="1940" t="s">
        <v>1936</v>
      </c>
      <c r="L1303" s="1897" t="str">
        <f>'Part VIII-Threshold Criteria'!L133</f>
        <v xml:space="preserve">Geotechnical and Environmental Consultants </v>
      </c>
      <c r="M1303" s="1897"/>
      <c r="N1303" s="1897"/>
      <c r="O1303" s="1897"/>
      <c r="P1303" s="1897"/>
      <c r="Q1303" s="1229"/>
    </row>
    <row r="1304" spans="1:31" ht="12" customHeight="1">
      <c r="A1304" s="1940" t="s">
        <v>1938</v>
      </c>
      <c r="B1304" s="449" t="s">
        <v>1505</v>
      </c>
      <c r="D1304" s="449"/>
      <c r="E1304" s="449"/>
      <c r="F1304" s="449"/>
      <c r="G1304" s="449"/>
      <c r="H1304" s="449"/>
      <c r="I1304" s="1815"/>
      <c r="J1304" s="1815"/>
      <c r="K1304" s="449"/>
      <c r="L1304" s="1908"/>
      <c r="O1304" s="1940" t="s">
        <v>1938</v>
      </c>
      <c r="P1304" s="1229" t="str">
        <f>'Part VIII-Threshold Criteria'!P134</f>
        <v>No</v>
      </c>
      <c r="Q1304" s="1229"/>
    </row>
    <row r="1305" spans="1:31" ht="12" customHeight="1">
      <c r="A1305" s="1940" t="s">
        <v>731</v>
      </c>
      <c r="B1305" s="449" t="s">
        <v>147</v>
      </c>
      <c r="D1305" s="449"/>
      <c r="E1305" s="449"/>
      <c r="F1305" s="449"/>
      <c r="G1305" s="449"/>
      <c r="H1305" s="449"/>
      <c r="I1305" s="1815"/>
      <c r="J1305" s="1815"/>
      <c r="K1305" s="1908"/>
      <c r="L1305" s="1908"/>
      <c r="O1305" s="1940" t="s">
        <v>731</v>
      </c>
      <c r="P1305" s="1229" t="str">
        <f>'Part VIII-Threshold Criteria'!P135</f>
        <v>Yes</v>
      </c>
      <c r="Q1305" s="1229"/>
    </row>
    <row r="1306" spans="1:31" ht="12" customHeight="1">
      <c r="A1306" s="1940"/>
      <c r="B1306" s="1908" t="s">
        <v>1694</v>
      </c>
      <c r="C1306" s="449" t="s">
        <v>2611</v>
      </c>
      <c r="E1306" s="449"/>
      <c r="F1306" s="449"/>
      <c r="G1306" s="449"/>
      <c r="H1306" s="449"/>
      <c r="I1306" s="1815"/>
      <c r="J1306" s="1815"/>
      <c r="K1306" s="1940" t="s">
        <v>1694</v>
      </c>
      <c r="L1306" s="1897" t="str">
        <f>'Part VIII-Threshold Criteria'!L136</f>
        <v xml:space="preserve">Geotechnical and Environmental Consultants </v>
      </c>
      <c r="M1306" s="1897"/>
      <c r="N1306" s="1897"/>
      <c r="O1306" s="1897"/>
      <c r="P1306" s="1897"/>
      <c r="Q1306" s="1229"/>
    </row>
    <row r="1307" spans="1:31" ht="12" customHeight="1">
      <c r="A1307" s="1904"/>
      <c r="B1307" s="1908" t="s">
        <v>1695</v>
      </c>
      <c r="C1307" s="449" t="s">
        <v>3354</v>
      </c>
      <c r="E1307" s="1815"/>
      <c r="F1307" s="1815"/>
      <c r="G1307" s="1815"/>
      <c r="H1307" s="449"/>
      <c r="I1307" s="1815"/>
      <c r="J1307" s="1815"/>
      <c r="K1307" s="449"/>
      <c r="L1307" s="1908"/>
      <c r="M1307" s="1908"/>
      <c r="O1307" s="1940" t="s">
        <v>1695</v>
      </c>
      <c r="P1307" s="1229" t="str">
        <f>'Part VIII-Threshold Criteria'!P137</f>
        <v>&lt;65</v>
      </c>
      <c r="Q1307" s="1229"/>
    </row>
    <row r="1308" spans="1:31" ht="12" customHeight="1">
      <c r="A1308" s="1904"/>
      <c r="B1308" s="1908" t="s">
        <v>1696</v>
      </c>
      <c r="C1308" s="449" t="s">
        <v>4244</v>
      </c>
      <c r="E1308" s="1815"/>
      <c r="F1308" s="1815"/>
      <c r="G1308" s="1815"/>
      <c r="H1308" s="449"/>
      <c r="I1308" s="1815"/>
      <c r="J1308" s="1815"/>
      <c r="K1308" s="449"/>
      <c r="L1308" s="1908"/>
      <c r="M1308" s="1908"/>
      <c r="O1308" s="1940" t="s">
        <v>1696</v>
      </c>
      <c r="P1308" s="1229" t="str">
        <f>'Part VIII-Threshold Criteria'!P138</f>
        <v>N/Ap</v>
      </c>
      <c r="Q1308" s="1229"/>
    </row>
    <row r="1309" spans="1:31" ht="12" customHeight="1">
      <c r="A1309" s="1940" t="s">
        <v>2065</v>
      </c>
      <c r="B1309" s="449" t="s">
        <v>1234</v>
      </c>
      <c r="D1309" s="449"/>
      <c r="E1309" s="449"/>
      <c r="F1309" s="449"/>
      <c r="G1309" s="449"/>
      <c r="H1309" s="449"/>
      <c r="I1309" s="1815"/>
      <c r="J1309" s="1815"/>
      <c r="K1309" s="449"/>
      <c r="L1309" s="1908"/>
      <c r="M1309" s="1908"/>
      <c r="N1309" s="1908"/>
      <c r="O1309" s="1940" t="s">
        <v>2065</v>
      </c>
    </row>
    <row r="1310" spans="1:31" ht="12" customHeight="1">
      <c r="A1310" s="1940"/>
      <c r="B1310" s="1908" t="s">
        <v>1694</v>
      </c>
      <c r="C1310" s="449" t="s">
        <v>145</v>
      </c>
      <c r="E1310" s="449"/>
      <c r="F1310" s="449"/>
      <c r="G1310" s="449"/>
      <c r="H1310" s="449"/>
      <c r="I1310" s="1815"/>
      <c r="J1310" s="1815"/>
      <c r="K1310" s="449"/>
      <c r="L1310" s="1908"/>
      <c r="M1310" s="1908"/>
      <c r="O1310" s="1940" t="s">
        <v>1694</v>
      </c>
      <c r="P1310" s="1229" t="str">
        <f>'Part VIII-Threshold Criteria'!P140</f>
        <v>No</v>
      </c>
      <c r="Q1310" s="1229"/>
    </row>
    <row r="1311" spans="1:31" ht="12" customHeight="1">
      <c r="A1311" s="1940"/>
      <c r="B1311" s="1908" t="s">
        <v>1695</v>
      </c>
      <c r="C1311" s="449" t="s">
        <v>1235</v>
      </c>
      <c r="E1311" s="449"/>
      <c r="F1311" s="449"/>
      <c r="G1311" s="449"/>
      <c r="H1311" s="1815"/>
      <c r="I1311" s="1815"/>
      <c r="J1311" s="1815"/>
      <c r="K1311" s="449"/>
      <c r="L1311" s="1908"/>
      <c r="M1311" s="1908"/>
      <c r="O1311" s="1940" t="s">
        <v>1695</v>
      </c>
      <c r="P1311" s="1229" t="str">
        <f>'Part VIII-Threshold Criteria'!P141</f>
        <v>No</v>
      </c>
      <c r="Q1311" s="1229"/>
    </row>
    <row r="1312" spans="1:31" ht="12" customHeight="1">
      <c r="A1312" s="1940"/>
      <c r="B1312" s="1908"/>
      <c r="C1312" s="449" t="s">
        <v>2562</v>
      </c>
      <c r="E1312" s="1940" t="s">
        <v>2372</v>
      </c>
      <c r="F1312" s="449" t="s">
        <v>2563</v>
      </c>
      <c r="G1312" s="1815"/>
      <c r="H1312" s="449"/>
      <c r="I1312" s="1815"/>
      <c r="J1312" s="1815"/>
      <c r="K1312" s="449"/>
      <c r="L1312" s="1908"/>
      <c r="M1312" s="1908"/>
      <c r="O1312" s="1940" t="s">
        <v>2372</v>
      </c>
      <c r="P1312" s="2138">
        <f>'Part VIII-Threshold Criteria'!P142</f>
        <v>0</v>
      </c>
      <c r="Q1312" s="2138"/>
    </row>
    <row r="1313" spans="1:17" ht="12" customHeight="1">
      <c r="A1313" s="1940"/>
      <c r="B1313" s="1908"/>
      <c r="E1313" s="1940" t="s">
        <v>2373</v>
      </c>
      <c r="F1313" s="449" t="s">
        <v>2564</v>
      </c>
      <c r="G1313" s="1815"/>
      <c r="H1313" s="449"/>
      <c r="I1313" s="1815"/>
      <c r="J1313" s="1815"/>
      <c r="K1313" s="449"/>
      <c r="L1313" s="1908"/>
      <c r="M1313" s="1908"/>
      <c r="O1313" s="1940" t="s">
        <v>2373</v>
      </c>
      <c r="P1313" s="1229">
        <f>'Part VIII-Threshold Criteria'!P143</f>
        <v>0</v>
      </c>
      <c r="Q1313" s="1229"/>
    </row>
    <row r="1314" spans="1:17" ht="12" customHeight="1">
      <c r="A1314" s="1940"/>
      <c r="B1314" s="1908"/>
      <c r="E1314" s="1940" t="s">
        <v>2374</v>
      </c>
      <c r="F1314" s="449" t="s">
        <v>2565</v>
      </c>
      <c r="G1314" s="1815"/>
      <c r="H1314" s="449"/>
      <c r="I1314" s="1815"/>
      <c r="J1314" s="1815"/>
      <c r="K1314" s="449"/>
      <c r="L1314" s="1908"/>
      <c r="M1314" s="1908"/>
      <c r="O1314" s="1940" t="s">
        <v>2374</v>
      </c>
      <c r="P1314" s="1229">
        <f>'Part VIII-Threshold Criteria'!P144</f>
        <v>0</v>
      </c>
      <c r="Q1314" s="1229"/>
    </row>
    <row r="1315" spans="1:17" ht="12" customHeight="1">
      <c r="A1315" s="1940"/>
      <c r="B1315" s="1908" t="s">
        <v>1696</v>
      </c>
      <c r="C1315" s="449" t="s">
        <v>1236</v>
      </c>
      <c r="E1315" s="449"/>
      <c r="F1315" s="449"/>
      <c r="G1315" s="449"/>
      <c r="H1315" s="449"/>
      <c r="I1315" s="1815"/>
      <c r="J1315" s="1815"/>
      <c r="K1315" s="449"/>
      <c r="L1315" s="1908"/>
      <c r="M1315" s="1908"/>
      <c r="O1315" s="1940" t="s">
        <v>1696</v>
      </c>
      <c r="P1315" s="1229" t="str">
        <f>'Part VIII-Threshold Criteria'!P145</f>
        <v>No</v>
      </c>
      <c r="Q1315" s="1229"/>
    </row>
    <row r="1316" spans="1:17" ht="12" customHeight="1">
      <c r="A1316" s="1940"/>
      <c r="B1316" s="1940"/>
      <c r="C1316" s="449" t="s">
        <v>2562</v>
      </c>
      <c r="E1316" s="1940" t="s">
        <v>2372</v>
      </c>
      <c r="F1316" s="449" t="s">
        <v>2566</v>
      </c>
      <c r="G1316" s="1815"/>
      <c r="H1316" s="449"/>
      <c r="I1316" s="1815"/>
      <c r="J1316" s="1815"/>
      <c r="K1316" s="449"/>
      <c r="L1316" s="1908"/>
      <c r="O1316" s="1940" t="s">
        <v>2372</v>
      </c>
      <c r="P1316" s="2138">
        <f>'Part VIII-Threshold Criteria'!P146</f>
        <v>0</v>
      </c>
      <c r="Q1316" s="2138"/>
    </row>
    <row r="1317" spans="1:17" ht="12" customHeight="1">
      <c r="A1317" s="1940"/>
      <c r="B1317" s="1940"/>
      <c r="E1317" s="1940" t="s">
        <v>2373</v>
      </c>
      <c r="F1317" s="449" t="s">
        <v>2567</v>
      </c>
      <c r="G1317" s="1815"/>
      <c r="H1317" s="449"/>
      <c r="I1317" s="1815"/>
      <c r="J1317" s="1815"/>
      <c r="O1317" s="1940" t="s">
        <v>2373</v>
      </c>
      <c r="P1317" s="1229">
        <f>'Part VIII-Threshold Criteria'!P147</f>
        <v>0</v>
      </c>
      <c r="Q1317" s="1229"/>
    </row>
    <row r="1318" spans="1:17" ht="12" customHeight="1">
      <c r="A1318" s="1940"/>
      <c r="B1318" s="1940"/>
      <c r="E1318" s="1940" t="s">
        <v>2374</v>
      </c>
      <c r="F1318" s="449" t="s">
        <v>2565</v>
      </c>
      <c r="G1318" s="1815"/>
      <c r="H1318" s="449"/>
      <c r="I1318" s="1815"/>
      <c r="J1318" s="1815"/>
      <c r="O1318" s="1940" t="s">
        <v>2374</v>
      </c>
      <c r="P1318" s="1229">
        <f>'Part VIII-Threshold Criteria'!P148</f>
        <v>0</v>
      </c>
      <c r="Q1318" s="1229"/>
    </row>
    <row r="1319" spans="1:17" ht="12" customHeight="1">
      <c r="A1319" s="1940" t="s">
        <v>1692</v>
      </c>
      <c r="B1319" s="1908" t="s">
        <v>2352</v>
      </c>
      <c r="D1319" s="449"/>
      <c r="E1319" s="449"/>
      <c r="F1319" s="449"/>
      <c r="G1319" s="449"/>
      <c r="H1319" s="449"/>
      <c r="I1319" s="1815"/>
      <c r="J1319" s="1815"/>
      <c r="K1319" s="449"/>
      <c r="L1319" s="1908"/>
      <c r="M1319" s="1908"/>
      <c r="N1319" s="1908"/>
      <c r="O1319" s="1908"/>
      <c r="P1319" s="1908"/>
      <c r="Q1319" s="1908"/>
    </row>
    <row r="1320" spans="1:17" ht="12" customHeight="1">
      <c r="B1320" s="1908" t="s">
        <v>1694</v>
      </c>
      <c r="C1320" s="449" t="s">
        <v>2430</v>
      </c>
      <c r="E1320" s="449"/>
      <c r="F1320" s="1229" t="str">
        <f>'Part VIII-Threshold Criteria'!F150</f>
        <v>Yes</v>
      </c>
      <c r="G1320" s="1229"/>
      <c r="H1320" s="1940" t="s">
        <v>4405</v>
      </c>
      <c r="I1320" s="1945" t="s">
        <v>2569</v>
      </c>
      <c r="L1320" s="1229" t="str">
        <f>'Part VIII-Threshold Criteria'!L150</f>
        <v>No</v>
      </c>
      <c r="M1320" s="1229"/>
      <c r="N1320" s="1940" t="s">
        <v>4409</v>
      </c>
      <c r="O1320" s="449" t="s">
        <v>1519</v>
      </c>
      <c r="P1320" s="1229" t="str">
        <f>'Part VIII-Threshold Criteria'!P150</f>
        <v>No</v>
      </c>
      <c r="Q1320" s="1229"/>
    </row>
    <row r="1321" spans="1:17" ht="12" customHeight="1">
      <c r="A1321" s="449"/>
      <c r="B1321" s="1908" t="s">
        <v>1695</v>
      </c>
      <c r="C1321" s="449" t="s">
        <v>2710</v>
      </c>
      <c r="E1321" s="449"/>
      <c r="F1321" s="1229" t="str">
        <f>'Part VIII-Threshold Criteria'!F151</f>
        <v>No</v>
      </c>
      <c r="G1321" s="1229"/>
      <c r="H1321" s="1940" t="s">
        <v>4406</v>
      </c>
      <c r="I1321" s="1945" t="s">
        <v>2570</v>
      </c>
      <c r="L1321" s="1229" t="str">
        <f>'Part VIII-Threshold Criteria'!L151</f>
        <v>No</v>
      </c>
      <c r="M1321" s="1229"/>
      <c r="N1321" s="1940" t="s">
        <v>4410</v>
      </c>
      <c r="O1321" s="449" t="s">
        <v>1518</v>
      </c>
      <c r="P1321" s="1229" t="str">
        <f>'Part VIII-Threshold Criteria'!P151</f>
        <v>No</v>
      </c>
      <c r="Q1321" s="1229"/>
    </row>
    <row r="1322" spans="1:17" ht="12" customHeight="1">
      <c r="A1322" s="449"/>
      <c r="B1322" s="1908" t="s">
        <v>1696</v>
      </c>
      <c r="C1322" s="449" t="s">
        <v>2568</v>
      </c>
      <c r="E1322" s="449"/>
      <c r="F1322" s="1229" t="str">
        <f>'Part VIII-Threshold Criteria'!F152</f>
        <v>No</v>
      </c>
      <c r="G1322" s="1229"/>
      <c r="H1322" s="1940" t="s">
        <v>4407</v>
      </c>
      <c r="I1322" s="1945" t="s">
        <v>3630</v>
      </c>
      <c r="L1322" s="1229" t="str">
        <f>'Part VIII-Threshold Criteria'!L152</f>
        <v>No</v>
      </c>
      <c r="M1322" s="1229"/>
      <c r="N1322" s="1940" t="s">
        <v>4411</v>
      </c>
      <c r="O1322" s="449" t="s">
        <v>1520</v>
      </c>
      <c r="P1322" s="1229" t="str">
        <f>'Part VIII-Threshold Criteria'!P152</f>
        <v>No</v>
      </c>
      <c r="Q1322" s="1229"/>
    </row>
    <row r="1323" spans="1:17" ht="12" customHeight="1">
      <c r="A1323" s="449"/>
      <c r="B1323" s="1908" t="s">
        <v>2305</v>
      </c>
      <c r="C1323" s="449" t="s">
        <v>2712</v>
      </c>
      <c r="E1323" s="449"/>
      <c r="F1323" s="1229" t="str">
        <f>'Part VIII-Threshold Criteria'!F153</f>
        <v>No</v>
      </c>
      <c r="G1323" s="1229"/>
      <c r="H1323" s="1940" t="s">
        <v>4408</v>
      </c>
      <c r="I1323" s="449" t="s">
        <v>2709</v>
      </c>
      <c r="L1323" s="1229" t="str">
        <f>'Part VIII-Threshold Criteria'!L153</f>
        <v>Yes</v>
      </c>
      <c r="M1323" s="1229"/>
      <c r="O1323" s="1940"/>
    </row>
    <row r="1324" spans="1:17" ht="12" customHeight="1">
      <c r="A1324" s="449"/>
      <c r="B1324" s="1908" t="s">
        <v>2792</v>
      </c>
      <c r="C1324" s="449" t="s">
        <v>2711</v>
      </c>
      <c r="E1324" s="449"/>
      <c r="F1324" s="449"/>
      <c r="G1324" s="449"/>
      <c r="H1324" s="449"/>
      <c r="I1324" s="449"/>
      <c r="J1324" s="449"/>
      <c r="K1324" s="449"/>
      <c r="L1324" s="449"/>
      <c r="M1324" s="449"/>
      <c r="O1324" s="1940"/>
      <c r="P1324" s="1940"/>
    </row>
    <row r="1325" spans="1:17" ht="12" customHeight="1">
      <c r="A1325" s="449"/>
      <c r="C1325" s="449">
        <f>'Part VIII-Threshold Criteria'!C155</f>
        <v>0</v>
      </c>
      <c r="D1325" s="449"/>
      <c r="E1325" s="449"/>
      <c r="F1325" s="449"/>
      <c r="G1325" s="449"/>
      <c r="H1325" s="449"/>
      <c r="I1325" s="449"/>
      <c r="J1325" s="449"/>
      <c r="K1325" s="449"/>
      <c r="L1325" s="449"/>
      <c r="M1325" s="449"/>
      <c r="N1325" s="449"/>
      <c r="O1325" s="449"/>
      <c r="P1325" s="449"/>
      <c r="Q1325" s="449"/>
    </row>
    <row r="1326" spans="1:17" ht="12" customHeight="1">
      <c r="A1326" s="1940" t="s">
        <v>1693</v>
      </c>
      <c r="B1326" s="449" t="s">
        <v>3436</v>
      </c>
      <c r="D1326" s="449"/>
      <c r="E1326" s="449"/>
      <c r="F1326" s="449"/>
      <c r="G1326" s="449"/>
      <c r="H1326" s="449"/>
      <c r="I1326" s="1815"/>
      <c r="J1326" s="1815"/>
      <c r="K1326" s="449"/>
      <c r="L1326" s="449"/>
      <c r="M1326" s="1908"/>
    </row>
    <row r="1327" spans="1:17" ht="12" customHeight="1">
      <c r="A1327" s="1815"/>
      <c r="B1327" s="1908" t="s">
        <v>1694</v>
      </c>
      <c r="C1327" s="449" t="s">
        <v>2713</v>
      </c>
      <c r="E1327" s="449"/>
      <c r="F1327" s="449"/>
      <c r="G1327" s="449"/>
      <c r="H1327" s="449"/>
      <c r="O1327" s="1940" t="s">
        <v>1694</v>
      </c>
      <c r="P1327" s="1229">
        <f>'Part VIII-Threshold Criteria'!P157</f>
        <v>0</v>
      </c>
      <c r="Q1327" s="1229"/>
    </row>
    <row r="1328" spans="1:17" ht="12" customHeight="1">
      <c r="A1328" s="1229"/>
      <c r="B1328" s="1908" t="s">
        <v>1695</v>
      </c>
      <c r="C1328" s="449" t="s">
        <v>480</v>
      </c>
      <c r="E1328" s="449"/>
      <c r="F1328" s="449"/>
      <c r="G1328" s="449"/>
      <c r="H1328" s="449"/>
      <c r="I1328" s="1815"/>
      <c r="J1328" s="1815"/>
      <c r="K1328" s="449"/>
      <c r="L1328" s="449"/>
      <c r="M1328" s="449"/>
      <c r="O1328" s="1940" t="s">
        <v>1695</v>
      </c>
      <c r="P1328" s="1229">
        <f>'Part VIII-Threshold Criteria'!P158</f>
        <v>0</v>
      </c>
      <c r="Q1328" s="1229"/>
    </row>
    <row r="1329" spans="1:31" ht="12" customHeight="1">
      <c r="A1329" s="1229"/>
      <c r="B1329" s="1908" t="s">
        <v>1696</v>
      </c>
      <c r="C1329" s="449" t="s">
        <v>663</v>
      </c>
      <c r="E1329" s="449"/>
      <c r="F1329" s="449"/>
      <c r="G1329" s="449"/>
      <c r="H1329" s="449"/>
      <c r="I1329" s="1815"/>
      <c r="J1329" s="1815"/>
      <c r="K1329" s="449"/>
      <c r="L1329" s="449"/>
      <c r="M1329" s="449"/>
      <c r="O1329" s="1940" t="s">
        <v>1696</v>
      </c>
      <c r="P1329" s="1229">
        <f>'Part VIII-Threshold Criteria'!P159</f>
        <v>0</v>
      </c>
      <c r="Q1329" s="1229"/>
    </row>
    <row r="1330" spans="1:31" ht="12" customHeight="1">
      <c r="A1330" s="1229"/>
      <c r="B1330" s="1908" t="s">
        <v>2305</v>
      </c>
      <c r="C1330" s="449" t="s">
        <v>4391</v>
      </c>
      <c r="E1330" s="449"/>
      <c r="F1330" s="449"/>
      <c r="G1330" s="449"/>
      <c r="H1330" s="449"/>
      <c r="I1330" s="1815"/>
      <c r="J1330" s="1815"/>
      <c r="K1330" s="449"/>
      <c r="L1330" s="449"/>
      <c r="M1330" s="449"/>
      <c r="O1330" s="1940" t="s">
        <v>2305</v>
      </c>
      <c r="P1330" s="1229">
        <f>'Part VIII-Threshold Criteria'!P160</f>
        <v>0</v>
      </c>
      <c r="Q1330" s="1229"/>
    </row>
    <row r="1331" spans="1:31" ht="12" customHeight="1">
      <c r="A1331" s="1945" t="s">
        <v>4560</v>
      </c>
      <c r="C1331" s="449"/>
      <c r="D1331" s="449"/>
      <c r="E1331" s="449"/>
      <c r="F1331" s="449"/>
      <c r="G1331" s="449"/>
      <c r="H1331" s="449"/>
      <c r="I1331" s="1815"/>
      <c r="J1331" s="1815"/>
      <c r="K1331" s="449"/>
      <c r="L1331" s="449"/>
      <c r="M1331" s="1908"/>
      <c r="N1331" s="1908"/>
      <c r="O1331" s="1908"/>
      <c r="P1331" s="1908"/>
      <c r="Q1331" s="1908"/>
      <c r="R1331" s="1908"/>
    </row>
    <row r="1332" spans="1:31" s="1815" customFormat="1" ht="23.4" customHeight="1">
      <c r="A1332" s="1940" t="s">
        <v>1900</v>
      </c>
      <c r="B1332" s="1936" t="s">
        <v>6930</v>
      </c>
      <c r="C1332" s="1936"/>
      <c r="D1332" s="1936"/>
      <c r="E1332" s="1936"/>
      <c r="F1332" s="1936"/>
      <c r="G1332" s="1936"/>
      <c r="H1332" s="1936"/>
      <c r="I1332" s="1936"/>
      <c r="J1332" s="1936"/>
      <c r="K1332" s="1936"/>
      <c r="L1332" s="1936"/>
      <c r="M1332" s="1940" t="s">
        <v>1900</v>
      </c>
      <c r="N1332" s="1936" t="str">
        <f>'Part VIII-Threshold Criteria'!N162</f>
        <v>&lt;&lt;Select&gt;&gt;</v>
      </c>
      <c r="O1332" s="1936"/>
      <c r="P1332" s="1936" t="s">
        <v>1727</v>
      </c>
      <c r="Q1332" s="1936"/>
    </row>
    <row r="1333" spans="1:31" ht="11.25" customHeight="1">
      <c r="B1333" s="1908" t="s">
        <v>3565</v>
      </c>
      <c r="D1333" s="1908"/>
      <c r="E1333" s="1908"/>
      <c r="F1333" s="1908"/>
      <c r="G1333" s="1908"/>
      <c r="H1333" s="1908"/>
      <c r="I1333" s="1229"/>
      <c r="J1333" s="1229"/>
      <c r="K1333" s="1229"/>
      <c r="L1333" s="1732"/>
      <c r="M1333" s="1732"/>
      <c r="N1333" s="1732"/>
      <c r="O1333" s="1732"/>
      <c r="P1333" s="1732"/>
      <c r="Q1333" s="1732"/>
    </row>
    <row r="1334" spans="1:31" ht="45" customHeight="1">
      <c r="A1334" s="1936" t="str">
        <f>'Part VIII-Threshold Criteria'!A164</f>
        <v xml:space="preserve">Applicant has met Threshold by providing a Phase I Environmental Report that adheres to all requriements in the 2020 Environmental Manual.  There are no floodplains, streams, wetlands or recognized environmental conditions (RECs) on this site. There are asbestos containing materials on the residential structure that is  located on the subject property.  Applicant will properly abate the asbestos containing material. 
There were levels of lead measured on coated components throughout the three structures on the site but at levels below that would deem the coating lead based paint. There is also lead present in the soil at the site, but all concentrations exhibited are below EPD's notification concentration, except the soil around the main house. This soil around the main house will be abated.  
Refer to Phase I for further explanation in Tab 07. </v>
      </c>
      <c r="B1334" s="1936"/>
      <c r="C1334" s="1936"/>
      <c r="D1334" s="1936"/>
      <c r="E1334" s="1936"/>
      <c r="F1334" s="1936"/>
      <c r="G1334" s="1936"/>
      <c r="H1334" s="1936"/>
      <c r="I1334" s="1936"/>
      <c r="J1334" s="1936"/>
      <c r="K1334" s="1936"/>
      <c r="L1334" s="1936"/>
      <c r="M1334" s="1936"/>
      <c r="N1334" s="1936"/>
      <c r="O1334" s="1936"/>
      <c r="P1334" s="1936"/>
      <c r="Q1334" s="1936"/>
      <c r="R1334" s="1973" t="s">
        <v>1228</v>
      </c>
      <c r="S1334" s="1973"/>
      <c r="U1334" s="1897"/>
      <c r="V1334" s="1897"/>
      <c r="W1334" s="1897"/>
      <c r="X1334" s="1897"/>
      <c r="Y1334" s="1897"/>
      <c r="Z1334" s="1897"/>
      <c r="AA1334" s="1897"/>
      <c r="AB1334" s="1897"/>
      <c r="AC1334" s="1897"/>
      <c r="AD1334" s="1897"/>
      <c r="AE1334" s="1897"/>
    </row>
    <row r="1335" spans="1:31" ht="3" customHeight="1">
      <c r="R1335" s="1973"/>
      <c r="S1335" s="1973"/>
    </row>
    <row r="1336" spans="1:31" ht="11.25" customHeight="1">
      <c r="B1336" s="1936" t="s">
        <v>1820</v>
      </c>
      <c r="C1336" s="1936"/>
      <c r="D1336" s="1939"/>
      <c r="E1336" s="1939"/>
      <c r="F1336" s="1939"/>
      <c r="G1336" s="1939"/>
      <c r="H1336" s="1939"/>
      <c r="I1336" s="1939"/>
      <c r="J1336" s="1939"/>
      <c r="K1336" s="1939"/>
      <c r="L1336" s="1939"/>
      <c r="M1336" s="1939"/>
      <c r="N1336" s="1939"/>
      <c r="O1336" s="1939"/>
      <c r="P1336" s="1939"/>
      <c r="Q1336" s="1939"/>
    </row>
    <row r="1337" spans="1:31" ht="45" customHeight="1">
      <c r="A1337" s="1936"/>
      <c r="B1337" s="1936"/>
      <c r="C1337" s="1936"/>
      <c r="D1337" s="1936"/>
      <c r="E1337" s="1936"/>
      <c r="F1337" s="1936"/>
      <c r="G1337" s="1936"/>
      <c r="H1337" s="1936"/>
      <c r="I1337" s="1936"/>
      <c r="J1337" s="1936"/>
      <c r="K1337" s="1936"/>
      <c r="L1337" s="1936"/>
      <c r="M1337" s="1936"/>
      <c r="N1337" s="1936"/>
      <c r="O1337" s="1936"/>
      <c r="P1337" s="1936"/>
      <c r="Q1337" s="1936"/>
    </row>
    <row r="1338" spans="1:31" ht="3" customHeight="1">
      <c r="A1338" s="1732"/>
      <c r="B1338" s="1229"/>
      <c r="C1338" s="1939"/>
      <c r="D1338" s="1939"/>
      <c r="E1338" s="1939"/>
      <c r="F1338" s="1939"/>
      <c r="G1338" s="1939"/>
      <c r="H1338" s="1939"/>
      <c r="I1338" s="1939"/>
      <c r="J1338" s="1939"/>
      <c r="K1338" s="1939"/>
      <c r="L1338" s="1939"/>
      <c r="M1338" s="1939"/>
      <c r="N1338" s="1939"/>
      <c r="O1338" s="1939"/>
      <c r="P1338" s="1939"/>
      <c r="Q1338" s="1732"/>
    </row>
    <row r="1339" spans="1:31" ht="14.1" customHeight="1">
      <c r="A1339" s="1922" t="s">
        <v>287</v>
      </c>
      <c r="B1339" s="1922" t="s">
        <v>2583</v>
      </c>
      <c r="C1339" s="1922"/>
      <c r="D1339" s="1939"/>
      <c r="E1339" s="1939"/>
      <c r="F1339" s="1939"/>
      <c r="G1339" s="1939"/>
      <c r="H1339" s="1939"/>
      <c r="I1339" s="1939"/>
      <c r="J1339" s="1939"/>
      <c r="K1339" s="1939"/>
      <c r="O1339" s="1942" t="s">
        <v>1821</v>
      </c>
      <c r="P1339" s="1897"/>
      <c r="Q1339" s="1897"/>
    </row>
    <row r="1340" spans="1:31" ht="12" customHeight="1">
      <c r="A1340" s="1940" t="s">
        <v>1936</v>
      </c>
      <c r="B1340" s="1908" t="s">
        <v>1694</v>
      </c>
      <c r="C1340" s="449" t="s">
        <v>6872</v>
      </c>
      <c r="D1340" s="449"/>
      <c r="E1340" s="449"/>
      <c r="F1340" s="449"/>
      <c r="G1340" s="449"/>
      <c r="K1340" s="449" t="s">
        <v>2627</v>
      </c>
      <c r="M1340" s="2227">
        <f>'Part VIII-Threshold Criteria'!M170</f>
        <v>44408</v>
      </c>
      <c r="N1340" s="2227"/>
      <c r="O1340" s="1940" t="s">
        <v>1694</v>
      </c>
      <c r="P1340" s="1229" t="str">
        <f>'Part VIII-Threshold Criteria'!P170</f>
        <v>Yes</v>
      </c>
      <c r="Q1340" s="1229"/>
    </row>
    <row r="1341" spans="1:31" ht="12" customHeight="1">
      <c r="A1341" s="1940"/>
      <c r="B1341" s="1908" t="s">
        <v>1695</v>
      </c>
      <c r="C1341" s="449" t="s">
        <v>6873</v>
      </c>
      <c r="D1341" s="449"/>
      <c r="E1341" s="449"/>
      <c r="F1341" s="449"/>
      <c r="G1341" s="449"/>
      <c r="K1341" s="449" t="s">
        <v>2627</v>
      </c>
      <c r="M1341" s="2227">
        <f>'Part VIII-Threshold Criteria'!M171</f>
        <v>0</v>
      </c>
      <c r="N1341" s="2227"/>
      <c r="O1341" s="1940" t="s">
        <v>1695</v>
      </c>
      <c r="P1341" s="1229">
        <f>'Part VIII-Threshold Criteria'!P171</f>
        <v>0</v>
      </c>
      <c r="Q1341" s="1229"/>
    </row>
    <row r="1342" spans="1:31" ht="12" customHeight="1">
      <c r="A1342" s="1940" t="s">
        <v>1938</v>
      </c>
      <c r="B1342" s="1936" t="s">
        <v>146</v>
      </c>
      <c r="D1342" s="1936"/>
      <c r="E1342" s="1936"/>
      <c r="F1342" s="1936" t="str">
        <f>IF(N1342="Ground lease/Option","Ground lease/Option:","")</f>
        <v/>
      </c>
      <c r="H1342" s="1945" t="str">
        <f>IF(N1342="Ground lease/Option","Annual Pymt:","")</f>
        <v/>
      </c>
      <c r="I1342" s="1925" t="str">
        <f>IF(N1342="Ground lease/Option",'Part VI-Revenues &amp; Expenses'!$K$250,"")</f>
        <v/>
      </c>
      <c r="K1342" s="1943" t="str">
        <f>IF(N1342="Ground lease/Option","Term:","")</f>
        <v/>
      </c>
      <c r="L1342" s="1944" t="str">
        <f>IF(N1342="Ground lease/Option",'Part VI-Revenues &amp; Expenses'!$N$250,"")</f>
        <v/>
      </c>
      <c r="M1342" s="1940" t="s">
        <v>1938</v>
      </c>
      <c r="N1342" s="1945" t="str">
        <f>'Part VIII-Threshold Criteria'!N172</f>
        <v>Purchase Contract</v>
      </c>
      <c r="O1342" s="1945"/>
      <c r="P1342" s="1945" t="s">
        <v>1727</v>
      </c>
      <c r="Q1342" s="1945"/>
    </row>
    <row r="1343" spans="1:31" ht="12" customHeight="1">
      <c r="A1343" s="1940" t="s">
        <v>731</v>
      </c>
      <c r="B1343" s="1936" t="s">
        <v>664</v>
      </c>
      <c r="D1343" s="1936"/>
      <c r="E1343" s="1936"/>
      <c r="F1343" s="1936"/>
      <c r="G1343" s="1936"/>
      <c r="H1343" s="1936"/>
      <c r="J1343" s="1940" t="s">
        <v>731</v>
      </c>
      <c r="K1343" s="449" t="str">
        <f>'Part VIII-Threshold Criteria'!K173</f>
        <v>Harper Woods Apartments II, LP</v>
      </c>
      <c r="L1343" s="449"/>
      <c r="M1343" s="449"/>
      <c r="N1343" s="449"/>
      <c r="O1343" s="449"/>
      <c r="P1343" s="449"/>
      <c r="Q1343" s="1229"/>
    </row>
    <row r="1344" spans="1:31" ht="12" customHeight="1">
      <c r="B1344" s="1908" t="s">
        <v>3565</v>
      </c>
      <c r="D1344" s="1908"/>
      <c r="E1344" s="1908"/>
      <c r="F1344" s="1908"/>
      <c r="G1344" s="1908"/>
      <c r="H1344" s="1908"/>
      <c r="I1344" s="1229"/>
      <c r="J1344" s="1229"/>
      <c r="K1344" s="1229"/>
      <c r="L1344" s="1732"/>
      <c r="M1344" s="1732"/>
      <c r="N1344" s="1732"/>
      <c r="O1344" s="1732"/>
      <c r="P1344" s="1732"/>
      <c r="Q1344" s="1732"/>
    </row>
    <row r="1345" spans="1:31" ht="11.4" customHeight="1">
      <c r="A1345" s="1936" t="str">
        <f>'Part VIII-Threshold Criteria'!A175</f>
        <v xml:space="preserve">Applicant has met Threshold by providing site control for this project through July 31, 2021.     TAB 8 contains an Agreement of Purchase and Sale and warranty deed.  The  document is the Agreement of Purchase and Sale is between the developer and the applicant, Harper Woods Apartments II, LP.  The Agreement of Purchase and Sale  is included to show the actual site, acreage and land cost for the 2.934 acres.   The Agreement of Purchase and Sale has provisions for 1 thirty-day extensions giving it site control through July 31, 2021.  All documents described here are in TAB 8.  
The land cost for Phase 2 is $587,095 and is reflected in the Uses of Funds tab.  Because Harper Woods II is  part of a phased development, the Applicant has included the Purchase and Sales Agreement for the larger tract. TBG Development Services, Inc. has had site control over this larger tract since at least May 2019. The Agreement of Purchase and Sale for the orignial 11.63 acres before the land was subdivided can be found in TAB 36.   In TAB 44 there is a spreadsheet showing how the total land cost is broken out per phase. </v>
      </c>
      <c r="B1345" s="1936"/>
      <c r="C1345" s="1936"/>
      <c r="D1345" s="1936"/>
      <c r="E1345" s="1936"/>
      <c r="F1345" s="1936"/>
      <c r="G1345" s="1936"/>
      <c r="H1345" s="1936"/>
      <c r="I1345" s="1936"/>
      <c r="J1345" s="1936"/>
      <c r="K1345" s="1936"/>
      <c r="L1345" s="1936"/>
      <c r="M1345" s="1936"/>
      <c r="N1345" s="1936"/>
      <c r="O1345" s="1936"/>
      <c r="P1345" s="1936"/>
      <c r="Q1345" s="1936"/>
      <c r="U1345" s="1897"/>
      <c r="V1345" s="1897"/>
      <c r="W1345" s="1897"/>
      <c r="X1345" s="1897"/>
      <c r="Y1345" s="1897"/>
      <c r="Z1345" s="1897"/>
      <c r="AA1345" s="1897"/>
      <c r="AB1345" s="1897"/>
      <c r="AC1345" s="1897"/>
      <c r="AD1345" s="1897"/>
      <c r="AE1345" s="1897"/>
    </row>
    <row r="1346" spans="1:31" ht="12" customHeight="1">
      <c r="B1346" s="1936" t="s">
        <v>1820</v>
      </c>
      <c r="C1346" s="1936"/>
      <c r="D1346" s="1939"/>
      <c r="E1346" s="1939"/>
      <c r="F1346" s="1939"/>
      <c r="G1346" s="1939"/>
      <c r="H1346" s="1939"/>
      <c r="I1346" s="1939"/>
      <c r="J1346" s="1939"/>
      <c r="K1346" s="1939"/>
      <c r="L1346" s="1939"/>
      <c r="M1346" s="1939"/>
      <c r="N1346" s="1939"/>
      <c r="O1346" s="1939"/>
      <c r="P1346" s="1939"/>
      <c r="Q1346" s="1939"/>
    </row>
    <row r="1347" spans="1:31" ht="11.4" customHeight="1">
      <c r="A1347" s="1936"/>
      <c r="B1347" s="1936"/>
      <c r="C1347" s="1936"/>
      <c r="D1347" s="1936"/>
      <c r="E1347" s="1936"/>
      <c r="F1347" s="1936"/>
      <c r="G1347" s="1936"/>
      <c r="H1347" s="1936"/>
      <c r="I1347" s="1936"/>
      <c r="J1347" s="1936"/>
      <c r="K1347" s="1936"/>
      <c r="L1347" s="1936"/>
      <c r="M1347" s="1936"/>
      <c r="N1347" s="1936"/>
      <c r="O1347" s="1936"/>
      <c r="P1347" s="1936"/>
      <c r="Q1347" s="1936"/>
    </row>
    <row r="1348" spans="1:31" ht="3" customHeight="1">
      <c r="A1348" s="1732"/>
      <c r="B1348" s="1229"/>
      <c r="C1348" s="1939"/>
      <c r="D1348" s="1939"/>
      <c r="E1348" s="1939"/>
      <c r="F1348" s="1939"/>
      <c r="G1348" s="1939"/>
      <c r="H1348" s="1939"/>
      <c r="I1348" s="1939"/>
      <c r="J1348" s="1939"/>
      <c r="K1348" s="1939"/>
      <c r="L1348" s="1939"/>
      <c r="M1348" s="1939"/>
      <c r="Q1348" s="1732"/>
    </row>
    <row r="1349" spans="1:31" ht="14.1" customHeight="1">
      <c r="A1349" s="1922" t="s">
        <v>418</v>
      </c>
      <c r="B1349" s="1922" t="s">
        <v>2584</v>
      </c>
      <c r="C1349" s="1922"/>
      <c r="D1349" s="1939"/>
      <c r="E1349" s="1939"/>
      <c r="F1349" s="1939"/>
      <c r="G1349" s="1939"/>
      <c r="H1349" s="1939"/>
      <c r="I1349" s="1939"/>
      <c r="J1349" s="1939"/>
      <c r="K1349" s="1939"/>
      <c r="L1349" s="1939"/>
      <c r="M1349" s="1939"/>
      <c r="O1349" s="1942" t="s">
        <v>1821</v>
      </c>
      <c r="P1349" s="1897"/>
      <c r="Q1349" s="1897"/>
    </row>
    <row r="1350" spans="1:31" ht="21.75" customHeight="1">
      <c r="A1350" s="1942" t="s">
        <v>1936</v>
      </c>
      <c r="B1350" s="1936" t="s">
        <v>3556</v>
      </c>
      <c r="C1350" s="1936"/>
      <c r="D1350" s="1936"/>
      <c r="E1350" s="1936"/>
      <c r="F1350" s="1936"/>
      <c r="G1350" s="1936"/>
      <c r="H1350" s="1936"/>
      <c r="I1350" s="1936"/>
      <c r="J1350" s="1936"/>
      <c r="K1350" s="1936"/>
      <c r="L1350" s="1936"/>
      <c r="M1350" s="1936"/>
      <c r="N1350" s="1936"/>
      <c r="O1350" s="1942" t="s">
        <v>1936</v>
      </c>
      <c r="P1350" s="1938" t="str">
        <f>'Part VIII-Threshold Criteria'!P180</f>
        <v>Yes</v>
      </c>
      <c r="Q1350" s="1938"/>
    </row>
    <row r="1351" spans="1:31" ht="22.35" customHeight="1">
      <c r="A1351" s="1942" t="s">
        <v>1938</v>
      </c>
      <c r="B1351" s="1936" t="s">
        <v>4260</v>
      </c>
      <c r="C1351" s="1936"/>
      <c r="D1351" s="1936"/>
      <c r="E1351" s="1936"/>
      <c r="F1351" s="1936"/>
      <c r="G1351" s="1936"/>
      <c r="H1351" s="1936"/>
      <c r="I1351" s="1936"/>
      <c r="J1351" s="1936"/>
      <c r="K1351" s="1936"/>
      <c r="L1351" s="1936"/>
      <c r="M1351" s="1936"/>
      <c r="N1351" s="1936"/>
      <c r="O1351" s="1942" t="s">
        <v>1938</v>
      </c>
      <c r="P1351" s="1938" t="str">
        <f>'Part VIII-Threshold Criteria'!P181</f>
        <v>N/Ap</v>
      </c>
      <c r="Q1351" s="1938"/>
    </row>
    <row r="1352" spans="1:31" ht="22.35" customHeight="1">
      <c r="A1352" s="1942" t="s">
        <v>731</v>
      </c>
      <c r="B1352" s="1936" t="s">
        <v>3557</v>
      </c>
      <c r="C1352" s="1936"/>
      <c r="D1352" s="1936"/>
      <c r="E1352" s="1936"/>
      <c r="F1352" s="1936"/>
      <c r="G1352" s="1936"/>
      <c r="H1352" s="1936"/>
      <c r="I1352" s="1936"/>
      <c r="J1352" s="1936"/>
      <c r="K1352" s="1936"/>
      <c r="L1352" s="1936"/>
      <c r="M1352" s="1936"/>
      <c r="N1352" s="1936"/>
      <c r="O1352" s="1942" t="s">
        <v>731</v>
      </c>
      <c r="P1352" s="1938" t="str">
        <f>'Part VIII-Threshold Criteria'!P182</f>
        <v>N/Ap</v>
      </c>
      <c r="Q1352" s="1938"/>
    </row>
    <row r="1353" spans="1:31" ht="21.75" customHeight="1">
      <c r="A1353" s="1942" t="s">
        <v>2065</v>
      </c>
      <c r="B1353" s="1936" t="s">
        <v>4352</v>
      </c>
      <c r="C1353" s="1936"/>
      <c r="D1353" s="1936"/>
      <c r="E1353" s="1936"/>
      <c r="F1353" s="1936"/>
      <c r="G1353" s="1936"/>
      <c r="H1353" s="1936"/>
      <c r="I1353" s="1936"/>
      <c r="J1353" s="1936"/>
      <c r="K1353" s="1936"/>
      <c r="L1353" s="1936"/>
      <c r="M1353" s="1936"/>
      <c r="N1353" s="1936"/>
      <c r="O1353" s="1942" t="s">
        <v>2065</v>
      </c>
      <c r="P1353" s="1938" t="str">
        <f>'Part VIII-Threshold Criteria'!P183</f>
        <v>N/Ap</v>
      </c>
      <c r="Q1353" s="1938"/>
    </row>
    <row r="1354" spans="1:31" ht="12" customHeight="1">
      <c r="B1354" s="1908" t="s">
        <v>3565</v>
      </c>
      <c r="D1354" s="1908"/>
      <c r="E1354" s="1908"/>
      <c r="F1354" s="1908"/>
      <c r="G1354" s="1908"/>
      <c r="H1354" s="1908"/>
      <c r="I1354" s="1229"/>
      <c r="J1354" s="1229"/>
      <c r="K1354" s="1229"/>
      <c r="L1354" s="1732"/>
      <c r="M1354" s="1732"/>
      <c r="N1354" s="1732"/>
      <c r="O1354" s="1732"/>
      <c r="P1354" s="1732"/>
      <c r="Q1354" s="1732"/>
    </row>
    <row r="1355" spans="1:31" ht="11.4" customHeight="1">
      <c r="A1355" s="1936" t="str">
        <f>'Part VIII-Threshold Criteria'!A185</f>
        <v xml:space="preserve">Applicant has met Threshold by specifying an entrance to the site  that is legally accessible by paved roads (Warm Springs Road).  See map in TAB 9. </v>
      </c>
      <c r="B1355" s="1936"/>
      <c r="C1355" s="1936"/>
      <c r="D1355" s="1936"/>
      <c r="E1355" s="1936"/>
      <c r="F1355" s="1936"/>
      <c r="G1355" s="1936"/>
      <c r="H1355" s="1936"/>
      <c r="I1355" s="1936"/>
      <c r="J1355" s="1936"/>
      <c r="K1355" s="1936"/>
      <c r="L1355" s="1936"/>
      <c r="M1355" s="1936"/>
      <c r="N1355" s="1936"/>
      <c r="O1355" s="1936"/>
      <c r="P1355" s="1936"/>
      <c r="Q1355" s="1936"/>
      <c r="U1355" s="1897"/>
      <c r="V1355" s="1897"/>
      <c r="W1355" s="1897"/>
      <c r="X1355" s="1897"/>
      <c r="Y1355" s="1897"/>
      <c r="Z1355" s="1897"/>
      <c r="AA1355" s="1897"/>
      <c r="AB1355" s="1897"/>
      <c r="AC1355" s="1897"/>
      <c r="AD1355" s="1897"/>
      <c r="AE1355" s="1897"/>
    </row>
    <row r="1356" spans="1:31" ht="12" customHeight="1">
      <c r="B1356" s="1936" t="s">
        <v>1820</v>
      </c>
      <c r="C1356" s="1936"/>
      <c r="D1356" s="1939"/>
      <c r="E1356" s="1939"/>
      <c r="F1356" s="1939"/>
      <c r="G1356" s="1939"/>
      <c r="H1356" s="1939"/>
      <c r="I1356" s="1939"/>
      <c r="J1356" s="1939"/>
      <c r="K1356" s="1939"/>
      <c r="L1356" s="1939"/>
      <c r="M1356" s="1939"/>
      <c r="N1356" s="1939"/>
      <c r="O1356" s="1939"/>
      <c r="P1356" s="1939"/>
      <c r="Q1356" s="1939"/>
    </row>
    <row r="1357" spans="1:31" ht="11.4" customHeight="1">
      <c r="A1357" s="1936"/>
      <c r="B1357" s="1936"/>
      <c r="C1357" s="1936"/>
      <c r="D1357" s="1936"/>
      <c r="E1357" s="1936"/>
      <c r="F1357" s="1936"/>
      <c r="G1357" s="1936"/>
      <c r="H1357" s="1936"/>
      <c r="I1357" s="1936"/>
      <c r="J1357" s="1936"/>
      <c r="K1357" s="1936"/>
      <c r="L1357" s="1936"/>
      <c r="M1357" s="1936"/>
      <c r="N1357" s="1936"/>
      <c r="O1357" s="1936"/>
      <c r="P1357" s="1936"/>
      <c r="Q1357" s="1936"/>
    </row>
    <row r="1358" spans="1:31" ht="3" customHeight="1">
      <c r="B1358" s="1229"/>
      <c r="C1358" s="1939"/>
      <c r="D1358" s="1939"/>
      <c r="E1358" s="1939"/>
      <c r="F1358" s="1939"/>
      <c r="G1358" s="1939"/>
      <c r="H1358" s="1939"/>
      <c r="I1358" s="1939"/>
      <c r="J1358" s="1939"/>
      <c r="K1358" s="1939"/>
      <c r="L1358" s="1939"/>
      <c r="M1358" s="1939"/>
      <c r="N1358" s="1939"/>
      <c r="O1358" s="1939"/>
      <c r="P1358" s="1939"/>
      <c r="Q1358" s="1732"/>
    </row>
    <row r="1359" spans="1:31" ht="14.1" customHeight="1">
      <c r="A1359" s="1913" t="s">
        <v>356</v>
      </c>
      <c r="B1359" s="1815" t="s">
        <v>2585</v>
      </c>
      <c r="C1359" s="1815"/>
      <c r="D1359" s="1815"/>
      <c r="O1359" s="1942" t="s">
        <v>1821</v>
      </c>
      <c r="P1359" s="1897"/>
      <c r="Q1359" s="1897"/>
    </row>
    <row r="1360" spans="1:31" ht="12" customHeight="1">
      <c r="A1360" s="1942" t="s">
        <v>1936</v>
      </c>
      <c r="B1360" s="1939" t="s">
        <v>459</v>
      </c>
      <c r="D1360" s="1939"/>
      <c r="E1360" s="1939"/>
      <c r="F1360" s="1939"/>
      <c r="G1360" s="1939"/>
      <c r="H1360" s="1939"/>
      <c r="I1360" s="1939"/>
      <c r="J1360" s="1939"/>
      <c r="K1360" s="1939"/>
      <c r="L1360" s="1939"/>
      <c r="M1360" s="1939"/>
      <c r="O1360" s="1942" t="s">
        <v>1936</v>
      </c>
      <c r="P1360" s="1229" t="str">
        <f>'Part VIII-Threshold Criteria'!P190</f>
        <v>Yes</v>
      </c>
      <c r="Q1360" s="1229"/>
    </row>
    <row r="1361" spans="1:31" ht="12" customHeight="1">
      <c r="A1361" s="1942" t="s">
        <v>1938</v>
      </c>
      <c r="B1361" s="1939" t="s">
        <v>2571</v>
      </c>
      <c r="D1361" s="1939"/>
      <c r="E1361" s="1939"/>
      <c r="F1361" s="1939"/>
      <c r="G1361" s="1939"/>
      <c r="H1361" s="1939"/>
      <c r="I1361" s="1939"/>
      <c r="J1361" s="1939"/>
      <c r="K1361" s="1939"/>
      <c r="L1361" s="1939"/>
      <c r="M1361" s="1939"/>
      <c r="O1361" s="1942" t="s">
        <v>1938</v>
      </c>
      <c r="P1361" s="1229" t="str">
        <f>'Part VIII-Threshold Criteria'!P191</f>
        <v>Yes</v>
      </c>
      <c r="Q1361" s="1229"/>
    </row>
    <row r="1362" spans="1:31" ht="12" customHeight="1">
      <c r="A1362" s="1942" t="s">
        <v>731</v>
      </c>
      <c r="B1362" s="1939" t="s">
        <v>2572</v>
      </c>
      <c r="D1362" s="1939"/>
      <c r="E1362" s="1939"/>
      <c r="F1362" s="1939"/>
      <c r="G1362" s="1939"/>
      <c r="H1362" s="1939"/>
      <c r="I1362" s="1939"/>
      <c r="J1362" s="1936" t="s">
        <v>4364</v>
      </c>
      <c r="L1362" s="1939"/>
      <c r="M1362" s="1939"/>
      <c r="O1362" s="1942" t="s">
        <v>731</v>
      </c>
      <c r="P1362" s="1229" t="str">
        <f>'Part VIII-Threshold Criteria'!P192</f>
        <v>Yes</v>
      </c>
      <c r="Q1362" s="1229"/>
    </row>
    <row r="1363" spans="1:31" ht="12" customHeight="1">
      <c r="B1363" s="1908" t="s">
        <v>1694</v>
      </c>
      <c r="C1363" s="1908" t="s">
        <v>2573</v>
      </c>
      <c r="G1363" s="1939"/>
      <c r="H1363" s="1939"/>
      <c r="J1363" s="1939"/>
      <c r="K1363" s="1939"/>
      <c r="L1363" s="1939"/>
      <c r="M1363" s="1939"/>
      <c r="O1363" s="1943" t="s">
        <v>1694</v>
      </c>
      <c r="P1363" s="1229" t="str">
        <f>'Part VIII-Threshold Criteria'!P193</f>
        <v>Yes</v>
      </c>
      <c r="Q1363" s="1229"/>
    </row>
    <row r="1364" spans="1:31" ht="12" customHeight="1">
      <c r="A1364" s="1936"/>
      <c r="B1364" s="1908" t="s">
        <v>1695</v>
      </c>
      <c r="C1364" s="1908" t="s">
        <v>6931</v>
      </c>
      <c r="G1364" s="1939"/>
      <c r="H1364" s="1939"/>
      <c r="I1364" s="1939"/>
      <c r="J1364" s="1939"/>
      <c r="K1364" s="1939"/>
      <c r="L1364" s="1939"/>
      <c r="M1364" s="1939"/>
      <c r="O1364" s="1943" t="s">
        <v>1695</v>
      </c>
      <c r="P1364" s="1229" t="str">
        <f>'Part VIII-Threshold Criteria'!P194</f>
        <v>Yes</v>
      </c>
      <c r="Q1364" s="1229"/>
    </row>
    <row r="1365" spans="1:31" s="1910" customFormat="1" ht="21.75" customHeight="1">
      <c r="A1365" s="1942"/>
      <c r="B1365" s="1939" t="s">
        <v>1696</v>
      </c>
      <c r="C1365" s="1936" t="s">
        <v>3558</v>
      </c>
      <c r="D1365" s="1936"/>
      <c r="E1365" s="1936"/>
      <c r="F1365" s="1936"/>
      <c r="G1365" s="1936"/>
      <c r="H1365" s="1936"/>
      <c r="I1365" s="1936"/>
      <c r="J1365" s="1936"/>
      <c r="K1365" s="1936"/>
      <c r="L1365" s="1936"/>
      <c r="M1365" s="1936"/>
      <c r="N1365" s="1936"/>
      <c r="O1365" s="1942" t="s">
        <v>1696</v>
      </c>
      <c r="P1365" s="1938" t="str">
        <f>'Part VIII-Threshold Criteria'!P195</f>
        <v>Yes</v>
      </c>
      <c r="Q1365" s="1938"/>
    </row>
    <row r="1366" spans="1:31" ht="12" customHeight="1">
      <c r="A1366" s="1942"/>
      <c r="B1366" s="1908" t="s">
        <v>2305</v>
      </c>
      <c r="C1366" s="1908" t="s">
        <v>2575</v>
      </c>
      <c r="G1366" s="1939"/>
      <c r="H1366" s="1939"/>
      <c r="I1366" s="1939"/>
      <c r="J1366" s="1939"/>
      <c r="K1366" s="1939"/>
      <c r="L1366" s="1939"/>
      <c r="M1366" s="1939"/>
      <c r="O1366" s="1943" t="s">
        <v>2305</v>
      </c>
      <c r="P1366" s="1229" t="str">
        <f>'Part VIII-Threshold Criteria'!P196</f>
        <v>Yes</v>
      </c>
      <c r="Q1366" s="1229"/>
    </row>
    <row r="1367" spans="1:31" s="1910" customFormat="1" ht="21.75" customHeight="1">
      <c r="A1367" s="1942"/>
      <c r="B1367" s="1939" t="s">
        <v>1516</v>
      </c>
      <c r="C1367" s="1936" t="s">
        <v>2576</v>
      </c>
      <c r="D1367" s="1936"/>
      <c r="E1367" s="1936"/>
      <c r="F1367" s="1936"/>
      <c r="G1367" s="1936"/>
      <c r="H1367" s="1936"/>
      <c r="I1367" s="1936"/>
      <c r="J1367" s="1936"/>
      <c r="K1367" s="1936"/>
      <c r="L1367" s="1936"/>
      <c r="M1367" s="1936"/>
      <c r="N1367" s="1936"/>
      <c r="O1367" s="1942" t="s">
        <v>1516</v>
      </c>
      <c r="P1367" s="1938" t="str">
        <f>'Part VIII-Threshold Criteria'!P197</f>
        <v>N/Ap</v>
      </c>
      <c r="Q1367" s="1938"/>
    </row>
    <row r="1368" spans="1:31" s="1910" customFormat="1" ht="21.75" customHeight="1">
      <c r="A1368" s="1942"/>
      <c r="B1368" s="1939" t="s">
        <v>1517</v>
      </c>
      <c r="C1368" s="1936" t="s">
        <v>3667</v>
      </c>
      <c r="D1368" s="1936"/>
      <c r="E1368" s="1936"/>
      <c r="F1368" s="1936"/>
      <c r="G1368" s="1936"/>
      <c r="H1368" s="1936"/>
      <c r="I1368" s="1936"/>
      <c r="J1368" s="1936"/>
      <c r="K1368" s="1936"/>
      <c r="L1368" s="1936"/>
      <c r="M1368" s="1936"/>
      <c r="N1368" s="1936"/>
      <c r="O1368" s="1942" t="s">
        <v>1517</v>
      </c>
      <c r="P1368" s="1938" t="str">
        <f>'Part VIII-Threshold Criteria'!P198</f>
        <v>N/Ap</v>
      </c>
      <c r="Q1368" s="1938"/>
    </row>
    <row r="1369" spans="1:31" ht="21.75" customHeight="1">
      <c r="A1369" s="1942" t="s">
        <v>2065</v>
      </c>
      <c r="B1369" s="1936" t="s">
        <v>2577</v>
      </c>
      <c r="C1369" s="1936"/>
      <c r="D1369" s="1936"/>
      <c r="E1369" s="1936"/>
      <c r="F1369" s="1936"/>
      <c r="G1369" s="1936"/>
      <c r="H1369" s="1936"/>
      <c r="I1369" s="1936"/>
      <c r="J1369" s="1936"/>
      <c r="K1369" s="1936"/>
      <c r="L1369" s="1936"/>
      <c r="M1369" s="1936"/>
      <c r="N1369" s="1936"/>
      <c r="O1369" s="1942" t="s">
        <v>2065</v>
      </c>
      <c r="P1369" s="1938" t="str">
        <f>'Part VIII-Threshold Criteria'!P199</f>
        <v>Yes</v>
      </c>
      <c r="Q1369" s="1938"/>
    </row>
    <row r="1370" spans="1:31" ht="12" customHeight="1">
      <c r="A1370" s="1942" t="s">
        <v>1692</v>
      </c>
      <c r="B1370" s="1939" t="s">
        <v>2318</v>
      </c>
      <c r="D1370" s="1939"/>
      <c r="E1370" s="1939"/>
      <c r="F1370" s="1939"/>
      <c r="G1370" s="1939"/>
      <c r="H1370" s="1939"/>
      <c r="I1370" s="1939"/>
      <c r="J1370" s="1939"/>
      <c r="K1370" s="1939"/>
      <c r="L1370" s="1939"/>
      <c r="M1370" s="1939"/>
      <c r="O1370" s="1942" t="s">
        <v>1692</v>
      </c>
      <c r="P1370" s="1229" t="str">
        <f>'Part VIII-Threshold Criteria'!P200</f>
        <v>Yes</v>
      </c>
      <c r="Q1370" s="1229"/>
    </row>
    <row r="1371" spans="1:31" ht="12" customHeight="1">
      <c r="B1371" s="1908" t="s">
        <v>3565</v>
      </c>
      <c r="D1371" s="1908"/>
      <c r="E1371" s="1908"/>
      <c r="F1371" s="1908"/>
      <c r="G1371" s="1908"/>
      <c r="H1371" s="1908"/>
      <c r="I1371" s="1229"/>
      <c r="J1371" s="1229"/>
      <c r="K1371" s="1229"/>
      <c r="L1371" s="1732"/>
      <c r="M1371" s="1732"/>
      <c r="N1371" s="1732"/>
      <c r="O1371" s="1732"/>
      <c r="P1371" s="1732"/>
      <c r="Q1371" s="1732"/>
    </row>
    <row r="1372" spans="1:31" ht="11.4" customHeight="1">
      <c r="A1372" s="1936" t="str">
        <f>'Part VIII-Threshold Criteria'!A202</f>
        <v>Applicant has met Threshold because the site is currently zoned appropriately for multifamily development.  This site is zoned RO (Residential Office) and allows for 43 units per acre per the city's zoning ordinance.  The zoning verificantion letter and zoning documentation can be found  in TAB 10.</v>
      </c>
      <c r="B1372" s="1936"/>
      <c r="C1372" s="1936"/>
      <c r="D1372" s="1936"/>
      <c r="E1372" s="1936"/>
      <c r="F1372" s="1936"/>
      <c r="G1372" s="1936"/>
      <c r="H1372" s="1936"/>
      <c r="I1372" s="1936"/>
      <c r="J1372" s="1936"/>
      <c r="K1372" s="1936"/>
      <c r="L1372" s="1936"/>
      <c r="M1372" s="1936"/>
      <c r="N1372" s="1936"/>
      <c r="O1372" s="1936"/>
      <c r="P1372" s="1936"/>
      <c r="Q1372" s="1936"/>
      <c r="U1372" s="1897"/>
      <c r="V1372" s="1897"/>
      <c r="W1372" s="1897"/>
      <c r="X1372" s="1897"/>
      <c r="Y1372" s="1897"/>
      <c r="Z1372" s="1897"/>
      <c r="AA1372" s="1897"/>
      <c r="AB1372" s="1897"/>
      <c r="AC1372" s="1897"/>
      <c r="AD1372" s="1897"/>
      <c r="AE1372" s="1897"/>
    </row>
    <row r="1373" spans="1:31" ht="12" customHeight="1">
      <c r="B1373" s="1936" t="s">
        <v>1820</v>
      </c>
      <c r="C1373" s="1936"/>
      <c r="D1373" s="1939"/>
      <c r="E1373" s="1939"/>
      <c r="F1373" s="1939"/>
      <c r="G1373" s="1939"/>
      <c r="H1373" s="1939"/>
      <c r="I1373" s="1939"/>
      <c r="J1373" s="1939"/>
      <c r="K1373" s="1939"/>
      <c r="L1373" s="1939"/>
      <c r="M1373" s="1939"/>
      <c r="N1373" s="1939"/>
      <c r="O1373" s="1939"/>
      <c r="P1373" s="1939"/>
      <c r="Q1373" s="1939"/>
    </row>
    <row r="1374" spans="1:31" ht="11.4" customHeight="1">
      <c r="A1374" s="1936"/>
      <c r="B1374" s="1936"/>
      <c r="C1374" s="1936"/>
      <c r="D1374" s="1936"/>
      <c r="E1374" s="1936"/>
      <c r="F1374" s="1936"/>
      <c r="G1374" s="1936"/>
      <c r="H1374" s="1936"/>
      <c r="I1374" s="1936"/>
      <c r="J1374" s="1936"/>
      <c r="K1374" s="1936"/>
      <c r="L1374" s="1936"/>
      <c r="M1374" s="1936"/>
      <c r="N1374" s="1936"/>
      <c r="O1374" s="1936"/>
      <c r="P1374" s="1936"/>
      <c r="Q1374" s="1936"/>
    </row>
    <row r="1375" spans="1:31" ht="3" customHeight="1">
      <c r="A1375" s="1732"/>
      <c r="B1375" s="1229"/>
      <c r="C1375" s="1939"/>
      <c r="D1375" s="1939"/>
      <c r="E1375" s="1939"/>
      <c r="F1375" s="1939"/>
      <c r="G1375" s="1939"/>
      <c r="H1375" s="1939"/>
      <c r="I1375" s="1939"/>
      <c r="J1375" s="1939"/>
      <c r="K1375" s="1939"/>
      <c r="L1375" s="1939"/>
      <c r="M1375" s="1939"/>
      <c r="N1375" s="1939"/>
      <c r="O1375" s="1939"/>
      <c r="P1375" s="1939"/>
      <c r="Q1375" s="1732"/>
    </row>
    <row r="1376" spans="1:31" ht="14.1" customHeight="1">
      <c r="A1376" s="1922" t="s">
        <v>357</v>
      </c>
      <c r="B1376" s="1922" t="s">
        <v>2586</v>
      </c>
      <c r="C1376" s="1922"/>
      <c r="D1376" s="1939"/>
      <c r="E1376" s="1981"/>
      <c r="F1376" s="1981"/>
      <c r="G1376" s="1939"/>
      <c r="J1376" s="1936"/>
      <c r="K1376" s="1936"/>
      <c r="L1376" s="1936"/>
      <c r="M1376" s="1936"/>
      <c r="N1376" s="1936"/>
      <c r="O1376" s="1942" t="s">
        <v>1821</v>
      </c>
      <c r="P1376" s="1897"/>
      <c r="Q1376" s="1897"/>
    </row>
    <row r="1377" spans="1:31" ht="22.5" customHeight="1">
      <c r="A1377" s="449" t="s">
        <v>4483</v>
      </c>
      <c r="B1377" s="449"/>
      <c r="C1377" s="449"/>
      <c r="D1377" s="449"/>
      <c r="E1377" s="449"/>
      <c r="F1377" s="449"/>
      <c r="G1377" s="449"/>
      <c r="H1377" s="449"/>
      <c r="I1377" s="449"/>
      <c r="J1377" s="449"/>
      <c r="K1377" s="449"/>
      <c r="L1377" s="449"/>
      <c r="M1377" s="449"/>
      <c r="N1377" s="449"/>
      <c r="O1377" s="449"/>
      <c r="P1377" s="449"/>
      <c r="Q1377" s="449"/>
    </row>
    <row r="1378" spans="1:31" ht="11.25" customHeight="1">
      <c r="A1378" s="1904"/>
      <c r="B1378" s="1936" t="s">
        <v>95</v>
      </c>
      <c r="D1378" s="1936"/>
      <c r="E1378" s="1936"/>
      <c r="F1378" s="1936"/>
      <c r="G1378" s="1936"/>
      <c r="H1378" s="1940" t="s">
        <v>1694</v>
      </c>
      <c r="I1378" s="449" t="s">
        <v>148</v>
      </c>
      <c r="J1378" s="449" t="str">
        <f>'Part VIII-Threshold Criteria'!J208</f>
        <v>&lt;&lt;Enter Provider Name Here&gt;&gt;</v>
      </c>
      <c r="K1378" s="449"/>
      <c r="L1378" s="449"/>
      <c r="M1378" s="449"/>
      <c r="N1378" s="449"/>
      <c r="O1378" s="1940" t="s">
        <v>1694</v>
      </c>
      <c r="P1378" s="1229" t="str">
        <f>'Part VIII-Threshold Criteria'!P208</f>
        <v>No</v>
      </c>
      <c r="Q1378" s="1229"/>
    </row>
    <row r="1379" spans="1:31" ht="11.25" customHeight="1">
      <c r="A1379" s="1904"/>
      <c r="B1379" s="1908" t="s">
        <v>3565</v>
      </c>
      <c r="C1379" s="1910"/>
      <c r="D1379" s="1910"/>
      <c r="E1379" s="1910"/>
      <c r="F1379" s="1910"/>
      <c r="H1379" s="1940" t="s">
        <v>1695</v>
      </c>
      <c r="I1379" s="449" t="s">
        <v>1563</v>
      </c>
      <c r="J1379" s="449" t="str">
        <f>'Part VIII-Threshold Criteria'!J209</f>
        <v xml:space="preserve">Georgia Power </v>
      </c>
      <c r="K1379" s="449"/>
      <c r="L1379" s="449"/>
      <c r="M1379" s="449"/>
      <c r="N1379" s="449"/>
      <c r="O1379" s="1940" t="s">
        <v>1695</v>
      </c>
      <c r="P1379" s="1229" t="str">
        <f>'Part VIII-Threshold Criteria'!P209</f>
        <v>Yes</v>
      </c>
      <c r="Q1379" s="1229"/>
    </row>
    <row r="1380" spans="1:31" ht="11.4" customHeight="1">
      <c r="A1380" s="1936" t="str">
        <f>'Part VIII-Threshold Criteria'!A210</f>
        <v>Applicant has met Threshold because operating utilities are available to the project. The project will not utilize gas service.  The electricity availability letter is in TAB 11.</v>
      </c>
      <c r="B1380" s="1936"/>
      <c r="C1380" s="1936"/>
      <c r="D1380" s="1936"/>
      <c r="E1380" s="1936"/>
      <c r="F1380" s="1936"/>
      <c r="G1380" s="1936"/>
      <c r="H1380" s="1936"/>
      <c r="I1380" s="1936"/>
      <c r="J1380" s="1936"/>
      <c r="K1380" s="1936"/>
      <c r="L1380" s="1936"/>
      <c r="M1380" s="1936"/>
      <c r="N1380" s="1936"/>
      <c r="O1380" s="1936"/>
      <c r="P1380" s="1936"/>
      <c r="Q1380" s="1936"/>
      <c r="U1380" s="1897"/>
      <c r="V1380" s="1897"/>
      <c r="W1380" s="1897"/>
      <c r="X1380" s="1897"/>
      <c r="Y1380" s="1897"/>
      <c r="Z1380" s="1897"/>
      <c r="AA1380" s="1897"/>
      <c r="AB1380" s="1897"/>
      <c r="AC1380" s="1897"/>
      <c r="AD1380" s="1897"/>
      <c r="AE1380" s="1897"/>
    </row>
    <row r="1381" spans="1:31" ht="11.25" customHeight="1">
      <c r="B1381" s="1936" t="s">
        <v>1820</v>
      </c>
      <c r="C1381" s="1936"/>
      <c r="D1381" s="1939"/>
      <c r="E1381" s="1939"/>
      <c r="F1381" s="1939"/>
      <c r="G1381" s="1939"/>
      <c r="H1381" s="1939"/>
      <c r="I1381" s="1939"/>
      <c r="J1381" s="1939"/>
      <c r="K1381" s="1939"/>
      <c r="L1381" s="1939"/>
      <c r="M1381" s="1939"/>
      <c r="N1381" s="1939"/>
      <c r="O1381" s="1939"/>
      <c r="P1381" s="1939"/>
      <c r="Q1381" s="1939"/>
    </row>
    <row r="1382" spans="1:31" ht="11.4" customHeight="1">
      <c r="A1382" s="1936"/>
      <c r="B1382" s="1936"/>
      <c r="C1382" s="1936"/>
      <c r="D1382" s="1936"/>
      <c r="E1382" s="1936"/>
      <c r="F1382" s="1936"/>
      <c r="G1382" s="1936"/>
      <c r="H1382" s="1936"/>
      <c r="I1382" s="1936"/>
      <c r="J1382" s="1936"/>
      <c r="K1382" s="1936"/>
      <c r="L1382" s="1936"/>
      <c r="M1382" s="1936"/>
      <c r="N1382" s="1936"/>
      <c r="O1382" s="1936"/>
      <c r="P1382" s="1936"/>
      <c r="Q1382" s="1936"/>
    </row>
    <row r="1383" spans="1:31" ht="4.3499999999999996" customHeight="1">
      <c r="B1383" s="1229"/>
      <c r="C1383" s="1939"/>
      <c r="D1383" s="1939"/>
      <c r="E1383" s="1939"/>
      <c r="F1383" s="1939"/>
      <c r="G1383" s="1939"/>
      <c r="H1383" s="1939"/>
      <c r="I1383" s="1939"/>
      <c r="J1383" s="1939"/>
      <c r="K1383" s="1939"/>
      <c r="L1383" s="1939"/>
      <c r="M1383" s="1939"/>
      <c r="Q1383" s="1732"/>
    </row>
    <row r="1384" spans="1:31" ht="14.1" customHeight="1">
      <c r="A1384" s="1922" t="s">
        <v>358</v>
      </c>
      <c r="B1384" s="1815" t="s">
        <v>2587</v>
      </c>
      <c r="C1384" s="1815"/>
      <c r="D1384" s="449"/>
      <c r="E1384" s="449"/>
      <c r="F1384" s="449"/>
      <c r="G1384" s="1939"/>
      <c r="H1384" s="1939"/>
      <c r="I1384" s="1939"/>
      <c r="J1384" s="1939"/>
      <c r="K1384" s="1939"/>
      <c r="L1384" s="1939"/>
      <c r="M1384" s="1939"/>
      <c r="O1384" s="1942" t="s">
        <v>1821</v>
      </c>
      <c r="P1384" s="1897"/>
      <c r="Q1384" s="1897"/>
    </row>
    <row r="1385" spans="1:31" ht="11.4" customHeight="1">
      <c r="A1385" s="1942" t="s">
        <v>1936</v>
      </c>
      <c r="B1385" s="1936" t="s">
        <v>1803</v>
      </c>
      <c r="C1385" s="1936"/>
      <c r="D1385" s="1936"/>
      <c r="E1385" s="1936"/>
      <c r="F1385" s="1936"/>
      <c r="G1385" s="1936"/>
      <c r="H1385" s="1940" t="s">
        <v>1694</v>
      </c>
      <c r="I1385" s="449" t="s">
        <v>617</v>
      </c>
      <c r="J1385" s="449" t="str">
        <f>'Part VIII-Threshold Criteria'!J215</f>
        <v>Columbus Water Works</v>
      </c>
      <c r="K1385" s="449"/>
      <c r="L1385" s="449"/>
      <c r="M1385" s="449"/>
      <c r="N1385" s="449"/>
      <c r="O1385" s="1942" t="s">
        <v>1455</v>
      </c>
      <c r="P1385" s="1229" t="str">
        <f>'Part VIII-Threshold Criteria'!P215</f>
        <v>Yes</v>
      </c>
      <c r="Q1385" s="1229"/>
    </row>
    <row r="1386" spans="1:31" ht="11.4" customHeight="1">
      <c r="A1386" s="1815"/>
      <c r="B1386" s="1936"/>
      <c r="C1386" s="1936"/>
      <c r="D1386" s="1936"/>
      <c r="E1386" s="1936"/>
      <c r="F1386" s="1936"/>
      <c r="G1386" s="1936"/>
      <c r="H1386" s="1940" t="s">
        <v>1695</v>
      </c>
      <c r="I1386" s="449" t="s">
        <v>113</v>
      </c>
      <c r="J1386" s="449" t="str">
        <f>'Part VIII-Threshold Criteria'!J216</f>
        <v>Columbus Water Works</v>
      </c>
      <c r="K1386" s="449"/>
      <c r="L1386" s="449"/>
      <c r="M1386" s="449"/>
      <c r="N1386" s="449"/>
      <c r="O1386" s="1942" t="s">
        <v>1695</v>
      </c>
      <c r="P1386" s="1229" t="str">
        <f>'Part VIII-Threshold Criteria'!P216</f>
        <v>Yes</v>
      </c>
      <c r="Q1386" s="1229"/>
    </row>
    <row r="1387" spans="1:31" ht="12" customHeight="1">
      <c r="A1387" s="1942" t="s">
        <v>1938</v>
      </c>
      <c r="B1387" s="449" t="s">
        <v>3672</v>
      </c>
      <c r="D1387" s="449"/>
      <c r="E1387" s="449"/>
      <c r="F1387" s="449"/>
      <c r="G1387" s="449"/>
      <c r="H1387" s="449"/>
      <c r="I1387" s="449"/>
      <c r="J1387" s="449"/>
      <c r="K1387" s="1815"/>
      <c r="L1387" s="449"/>
      <c r="M1387" s="449"/>
      <c r="O1387" s="1940" t="s">
        <v>1938</v>
      </c>
      <c r="P1387" s="1229" t="str">
        <f>'Part VIII-Threshold Criteria'!P217</f>
        <v>No</v>
      </c>
      <c r="Q1387" s="1229"/>
    </row>
    <row r="1388" spans="1:31" ht="12" customHeight="1">
      <c r="A1388" s="1940" t="s">
        <v>731</v>
      </c>
      <c r="B1388" s="449" t="s">
        <v>3673</v>
      </c>
      <c r="D1388" s="449"/>
      <c r="E1388" s="449"/>
      <c r="F1388" s="449"/>
      <c r="G1388" s="449"/>
      <c r="H1388" s="449"/>
      <c r="I1388" s="449"/>
      <c r="J1388" s="449"/>
      <c r="K1388" s="1815"/>
      <c r="L1388" s="449"/>
      <c r="M1388" s="449"/>
      <c r="O1388" s="1940" t="s">
        <v>731</v>
      </c>
      <c r="P1388" s="1229" t="str">
        <f>'Part VIII-Threshold Criteria'!P218</f>
        <v>No</v>
      </c>
      <c r="Q1388" s="1229"/>
    </row>
    <row r="1389" spans="1:31" ht="11.25" customHeight="1">
      <c r="B1389" s="1908" t="s">
        <v>3565</v>
      </c>
      <c r="D1389" s="1908"/>
      <c r="E1389" s="1908"/>
      <c r="F1389" s="1908"/>
      <c r="G1389" s="1908"/>
      <c r="H1389" s="1908"/>
      <c r="I1389" s="1229"/>
      <c r="J1389" s="1229"/>
      <c r="K1389" s="1229"/>
      <c r="L1389" s="1732"/>
      <c r="M1389" s="1732"/>
      <c r="N1389" s="1732"/>
      <c r="O1389" s="1732"/>
      <c r="P1389" s="1732"/>
      <c r="Q1389" s="1732"/>
    </row>
    <row r="1390" spans="1:31" ht="11.4" customHeight="1">
      <c r="A1390" s="1936" t="str">
        <f>'Part VIII-Threshold Criteria'!A220</f>
        <v xml:space="preserve">Applicant has met Threshold because public water and sanitary sewer are available to the project site.  The water and sewer availability letter can be found in TAB 12.  There are no commitments or easements  necessary for Columbus Water Works to extend the existing water and sewer services to the project.   There is no annexation or improvements documentation submitted with this Application. </v>
      </c>
      <c r="B1390" s="1936"/>
      <c r="C1390" s="1936"/>
      <c r="D1390" s="1936"/>
      <c r="E1390" s="1936"/>
      <c r="F1390" s="1936"/>
      <c r="G1390" s="1936"/>
      <c r="H1390" s="1936"/>
      <c r="I1390" s="1936"/>
      <c r="J1390" s="1936"/>
      <c r="K1390" s="1936"/>
      <c r="L1390" s="1936"/>
      <c r="M1390" s="1936"/>
      <c r="N1390" s="1936"/>
      <c r="O1390" s="1936"/>
      <c r="P1390" s="1936"/>
      <c r="Q1390" s="1936"/>
      <c r="U1390" s="1897"/>
      <c r="V1390" s="1897"/>
      <c r="W1390" s="1897"/>
      <c r="X1390" s="1897"/>
      <c r="Y1390" s="1897"/>
      <c r="Z1390" s="1897"/>
      <c r="AA1390" s="1897"/>
      <c r="AB1390" s="1897"/>
      <c r="AC1390" s="1897"/>
      <c r="AD1390" s="1897"/>
      <c r="AE1390" s="1897"/>
    </row>
    <row r="1391" spans="1:31" ht="11.25" customHeight="1">
      <c r="B1391" s="1936" t="s">
        <v>1820</v>
      </c>
      <c r="C1391" s="1936"/>
      <c r="D1391" s="1939"/>
      <c r="E1391" s="1939"/>
      <c r="F1391" s="1939"/>
      <c r="G1391" s="1939"/>
      <c r="H1391" s="1939"/>
      <c r="I1391" s="1939"/>
      <c r="J1391" s="1939"/>
      <c r="K1391" s="1939"/>
      <c r="L1391" s="1939"/>
      <c r="M1391" s="1939"/>
      <c r="N1391" s="1939"/>
      <c r="O1391" s="1939"/>
      <c r="P1391" s="1939"/>
      <c r="Q1391" s="1939"/>
    </row>
    <row r="1392" spans="1:31" ht="11.4" customHeight="1">
      <c r="A1392" s="1936"/>
      <c r="B1392" s="1936"/>
      <c r="C1392" s="1936"/>
      <c r="D1392" s="1936"/>
      <c r="E1392" s="1936"/>
      <c r="F1392" s="1936"/>
      <c r="G1392" s="1936"/>
      <c r="H1392" s="1936"/>
      <c r="I1392" s="1936"/>
      <c r="J1392" s="1936"/>
      <c r="K1392" s="1936"/>
      <c r="L1392" s="1936"/>
      <c r="M1392" s="1936"/>
      <c r="N1392" s="1936"/>
      <c r="O1392" s="1936"/>
      <c r="P1392" s="1936"/>
      <c r="Q1392" s="1936"/>
    </row>
    <row r="1393" spans="1:18" ht="3" customHeight="1">
      <c r="A1393" s="1732"/>
      <c r="B1393" s="1229"/>
      <c r="C1393" s="1939"/>
      <c r="D1393" s="1939"/>
      <c r="E1393" s="1939"/>
      <c r="F1393" s="1939"/>
      <c r="G1393" s="1939"/>
      <c r="H1393" s="1939"/>
      <c r="I1393" s="1939"/>
      <c r="J1393" s="1939"/>
      <c r="K1393" s="1939"/>
      <c r="L1393" s="1939"/>
      <c r="M1393" s="1939"/>
      <c r="Q1393" s="1732"/>
    </row>
    <row r="1394" spans="1:18" ht="14.1" customHeight="1">
      <c r="A1394" s="1922" t="s">
        <v>1683</v>
      </c>
      <c r="B1394" s="1922" t="s">
        <v>2588</v>
      </c>
      <c r="C1394" s="1908"/>
      <c r="D1394" s="1939"/>
      <c r="E1394" s="1939"/>
      <c r="F1394" s="1939"/>
      <c r="G1394" s="1939"/>
      <c r="H1394" s="1939"/>
      <c r="I1394" s="1939"/>
      <c r="J1394" s="1939"/>
      <c r="K1394" s="1939"/>
      <c r="L1394" s="1939"/>
      <c r="M1394" s="1939"/>
      <c r="O1394" s="1942" t="s">
        <v>1821</v>
      </c>
      <c r="P1394" s="1897"/>
      <c r="Q1394" s="1897"/>
    </row>
    <row r="1395" spans="1:18" ht="11.4" customHeight="1">
      <c r="B1395" s="1945" t="s">
        <v>1167</v>
      </c>
      <c r="N1395" s="1874"/>
      <c r="P1395" s="1229" t="str">
        <f>'Part VIII-Threshold Criteria'!P225</f>
        <v>No</v>
      </c>
      <c r="Q1395" s="1229"/>
    </row>
    <row r="1396" spans="1:18" ht="12" customHeight="1">
      <c r="A1396" s="1940" t="s">
        <v>1936</v>
      </c>
      <c r="B1396" s="449" t="s">
        <v>6975</v>
      </c>
      <c r="D1396" s="1815"/>
      <c r="E1396" s="1815"/>
      <c r="F1396" s="1815"/>
      <c r="G1396" s="1815"/>
      <c r="H1396" s="1815"/>
      <c r="I1396" s="1815"/>
      <c r="J1396" s="1815"/>
      <c r="K1396" s="1815"/>
      <c r="L1396" s="1815"/>
      <c r="M1396" s="1815"/>
      <c r="O1396" s="1940" t="s">
        <v>1936</v>
      </c>
      <c r="P1396" s="1229" t="str">
        <f>'Part VIII-Threshold Criteria'!P226</f>
        <v>Agree</v>
      </c>
      <c r="Q1396" s="1229"/>
    </row>
    <row r="1397" spans="1:18" ht="11.4" customHeight="1">
      <c r="A1397" s="1940"/>
      <c r="B1397" s="1908" t="s">
        <v>1694</v>
      </c>
      <c r="C1397" s="449" t="s">
        <v>1884</v>
      </c>
      <c r="E1397" s="449"/>
      <c r="F1397" s="449"/>
      <c r="G1397" s="449"/>
      <c r="H1397" s="449"/>
      <c r="I1397" s="1815"/>
      <c r="J1397" s="1940" t="s">
        <v>1455</v>
      </c>
      <c r="K1397" s="449" t="str">
        <f>'Part VIII-Threshold Criteria'!K227</f>
        <v>Room</v>
      </c>
      <c r="L1397" s="449"/>
      <c r="Q1397" s="1229"/>
    </row>
    <row r="1398" spans="1:18" ht="11.4" customHeight="1">
      <c r="A1398" s="1940"/>
      <c r="B1398" s="1908" t="s">
        <v>1695</v>
      </c>
      <c r="C1398" s="1908" t="s">
        <v>4245</v>
      </c>
      <c r="E1398" s="1908"/>
      <c r="F1398" s="1908"/>
      <c r="G1398" s="1908"/>
      <c r="H1398" s="1908"/>
      <c r="I1398" s="1815"/>
      <c r="J1398" s="1940" t="s">
        <v>1456</v>
      </c>
      <c r="K1398" s="449" t="str">
        <f>'Part VIII-Threshold Criteria'!K228</f>
        <v>Covered Porch</v>
      </c>
      <c r="L1398" s="449"/>
      <c r="M1398" s="1955" t="str">
        <f>'Part VIII-Threshold Criteria'!M228</f>
        <v>If "Other", explain here</v>
      </c>
      <c r="N1398" s="1955"/>
      <c r="O1398" s="1955"/>
      <c r="P1398" s="1955"/>
      <c r="Q1398" s="1229"/>
    </row>
    <row r="1399" spans="1:18" ht="11.4" customHeight="1">
      <c r="A1399" s="1940"/>
      <c r="B1399" s="1908" t="s">
        <v>1696</v>
      </c>
      <c r="C1399" s="1908" t="s">
        <v>4248</v>
      </c>
      <c r="E1399" s="1908"/>
      <c r="F1399" s="1908"/>
      <c r="G1399" s="1908"/>
      <c r="H1399" s="1908"/>
      <c r="I1399" s="1815"/>
      <c r="J1399" s="1940" t="s">
        <v>1457</v>
      </c>
      <c r="K1399" s="449" t="str">
        <f>'Part VIII-Threshold Criteria'!K229</f>
        <v>Yes - W&amp;D hookups installed in each unit</v>
      </c>
      <c r="L1399" s="449"/>
      <c r="M1399" s="449"/>
      <c r="N1399" s="449"/>
      <c r="O1399" s="449"/>
      <c r="Q1399" s="1229"/>
      <c r="R1399" s="1815"/>
    </row>
    <row r="1400" spans="1:18" ht="11.4" customHeight="1">
      <c r="A1400" s="1940"/>
      <c r="B1400" s="1908" t="s">
        <v>2305</v>
      </c>
      <c r="C1400" s="1908" t="s">
        <v>4247</v>
      </c>
      <c r="E1400" s="1908"/>
      <c r="F1400" s="1908"/>
      <c r="G1400" s="1908"/>
      <c r="H1400" s="1908"/>
      <c r="I1400" s="1815"/>
      <c r="J1400" s="1940" t="s">
        <v>4246</v>
      </c>
      <c r="K1400" s="449" t="str">
        <f>'Part VIII-Threshold Criteria'!K230</f>
        <v>On-site laundry</v>
      </c>
      <c r="L1400" s="449"/>
      <c r="M1400" s="449"/>
      <c r="N1400" s="449"/>
      <c r="Q1400" s="1229"/>
      <c r="R1400" s="1815"/>
    </row>
    <row r="1401" spans="1:18" ht="11.25" customHeight="1">
      <c r="A1401" s="1940" t="s">
        <v>1938</v>
      </c>
      <c r="B1401" s="449" t="s">
        <v>6932</v>
      </c>
      <c r="D1401" s="449"/>
      <c r="E1401" s="449"/>
      <c r="F1401" s="449"/>
      <c r="G1401" s="449"/>
      <c r="H1401" s="449"/>
      <c r="I1401" s="449"/>
      <c r="J1401" s="449"/>
      <c r="K1401" s="1815"/>
      <c r="L1401" s="1815"/>
      <c r="M1401" s="1815"/>
      <c r="N1401" s="1815"/>
      <c r="O1401" s="1940" t="s">
        <v>1938</v>
      </c>
      <c r="P1401" s="1229" t="str">
        <f>'Part VIII-Threshold Criteria'!P231</f>
        <v>Agree</v>
      </c>
      <c r="Q1401" s="1229"/>
    </row>
    <row r="1402" spans="1:18" ht="11.1" customHeight="1">
      <c r="A1402" s="1940"/>
      <c r="B1402" s="449" t="s">
        <v>6874</v>
      </c>
      <c r="D1402" s="449"/>
      <c r="E1402" s="449"/>
      <c r="F1402" s="449"/>
      <c r="G1402" s="449"/>
      <c r="H1402" s="449"/>
      <c r="I1402" s="449"/>
      <c r="J1402" s="449"/>
      <c r="K1402" s="1815"/>
      <c r="L1402" s="1815"/>
      <c r="M1402" s="1815"/>
      <c r="N1402" s="1940" t="s">
        <v>3451</v>
      </c>
      <c r="O1402" s="2139">
        <f>'Part VI-Revenues &amp; Expenses'!$P$67</f>
        <v>72</v>
      </c>
      <c r="P1402" s="1945" t="s">
        <v>4402</v>
      </c>
      <c r="Q1402" s="1945"/>
    </row>
    <row r="1403" spans="1:18" ht="11.1" customHeight="1">
      <c r="A1403" s="1940"/>
      <c r="B1403" s="1908" t="s">
        <v>1694</v>
      </c>
      <c r="C1403" s="449" t="s">
        <v>4403</v>
      </c>
      <c r="D1403" s="449"/>
      <c r="E1403" s="449"/>
      <c r="F1403" s="449"/>
      <c r="H1403" s="1940" t="s">
        <v>4404</v>
      </c>
      <c r="I1403" s="449" t="s">
        <v>6828</v>
      </c>
      <c r="M1403" s="1815"/>
      <c r="N1403" s="1815"/>
      <c r="O1403" s="1816"/>
      <c r="P1403" s="1898" t="s">
        <v>755</v>
      </c>
      <c r="Q1403" s="1898" t="s">
        <v>4401</v>
      </c>
    </row>
    <row r="1404" spans="1:18" s="1951" customFormat="1" ht="11.4" customHeight="1">
      <c r="A1404" s="1229"/>
      <c r="B1404" s="1940" t="s">
        <v>2066</v>
      </c>
      <c r="C1404" s="1936" t="str">
        <f>'Part VIII-Threshold Criteria'!C234</f>
        <v>Fenced community gardens</v>
      </c>
      <c r="D1404" s="1936"/>
      <c r="E1404" s="1936"/>
      <c r="F1404" s="1936"/>
      <c r="G1404" s="1936"/>
      <c r="H1404" s="1940" t="s">
        <v>2066</v>
      </c>
      <c r="I1404" s="1956" t="str">
        <f>'Part VIII-Threshold Criteria'!I234</f>
        <v xml:space="preserve">  </v>
      </c>
      <c r="J1404" s="1956"/>
      <c r="K1404" s="1956"/>
      <c r="L1404" s="1956"/>
      <c r="M1404" s="1956"/>
      <c r="N1404" s="1956"/>
      <c r="O1404" s="1956"/>
      <c r="P1404" s="1229"/>
      <c r="Q1404" s="1229"/>
    </row>
    <row r="1405" spans="1:18" s="1951" customFormat="1" ht="11.4" customHeight="1">
      <c r="A1405" s="1229"/>
      <c r="B1405" s="1940" t="s">
        <v>2067</v>
      </c>
      <c r="C1405" s="1936" t="str">
        <f>'Part VIII-Threshold Criteria'!C235</f>
        <v xml:space="preserve">Equipped Computer Center and WiFi </v>
      </c>
      <c r="D1405" s="1936"/>
      <c r="E1405" s="1936"/>
      <c r="F1405" s="1936"/>
      <c r="G1405" s="1936"/>
      <c r="H1405" s="1940" t="s">
        <v>2067</v>
      </c>
      <c r="I1405" s="1956">
        <f>'Part VIII-Threshold Criteria'!I235</f>
        <v>0</v>
      </c>
      <c r="J1405" s="1956"/>
      <c r="K1405" s="1956"/>
      <c r="L1405" s="1956"/>
      <c r="M1405" s="1956"/>
      <c r="N1405" s="1956"/>
      <c r="O1405" s="1956"/>
      <c r="P1405" s="1229"/>
      <c r="Q1405" s="1229"/>
    </row>
    <row r="1406" spans="1:18" s="1951" customFormat="1" ht="11.4" customHeight="1">
      <c r="A1406" s="1229"/>
      <c r="B1406" s="1940" t="s">
        <v>1691</v>
      </c>
      <c r="C1406" s="1936" t="str">
        <f>'Part VIII-Threshold Criteria'!C236</f>
        <v>(Select an amenity from options provided here)</v>
      </c>
      <c r="D1406" s="1936"/>
      <c r="E1406" s="1936"/>
      <c r="F1406" s="1936"/>
      <c r="G1406" s="1936"/>
      <c r="H1406" s="1940" t="s">
        <v>1691</v>
      </c>
      <c r="I1406" s="1956" t="str">
        <f>'Part VIII-Threshold Criteria'!I236</f>
        <v xml:space="preserve">  </v>
      </c>
      <c r="J1406" s="1956"/>
      <c r="K1406" s="1956"/>
      <c r="L1406" s="1956"/>
      <c r="M1406" s="1956"/>
      <c r="N1406" s="1956"/>
      <c r="O1406" s="1956"/>
      <c r="P1406" s="1229"/>
      <c r="Q1406" s="1229"/>
    </row>
    <row r="1407" spans="1:18" s="1951" customFormat="1" ht="11.4" customHeight="1">
      <c r="A1407" s="1229"/>
      <c r="B1407" s="1940" t="s">
        <v>4412</v>
      </c>
      <c r="C1407" s="1936" t="str">
        <f>'Part VIII-Threshold Criteria'!C237</f>
        <v>(Select an amenity from options provided here)</v>
      </c>
      <c r="D1407" s="1936"/>
      <c r="E1407" s="1936"/>
      <c r="F1407" s="1936"/>
      <c r="G1407" s="1936"/>
      <c r="H1407" s="1940" t="s">
        <v>4412</v>
      </c>
      <c r="I1407" s="1956">
        <f>'Part VIII-Threshold Criteria'!I237</f>
        <v>0</v>
      </c>
      <c r="J1407" s="1956"/>
      <c r="K1407" s="1956"/>
      <c r="L1407" s="1956"/>
      <c r="M1407" s="1956"/>
      <c r="N1407" s="1956"/>
      <c r="O1407" s="1956"/>
      <c r="P1407" s="1229"/>
      <c r="Q1407" s="1229"/>
    </row>
    <row r="1408" spans="1:18" ht="12" customHeight="1">
      <c r="A1408" s="1940" t="s">
        <v>731</v>
      </c>
      <c r="B1408" s="449" t="s">
        <v>1354</v>
      </c>
      <c r="C1408" s="449"/>
      <c r="E1408" s="449"/>
      <c r="F1408" s="449"/>
      <c r="G1408" s="449"/>
      <c r="H1408" s="449"/>
      <c r="I1408" s="449"/>
      <c r="J1408" s="449"/>
      <c r="K1408" s="1815"/>
      <c r="L1408" s="449"/>
      <c r="M1408" s="449"/>
      <c r="O1408" s="1940" t="s">
        <v>731</v>
      </c>
      <c r="P1408" s="1229" t="str">
        <f>'Part VIII-Threshold Criteria'!P238</f>
        <v>Agree</v>
      </c>
      <c r="Q1408" s="1229"/>
    </row>
    <row r="1409" spans="1:31" ht="11.4" customHeight="1">
      <c r="A1409" s="1940"/>
      <c r="B1409" s="1908" t="s">
        <v>1694</v>
      </c>
      <c r="C1409" s="449" t="s">
        <v>3347</v>
      </c>
      <c r="E1409" s="449"/>
      <c r="F1409" s="449"/>
      <c r="L1409" s="1815"/>
      <c r="M1409" s="1815"/>
      <c r="O1409" s="1940" t="s">
        <v>1694</v>
      </c>
      <c r="P1409" s="1229" t="str">
        <f>'Part VIII-Threshold Criteria'!P239</f>
        <v>Yes</v>
      </c>
      <c r="Q1409" s="1229"/>
    </row>
    <row r="1410" spans="1:31" ht="11.4" customHeight="1">
      <c r="B1410" s="1908" t="s">
        <v>1695</v>
      </c>
      <c r="C1410" s="1908" t="s">
        <v>2714</v>
      </c>
      <c r="E1410" s="1908"/>
      <c r="F1410" s="1908"/>
      <c r="L1410" s="1815"/>
      <c r="M1410" s="1815"/>
      <c r="O1410" s="1940" t="s">
        <v>1695</v>
      </c>
      <c r="P1410" s="1229" t="str">
        <f>'Part VIII-Threshold Criteria'!P240</f>
        <v>Yes</v>
      </c>
      <c r="Q1410" s="1229"/>
    </row>
    <row r="1411" spans="1:31" ht="11.4" customHeight="1">
      <c r="B1411" s="1908" t="s">
        <v>1696</v>
      </c>
      <c r="C1411" s="1908" t="s">
        <v>4562</v>
      </c>
      <c r="E1411" s="1908"/>
      <c r="F1411" s="1908"/>
      <c r="G1411" s="1908"/>
      <c r="H1411" s="1908"/>
      <c r="I1411" s="1815"/>
      <c r="J1411" s="1815"/>
      <c r="K1411" s="1815"/>
      <c r="L1411" s="1815"/>
      <c r="M1411" s="1815"/>
      <c r="O1411" s="1940" t="s">
        <v>1696</v>
      </c>
      <c r="P1411" s="1229" t="str">
        <f>'Part VIII-Threshold Criteria'!P241</f>
        <v>Yes</v>
      </c>
      <c r="Q1411" s="1229"/>
    </row>
    <row r="1412" spans="1:31" ht="11.4" customHeight="1">
      <c r="A1412" s="1940"/>
      <c r="B1412" s="1908" t="s">
        <v>2305</v>
      </c>
      <c r="C1412" s="1908" t="s">
        <v>2715</v>
      </c>
      <c r="E1412" s="1908"/>
      <c r="F1412" s="1908"/>
      <c r="G1412" s="1908"/>
      <c r="H1412" s="1908"/>
      <c r="I1412" s="1815"/>
      <c r="J1412" s="1815"/>
      <c r="K1412" s="1815"/>
      <c r="L1412" s="1815"/>
      <c r="M1412" s="1815"/>
      <c r="O1412" s="1940" t="s">
        <v>2305</v>
      </c>
      <c r="P1412" s="1229" t="str">
        <f>'Part VIII-Threshold Criteria'!P242</f>
        <v>Yes</v>
      </c>
      <c r="Q1412" s="1229"/>
    </row>
    <row r="1413" spans="1:31" ht="11.4" customHeight="1">
      <c r="A1413" s="1940"/>
      <c r="B1413" s="1908" t="s">
        <v>1516</v>
      </c>
      <c r="C1413" s="1908" t="s">
        <v>2716</v>
      </c>
      <c r="E1413" s="1908"/>
      <c r="F1413" s="1908"/>
      <c r="G1413" s="1908"/>
      <c r="H1413" s="1908"/>
      <c r="I1413" s="1815"/>
      <c r="J1413" s="1815"/>
      <c r="K1413" s="1815"/>
      <c r="L1413" s="1815"/>
      <c r="M1413" s="1815"/>
      <c r="O1413" s="1940" t="s">
        <v>1516</v>
      </c>
      <c r="P1413" s="1229" t="str">
        <f>'Part VIII-Threshold Criteria'!P243</f>
        <v>Yes</v>
      </c>
      <c r="Q1413" s="1229"/>
    </row>
    <row r="1414" spans="1:31" ht="11.4" customHeight="1">
      <c r="A1414" s="1940"/>
      <c r="B1414" s="1908" t="s">
        <v>1517</v>
      </c>
      <c r="C1414" s="449" t="s">
        <v>6875</v>
      </c>
      <c r="E1414" s="449"/>
      <c r="F1414" s="449"/>
      <c r="G1414" s="449"/>
      <c r="H1414" s="449"/>
      <c r="I1414" s="1815"/>
      <c r="J1414" s="1815"/>
      <c r="K1414" s="1815"/>
      <c r="L1414" s="1815"/>
      <c r="M1414" s="1815"/>
      <c r="O1414" s="1940" t="s">
        <v>2706</v>
      </c>
      <c r="P1414" s="1229" t="str">
        <f>'Part VIII-Threshold Criteria'!P244</f>
        <v>Yes</v>
      </c>
      <c r="Q1414" s="1229"/>
    </row>
    <row r="1415" spans="1:31" ht="11.4" customHeight="1">
      <c r="A1415" s="1940"/>
      <c r="B1415" s="1940"/>
      <c r="C1415" s="449" t="s">
        <v>1458</v>
      </c>
      <c r="E1415" s="449"/>
      <c r="F1415" s="449"/>
      <c r="G1415" s="449"/>
      <c r="H1415" s="449"/>
      <c r="I1415" s="1815"/>
      <c r="J1415" s="1815"/>
      <c r="K1415" s="1815"/>
      <c r="L1415" s="1815"/>
      <c r="M1415" s="1815"/>
      <c r="O1415" s="1940" t="s">
        <v>2707</v>
      </c>
      <c r="P1415" s="1229" t="str">
        <f>'Part VIII-Threshold Criteria'!P245</f>
        <v>No</v>
      </c>
      <c r="Q1415" s="1229"/>
    </row>
    <row r="1416" spans="1:31" ht="11.25" customHeight="1">
      <c r="A1416" s="1940" t="s">
        <v>2065</v>
      </c>
      <c r="B1416" s="449" t="s">
        <v>4561</v>
      </c>
      <c r="C1416" s="449"/>
      <c r="E1416" s="449"/>
      <c r="F1416" s="449"/>
      <c r="G1416" s="449"/>
      <c r="H1416" s="449"/>
      <c r="I1416" s="449"/>
      <c r="J1416" s="449"/>
      <c r="K1416" s="1815"/>
      <c r="M1416" s="1940"/>
      <c r="N1416" s="1908" t="str">
        <f>'Part I-Project Information'!$H$82</f>
        <v>HFOP</v>
      </c>
      <c r="O1416" s="1940" t="s">
        <v>2065</v>
      </c>
      <c r="P1416" s="1229" t="str">
        <f>'Part VIII-Threshold Criteria'!P246</f>
        <v>Agree</v>
      </c>
      <c r="Q1416" s="1229"/>
    </row>
    <row r="1417" spans="1:31" ht="11.4" customHeight="1">
      <c r="B1417" s="1908" t="s">
        <v>1694</v>
      </c>
      <c r="C1417" s="449" t="s">
        <v>1229</v>
      </c>
      <c r="E1417" s="1815"/>
      <c r="F1417" s="1815"/>
      <c r="G1417" s="449"/>
      <c r="H1417" s="1908"/>
      <c r="I1417" s="1815"/>
      <c r="J1417" s="1908"/>
      <c r="K1417" s="1815"/>
      <c r="L1417" s="1908"/>
      <c r="M1417" s="1908"/>
      <c r="O1417" s="1940" t="s">
        <v>1694</v>
      </c>
      <c r="P1417" s="1229" t="str">
        <f>'Part VIII-Threshold Criteria'!P247</f>
        <v>Yes</v>
      </c>
      <c r="Q1417" s="1229"/>
    </row>
    <row r="1418" spans="1:31" ht="11.4" customHeight="1">
      <c r="B1418" s="1908" t="s">
        <v>1695</v>
      </c>
      <c r="C1418" s="449" t="s">
        <v>4261</v>
      </c>
      <c r="E1418" s="1815"/>
      <c r="F1418" s="1815"/>
      <c r="G1418" s="1908"/>
      <c r="H1418" s="1908"/>
      <c r="I1418" s="1815"/>
      <c r="J1418" s="1908"/>
      <c r="K1418" s="1815"/>
      <c r="L1418" s="1908"/>
      <c r="M1418" s="1908"/>
      <c r="O1418" s="1940" t="s">
        <v>1695</v>
      </c>
      <c r="P1418" s="1229" t="str">
        <f>'Part VIII-Threshold Criteria'!P248</f>
        <v>Yes</v>
      </c>
      <c r="Q1418" s="1229"/>
    </row>
    <row r="1419" spans="1:31" ht="11.25" customHeight="1">
      <c r="B1419" s="1908" t="s">
        <v>3565</v>
      </c>
      <c r="D1419" s="1908"/>
      <c r="E1419" s="1908"/>
      <c r="F1419" s="1908"/>
      <c r="G1419" s="1908"/>
      <c r="H1419" s="1908"/>
      <c r="I1419" s="1229"/>
      <c r="J1419" s="1229"/>
      <c r="K1419" s="1229"/>
      <c r="L1419" s="1732"/>
      <c r="M1419" s="1732"/>
      <c r="N1419" s="1732"/>
      <c r="O1419" s="1732"/>
      <c r="P1419" s="1732"/>
      <c r="Q1419" s="1732"/>
    </row>
    <row r="1420" spans="1:31" ht="11.4" customHeight="1">
      <c r="A1420" s="1936" t="str">
        <f>'Part VIII-Threshold Criteria'!A250</f>
        <v xml:space="preserve">Applicant has met Threshold because the project will include all required standard site amenities. The Site Information and Conceptual Site Development Plan in TAB 15 include the location of these amenities. </v>
      </c>
      <c r="B1420" s="1936"/>
      <c r="C1420" s="1936"/>
      <c r="D1420" s="1936"/>
      <c r="E1420" s="1936"/>
      <c r="F1420" s="1936"/>
      <c r="G1420" s="1936"/>
      <c r="H1420" s="1936"/>
      <c r="I1420" s="1936"/>
      <c r="J1420" s="1936"/>
      <c r="K1420" s="1936"/>
      <c r="L1420" s="1936"/>
      <c r="M1420" s="1936"/>
      <c r="N1420" s="1936"/>
      <c r="O1420" s="1936"/>
      <c r="P1420" s="1936"/>
      <c r="Q1420" s="1936"/>
      <c r="R1420" s="1973" t="s">
        <v>1228</v>
      </c>
      <c r="S1420" s="1973"/>
      <c r="U1420" s="1897"/>
      <c r="V1420" s="1897"/>
      <c r="W1420" s="1897"/>
      <c r="X1420" s="1897"/>
      <c r="Y1420" s="1897"/>
      <c r="Z1420" s="1897"/>
      <c r="AA1420" s="1897"/>
      <c r="AB1420" s="1897"/>
      <c r="AC1420" s="1897"/>
      <c r="AD1420" s="1897"/>
      <c r="AE1420" s="1897"/>
    </row>
    <row r="1421" spans="1:31" ht="11.25" customHeight="1">
      <c r="B1421" s="1936" t="s">
        <v>1820</v>
      </c>
      <c r="C1421" s="1936"/>
      <c r="D1421" s="1939"/>
      <c r="E1421" s="1939"/>
      <c r="F1421" s="1939"/>
      <c r="G1421" s="1939"/>
      <c r="H1421" s="1939"/>
      <c r="I1421" s="1939"/>
      <c r="J1421" s="1939"/>
      <c r="K1421" s="1939"/>
      <c r="L1421" s="1939"/>
      <c r="M1421" s="1939"/>
      <c r="N1421" s="1939"/>
      <c r="O1421" s="1939"/>
      <c r="P1421" s="1939"/>
      <c r="Q1421" s="1939"/>
    </row>
    <row r="1422" spans="1:31" ht="11.25" customHeight="1">
      <c r="A1422" s="1936"/>
      <c r="B1422" s="1936"/>
      <c r="C1422" s="1936"/>
      <c r="D1422" s="1936"/>
      <c r="E1422" s="1936"/>
      <c r="F1422" s="1936"/>
      <c r="G1422" s="1936"/>
      <c r="H1422" s="1936"/>
      <c r="I1422" s="1936"/>
      <c r="J1422" s="1936"/>
      <c r="K1422" s="1936"/>
      <c r="L1422" s="1936"/>
      <c r="M1422" s="1936"/>
      <c r="N1422" s="1936"/>
      <c r="O1422" s="1936"/>
      <c r="P1422" s="1936"/>
      <c r="Q1422" s="1936"/>
    </row>
    <row r="1423" spans="1:31" ht="3" customHeight="1">
      <c r="A1423" s="1732"/>
      <c r="B1423" s="1229"/>
      <c r="C1423" s="1939"/>
      <c r="D1423" s="1939"/>
      <c r="E1423" s="1939"/>
      <c r="F1423" s="1939"/>
      <c r="G1423" s="1939"/>
      <c r="H1423" s="1939"/>
      <c r="I1423" s="1939"/>
      <c r="J1423" s="1939"/>
      <c r="K1423" s="1939"/>
      <c r="L1423" s="1939"/>
      <c r="M1423" s="1939"/>
      <c r="Q1423" s="1732"/>
    </row>
    <row r="1424" spans="1:31" ht="14.1" customHeight="1">
      <c r="A1424" s="1922" t="s">
        <v>2691</v>
      </c>
      <c r="B1424" s="1815" t="s">
        <v>4563</v>
      </c>
      <c r="C1424" s="1815"/>
      <c r="D1424" s="449"/>
      <c r="E1424" s="449"/>
      <c r="F1424" s="449"/>
      <c r="G1424" s="449"/>
      <c r="H1424" s="1939"/>
      <c r="I1424" s="1939"/>
      <c r="J1424" s="1939"/>
      <c r="K1424" s="1939"/>
      <c r="L1424" s="1817"/>
      <c r="M1424" s="1944"/>
      <c r="O1424" s="1942" t="s">
        <v>1821</v>
      </c>
      <c r="P1424" s="1897"/>
      <c r="Q1424" s="1897"/>
    </row>
    <row r="1425" spans="1:17" ht="11.4" customHeight="1">
      <c r="A1425" s="1940" t="s">
        <v>1936</v>
      </c>
      <c r="B1425" s="449" t="s">
        <v>1242</v>
      </c>
      <c r="D1425" s="1815"/>
      <c r="E1425" s="449"/>
      <c r="F1425" s="449"/>
      <c r="J1425" s="1940" t="s">
        <v>1936</v>
      </c>
      <c r="K1425" s="449" t="str">
        <f>'Part VIII-Threshold Criteria'!K255</f>
        <v>&lt;&lt;Select&gt;&gt;</v>
      </c>
      <c r="L1425" s="449"/>
      <c r="M1425" s="449"/>
      <c r="N1425" s="449"/>
      <c r="O1425" s="449"/>
      <c r="P1425" s="449" t="s">
        <v>1727</v>
      </c>
      <c r="Q1425" s="449"/>
    </row>
    <row r="1426" spans="1:17" ht="11.4" customHeight="1">
      <c r="A1426" s="1940" t="s">
        <v>1938</v>
      </c>
      <c r="B1426" s="449" t="s">
        <v>2717</v>
      </c>
      <c r="D1426" s="449"/>
      <c r="E1426" s="449"/>
      <c r="F1426" s="449"/>
      <c r="J1426" s="1940" t="s">
        <v>1938</v>
      </c>
      <c r="K1426" s="2140">
        <f>'Part VIII-Threshold Criteria'!K256</f>
        <v>0</v>
      </c>
      <c r="L1426" s="2140"/>
      <c r="M1426" s="2140"/>
      <c r="N1426" s="2140"/>
      <c r="O1426" s="2140"/>
      <c r="P1426" s="2140"/>
      <c r="Q1426" s="2140"/>
    </row>
    <row r="1427" spans="1:17" ht="11.4" customHeight="1">
      <c r="A1427" s="1940"/>
      <c r="B1427" s="449" t="s">
        <v>1898</v>
      </c>
      <c r="D1427" s="449"/>
      <c r="E1427" s="449"/>
      <c r="F1427" s="449"/>
      <c r="K1427" s="449">
        <f>'Part VIII-Threshold Criteria'!K257</f>
        <v>0</v>
      </c>
      <c r="L1427" s="449"/>
      <c r="M1427" s="449"/>
      <c r="N1427" s="449"/>
      <c r="O1427" s="449"/>
      <c r="P1427" s="449"/>
      <c r="Q1427" s="449"/>
    </row>
    <row r="1428" spans="1:17" ht="11.4" customHeight="1">
      <c r="A1428" s="1940"/>
      <c r="B1428" s="449" t="s">
        <v>2477</v>
      </c>
      <c r="D1428" s="449"/>
      <c r="E1428" s="449"/>
      <c r="F1428" s="449"/>
      <c r="G1428" s="449"/>
      <c r="H1428" s="449"/>
      <c r="I1428" s="1815"/>
      <c r="J1428" s="1815"/>
      <c r="M1428" s="449"/>
      <c r="N1428" s="1946"/>
      <c r="O1428" s="1940"/>
      <c r="P1428" s="1229">
        <f>'Part VIII-Threshold Criteria'!P258</f>
        <v>0</v>
      </c>
      <c r="Q1428" s="1229"/>
    </row>
    <row r="1429" spans="1:17" ht="11.4" customHeight="1">
      <c r="A1429" s="1940" t="s">
        <v>731</v>
      </c>
      <c r="B1429" s="449" t="s">
        <v>4353</v>
      </c>
      <c r="D1429" s="449"/>
      <c r="E1429" s="449"/>
      <c r="F1429" s="449"/>
      <c r="J1429" s="1940" t="s">
        <v>731</v>
      </c>
      <c r="K1429" s="2140">
        <f>'Part VIII-Threshold Criteria'!K259</f>
        <v>0</v>
      </c>
      <c r="L1429" s="2140"/>
      <c r="M1429" s="2140"/>
      <c r="N1429" s="2140"/>
      <c r="O1429" s="2140"/>
      <c r="P1429" s="2140"/>
      <c r="Q1429" s="2140"/>
    </row>
    <row r="1430" spans="1:17" ht="11.4" customHeight="1">
      <c r="A1430" s="1940"/>
      <c r="B1430" s="449" t="s">
        <v>4266</v>
      </c>
      <c r="D1430" s="449"/>
      <c r="E1430" s="449"/>
      <c r="F1430" s="449"/>
    </row>
    <row r="1431" spans="1:17" ht="11.4" customHeight="1">
      <c r="A1431" s="1940"/>
      <c r="C1431" s="449" t="s">
        <v>4264</v>
      </c>
      <c r="D1431" s="449"/>
      <c r="E1431" s="449"/>
      <c r="F1431" s="449"/>
      <c r="K1431" s="1940" t="s">
        <v>4263</v>
      </c>
      <c r="L1431" s="1985">
        <f>'Part VIII-Threshold Criteria'!L261</f>
        <v>0</v>
      </c>
      <c r="M1431" s="449"/>
      <c r="N1431" s="1946"/>
      <c r="O1431" s="1946"/>
      <c r="P1431" s="1229">
        <f>'Part VIII-Threshold Criteria'!P261</f>
        <v>0</v>
      </c>
      <c r="Q1431" s="1229"/>
    </row>
    <row r="1432" spans="1:17" ht="11.4" customHeight="1">
      <c r="A1432" s="1940"/>
      <c r="B1432" s="449"/>
      <c r="C1432" s="1945" t="s">
        <v>4486</v>
      </c>
      <c r="D1432" s="449"/>
      <c r="E1432" s="449"/>
      <c r="F1432" s="449"/>
      <c r="K1432" s="1940" t="s">
        <v>4265</v>
      </c>
      <c r="L1432" s="2170">
        <f>'Part VIII-Threshold Criteria'!L262</f>
        <v>0</v>
      </c>
      <c r="M1432" s="449"/>
      <c r="N1432" s="1946"/>
      <c r="O1432" s="1946"/>
      <c r="P1432" s="1229">
        <f>'Part VIII-Threshold Criteria'!P262</f>
        <v>0</v>
      </c>
      <c r="Q1432" s="1229"/>
    </row>
    <row r="1433" spans="1:17" ht="11.4" customHeight="1">
      <c r="A1433" s="1940"/>
      <c r="B1433" s="449" t="s">
        <v>4262</v>
      </c>
      <c r="D1433" s="449"/>
      <c r="E1433" s="449"/>
      <c r="F1433" s="449"/>
      <c r="K1433" s="449">
        <f>'Part VIII-Threshold Criteria'!K263</f>
        <v>0</v>
      </c>
      <c r="L1433" s="449"/>
      <c r="M1433" s="449"/>
      <c r="N1433" s="449"/>
      <c r="O1433" s="449"/>
      <c r="P1433" s="449"/>
      <c r="Q1433" s="449"/>
    </row>
    <row r="1434" spans="1:17" ht="11.4" customHeight="1">
      <c r="A1434" s="1940" t="s">
        <v>2065</v>
      </c>
      <c r="B1434" s="449" t="s">
        <v>3674</v>
      </c>
      <c r="D1434" s="449"/>
      <c r="E1434" s="449"/>
      <c r="F1434" s="449"/>
      <c r="G1434" s="449"/>
      <c r="H1434" s="449"/>
      <c r="I1434" s="1815"/>
      <c r="J1434" s="1815"/>
      <c r="K1434" s="1815"/>
      <c r="M1434" s="449"/>
      <c r="N1434" s="1946"/>
      <c r="O1434" s="1940" t="s">
        <v>2065</v>
      </c>
      <c r="P1434" s="1229">
        <f>'Part VIII-Threshold Criteria'!P264</f>
        <v>0</v>
      </c>
      <c r="Q1434" s="1229"/>
    </row>
    <row r="1435" spans="1:17" ht="11.4" customHeight="1">
      <c r="A1435" s="1940"/>
      <c r="B1435" s="1936" t="s">
        <v>3571</v>
      </c>
      <c r="C1435" s="1936"/>
      <c r="D1435" s="1936"/>
      <c r="E1435" s="1936"/>
      <c r="F1435" s="1936"/>
      <c r="G1435" s="1936"/>
      <c r="H1435" s="1945" t="s">
        <v>3796</v>
      </c>
      <c r="K1435" s="1815"/>
      <c r="M1435" s="449"/>
      <c r="N1435" s="1946"/>
      <c r="O1435" s="1940" t="s">
        <v>1694</v>
      </c>
      <c r="P1435" s="1229">
        <f>'Part VIII-Threshold Criteria'!P265</f>
        <v>0</v>
      </c>
      <c r="Q1435" s="1229"/>
    </row>
    <row r="1436" spans="1:17" ht="11.4" customHeight="1">
      <c r="A1436" s="1940"/>
      <c r="B1436" s="1936"/>
      <c r="C1436" s="1936"/>
      <c r="D1436" s="1936"/>
      <c r="E1436" s="1936"/>
      <c r="F1436" s="1936"/>
      <c r="G1436" s="1936"/>
      <c r="H1436" s="1945" t="s">
        <v>3797</v>
      </c>
      <c r="K1436" s="1815"/>
      <c r="M1436" s="449"/>
      <c r="N1436" s="1946"/>
      <c r="O1436" s="1940" t="s">
        <v>1695</v>
      </c>
      <c r="P1436" s="1229">
        <f>'Part VIII-Threshold Criteria'!P266</f>
        <v>0</v>
      </c>
      <c r="Q1436" s="1229"/>
    </row>
    <row r="1437" spans="1:17" ht="11.4" customHeight="1">
      <c r="A1437" s="1940"/>
      <c r="B1437" s="449"/>
      <c r="D1437" s="449"/>
      <c r="E1437" s="449"/>
      <c r="F1437" s="449"/>
      <c r="G1437" s="449"/>
      <c r="H1437" s="1945" t="s">
        <v>3798</v>
      </c>
      <c r="K1437" s="1815"/>
      <c r="M1437" s="449"/>
      <c r="N1437" s="1946"/>
      <c r="O1437" s="1940" t="s">
        <v>1696</v>
      </c>
      <c r="P1437" s="1229">
        <f>'Part VIII-Threshold Criteria'!P267</f>
        <v>0</v>
      </c>
      <c r="Q1437" s="1229"/>
    </row>
    <row r="1438" spans="1:17" ht="11.4" customHeight="1">
      <c r="A1438" s="1940"/>
      <c r="B1438" s="449"/>
      <c r="D1438" s="449"/>
      <c r="E1438" s="449"/>
      <c r="F1438" s="449"/>
      <c r="G1438" s="449"/>
      <c r="H1438" s="1945" t="s">
        <v>3799</v>
      </c>
      <c r="K1438" s="1815"/>
      <c r="M1438" s="449"/>
      <c r="N1438" s="1946"/>
      <c r="O1438" s="1940" t="s">
        <v>2305</v>
      </c>
      <c r="P1438" s="1229">
        <f>'Part VIII-Threshold Criteria'!P268</f>
        <v>0</v>
      </c>
      <c r="Q1438" s="1229"/>
    </row>
    <row r="1439" spans="1:17" ht="21.75" customHeight="1">
      <c r="B1439" s="1936" t="s">
        <v>6905</v>
      </c>
      <c r="C1439" s="1936"/>
      <c r="D1439" s="1936"/>
      <c r="E1439" s="1936"/>
      <c r="F1439" s="1936"/>
      <c r="G1439" s="1936"/>
      <c r="H1439" s="1936"/>
      <c r="I1439" s="1936"/>
      <c r="J1439" s="1936"/>
      <c r="K1439" s="1936"/>
      <c r="L1439" s="1936"/>
      <c r="M1439" s="1936"/>
      <c r="N1439" s="1936"/>
      <c r="O1439" s="1942" t="s">
        <v>1516</v>
      </c>
      <c r="P1439" s="1938">
        <f>'Part VIII-Threshold Criteria'!P269</f>
        <v>0</v>
      </c>
      <c r="Q1439" s="1938"/>
    </row>
    <row r="1440" spans="1:17" ht="11.25" customHeight="1">
      <c r="B1440" s="1908" t="s">
        <v>3565</v>
      </c>
      <c r="D1440" s="1908"/>
      <c r="E1440" s="1908"/>
      <c r="F1440" s="1908"/>
      <c r="G1440" s="1908"/>
      <c r="H1440" s="1908"/>
      <c r="I1440" s="1229"/>
      <c r="J1440" s="1229"/>
      <c r="K1440" s="1229"/>
      <c r="L1440" s="1732"/>
      <c r="M1440" s="1732"/>
      <c r="N1440" s="1732"/>
      <c r="O1440" s="1732"/>
      <c r="P1440" s="1732"/>
      <c r="Q1440" s="1732"/>
    </row>
    <row r="1441" spans="1:31" ht="13.35" customHeight="1">
      <c r="A1441" s="1936" t="str">
        <f>'Part VIII-Threshold Criteria'!A271</f>
        <v xml:space="preserve">The project does not include rehabilitation. </v>
      </c>
      <c r="B1441" s="1936"/>
      <c r="C1441" s="1936"/>
      <c r="D1441" s="1936"/>
      <c r="E1441" s="1936"/>
      <c r="F1441" s="1936"/>
      <c r="G1441" s="1936"/>
      <c r="H1441" s="1936"/>
      <c r="I1441" s="1936"/>
      <c r="J1441" s="1936"/>
      <c r="K1441" s="1936"/>
      <c r="L1441" s="1936"/>
      <c r="M1441" s="1936"/>
      <c r="N1441" s="1936"/>
      <c r="O1441" s="1936"/>
      <c r="P1441" s="1936"/>
      <c r="Q1441" s="1936"/>
      <c r="R1441" s="1973" t="s">
        <v>1228</v>
      </c>
      <c r="S1441" s="1973"/>
      <c r="U1441" s="1897"/>
      <c r="V1441" s="1897"/>
      <c r="W1441" s="1897"/>
      <c r="X1441" s="1897"/>
      <c r="Y1441" s="1897"/>
      <c r="Z1441" s="1897"/>
      <c r="AA1441" s="1897"/>
      <c r="AB1441" s="1897"/>
      <c r="AC1441" s="1897"/>
      <c r="AD1441" s="1897"/>
      <c r="AE1441" s="1897"/>
    </row>
    <row r="1442" spans="1:31" ht="11.1" customHeight="1">
      <c r="B1442" s="1936" t="s">
        <v>1820</v>
      </c>
      <c r="C1442" s="1936"/>
      <c r="D1442" s="1939"/>
      <c r="E1442" s="1939"/>
      <c r="F1442" s="1939"/>
      <c r="G1442" s="1939"/>
      <c r="H1442" s="1939"/>
      <c r="I1442" s="1939"/>
      <c r="J1442" s="1939"/>
      <c r="K1442" s="1939"/>
      <c r="L1442" s="1939"/>
      <c r="M1442" s="1939"/>
      <c r="N1442" s="1939"/>
      <c r="O1442" s="1939"/>
      <c r="P1442" s="1939"/>
      <c r="Q1442" s="1939"/>
    </row>
    <row r="1443" spans="1:31" ht="13.35" customHeight="1">
      <c r="A1443" s="1936"/>
      <c r="B1443" s="1936"/>
      <c r="C1443" s="1936"/>
      <c r="D1443" s="1936"/>
      <c r="E1443" s="1936"/>
      <c r="F1443" s="1936"/>
      <c r="G1443" s="1936"/>
      <c r="H1443" s="1936"/>
      <c r="I1443" s="1936"/>
      <c r="J1443" s="1936"/>
      <c r="K1443" s="1936"/>
      <c r="L1443" s="1936"/>
      <c r="M1443" s="1936"/>
      <c r="N1443" s="1936"/>
      <c r="O1443" s="1936"/>
      <c r="P1443" s="1936"/>
      <c r="Q1443" s="1936"/>
    </row>
    <row r="1444" spans="1:31" ht="3" customHeight="1">
      <c r="A1444" s="1732"/>
      <c r="B1444" s="1229"/>
      <c r="C1444" s="1939"/>
      <c r="D1444" s="1939"/>
      <c r="E1444" s="1939"/>
      <c r="F1444" s="1939"/>
      <c r="G1444" s="1939"/>
      <c r="H1444" s="1939"/>
      <c r="I1444" s="1939"/>
      <c r="J1444" s="1939"/>
      <c r="K1444" s="1939"/>
      <c r="L1444" s="1939"/>
      <c r="M1444" s="1939"/>
      <c r="Q1444" s="1732"/>
    </row>
    <row r="1445" spans="1:31" ht="14.1" customHeight="1">
      <c r="A1445" s="1922" t="s">
        <v>2194</v>
      </c>
      <c r="B1445" s="1815" t="s">
        <v>2589</v>
      </c>
      <c r="C1445" s="1815"/>
      <c r="D1445" s="449"/>
      <c r="E1445" s="449"/>
      <c r="F1445" s="449"/>
      <c r="G1445" s="449"/>
      <c r="H1445" s="1939"/>
      <c r="I1445" s="1939"/>
      <c r="J1445" s="1939"/>
      <c r="K1445" s="1939"/>
      <c r="L1445" s="1939"/>
      <c r="M1445" s="1939"/>
      <c r="O1445" s="1942" t="s">
        <v>1821</v>
      </c>
      <c r="P1445" s="1897"/>
      <c r="Q1445" s="1897"/>
    </row>
    <row r="1446" spans="1:31" s="1910" customFormat="1" ht="21.75" customHeight="1">
      <c r="A1446" s="1942" t="s">
        <v>1936</v>
      </c>
      <c r="B1446" s="1939" t="s">
        <v>1694</v>
      </c>
      <c r="C1446" s="1936" t="s">
        <v>4710</v>
      </c>
      <c r="D1446" s="1936"/>
      <c r="E1446" s="1936"/>
      <c r="F1446" s="1936"/>
      <c r="G1446" s="1936"/>
      <c r="H1446" s="1936"/>
      <c r="I1446" s="1936"/>
      <c r="J1446" s="1936"/>
      <c r="K1446" s="1936"/>
      <c r="L1446" s="1936"/>
      <c r="M1446" s="1936"/>
      <c r="N1446" s="1936"/>
      <c r="O1446" s="1942" t="s">
        <v>1455</v>
      </c>
      <c r="P1446" s="1938" t="str">
        <f>'Part VIII-Threshold Criteria'!P276</f>
        <v>Yes</v>
      </c>
      <c r="Q1446" s="1938"/>
    </row>
    <row r="1447" spans="1:31" ht="11.4" customHeight="1">
      <c r="A1447" s="1940"/>
      <c r="B1447" s="1939" t="s">
        <v>1695</v>
      </c>
      <c r="C1447" s="449" t="s">
        <v>3568</v>
      </c>
      <c r="D1447" s="449"/>
      <c r="E1447" s="449"/>
      <c r="F1447" s="449"/>
      <c r="G1447" s="449"/>
      <c r="H1447" s="449"/>
      <c r="I1447" s="449"/>
      <c r="J1447" s="449"/>
      <c r="K1447" s="449"/>
      <c r="L1447" s="449"/>
      <c r="M1447" s="449"/>
      <c r="O1447" s="1942" t="s">
        <v>1695</v>
      </c>
      <c r="P1447" s="1229" t="str">
        <f>'Part VIII-Threshold Criteria'!P277</f>
        <v>Yes</v>
      </c>
      <c r="Q1447" s="1229"/>
    </row>
    <row r="1448" spans="1:31" ht="11.4" customHeight="1">
      <c r="A1448" s="1940" t="s">
        <v>1938</v>
      </c>
      <c r="B1448" s="449" t="s">
        <v>3569</v>
      </c>
      <c r="D1448" s="449"/>
      <c r="E1448" s="449"/>
      <c r="F1448" s="449"/>
      <c r="G1448" s="449"/>
      <c r="H1448" s="449"/>
      <c r="I1448" s="449"/>
      <c r="J1448" s="449"/>
      <c r="K1448" s="449"/>
      <c r="L1448" s="449"/>
      <c r="M1448" s="449"/>
      <c r="O1448" s="1940" t="s">
        <v>1938</v>
      </c>
      <c r="P1448" s="1229" t="str">
        <f>'Part VIII-Threshold Criteria'!P278</f>
        <v>Yes</v>
      </c>
      <c r="Q1448" s="1229"/>
    </row>
    <row r="1449" spans="1:31" s="1910" customFormat="1" ht="19.95" customHeight="1">
      <c r="A1449" s="1942" t="s">
        <v>731</v>
      </c>
      <c r="B1449" s="1939" t="s">
        <v>1694</v>
      </c>
      <c r="C1449" s="1936" t="s">
        <v>4746</v>
      </c>
      <c r="D1449" s="1936"/>
      <c r="E1449" s="1936"/>
      <c r="F1449" s="1936"/>
      <c r="G1449" s="1936"/>
      <c r="H1449" s="1936"/>
      <c r="I1449" s="1936"/>
      <c r="J1449" s="1936"/>
      <c r="K1449" s="1936"/>
      <c r="L1449" s="1936"/>
      <c r="M1449" s="1936"/>
      <c r="N1449" s="1936"/>
      <c r="O1449" s="1942" t="s">
        <v>4747</v>
      </c>
      <c r="P1449" s="1938" t="str">
        <f>'Part VIII-Threshold Criteria'!P279</f>
        <v>Yes</v>
      </c>
      <c r="Q1449" s="1938"/>
    </row>
    <row r="1450" spans="1:31" ht="11.4" customHeight="1">
      <c r="A1450" s="1940"/>
      <c r="B1450" s="1939" t="s">
        <v>1695</v>
      </c>
      <c r="C1450" s="449" t="s">
        <v>3570</v>
      </c>
      <c r="D1450" s="449"/>
      <c r="E1450" s="449"/>
      <c r="F1450" s="449"/>
      <c r="G1450" s="449"/>
      <c r="H1450" s="449"/>
      <c r="I1450" s="449"/>
      <c r="J1450" s="449"/>
      <c r="K1450" s="449"/>
      <c r="L1450" s="449"/>
      <c r="M1450" s="449"/>
      <c r="O1450" s="1942" t="s">
        <v>1695</v>
      </c>
      <c r="P1450" s="1229" t="str">
        <f>'Part VIII-Threshold Criteria'!P280</f>
        <v>Yes</v>
      </c>
      <c r="Q1450" s="1229"/>
    </row>
    <row r="1451" spans="1:31" ht="22.5" customHeight="1">
      <c r="A1451" s="1942" t="s">
        <v>2065</v>
      </c>
      <c r="B1451" s="1936" t="s">
        <v>4748</v>
      </c>
      <c r="C1451" s="1936"/>
      <c r="D1451" s="1936"/>
      <c r="E1451" s="1936"/>
      <c r="F1451" s="1936"/>
      <c r="G1451" s="1936"/>
      <c r="H1451" s="1936"/>
      <c r="I1451" s="1936"/>
      <c r="J1451" s="1936"/>
      <c r="K1451" s="1936"/>
      <c r="L1451" s="1936"/>
      <c r="M1451" s="1936"/>
      <c r="N1451" s="1936"/>
      <c r="O1451" s="1940" t="s">
        <v>2065</v>
      </c>
      <c r="P1451" s="1938" t="str">
        <f>'Part VIII-Threshold Criteria'!P281</f>
        <v>Yes</v>
      </c>
      <c r="Q1451" s="1938"/>
    </row>
    <row r="1452" spans="1:31" ht="11.25" customHeight="1">
      <c r="B1452" s="1908" t="s">
        <v>3565</v>
      </c>
      <c r="D1452" s="1908"/>
      <c r="E1452" s="1908"/>
      <c r="F1452" s="1908"/>
      <c r="G1452" s="1908"/>
      <c r="H1452" s="1908"/>
      <c r="I1452" s="1229"/>
      <c r="J1452" s="1229"/>
      <c r="K1452" s="1229"/>
      <c r="L1452" s="1732"/>
      <c r="M1452" s="1732"/>
      <c r="N1452" s="1732"/>
      <c r="O1452" s="1732"/>
      <c r="P1452" s="1732"/>
      <c r="Q1452" s="1732"/>
    </row>
    <row r="1453" spans="1:31" ht="13.35" customHeight="1">
      <c r="A1453" s="1936" t="str">
        <f>'Part VIII-Threshold Criteria'!A283</f>
        <v>Applicant has met Threshold because the Site Information and Conceptual Site Development Plan accurately addresses all requirements stated above and in the 2020 Architectural Manual. The Plan can be found in TAB 15.</v>
      </c>
      <c r="B1453" s="1936"/>
      <c r="C1453" s="1936"/>
      <c r="D1453" s="1936"/>
      <c r="E1453" s="1936"/>
      <c r="F1453" s="1936"/>
      <c r="G1453" s="1936"/>
      <c r="H1453" s="1936"/>
      <c r="I1453" s="1936"/>
      <c r="J1453" s="1936"/>
      <c r="K1453" s="1936"/>
      <c r="L1453" s="1936"/>
      <c r="M1453" s="1936"/>
      <c r="N1453" s="1936"/>
      <c r="O1453" s="1936"/>
      <c r="P1453" s="1936"/>
      <c r="Q1453" s="1936"/>
      <c r="R1453" s="1973" t="s">
        <v>1228</v>
      </c>
      <c r="S1453" s="1973"/>
      <c r="U1453" s="1897"/>
      <c r="V1453" s="1897"/>
      <c r="W1453" s="1897"/>
      <c r="X1453" s="1897"/>
      <c r="Y1453" s="1897"/>
      <c r="Z1453" s="1897"/>
      <c r="AA1453" s="1897"/>
      <c r="AB1453" s="1897"/>
      <c r="AC1453" s="1897"/>
      <c r="AD1453" s="1897"/>
      <c r="AE1453" s="1897"/>
    </row>
    <row r="1454" spans="1:31" ht="11.25" customHeight="1">
      <c r="B1454" s="1936" t="s">
        <v>1820</v>
      </c>
      <c r="C1454" s="1936"/>
      <c r="D1454" s="1939"/>
      <c r="E1454" s="1939"/>
      <c r="F1454" s="1939"/>
      <c r="G1454" s="1939"/>
      <c r="H1454" s="1939"/>
      <c r="I1454" s="1939"/>
      <c r="J1454" s="1939"/>
      <c r="K1454" s="1939"/>
      <c r="L1454" s="1939"/>
      <c r="M1454" s="1939"/>
      <c r="N1454" s="1939"/>
      <c r="O1454" s="1939"/>
      <c r="P1454" s="1939"/>
      <c r="Q1454" s="1939"/>
    </row>
    <row r="1455" spans="1:31" ht="13.35" customHeight="1">
      <c r="A1455" s="1936"/>
      <c r="B1455" s="1936"/>
      <c r="C1455" s="1936"/>
      <c r="D1455" s="1936"/>
      <c r="E1455" s="1936"/>
      <c r="F1455" s="1936"/>
      <c r="G1455" s="1936"/>
      <c r="H1455" s="1936"/>
      <c r="I1455" s="1936"/>
      <c r="J1455" s="1936"/>
      <c r="K1455" s="1936"/>
      <c r="L1455" s="1936"/>
      <c r="M1455" s="1936"/>
      <c r="N1455" s="1936"/>
      <c r="O1455" s="1936"/>
      <c r="P1455" s="1936"/>
      <c r="Q1455" s="1936"/>
    </row>
    <row r="1456" spans="1:31" ht="3" customHeight="1"/>
    <row r="1457" spans="1:18" ht="14.1" customHeight="1">
      <c r="A1457" s="1922" t="s">
        <v>3784</v>
      </c>
      <c r="B1457" s="1922" t="s">
        <v>2590</v>
      </c>
      <c r="C1457" s="1922"/>
      <c r="D1457" s="1939"/>
      <c r="E1457" s="1939"/>
      <c r="F1457" s="1939"/>
      <c r="G1457" s="1939"/>
      <c r="H1457" s="1939"/>
      <c r="I1457" s="1939"/>
      <c r="J1457" s="1939"/>
      <c r="K1457" s="1939"/>
      <c r="L1457" s="1939"/>
      <c r="M1457" s="1939"/>
      <c r="O1457" s="1942" t="s">
        <v>1821</v>
      </c>
      <c r="P1457" s="1897"/>
      <c r="Q1457" s="1897"/>
    </row>
    <row r="1458" spans="1:18" s="1910" customFormat="1" ht="30" customHeight="1">
      <c r="A1458" s="1942" t="s">
        <v>1936</v>
      </c>
      <c r="B1458" s="1936" t="s">
        <v>1694</v>
      </c>
      <c r="C1458" s="1936" t="s">
        <v>4392</v>
      </c>
      <c r="D1458" s="1936"/>
      <c r="E1458" s="1936"/>
      <c r="F1458" s="1936"/>
      <c r="G1458" s="1936"/>
      <c r="H1458" s="1936"/>
      <c r="I1458" s="1936"/>
      <c r="J1458" s="1936"/>
      <c r="K1458" s="1936"/>
      <c r="L1458" s="1936"/>
      <c r="M1458" s="1936"/>
      <c r="N1458" s="1936"/>
      <c r="O1458" s="1942" t="s">
        <v>1936</v>
      </c>
      <c r="P1458" s="1938" t="str">
        <f>'Part VIII-Threshold Criteria'!P288</f>
        <v>Agree</v>
      </c>
      <c r="Q1458" s="1938"/>
    </row>
    <row r="1459" spans="1:18" s="1910" customFormat="1" ht="21.75" customHeight="1">
      <c r="A1459" s="1942"/>
      <c r="B1459" s="1936" t="s">
        <v>1695</v>
      </c>
      <c r="C1459" s="1936" t="s">
        <v>2718</v>
      </c>
      <c r="D1459" s="1936"/>
      <c r="E1459" s="1936"/>
      <c r="F1459" s="1936"/>
      <c r="G1459" s="1936"/>
      <c r="H1459" s="1936"/>
      <c r="I1459" s="1936"/>
      <c r="J1459" s="1936"/>
      <c r="K1459" s="1936"/>
      <c r="L1459" s="1936"/>
      <c r="M1459" s="1936"/>
      <c r="N1459" s="1936"/>
      <c r="O1459" s="1942"/>
      <c r="P1459" s="1938" t="str">
        <f>'Part VIII-Threshold Criteria'!P289</f>
        <v>Agree</v>
      </c>
      <c r="Q1459" s="1938"/>
    </row>
    <row r="1460" spans="1:18" ht="11.4" customHeight="1">
      <c r="A1460" s="1904" t="s">
        <v>1938</v>
      </c>
      <c r="B1460" s="1897" t="s">
        <v>305</v>
      </c>
      <c r="D1460" s="1815"/>
      <c r="E1460" s="1815"/>
      <c r="R1460" s="1993"/>
    </row>
    <row r="1461" spans="1:18" ht="11.4" customHeight="1">
      <c r="A1461" s="1904"/>
      <c r="B1461" s="449" t="s">
        <v>4551</v>
      </c>
      <c r="D1461" s="1815"/>
      <c r="E1461" s="1815"/>
      <c r="O1461" s="1940" t="s">
        <v>1938</v>
      </c>
      <c r="P1461" s="1938" t="str">
        <f>'Part VIII-Threshold Criteria'!P291</f>
        <v>Agree</v>
      </c>
      <c r="Q1461" s="1938"/>
      <c r="R1461" s="1940"/>
    </row>
    <row r="1462" spans="1:18" s="1947" customFormat="1" ht="11.4" customHeight="1">
      <c r="A1462" s="1815"/>
      <c r="B1462" s="1908" t="s">
        <v>3565</v>
      </c>
      <c r="C1462" s="1815"/>
      <c r="D1462" s="1897"/>
      <c r="E1462" s="1897"/>
      <c r="F1462" s="1897"/>
      <c r="G1462" s="1897"/>
      <c r="K1462" s="449"/>
      <c r="M1462" s="1896"/>
      <c r="N1462" s="1896"/>
      <c r="O1462" s="1923"/>
      <c r="P1462" s="1896"/>
    </row>
    <row r="1463" spans="1:18" s="1951" customFormat="1" ht="21.75" customHeight="1">
      <c r="A1463" s="1936" t="str">
        <f>'Part VIII-Threshold Criteria'!A293</f>
        <v xml:space="preserve">Applicant has met Threshold because a member of the project team has received a Earth Craft House Multifamily certification. The minimum score required is 100 points. Applicant has 108 points on the Earth Craft Housing score sheet. Please see documentation in TAB 16.  </v>
      </c>
      <c r="B1463" s="1936"/>
      <c r="C1463" s="1936"/>
      <c r="D1463" s="1936"/>
      <c r="E1463" s="1936"/>
      <c r="F1463" s="1936"/>
      <c r="G1463" s="1936"/>
      <c r="H1463" s="1936"/>
      <c r="I1463" s="1936"/>
      <c r="J1463" s="1936"/>
      <c r="K1463" s="1936"/>
      <c r="L1463" s="1936"/>
      <c r="M1463" s="1936"/>
      <c r="N1463" s="1936"/>
      <c r="O1463" s="1936"/>
      <c r="P1463" s="1936"/>
      <c r="Q1463" s="1936"/>
      <c r="R1463" s="1973" t="s">
        <v>1228</v>
      </c>
    </row>
    <row r="1464" spans="1:18" s="1951" customFormat="1" ht="11.25" customHeight="1">
      <c r="A1464" s="1995"/>
      <c r="B1464" s="1936" t="s">
        <v>1820</v>
      </c>
      <c r="C1464" s="1936"/>
      <c r="D1464" s="1939"/>
      <c r="E1464" s="1939"/>
      <c r="F1464" s="1939"/>
      <c r="G1464" s="1939"/>
      <c r="H1464" s="1939"/>
      <c r="I1464" s="1939"/>
      <c r="J1464" s="1939"/>
      <c r="K1464" s="1939"/>
      <c r="L1464" s="1939"/>
      <c r="M1464" s="1939"/>
      <c r="N1464" s="1939"/>
      <c r="O1464" s="1939"/>
      <c r="P1464" s="1939"/>
      <c r="Q1464" s="1939"/>
      <c r="R1464" s="1995"/>
    </row>
    <row r="1465" spans="1:18" s="1951" customFormat="1" ht="11.25" customHeight="1">
      <c r="A1465" s="1936"/>
      <c r="B1465" s="1936"/>
      <c r="C1465" s="1936"/>
      <c r="D1465" s="1936"/>
      <c r="E1465" s="1936"/>
      <c r="F1465" s="1936"/>
      <c r="G1465" s="1936"/>
      <c r="H1465" s="1936"/>
      <c r="I1465" s="1936"/>
      <c r="J1465" s="1936"/>
      <c r="K1465" s="1936"/>
      <c r="L1465" s="1936"/>
      <c r="M1465" s="1936"/>
      <c r="N1465" s="1936"/>
      <c r="O1465" s="1936"/>
      <c r="P1465" s="1936"/>
      <c r="Q1465" s="1936"/>
      <c r="R1465" s="1995"/>
    </row>
    <row r="1466" spans="1:18" s="1951" customFormat="1" ht="3" customHeight="1">
      <c r="A1466" s="1815"/>
      <c r="D1466" s="449"/>
      <c r="E1466" s="449"/>
      <c r="F1466" s="1896"/>
      <c r="G1466" s="1896"/>
      <c r="H1466" s="1896"/>
      <c r="I1466" s="1896"/>
      <c r="J1466" s="1908"/>
      <c r="K1466" s="1908"/>
      <c r="L1466" s="1908"/>
      <c r="M1466" s="1229"/>
      <c r="N1466" s="1896"/>
      <c r="O1466" s="1874"/>
      <c r="P1466" s="1923"/>
    </row>
    <row r="1467" spans="1:18" ht="14.1" customHeight="1">
      <c r="A1467" s="1922" t="s">
        <v>3785</v>
      </c>
      <c r="B1467" s="1922" t="s">
        <v>2591</v>
      </c>
      <c r="C1467" s="1981"/>
      <c r="D1467" s="1939"/>
      <c r="E1467" s="1939"/>
      <c r="F1467" s="1939"/>
      <c r="G1467" s="1939"/>
      <c r="H1467" s="1939"/>
      <c r="I1467" s="1939"/>
      <c r="J1467" s="1939"/>
      <c r="K1467" s="1939"/>
      <c r="L1467" s="1939"/>
      <c r="M1467" s="1939"/>
      <c r="O1467" s="1942" t="s">
        <v>1821</v>
      </c>
      <c r="P1467" s="1897"/>
      <c r="Q1467" s="1897"/>
    </row>
    <row r="1468" spans="1:18" ht="12.75" customHeight="1">
      <c r="A1468" s="1904" t="s">
        <v>1936</v>
      </c>
      <c r="B1468" s="1911" t="s">
        <v>6876</v>
      </c>
    </row>
    <row r="1469" spans="1:18" ht="44.25" customHeight="1">
      <c r="A1469" s="1942"/>
      <c r="B1469" s="1939" t="s">
        <v>1694</v>
      </c>
      <c r="C1469" s="1936" t="s">
        <v>3676</v>
      </c>
      <c r="D1469" s="1936"/>
      <c r="E1469" s="1936"/>
      <c r="F1469" s="1936"/>
      <c r="G1469" s="1936"/>
      <c r="H1469" s="1936"/>
      <c r="I1469" s="1936"/>
      <c r="J1469" s="1936"/>
      <c r="K1469" s="1936"/>
      <c r="L1469" s="1936"/>
      <c r="M1469" s="1936"/>
      <c r="N1469" s="1936"/>
      <c r="O1469" s="1942" t="s">
        <v>2643</v>
      </c>
      <c r="P1469" s="1938" t="str">
        <f>'Part VIII-Threshold Criteria'!P299</f>
        <v>Yes</v>
      </c>
      <c r="Q1469" s="1938"/>
    </row>
    <row r="1470" spans="1:18" s="1910" customFormat="1" ht="12" customHeight="1">
      <c r="A1470" s="1942"/>
      <c r="B1470" s="1939" t="s">
        <v>1695</v>
      </c>
      <c r="C1470" s="1936" t="s">
        <v>4745</v>
      </c>
      <c r="D1470" s="1936"/>
      <c r="E1470" s="1936"/>
      <c r="F1470" s="1936"/>
      <c r="G1470" s="1936"/>
      <c r="H1470" s="1936"/>
      <c r="I1470" s="1936"/>
      <c r="J1470" s="1936"/>
      <c r="K1470" s="1936"/>
      <c r="L1470" s="1936"/>
      <c r="M1470" s="1936"/>
      <c r="N1470" s="1936"/>
      <c r="O1470" s="1942" t="s">
        <v>1695</v>
      </c>
      <c r="P1470" s="1938" t="str">
        <f>'Part VIII-Threshold Criteria'!P300</f>
        <v>Yes</v>
      </c>
      <c r="Q1470" s="1938"/>
    </row>
    <row r="1471" spans="1:18" s="1910" customFormat="1" ht="21.75" customHeight="1">
      <c r="A1471" s="1942"/>
      <c r="B1471" s="1939" t="s">
        <v>1696</v>
      </c>
      <c r="C1471" s="1936" t="s">
        <v>3675</v>
      </c>
      <c r="D1471" s="1936"/>
      <c r="E1471" s="1936"/>
      <c r="F1471" s="1936"/>
      <c r="G1471" s="1936"/>
      <c r="H1471" s="1936"/>
      <c r="I1471" s="1936"/>
      <c r="J1471" s="1936"/>
      <c r="K1471" s="1936"/>
      <c r="L1471" s="1936"/>
      <c r="M1471" s="1936"/>
      <c r="N1471" s="1936"/>
      <c r="O1471" s="1942" t="s">
        <v>1696</v>
      </c>
      <c r="P1471" s="1938" t="str">
        <f>'Part VIII-Threshold Criteria'!P301</f>
        <v>Yes</v>
      </c>
      <c r="Q1471" s="1938"/>
    </row>
    <row r="1472" spans="1:18" s="1815" customFormat="1" ht="12.75" customHeight="1">
      <c r="A1472" s="1904" t="s">
        <v>1938</v>
      </c>
      <c r="B1472" s="1911" t="s">
        <v>3652</v>
      </c>
      <c r="D1472" s="2141"/>
      <c r="E1472" s="2141"/>
      <c r="F1472" s="2141"/>
      <c r="G1472" s="2141"/>
      <c r="H1472" s="2141"/>
      <c r="I1472" s="2141"/>
      <c r="J1472" s="2141"/>
      <c r="K1472" s="2141"/>
      <c r="L1472" s="2141"/>
      <c r="M1472" s="2141"/>
      <c r="N1472" s="2141"/>
      <c r="O1472" s="1940"/>
      <c r="P1472" s="1940"/>
      <c r="Q1472" s="1940"/>
    </row>
    <row r="1473" spans="1:33" s="1815" customFormat="1" ht="11.25" customHeight="1">
      <c r="A1473" s="1948"/>
      <c r="B1473" s="1939" t="s">
        <v>1694</v>
      </c>
      <c r="C1473" s="1936" t="s">
        <v>6877</v>
      </c>
      <c r="D1473" s="1936"/>
      <c r="E1473" s="1936"/>
      <c r="F1473" s="1936"/>
      <c r="G1473" s="1936"/>
      <c r="H1473" s="1936"/>
      <c r="I1473" s="1936"/>
      <c r="J1473" s="1945" t="s">
        <v>3601</v>
      </c>
      <c r="K1473" s="1945"/>
      <c r="L1473" s="1945"/>
      <c r="M1473" s="449" t="s">
        <v>3573</v>
      </c>
      <c r="N1473" s="449"/>
    </row>
    <row r="1474" spans="1:33" s="1819" customFormat="1" ht="10.5" customHeight="1">
      <c r="A1474" s="1826"/>
      <c r="B1474" s="1823"/>
      <c r="C1474" s="1936"/>
      <c r="D1474" s="1936"/>
      <c r="E1474" s="1936"/>
      <c r="F1474" s="1936"/>
      <c r="G1474" s="1936"/>
      <c r="H1474" s="1936"/>
      <c r="I1474" s="1821"/>
      <c r="J1474" s="1945"/>
      <c r="K1474" s="1945"/>
      <c r="L1474" s="1945"/>
      <c r="M1474" s="449" t="s">
        <v>3574</v>
      </c>
      <c r="N1474" s="1229" t="s">
        <v>3600</v>
      </c>
      <c r="P1474" s="1828"/>
    </row>
    <row r="1475" spans="1:33" s="1819" customFormat="1" ht="13.35" customHeight="1">
      <c r="A1475" s="1826"/>
      <c r="B1475" s="1823"/>
      <c r="C1475" s="1936"/>
      <c r="D1475" s="1936"/>
      <c r="E1475" s="1936"/>
      <c r="F1475" s="1936"/>
      <c r="G1475" s="1936"/>
      <c r="H1475" s="1936"/>
      <c r="I1475" s="449" t="s">
        <v>3801</v>
      </c>
      <c r="K1475" s="2228">
        <f>'Part VIII-Threshold Criteria'!K305</f>
        <v>4</v>
      </c>
      <c r="L1475" s="1823" t="str">
        <f>IF(K1475&lt;M1475,"Check!!!","")</f>
        <v/>
      </c>
      <c r="M1475" s="2142">
        <f>ROUNDUP('Part VI-Revenues &amp; Expenses'!$P$67*'Part VIII-Threshold Criteria'!N1475,0)</f>
        <v>0</v>
      </c>
      <c r="N1475" s="2143">
        <f>'DCA Underwriting Assumptions'!$Q$154</f>
        <v>0.05</v>
      </c>
      <c r="O1475" s="1940" t="s">
        <v>3470</v>
      </c>
      <c r="P1475" s="1229" t="str">
        <f>'Part VIII-Threshold Criteria'!P305</f>
        <v>Yes</v>
      </c>
      <c r="Q1475" s="1229"/>
      <c r="V1475" s="449"/>
      <c r="X1475" s="449"/>
      <c r="Z1475" s="1823" t="str">
        <f>IF(AA1475="","",IF(AA1475&lt;AC1475,"Check!!!",""))</f>
        <v/>
      </c>
      <c r="AA1475" s="1823" t="str">
        <f t="shared" ref="AA1475:AG1475" si="396">IF(AB1475="","",IF(AB1475&lt;AD1475,"Check!!!",""))</f>
        <v/>
      </c>
      <c r="AB1475" s="1823" t="str">
        <f t="shared" si="396"/>
        <v/>
      </c>
      <c r="AC1475" s="1823" t="str">
        <f t="shared" si="396"/>
        <v/>
      </c>
      <c r="AD1475" s="1823" t="str">
        <f t="shared" si="396"/>
        <v/>
      </c>
      <c r="AE1475" s="1823" t="str">
        <f t="shared" si="396"/>
        <v/>
      </c>
      <c r="AF1475" s="1823" t="str">
        <f t="shared" si="396"/>
        <v/>
      </c>
      <c r="AG1475" s="1823" t="str">
        <f t="shared" si="396"/>
        <v/>
      </c>
    </row>
    <row r="1476" spans="1:33" s="1815" customFormat="1" ht="12.75" customHeight="1">
      <c r="A1476" s="1942"/>
      <c r="B1476" s="1939"/>
      <c r="C1476" s="1936" t="s">
        <v>6878</v>
      </c>
      <c r="D1476" s="1936"/>
      <c r="E1476" s="1936"/>
      <c r="F1476" s="1936"/>
      <c r="G1476" s="1936"/>
      <c r="H1476" s="1936"/>
      <c r="I1476" s="1944" t="s">
        <v>3802</v>
      </c>
      <c r="J1476" s="1819"/>
      <c r="K1476" s="2228">
        <f>'Part VIII-Threshold Criteria'!K306</f>
        <v>2</v>
      </c>
      <c r="L1476" s="1823" t="str">
        <f>IF(K1476&lt;M1476,"Check!!!","")</f>
        <v/>
      </c>
      <c r="M1476" s="2142">
        <f>ROUNDUP(K1475*'Part VIII-Threshold Criteria'!N1476,0)</f>
        <v>0</v>
      </c>
      <c r="N1476" s="2143">
        <f>'DCA Underwriting Assumptions'!$Q$155</f>
        <v>0.4</v>
      </c>
      <c r="O1476" s="1940" t="s">
        <v>2067</v>
      </c>
      <c r="P1476" s="1936" t="str">
        <f>'Part VIII-Threshold Criteria'!P306</f>
        <v>Yes</v>
      </c>
      <c r="Q1476" s="1936"/>
      <c r="T1476" s="1936"/>
      <c r="U1476" s="1936"/>
      <c r="V1476" s="1936"/>
      <c r="W1476" s="1936"/>
      <c r="X1476" s="1936"/>
      <c r="Y1476" s="1936"/>
      <c r="Z1476" s="1936"/>
      <c r="AA1476" s="1936"/>
      <c r="AB1476" s="1936"/>
      <c r="AC1476" s="1936"/>
      <c r="AD1476" s="1936"/>
      <c r="AE1476" s="1936"/>
      <c r="AF1476" s="1936"/>
      <c r="AG1476" s="1936"/>
    </row>
    <row r="1477" spans="1:33" s="1819" customFormat="1" ht="10.5" customHeight="1">
      <c r="A1477" s="1826"/>
      <c r="B1477" s="1823"/>
      <c r="C1477" s="1936"/>
      <c r="D1477" s="1936"/>
      <c r="E1477" s="1936"/>
      <c r="F1477" s="1936"/>
      <c r="G1477" s="1936"/>
      <c r="H1477" s="1936"/>
      <c r="O1477" s="1908"/>
      <c r="P1477" s="1936">
        <f>'Part VIII-Threshold Criteria'!P307</f>
        <v>0</v>
      </c>
      <c r="Q1477" s="1936"/>
      <c r="V1477" s="449"/>
      <c r="W1477" s="1944"/>
      <c r="X1477" s="449"/>
      <c r="Z1477" s="1823" t="str">
        <f>IF(AA1477="","",IF(AA1477&lt;AC1477,"Check!!!",""))</f>
        <v/>
      </c>
      <c r="AA1477" s="1823" t="str">
        <f t="shared" ref="AA1477:AG1477" si="397">IF(AB1477="","",IF(AB1477&lt;AD1477,"Check!!!",""))</f>
        <v/>
      </c>
      <c r="AB1477" s="1823" t="str">
        <f t="shared" si="397"/>
        <v/>
      </c>
      <c r="AC1477" s="1823" t="str">
        <f t="shared" si="397"/>
        <v/>
      </c>
      <c r="AD1477" s="1823" t="str">
        <f t="shared" si="397"/>
        <v/>
      </c>
      <c r="AE1477" s="1823" t="str">
        <f t="shared" si="397"/>
        <v/>
      </c>
      <c r="AF1477" s="1823" t="str">
        <f t="shared" si="397"/>
        <v/>
      </c>
      <c r="AG1477" s="1823" t="str">
        <f t="shared" si="397"/>
        <v/>
      </c>
    </row>
    <row r="1478" spans="1:33" s="1815" customFormat="1" ht="12.75" customHeight="1">
      <c r="A1478" s="1942"/>
      <c r="B1478" s="1939" t="s">
        <v>1695</v>
      </c>
      <c r="C1478" s="1936" t="s">
        <v>6879</v>
      </c>
      <c r="D1478" s="1936"/>
      <c r="E1478" s="1936"/>
      <c r="F1478" s="1936"/>
      <c r="G1478" s="1936"/>
      <c r="H1478" s="1936"/>
      <c r="I1478" s="449" t="s">
        <v>3803</v>
      </c>
      <c r="J1478" s="1819"/>
      <c r="K1478" s="2228">
        <f>'Part VIII-Threshold Criteria'!K308</f>
        <v>2</v>
      </c>
      <c r="L1478" s="1823" t="str">
        <f>IF(K1478&lt;M1478,"Check!!!","")</f>
        <v/>
      </c>
      <c r="M1478" s="2142">
        <f>ROUNDUP('Part VI-Revenues &amp; Expenses'!$P$67*'Part VIII-Threshold Criteria'!N1478,0)</f>
        <v>0</v>
      </c>
      <c r="N1478" s="2143">
        <f>'DCA Underwriting Assumptions'!$Q$156</f>
        <v>0.02</v>
      </c>
      <c r="O1478" s="1940" t="s">
        <v>1695</v>
      </c>
      <c r="P1478" s="1229" t="str">
        <f>'Part VIII-Threshold Criteria'!P308</f>
        <v>Yes</v>
      </c>
      <c r="Q1478" s="1229"/>
      <c r="T1478" s="1936"/>
      <c r="U1478" s="1936"/>
      <c r="V1478" s="1936"/>
      <c r="W1478" s="1936"/>
      <c r="X1478" s="1936"/>
      <c r="Y1478" s="1936"/>
      <c r="Z1478" s="1936"/>
      <c r="AA1478" s="1936"/>
      <c r="AB1478" s="1936"/>
      <c r="AC1478" s="1936"/>
      <c r="AD1478" s="1936"/>
      <c r="AE1478" s="1936"/>
      <c r="AF1478" s="1936"/>
      <c r="AG1478" s="1936"/>
    </row>
    <row r="1479" spans="1:33" s="1819" customFormat="1" ht="3" customHeight="1">
      <c r="A1479" s="1826"/>
      <c r="C1479" s="1936"/>
      <c r="D1479" s="1936"/>
      <c r="E1479" s="1936"/>
      <c r="F1479" s="1936"/>
      <c r="G1479" s="1936"/>
      <c r="H1479" s="1936"/>
      <c r="J1479" s="449"/>
      <c r="K1479" s="449"/>
      <c r="L1479" s="1908"/>
      <c r="M1479" s="1229"/>
      <c r="O1479" s="449"/>
      <c r="P1479" s="1229"/>
      <c r="Q1479" s="449"/>
      <c r="T1479" s="449"/>
      <c r="U1479" s="1944"/>
      <c r="V1479" s="449"/>
      <c r="W1479" s="1944"/>
      <c r="X1479" s="449"/>
      <c r="Y1479" s="449"/>
      <c r="Z1479" s="449"/>
      <c r="AA1479" s="449"/>
      <c r="AB1479" s="449"/>
      <c r="AC1479" s="449"/>
      <c r="AD1479" s="449"/>
      <c r="AE1479" s="449"/>
      <c r="AF1479" s="449"/>
      <c r="AG1479" s="449"/>
    </row>
    <row r="1480" spans="1:33" s="1819" customFormat="1" ht="10.5" customHeight="1">
      <c r="A1480" s="1826"/>
      <c r="C1480" s="1936"/>
      <c r="D1480" s="1936"/>
      <c r="E1480" s="1936"/>
      <c r="F1480" s="1936"/>
      <c r="G1480" s="1936"/>
      <c r="H1480" s="1936"/>
      <c r="O1480" s="1908"/>
      <c r="P1480" s="1940"/>
      <c r="V1480" s="449"/>
      <c r="W1480" s="1944"/>
      <c r="X1480" s="449"/>
      <c r="Z1480" s="1823" t="str">
        <f>IF(AA1480="","",IF(AA1480&lt;AC1480,"Check!!!",""))</f>
        <v/>
      </c>
      <c r="AA1480" s="1823" t="str">
        <f t="shared" ref="AA1480:AG1480" si="398">IF(AB1480="","",IF(AB1480&lt;AD1480,"Check!!!",""))</f>
        <v/>
      </c>
      <c r="AB1480" s="1823" t="str">
        <f t="shared" si="398"/>
        <v/>
      </c>
      <c r="AC1480" s="1823" t="str">
        <f t="shared" si="398"/>
        <v/>
      </c>
      <c r="AD1480" s="1823" t="str">
        <f t="shared" si="398"/>
        <v/>
      </c>
      <c r="AE1480" s="1823" t="str">
        <f t="shared" si="398"/>
        <v/>
      </c>
      <c r="AF1480" s="1823" t="str">
        <f t="shared" si="398"/>
        <v/>
      </c>
      <c r="AG1480" s="1823" t="str">
        <f t="shared" si="398"/>
        <v/>
      </c>
    </row>
    <row r="1481" spans="1:33" s="1819" customFormat="1" ht="10.5" customHeight="1">
      <c r="A1481" s="1904" t="s">
        <v>731</v>
      </c>
      <c r="B1481" s="1911" t="s">
        <v>3653</v>
      </c>
      <c r="D1481" s="1939"/>
      <c r="E1481" s="1939"/>
      <c r="F1481" s="1939"/>
      <c r="G1481" s="1939"/>
      <c r="H1481" s="1939"/>
      <c r="O1481" s="1908"/>
      <c r="P1481" s="1940"/>
      <c r="V1481" s="449"/>
      <c r="W1481" s="1944"/>
      <c r="X1481" s="449"/>
      <c r="Z1481" s="1823"/>
      <c r="AA1481" s="1823"/>
      <c r="AB1481" s="1823"/>
      <c r="AC1481" s="1823"/>
      <c r="AD1481" s="1823"/>
      <c r="AE1481" s="1823"/>
      <c r="AF1481" s="1823"/>
      <c r="AG1481" s="1823"/>
    </row>
    <row r="1482" spans="1:33" s="1815" customFormat="1" ht="21.75" customHeight="1">
      <c r="B1482" s="1936" t="s">
        <v>3472</v>
      </c>
      <c r="C1482" s="1936"/>
      <c r="D1482" s="1936"/>
      <c r="E1482" s="1936"/>
      <c r="F1482" s="1936"/>
      <c r="G1482" s="1936"/>
      <c r="H1482" s="1936"/>
      <c r="I1482" s="1936"/>
      <c r="J1482" s="1936"/>
      <c r="K1482" s="1936"/>
      <c r="L1482" s="1936"/>
      <c r="M1482" s="1936"/>
      <c r="N1482" s="1936"/>
      <c r="O1482" s="1942" t="s">
        <v>731</v>
      </c>
      <c r="P1482" s="1938" t="str">
        <f>'Part VIII-Threshold Criteria'!P312</f>
        <v>Yes</v>
      </c>
      <c r="Q1482" s="1938"/>
    </row>
    <row r="1483" spans="1:33" s="1815" customFormat="1" ht="11.25" customHeight="1">
      <c r="B1483" s="1936" t="s">
        <v>3473</v>
      </c>
      <c r="D1483" s="1936"/>
      <c r="E1483" s="1936"/>
      <c r="F1483" s="1936"/>
      <c r="G1483" s="1936"/>
      <c r="H1483" s="1936"/>
      <c r="I1483" s="1936" t="s">
        <v>3572</v>
      </c>
      <c r="J1483" s="1936"/>
      <c r="K1483" s="1936"/>
      <c r="L1483" s="1936" t="str">
        <f>'Part VIII-Threshold Criteria'!L313</f>
        <v>Terracon</v>
      </c>
      <c r="M1483" s="1936"/>
      <c r="N1483" s="1936"/>
      <c r="O1483" s="1936"/>
      <c r="P1483" s="1936"/>
      <c r="Q1483" s="1936"/>
      <c r="R1483" s="1936"/>
    </row>
    <row r="1484" spans="1:33" s="1910" customFormat="1" ht="44.25" customHeight="1">
      <c r="B1484" s="1939" t="s">
        <v>1694</v>
      </c>
      <c r="C1484" s="1936" t="s">
        <v>3471</v>
      </c>
      <c r="D1484" s="1936"/>
      <c r="E1484" s="1936"/>
      <c r="F1484" s="1936"/>
      <c r="G1484" s="1936"/>
      <c r="H1484" s="1936"/>
      <c r="I1484" s="1936"/>
      <c r="J1484" s="1936"/>
      <c r="K1484" s="1936"/>
      <c r="L1484" s="1936"/>
      <c r="M1484" s="1936"/>
      <c r="N1484" s="1936"/>
      <c r="O1484" s="1942" t="s">
        <v>3476</v>
      </c>
      <c r="P1484" s="1938" t="str">
        <f>'Part VIII-Threshold Criteria'!P314</f>
        <v>Yes</v>
      </c>
      <c r="Q1484" s="1938"/>
    </row>
    <row r="1485" spans="1:33" s="1910" customFormat="1" ht="34.5" customHeight="1">
      <c r="B1485" s="1939" t="s">
        <v>1695</v>
      </c>
      <c r="C1485" s="1936" t="s">
        <v>4354</v>
      </c>
      <c r="D1485" s="1936"/>
      <c r="E1485" s="1936"/>
      <c r="F1485" s="1936"/>
      <c r="G1485" s="1936"/>
      <c r="H1485" s="1936"/>
      <c r="I1485" s="1936"/>
      <c r="J1485" s="1936"/>
      <c r="K1485" s="1936"/>
      <c r="L1485" s="1936"/>
      <c r="M1485" s="1936"/>
      <c r="N1485" s="1936"/>
      <c r="O1485" s="1942" t="s">
        <v>3477</v>
      </c>
      <c r="P1485" s="1938" t="str">
        <f>'Part VIII-Threshold Criteria'!P315</f>
        <v>Yes</v>
      </c>
      <c r="Q1485" s="1938"/>
    </row>
    <row r="1486" spans="1:33" s="1910" customFormat="1" ht="22.5" customHeight="1">
      <c r="B1486" s="1939" t="s">
        <v>1696</v>
      </c>
      <c r="C1486" s="1936" t="s">
        <v>3474</v>
      </c>
      <c r="D1486" s="1936"/>
      <c r="E1486" s="1936"/>
      <c r="F1486" s="1936"/>
      <c r="G1486" s="1936"/>
      <c r="H1486" s="1936"/>
      <c r="I1486" s="1936"/>
      <c r="J1486" s="1936"/>
      <c r="K1486" s="1936"/>
      <c r="L1486" s="1936"/>
      <c r="M1486" s="1936"/>
      <c r="N1486" s="1936"/>
      <c r="O1486" s="1942" t="s">
        <v>3478</v>
      </c>
      <c r="P1486" s="1938" t="str">
        <f>'Part VIII-Threshold Criteria'!P316</f>
        <v>Yes</v>
      </c>
      <c r="Q1486" s="1938"/>
    </row>
    <row r="1487" spans="1:33" s="1910" customFormat="1" ht="32.25" customHeight="1">
      <c r="B1487" s="1939" t="s">
        <v>2305</v>
      </c>
      <c r="C1487" s="1936" t="s">
        <v>3475</v>
      </c>
      <c r="D1487" s="1936"/>
      <c r="E1487" s="1936"/>
      <c r="F1487" s="1936"/>
      <c r="G1487" s="1936"/>
      <c r="H1487" s="1936"/>
      <c r="I1487" s="1936"/>
      <c r="J1487" s="1936"/>
      <c r="K1487" s="1936"/>
      <c r="L1487" s="1936"/>
      <c r="M1487" s="1936"/>
      <c r="N1487" s="1936"/>
      <c r="O1487" s="1942" t="s">
        <v>3479</v>
      </c>
      <c r="P1487" s="1938" t="str">
        <f>'Part VIII-Threshold Criteria'!P317</f>
        <v>Yes</v>
      </c>
      <c r="Q1487" s="1938"/>
    </row>
    <row r="1488" spans="1:33" ht="11.25" customHeight="1">
      <c r="B1488" s="1908" t="s">
        <v>3565</v>
      </c>
      <c r="D1488" s="1908"/>
      <c r="E1488" s="1908"/>
      <c r="F1488" s="1908"/>
      <c r="G1488" s="1908"/>
      <c r="H1488" s="1908"/>
      <c r="I1488" s="1229"/>
      <c r="J1488" s="1229"/>
      <c r="K1488" s="1229"/>
      <c r="L1488" s="1732"/>
      <c r="M1488" s="1732"/>
      <c r="N1488" s="1732"/>
      <c r="O1488" s="1732"/>
      <c r="P1488" s="1732"/>
      <c r="Q1488" s="1732"/>
    </row>
    <row r="1489" spans="1:256 1523:1523" ht="32.25" customHeight="1">
      <c r="A1489" s="1936" t="str">
        <f>'Part VIII-Threshold Criteria'!A319</f>
        <v xml:space="preserve">Applicant has met Threshold by agreeding to all of DCA's accessibility standards stated above and in the 2020 QAP. </v>
      </c>
      <c r="B1489" s="1936"/>
      <c r="C1489" s="1936"/>
      <c r="D1489" s="1936"/>
      <c r="E1489" s="1936"/>
      <c r="F1489" s="1936"/>
      <c r="G1489" s="1936"/>
      <c r="H1489" s="1936"/>
      <c r="I1489" s="1936"/>
      <c r="J1489" s="1936"/>
      <c r="K1489" s="1936"/>
      <c r="L1489" s="1936"/>
      <c r="M1489" s="1936"/>
      <c r="N1489" s="1936"/>
      <c r="O1489" s="1936"/>
      <c r="P1489" s="1936"/>
      <c r="Q1489" s="1936"/>
      <c r="R1489" s="1973" t="s">
        <v>1228</v>
      </c>
      <c r="S1489" s="1973"/>
      <c r="U1489" s="1897"/>
      <c r="V1489" s="1897"/>
      <c r="W1489" s="1897"/>
      <c r="X1489" s="1897"/>
      <c r="Y1489" s="1897"/>
      <c r="Z1489" s="1897"/>
      <c r="AA1489" s="1897"/>
      <c r="AB1489" s="1897"/>
      <c r="AC1489" s="1897"/>
      <c r="AD1489" s="1897"/>
      <c r="AE1489" s="1897"/>
    </row>
    <row r="1490" spans="1:256 1523:1523" ht="11.25" customHeight="1">
      <c r="B1490" s="1936" t="s">
        <v>1820</v>
      </c>
      <c r="C1490" s="1936"/>
      <c r="D1490" s="1939"/>
      <c r="E1490" s="1939"/>
      <c r="F1490" s="1939"/>
      <c r="G1490" s="1939"/>
      <c r="H1490" s="1939"/>
      <c r="I1490" s="1939"/>
      <c r="J1490" s="1939"/>
      <c r="K1490" s="1939"/>
      <c r="L1490" s="1939"/>
      <c r="M1490" s="1939"/>
      <c r="N1490" s="1939"/>
      <c r="O1490" s="1939"/>
      <c r="P1490" s="1939"/>
      <c r="Q1490" s="1939"/>
    </row>
    <row r="1491" spans="1:256 1523:1523" ht="45.75" customHeight="1">
      <c r="A1491" s="1936"/>
      <c r="B1491" s="1936"/>
      <c r="C1491" s="1936"/>
      <c r="D1491" s="1936"/>
      <c r="E1491" s="1936"/>
      <c r="F1491" s="1936"/>
      <c r="G1491" s="1936"/>
      <c r="H1491" s="1936"/>
      <c r="I1491" s="1936"/>
      <c r="J1491" s="1936"/>
      <c r="K1491" s="1936"/>
      <c r="L1491" s="1936"/>
      <c r="M1491" s="1936"/>
      <c r="N1491" s="1936"/>
      <c r="O1491" s="1936"/>
      <c r="P1491" s="1936"/>
      <c r="Q1491" s="1936"/>
    </row>
    <row r="1492" spans="1:256 1523:1523" ht="14.1" customHeight="1">
      <c r="A1492" s="1922" t="s">
        <v>3783</v>
      </c>
      <c r="B1492" s="1815" t="s">
        <v>2592</v>
      </c>
      <c r="C1492" s="1815"/>
      <c r="D1492" s="1815"/>
      <c r="E1492" s="1815"/>
      <c r="F1492" s="1815"/>
      <c r="G1492" s="1815"/>
      <c r="H1492" s="1939"/>
      <c r="I1492" s="1939"/>
      <c r="J1492" s="1939"/>
      <c r="K1492" s="1939"/>
      <c r="L1492" s="1939"/>
      <c r="M1492" s="1939"/>
      <c r="O1492" s="1942" t="s">
        <v>1821</v>
      </c>
      <c r="P1492" s="1897"/>
      <c r="Q1492" s="1897"/>
    </row>
    <row r="1493" spans="1:256 1523:1523" ht="11.4" customHeight="1">
      <c r="B1493" s="1945" t="s">
        <v>2195</v>
      </c>
      <c r="P1493" s="1229" t="str">
        <f>'Part VIII-Threshold Criteria'!P323</f>
        <v>No</v>
      </c>
      <c r="Q1493" s="1229"/>
    </row>
    <row r="1494" spans="1:256 1523:1523" ht="12" customHeight="1">
      <c r="B1494" s="1939" t="s">
        <v>2155</v>
      </c>
      <c r="C1494" s="1939"/>
      <c r="D1494" s="1939"/>
      <c r="E1494" s="1939"/>
      <c r="F1494" s="1939"/>
      <c r="G1494" s="1939"/>
      <c r="H1494" s="1939"/>
      <c r="I1494" s="1939"/>
      <c r="J1494" s="1939"/>
      <c r="K1494" s="1939"/>
      <c r="L1494" s="1939"/>
      <c r="P1494" s="1229" t="str">
        <f>'Part VIII-Threshold Criteria'!P324</f>
        <v>Yes</v>
      </c>
      <c r="Q1494" s="1229"/>
    </row>
    <row r="1495" spans="1:256 1523:1523" ht="11.4" customHeight="1">
      <c r="A1495" s="1942" t="s">
        <v>1936</v>
      </c>
      <c r="B1495" s="1908" t="s">
        <v>6880</v>
      </c>
      <c r="D1495" s="1908"/>
      <c r="E1495" s="1908"/>
      <c r="F1495" s="1908"/>
      <c r="G1495" s="1908"/>
      <c r="H1495" s="1908"/>
      <c r="I1495" s="1908"/>
      <c r="J1495" s="1908"/>
      <c r="K1495" s="1908"/>
      <c r="L1495" s="1908"/>
      <c r="M1495" s="1908"/>
      <c r="N1495" s="1942"/>
    </row>
    <row r="1496" spans="1:256 1523:1523" ht="22.5" customHeight="1">
      <c r="B1496" s="1936" t="s">
        <v>2781</v>
      </c>
      <c r="C1496" s="1936"/>
      <c r="D1496" s="1936"/>
      <c r="E1496" s="1936"/>
      <c r="F1496" s="1936"/>
      <c r="G1496" s="1936"/>
      <c r="H1496" s="1936"/>
      <c r="I1496" s="1936"/>
      <c r="J1496" s="1936"/>
      <c r="K1496" s="1936"/>
      <c r="L1496" s="1936"/>
      <c r="M1496" s="1936"/>
      <c r="N1496" s="1936"/>
      <c r="O1496" s="1942" t="s">
        <v>1936</v>
      </c>
      <c r="P1496" s="1938">
        <f>'Part VIII-Threshold Criteria'!P326</f>
        <v>0</v>
      </c>
      <c r="Q1496" s="1938"/>
    </row>
    <row r="1497" spans="1:256 1523:1523" ht="12.6" customHeight="1">
      <c r="A1497" s="1942" t="s">
        <v>1938</v>
      </c>
      <c r="B1497" s="449" t="s">
        <v>451</v>
      </c>
      <c r="D1497" s="449"/>
      <c r="E1497" s="449"/>
      <c r="F1497" s="449"/>
      <c r="G1497" s="449"/>
      <c r="H1497" s="449"/>
      <c r="I1497" s="449"/>
      <c r="J1497" s="449"/>
      <c r="K1497" s="449"/>
      <c r="L1497" s="449"/>
      <c r="M1497" s="449"/>
      <c r="O1497" s="1942" t="s">
        <v>1938</v>
      </c>
      <c r="P1497" s="1732"/>
      <c r="Q1497" s="1732"/>
    </row>
    <row r="1498" spans="1:256 1523:1523" ht="36" customHeight="1">
      <c r="B1498" s="1939" t="s">
        <v>1694</v>
      </c>
      <c r="C1498" s="1936" t="s">
        <v>1109</v>
      </c>
      <c r="E1498" s="1910"/>
      <c r="F1498" s="1910"/>
      <c r="G1498" s="1956" t="str">
        <f>'Part VIII-Threshold Criteria'!G328</f>
        <v>Exterior wall faces must have an excess of 30% brick or natural or manufactured stone on each of the exterior wall surfaces.  This applies to all sides of the buildings including the front wall face, each side’s wall face and the rear wall face of the buildings. This is NOT applicable to the interior wall faces of open breezeways</v>
      </c>
      <c r="H1498" s="1844"/>
      <c r="I1498" s="1844"/>
      <c r="J1498" s="1844"/>
      <c r="K1498" s="1844"/>
      <c r="L1498" s="1844"/>
      <c r="M1498" s="1844"/>
      <c r="N1498" s="1844"/>
      <c r="O1498" s="1942" t="s">
        <v>1694</v>
      </c>
      <c r="P1498" s="1938" t="str">
        <f>'Part VIII-Threshold Criteria'!P328</f>
        <v>Yes</v>
      </c>
      <c r="Q1498" s="1938"/>
      <c r="BFO1498" s="1995" t="s">
        <v>2644</v>
      </c>
    </row>
    <row r="1499" spans="1:256 1523:1523" ht="23.25" customHeight="1">
      <c r="B1499" s="1939" t="s">
        <v>1695</v>
      </c>
      <c r="C1499" s="1936" t="s">
        <v>1110</v>
      </c>
      <c r="D1499" s="1936"/>
      <c r="E1499" s="1936"/>
      <c r="F1499" s="1936"/>
      <c r="G1499" s="1956" t="str">
        <f>'Part VIII-Threshold Criteria'!G329</f>
        <v xml:space="preserve">Fiber cement siding or other 30 year warranty product installed on all exterior wall surfaces not already required to be brick </v>
      </c>
      <c r="H1499" s="1844"/>
      <c r="I1499" s="1844"/>
      <c r="J1499" s="1844"/>
      <c r="K1499" s="1844"/>
      <c r="L1499" s="1844"/>
      <c r="M1499" s="1844"/>
      <c r="N1499" s="1844"/>
      <c r="O1499" s="1942" t="s">
        <v>1695</v>
      </c>
      <c r="P1499" s="1938" t="str">
        <f>'Part VIII-Threshold Criteria'!P329</f>
        <v>Yes</v>
      </c>
      <c r="Q1499" s="1938"/>
    </row>
    <row r="1500" spans="1:256 1523:1523" ht="3" customHeight="1">
      <c r="A1500" s="1732"/>
      <c r="B1500" s="1913"/>
      <c r="C1500" s="1732"/>
      <c r="D1500" s="1732"/>
      <c r="E1500" s="1732"/>
      <c r="F1500" s="1732"/>
      <c r="G1500" s="1732"/>
      <c r="H1500" s="1732"/>
      <c r="I1500" s="1732"/>
      <c r="J1500" s="1732"/>
      <c r="K1500" s="1732"/>
      <c r="L1500" s="1732"/>
      <c r="M1500" s="1732"/>
      <c r="N1500" s="1732"/>
      <c r="O1500" s="1732"/>
      <c r="P1500" s="1732"/>
      <c r="Q1500" s="1732"/>
      <c r="R1500" s="1732"/>
      <c r="S1500" s="1732"/>
      <c r="T1500" s="1732"/>
      <c r="U1500" s="1732"/>
      <c r="V1500" s="1732"/>
      <c r="W1500" s="1732"/>
      <c r="X1500" s="1732"/>
      <c r="Y1500" s="1732"/>
      <c r="Z1500" s="1732"/>
      <c r="AA1500" s="1732"/>
      <c r="AB1500" s="1732"/>
      <c r="AC1500" s="1732"/>
      <c r="AD1500" s="1732"/>
      <c r="AE1500" s="1732"/>
      <c r="AF1500" s="1732"/>
      <c r="AG1500" s="1732"/>
      <c r="AH1500" s="1732"/>
      <c r="AI1500" s="1732"/>
      <c r="AJ1500" s="1732"/>
      <c r="AK1500" s="1732"/>
      <c r="AL1500" s="1732"/>
      <c r="AM1500" s="1732"/>
      <c r="AN1500" s="1732"/>
      <c r="AO1500" s="1732"/>
      <c r="AP1500" s="1732"/>
      <c r="AQ1500" s="1732"/>
      <c r="AR1500" s="1732"/>
      <c r="AS1500" s="1732"/>
      <c r="AT1500" s="1732"/>
      <c r="AU1500" s="1732"/>
      <c r="AV1500" s="1732"/>
      <c r="AW1500" s="1732"/>
      <c r="AX1500" s="1732"/>
      <c r="AY1500" s="1732"/>
      <c r="AZ1500" s="1732"/>
      <c r="BA1500" s="1732"/>
      <c r="BB1500" s="1732"/>
      <c r="BC1500" s="1732"/>
      <c r="BD1500" s="1732"/>
      <c r="BE1500" s="1732"/>
      <c r="BF1500" s="1732"/>
      <c r="BG1500" s="1732"/>
      <c r="BH1500" s="1732"/>
      <c r="BI1500" s="1732"/>
      <c r="BJ1500" s="1732"/>
      <c r="BK1500" s="1732"/>
      <c r="BL1500" s="1732"/>
      <c r="BM1500" s="1732"/>
      <c r="BN1500" s="1732"/>
      <c r="BO1500" s="1732"/>
      <c r="BP1500" s="1732"/>
      <c r="BQ1500" s="1732"/>
      <c r="BR1500" s="1732"/>
      <c r="BS1500" s="1732"/>
      <c r="BT1500" s="1732"/>
      <c r="BU1500" s="1732"/>
      <c r="BV1500" s="1732"/>
      <c r="BW1500" s="1732"/>
      <c r="BX1500" s="1732"/>
      <c r="BY1500" s="1732"/>
      <c r="BZ1500" s="1732"/>
      <c r="CA1500" s="1732"/>
      <c r="CB1500" s="1732"/>
      <c r="CC1500" s="1732"/>
      <c r="CD1500" s="1732"/>
      <c r="CE1500" s="1732"/>
      <c r="CF1500" s="1732"/>
      <c r="CG1500" s="1732"/>
      <c r="CH1500" s="1732"/>
      <c r="CI1500" s="1732"/>
      <c r="CJ1500" s="1732"/>
      <c r="CK1500" s="1732"/>
      <c r="CL1500" s="1732"/>
      <c r="CM1500" s="1732"/>
      <c r="CN1500" s="1732"/>
      <c r="CO1500" s="1732"/>
      <c r="CP1500" s="1732"/>
      <c r="CQ1500" s="1732"/>
      <c r="CR1500" s="1732"/>
      <c r="CS1500" s="1732"/>
      <c r="CT1500" s="1732"/>
      <c r="CU1500" s="1732"/>
      <c r="CV1500" s="1732"/>
      <c r="CW1500" s="1732"/>
      <c r="CX1500" s="1732"/>
      <c r="CY1500" s="1732"/>
      <c r="CZ1500" s="1732"/>
      <c r="DA1500" s="1732"/>
      <c r="DB1500" s="1732"/>
      <c r="DC1500" s="1732"/>
      <c r="DD1500" s="1732"/>
      <c r="DE1500" s="1732"/>
      <c r="DF1500" s="1732"/>
      <c r="DG1500" s="1732"/>
      <c r="DH1500" s="1732"/>
      <c r="DI1500" s="1732"/>
      <c r="DJ1500" s="1732"/>
      <c r="DK1500" s="1732"/>
      <c r="DL1500" s="1732"/>
      <c r="DM1500" s="1732"/>
      <c r="DN1500" s="1732"/>
      <c r="DO1500" s="1732"/>
      <c r="DP1500" s="1732"/>
      <c r="DQ1500" s="1732"/>
      <c r="DR1500" s="1732"/>
      <c r="DS1500" s="1732"/>
      <c r="DT1500" s="1732"/>
      <c r="DU1500" s="1732"/>
      <c r="DV1500" s="1732"/>
      <c r="DW1500" s="1732"/>
      <c r="DX1500" s="1732"/>
      <c r="DY1500" s="1732"/>
      <c r="DZ1500" s="1732"/>
      <c r="EA1500" s="1732"/>
      <c r="EB1500" s="1732"/>
      <c r="EC1500" s="1732"/>
      <c r="ED1500" s="1732"/>
      <c r="EE1500" s="1732"/>
      <c r="EF1500" s="1732"/>
      <c r="EG1500" s="1732"/>
      <c r="EH1500" s="1732"/>
      <c r="EI1500" s="1732"/>
      <c r="EJ1500" s="1732"/>
      <c r="EK1500" s="1732"/>
      <c r="EL1500" s="1732"/>
      <c r="EM1500" s="1732"/>
      <c r="EN1500" s="1732"/>
      <c r="EO1500" s="1732"/>
      <c r="EP1500" s="1732"/>
      <c r="EQ1500" s="1732"/>
      <c r="ER1500" s="1732"/>
      <c r="ES1500" s="1732"/>
      <c r="ET1500" s="1732"/>
      <c r="EU1500" s="1732"/>
      <c r="EV1500" s="1732"/>
      <c r="EW1500" s="1732"/>
      <c r="EX1500" s="1732"/>
      <c r="EY1500" s="1732"/>
      <c r="EZ1500" s="1732"/>
      <c r="FA1500" s="1732"/>
      <c r="FB1500" s="1732"/>
      <c r="FC1500" s="1732"/>
      <c r="FD1500" s="1732"/>
      <c r="FE1500" s="1732"/>
      <c r="FF1500" s="1732"/>
      <c r="FG1500" s="1732"/>
      <c r="FH1500" s="1732"/>
      <c r="FI1500" s="1732"/>
      <c r="FJ1500" s="1732"/>
      <c r="FK1500" s="1732"/>
      <c r="FL1500" s="1732"/>
      <c r="FM1500" s="1732"/>
      <c r="FN1500" s="1732"/>
      <c r="FO1500" s="1732"/>
      <c r="FP1500" s="1732"/>
      <c r="FQ1500" s="1732"/>
      <c r="FR1500" s="1732"/>
      <c r="FS1500" s="1732"/>
      <c r="FT1500" s="1732"/>
      <c r="FU1500" s="1732"/>
      <c r="FV1500" s="1732"/>
      <c r="FW1500" s="1732"/>
      <c r="FX1500" s="1732"/>
      <c r="FY1500" s="1732"/>
      <c r="FZ1500" s="1732"/>
      <c r="GA1500" s="1732"/>
      <c r="GB1500" s="1732"/>
      <c r="GC1500" s="1732"/>
      <c r="GD1500" s="1732"/>
      <c r="GE1500" s="1732"/>
      <c r="GF1500" s="1732"/>
      <c r="GG1500" s="1732"/>
      <c r="GH1500" s="1732"/>
      <c r="GI1500" s="1732"/>
      <c r="GJ1500" s="1732"/>
      <c r="GK1500" s="1732"/>
      <c r="GL1500" s="1732"/>
      <c r="GM1500" s="1732"/>
      <c r="GN1500" s="1732"/>
      <c r="GO1500" s="1732"/>
      <c r="GP1500" s="1732"/>
      <c r="GQ1500" s="1732"/>
      <c r="GR1500" s="1732"/>
      <c r="GS1500" s="1732"/>
      <c r="GT1500" s="1732"/>
      <c r="GU1500" s="1732"/>
      <c r="GV1500" s="1732"/>
      <c r="GW1500" s="1732"/>
      <c r="GX1500" s="1732"/>
      <c r="GY1500" s="1732"/>
      <c r="GZ1500" s="1732"/>
      <c r="HA1500" s="1732"/>
      <c r="HB1500" s="1732"/>
      <c r="HC1500" s="1732"/>
      <c r="HD1500" s="1732"/>
      <c r="HE1500" s="1732"/>
      <c r="HF1500" s="1732"/>
      <c r="HG1500" s="1732"/>
      <c r="HH1500" s="1732"/>
      <c r="HI1500" s="1732"/>
      <c r="HJ1500" s="1732"/>
      <c r="HK1500" s="1732"/>
      <c r="HL1500" s="1732"/>
      <c r="HM1500" s="1732"/>
      <c r="HN1500" s="1732"/>
      <c r="HO1500" s="1732"/>
      <c r="HP1500" s="1732"/>
      <c r="HQ1500" s="1732"/>
      <c r="HR1500" s="1732"/>
      <c r="HS1500" s="1732"/>
      <c r="HT1500" s="1732"/>
      <c r="HU1500" s="1732"/>
      <c r="HV1500" s="1732"/>
      <c r="HW1500" s="1732"/>
      <c r="HX1500" s="1732"/>
      <c r="HY1500" s="1732"/>
      <c r="HZ1500" s="1732"/>
      <c r="IA1500" s="1732"/>
      <c r="IB1500" s="1732"/>
      <c r="IC1500" s="1732"/>
      <c r="ID1500" s="1732"/>
      <c r="IE1500" s="1732"/>
      <c r="IF1500" s="1732"/>
      <c r="IG1500" s="1732"/>
      <c r="IH1500" s="1732"/>
      <c r="II1500" s="1732"/>
      <c r="IJ1500" s="1732"/>
      <c r="IK1500" s="1732"/>
      <c r="IL1500" s="1732"/>
      <c r="IM1500" s="1732"/>
      <c r="IN1500" s="1732"/>
      <c r="IO1500" s="1732"/>
      <c r="IP1500" s="1732"/>
      <c r="IQ1500" s="1732"/>
      <c r="IR1500" s="1732"/>
      <c r="IS1500" s="1732"/>
      <c r="IT1500" s="1732"/>
      <c r="IU1500" s="1732"/>
      <c r="IV1500" s="1732"/>
    </row>
    <row r="1501" spans="1:256 1523:1523" s="1910" customFormat="1" ht="22.5" customHeight="1">
      <c r="A1501" s="1942" t="s">
        <v>731</v>
      </c>
      <c r="B1501" s="1936" t="s">
        <v>6881</v>
      </c>
      <c r="C1501" s="1936"/>
      <c r="D1501" s="1936"/>
      <c r="E1501" s="1936"/>
      <c r="F1501" s="1936"/>
      <c r="G1501" s="1936"/>
      <c r="H1501" s="1936"/>
      <c r="I1501" s="1936"/>
      <c r="J1501" s="1936"/>
      <c r="K1501" s="1936"/>
      <c r="L1501" s="1936"/>
      <c r="M1501" s="1936"/>
      <c r="N1501" s="1936"/>
      <c r="O1501" s="1943" t="s">
        <v>731</v>
      </c>
      <c r="P1501" s="1732"/>
      <c r="Q1501" s="1732"/>
    </row>
    <row r="1502" spans="1:256 1523:1523" s="1910" customFormat="1" ht="11.25" customHeight="1">
      <c r="A1502" s="1982"/>
      <c r="B1502" s="1939" t="s">
        <v>1694</v>
      </c>
      <c r="C1502" s="1936">
        <f>'Part VIII-Threshold Criteria'!C332</f>
        <v>0</v>
      </c>
      <c r="D1502" s="1936"/>
      <c r="E1502" s="1936"/>
      <c r="F1502" s="1936"/>
      <c r="G1502" s="1936"/>
      <c r="H1502" s="1936"/>
      <c r="I1502" s="1936"/>
      <c r="J1502" s="1936"/>
      <c r="K1502" s="1936"/>
      <c r="L1502" s="1936"/>
      <c r="M1502" s="1936"/>
      <c r="N1502" s="1936"/>
      <c r="O1502" s="1942" t="s">
        <v>1694</v>
      </c>
      <c r="P1502" s="1938">
        <f>'Part VIII-Threshold Criteria'!P332</f>
        <v>0</v>
      </c>
      <c r="Q1502" s="1938"/>
    </row>
    <row r="1503" spans="1:256 1523:1523" s="1910" customFormat="1" ht="11.25" customHeight="1">
      <c r="A1503" s="1982"/>
      <c r="B1503" s="1939" t="s">
        <v>1695</v>
      </c>
      <c r="C1503" s="1936">
        <f>'Part VIII-Threshold Criteria'!C333</f>
        <v>0</v>
      </c>
      <c r="D1503" s="1936"/>
      <c r="E1503" s="1936"/>
      <c r="F1503" s="1936"/>
      <c r="G1503" s="1936"/>
      <c r="H1503" s="1936"/>
      <c r="I1503" s="1936"/>
      <c r="J1503" s="1936"/>
      <c r="K1503" s="1936"/>
      <c r="L1503" s="1936"/>
      <c r="M1503" s="1936"/>
      <c r="N1503" s="1936"/>
      <c r="O1503" s="1942" t="s">
        <v>1695</v>
      </c>
      <c r="P1503" s="1938">
        <f>'Part VIII-Threshold Criteria'!P333</f>
        <v>0</v>
      </c>
      <c r="Q1503" s="1938"/>
    </row>
    <row r="1504" spans="1:256 1523:1523" ht="3" customHeight="1">
      <c r="A1504" s="1732"/>
      <c r="B1504" s="1732"/>
      <c r="C1504" s="1732"/>
      <c r="D1504" s="1732"/>
      <c r="E1504" s="1732"/>
      <c r="F1504" s="1732"/>
      <c r="G1504" s="1732"/>
      <c r="H1504" s="1732"/>
      <c r="I1504" s="1732"/>
      <c r="J1504" s="1732"/>
      <c r="K1504" s="1732"/>
      <c r="L1504" s="1732"/>
      <c r="M1504" s="1732"/>
      <c r="N1504" s="1732"/>
      <c r="O1504" s="1732"/>
      <c r="P1504" s="1732"/>
      <c r="Q1504" s="1732"/>
      <c r="R1504" s="1732"/>
      <c r="S1504" s="1732"/>
      <c r="T1504" s="1732"/>
      <c r="U1504" s="1732"/>
      <c r="V1504" s="1732"/>
      <c r="W1504" s="1732"/>
      <c r="X1504" s="1732"/>
      <c r="Y1504" s="1732"/>
      <c r="Z1504" s="1732"/>
      <c r="AA1504" s="1732"/>
      <c r="AB1504" s="1732"/>
      <c r="AC1504" s="1732"/>
      <c r="AD1504" s="1732"/>
      <c r="AE1504" s="1732"/>
      <c r="AF1504" s="1732"/>
      <c r="AG1504" s="1732"/>
      <c r="AH1504" s="1732"/>
      <c r="AI1504" s="1732"/>
      <c r="AJ1504" s="1732"/>
      <c r="AK1504" s="1732"/>
      <c r="AL1504" s="1732"/>
      <c r="AM1504" s="1732"/>
      <c r="AN1504" s="1732"/>
      <c r="AO1504" s="1732"/>
      <c r="AP1504" s="1732"/>
      <c r="AQ1504" s="1732"/>
      <c r="AR1504" s="1732"/>
      <c r="AS1504" s="1732"/>
      <c r="AT1504" s="1732"/>
      <c r="AU1504" s="1732"/>
      <c r="AV1504" s="1732"/>
      <c r="AW1504" s="1732"/>
      <c r="AX1504" s="1732"/>
      <c r="AY1504" s="1732"/>
      <c r="AZ1504" s="1732"/>
      <c r="BA1504" s="1732"/>
      <c r="BB1504" s="1732"/>
      <c r="BC1504" s="1732"/>
      <c r="BD1504" s="1732"/>
      <c r="BE1504" s="1732"/>
      <c r="BF1504" s="1732"/>
      <c r="BG1504" s="1732"/>
      <c r="BH1504" s="1732"/>
      <c r="BI1504" s="1732"/>
      <c r="BJ1504" s="1732"/>
      <c r="BK1504" s="1732"/>
      <c r="BL1504" s="1732"/>
      <c r="BM1504" s="1732"/>
      <c r="BN1504" s="1732"/>
      <c r="BO1504" s="1732"/>
      <c r="BP1504" s="1732"/>
      <c r="BQ1504" s="1732"/>
      <c r="BR1504" s="1732"/>
      <c r="BS1504" s="1732"/>
      <c r="BT1504" s="1732"/>
      <c r="BU1504" s="1732"/>
      <c r="BV1504" s="1732"/>
      <c r="BW1504" s="1732"/>
      <c r="BX1504" s="1732"/>
      <c r="BY1504" s="1732"/>
      <c r="BZ1504" s="1732"/>
      <c r="CA1504" s="1732"/>
      <c r="CB1504" s="1732"/>
      <c r="CC1504" s="1732"/>
      <c r="CD1504" s="1732"/>
      <c r="CE1504" s="1732"/>
      <c r="CF1504" s="1732"/>
      <c r="CG1504" s="1732"/>
      <c r="CH1504" s="1732"/>
      <c r="CI1504" s="1732"/>
      <c r="CJ1504" s="1732"/>
      <c r="CK1504" s="1732"/>
      <c r="CL1504" s="1732"/>
      <c r="CM1504" s="1732"/>
      <c r="CN1504" s="1732"/>
      <c r="CO1504" s="1732"/>
      <c r="CP1504" s="1732"/>
      <c r="CQ1504" s="1732"/>
      <c r="CR1504" s="1732"/>
      <c r="CS1504" s="1732"/>
      <c r="CT1504" s="1732"/>
      <c r="CU1504" s="1732"/>
      <c r="CV1504" s="1732"/>
      <c r="CW1504" s="1732"/>
      <c r="CX1504" s="1732"/>
      <c r="CY1504" s="1732"/>
      <c r="CZ1504" s="1732"/>
      <c r="DA1504" s="1732"/>
      <c r="DB1504" s="1732"/>
      <c r="DC1504" s="1732"/>
      <c r="DD1504" s="1732"/>
      <c r="DE1504" s="1732"/>
      <c r="DF1504" s="1732"/>
      <c r="DG1504" s="1732"/>
      <c r="DH1504" s="1732"/>
      <c r="DI1504" s="1732"/>
      <c r="DJ1504" s="1732"/>
      <c r="DK1504" s="1732"/>
      <c r="DL1504" s="1732"/>
      <c r="DM1504" s="1732"/>
      <c r="DN1504" s="1732"/>
      <c r="DO1504" s="1732"/>
      <c r="DP1504" s="1732"/>
      <c r="DQ1504" s="1732"/>
      <c r="DR1504" s="1732"/>
      <c r="DS1504" s="1732"/>
      <c r="DT1504" s="1732"/>
      <c r="DU1504" s="1732"/>
      <c r="DV1504" s="1732"/>
      <c r="DW1504" s="1732"/>
      <c r="DX1504" s="1732"/>
      <c r="DY1504" s="1732"/>
      <c r="DZ1504" s="1732"/>
      <c r="EA1504" s="1732"/>
      <c r="EB1504" s="1732"/>
      <c r="EC1504" s="1732"/>
      <c r="ED1504" s="1732"/>
      <c r="EE1504" s="1732"/>
      <c r="EF1504" s="1732"/>
      <c r="EG1504" s="1732"/>
      <c r="EH1504" s="1732"/>
      <c r="EI1504" s="1732"/>
      <c r="EJ1504" s="1732"/>
      <c r="EK1504" s="1732"/>
      <c r="EL1504" s="1732"/>
      <c r="EM1504" s="1732"/>
      <c r="EN1504" s="1732"/>
      <c r="EO1504" s="1732"/>
      <c r="EP1504" s="1732"/>
      <c r="EQ1504" s="1732"/>
      <c r="ER1504" s="1732"/>
      <c r="ES1504" s="1732"/>
      <c r="ET1504" s="1732"/>
      <c r="EU1504" s="1732"/>
      <c r="EV1504" s="1732"/>
      <c r="EW1504" s="1732"/>
      <c r="EX1504" s="1732"/>
      <c r="EY1504" s="1732"/>
      <c r="EZ1504" s="1732"/>
      <c r="FA1504" s="1732"/>
      <c r="FB1504" s="1732"/>
      <c r="FC1504" s="1732"/>
      <c r="FD1504" s="1732"/>
      <c r="FE1504" s="1732"/>
      <c r="FF1504" s="1732"/>
      <c r="FG1504" s="1732"/>
      <c r="FH1504" s="1732"/>
      <c r="FI1504" s="1732"/>
      <c r="FJ1504" s="1732"/>
      <c r="FK1504" s="1732"/>
      <c r="FL1504" s="1732"/>
      <c r="FM1504" s="1732"/>
      <c r="FN1504" s="1732"/>
      <c r="FO1504" s="1732"/>
      <c r="FP1504" s="1732"/>
      <c r="FQ1504" s="1732"/>
      <c r="FR1504" s="1732"/>
      <c r="FS1504" s="1732"/>
      <c r="FT1504" s="1732"/>
      <c r="FU1504" s="1732"/>
      <c r="FV1504" s="1732"/>
      <c r="FW1504" s="1732"/>
      <c r="FX1504" s="1732"/>
      <c r="FY1504" s="1732"/>
      <c r="FZ1504" s="1732"/>
      <c r="GA1504" s="1732"/>
      <c r="GB1504" s="1732"/>
      <c r="GC1504" s="1732"/>
      <c r="GD1504" s="1732"/>
      <c r="GE1504" s="1732"/>
      <c r="GF1504" s="1732"/>
      <c r="GG1504" s="1732"/>
      <c r="GH1504" s="1732"/>
      <c r="GI1504" s="1732"/>
      <c r="GJ1504" s="1732"/>
      <c r="GK1504" s="1732"/>
      <c r="GL1504" s="1732"/>
      <c r="GM1504" s="1732"/>
      <c r="GN1504" s="1732"/>
      <c r="GO1504" s="1732"/>
      <c r="GP1504" s="1732"/>
      <c r="GQ1504" s="1732"/>
      <c r="GR1504" s="1732"/>
      <c r="GS1504" s="1732"/>
      <c r="GT1504" s="1732"/>
      <c r="GU1504" s="1732"/>
      <c r="GV1504" s="1732"/>
      <c r="GW1504" s="1732"/>
      <c r="GX1504" s="1732"/>
      <c r="GY1504" s="1732"/>
      <c r="GZ1504" s="1732"/>
      <c r="HA1504" s="1732"/>
      <c r="HB1504" s="1732"/>
      <c r="HC1504" s="1732"/>
      <c r="HD1504" s="1732"/>
      <c r="HE1504" s="1732"/>
      <c r="HF1504" s="1732"/>
      <c r="HG1504" s="1732"/>
      <c r="HH1504" s="1732"/>
      <c r="HI1504" s="1732"/>
      <c r="HJ1504" s="1732"/>
      <c r="HK1504" s="1732"/>
      <c r="HL1504" s="1732"/>
      <c r="HM1504" s="1732"/>
      <c r="HN1504" s="1732"/>
      <c r="HO1504" s="1732"/>
      <c r="HP1504" s="1732"/>
      <c r="HQ1504" s="1732"/>
      <c r="HR1504" s="1732"/>
      <c r="HS1504" s="1732"/>
      <c r="HT1504" s="1732"/>
      <c r="HU1504" s="1732"/>
      <c r="HV1504" s="1732"/>
      <c r="HW1504" s="1732"/>
      <c r="HX1504" s="1732"/>
      <c r="HY1504" s="1732"/>
      <c r="HZ1504" s="1732"/>
      <c r="IA1504" s="1732"/>
      <c r="IB1504" s="1732"/>
      <c r="IC1504" s="1732"/>
      <c r="ID1504" s="1732"/>
      <c r="IE1504" s="1732"/>
      <c r="IF1504" s="1732"/>
      <c r="IG1504" s="1732"/>
      <c r="IH1504" s="1732"/>
      <c r="II1504" s="1732"/>
      <c r="IJ1504" s="1732"/>
      <c r="IK1504" s="1732"/>
      <c r="IL1504" s="1732"/>
      <c r="IM1504" s="1732"/>
      <c r="IN1504" s="1732"/>
      <c r="IO1504" s="1732"/>
      <c r="IP1504" s="1732"/>
      <c r="IQ1504" s="1732"/>
      <c r="IR1504" s="1732"/>
      <c r="IS1504" s="1732"/>
      <c r="IT1504" s="1732"/>
      <c r="IU1504" s="1732"/>
      <c r="IV1504" s="1732"/>
    </row>
    <row r="1505" spans="1:31" ht="11.25" customHeight="1">
      <c r="B1505" s="1908" t="s">
        <v>3565</v>
      </c>
      <c r="D1505" s="1908"/>
      <c r="E1505" s="1908"/>
      <c r="F1505" s="1908"/>
      <c r="G1505" s="1908"/>
      <c r="H1505" s="1908"/>
      <c r="I1505" s="1229"/>
      <c r="J1505" s="1229"/>
      <c r="K1505" s="1229"/>
      <c r="L1505" s="1732"/>
      <c r="M1505" s="1732"/>
      <c r="N1505" s="1732"/>
      <c r="O1505" s="1732"/>
      <c r="P1505" s="1732"/>
      <c r="Q1505" s="1732"/>
    </row>
    <row r="1506" spans="1:31" ht="11.4" customHeight="1">
      <c r="A1506" s="1936" t="str">
        <f>'Part VIII-Threshold Criteria'!A336</f>
        <v>Applicant has met Threshold by adhereing to DCA design and quality standards. This is not a rehabilitation project, therefore, item A above was left blank. Applicant did not request and additional design options, therefore, item C was left blank.</v>
      </c>
      <c r="B1506" s="1936"/>
      <c r="C1506" s="1936"/>
      <c r="D1506" s="1936"/>
      <c r="E1506" s="1936"/>
      <c r="F1506" s="1936"/>
      <c r="G1506" s="1936"/>
      <c r="H1506" s="1936"/>
      <c r="I1506" s="1936"/>
      <c r="J1506" s="1936"/>
      <c r="K1506" s="1936"/>
      <c r="L1506" s="1936"/>
      <c r="M1506" s="1936"/>
      <c r="N1506" s="1936"/>
      <c r="O1506" s="1936"/>
      <c r="P1506" s="1936"/>
      <c r="Q1506" s="1936"/>
      <c r="R1506" s="1952" t="s">
        <v>1228</v>
      </c>
      <c r="S1506" s="1815"/>
      <c r="U1506" s="1897"/>
      <c r="V1506" s="1897"/>
      <c r="W1506" s="1897"/>
      <c r="X1506" s="1897"/>
      <c r="Y1506" s="1897"/>
      <c r="Z1506" s="1897"/>
      <c r="AA1506" s="1897"/>
      <c r="AB1506" s="1897"/>
      <c r="AC1506" s="1897"/>
      <c r="AD1506" s="1897"/>
      <c r="AE1506" s="1897"/>
    </row>
    <row r="1507" spans="1:31" ht="11.25" customHeight="1">
      <c r="B1507" s="1936" t="s">
        <v>1820</v>
      </c>
      <c r="C1507" s="1936"/>
      <c r="D1507" s="1939"/>
      <c r="E1507" s="1939"/>
      <c r="F1507" s="1939"/>
      <c r="G1507" s="1939"/>
      <c r="H1507" s="1939"/>
      <c r="I1507" s="1939"/>
      <c r="J1507" s="1939"/>
      <c r="K1507" s="1939"/>
      <c r="L1507" s="1939"/>
      <c r="M1507" s="1939"/>
      <c r="N1507" s="1939"/>
      <c r="O1507" s="1939"/>
      <c r="P1507" s="1939"/>
      <c r="Q1507" s="1939"/>
    </row>
    <row r="1508" spans="1:31" ht="11.4" customHeight="1">
      <c r="A1508" s="1936"/>
      <c r="B1508" s="1936"/>
      <c r="C1508" s="1936"/>
      <c r="D1508" s="1936"/>
      <c r="E1508" s="1936"/>
      <c r="F1508" s="1936"/>
      <c r="G1508" s="1936"/>
      <c r="H1508" s="1936"/>
      <c r="I1508" s="1936"/>
      <c r="J1508" s="1936"/>
      <c r="K1508" s="1936"/>
      <c r="L1508" s="1936"/>
      <c r="M1508" s="1936"/>
      <c r="N1508" s="1936"/>
      <c r="O1508" s="1936"/>
      <c r="P1508" s="1936"/>
      <c r="Q1508" s="1936"/>
    </row>
    <row r="1509" spans="1:31" ht="14.1" customHeight="1">
      <c r="A1509" s="1922" t="s">
        <v>3786</v>
      </c>
      <c r="B1509" s="1922" t="s">
        <v>3807</v>
      </c>
      <c r="C1509" s="1922"/>
      <c r="D1509" s="1939"/>
      <c r="E1509" s="1939"/>
      <c r="F1509" s="1939"/>
      <c r="G1509" s="1939"/>
      <c r="H1509" s="1939"/>
      <c r="O1509" s="1942" t="s">
        <v>1821</v>
      </c>
      <c r="P1509" s="1897"/>
      <c r="Q1509" s="1897"/>
    </row>
    <row r="1510" spans="1:31" ht="11.4" customHeight="1">
      <c r="A1510" s="1940" t="s">
        <v>1936</v>
      </c>
      <c r="B1510" s="1945" t="s">
        <v>4711</v>
      </c>
      <c r="O1510" s="1942" t="s">
        <v>1936</v>
      </c>
      <c r="P1510" s="1229" t="str">
        <f>'Part VIII-Threshold Criteria'!P340</f>
        <v>Yes</v>
      </c>
      <c r="Q1510" s="1229"/>
    </row>
    <row r="1511" spans="1:31" ht="11.4" customHeight="1">
      <c r="A1511" s="1942" t="s">
        <v>1938</v>
      </c>
      <c r="B1511" s="1945" t="s">
        <v>3774</v>
      </c>
      <c r="O1511" s="1942" t="s">
        <v>1938</v>
      </c>
      <c r="P1511" s="1229" t="str">
        <f>'Part VIII-Threshold Criteria'!P341</f>
        <v>Yes</v>
      </c>
      <c r="Q1511" s="1229"/>
    </row>
    <row r="1512" spans="1:31" ht="11.4" customHeight="1">
      <c r="A1512" s="1942" t="s">
        <v>731</v>
      </c>
      <c r="B1512" s="1945" t="s">
        <v>2291</v>
      </c>
      <c r="O1512" s="1942" t="s">
        <v>731</v>
      </c>
      <c r="P1512" s="1229" t="str">
        <f>'Part VIII-Threshold Criteria'!P342</f>
        <v>No</v>
      </c>
      <c r="Q1512" s="1229"/>
    </row>
    <row r="1513" spans="1:31" ht="11.4" customHeight="1">
      <c r="A1513" s="1940" t="s">
        <v>2065</v>
      </c>
      <c r="B1513" s="1945" t="s">
        <v>3627</v>
      </c>
      <c r="O1513" s="1940" t="s">
        <v>2065</v>
      </c>
      <c r="P1513" s="1229" t="str">
        <f>'Part VIII-Threshold Criteria'!P343</f>
        <v>No</v>
      </c>
      <c r="Q1513" s="1229"/>
    </row>
    <row r="1514" spans="1:31" ht="11.4" customHeight="1">
      <c r="A1514" s="1942" t="s">
        <v>1692</v>
      </c>
      <c r="B1514" s="1945" t="s">
        <v>2782</v>
      </c>
      <c r="N1514" s="1942" t="s">
        <v>1692</v>
      </c>
      <c r="O1514" s="1918" t="str">
        <f>'Part VIII-Threshold Criteria'!O344</f>
        <v>Certifying GP/Developer</v>
      </c>
      <c r="P1514" s="1918"/>
      <c r="Q1514" s="1918"/>
    </row>
    <row r="1515" spans="1:31" ht="11.4" customHeight="1">
      <c r="A1515" s="1942" t="s">
        <v>1693</v>
      </c>
      <c r="B1515" s="1945" t="s">
        <v>2292</v>
      </c>
      <c r="N1515" s="1942" t="s">
        <v>1693</v>
      </c>
      <c r="O1515" s="1918" t="s">
        <v>2783</v>
      </c>
      <c r="P1515" s="1918"/>
      <c r="Q1515" s="1918"/>
    </row>
    <row r="1516" spans="1:31" ht="11.25" customHeight="1">
      <c r="B1516" s="1908" t="s">
        <v>3565</v>
      </c>
      <c r="D1516" s="1908"/>
      <c r="E1516" s="1908"/>
      <c r="F1516" s="1908"/>
      <c r="G1516" s="1908"/>
      <c r="H1516" s="1908"/>
      <c r="I1516" s="1229"/>
      <c r="J1516" s="1229"/>
      <c r="K1516" s="1229"/>
      <c r="L1516" s="1732"/>
      <c r="M1516" s="1732"/>
      <c r="N1516" s="1732"/>
      <c r="O1516" s="1732"/>
      <c r="P1516" s="1732"/>
      <c r="Q1516" s="1732"/>
    </row>
    <row r="1517" spans="1:31" ht="13.35" customHeight="1">
      <c r="A1517" s="1936" t="str">
        <f>'Part VIII-Threshold Criteria'!A347</f>
        <v xml:space="preserve">Applicant has met Threshold because the Certifying Entities in this application (Kevin Buckner and TBG Development Services, Inc) were deemed qualified without conditions in the 2020 Pre-Application process. The 2020 determination letter can be found in Tab 19. </v>
      </c>
      <c r="B1517" s="1936"/>
      <c r="C1517" s="1936"/>
      <c r="D1517" s="1936"/>
      <c r="E1517" s="1936"/>
      <c r="F1517" s="1936"/>
      <c r="G1517" s="1936"/>
      <c r="H1517" s="1936"/>
      <c r="I1517" s="1936"/>
      <c r="J1517" s="1936"/>
      <c r="K1517" s="1936"/>
      <c r="L1517" s="1936"/>
      <c r="M1517" s="1936"/>
      <c r="N1517" s="1936"/>
      <c r="O1517" s="1936"/>
      <c r="P1517" s="1936"/>
      <c r="Q1517" s="1936"/>
      <c r="R1517" s="1973" t="s">
        <v>1228</v>
      </c>
      <c r="S1517" s="1973"/>
      <c r="U1517" s="1897"/>
      <c r="V1517" s="1897"/>
      <c r="W1517" s="1897"/>
      <c r="X1517" s="1897"/>
      <c r="Y1517" s="1897"/>
      <c r="Z1517" s="1897"/>
      <c r="AA1517" s="1897"/>
      <c r="AB1517" s="1897"/>
      <c r="AC1517" s="1897"/>
      <c r="AD1517" s="1897"/>
      <c r="AE1517" s="1897"/>
    </row>
    <row r="1518" spans="1:31" ht="11.25" customHeight="1">
      <c r="B1518" s="1936" t="s">
        <v>1820</v>
      </c>
      <c r="C1518" s="1936"/>
      <c r="D1518" s="1939"/>
      <c r="E1518" s="1939"/>
      <c r="F1518" s="1939"/>
      <c r="G1518" s="1939"/>
      <c r="H1518" s="1939"/>
      <c r="I1518" s="1939"/>
      <c r="J1518" s="1939"/>
      <c r="K1518" s="1939"/>
      <c r="L1518" s="1939"/>
      <c r="M1518" s="1939"/>
      <c r="N1518" s="1939"/>
      <c r="O1518" s="1939"/>
      <c r="P1518" s="1939"/>
      <c r="Q1518" s="1939"/>
    </row>
    <row r="1519" spans="1:31" ht="13.35" customHeight="1">
      <c r="A1519" s="1936"/>
      <c r="B1519" s="1936"/>
      <c r="C1519" s="1936"/>
      <c r="D1519" s="1936"/>
      <c r="E1519" s="1936"/>
      <c r="F1519" s="1936"/>
      <c r="G1519" s="1936"/>
      <c r="H1519" s="1936"/>
      <c r="I1519" s="1936"/>
      <c r="J1519" s="1936"/>
      <c r="K1519" s="1936"/>
      <c r="L1519" s="1936"/>
      <c r="M1519" s="1936"/>
      <c r="N1519" s="1936"/>
      <c r="O1519" s="1936"/>
      <c r="P1519" s="1936"/>
      <c r="Q1519" s="1936"/>
    </row>
    <row r="1520" spans="1:31" ht="2.25" customHeight="1">
      <c r="A1520" s="1732"/>
      <c r="B1520" s="1229"/>
      <c r="C1520" s="1939"/>
      <c r="D1520" s="1939"/>
      <c r="E1520" s="1939"/>
      <c r="F1520" s="1939"/>
      <c r="G1520" s="1939"/>
      <c r="H1520" s="1939"/>
      <c r="I1520" s="1939"/>
      <c r="J1520" s="1939"/>
      <c r="K1520" s="1939"/>
      <c r="L1520" s="1939"/>
      <c r="M1520" s="1939"/>
      <c r="N1520" s="1939"/>
      <c r="O1520" s="1939"/>
      <c r="P1520" s="1939"/>
      <c r="Q1520" s="1732"/>
    </row>
    <row r="1521" spans="1:31" ht="14.1" customHeight="1">
      <c r="A1521" s="1922" t="s">
        <v>3787</v>
      </c>
      <c r="B1521" s="1815" t="s">
        <v>3765</v>
      </c>
      <c r="C1521" s="1815"/>
      <c r="D1521" s="1815"/>
      <c r="E1521" s="1815"/>
      <c r="F1521" s="1815"/>
      <c r="G1521" s="1815"/>
      <c r="H1521" s="1939"/>
      <c r="I1521" s="1939"/>
      <c r="J1521" s="1939"/>
      <c r="K1521" s="1939"/>
      <c r="L1521" s="1939"/>
      <c r="M1521" s="1939"/>
      <c r="O1521" s="1942" t="s">
        <v>1821</v>
      </c>
      <c r="P1521" s="1897"/>
      <c r="Q1521" s="1897"/>
    </row>
    <row r="1522" spans="1:31" ht="10.5" customHeight="1">
      <c r="A1522" s="1940" t="s">
        <v>1936</v>
      </c>
      <c r="B1522" s="449" t="s">
        <v>3766</v>
      </c>
      <c r="D1522" s="1815"/>
      <c r="E1522" s="1815"/>
      <c r="F1522" s="1815"/>
      <c r="G1522" s="1815"/>
      <c r="H1522" s="1940" t="s">
        <v>1936</v>
      </c>
      <c r="I1522" s="449">
        <f>'Part VIII-Threshold Criteria'!I352</f>
        <v>0</v>
      </c>
      <c r="J1522" s="449"/>
      <c r="K1522" s="449"/>
      <c r="L1522" s="449"/>
      <c r="M1522" s="449"/>
      <c r="N1522" s="449"/>
      <c r="O1522" s="449"/>
      <c r="P1522" s="449"/>
      <c r="Q1522" s="1229"/>
    </row>
    <row r="1523" spans="1:31" ht="10.5" customHeight="1">
      <c r="A1523" s="1942" t="s">
        <v>1938</v>
      </c>
      <c r="B1523" s="449" t="s">
        <v>3767</v>
      </c>
      <c r="D1523" s="1815"/>
      <c r="E1523" s="1815"/>
      <c r="F1523" s="1815"/>
      <c r="G1523" s="1815"/>
      <c r="H1523" s="1942" t="s">
        <v>1938</v>
      </c>
      <c r="I1523" s="449">
        <f>'Part VIII-Threshold Criteria'!I353</f>
        <v>0</v>
      </c>
      <c r="J1523" s="449"/>
      <c r="K1523" s="449"/>
      <c r="L1523" s="449"/>
      <c r="M1523" s="449"/>
      <c r="N1523" s="449"/>
      <c r="O1523" s="449"/>
      <c r="P1523" s="449"/>
      <c r="Q1523" s="1229"/>
    </row>
    <row r="1524" spans="1:31" ht="21.75" customHeight="1">
      <c r="A1524" s="1942" t="s">
        <v>731</v>
      </c>
      <c r="B1524" s="449" t="s">
        <v>3758</v>
      </c>
      <c r="C1524" s="449"/>
      <c r="D1524" s="449"/>
      <c r="E1524" s="449"/>
      <c r="F1524" s="449"/>
      <c r="G1524" s="449"/>
      <c r="H1524" s="449"/>
      <c r="I1524" s="449"/>
      <c r="J1524" s="449"/>
      <c r="K1524" s="449"/>
      <c r="L1524" s="449"/>
      <c r="M1524" s="449"/>
      <c r="N1524" s="449"/>
      <c r="O1524" s="1942" t="s">
        <v>731</v>
      </c>
      <c r="P1524" s="1938">
        <f>'Part VIII-Threshold Criteria'!P354</f>
        <v>0</v>
      </c>
      <c r="Q1524" s="1938"/>
    </row>
    <row r="1525" spans="1:31" ht="21.75" customHeight="1">
      <c r="A1525" s="1942" t="s">
        <v>2065</v>
      </c>
      <c r="B1525" s="1936" t="s">
        <v>3759</v>
      </c>
      <c r="C1525" s="1936"/>
      <c r="D1525" s="1936"/>
      <c r="E1525" s="1936"/>
      <c r="F1525" s="1936"/>
      <c r="G1525" s="1936"/>
      <c r="H1525" s="1936"/>
      <c r="I1525" s="1936"/>
      <c r="J1525" s="1936"/>
      <c r="K1525" s="1936"/>
      <c r="L1525" s="1936"/>
      <c r="M1525" s="1936"/>
      <c r="N1525" s="1936"/>
      <c r="O1525" s="1940" t="s">
        <v>2065</v>
      </c>
      <c r="P1525" s="1938">
        <f>'Part VIII-Threshold Criteria'!P355</f>
        <v>0</v>
      </c>
      <c r="Q1525" s="1938"/>
    </row>
    <row r="1526" spans="1:31" ht="10.5" customHeight="1">
      <c r="A1526" s="1942" t="s">
        <v>1692</v>
      </c>
      <c r="B1526" s="449" t="s">
        <v>3760</v>
      </c>
      <c r="D1526" s="449"/>
      <c r="E1526" s="449"/>
      <c r="F1526" s="449"/>
      <c r="G1526" s="449"/>
      <c r="H1526" s="449"/>
      <c r="I1526" s="449"/>
      <c r="J1526" s="449"/>
      <c r="K1526" s="449"/>
      <c r="L1526" s="449"/>
      <c r="M1526" s="449"/>
      <c r="O1526" s="1942" t="s">
        <v>1692</v>
      </c>
      <c r="P1526" s="1229">
        <f>'Part VIII-Threshold Criteria'!P356</f>
        <v>0</v>
      </c>
      <c r="Q1526" s="1229"/>
    </row>
    <row r="1527" spans="1:31" s="1910" customFormat="1" ht="21.75" customHeight="1">
      <c r="A1527" s="1942" t="s">
        <v>1693</v>
      </c>
      <c r="B1527" s="1936" t="s">
        <v>3761</v>
      </c>
      <c r="C1527" s="1936"/>
      <c r="D1527" s="1936"/>
      <c r="E1527" s="1936"/>
      <c r="F1527" s="1936"/>
      <c r="G1527" s="1936"/>
      <c r="H1527" s="1936"/>
      <c r="I1527" s="1936"/>
      <c r="J1527" s="1936"/>
      <c r="K1527" s="1936"/>
      <c r="L1527" s="1936"/>
      <c r="M1527" s="1936"/>
      <c r="N1527" s="1936"/>
      <c r="O1527" s="1942" t="s">
        <v>1693</v>
      </c>
      <c r="P1527" s="1938">
        <f>'Part VIII-Threshold Criteria'!P357</f>
        <v>0</v>
      </c>
      <c r="Q1527" s="1938"/>
    </row>
    <row r="1528" spans="1:31" s="1910" customFormat="1" ht="10.5" customHeight="1">
      <c r="A1528" s="1942" t="s">
        <v>1900</v>
      </c>
      <c r="B1528" s="1936" t="s">
        <v>3762</v>
      </c>
      <c r="D1528" s="1936"/>
      <c r="E1528" s="1936"/>
      <c r="F1528" s="1936"/>
      <c r="G1528" s="1936"/>
      <c r="H1528" s="1936"/>
      <c r="I1528" s="1936"/>
      <c r="J1528" s="1936"/>
      <c r="K1528" s="1936"/>
      <c r="L1528" s="1936"/>
      <c r="M1528" s="1936"/>
      <c r="N1528" s="1936"/>
      <c r="O1528" s="1942" t="s">
        <v>1900</v>
      </c>
      <c r="P1528" s="1938">
        <f>'Part VIII-Threshold Criteria'!P358</f>
        <v>0</v>
      </c>
      <c r="Q1528" s="1938"/>
    </row>
    <row r="1529" spans="1:31" s="1910" customFormat="1" ht="10.5" customHeight="1">
      <c r="C1529" s="1939" t="s">
        <v>6906</v>
      </c>
      <c r="E1529" s="1939"/>
      <c r="F1529" s="1939"/>
      <c r="G1529" s="1939"/>
      <c r="H1529" s="1939"/>
      <c r="I1529" s="1939"/>
      <c r="J1529" s="1939"/>
      <c r="K1529" s="1939"/>
      <c r="L1529" s="1939"/>
      <c r="M1529" s="1939"/>
      <c r="N1529" s="1939"/>
      <c r="P1529" s="1938">
        <f>'Part VIII-Threshold Criteria'!P359</f>
        <v>0</v>
      </c>
      <c r="Q1529" s="1938"/>
    </row>
    <row r="1530" spans="1:31" ht="21.75" customHeight="1">
      <c r="A1530" s="1942" t="s">
        <v>3264</v>
      </c>
      <c r="B1530" s="1936" t="s">
        <v>3763</v>
      </c>
      <c r="C1530" s="1936"/>
      <c r="D1530" s="1936"/>
      <c r="E1530" s="1936"/>
      <c r="F1530" s="1936"/>
      <c r="G1530" s="1936"/>
      <c r="H1530" s="1936"/>
      <c r="I1530" s="1936"/>
      <c r="J1530" s="1936"/>
      <c r="K1530" s="1936"/>
      <c r="L1530" s="1936"/>
      <c r="M1530" s="1936"/>
      <c r="N1530" s="1936"/>
      <c r="O1530" s="1942" t="s">
        <v>3264</v>
      </c>
      <c r="P1530" s="1938">
        <f>'Part VIII-Threshold Criteria'!P360</f>
        <v>0</v>
      </c>
      <c r="Q1530" s="1938"/>
    </row>
    <row r="1531" spans="1:31" ht="33" customHeight="1">
      <c r="A1531" s="1942" t="s">
        <v>598</v>
      </c>
      <c r="B1531" s="1936" t="s">
        <v>3764</v>
      </c>
      <c r="C1531" s="1936"/>
      <c r="D1531" s="1936"/>
      <c r="E1531" s="1936"/>
      <c r="F1531" s="1936"/>
      <c r="G1531" s="1936"/>
      <c r="H1531" s="1936"/>
      <c r="I1531" s="1936"/>
      <c r="J1531" s="1936"/>
      <c r="K1531" s="1936"/>
      <c r="L1531" s="1936"/>
      <c r="M1531" s="1936"/>
      <c r="N1531" s="1936"/>
      <c r="O1531" s="1942" t="s">
        <v>598</v>
      </c>
      <c r="P1531" s="1938">
        <f>'Part VIII-Threshold Criteria'!P361</f>
        <v>0</v>
      </c>
      <c r="Q1531" s="1938"/>
    </row>
    <row r="1532" spans="1:31" ht="10.5" customHeight="1">
      <c r="B1532" s="1908" t="s">
        <v>3565</v>
      </c>
      <c r="D1532" s="1908"/>
      <c r="E1532" s="1908"/>
      <c r="F1532" s="1908"/>
      <c r="G1532" s="1908"/>
      <c r="H1532" s="1908"/>
      <c r="I1532" s="1229"/>
      <c r="J1532" s="1229"/>
      <c r="K1532" s="1229"/>
      <c r="L1532" s="1732"/>
      <c r="M1532" s="1732"/>
      <c r="N1532" s="1732"/>
      <c r="O1532" s="1732"/>
      <c r="P1532" s="1732"/>
      <c r="Q1532" s="1732"/>
    </row>
    <row r="1533" spans="1:31" ht="31.5" customHeight="1">
      <c r="A1533" s="1936" t="str">
        <f>'Part VIII-Threshold Criteria'!A363</f>
        <v xml:space="preserve">A qualified nonprofit is not part of this application. </v>
      </c>
      <c r="B1533" s="1936"/>
      <c r="C1533" s="1936"/>
      <c r="D1533" s="1936"/>
      <c r="E1533" s="1936"/>
      <c r="F1533" s="1936"/>
      <c r="G1533" s="1936"/>
      <c r="H1533" s="1936"/>
      <c r="I1533" s="1936"/>
      <c r="J1533" s="1936"/>
      <c r="K1533" s="1936"/>
      <c r="L1533" s="1936"/>
      <c r="M1533" s="1936"/>
      <c r="N1533" s="1936"/>
      <c r="O1533" s="1936"/>
      <c r="P1533" s="1936"/>
      <c r="Q1533" s="1936"/>
      <c r="U1533" s="1897"/>
      <c r="V1533" s="1897"/>
      <c r="W1533" s="1897"/>
      <c r="X1533" s="1897"/>
      <c r="Y1533" s="1897"/>
      <c r="Z1533" s="1897"/>
      <c r="AA1533" s="1897"/>
      <c r="AB1533" s="1897"/>
      <c r="AC1533" s="1897"/>
      <c r="AD1533" s="1897"/>
      <c r="AE1533" s="1897"/>
    </row>
    <row r="1534" spans="1:31" ht="10.5" customHeight="1">
      <c r="B1534" s="1936" t="s">
        <v>1820</v>
      </c>
      <c r="C1534" s="1936"/>
      <c r="D1534" s="1939"/>
      <c r="E1534" s="1939"/>
      <c r="F1534" s="1939"/>
      <c r="G1534" s="1939"/>
      <c r="H1534" s="1939"/>
      <c r="I1534" s="1939"/>
      <c r="J1534" s="1939"/>
      <c r="K1534" s="1939"/>
      <c r="L1534" s="1939"/>
      <c r="M1534" s="1939"/>
      <c r="N1534" s="1939"/>
      <c r="O1534" s="1939"/>
      <c r="P1534" s="1939"/>
      <c r="Q1534" s="1939"/>
    </row>
    <row r="1535" spans="1:31" ht="23.25" customHeight="1">
      <c r="A1535" s="1936"/>
      <c r="B1535" s="1936"/>
      <c r="C1535" s="1936"/>
      <c r="D1535" s="1936"/>
      <c r="E1535" s="1936"/>
      <c r="F1535" s="1936"/>
      <c r="G1535" s="1936"/>
      <c r="H1535" s="1936"/>
      <c r="I1535" s="1936"/>
      <c r="J1535" s="1936"/>
      <c r="K1535" s="1936"/>
      <c r="L1535" s="1936"/>
      <c r="M1535" s="1936"/>
      <c r="N1535" s="1936"/>
      <c r="O1535" s="1936"/>
      <c r="P1535" s="1936"/>
      <c r="Q1535" s="1936"/>
    </row>
    <row r="1536" spans="1:31" ht="3" customHeight="1">
      <c r="A1536" s="1732"/>
      <c r="B1536" s="1229"/>
      <c r="C1536" s="1939"/>
      <c r="D1536" s="1939"/>
      <c r="E1536" s="1939"/>
      <c r="F1536" s="1939"/>
      <c r="G1536" s="1939"/>
      <c r="H1536" s="1939"/>
      <c r="I1536" s="1939"/>
      <c r="J1536" s="1939"/>
      <c r="K1536" s="1939"/>
      <c r="L1536" s="1939"/>
      <c r="M1536" s="1939"/>
      <c r="Q1536" s="1732"/>
    </row>
    <row r="1537" spans="1:18" ht="14.1" customHeight="1">
      <c r="A1537" s="1922" t="s">
        <v>3790</v>
      </c>
      <c r="B1537" s="1815" t="s">
        <v>4695</v>
      </c>
      <c r="C1537" s="1815"/>
      <c r="D1537" s="1815"/>
      <c r="E1537" s="1815"/>
      <c r="F1537" s="1815"/>
      <c r="G1537" s="1815"/>
      <c r="H1537" s="1939"/>
      <c r="I1537" s="1939"/>
      <c r="J1537" s="1939"/>
      <c r="O1537" s="1942" t="s">
        <v>1821</v>
      </c>
      <c r="P1537" s="1897"/>
      <c r="Q1537" s="1897"/>
    </row>
    <row r="1538" spans="1:18" s="1815" customFormat="1" ht="10.5" customHeight="1">
      <c r="A1538" s="1940" t="s">
        <v>1936</v>
      </c>
      <c r="B1538" s="449" t="s">
        <v>3679</v>
      </c>
      <c r="D1538" s="449"/>
      <c r="E1538" s="449"/>
      <c r="F1538" s="449"/>
      <c r="G1538" s="449"/>
      <c r="H1538" s="449"/>
      <c r="I1538" s="449"/>
      <c r="J1538" s="449"/>
      <c r="K1538" s="449"/>
      <c r="L1538" s="449"/>
      <c r="M1538" s="449"/>
      <c r="N1538" s="449"/>
      <c r="O1538" s="449"/>
      <c r="P1538" s="449"/>
      <c r="Q1538" s="449"/>
      <c r="R1538" s="449"/>
    </row>
    <row r="1539" spans="1:18" s="1815" customFormat="1" ht="11.25" customHeight="1">
      <c r="A1539" s="1940"/>
      <c r="B1539" s="1908" t="s">
        <v>1694</v>
      </c>
      <c r="C1539" s="449" t="s">
        <v>4361</v>
      </c>
      <c r="D1539" s="449"/>
      <c r="E1539" s="449"/>
      <c r="F1539" s="449"/>
      <c r="H1539" s="449" t="s">
        <v>599</v>
      </c>
      <c r="J1539" s="449">
        <f>'Part VIII-Threshold Criteria'!J369</f>
        <v>0</v>
      </c>
      <c r="K1539" s="449"/>
      <c r="L1539" s="449"/>
      <c r="M1539" s="449"/>
      <c r="N1539" s="449" t="s">
        <v>3678</v>
      </c>
      <c r="O1539" s="449"/>
      <c r="P1539" s="449">
        <f>'Part VIII-Threshold Criteria'!P369</f>
        <v>0</v>
      </c>
      <c r="Q1539" s="449"/>
    </row>
    <row r="1540" spans="1:18" s="1815" customFormat="1" ht="11.25" customHeight="1">
      <c r="B1540" s="1908"/>
      <c r="C1540" s="1908"/>
      <c r="D1540" s="1908"/>
      <c r="E1540" s="1908"/>
      <c r="F1540" s="1908"/>
      <c r="G1540" s="1908"/>
      <c r="H1540" s="1908" t="s">
        <v>4487</v>
      </c>
      <c r="I1540" s="1908"/>
      <c r="J1540" s="449">
        <f>'Part VIII-Threshold Criteria'!J370</f>
        <v>0</v>
      </c>
      <c r="K1540" s="449"/>
      <c r="L1540" s="449"/>
      <c r="M1540" s="449"/>
      <c r="N1540" s="449"/>
      <c r="O1540" s="449"/>
      <c r="P1540" s="449"/>
      <c r="Q1540" s="449"/>
    </row>
    <row r="1541" spans="1:18" s="1815" customFormat="1" ht="11.25" customHeight="1">
      <c r="B1541" s="1908" t="s">
        <v>1695</v>
      </c>
      <c r="C1541" s="449" t="s">
        <v>3680</v>
      </c>
      <c r="J1541" s="1978">
        <f>'Part VIII-Threshold Criteria'!J371</f>
        <v>0</v>
      </c>
      <c r="K1541" s="1978"/>
      <c r="O1541" s="1940"/>
    </row>
    <row r="1542" spans="1:18" s="1815" customFormat="1" ht="11.25" customHeight="1">
      <c r="A1542" s="1940"/>
      <c r="B1542" s="1908" t="s">
        <v>1696</v>
      </c>
      <c r="C1542" s="449" t="s">
        <v>3681</v>
      </c>
      <c r="D1542" s="1896"/>
      <c r="E1542" s="449"/>
      <c r="I1542" s="449"/>
      <c r="J1542" s="449">
        <f>'Part I-Project Information'!K1210</f>
        <v>0</v>
      </c>
      <c r="K1542" s="449"/>
      <c r="L1542" s="1908" t="s">
        <v>3682</v>
      </c>
      <c r="M1542" s="449"/>
      <c r="N1542" s="449"/>
      <c r="O1542" s="1940" t="s">
        <v>1696</v>
      </c>
      <c r="P1542" s="1229">
        <f>'Part VIII-Threshold Criteria'!P372</f>
        <v>0</v>
      </c>
      <c r="Q1542" s="1229"/>
    </row>
    <row r="1543" spans="1:18" s="1815" customFormat="1" ht="11.25" customHeight="1">
      <c r="A1543" s="1940"/>
      <c r="B1543" s="1908" t="s">
        <v>2305</v>
      </c>
      <c r="C1543" s="449" t="s">
        <v>4355</v>
      </c>
      <c r="E1543" s="449"/>
      <c r="F1543" s="449"/>
      <c r="G1543" s="449"/>
      <c r="H1543" s="449" t="s">
        <v>4356</v>
      </c>
      <c r="I1543" s="449"/>
      <c r="J1543" s="1979">
        <f>'Part VIII-Threshold Criteria'!J373</f>
        <v>0</v>
      </c>
      <c r="K1543" s="1979"/>
      <c r="L1543" s="1979"/>
      <c r="M1543" s="1979"/>
      <c r="O1543" s="1940"/>
    </row>
    <row r="1544" spans="1:18" s="1815" customFormat="1" ht="11.25" customHeight="1">
      <c r="A1544" s="1940"/>
      <c r="B1544" s="1908"/>
      <c r="C1544" s="449"/>
      <c r="E1544" s="449"/>
      <c r="F1544" s="449"/>
      <c r="G1544" s="449"/>
      <c r="H1544" s="449" t="s">
        <v>4357</v>
      </c>
      <c r="I1544" s="449"/>
      <c r="J1544" s="449">
        <f>'Part VIII-Threshold Criteria'!J374</f>
        <v>0</v>
      </c>
      <c r="K1544" s="449"/>
      <c r="L1544" s="449"/>
      <c r="M1544" s="449"/>
      <c r="N1544" s="449"/>
      <c r="O1544" s="1940"/>
    </row>
    <row r="1545" spans="1:18" s="1815" customFormat="1" ht="11.25" customHeight="1">
      <c r="A1545" s="1940"/>
      <c r="B1545" s="1908" t="s">
        <v>1516</v>
      </c>
      <c r="C1545" s="449" t="s">
        <v>3683</v>
      </c>
      <c r="E1545" s="449"/>
      <c r="F1545" s="1979">
        <f>'Part IV-A-Uses of Funds'!J1352</f>
        <v>0</v>
      </c>
      <c r="G1545" s="1979"/>
      <c r="H1545" s="449" t="s">
        <v>3684</v>
      </c>
      <c r="I1545" s="449"/>
      <c r="J1545" s="1908" t="str">
        <f>IF(F1545&gt;'DCA Underwriting Assumptions'!$Q$146, "Request exceeds DCA per project maximum for set aside!!!","")</f>
        <v/>
      </c>
      <c r="K1545" s="1908"/>
      <c r="L1545" s="449"/>
      <c r="O1545" s="1940" t="s">
        <v>1516</v>
      </c>
      <c r="P1545" s="1229">
        <f>'Part VIII-Threshold Criteria'!P375</f>
        <v>0</v>
      </c>
      <c r="Q1545" s="1229"/>
    </row>
    <row r="1546" spans="1:18" s="1815" customFormat="1" ht="11.25" customHeight="1">
      <c r="A1546" s="1940"/>
      <c r="B1546" s="1908" t="s">
        <v>1517</v>
      </c>
      <c r="C1546" s="449" t="s">
        <v>4564</v>
      </c>
      <c r="E1546" s="449"/>
      <c r="F1546" s="449"/>
      <c r="G1546" s="449"/>
      <c r="H1546" s="449" t="s">
        <v>4358</v>
      </c>
      <c r="I1546" s="449"/>
      <c r="J1546" s="1979">
        <f>'Part VIII-Threshold Criteria'!J376</f>
        <v>0</v>
      </c>
      <c r="K1546" s="1979"/>
      <c r="L1546" s="1979"/>
      <c r="M1546" s="1979"/>
    </row>
    <row r="1547" spans="1:18" s="1815" customFormat="1" ht="11.25" customHeight="1">
      <c r="B1547" s="1908" t="s">
        <v>96</v>
      </c>
      <c r="C1547" s="449" t="s">
        <v>3685</v>
      </c>
      <c r="E1547" s="449"/>
      <c r="F1547" s="449"/>
      <c r="G1547" s="449"/>
      <c r="H1547" s="449"/>
      <c r="I1547" s="449"/>
      <c r="J1547" s="449"/>
      <c r="K1547" s="449"/>
      <c r="L1547" s="449"/>
      <c r="O1547" s="1940" t="s">
        <v>96</v>
      </c>
      <c r="P1547" s="1229">
        <f>'Part VIII-Threshold Criteria'!P377</f>
        <v>0</v>
      </c>
      <c r="Q1547" s="1229"/>
    </row>
    <row r="1548" spans="1:18" s="1815" customFormat="1" ht="11.25" customHeight="1">
      <c r="A1548" s="1940" t="s">
        <v>1938</v>
      </c>
      <c r="B1548" s="449" t="s">
        <v>3686</v>
      </c>
      <c r="D1548" s="449"/>
      <c r="E1548" s="449"/>
      <c r="F1548" s="449"/>
      <c r="G1548" s="449"/>
      <c r="H1548" s="449"/>
      <c r="P1548" s="449"/>
      <c r="Q1548" s="449"/>
      <c r="R1548" s="449"/>
    </row>
    <row r="1549" spans="1:18" s="1815" customFormat="1" ht="11.25" customHeight="1">
      <c r="B1549" s="1908" t="s">
        <v>1694</v>
      </c>
      <c r="C1549" s="1908" t="s">
        <v>4393</v>
      </c>
      <c r="E1549" s="1908"/>
      <c r="F1549" s="1908"/>
      <c r="G1549" s="1908"/>
      <c r="H1549" s="1908"/>
      <c r="P1549" s="1229">
        <f>'Part VIII-Threshold Criteria'!P379</f>
        <v>0</v>
      </c>
      <c r="Q1549" s="1229"/>
    </row>
    <row r="1550" spans="1:18" s="1815" customFormat="1" ht="11.25" customHeight="1">
      <c r="B1550" s="1908"/>
      <c r="C1550" s="1908"/>
      <c r="E1550" s="1908"/>
      <c r="F1550" s="1908"/>
      <c r="G1550" s="1908"/>
      <c r="H1550" s="1908"/>
      <c r="J1550" s="449" t="s">
        <v>3690</v>
      </c>
      <c r="K1550" s="449"/>
      <c r="L1550" s="449"/>
      <c r="M1550" s="449"/>
      <c r="N1550" s="449" t="s">
        <v>3688</v>
      </c>
      <c r="O1550" s="449"/>
    </row>
    <row r="1551" spans="1:18" s="1815" customFormat="1" ht="11.25" customHeight="1">
      <c r="B1551" s="1908" t="s">
        <v>1695</v>
      </c>
      <c r="C1551" s="1908" t="s">
        <v>3687</v>
      </c>
      <c r="E1551" s="449"/>
      <c r="F1551" s="449"/>
      <c r="G1551" s="449"/>
      <c r="H1551" s="449"/>
      <c r="I1551" s="1940" t="s">
        <v>1695</v>
      </c>
      <c r="J1551" s="1979">
        <f>'Part VIII-Threshold Criteria'!J381</f>
        <v>0</v>
      </c>
      <c r="K1551" s="1979"/>
      <c r="L1551" s="1979"/>
      <c r="M1551" s="1979"/>
      <c r="N1551" s="1985" t="e">
        <f>IF(J1551="","",(J1551-J1543)/J1551)</f>
        <v>#DIV/0!</v>
      </c>
      <c r="O1551" s="1985" t="str">
        <f>IF(L1551="","",(L1551-L1543)/L1551)</f>
        <v/>
      </c>
      <c r="P1551" s="1229">
        <f>'Part VIII-Threshold Criteria'!P381</f>
        <v>0</v>
      </c>
      <c r="Q1551" s="1229"/>
    </row>
    <row r="1552" spans="1:18" s="1815" customFormat="1" ht="11.25" customHeight="1">
      <c r="B1552" s="1908" t="s">
        <v>1696</v>
      </c>
      <c r="C1552" s="449" t="s">
        <v>3689</v>
      </c>
      <c r="E1552" s="449"/>
      <c r="F1552" s="449"/>
      <c r="G1552" s="449"/>
      <c r="H1552" s="449"/>
      <c r="N1552" s="449"/>
      <c r="O1552" s="1940" t="s">
        <v>1696</v>
      </c>
      <c r="P1552" s="1925">
        <f>'Part VIII-Threshold Criteria'!P382</f>
        <v>0</v>
      </c>
      <c r="Q1552" s="1925"/>
    </row>
    <row r="1553" spans="1:31" s="1815" customFormat="1" ht="11.25" customHeight="1">
      <c r="B1553" s="1908" t="s">
        <v>2305</v>
      </c>
      <c r="C1553" s="449" t="s">
        <v>3691</v>
      </c>
      <c r="E1553" s="449"/>
      <c r="F1553" s="449"/>
      <c r="G1553" s="449"/>
      <c r="H1553" s="449"/>
      <c r="M1553" s="449"/>
      <c r="N1553" s="449"/>
      <c r="O1553" s="1940" t="s">
        <v>2305</v>
      </c>
      <c r="P1553" s="1229">
        <f>'Part VIII-Threshold Criteria'!P383</f>
        <v>0</v>
      </c>
      <c r="Q1553" s="1229"/>
    </row>
    <row r="1554" spans="1:31" ht="10.5" customHeight="1">
      <c r="B1554" s="1908" t="s">
        <v>3565</v>
      </c>
      <c r="D1554" s="1908"/>
      <c r="E1554" s="1908"/>
      <c r="F1554" s="1908"/>
      <c r="G1554" s="1908"/>
      <c r="H1554" s="1908"/>
      <c r="I1554" s="1229"/>
      <c r="J1554" s="1229"/>
      <c r="K1554" s="1229"/>
      <c r="L1554" s="1732"/>
      <c r="M1554" s="1732"/>
      <c r="N1554" s="1732"/>
      <c r="O1554" s="1732"/>
      <c r="P1554" s="1732"/>
      <c r="Q1554" s="1732"/>
    </row>
    <row r="1555" spans="1:31" ht="31.5" customHeight="1">
      <c r="A1555" s="1936" t="str">
        <f>'Part VIII-Threshold Criteria'!A385</f>
        <v xml:space="preserve">The project is not in the Rural HOME Preservation Set Aside. </v>
      </c>
      <c r="B1555" s="1936"/>
      <c r="C1555" s="1936"/>
      <c r="D1555" s="1936"/>
      <c r="E1555" s="1936"/>
      <c r="F1555" s="1936"/>
      <c r="G1555" s="1936"/>
      <c r="H1555" s="1936"/>
      <c r="I1555" s="1936"/>
      <c r="J1555" s="1936"/>
      <c r="K1555" s="1936"/>
      <c r="L1555" s="1936"/>
      <c r="M1555" s="1936"/>
      <c r="N1555" s="1936"/>
      <c r="O1555" s="1936"/>
      <c r="P1555" s="1936"/>
      <c r="Q1555" s="1936"/>
      <c r="U1555" s="1897"/>
      <c r="V1555" s="1897"/>
      <c r="W1555" s="1897"/>
      <c r="X1555" s="1897"/>
      <c r="Y1555" s="1897"/>
      <c r="Z1555" s="1897"/>
      <c r="AA1555" s="1897"/>
      <c r="AB1555" s="1897"/>
      <c r="AC1555" s="1897"/>
      <c r="AD1555" s="1897"/>
      <c r="AE1555" s="1897"/>
    </row>
    <row r="1556" spans="1:31" ht="11.25" customHeight="1">
      <c r="B1556" s="1936" t="s">
        <v>1820</v>
      </c>
      <c r="C1556" s="1936"/>
      <c r="D1556" s="1939"/>
      <c r="E1556" s="1939"/>
      <c r="F1556" s="1939"/>
      <c r="G1556" s="1939"/>
      <c r="H1556" s="1939"/>
      <c r="I1556" s="1939"/>
      <c r="J1556" s="1939"/>
      <c r="K1556" s="1939"/>
      <c r="L1556" s="1939"/>
      <c r="M1556" s="1939"/>
      <c r="N1556" s="1939"/>
      <c r="O1556" s="1939"/>
      <c r="P1556" s="1939"/>
      <c r="Q1556" s="1939"/>
    </row>
    <row r="1557" spans="1:31" ht="23.25" customHeight="1">
      <c r="A1557" s="1936"/>
      <c r="B1557" s="1936"/>
      <c r="C1557" s="1936"/>
      <c r="D1557" s="1936"/>
      <c r="E1557" s="1936"/>
      <c r="F1557" s="1936"/>
      <c r="G1557" s="1936"/>
      <c r="H1557" s="1936"/>
      <c r="I1557" s="1936"/>
      <c r="J1557" s="1936"/>
      <c r="K1557" s="1936"/>
      <c r="L1557" s="1936"/>
      <c r="M1557" s="1936"/>
      <c r="N1557" s="1936"/>
      <c r="O1557" s="1936"/>
      <c r="P1557" s="1936"/>
      <c r="Q1557" s="1936"/>
    </row>
    <row r="1558" spans="1:31" ht="3.6" customHeight="1">
      <c r="A1558" s="1732"/>
      <c r="B1558" s="1229"/>
      <c r="C1558" s="1939"/>
      <c r="D1558" s="1939"/>
      <c r="E1558" s="1939"/>
      <c r="F1558" s="1939"/>
      <c r="G1558" s="1939"/>
      <c r="H1558" s="1939"/>
      <c r="I1558" s="1939"/>
      <c r="J1558" s="1939"/>
      <c r="K1558" s="1939"/>
      <c r="L1558" s="1939"/>
      <c r="M1558" s="1939"/>
      <c r="Q1558" s="1732"/>
    </row>
    <row r="1559" spans="1:31" ht="3" customHeight="1">
      <c r="A1559" s="1732"/>
      <c r="B1559" s="1229"/>
      <c r="C1559" s="1939"/>
      <c r="D1559" s="1939"/>
      <c r="E1559" s="1939"/>
      <c r="F1559" s="1939"/>
      <c r="G1559" s="1939"/>
      <c r="H1559" s="1939"/>
      <c r="I1559" s="1939"/>
      <c r="J1559" s="1939"/>
      <c r="K1559" s="1939"/>
      <c r="L1559" s="1939"/>
      <c r="M1559" s="1939"/>
      <c r="Q1559" s="1732"/>
    </row>
    <row r="1560" spans="1:31" ht="14.1" customHeight="1">
      <c r="A1560" s="1922" t="s">
        <v>3791</v>
      </c>
      <c r="B1560" s="1815" t="s">
        <v>2608</v>
      </c>
      <c r="C1560" s="1815"/>
      <c r="D1560" s="1815"/>
      <c r="E1560" s="1815"/>
      <c r="F1560" s="1815"/>
      <c r="G1560" s="1815"/>
      <c r="H1560" s="1939"/>
      <c r="I1560" s="1939"/>
      <c r="J1560" s="1939"/>
      <c r="O1560" s="1942" t="s">
        <v>1821</v>
      </c>
      <c r="P1560" s="1897"/>
      <c r="Q1560" s="1897"/>
    </row>
    <row r="1561" spans="1:31" ht="11.4" customHeight="1">
      <c r="A1561" s="1940" t="s">
        <v>1936</v>
      </c>
      <c r="B1561" s="449" t="s">
        <v>1012</v>
      </c>
      <c r="E1561" s="449">
        <f>'Part VIII-Threshold Criteria'!E391</f>
        <v>0</v>
      </c>
      <c r="F1561" s="449"/>
      <c r="G1561" s="449"/>
      <c r="H1561" s="449"/>
      <c r="I1561" s="449"/>
      <c r="J1561" s="449" t="s">
        <v>2595</v>
      </c>
      <c r="K1561" s="449"/>
      <c r="L1561" s="449"/>
      <c r="M1561" s="449">
        <f>'Part VIII-Threshold Criteria'!M391</f>
        <v>0</v>
      </c>
      <c r="N1561" s="449"/>
      <c r="O1561" s="449"/>
      <c r="P1561" s="449"/>
      <c r="Q1561" s="449"/>
    </row>
    <row r="1562" spans="1:31" ht="11.4" customHeight="1">
      <c r="A1562" s="1940" t="s">
        <v>1938</v>
      </c>
      <c r="B1562" s="449" t="s">
        <v>3346</v>
      </c>
      <c r="D1562" s="449"/>
      <c r="E1562" s="449"/>
      <c r="F1562" s="449"/>
      <c r="G1562" s="449"/>
      <c r="H1562" s="449"/>
      <c r="I1562" s="449"/>
      <c r="J1562" s="449"/>
      <c r="K1562" s="449"/>
      <c r="L1562" s="1908"/>
      <c r="M1562" s="1908"/>
      <c r="O1562" s="1940" t="s">
        <v>1938</v>
      </c>
      <c r="P1562" s="1229">
        <f>'Part VIII-Threshold Criteria'!P392</f>
        <v>0</v>
      </c>
      <c r="Q1562" s="1229"/>
    </row>
    <row r="1563" spans="1:31" ht="22.5" customHeight="1">
      <c r="A1563" s="1942" t="s">
        <v>731</v>
      </c>
      <c r="B1563" s="1936" t="s">
        <v>3355</v>
      </c>
      <c r="C1563" s="1936"/>
      <c r="D1563" s="1936"/>
      <c r="E1563" s="1936"/>
      <c r="F1563" s="1936"/>
      <c r="G1563" s="1936"/>
      <c r="H1563" s="1936"/>
      <c r="I1563" s="1936"/>
      <c r="J1563" s="1936"/>
      <c r="K1563" s="1936"/>
      <c r="L1563" s="1936"/>
      <c r="M1563" s="1936"/>
      <c r="N1563" s="1936"/>
      <c r="O1563" s="1942" t="s">
        <v>731</v>
      </c>
      <c r="P1563" s="1938">
        <f>'Part VIII-Threshold Criteria'!P393</f>
        <v>0</v>
      </c>
      <c r="Q1563" s="1938"/>
    </row>
    <row r="1564" spans="1:31">
      <c r="A1564" s="1940" t="s">
        <v>2065</v>
      </c>
      <c r="B1564" s="1945" t="s">
        <v>3518</v>
      </c>
      <c r="G1564" s="1908"/>
      <c r="H1564" s="1908"/>
      <c r="I1564" s="1908"/>
      <c r="J1564" s="1908" t="s">
        <v>3519</v>
      </c>
      <c r="L1564" s="1908"/>
      <c r="M1564" s="2144">
        <f>'Part VIII-Threshold Criteria'!M394</f>
        <v>0</v>
      </c>
      <c r="N1564" s="2144"/>
      <c r="O1564" s="1940" t="s">
        <v>2065</v>
      </c>
      <c r="P1564" s="1229">
        <f>'Part VIII-Threshold Criteria'!P394</f>
        <v>0</v>
      </c>
      <c r="Q1564" s="1229"/>
    </row>
    <row r="1565" spans="1:31" ht="11.25" customHeight="1">
      <c r="B1565" s="1908" t="s">
        <v>3565</v>
      </c>
      <c r="D1565" s="1908"/>
      <c r="E1565" s="1908"/>
      <c r="F1565" s="1908"/>
      <c r="G1565" s="1908"/>
      <c r="H1565" s="1908"/>
      <c r="I1565" s="1229"/>
      <c r="J1565" s="1229"/>
      <c r="K1565" s="1229"/>
      <c r="L1565" s="1732"/>
      <c r="M1565" s="1732"/>
      <c r="N1565" s="1732"/>
      <c r="O1565" s="1732"/>
      <c r="P1565" s="1732"/>
      <c r="Q1565" s="1732"/>
    </row>
    <row r="1566" spans="1:31" ht="11.4" customHeight="1">
      <c r="A1566" s="1936" t="str">
        <f>'Part VIII-Threshold Criteria'!A396</f>
        <v xml:space="preserve">A CHDO is not part of this ownership structure for this Application. </v>
      </c>
      <c r="B1566" s="1936"/>
      <c r="C1566" s="1936"/>
      <c r="D1566" s="1936"/>
      <c r="E1566" s="1936"/>
      <c r="F1566" s="1936"/>
      <c r="G1566" s="1936"/>
      <c r="H1566" s="1936"/>
      <c r="I1566" s="1936"/>
      <c r="J1566" s="1936"/>
      <c r="K1566" s="1936"/>
      <c r="L1566" s="1936"/>
      <c r="M1566" s="1936"/>
      <c r="N1566" s="1936"/>
      <c r="O1566" s="1936"/>
      <c r="P1566" s="1936"/>
      <c r="Q1566" s="1936"/>
      <c r="U1566" s="1897"/>
      <c r="V1566" s="1897"/>
      <c r="W1566" s="1897"/>
      <c r="X1566" s="1897"/>
      <c r="Y1566" s="1897"/>
      <c r="Z1566" s="1897"/>
      <c r="AA1566" s="1897"/>
      <c r="AB1566" s="1897"/>
      <c r="AC1566" s="1897"/>
      <c r="AD1566" s="1897"/>
      <c r="AE1566" s="1897"/>
    </row>
    <row r="1567" spans="1:31" ht="11.25" customHeight="1">
      <c r="B1567" s="1936" t="s">
        <v>1820</v>
      </c>
      <c r="C1567" s="1936"/>
      <c r="D1567" s="1939"/>
      <c r="E1567" s="1939"/>
      <c r="F1567" s="1939"/>
      <c r="G1567" s="1939"/>
      <c r="H1567" s="1939"/>
      <c r="I1567" s="1939"/>
      <c r="J1567" s="1939"/>
      <c r="K1567" s="1939"/>
      <c r="L1567" s="1939"/>
      <c r="M1567" s="1939"/>
      <c r="N1567" s="1939"/>
      <c r="O1567" s="1939"/>
      <c r="P1567" s="1939"/>
      <c r="Q1567" s="1939"/>
    </row>
    <row r="1568" spans="1:31" ht="11.4" customHeight="1">
      <c r="A1568" s="1936"/>
      <c r="B1568" s="1936"/>
      <c r="C1568" s="1936"/>
      <c r="D1568" s="1936"/>
      <c r="E1568" s="1936"/>
      <c r="F1568" s="1936"/>
      <c r="G1568" s="1936"/>
      <c r="H1568" s="1936"/>
      <c r="I1568" s="1936"/>
      <c r="J1568" s="1936"/>
      <c r="K1568" s="1936"/>
      <c r="L1568" s="1936"/>
      <c r="M1568" s="1936"/>
      <c r="N1568" s="1936"/>
      <c r="O1568" s="1936"/>
      <c r="P1568" s="1936"/>
      <c r="Q1568" s="1936"/>
    </row>
    <row r="1569" spans="1:31" ht="3.6" customHeight="1">
      <c r="A1569" s="1732"/>
      <c r="B1569" s="1229"/>
      <c r="C1569" s="1939"/>
      <c r="D1569" s="1939"/>
      <c r="E1569" s="1939"/>
      <c r="F1569" s="1939"/>
      <c r="G1569" s="1939"/>
      <c r="H1569" s="1939"/>
      <c r="I1569" s="1939"/>
      <c r="J1569" s="1939"/>
      <c r="K1569" s="1939"/>
      <c r="L1569" s="1939"/>
      <c r="M1569" s="1939"/>
      <c r="Q1569" s="1732"/>
    </row>
    <row r="1570" spans="1:31" ht="14.1" customHeight="1">
      <c r="A1570" s="1922" t="s">
        <v>3792</v>
      </c>
      <c r="B1570" s="1815" t="s">
        <v>2593</v>
      </c>
      <c r="C1570" s="1815"/>
      <c r="D1570" s="1815"/>
      <c r="E1570" s="1939"/>
      <c r="G1570" s="1936" t="s">
        <v>683</v>
      </c>
      <c r="H1570" s="1939"/>
      <c r="I1570" s="1939"/>
      <c r="J1570" s="1939"/>
      <c r="K1570" s="1939"/>
      <c r="L1570" s="1939"/>
      <c r="M1570" s="1939"/>
      <c r="O1570" s="1942" t="s">
        <v>1821</v>
      </c>
      <c r="P1570" s="1897"/>
      <c r="Q1570" s="1897"/>
    </row>
    <row r="1571" spans="1:31" ht="12" customHeight="1">
      <c r="A1571" s="1940" t="s">
        <v>1936</v>
      </c>
      <c r="B1571" s="449" t="s">
        <v>2597</v>
      </c>
      <c r="D1571" s="1936"/>
      <c r="E1571" s="1936"/>
      <c r="O1571" s="1940" t="s">
        <v>1936</v>
      </c>
      <c r="P1571" s="1229">
        <f>'Part VIII-Threshold Criteria'!P401</f>
        <v>0</v>
      </c>
      <c r="Q1571" s="1229"/>
    </row>
    <row r="1572" spans="1:31" ht="12" customHeight="1">
      <c r="A1572" s="1940" t="s">
        <v>1938</v>
      </c>
      <c r="B1572" s="449" t="s">
        <v>3442</v>
      </c>
      <c r="D1572" s="1936"/>
      <c r="E1572" s="1936"/>
      <c r="O1572" s="1940" t="s">
        <v>1938</v>
      </c>
      <c r="P1572" s="1229">
        <f>'Part VIII-Threshold Criteria'!P402</f>
        <v>0</v>
      </c>
      <c r="Q1572" s="1229"/>
    </row>
    <row r="1573" spans="1:31" ht="12" customHeight="1">
      <c r="A1573" s="1940" t="s">
        <v>731</v>
      </c>
      <c r="B1573" s="449" t="s">
        <v>4712</v>
      </c>
      <c r="D1573" s="1936"/>
      <c r="E1573" s="1936"/>
      <c r="O1573" s="1940" t="s">
        <v>731</v>
      </c>
      <c r="P1573" s="1229">
        <f>'Part VIII-Threshold Criteria'!P403</f>
        <v>0</v>
      </c>
      <c r="Q1573" s="1229"/>
    </row>
    <row r="1574" spans="1:31" ht="12" customHeight="1">
      <c r="A1574" s="1940" t="s">
        <v>2065</v>
      </c>
      <c r="B1574" s="449" t="s">
        <v>3443</v>
      </c>
      <c r="E1574" s="1936"/>
      <c r="O1574" s="1940" t="s">
        <v>2065</v>
      </c>
      <c r="P1574" s="1229">
        <f>'Part VIII-Threshold Criteria'!P404</f>
        <v>0</v>
      </c>
      <c r="Q1574" s="1229"/>
    </row>
    <row r="1575" spans="1:31" ht="12" customHeight="1">
      <c r="A1575" s="1940" t="s">
        <v>1692</v>
      </c>
      <c r="B1575" s="449" t="s">
        <v>2031</v>
      </c>
      <c r="E1575" s="1936"/>
      <c r="G1575" s="1940" t="s">
        <v>1692</v>
      </c>
      <c r="H1575" s="449">
        <f>'Part VIII-Threshold Criteria'!H405</f>
        <v>0</v>
      </c>
      <c r="I1575" s="449"/>
      <c r="J1575" s="449"/>
      <c r="K1575" s="449"/>
      <c r="L1575" s="449"/>
      <c r="M1575" s="449"/>
      <c r="N1575" s="449"/>
      <c r="O1575" s="449"/>
      <c r="P1575" s="1229">
        <f>'Part VIII-Threshold Criteria'!P405</f>
        <v>0</v>
      </c>
      <c r="Q1575" s="1229"/>
    </row>
    <row r="1576" spans="1:31" ht="11.25" customHeight="1">
      <c r="B1576" s="1908" t="s">
        <v>3565</v>
      </c>
      <c r="D1576" s="1908"/>
      <c r="E1576" s="1908"/>
      <c r="F1576" s="1908"/>
      <c r="G1576" s="1908"/>
      <c r="H1576" s="1908"/>
      <c r="I1576" s="1229"/>
      <c r="J1576" s="1229"/>
      <c r="K1576" s="1229"/>
      <c r="L1576" s="1732"/>
      <c r="M1576" s="1732"/>
      <c r="N1576" s="1732"/>
      <c r="O1576" s="1732"/>
      <c r="P1576" s="1732"/>
      <c r="Q1576" s="1732"/>
    </row>
    <row r="1577" spans="1:31" ht="11.4" customHeight="1">
      <c r="A1577" s="1936" t="str">
        <f>'Part VIII-Threshold Criteria'!A407</f>
        <v xml:space="preserve">No legal opinions are required for this application. </v>
      </c>
      <c r="B1577" s="1936"/>
      <c r="C1577" s="1936"/>
      <c r="D1577" s="1936"/>
      <c r="E1577" s="1936"/>
      <c r="F1577" s="1936"/>
      <c r="G1577" s="1936"/>
      <c r="H1577" s="1936"/>
      <c r="I1577" s="1936"/>
      <c r="J1577" s="1936"/>
      <c r="K1577" s="1936"/>
      <c r="L1577" s="1936"/>
      <c r="M1577" s="1936"/>
      <c r="N1577" s="1936"/>
      <c r="O1577" s="1936"/>
      <c r="P1577" s="1936"/>
      <c r="Q1577" s="1936"/>
      <c r="U1577" s="1897"/>
      <c r="V1577" s="1897"/>
      <c r="W1577" s="1897"/>
      <c r="X1577" s="1897"/>
      <c r="Y1577" s="1897"/>
      <c r="Z1577" s="1897"/>
      <c r="AA1577" s="1897"/>
      <c r="AB1577" s="1897"/>
      <c r="AC1577" s="1897"/>
      <c r="AD1577" s="1897"/>
      <c r="AE1577" s="1897"/>
    </row>
    <row r="1578" spans="1:31" ht="11.25" customHeight="1">
      <c r="B1578" s="1936" t="s">
        <v>1820</v>
      </c>
      <c r="C1578" s="1936"/>
      <c r="D1578" s="1939"/>
      <c r="E1578" s="1939"/>
      <c r="F1578" s="1939"/>
      <c r="G1578" s="1939"/>
      <c r="H1578" s="1939"/>
      <c r="I1578" s="1939"/>
      <c r="J1578" s="1939"/>
      <c r="K1578" s="1939"/>
      <c r="L1578" s="1939"/>
      <c r="M1578" s="1939"/>
      <c r="N1578" s="1939"/>
      <c r="O1578" s="1939"/>
      <c r="P1578" s="1939"/>
      <c r="Q1578" s="1939"/>
    </row>
    <row r="1579" spans="1:31" ht="11.4" customHeight="1">
      <c r="A1579" s="1936"/>
      <c r="B1579" s="1936"/>
      <c r="C1579" s="1936"/>
      <c r="D1579" s="1936"/>
      <c r="E1579" s="1936"/>
      <c r="F1579" s="1936"/>
      <c r="G1579" s="1936"/>
      <c r="H1579" s="1936"/>
      <c r="I1579" s="1936"/>
      <c r="J1579" s="1936"/>
      <c r="K1579" s="1936"/>
      <c r="L1579" s="1936"/>
      <c r="M1579" s="1936"/>
      <c r="N1579" s="1936"/>
      <c r="O1579" s="1936"/>
      <c r="P1579" s="1936"/>
      <c r="Q1579" s="1936"/>
    </row>
    <row r="1580" spans="1:31" ht="3" customHeight="1">
      <c r="A1580" s="1732"/>
      <c r="B1580" s="1229"/>
      <c r="C1580" s="1939"/>
      <c r="D1580" s="1939"/>
      <c r="E1580" s="1939"/>
      <c r="F1580" s="1939"/>
      <c r="G1580" s="1939"/>
      <c r="H1580" s="1939"/>
      <c r="I1580" s="1939"/>
      <c r="J1580" s="1939"/>
      <c r="K1580" s="1939"/>
      <c r="L1580" s="1939"/>
      <c r="M1580" s="1939"/>
      <c r="N1580" s="1939"/>
      <c r="O1580" s="1939"/>
      <c r="P1580" s="1939"/>
      <c r="Q1580" s="1732"/>
    </row>
    <row r="1581" spans="1:31" ht="14.1" customHeight="1">
      <c r="A1581" s="1922" t="s">
        <v>3793</v>
      </c>
      <c r="B1581" s="1815" t="s">
        <v>4534</v>
      </c>
      <c r="C1581" s="1815"/>
      <c r="D1581" s="1815"/>
      <c r="E1581" s="1815"/>
      <c r="F1581" s="1815"/>
      <c r="G1581" s="1815"/>
      <c r="H1581" s="1939"/>
      <c r="I1581" s="1939"/>
      <c r="J1581" s="1939"/>
      <c r="K1581" s="1939"/>
      <c r="L1581" s="1939"/>
      <c r="M1581" s="1939"/>
      <c r="O1581" s="1942" t="s">
        <v>1821</v>
      </c>
      <c r="P1581" s="1897"/>
      <c r="Q1581" s="1897"/>
    </row>
    <row r="1582" spans="1:31" ht="12" customHeight="1">
      <c r="A1582" s="1940" t="s">
        <v>1936</v>
      </c>
      <c r="B1582" s="449" t="s">
        <v>4533</v>
      </c>
      <c r="D1582" s="1815"/>
      <c r="E1582" s="1815"/>
      <c r="F1582" s="1815"/>
      <c r="G1582" s="1815"/>
      <c r="H1582" s="1815"/>
      <c r="I1582" s="1815"/>
      <c r="J1582" s="1815"/>
      <c r="K1582" s="1815"/>
      <c r="L1582" s="1815"/>
      <c r="M1582" s="1815"/>
      <c r="N1582" s="1815"/>
      <c r="O1582" s="1815"/>
      <c r="P1582" s="1815"/>
      <c r="Q1582" s="1815"/>
    </row>
    <row r="1583" spans="1:31" ht="12" customHeight="1">
      <c r="A1583" s="1940"/>
      <c r="B1583" s="2145" t="s">
        <v>1939</v>
      </c>
      <c r="C1583" s="1945" t="s">
        <v>734</v>
      </c>
      <c r="D1583" s="1815"/>
      <c r="E1583" s="1815"/>
      <c r="F1583" s="1815"/>
      <c r="G1583" s="1815"/>
      <c r="H1583" s="1815"/>
      <c r="I1583" s="1815"/>
      <c r="J1583" s="1815"/>
      <c r="K1583" s="1815"/>
      <c r="L1583" s="1815"/>
      <c r="M1583" s="1815"/>
      <c r="N1583" s="1815"/>
      <c r="O1583" s="1940">
        <v>1</v>
      </c>
      <c r="P1583" s="1229" t="str">
        <f>'Part VIII-Threshold Criteria'!P413</f>
        <v>No</v>
      </c>
      <c r="Q1583" s="1229"/>
    </row>
    <row r="1584" spans="1:31" ht="12" customHeight="1">
      <c r="C1584" s="449" t="s">
        <v>4713</v>
      </c>
      <c r="D1584" s="1945" t="s">
        <v>4714</v>
      </c>
      <c r="E1584" s="1815"/>
      <c r="F1584" s="1815"/>
      <c r="G1584" s="1815"/>
      <c r="H1584" s="1815"/>
      <c r="I1584" s="1815"/>
      <c r="J1584" s="1815"/>
      <c r="K1584" s="1815"/>
      <c r="L1584" s="1815"/>
      <c r="M1584" s="1815"/>
      <c r="N1584" s="1815"/>
      <c r="O1584" s="1940" t="s">
        <v>2372</v>
      </c>
      <c r="P1584" s="1229">
        <f>'Part VIII-Threshold Criteria'!P414</f>
        <v>0</v>
      </c>
      <c r="Q1584" s="1229"/>
    </row>
    <row r="1585" spans="1:17" ht="12" customHeight="1">
      <c r="B1585" s="449"/>
      <c r="C1585" s="449" t="s">
        <v>2373</v>
      </c>
      <c r="D1585" s="1945" t="s">
        <v>4715</v>
      </c>
      <c r="E1585" s="1815"/>
      <c r="F1585" s="1815"/>
      <c r="G1585" s="1815"/>
      <c r="H1585" s="1815"/>
      <c r="I1585" s="1815"/>
      <c r="J1585" s="1815"/>
      <c r="K1585" s="1815"/>
      <c r="L1585" s="1815"/>
      <c r="M1585" s="1815"/>
      <c r="N1585" s="1815"/>
      <c r="O1585" s="1940" t="s">
        <v>2373</v>
      </c>
      <c r="P1585" s="1229">
        <f>'Part VIII-Threshold Criteria'!P415</f>
        <v>0</v>
      </c>
      <c r="Q1585" s="1229"/>
    </row>
    <row r="1586" spans="1:17" ht="12" customHeight="1">
      <c r="A1586" s="1940"/>
      <c r="D1586" s="449" t="s">
        <v>1452</v>
      </c>
      <c r="E1586" s="449"/>
      <c r="F1586" s="449"/>
      <c r="G1586" s="449"/>
      <c r="H1586" s="449"/>
      <c r="I1586" s="449"/>
      <c r="J1586" s="449"/>
      <c r="K1586" s="449"/>
      <c r="L1586" s="449"/>
      <c r="M1586" s="449"/>
      <c r="N1586" s="1815"/>
      <c r="O1586" s="1930"/>
    </row>
    <row r="1587" spans="1:17" ht="12" customHeight="1">
      <c r="C1587" s="449" t="s">
        <v>4541</v>
      </c>
      <c r="D1587" s="449" t="s">
        <v>3356</v>
      </c>
      <c r="E1587" s="449"/>
      <c r="F1587" s="449"/>
      <c r="G1587" s="449"/>
      <c r="H1587" s="449"/>
      <c r="I1587" s="449"/>
      <c r="J1587" s="449"/>
      <c r="K1587" s="449"/>
      <c r="L1587" s="449"/>
      <c r="M1587" s="449"/>
      <c r="N1587" s="1815"/>
      <c r="O1587" s="1940" t="s">
        <v>2374</v>
      </c>
      <c r="P1587" s="1229">
        <f>'Part VIII-Threshold Criteria'!P417</f>
        <v>0</v>
      </c>
      <c r="Q1587" s="1229"/>
    </row>
    <row r="1588" spans="1:17" ht="12" customHeight="1">
      <c r="A1588" s="1940"/>
      <c r="C1588" s="1940" t="s">
        <v>2375</v>
      </c>
      <c r="D1588" s="449" t="s">
        <v>3437</v>
      </c>
      <c r="E1588" s="449"/>
      <c r="F1588" s="449"/>
      <c r="G1588" s="449"/>
      <c r="H1588" s="449"/>
      <c r="I1588" s="449"/>
      <c r="J1588" s="449"/>
      <c r="K1588" s="449"/>
      <c r="L1588" s="449"/>
      <c r="M1588" s="449"/>
      <c r="N1588" s="1815"/>
      <c r="O1588" s="1940" t="s">
        <v>2375</v>
      </c>
      <c r="P1588" s="1229">
        <f>'Part VIII-Threshold Criteria'!P418</f>
        <v>0</v>
      </c>
      <c r="Q1588" s="1229"/>
    </row>
    <row r="1589" spans="1:17" ht="12" customHeight="1">
      <c r="A1589" s="1940"/>
      <c r="B1589" s="2145" t="s">
        <v>1941</v>
      </c>
      <c r="C1589" s="449" t="s">
        <v>2151</v>
      </c>
      <c r="E1589" s="449"/>
      <c r="F1589" s="449"/>
      <c r="G1589" s="449"/>
      <c r="H1589" s="449"/>
      <c r="I1589" s="449"/>
      <c r="J1589" s="449"/>
      <c r="K1589" s="449"/>
      <c r="L1589" s="449"/>
      <c r="M1589" s="449"/>
      <c r="N1589" s="449"/>
      <c r="O1589" s="1940">
        <v>2</v>
      </c>
      <c r="P1589" s="1229">
        <f>'Part VIII-Threshold Criteria'!P419</f>
        <v>0</v>
      </c>
      <c r="Q1589" s="1229"/>
    </row>
    <row r="1590" spans="1:17" ht="12" customHeight="1">
      <c r="A1590" s="1940"/>
      <c r="B1590" s="2145" t="s">
        <v>2468</v>
      </c>
      <c r="C1590" s="1936" t="s">
        <v>2719</v>
      </c>
      <c r="D1590" s="1936"/>
      <c r="E1590" s="1936"/>
      <c r="F1590" s="1936"/>
      <c r="G1590" s="449" t="s">
        <v>4542</v>
      </c>
      <c r="J1590" s="1732">
        <f>'Part VIII-Threshold Criteria'!J420</f>
        <v>0</v>
      </c>
      <c r="K1590" s="1732"/>
      <c r="M1590" s="449" t="s">
        <v>4543</v>
      </c>
      <c r="P1590" s="1732">
        <f>'Part VIII-Threshold Criteria'!P420</f>
        <v>0</v>
      </c>
      <c r="Q1590" s="1732"/>
    </row>
    <row r="1591" spans="1:17" ht="12" customHeight="1">
      <c r="A1591" s="1940"/>
      <c r="C1591" s="1936"/>
      <c r="D1591" s="1936"/>
      <c r="E1591" s="1936"/>
      <c r="F1591" s="1936"/>
      <c r="G1591" s="449" t="s">
        <v>4544</v>
      </c>
      <c r="J1591" s="1732">
        <f>'Part VIII-Threshold Criteria'!J421</f>
        <v>0</v>
      </c>
      <c r="K1591" s="1732"/>
      <c r="M1591" s="449" t="s">
        <v>4545</v>
      </c>
      <c r="P1591" s="1732">
        <f>'Part VIII-Threshold Criteria'!P421</f>
        <v>0</v>
      </c>
      <c r="Q1591" s="1732"/>
    </row>
    <row r="1592" spans="1:17" ht="12" customHeight="1">
      <c r="A1592" s="1940"/>
      <c r="C1592" s="1936"/>
      <c r="D1592" s="1936"/>
      <c r="E1592" s="1936"/>
      <c r="F1592" s="1936"/>
      <c r="G1592" s="449" t="s">
        <v>4546</v>
      </c>
      <c r="J1592" s="1732">
        <f>'Part VIII-Threshold Criteria'!J422</f>
        <v>0</v>
      </c>
      <c r="K1592" s="1732"/>
      <c r="L1592" s="1908"/>
      <c r="M1592" s="1815"/>
      <c r="N1592" s="1940"/>
    </row>
    <row r="1593" spans="1:17" ht="12" customHeight="1">
      <c r="A1593" s="1940"/>
      <c r="B1593" s="2145" t="s">
        <v>1198</v>
      </c>
      <c r="C1593" s="1908" t="s">
        <v>4367</v>
      </c>
      <c r="E1593" s="1908"/>
      <c r="F1593" s="1908"/>
      <c r="G1593" s="1908"/>
      <c r="J1593" s="1815"/>
      <c r="K1593" s="1908"/>
      <c r="L1593" s="1908"/>
      <c r="M1593" s="1815"/>
      <c r="N1593" s="1940"/>
      <c r="P1593" s="1940"/>
      <c r="Q1593" s="1940"/>
    </row>
    <row r="1594" spans="1:17" ht="12" customHeight="1">
      <c r="A1594" s="1940"/>
      <c r="B1594" s="1945"/>
      <c r="C1594" s="1908" t="s">
        <v>4547</v>
      </c>
      <c r="E1594" s="1908"/>
      <c r="G1594" s="1945" t="s">
        <v>4535</v>
      </c>
      <c r="H1594" s="1908"/>
      <c r="I1594" s="1908"/>
      <c r="J1594" s="1229">
        <f>'Part VIII-Threshold Criteria'!J424</f>
        <v>0</v>
      </c>
      <c r="K1594" s="1229"/>
      <c r="L1594" s="1908"/>
      <c r="M1594" s="1945" t="s">
        <v>4540</v>
      </c>
    </row>
    <row r="1595" spans="1:17" ht="12" customHeight="1">
      <c r="A1595" s="1815"/>
      <c r="G1595" s="1945" t="s">
        <v>4536</v>
      </c>
      <c r="H1595" s="1908"/>
      <c r="I1595" s="1908"/>
      <c r="J1595" s="1229">
        <f>'Part VIII-Threshold Criteria'!J425</f>
        <v>0</v>
      </c>
      <c r="K1595" s="1229"/>
      <c r="M1595" s="1956">
        <f>'Part VIII-Threshold Criteria'!M425</f>
        <v>0</v>
      </c>
      <c r="N1595" s="1956"/>
      <c r="O1595" s="1956"/>
      <c r="P1595" s="1956"/>
      <c r="Q1595" s="1956"/>
    </row>
    <row r="1596" spans="1:17" ht="12" customHeight="1">
      <c r="A1596" s="1815"/>
      <c r="G1596" s="1945" t="s">
        <v>4537</v>
      </c>
      <c r="H1596" s="1908"/>
      <c r="J1596" s="1229">
        <f>'Part VIII-Threshold Criteria'!J426</f>
        <v>0</v>
      </c>
      <c r="K1596" s="1229"/>
      <c r="M1596" s="1956"/>
      <c r="N1596" s="1956"/>
      <c r="O1596" s="1956"/>
      <c r="P1596" s="1956"/>
      <c r="Q1596" s="1956"/>
    </row>
    <row r="1597" spans="1:17" ht="12" customHeight="1">
      <c r="A1597" s="1940"/>
      <c r="B1597" s="1945"/>
      <c r="C1597" s="1908" t="s">
        <v>4548</v>
      </c>
      <c r="E1597" s="1908"/>
      <c r="F1597" s="1908"/>
      <c r="L1597" s="1908"/>
      <c r="M1597" s="1908"/>
      <c r="O1597" s="1940" t="s">
        <v>1695</v>
      </c>
      <c r="P1597" s="1229" t="str">
        <f>'Part VIII-Threshold Criteria'!P427</f>
        <v>&lt;&lt;Select&gt;&gt;</v>
      </c>
      <c r="Q1597" s="1229" t="s">
        <v>1727</v>
      </c>
    </row>
    <row r="1598" spans="1:17" ht="12" customHeight="1">
      <c r="A1598" s="1815"/>
      <c r="D1598" s="1943" t="s">
        <v>2395</v>
      </c>
      <c r="E1598" s="1945" t="s">
        <v>3644</v>
      </c>
      <c r="F1598" s="1908"/>
      <c r="G1598" s="449">
        <f>'Part VIII-Threshold Criteria'!G428</f>
        <v>0</v>
      </c>
      <c r="H1598" s="449"/>
      <c r="I1598" s="449"/>
      <c r="J1598" s="449"/>
      <c r="K1598" s="449"/>
      <c r="L1598" s="1943"/>
    </row>
    <row r="1599" spans="1:17" ht="12" customHeight="1">
      <c r="D1599" s="1943" t="s">
        <v>4538</v>
      </c>
      <c r="E1599" s="1945" t="s">
        <v>4539</v>
      </c>
      <c r="F1599" s="1943"/>
      <c r="G1599" s="449" t="str">
        <f>'Part VIII-Threshold Criteria'!G429</f>
        <v>&lt;&lt; Select &gt;&gt;</v>
      </c>
      <c r="H1599" s="449"/>
      <c r="I1599" s="449"/>
      <c r="J1599" s="1945" t="s">
        <v>4275</v>
      </c>
      <c r="M1599" s="449">
        <f>'Part VIII-Threshold Criteria'!M429</f>
        <v>0</v>
      </c>
      <c r="N1599" s="449"/>
      <c r="O1599" s="449"/>
      <c r="P1599" s="449"/>
      <c r="Q1599" s="449"/>
    </row>
    <row r="1600" spans="1:17" ht="12" customHeight="1">
      <c r="A1600" s="1815"/>
      <c r="C1600" s="1945" t="s">
        <v>4414</v>
      </c>
      <c r="E1600" s="1908"/>
      <c r="F1600" s="1908"/>
      <c r="G1600" s="1908"/>
      <c r="H1600" s="1908"/>
      <c r="I1600" s="1908"/>
      <c r="J1600" s="1908"/>
      <c r="K1600" s="1908"/>
      <c r="L1600" s="1908"/>
      <c r="M1600" s="1908"/>
      <c r="N1600" s="1908"/>
      <c r="O1600" s="1908"/>
      <c r="P1600" s="1908"/>
      <c r="Q1600" s="1908"/>
    </row>
    <row r="1601" spans="1:31" ht="44.4" customHeight="1">
      <c r="B1601" s="1956">
        <f>'Part VIII-Threshold Criteria'!B431</f>
        <v>0</v>
      </c>
      <c r="C1601" s="1956"/>
      <c r="D1601" s="1956"/>
      <c r="E1601" s="1956"/>
      <c r="F1601" s="1956"/>
      <c r="G1601" s="1956"/>
      <c r="H1601" s="1956"/>
      <c r="I1601" s="1956"/>
      <c r="J1601" s="1956"/>
      <c r="K1601" s="1956"/>
      <c r="L1601" s="1956"/>
      <c r="M1601" s="1956"/>
      <c r="N1601" s="1956"/>
      <c r="O1601" s="1956"/>
      <c r="P1601" s="1956"/>
      <c r="Q1601" s="1956"/>
      <c r="R1601" s="1973" t="s">
        <v>4270</v>
      </c>
      <c r="U1601" s="1897"/>
      <c r="V1601" s="1897"/>
      <c r="W1601" s="1897"/>
      <c r="X1601" s="1897"/>
      <c r="Y1601" s="1897"/>
      <c r="Z1601" s="1897"/>
      <c r="AA1601" s="1897"/>
      <c r="AB1601" s="1897"/>
      <c r="AC1601" s="1897"/>
      <c r="AD1601" s="1897"/>
      <c r="AE1601" s="1897"/>
    </row>
    <row r="1602" spans="1:31" ht="3" customHeight="1">
      <c r="A1602" s="1945"/>
      <c r="B1602" s="1945"/>
      <c r="C1602" s="1945"/>
      <c r="D1602" s="1945"/>
      <c r="E1602" s="1945"/>
      <c r="F1602" s="1945"/>
      <c r="G1602" s="1945"/>
      <c r="H1602" s="1945"/>
      <c r="I1602" s="1945"/>
      <c r="J1602" s="1945"/>
      <c r="K1602" s="1945"/>
      <c r="L1602" s="1945"/>
      <c r="M1602" s="1945"/>
      <c r="N1602" s="1945"/>
      <c r="O1602" s="1945"/>
      <c r="P1602" s="1945"/>
      <c r="Q1602" s="1945"/>
    </row>
    <row r="1603" spans="1:31" ht="13.2" customHeight="1">
      <c r="A1603" s="1942" t="s">
        <v>1938</v>
      </c>
      <c r="B1603" s="1936" t="s">
        <v>4716</v>
      </c>
      <c r="C1603" s="1936"/>
      <c r="D1603" s="1936"/>
      <c r="E1603" s="1936"/>
      <c r="F1603" s="1936"/>
      <c r="G1603" s="1936"/>
      <c r="H1603" s="1936"/>
      <c r="I1603" s="1936"/>
      <c r="J1603" s="1936"/>
      <c r="K1603" s="1936"/>
      <c r="L1603" s="1936"/>
      <c r="M1603" s="1936"/>
      <c r="N1603" s="1936"/>
    </row>
    <row r="1604" spans="1:31" ht="12" customHeight="1">
      <c r="A1604" s="1942"/>
      <c r="B1604" s="1939" t="s">
        <v>4549</v>
      </c>
      <c r="C1604" s="1939"/>
      <c r="D1604" s="1939"/>
      <c r="E1604" s="1939"/>
      <c r="F1604" s="1939"/>
      <c r="G1604" s="1939"/>
      <c r="H1604" s="1939"/>
      <c r="I1604" s="1939"/>
      <c r="J1604" s="1939"/>
      <c r="K1604" s="1939"/>
      <c r="L1604" s="1939"/>
      <c r="M1604" s="1939"/>
      <c r="N1604" s="1939"/>
    </row>
    <row r="1605" spans="1:31" ht="48" customHeight="1">
      <c r="B1605" s="1936" t="s">
        <v>6907</v>
      </c>
      <c r="C1605" s="1936"/>
      <c r="D1605" s="1936"/>
      <c r="E1605" s="1936"/>
      <c r="F1605" s="1936"/>
      <c r="G1605" s="1936"/>
      <c r="H1605" s="1936"/>
      <c r="I1605" s="1936"/>
      <c r="J1605" s="1936"/>
      <c r="K1605" s="1936"/>
      <c r="L1605" s="1936"/>
      <c r="M1605" s="1936"/>
      <c r="N1605" s="1936"/>
      <c r="O1605" s="1942" t="s">
        <v>1938</v>
      </c>
      <c r="P1605" s="1936">
        <f>'Part VIII-Threshold Criteria'!P435</f>
        <v>0</v>
      </c>
      <c r="Q1605" s="1936"/>
    </row>
    <row r="1606" spans="1:31" ht="12" customHeight="1">
      <c r="B1606" s="1908" t="s">
        <v>3565</v>
      </c>
      <c r="D1606" s="1908"/>
      <c r="E1606" s="1908"/>
      <c r="F1606" s="1908"/>
      <c r="G1606" s="1908"/>
      <c r="H1606" s="1908"/>
      <c r="I1606" s="1229"/>
      <c r="J1606" s="1229"/>
      <c r="K1606" s="1229"/>
    </row>
    <row r="1607" spans="1:31" ht="33.6" customHeight="1">
      <c r="A1607" s="1936" t="str">
        <f>'Part VIII-Threshold Criteria'!A437</f>
        <v xml:space="preserve">Applicant is not relocating or displacing any tenants. </v>
      </c>
      <c r="B1607" s="1936"/>
      <c r="C1607" s="1936"/>
      <c r="D1607" s="1936"/>
      <c r="E1607" s="1936"/>
      <c r="F1607" s="1936"/>
      <c r="G1607" s="1936"/>
      <c r="H1607" s="1936"/>
      <c r="I1607" s="1936"/>
      <c r="J1607" s="1936"/>
      <c r="K1607" s="1936"/>
      <c r="L1607" s="1936"/>
      <c r="M1607" s="1936"/>
      <c r="N1607" s="1936"/>
      <c r="O1607" s="1936"/>
      <c r="P1607" s="1936"/>
      <c r="Q1607" s="1936"/>
      <c r="U1607" s="1897"/>
      <c r="V1607" s="1897"/>
      <c r="W1607" s="1897"/>
      <c r="X1607" s="1897"/>
      <c r="Y1607" s="1897"/>
      <c r="Z1607" s="1897"/>
      <c r="AA1607" s="1897"/>
      <c r="AB1607" s="1897"/>
      <c r="AC1607" s="1897"/>
      <c r="AD1607" s="1897"/>
      <c r="AE1607" s="1897"/>
    </row>
    <row r="1608" spans="1:31" ht="12" customHeight="1">
      <c r="B1608" s="1936" t="s">
        <v>1820</v>
      </c>
      <c r="C1608" s="1936"/>
      <c r="D1608" s="1939"/>
      <c r="E1608" s="1939"/>
      <c r="F1608" s="1939"/>
      <c r="G1608" s="1939"/>
      <c r="H1608" s="1939"/>
      <c r="I1608" s="1939"/>
      <c r="J1608" s="1939"/>
      <c r="K1608" s="1939"/>
      <c r="L1608" s="1939"/>
      <c r="M1608" s="1939"/>
      <c r="N1608" s="1939"/>
      <c r="O1608" s="1939"/>
      <c r="P1608" s="1939"/>
      <c r="Q1608" s="1939"/>
    </row>
    <row r="1609" spans="1:31" ht="33.6" customHeight="1">
      <c r="A1609" s="1936"/>
      <c r="B1609" s="1936"/>
      <c r="C1609" s="1936"/>
      <c r="D1609" s="1936"/>
      <c r="E1609" s="1936"/>
      <c r="F1609" s="1936"/>
      <c r="G1609" s="1936"/>
      <c r="H1609" s="1936"/>
      <c r="I1609" s="1936"/>
      <c r="J1609" s="1936"/>
      <c r="K1609" s="1936"/>
      <c r="L1609" s="1936"/>
      <c r="M1609" s="1936"/>
      <c r="N1609" s="1936"/>
      <c r="O1609" s="1936"/>
      <c r="P1609" s="1936"/>
      <c r="Q1609" s="1936"/>
    </row>
    <row r="1610" spans="1:31" ht="3" customHeight="1">
      <c r="A1610" s="1732"/>
      <c r="B1610" s="1229"/>
      <c r="C1610" s="1939"/>
      <c r="D1610" s="1939"/>
      <c r="E1610" s="1939"/>
      <c r="F1610" s="1939"/>
      <c r="G1610" s="1939"/>
      <c r="H1610" s="1939"/>
      <c r="I1610" s="1939"/>
      <c r="J1610" s="1939"/>
      <c r="K1610" s="1939"/>
      <c r="L1610" s="1939"/>
      <c r="M1610" s="1939"/>
      <c r="Q1610" s="1732"/>
    </row>
    <row r="1611" spans="1:31" ht="14.1" customHeight="1">
      <c r="A1611" s="1922" t="s">
        <v>3794</v>
      </c>
      <c r="B1611" s="1815" t="s">
        <v>2720</v>
      </c>
      <c r="C1611" s="1815"/>
      <c r="D1611" s="449"/>
      <c r="E1611" s="1939"/>
      <c r="F1611" s="1939"/>
      <c r="G1611" s="1939"/>
      <c r="H1611" s="1939"/>
      <c r="O1611" s="1942" t="s">
        <v>1821</v>
      </c>
      <c r="P1611" s="1897"/>
      <c r="Q1611" s="1897"/>
    </row>
    <row r="1612" spans="1:31" ht="14.1" customHeight="1">
      <c r="B1612" s="449" t="s">
        <v>4459</v>
      </c>
      <c r="C1612" s="1815"/>
      <c r="D1612" s="449"/>
      <c r="E1612" s="1939"/>
      <c r="F1612" s="1939"/>
      <c r="G1612" s="1939"/>
      <c r="H1612" s="1939"/>
    </row>
    <row r="1613" spans="1:31" s="1910" customFormat="1" ht="21.75" customHeight="1">
      <c r="A1613" s="1942" t="s">
        <v>1936</v>
      </c>
      <c r="B1613" s="1936" t="s">
        <v>3693</v>
      </c>
      <c r="C1613" s="1936"/>
      <c r="D1613" s="1936"/>
      <c r="E1613" s="1936"/>
      <c r="F1613" s="1936"/>
      <c r="G1613" s="1936"/>
      <c r="H1613" s="1936"/>
      <c r="I1613" s="1936"/>
      <c r="J1613" s="1936"/>
      <c r="K1613" s="1936"/>
      <c r="L1613" s="1936"/>
      <c r="M1613" s="1936"/>
      <c r="N1613" s="1936"/>
      <c r="O1613" s="1942" t="s">
        <v>1936</v>
      </c>
      <c r="P1613" s="1938" t="str">
        <f>'Part VIII-Threshold Criteria'!P443</f>
        <v>Agree</v>
      </c>
      <c r="Q1613" s="1938"/>
    </row>
    <row r="1614" spans="1:31" s="1910" customFormat="1" ht="22.5" customHeight="1">
      <c r="A1614" s="1942" t="s">
        <v>1938</v>
      </c>
      <c r="B1614" s="1936" t="s">
        <v>3692</v>
      </c>
      <c r="C1614" s="1936"/>
      <c r="D1614" s="1936"/>
      <c r="E1614" s="1936"/>
      <c r="F1614" s="1936"/>
      <c r="G1614" s="1936"/>
      <c r="H1614" s="1936"/>
      <c r="I1614" s="1936"/>
      <c r="J1614" s="1936"/>
      <c r="K1614" s="1936"/>
      <c r="L1614" s="1936"/>
      <c r="M1614" s="1936"/>
      <c r="N1614" s="1936"/>
      <c r="O1614" s="1942" t="s">
        <v>1938</v>
      </c>
      <c r="P1614" s="1938" t="str">
        <f>'Part VIII-Threshold Criteria'!P444</f>
        <v>Agree</v>
      </c>
      <c r="Q1614" s="1938"/>
    </row>
    <row r="1615" spans="1:31" s="1910" customFormat="1" ht="22.5" customHeight="1">
      <c r="B1615" s="1939" t="s">
        <v>1694</v>
      </c>
      <c r="C1615" s="1936" t="s">
        <v>4415</v>
      </c>
      <c r="D1615" s="1936"/>
      <c r="E1615" s="1936"/>
      <c r="F1615" s="1936"/>
      <c r="G1615" s="1936"/>
      <c r="H1615" s="1936"/>
      <c r="I1615" s="1936"/>
      <c r="J1615" s="1936"/>
      <c r="K1615" s="1936"/>
      <c r="L1615" s="1936"/>
      <c r="M1615" s="1936"/>
      <c r="N1615" s="1936"/>
      <c r="O1615" s="1942" t="s">
        <v>1694</v>
      </c>
      <c r="P1615" s="1938" t="str">
        <f>'Part VIII-Threshold Criteria'!P445</f>
        <v>Agree</v>
      </c>
      <c r="Q1615" s="1938"/>
    </row>
    <row r="1616" spans="1:31" s="1815" customFormat="1" ht="12" customHeight="1">
      <c r="B1616" s="1939" t="s">
        <v>1695</v>
      </c>
      <c r="C1616" s="449" t="s">
        <v>4416</v>
      </c>
      <c r="D1616" s="449"/>
      <c r="E1616" s="449"/>
      <c r="F1616" s="449"/>
      <c r="G1616" s="449"/>
      <c r="H1616" s="449"/>
      <c r="I1616" s="449"/>
      <c r="J1616" s="449"/>
      <c r="K1616" s="449"/>
      <c r="L1616" s="449"/>
      <c r="M1616" s="449"/>
      <c r="N1616" s="449"/>
      <c r="O1616" s="1940" t="s">
        <v>1695</v>
      </c>
      <c r="P1616" s="1229" t="str">
        <f>'Part VIII-Threshold Criteria'!P446</f>
        <v>Agree</v>
      </c>
      <c r="Q1616" s="1229"/>
    </row>
    <row r="1617" spans="1:31" s="1910" customFormat="1" ht="33" customHeight="1">
      <c r="B1617" s="1939" t="s">
        <v>1696</v>
      </c>
      <c r="C1617" s="1936" t="s">
        <v>4417</v>
      </c>
      <c r="D1617" s="1936"/>
      <c r="E1617" s="1936"/>
      <c r="F1617" s="1936"/>
      <c r="G1617" s="1936"/>
      <c r="H1617" s="1936"/>
      <c r="I1617" s="1936"/>
      <c r="J1617" s="1936"/>
      <c r="K1617" s="1936"/>
      <c r="L1617" s="1936"/>
      <c r="M1617" s="1936"/>
      <c r="N1617" s="1936"/>
      <c r="O1617" s="1942" t="s">
        <v>1696</v>
      </c>
      <c r="P1617" s="1938" t="str">
        <f>'Part VIII-Threshold Criteria'!P447</f>
        <v>Agree</v>
      </c>
      <c r="Q1617" s="1938"/>
    </row>
    <row r="1618" spans="1:31" s="1910" customFormat="1" ht="22.5" customHeight="1">
      <c r="B1618" s="1939" t="s">
        <v>2305</v>
      </c>
      <c r="C1618" s="1936" t="s">
        <v>4418</v>
      </c>
      <c r="D1618" s="1936"/>
      <c r="E1618" s="1936"/>
      <c r="F1618" s="1936"/>
      <c r="G1618" s="1936"/>
      <c r="H1618" s="1936"/>
      <c r="I1618" s="1936"/>
      <c r="J1618" s="1936"/>
      <c r="K1618" s="1936"/>
      <c r="L1618" s="1936"/>
      <c r="M1618" s="1936"/>
      <c r="N1618" s="1936"/>
      <c r="O1618" s="1942" t="s">
        <v>2305</v>
      </c>
      <c r="P1618" s="1938" t="str">
        <f>'Part VIII-Threshold Criteria'!P448</f>
        <v>Agree</v>
      </c>
      <c r="Q1618" s="1938"/>
    </row>
    <row r="1619" spans="1:31" s="1910" customFormat="1" ht="22.5" customHeight="1">
      <c r="A1619" s="1942" t="s">
        <v>731</v>
      </c>
      <c r="B1619" s="1936" t="s">
        <v>3694</v>
      </c>
      <c r="C1619" s="1936"/>
      <c r="D1619" s="1936"/>
      <c r="E1619" s="1936"/>
      <c r="F1619" s="1936"/>
      <c r="G1619" s="1936"/>
      <c r="H1619" s="1936"/>
      <c r="I1619" s="1936"/>
      <c r="J1619" s="1936"/>
      <c r="K1619" s="1936"/>
      <c r="L1619" s="1936"/>
      <c r="M1619" s="1936"/>
      <c r="N1619" s="1936"/>
      <c r="O1619" s="1942" t="s">
        <v>731</v>
      </c>
      <c r="P1619" s="1938" t="str">
        <f>'Part VIII-Threshold Criteria'!P449</f>
        <v>Agree</v>
      </c>
      <c r="Q1619" s="1938"/>
    </row>
    <row r="1620" spans="1:31" s="1910" customFormat="1" ht="22.5" customHeight="1">
      <c r="A1620" s="1942" t="s">
        <v>2065</v>
      </c>
      <c r="B1620" s="1936" t="s">
        <v>4501</v>
      </c>
      <c r="C1620" s="1936"/>
      <c r="D1620" s="1936"/>
      <c r="E1620" s="1936"/>
      <c r="F1620" s="1936"/>
      <c r="G1620" s="1936"/>
      <c r="H1620" s="1936"/>
      <c r="I1620" s="1936"/>
      <c r="J1620" s="1936"/>
      <c r="K1620" s="1936"/>
      <c r="L1620" s="1936"/>
      <c r="M1620" s="1936"/>
      <c r="N1620" s="1936"/>
      <c r="O1620" s="1942" t="s">
        <v>2065</v>
      </c>
      <c r="P1620" s="1938" t="str">
        <f>'Part VIII-Threshold Criteria'!P450</f>
        <v>Agree</v>
      </c>
      <c r="Q1620" s="1938"/>
    </row>
    <row r="1621" spans="1:31" s="1910" customFormat="1" ht="21.75" customHeight="1">
      <c r="A1621" s="1942" t="s">
        <v>1692</v>
      </c>
      <c r="B1621" s="1936" t="s">
        <v>4502</v>
      </c>
      <c r="C1621" s="1936"/>
      <c r="D1621" s="1936"/>
      <c r="E1621" s="1936"/>
      <c r="F1621" s="1936"/>
      <c r="G1621" s="1936"/>
      <c r="H1621" s="1936"/>
      <c r="I1621" s="1936"/>
      <c r="J1621" s="1936"/>
      <c r="K1621" s="1936"/>
      <c r="L1621" s="1936"/>
      <c r="M1621" s="1936"/>
      <c r="N1621" s="1936"/>
      <c r="O1621" s="1942" t="s">
        <v>1692</v>
      </c>
      <c r="P1621" s="1938" t="str">
        <f>'Part VIII-Threshold Criteria'!P451</f>
        <v>Agree</v>
      </c>
      <c r="Q1621" s="1938"/>
    </row>
    <row r="1622" spans="1:31" s="1910" customFormat="1" ht="21.75" customHeight="1">
      <c r="A1622" s="1942" t="s">
        <v>1693</v>
      </c>
      <c r="B1622" s="1936" t="s">
        <v>4565</v>
      </c>
      <c r="C1622" s="1936"/>
      <c r="D1622" s="1936"/>
      <c r="E1622" s="1936"/>
      <c r="F1622" s="1936"/>
      <c r="G1622" s="1936"/>
      <c r="H1622" s="1936"/>
      <c r="I1622" s="1936"/>
      <c r="J1622" s="1936"/>
      <c r="K1622" s="1936"/>
      <c r="L1622" s="1936"/>
      <c r="M1622" s="1936"/>
      <c r="N1622" s="1936"/>
      <c r="O1622" s="1942" t="s">
        <v>1693</v>
      </c>
      <c r="P1622" s="1938" t="str">
        <f>'Part VIII-Threshold Criteria'!P452</f>
        <v>Agree</v>
      </c>
      <c r="Q1622" s="1938"/>
    </row>
    <row r="1623" spans="1:31" ht="11.25" customHeight="1">
      <c r="B1623" s="1908" t="s">
        <v>3565</v>
      </c>
      <c r="D1623" s="1908"/>
      <c r="E1623" s="1908"/>
      <c r="F1623" s="1908"/>
      <c r="G1623" s="1908"/>
      <c r="H1623" s="1908"/>
      <c r="I1623" s="1229"/>
      <c r="J1623" s="1229"/>
      <c r="K1623" s="1229"/>
      <c r="L1623" s="1732"/>
      <c r="M1623" s="1732"/>
      <c r="N1623" s="1732"/>
      <c r="O1623" s="1732"/>
      <c r="P1623" s="1732"/>
      <c r="Q1623" s="1732"/>
    </row>
    <row r="1624" spans="1:31" ht="33.6" customHeight="1">
      <c r="A1624" s="1936" t="str">
        <f>'Part VIII-Threshold Criteria'!A454</f>
        <v xml:space="preserve">Applicant has met Threshold by agreeing to all of the above. </v>
      </c>
      <c r="B1624" s="1936"/>
      <c r="C1624" s="1936"/>
      <c r="D1624" s="1936"/>
      <c r="E1624" s="1936"/>
      <c r="F1624" s="1936"/>
      <c r="G1624" s="1936"/>
      <c r="H1624" s="1936"/>
      <c r="I1624" s="1936"/>
      <c r="J1624" s="1936"/>
      <c r="K1624" s="1936"/>
      <c r="L1624" s="1936"/>
      <c r="M1624" s="1936"/>
      <c r="N1624" s="1936"/>
      <c r="O1624" s="1936"/>
      <c r="P1624" s="1936"/>
      <c r="Q1624" s="1936"/>
      <c r="R1624" s="1973" t="s">
        <v>1228</v>
      </c>
      <c r="S1624" s="1973"/>
      <c r="U1624" s="1897"/>
      <c r="V1624" s="1897"/>
      <c r="W1624" s="1897"/>
      <c r="X1624" s="1897"/>
      <c r="Y1624" s="1897"/>
      <c r="Z1624" s="1897"/>
      <c r="AA1624" s="1897"/>
      <c r="AB1624" s="1897"/>
      <c r="AC1624" s="1897"/>
      <c r="AD1624" s="1897"/>
      <c r="AE1624" s="1897"/>
    </row>
    <row r="1625" spans="1:31" ht="11.25" customHeight="1">
      <c r="B1625" s="1936" t="s">
        <v>1820</v>
      </c>
      <c r="C1625" s="1936"/>
      <c r="D1625" s="1939"/>
      <c r="E1625" s="1939"/>
      <c r="F1625" s="1939"/>
      <c r="G1625" s="1939"/>
      <c r="H1625" s="1939"/>
      <c r="I1625" s="1939"/>
      <c r="J1625" s="1939"/>
      <c r="K1625" s="1939"/>
      <c r="L1625" s="1939"/>
      <c r="M1625" s="1939"/>
      <c r="N1625" s="1939"/>
      <c r="O1625" s="1939"/>
      <c r="P1625" s="1939"/>
      <c r="Q1625" s="1939"/>
    </row>
    <row r="1626" spans="1:31" ht="33.6" customHeight="1">
      <c r="A1626" s="1936"/>
      <c r="B1626" s="1936"/>
      <c r="C1626" s="1936"/>
      <c r="D1626" s="1936"/>
      <c r="E1626" s="1936"/>
      <c r="F1626" s="1936"/>
      <c r="G1626" s="1936"/>
      <c r="H1626" s="1936"/>
      <c r="I1626" s="1936"/>
      <c r="J1626" s="1936"/>
      <c r="K1626" s="1936"/>
      <c r="L1626" s="1936"/>
      <c r="M1626" s="1936"/>
      <c r="N1626" s="1936"/>
      <c r="O1626" s="1936"/>
      <c r="P1626" s="1936"/>
      <c r="Q1626" s="1936"/>
    </row>
    <row r="1627" spans="1:31" ht="3" customHeight="1">
      <c r="A1627" s="1732"/>
      <c r="B1627" s="1229"/>
      <c r="C1627" s="1939"/>
      <c r="D1627" s="1939"/>
      <c r="E1627" s="1939"/>
      <c r="F1627" s="1939"/>
      <c r="G1627" s="1939"/>
      <c r="H1627" s="1939"/>
      <c r="I1627" s="1939"/>
      <c r="J1627" s="1939"/>
      <c r="K1627" s="1939"/>
      <c r="L1627" s="1939"/>
      <c r="M1627" s="1939"/>
      <c r="Q1627" s="1732"/>
    </row>
    <row r="1628" spans="1:31" s="1951" customFormat="1" ht="12.75" customHeight="1">
      <c r="A1628" s="1922" t="s">
        <v>3795</v>
      </c>
      <c r="C1628" s="1815" t="s">
        <v>2639</v>
      </c>
      <c r="D1628" s="1945"/>
      <c r="E1628" s="449"/>
      <c r="J1628" s="1908"/>
      <c r="M1628" s="1896"/>
      <c r="N1628" s="1896"/>
      <c r="O1628" s="1942" t="s">
        <v>1821</v>
      </c>
      <c r="P1628" s="1897"/>
      <c r="Q1628" s="1897"/>
    </row>
    <row r="1629" spans="1:31" s="1950" customFormat="1" ht="15" customHeight="1">
      <c r="A1629" s="1942" t="s">
        <v>1936</v>
      </c>
      <c r="B1629" s="1936" t="s">
        <v>4585</v>
      </c>
      <c r="C1629" s="1936"/>
      <c r="D1629" s="1936"/>
      <c r="E1629" s="1936"/>
      <c r="F1629" s="1936"/>
      <c r="G1629" s="1936"/>
      <c r="H1629" s="1936"/>
      <c r="I1629" s="1936"/>
      <c r="J1629" s="1945" t="s">
        <v>4455</v>
      </c>
      <c r="K1629" s="1945"/>
      <c r="L1629" s="1843" t="s">
        <v>4587</v>
      </c>
      <c r="M1629" s="1947"/>
      <c r="N1629" s="1926">
        <f>ROUNDUP('Part VI-Revenues &amp; Expenses'!$P$63*0.1,0)</f>
        <v>8</v>
      </c>
      <c r="O1629" s="1949" t="s">
        <v>1936</v>
      </c>
      <c r="P1629" s="1936" t="str">
        <f>'Part VIII-Threshold Criteria'!P459</f>
        <v>Agree</v>
      </c>
      <c r="Q1629" s="1936"/>
      <c r="R1629" s="1822"/>
      <c r="S1629" s="1822"/>
    </row>
    <row r="1630" spans="1:31" s="1950" customFormat="1" ht="15" customHeight="1">
      <c r="B1630" s="1936"/>
      <c r="C1630" s="1936"/>
      <c r="D1630" s="1936"/>
      <c r="E1630" s="1936"/>
      <c r="F1630" s="1936"/>
      <c r="G1630" s="1936"/>
      <c r="H1630" s="1936"/>
      <c r="I1630" s="1936"/>
      <c r="J1630" s="2146">
        <f>'Part VI-Revenues &amp; Expenses'!$P$100</f>
        <v>0</v>
      </c>
      <c r="K1630" s="2146"/>
      <c r="L1630" s="1908" t="s">
        <v>4456</v>
      </c>
      <c r="M1630" s="1947"/>
      <c r="N1630" s="1926">
        <f>'Part VI-Revenues &amp; Expenses'!$P$63</f>
        <v>72</v>
      </c>
      <c r="P1630" s="1936"/>
      <c r="Q1630" s="1936"/>
      <c r="R1630" s="1822"/>
      <c r="S1630" s="1822"/>
    </row>
    <row r="1631" spans="1:31" s="1950" customFormat="1" ht="15" customHeight="1">
      <c r="A1631" s="1942"/>
      <c r="B1631" s="1936"/>
      <c r="C1631" s="1936"/>
      <c r="D1631" s="1936"/>
      <c r="E1631" s="1936"/>
      <c r="F1631" s="1936"/>
      <c r="G1631" s="1936"/>
      <c r="H1631" s="1936"/>
      <c r="I1631" s="1936"/>
      <c r="J1631" s="1936"/>
      <c r="L1631" s="1908" t="s">
        <v>1749</v>
      </c>
      <c r="M1631" s="1947"/>
      <c r="N1631" s="1926">
        <f>'Part VI-Revenues &amp; Expenses'!$P$67</f>
        <v>72</v>
      </c>
      <c r="P1631" s="1936"/>
      <c r="Q1631" s="1936"/>
    </row>
    <row r="1632" spans="1:31" s="1936" customFormat="1" ht="22.5" customHeight="1">
      <c r="A1632" s="1942" t="s">
        <v>1938</v>
      </c>
      <c r="B1632" s="1936" t="s">
        <v>4591</v>
      </c>
      <c r="J1632" s="449" t="s">
        <v>4586</v>
      </c>
      <c r="K1632" s="449"/>
      <c r="L1632" s="449">
        <f>'Part VIII-Threshold Criteria'!L462</f>
        <v>0</v>
      </c>
      <c r="M1632" s="449"/>
      <c r="N1632" s="449"/>
      <c r="O1632" s="1949" t="s">
        <v>1938</v>
      </c>
      <c r="P1632" s="1938" t="str">
        <f>'Part VIII-Threshold Criteria'!P462</f>
        <v>Yes</v>
      </c>
      <c r="Q1632" s="1938"/>
    </row>
    <row r="1633" spans="1:31" s="1936" customFormat="1" ht="12" customHeight="1">
      <c r="A1633" s="1942" t="s">
        <v>731</v>
      </c>
      <c r="B1633" s="1936" t="s">
        <v>4359</v>
      </c>
      <c r="J1633" s="449" t="s">
        <v>4279</v>
      </c>
      <c r="K1633" s="1958">
        <f>'Part VI-Revenues &amp; Expenses'!$P$115</f>
        <v>72</v>
      </c>
      <c r="L1633" s="1908" t="s">
        <v>4278</v>
      </c>
      <c r="M1633" s="1947"/>
      <c r="N1633" s="1926">
        <f>ROUNDUP(N1631*0.1,0)</f>
        <v>8</v>
      </c>
      <c r="O1633" s="1949" t="s">
        <v>731</v>
      </c>
      <c r="P1633" s="1936" t="str">
        <f>'Part VIII-Threshold Criteria'!P463</f>
        <v>Yes</v>
      </c>
      <c r="R1633" s="1822"/>
      <c r="S1633" s="1822"/>
    </row>
    <row r="1634" spans="1:31" s="1936" customFormat="1" ht="12" customHeight="1">
      <c r="J1634" s="449" t="s">
        <v>4280</v>
      </c>
      <c r="K1634" s="2147">
        <f>IF(N1631=0,"",K1633/N1631)</f>
        <v>1</v>
      </c>
      <c r="L1634" s="1908" t="s">
        <v>4454</v>
      </c>
      <c r="M1634" s="449"/>
      <c r="N1634" s="2148">
        <f>'Part VI-Revenues &amp; Expenses'!$L$67/'Part VI-Revenues &amp; Expenses'!$P$67</f>
        <v>0.27777777777777779</v>
      </c>
      <c r="O1634" s="1949" t="str">
        <f>IF(AND(N1634&lt;0.1,P1633="Yes"), "Check!","")</f>
        <v/>
      </c>
      <c r="P1634" s="1936">
        <f>'Part VIII-Threshold Criteria'!P464</f>
        <v>0</v>
      </c>
      <c r="R1634" s="1822"/>
      <c r="S1634" s="1822"/>
    </row>
    <row r="1635" spans="1:31" s="1815" customFormat="1" ht="12" customHeight="1">
      <c r="A1635" s="1940" t="s">
        <v>2065</v>
      </c>
      <c r="B1635" s="1960" t="s">
        <v>1939</v>
      </c>
      <c r="C1635" s="449" t="s">
        <v>4281</v>
      </c>
      <c r="D1635" s="449"/>
      <c r="E1635" s="449"/>
      <c r="F1635" s="449"/>
      <c r="G1635" s="449"/>
      <c r="H1635" s="449"/>
      <c r="I1635" s="449"/>
      <c r="J1635" s="449"/>
      <c r="K1635" s="449"/>
      <c r="L1635" s="449"/>
      <c r="M1635" s="449"/>
      <c r="N1635" s="449"/>
      <c r="O1635" s="1940" t="s">
        <v>4588</v>
      </c>
      <c r="P1635" s="1229" t="str">
        <f>'Part VIII-Threshold Criteria'!P465</f>
        <v>No</v>
      </c>
      <c r="Q1635" s="1229"/>
    </row>
    <row r="1636" spans="1:31" s="1815" customFormat="1">
      <c r="B1636" s="1960" t="s">
        <v>1941</v>
      </c>
      <c r="C1636" s="449" t="s">
        <v>4589</v>
      </c>
      <c r="D1636" s="449"/>
      <c r="E1636" s="449"/>
      <c r="F1636" s="449"/>
      <c r="G1636" s="449"/>
      <c r="H1636" s="449"/>
      <c r="I1636" s="449"/>
      <c r="J1636" s="449"/>
      <c r="K1636" s="449"/>
      <c r="L1636" s="449"/>
      <c r="M1636" s="449"/>
      <c r="N1636" s="449"/>
      <c r="O1636" s="1940" t="s">
        <v>4590</v>
      </c>
      <c r="P1636" s="1229" t="str">
        <f>'Part VIII-Threshold Criteria'!P466</f>
        <v>N/a</v>
      </c>
      <c r="Q1636" s="1229"/>
    </row>
    <row r="1637" spans="1:31" s="1951" customFormat="1" ht="11.25" customHeight="1">
      <c r="A1637" s="1815"/>
      <c r="B1637" s="1908" t="s">
        <v>3565</v>
      </c>
      <c r="C1637" s="1815"/>
      <c r="D1637" s="1897"/>
      <c r="E1637" s="1897"/>
      <c r="F1637" s="1897"/>
      <c r="G1637" s="1897"/>
      <c r="H1637" s="449"/>
      <c r="I1637" s="449"/>
      <c r="J1637" s="449"/>
      <c r="K1637" s="449"/>
      <c r="M1637" s="1896"/>
      <c r="N1637" s="1874"/>
      <c r="O1637" s="1923"/>
      <c r="P1637" s="1874"/>
    </row>
    <row r="1638" spans="1:31" s="1951" customFormat="1" ht="21.75" customHeight="1">
      <c r="A1638" s="1936" t="str">
        <f>'Part VIII-Threshold Criteria'!A468</f>
        <v xml:space="preserve">Applicant has met Threshold by agreeing to the above statements and for providing the required number of one-bedroom units. </v>
      </c>
      <c r="B1638" s="1936"/>
      <c r="C1638" s="1936"/>
      <c r="D1638" s="1936"/>
      <c r="E1638" s="1936"/>
      <c r="F1638" s="1936"/>
      <c r="G1638" s="1936"/>
      <c r="H1638" s="1936"/>
      <c r="I1638" s="1936"/>
      <c r="J1638" s="1936"/>
      <c r="K1638" s="1936"/>
      <c r="L1638" s="1936"/>
      <c r="M1638" s="1936"/>
      <c r="N1638" s="1936"/>
      <c r="O1638" s="1936"/>
      <c r="P1638" s="1936"/>
      <c r="Q1638" s="1936"/>
      <c r="R1638" s="1973" t="s">
        <v>1228</v>
      </c>
    </row>
    <row r="1639" spans="1:31" s="1951" customFormat="1" ht="10.5" customHeight="1">
      <c r="B1639" s="1936" t="s">
        <v>1820</v>
      </c>
      <c r="C1639" s="1815"/>
      <c r="D1639" s="1936"/>
      <c r="E1639" s="1939"/>
      <c r="F1639" s="1939"/>
      <c r="G1639" s="1939"/>
      <c r="H1639" s="1939"/>
      <c r="I1639" s="1939"/>
      <c r="J1639" s="1939"/>
      <c r="K1639" s="1939"/>
      <c r="L1639" s="1939"/>
      <c r="M1639" s="1939"/>
      <c r="N1639" s="1967"/>
      <c r="O1639" s="1967"/>
      <c r="P1639" s="1896"/>
    </row>
    <row r="1640" spans="1:31" s="1951" customFormat="1" ht="11.25" customHeight="1">
      <c r="A1640" s="1936"/>
      <c r="B1640" s="1936"/>
      <c r="C1640" s="1936"/>
      <c r="D1640" s="1936"/>
      <c r="E1640" s="1936"/>
      <c r="F1640" s="1936"/>
      <c r="G1640" s="1936"/>
      <c r="H1640" s="1936"/>
      <c r="I1640" s="1936"/>
      <c r="J1640" s="1936"/>
      <c r="K1640" s="1936"/>
      <c r="L1640" s="1936"/>
      <c r="M1640" s="1936"/>
      <c r="N1640" s="1936"/>
      <c r="O1640" s="1936"/>
      <c r="P1640" s="1936"/>
      <c r="Q1640" s="1936"/>
    </row>
    <row r="1641" spans="1:31" ht="3" customHeight="1">
      <c r="A1641" s="1732"/>
      <c r="B1641" s="1229"/>
      <c r="C1641" s="1939"/>
      <c r="D1641" s="1939"/>
      <c r="E1641" s="1939"/>
      <c r="F1641" s="1939"/>
      <c r="G1641" s="1939"/>
      <c r="H1641" s="1939"/>
      <c r="I1641" s="1939"/>
      <c r="J1641" s="1939"/>
      <c r="K1641" s="1939"/>
      <c r="L1641" s="1939"/>
      <c r="M1641" s="1939"/>
      <c r="N1641" s="1939"/>
      <c r="O1641" s="1939"/>
      <c r="P1641" s="1939"/>
      <c r="Q1641" s="1732"/>
    </row>
    <row r="1642" spans="1:31" ht="14.1" customHeight="1">
      <c r="A1642" s="1922" t="s">
        <v>4276</v>
      </c>
      <c r="B1642" s="1815"/>
      <c r="C1642" s="1815" t="s">
        <v>2594</v>
      </c>
      <c r="D1642" s="449"/>
      <c r="E1642" s="1939"/>
      <c r="F1642" s="1939"/>
      <c r="G1642" s="1939"/>
      <c r="H1642" s="1939"/>
      <c r="J1642" s="1939"/>
      <c r="K1642" s="1939"/>
      <c r="L1642" s="1939"/>
      <c r="M1642" s="1939"/>
      <c r="O1642" s="1942" t="s">
        <v>1821</v>
      </c>
      <c r="P1642" s="1897"/>
      <c r="Q1642" s="1897"/>
    </row>
    <row r="1643" spans="1:31" ht="11.25" customHeight="1">
      <c r="A1643" s="1922"/>
      <c r="B1643" s="1908" t="s">
        <v>3565</v>
      </c>
      <c r="D1643" s="1908"/>
      <c r="E1643" s="1908"/>
      <c r="F1643" s="1908"/>
      <c r="G1643" s="1908"/>
      <c r="H1643" s="1908"/>
      <c r="I1643" s="1229"/>
      <c r="J1643" s="1229"/>
      <c r="K1643" s="1229"/>
      <c r="L1643" s="1732"/>
      <c r="M1643" s="1732"/>
      <c r="N1643" s="1732"/>
      <c r="O1643" s="1732"/>
      <c r="P1643" s="1732"/>
      <c r="Q1643" s="1732"/>
    </row>
    <row r="1644" spans="1:31" ht="22.5" customHeight="1">
      <c r="A1644" s="1936" t="str">
        <f>'Part VIII-Threshold Criteria'!A474</f>
        <v xml:space="preserve">Applicant has met Threshold here by structuring this project in a way that adheres to all of DCA's underwriting Policies. Applicant believes the requested allocation represents an appropriate amount that is consistent with the project scope and budget. Applicant has efficently assembled the project design, financing, and tenant sevices to best fit with DCA's current policies and objectives. </v>
      </c>
      <c r="B1644" s="1936"/>
      <c r="C1644" s="1936"/>
      <c r="D1644" s="1936"/>
      <c r="E1644" s="1936"/>
      <c r="F1644" s="1936"/>
      <c r="G1644" s="1936"/>
      <c r="H1644" s="1936"/>
      <c r="I1644" s="1936"/>
      <c r="J1644" s="1936"/>
      <c r="K1644" s="1936"/>
      <c r="L1644" s="1936"/>
      <c r="M1644" s="1936"/>
      <c r="N1644" s="1936"/>
      <c r="O1644" s="1936"/>
      <c r="P1644" s="1936"/>
      <c r="Q1644" s="1936"/>
      <c r="R1644" s="1973" t="s">
        <v>1228</v>
      </c>
      <c r="S1644" s="1973"/>
      <c r="U1644" s="1897"/>
      <c r="V1644" s="1897"/>
      <c r="W1644" s="1897"/>
      <c r="X1644" s="1897"/>
      <c r="Y1644" s="1897"/>
      <c r="Z1644" s="1897"/>
      <c r="AA1644" s="1897"/>
      <c r="AB1644" s="1897"/>
      <c r="AC1644" s="1897"/>
      <c r="AD1644" s="1897"/>
      <c r="AE1644" s="1897"/>
    </row>
    <row r="1645" spans="1:31" ht="11.25" customHeight="1">
      <c r="B1645" s="1936" t="s">
        <v>1820</v>
      </c>
      <c r="C1645" s="1936"/>
      <c r="D1645" s="1939"/>
      <c r="E1645" s="1939"/>
      <c r="F1645" s="1939"/>
      <c r="G1645" s="1939"/>
      <c r="H1645" s="1939"/>
      <c r="I1645" s="1939"/>
      <c r="J1645" s="1939"/>
      <c r="K1645" s="1939"/>
      <c r="L1645" s="1939"/>
      <c r="M1645" s="1939"/>
      <c r="N1645" s="1939"/>
      <c r="O1645" s="1939"/>
      <c r="P1645" s="1939"/>
      <c r="Q1645" s="1939"/>
    </row>
    <row r="1646" spans="1:31" ht="22.5" customHeight="1">
      <c r="A1646" s="1936"/>
      <c r="B1646" s="1936"/>
      <c r="C1646" s="1936"/>
      <c r="D1646" s="1936"/>
      <c r="E1646" s="1936"/>
      <c r="F1646" s="1936"/>
      <c r="G1646" s="1936"/>
      <c r="H1646" s="1936"/>
      <c r="I1646" s="1936"/>
      <c r="J1646" s="1936"/>
      <c r="K1646" s="1936"/>
      <c r="L1646" s="1936"/>
      <c r="M1646" s="1936"/>
      <c r="N1646" s="1936"/>
      <c r="O1646" s="1936"/>
      <c r="P1646" s="1936"/>
      <c r="Q1646" s="1936"/>
    </row>
    <row r="1647" spans="1:31" ht="3" customHeight="1">
      <c r="A1647" s="1732"/>
      <c r="B1647" s="1229"/>
      <c r="C1647" s="1939"/>
      <c r="D1647" s="1939"/>
      <c r="E1647" s="1939"/>
      <c r="F1647" s="1939"/>
      <c r="G1647" s="1939"/>
      <c r="H1647" s="1939"/>
      <c r="I1647" s="1939"/>
      <c r="J1647" s="1939"/>
      <c r="K1647" s="1939"/>
      <c r="L1647" s="1939"/>
      <c r="M1647" s="1939"/>
      <c r="N1647" s="1939"/>
      <c r="O1647" s="1939"/>
      <c r="P1647" s="1939"/>
      <c r="Q1647" s="1732"/>
    </row>
    <row r="1648" spans="1:31" ht="3" customHeight="1">
      <c r="A1648" s="1732"/>
      <c r="B1648" s="1229"/>
      <c r="C1648" s="1939"/>
      <c r="D1648" s="1939"/>
      <c r="E1648" s="1939"/>
      <c r="F1648" s="1939"/>
      <c r="G1648" s="1939"/>
      <c r="H1648" s="1939"/>
      <c r="I1648" s="1939"/>
      <c r="J1648" s="1939"/>
      <c r="K1648" s="1939"/>
      <c r="L1648" s="1939"/>
      <c r="M1648" s="1939"/>
      <c r="N1648" s="1939"/>
      <c r="O1648" s="1939"/>
      <c r="P1648" s="1939"/>
      <c r="Q1648" s="1732"/>
    </row>
    <row r="1649" spans="1:22" ht="14.1" customHeight="1">
      <c r="A1649" s="1922" t="s">
        <v>4277</v>
      </c>
      <c r="B1649" s="1815"/>
      <c r="C1649" s="1815" t="s">
        <v>4696</v>
      </c>
      <c r="D1649" s="449"/>
      <c r="E1649" s="1939"/>
      <c r="F1649" s="1939"/>
      <c r="G1649" s="1939"/>
      <c r="H1649" s="1939"/>
      <c r="I1649" s="1939"/>
      <c r="J1649" s="1939"/>
      <c r="K1649" s="1939"/>
      <c r="L1649" s="1939"/>
      <c r="M1649" s="1939"/>
      <c r="O1649" s="1942" t="s">
        <v>1821</v>
      </c>
      <c r="P1649" s="1897"/>
      <c r="Q1649" s="1897"/>
    </row>
    <row r="1650" spans="1:22" s="1947" customFormat="1" ht="11.25" customHeight="1">
      <c r="B1650" s="1911" t="s">
        <v>4282</v>
      </c>
      <c r="D1650" s="1908"/>
      <c r="E1650" s="1908"/>
      <c r="F1650" s="1952"/>
      <c r="G1650" s="1995"/>
      <c r="L1650" s="1732"/>
      <c r="M1650" s="1732"/>
      <c r="N1650" s="1732"/>
      <c r="O1650" s="1732"/>
      <c r="P1650" s="1732"/>
      <c r="Q1650" s="1732"/>
      <c r="R1650" s="1732"/>
      <c r="T1650" s="2125"/>
      <c r="U1650" s="2125"/>
    </row>
    <row r="1651" spans="1:22" s="1947" customFormat="1" ht="10.5" customHeight="1">
      <c r="A1651" s="1904"/>
      <c r="B1651" s="1908" t="s">
        <v>4360</v>
      </c>
      <c r="D1651" s="1908"/>
      <c r="E1651" s="1908"/>
      <c r="F1651" s="1952"/>
      <c r="G1651" s="1995"/>
      <c r="K1651" s="1940"/>
      <c r="M1651" s="1896"/>
      <c r="N1651" s="1940"/>
      <c r="P1651" s="1229" t="str">
        <f>'Part VIII-Threshold Criteria'!P481</f>
        <v>N/A</v>
      </c>
      <c r="Q1651" s="1229"/>
      <c r="R1651" s="1955"/>
      <c r="T1651" s="2125"/>
      <c r="U1651" s="2125"/>
    </row>
    <row r="1652" spans="1:22" s="1947" customFormat="1" ht="10.5" customHeight="1">
      <c r="A1652" s="1904"/>
      <c r="B1652" s="1908"/>
      <c r="D1652" s="1908"/>
      <c r="E1652" s="1908"/>
      <c r="F1652" s="1952"/>
      <c r="G1652" s="1995"/>
      <c r="K1652" s="1940"/>
      <c r="M1652" s="1896"/>
      <c r="N1652" s="1940"/>
      <c r="R1652" s="1955"/>
      <c r="T1652" s="2125"/>
      <c r="U1652" s="2125"/>
    </row>
    <row r="1653" spans="1:22" s="1947" customFormat="1" ht="10.5" customHeight="1">
      <c r="A1653" s="1904"/>
      <c r="B1653" s="1908"/>
      <c r="D1653" s="1908"/>
      <c r="E1653" s="1908"/>
      <c r="F1653" s="1952"/>
      <c r="G1653" s="1995"/>
      <c r="K1653" s="1940"/>
      <c r="M1653" s="1896"/>
      <c r="N1653" s="1940"/>
      <c r="R1653" s="1955"/>
      <c r="T1653" s="2125"/>
      <c r="U1653" s="2125"/>
    </row>
    <row r="1656" spans="1:22" ht="14.1" customHeight="1">
      <c r="A1656" s="1815" t="str">
        <f>CONCATENATE("PART NINE - SCORING CRITERIA","  -  ",'Part I-Project Information'!$O$6," ",'Part I-Project Information'!$F$34,", ",'Part I-Project Information'!F1691,", ",'Part I-Project Information'!J1692," County")</f>
        <v>PART NINE - SCORING CRITERIA  -  2020-074 Harper Woods II, ,  County</v>
      </c>
      <c r="B1656" s="1815"/>
      <c r="C1656" s="1815"/>
      <c r="D1656" s="1815"/>
      <c r="E1656" s="1815"/>
      <c r="F1656" s="1815"/>
      <c r="G1656" s="1815"/>
      <c r="H1656" s="1815"/>
      <c r="I1656" s="1815"/>
      <c r="J1656" s="1815"/>
      <c r="K1656" s="1815"/>
      <c r="L1656" s="1815"/>
      <c r="M1656" s="1815"/>
      <c r="N1656" s="1815"/>
      <c r="O1656" s="1815"/>
      <c r="P1656" s="1815"/>
      <c r="Q1656" s="2062"/>
      <c r="R1656" s="2062"/>
      <c r="S1656" s="2062"/>
    </row>
    <row r="1657" spans="1:22" ht="4.3499999999999996" customHeight="1">
      <c r="A1657" s="449"/>
      <c r="B1657" s="449"/>
      <c r="C1657" s="1953"/>
      <c r="D1657" s="449"/>
      <c r="E1657" s="449"/>
      <c r="F1657" s="449"/>
      <c r="G1657" s="449"/>
      <c r="H1657" s="449"/>
      <c r="I1657" s="449"/>
      <c r="J1657" s="449"/>
      <c r="K1657" s="449"/>
      <c r="L1657" s="449"/>
      <c r="M1657" s="1229"/>
      <c r="N1657" s="1896"/>
      <c r="O1657" s="1896"/>
      <c r="P1657" s="1896"/>
      <c r="Q1657" s="2062"/>
      <c r="R1657" s="2062"/>
      <c r="S1657" s="2062"/>
    </row>
    <row r="1658" spans="1:22" s="1815" customFormat="1" ht="12" customHeight="1">
      <c r="A1658" s="1822" t="s">
        <v>6908</v>
      </c>
      <c r="B1658" s="1822"/>
      <c r="C1658" s="1822"/>
      <c r="D1658" s="1822"/>
      <c r="E1658" s="1822"/>
      <c r="F1658" s="1822"/>
      <c r="G1658" s="1822"/>
      <c r="H1658" s="1822"/>
      <c r="I1658" s="1822"/>
      <c r="J1658" s="1822"/>
      <c r="K1658" s="1822"/>
      <c r="L1658" s="1822"/>
      <c r="M1658" s="1896" t="s">
        <v>2163</v>
      </c>
      <c r="N1658" s="1896"/>
      <c r="O1658" s="1896" t="s">
        <v>2162</v>
      </c>
      <c r="P1658" s="1896" t="s">
        <v>251</v>
      </c>
      <c r="Q1658" s="2062"/>
      <c r="R1658" s="2062"/>
      <c r="S1658" s="2062"/>
    </row>
    <row r="1659" spans="1:22" s="1952" customFormat="1" ht="12" customHeight="1">
      <c r="A1659" s="1822"/>
      <c r="B1659" s="1822"/>
      <c r="C1659" s="1822"/>
      <c r="D1659" s="1822"/>
      <c r="E1659" s="1822"/>
      <c r="F1659" s="1822"/>
      <c r="G1659" s="1822"/>
      <c r="H1659" s="1822"/>
      <c r="I1659" s="1822"/>
      <c r="J1659" s="1822"/>
      <c r="K1659" s="1822"/>
      <c r="L1659" s="1822"/>
      <c r="M1659" s="1896" t="s">
        <v>91</v>
      </c>
      <c r="N1659" s="1815"/>
      <c r="O1659" s="1896" t="s">
        <v>2163</v>
      </c>
      <c r="P1659" s="1896" t="s">
        <v>2163</v>
      </c>
      <c r="Q1659" s="2062"/>
      <c r="R1659" s="2062"/>
      <c r="S1659" s="2062"/>
      <c r="T1659" s="1815"/>
      <c r="U1659" s="1815"/>
      <c r="V1659" s="1815"/>
    </row>
    <row r="1660" spans="1:22" s="1952" customFormat="1" ht="3" customHeight="1">
      <c r="A1660" s="1815"/>
      <c r="B1660" s="1815"/>
      <c r="C1660" s="1815"/>
      <c r="D1660" s="1815"/>
      <c r="E1660" s="1815"/>
      <c r="F1660" s="1815"/>
      <c r="G1660" s="1815"/>
      <c r="H1660" s="1815"/>
      <c r="I1660" s="1815"/>
      <c r="J1660" s="1815"/>
      <c r="K1660" s="1815"/>
      <c r="M1660" s="1874"/>
      <c r="N1660" s="1815"/>
      <c r="O1660" s="1896"/>
      <c r="P1660" s="1874"/>
      <c r="Q1660" s="2062"/>
      <c r="R1660" s="2062"/>
      <c r="S1660" s="2062"/>
    </row>
    <row r="1661" spans="1:22" s="1952" customFormat="1" ht="12.75" customHeight="1">
      <c r="A1661" s="1815"/>
      <c r="B1661" s="2073" t="str">
        <f>'Part I-Project Information'!$B$6</f>
        <v>May 26, 2020 Version</v>
      </c>
      <c r="C1661" s="2073"/>
      <c r="D1661" s="2073"/>
      <c r="E1661" s="2073"/>
      <c r="F1661" s="2073"/>
      <c r="G1661" s="1815"/>
      <c r="H1661" s="1815"/>
      <c r="I1661" s="1815"/>
      <c r="J1661" s="1815"/>
      <c r="L1661" s="2241" t="s">
        <v>1200</v>
      </c>
      <c r="M1661" s="1923">
        <f>M2098</f>
        <v>95</v>
      </c>
      <c r="N1661" s="1923"/>
      <c r="O1661" s="1923">
        <f>O2098</f>
        <v>53</v>
      </c>
      <c r="P1661" s="1923">
        <f>P2098</f>
        <v>20</v>
      </c>
      <c r="Q1661" s="2062"/>
      <c r="R1661" s="2062"/>
      <c r="S1661" s="2062"/>
    </row>
    <row r="1662" spans="1:22" s="1951" customFormat="1" ht="3.6" customHeight="1">
      <c r="A1662" s="1815"/>
      <c r="B1662" s="1940"/>
      <c r="C1662" s="449"/>
      <c r="D1662" s="1897"/>
      <c r="E1662" s="1897"/>
      <c r="F1662" s="1897"/>
      <c r="G1662" s="1897"/>
      <c r="H1662" s="1897"/>
      <c r="I1662" s="1897"/>
      <c r="J1662" s="1897"/>
      <c r="K1662" s="1897"/>
      <c r="L1662" s="1815"/>
      <c r="M1662" s="1896"/>
      <c r="N1662" s="1874"/>
      <c r="O1662" s="1923"/>
      <c r="P1662" s="1896"/>
      <c r="R1662" s="1815"/>
      <c r="S1662" s="1815"/>
    </row>
    <row r="1663" spans="1:22" s="1815" customFormat="1" ht="12" customHeight="1">
      <c r="A1663" s="1897" t="s">
        <v>4291</v>
      </c>
      <c r="D1663" s="449"/>
      <c r="E1663" s="449"/>
      <c r="F1663" s="449"/>
      <c r="G1663" s="449"/>
      <c r="H1663" s="1822" t="s">
        <v>6933</v>
      </c>
      <c r="I1663" s="449"/>
      <c r="J1663" s="449"/>
      <c r="K1663" s="449"/>
      <c r="L1663" s="449"/>
      <c r="M1663" s="1954" t="s">
        <v>6934</v>
      </c>
      <c r="N1663" s="449"/>
      <c r="O1663" s="1916">
        <f>'Part IX Scoring Criteria'!O8</f>
        <v>0</v>
      </c>
      <c r="P1663" s="1896">
        <f>'Part IX Scoring Criteria'!P8</f>
        <v>0</v>
      </c>
      <c r="Q1663" s="449" t="s">
        <v>6909</v>
      </c>
      <c r="R1663" s="2123"/>
      <c r="S1663" s="2123"/>
    </row>
    <row r="1664" spans="1:22" s="1951" customFormat="1" ht="3.6" customHeight="1">
      <c r="A1664" s="1815"/>
      <c r="B1664" s="1940"/>
      <c r="C1664" s="449"/>
      <c r="D1664" s="1897"/>
      <c r="E1664" s="1897"/>
      <c r="F1664" s="1897"/>
      <c r="G1664" s="1897"/>
      <c r="H1664" s="1897"/>
      <c r="I1664" s="1897"/>
      <c r="J1664" s="1897"/>
      <c r="K1664" s="1897"/>
      <c r="L1664" s="1815"/>
      <c r="M1664" s="1896"/>
      <c r="N1664" s="1874"/>
      <c r="O1664" s="1923"/>
      <c r="P1664" s="1896"/>
      <c r="R1664" s="1815"/>
      <c r="S1664" s="1815"/>
    </row>
    <row r="1665" spans="1:22" s="1815" customFormat="1" ht="10.5" customHeight="1">
      <c r="A1665" s="1955" t="s">
        <v>3810</v>
      </c>
      <c r="B1665" s="1955" t="s">
        <v>3811</v>
      </c>
      <c r="C1665" s="449"/>
      <c r="D1665" s="449"/>
      <c r="E1665" s="1955" t="s">
        <v>3826</v>
      </c>
      <c r="F1665" s="1955" t="s">
        <v>3825</v>
      </c>
      <c r="G1665" s="1955"/>
      <c r="H1665" s="1955"/>
      <c r="I1665" s="1955"/>
      <c r="J1665" s="1955"/>
      <c r="K1665" s="1955"/>
      <c r="L1665" s="1955"/>
      <c r="M1665" s="1955"/>
      <c r="N1665" s="1955"/>
      <c r="O1665" s="1954" t="s">
        <v>4289</v>
      </c>
      <c r="P1665" s="1229">
        <f>SUM(P1666:P1678)</f>
        <v>0</v>
      </c>
      <c r="Q1665" s="449" t="s">
        <v>6935</v>
      </c>
      <c r="R1665" s="449"/>
      <c r="S1665" s="449"/>
      <c r="T1665" s="449"/>
      <c r="U1665" s="449"/>
      <c r="V1665" s="449"/>
    </row>
    <row r="1666" spans="1:22" s="1815" customFormat="1" ht="11.25" customHeight="1">
      <c r="A1666" s="1993" t="s">
        <v>724</v>
      </c>
      <c r="B1666" s="1956" t="s">
        <v>3812</v>
      </c>
      <c r="C1666" s="1956"/>
      <c r="D1666" s="1956"/>
      <c r="E1666" s="2149">
        <f>'Part IX Scoring Criteria'!E11</f>
        <v>10</v>
      </c>
      <c r="F1666" s="1986" t="str">
        <f>'Part IX Scoring Criteria'!F11</f>
        <v xml:space="preserve">Applicant claims 10 points in this category for the following desirable activities/characteristics that are within a 1.5 mile walking/driving distance from the site: Family Dollar, Walmart and Walmart Pharmacy, Trevioli Kitchen, Piedmont Urgent Care, Generations Knowledge &amp; Care, Blackmon Road Middle School, Flat Rock Park and Solid Rock Assembly of God.  See TAB 27 for the Desirable/Undesirable Certification Form and required maps.    There are no undesirable activities/characteristics located within  1/4th mile radius from the site.    </v>
      </c>
      <c r="G1666" s="1986"/>
      <c r="H1666" s="1986"/>
      <c r="I1666" s="1986"/>
      <c r="J1666" s="1986"/>
      <c r="K1666" s="1986"/>
      <c r="L1666" s="1986"/>
      <c r="M1666" s="1986"/>
      <c r="N1666" s="1986"/>
      <c r="O1666" s="1986"/>
      <c r="P1666" s="1967"/>
      <c r="Q1666" s="449"/>
      <c r="R1666" s="449"/>
      <c r="S1666" s="449"/>
      <c r="T1666" s="449"/>
      <c r="U1666" s="449"/>
      <c r="V1666" s="449"/>
    </row>
    <row r="1667" spans="1:22" s="1815" customFormat="1" ht="11.25" customHeight="1">
      <c r="A1667" s="1993" t="s">
        <v>516</v>
      </c>
      <c r="B1667" s="1956" t="s">
        <v>4720</v>
      </c>
      <c r="C1667" s="1956"/>
      <c r="D1667" s="1956"/>
      <c r="E1667" s="2149">
        <f>'Part IX Scoring Criteria'!E12</f>
        <v>3</v>
      </c>
      <c r="F1667" s="1986" t="str">
        <f>'Part IX Scoring Criteria'!F12</f>
        <v xml:space="preserve">Applicant is taking three points because the site is within a 0.25 mile walking/driving distance of an established public transportation stop.   There is a bus stop .1 miles from the site that is on METRA's Route 6, Columbus State/Milgen Road line.  This bus stop  is located on Warm Springs Road and is .1 miles from the site's  vehicular entrances.  See TAB 28 for schedule, fares and route.
Applicant notes that the propsed transit stop's latitude is 32.548440, however, the cell does not populate the "0" at the end of this coordinate. </v>
      </c>
      <c r="G1667" s="1986"/>
      <c r="H1667" s="1986"/>
      <c r="I1667" s="1986"/>
      <c r="J1667" s="1986"/>
      <c r="K1667" s="1986"/>
      <c r="L1667" s="1986"/>
      <c r="M1667" s="1986"/>
      <c r="N1667" s="1986"/>
      <c r="O1667" s="1986"/>
      <c r="P1667" s="1967"/>
      <c r="Q1667" s="1973" t="str">
        <f>'Part IX Scoring Criteria'!Q12</f>
        <v/>
      </c>
      <c r="R1667" s="1973"/>
      <c r="S1667" s="1973"/>
    </row>
    <row r="1668" spans="1:22" s="1815" customFormat="1" ht="11.25" customHeight="1">
      <c r="A1668" s="1993" t="s">
        <v>1750</v>
      </c>
      <c r="B1668" s="1956" t="s">
        <v>4721</v>
      </c>
      <c r="C1668" s="1956"/>
      <c r="D1668" s="1956"/>
      <c r="E1668" s="2149">
        <f>'Part IX Scoring Criteria'!E13</f>
        <v>4</v>
      </c>
      <c r="F1668" s="1986" t="str">
        <f>'Part IX Scoring Criteria'!F13</f>
        <v xml:space="preserve">Applicant is claiming points in this section for Preventative Health Care (3 points) and Healthy Eating Initiative (1 point).  Applicant has committed to promote and measure residents' positive health outcomes with these initiatives.  Blood Pressure Screenings and  resident education are two ways Harper Woods II intends to carry out its Healthy Way program.  Through a partnership with Piedmont Columbus Regional, on-site, monthly blood pressure screenings, will be offered to tenants by their Mobile Unit.  The results of these screenings may be used to identify potential cardiovascular issues such as hypertension, hypotension, heart disease or other conditions.   Another service offered by the Mobile Unit is Ask A Nurse. Through this program, tenants will have the opportunity to talk to a registered nurse about important health issues and will receive referrals based on these conversations.   The convenience of monthly onsite visits from the Mobile Unit will promote early intervention and referrals as necessary.   As the next step, Healthy Way will work to improve participants’ knowledge about what those numbers mean, associated health implications and risks, and how to work on certain behaviors to improve their numbers and manage their blood pressure.  Participants will receive informational pamphlets from the staff of the Mobile Unit which detail the health topics discussed and offer information on health resources.   Residents will be encouraged to utilize Empowered to Serve, an online resource offering health lessons, work out videos and numerous articles relating to a healthy lifestyle.  
Tenants will also enjoy free monthly healthy eating newsletter and free online healthy eating resources.  The project will have a community garden accessible to all residents. This garden is noted on the CSP1. and CSP3. in TAB 15.  The Applicant will ensure that the basic organization and managment of the garden is maintained.      Harper Woods II will track outcomes of tenants' progress and provide DCA with an annual report regarding the biometric screenings and other required performance measurements.  See TAB 29 for required documentation.  Applicant is claiming a total of 4 points in this category.  </v>
      </c>
      <c r="G1668" s="1986"/>
      <c r="H1668" s="1986"/>
      <c r="I1668" s="1986"/>
      <c r="J1668" s="1986"/>
      <c r="K1668" s="1986"/>
      <c r="L1668" s="1986"/>
      <c r="M1668" s="1986"/>
      <c r="N1668" s="1986"/>
      <c r="O1668" s="1986"/>
      <c r="P1668" s="1967"/>
      <c r="Q1668" s="1973"/>
      <c r="R1668" s="1973"/>
      <c r="S1668" s="1973"/>
    </row>
    <row r="1669" spans="1:22" s="1815" customFormat="1" ht="11.25" customHeight="1">
      <c r="A1669" s="1993" t="s">
        <v>516</v>
      </c>
      <c r="B1669" s="1956" t="s">
        <v>3813</v>
      </c>
      <c r="C1669" s="1956"/>
      <c r="D1669" s="1956"/>
      <c r="E1669" s="2149">
        <f>'Part IX Scoring Criteria'!E14</f>
        <v>1</v>
      </c>
      <c r="F1669" s="1986" t="str">
        <f>'Part IX Scoring Criteria'!F14</f>
        <v xml:space="preserve">Applicant is taking points because Harper Woods II is located in the attendance zone of Midland Academy  High Performing School in Muscogee County according to Georgia's performance evaluation system (CCRPI). Harper Woods II is also within the attendance zone of Midland Middle School with "Beating the Odds Designation" for 2019. See Tab 30 for attendance zone maps and data from CCRPI and BTO.  </v>
      </c>
      <c r="G1669" s="1986"/>
      <c r="H1669" s="1986"/>
      <c r="I1669" s="1986"/>
      <c r="J1669" s="1986"/>
      <c r="K1669" s="1986"/>
      <c r="L1669" s="1986"/>
      <c r="M1669" s="1986"/>
      <c r="N1669" s="1986"/>
      <c r="O1669" s="1986"/>
      <c r="P1669" s="1967"/>
      <c r="Q1669" s="1973"/>
      <c r="R1669" s="1973"/>
      <c r="S1669" s="1973"/>
    </row>
    <row r="1670" spans="1:22" s="1815" customFormat="1" ht="11.25" customHeight="1">
      <c r="A1670" s="1993" t="s">
        <v>754</v>
      </c>
      <c r="B1670" s="1956" t="s">
        <v>3814</v>
      </c>
      <c r="C1670" s="1956"/>
      <c r="D1670" s="1956"/>
      <c r="E1670" s="2149">
        <f>'Part IX Scoring Criteria'!E15</f>
        <v>0</v>
      </c>
      <c r="F1670" s="1986" t="str">
        <f>'Part IX Scoring Criteria'!F15</f>
        <v xml:space="preserve">Applicant is not claiming points in this category. </v>
      </c>
      <c r="G1670" s="1986"/>
      <c r="H1670" s="1986"/>
      <c r="I1670" s="1986"/>
      <c r="J1670" s="1986"/>
      <c r="K1670" s="1986"/>
      <c r="L1670" s="1986"/>
      <c r="M1670" s="1986"/>
      <c r="N1670" s="1986"/>
      <c r="O1670" s="1986"/>
      <c r="P1670" s="1967"/>
      <c r="Q1670" s="1973"/>
      <c r="R1670" s="1973"/>
      <c r="S1670" s="1973"/>
    </row>
    <row r="1671" spans="1:22" s="1815" customFormat="1" ht="11.25" customHeight="1">
      <c r="A1671" s="1993" t="s">
        <v>287</v>
      </c>
      <c r="B1671" s="1956" t="s">
        <v>3815</v>
      </c>
      <c r="C1671" s="1956"/>
      <c r="D1671" s="1956"/>
      <c r="E1671" s="1938" t="str">
        <f>'Part IX Scoring Criteria'!E16</f>
        <v>n/a</v>
      </c>
      <c r="F1671" s="1986" t="str">
        <f>'Part IX Scoring Criteria'!F16</f>
        <v xml:space="preserve">Applicant is not claiming points in this category. </v>
      </c>
      <c r="G1671" s="1986"/>
      <c r="H1671" s="1986"/>
      <c r="I1671" s="1986"/>
      <c r="J1671" s="1986"/>
      <c r="K1671" s="1986"/>
      <c r="L1671" s="1986"/>
      <c r="M1671" s="1986"/>
      <c r="N1671" s="1986"/>
      <c r="O1671" s="1986"/>
      <c r="P1671" s="1967"/>
      <c r="Q1671" s="1973"/>
      <c r="R1671" s="1973"/>
      <c r="S1671" s="1973"/>
    </row>
    <row r="1672" spans="1:22" s="1815" customFormat="1" ht="11.25" customHeight="1">
      <c r="A1672" s="1993" t="s">
        <v>418</v>
      </c>
      <c r="B1672" s="1956" t="s">
        <v>4722</v>
      </c>
      <c r="C1672" s="1956"/>
      <c r="D1672" s="1956"/>
      <c r="E1672" s="2149">
        <f>'Part IX Scoring Criteria'!E17</f>
        <v>3</v>
      </c>
      <c r="F1672" s="1986" t="str">
        <f>'Part IX Scoring Criteria'!F17</f>
        <v xml:space="preserve">Applicant qualifies for 3 points in this category.  Applicant is taking two points in this category because our site is located within 1/4 mile of a census tract having less than 5% below poverty level and is designated Upper Income level.  Our site is in census tract 101.06 and the census tract that meets the requirements for these points is 101.07. Census tract 101.07 is adjacent to our site.   The most recent FFIEC Census Report demonstrating the project meets these requirements can be found in TAB 33. We are also taking 1 point under Enterprise Community Partners Opportunity 360 for receiving a State percentile of 60% or greater in Health and well-being. </v>
      </c>
      <c r="G1672" s="1986"/>
      <c r="H1672" s="1986"/>
      <c r="I1672" s="1986"/>
      <c r="J1672" s="1986"/>
      <c r="K1672" s="1986"/>
      <c r="L1672" s="1986"/>
      <c r="M1672" s="1986"/>
      <c r="N1672" s="1986"/>
      <c r="O1672" s="1986"/>
      <c r="P1672" s="1967"/>
      <c r="Q1672" s="1973"/>
      <c r="R1672" s="1973"/>
      <c r="S1672" s="1973"/>
    </row>
    <row r="1673" spans="1:22" s="1815" customFormat="1" ht="11.25" customHeight="1">
      <c r="A1673" s="1993" t="s">
        <v>4345</v>
      </c>
      <c r="B1673" s="1956" t="s">
        <v>3597</v>
      </c>
      <c r="C1673" s="1956"/>
      <c r="D1673" s="1956"/>
      <c r="E1673" s="2149">
        <f>'Part IX Scoring Criteria'!E18</f>
        <v>0</v>
      </c>
      <c r="F1673" s="1986" t="str">
        <f>'Part IX Scoring Criteria'!F18</f>
        <v>Applicant Is not claiming points in this category.</v>
      </c>
      <c r="G1673" s="1986"/>
      <c r="H1673" s="1986"/>
      <c r="I1673" s="1986"/>
      <c r="J1673" s="1986"/>
      <c r="K1673" s="1986"/>
      <c r="L1673" s="1986"/>
      <c r="M1673" s="1986"/>
      <c r="N1673" s="1986"/>
      <c r="O1673" s="1986"/>
      <c r="P1673" s="1967"/>
      <c r="Q1673" s="1973"/>
      <c r="R1673" s="1973"/>
      <c r="S1673" s="1973"/>
    </row>
    <row r="1674" spans="1:22" s="1815" customFormat="1" ht="11.25" customHeight="1">
      <c r="A1674" s="1993" t="s">
        <v>4724</v>
      </c>
      <c r="B1674" s="1956" t="s">
        <v>4725</v>
      </c>
      <c r="C1674" s="1956"/>
      <c r="D1674" s="1956"/>
      <c r="E1674" s="1938">
        <f>'Part IX Scoring Criteria'!E19</f>
        <v>3</v>
      </c>
      <c r="F1674" s="1986" t="str">
        <f>'Part IX Scoring Criteria'!F19</f>
        <v xml:space="preserve">The Applicant is claiming 3 points in this category because Harper Woods II is the second phase of this multi-phased development. Harper Woods 2019-006 was funded by DCA in the 2019 Competitive Application Round, and is under construction.  See TAB 36 for documentation that site control was established for all phases when the initial phase was closed.  This includes the Purchase &amp; Sale Agreement of the larger parcel, the deed of the larger parcel, the deed for phase I, a copy of the land disturbance permit, the construction contract and the notice of commencement for the first phase. </v>
      </c>
      <c r="G1674" s="1986"/>
      <c r="H1674" s="1986"/>
      <c r="I1674" s="1986"/>
      <c r="J1674" s="1986"/>
      <c r="K1674" s="1986"/>
      <c r="L1674" s="1986"/>
      <c r="M1674" s="1986"/>
      <c r="N1674" s="1986"/>
      <c r="O1674" s="1986"/>
      <c r="P1674" s="1967"/>
      <c r="Q1674" s="1973"/>
      <c r="R1674" s="1973"/>
      <c r="S1674" s="1973"/>
    </row>
    <row r="1675" spans="1:22" s="1815" customFormat="1" ht="11.25" customHeight="1">
      <c r="A1675" s="1993" t="s">
        <v>4739</v>
      </c>
      <c r="B1675" s="1956" t="s">
        <v>4726</v>
      </c>
      <c r="C1675" s="1956"/>
      <c r="D1675" s="1956"/>
      <c r="E1675" s="2149">
        <f>'Part IX Scoring Criteria'!E20</f>
        <v>0</v>
      </c>
      <c r="F1675" s="1986" t="str">
        <f>'Part IX Scoring Criteria'!F20</f>
        <v xml:space="preserve">Applicant is not claiming points in this category. </v>
      </c>
      <c r="G1675" s="1986"/>
      <c r="H1675" s="1986"/>
      <c r="I1675" s="1986"/>
      <c r="J1675" s="1986"/>
      <c r="K1675" s="1986"/>
      <c r="L1675" s="1986"/>
      <c r="M1675" s="1986"/>
      <c r="N1675" s="1986"/>
      <c r="O1675" s="1986"/>
      <c r="P1675" s="1967"/>
      <c r="Q1675" s="1973"/>
      <c r="R1675" s="1973"/>
      <c r="S1675" s="1973"/>
    </row>
    <row r="1676" spans="1:22" s="1815" customFormat="1" ht="11.25" customHeight="1">
      <c r="A1676" s="1993" t="s">
        <v>3784</v>
      </c>
      <c r="B1676" s="1956" t="s">
        <v>3816</v>
      </c>
      <c r="C1676" s="1956"/>
      <c r="D1676" s="1956"/>
      <c r="E1676" s="2149">
        <f>'Part IX Scoring Criteria'!E21</f>
        <v>0</v>
      </c>
      <c r="F1676" s="1986" t="str">
        <f>'Part IX Scoring Criteria'!F21</f>
        <v xml:space="preserve">Applicant is not claiming points in this section. </v>
      </c>
      <c r="G1676" s="1986"/>
      <c r="H1676" s="1986"/>
      <c r="I1676" s="1986"/>
      <c r="J1676" s="1986"/>
      <c r="K1676" s="1986"/>
      <c r="L1676" s="1986"/>
      <c r="M1676" s="1986"/>
      <c r="N1676" s="1986"/>
      <c r="O1676" s="1986"/>
      <c r="P1676" s="1967"/>
      <c r="Q1676" s="1973"/>
      <c r="R1676" s="1973"/>
      <c r="S1676" s="1973"/>
    </row>
    <row r="1677" spans="1:22" s="1815" customFormat="1" ht="11.25" customHeight="1">
      <c r="A1677" s="1993" t="s">
        <v>3785</v>
      </c>
      <c r="B1677" s="1956" t="s">
        <v>3817</v>
      </c>
      <c r="C1677" s="1956"/>
      <c r="D1677" s="1956"/>
      <c r="E1677" s="2149">
        <f>'Part IX Scoring Criteria'!E22</f>
        <v>2</v>
      </c>
      <c r="F1677" s="1986" t="str">
        <f>'Part IX Scoring Criteria'!F22</f>
        <v xml:space="preserve">The applicant meets threshold in this section because Harper Woods II is receiving a HOME Loan from the City of Columbus for $625,000. This loan is at least 5% of the Total Development Cost. This loan is for the construction and permanent financing of Harper Woods II. </v>
      </c>
      <c r="G1677" s="1986"/>
      <c r="H1677" s="1986"/>
      <c r="I1677" s="1986"/>
      <c r="J1677" s="1986"/>
      <c r="K1677" s="1986"/>
      <c r="L1677" s="1986"/>
      <c r="M1677" s="1986"/>
      <c r="N1677" s="1986"/>
      <c r="O1677" s="1986"/>
      <c r="P1677" s="1967"/>
      <c r="Q1677" s="1973"/>
      <c r="R1677" s="1973"/>
      <c r="S1677" s="1973"/>
    </row>
    <row r="1678" spans="1:22" s="1815" customFormat="1" ht="11.25" customHeight="1">
      <c r="A1678" s="1993" t="s">
        <v>3783</v>
      </c>
      <c r="B1678" s="1956" t="s">
        <v>3818</v>
      </c>
      <c r="C1678" s="1956"/>
      <c r="D1678" s="1956"/>
      <c r="E1678" s="1938">
        <f>'Part IX Scoring Criteria'!E23</f>
        <v>0</v>
      </c>
      <c r="F1678" s="1986" t="str">
        <f>'Part IX Scoring Criteria'!F23</f>
        <v xml:space="preserve">Applicant is not claiming points in this category. </v>
      </c>
      <c r="G1678" s="1986"/>
      <c r="H1678" s="1986"/>
      <c r="I1678" s="1986"/>
      <c r="J1678" s="1986"/>
      <c r="K1678" s="1986"/>
      <c r="L1678" s="1986"/>
      <c r="M1678" s="1986"/>
      <c r="N1678" s="1986"/>
      <c r="O1678" s="1986"/>
      <c r="P1678" s="1967"/>
      <c r="Q1678" s="1973"/>
      <c r="R1678" s="1973"/>
      <c r="S1678" s="1973"/>
    </row>
    <row r="1679" spans="1:22" s="1951" customFormat="1" ht="3.6" customHeight="1">
      <c r="A1679" s="1815"/>
      <c r="B1679" s="1940"/>
      <c r="C1679" s="449"/>
      <c r="D1679" s="1897"/>
      <c r="E1679" s="1897"/>
      <c r="F1679" s="1897"/>
      <c r="G1679" s="1897"/>
      <c r="H1679" s="1897"/>
      <c r="I1679" s="1897"/>
      <c r="J1679" s="1897"/>
      <c r="K1679" s="1897"/>
      <c r="L1679" s="1815"/>
      <c r="M1679" s="1896"/>
      <c r="N1679" s="1874"/>
      <c r="O1679" s="1923"/>
      <c r="P1679" s="1896"/>
      <c r="R1679" s="1815"/>
      <c r="S1679" s="1815"/>
    </row>
    <row r="1680" spans="1:22" s="1815" customFormat="1" ht="12.6" customHeight="1">
      <c r="A1680" s="2150" t="s">
        <v>598</v>
      </c>
      <c r="B1680" s="1815" t="s">
        <v>2693</v>
      </c>
      <c r="F1680" s="1229"/>
      <c r="H1680" s="1822" t="s">
        <v>6910</v>
      </c>
      <c r="M1680" s="1896">
        <v>10</v>
      </c>
      <c r="N1680" s="1957"/>
      <c r="O1680" s="1923">
        <f>'Part IX Scoring Criteria'!O25</f>
        <v>10</v>
      </c>
      <c r="P1680" s="1923">
        <f>'Part IX Scoring Criteria'!P25</f>
        <v>10</v>
      </c>
      <c r="Q1680" s="1896" t="s">
        <v>433</v>
      </c>
    </row>
    <row r="1681" spans="1:20" s="1951" customFormat="1" ht="3.6" customHeight="1">
      <c r="A1681" s="1815"/>
      <c r="B1681" s="1940"/>
      <c r="C1681" s="449"/>
      <c r="D1681" s="1897"/>
      <c r="E1681" s="1897"/>
      <c r="F1681" s="1897"/>
      <c r="G1681" s="1897"/>
      <c r="H1681" s="1897"/>
      <c r="I1681" s="1897"/>
      <c r="J1681" s="1897"/>
      <c r="K1681" s="1897"/>
      <c r="L1681" s="1815"/>
      <c r="M1681" s="1896"/>
      <c r="N1681" s="1874"/>
      <c r="O1681" s="1923"/>
      <c r="P1681" s="1896"/>
      <c r="R1681" s="1815"/>
      <c r="S1681" s="1815"/>
    </row>
    <row r="1682" spans="1:20" s="1815" customFormat="1" ht="11.25" customHeight="1">
      <c r="A1682" s="1904" t="s">
        <v>1936</v>
      </c>
      <c r="B1682" s="1897" t="s">
        <v>4284</v>
      </c>
      <c r="D1682" s="1897"/>
      <c r="E1682" s="1897"/>
      <c r="F1682" s="1229"/>
      <c r="M1682" s="1896"/>
      <c r="N1682" s="1940" t="s">
        <v>1936</v>
      </c>
    </row>
    <row r="1683" spans="1:20" s="1951" customFormat="1" ht="11.25" customHeight="1">
      <c r="A1683" s="1904"/>
      <c r="B1683" s="2151" t="s">
        <v>1939</v>
      </c>
      <c r="C1683" s="1897" t="s">
        <v>4287</v>
      </c>
      <c r="D1683" s="1897"/>
      <c r="E1683" s="1897"/>
      <c r="F1683" s="1229"/>
      <c r="H1683" s="1822" t="s">
        <v>3480</v>
      </c>
      <c r="J1683" s="449"/>
      <c r="M1683" s="1896"/>
      <c r="N1683" s="1949" t="s">
        <v>1939</v>
      </c>
      <c r="O1683" s="1916">
        <f>'Part IX Scoring Criteria'!O28</f>
        <v>0</v>
      </c>
      <c r="P1683" s="1916">
        <f>F1691</f>
        <v>0</v>
      </c>
    </row>
    <row r="1684" spans="1:20" s="1951" customFormat="1" ht="11.25" customHeight="1">
      <c r="A1684" s="1904"/>
      <c r="B1684" s="2151" t="s">
        <v>1941</v>
      </c>
      <c r="C1684" s="1897" t="s">
        <v>6829</v>
      </c>
      <c r="D1684" s="1897"/>
      <c r="E1684" s="1897"/>
      <c r="F1684" s="1229"/>
      <c r="H1684" s="1822" t="s">
        <v>4285</v>
      </c>
      <c r="J1684" s="449"/>
      <c r="M1684" s="1896"/>
      <c r="N1684" s="1949" t="s">
        <v>1941</v>
      </c>
      <c r="O1684" s="1916">
        <f>'Part IX Scoring Criteria'!O29</f>
        <v>0</v>
      </c>
      <c r="P1684" s="1916">
        <f>J1691</f>
        <v>0</v>
      </c>
    </row>
    <row r="1685" spans="1:20" s="1951" customFormat="1" ht="11.25" customHeight="1">
      <c r="A1685" s="1904"/>
      <c r="B1685" s="2151" t="s">
        <v>2468</v>
      </c>
      <c r="C1685" s="1897" t="s">
        <v>4286</v>
      </c>
      <c r="D1685" s="1897"/>
      <c r="E1685" s="1897"/>
      <c r="F1685" s="1229"/>
      <c r="H1685" s="1822" t="s">
        <v>4290</v>
      </c>
      <c r="J1685" s="449"/>
      <c r="M1685" s="1896"/>
      <c r="N1685" s="1949" t="s">
        <v>2468</v>
      </c>
      <c r="O1685" s="1916">
        <f>'Part IX Scoring Criteria'!O30</f>
        <v>0</v>
      </c>
      <c r="P1685" s="1916"/>
    </row>
    <row r="1686" spans="1:20" s="1951" customFormat="1" ht="11.25" customHeight="1">
      <c r="C1686" s="1956" t="s">
        <v>6882</v>
      </c>
      <c r="D1686" s="1956"/>
      <c r="E1686" s="1956"/>
      <c r="F1686" s="1956"/>
      <c r="G1686" s="1956"/>
      <c r="H1686" s="1956"/>
      <c r="I1686" s="1956"/>
      <c r="J1686" s="1956"/>
      <c r="K1686" s="1956"/>
      <c r="L1686" s="1956"/>
      <c r="M1686" s="1956"/>
      <c r="N1686" s="1956"/>
      <c r="O1686" s="1956"/>
      <c r="P1686" s="1956"/>
      <c r="Q1686" s="1973"/>
      <c r="R1686" s="1973"/>
    </row>
    <row r="1687" spans="1:20" s="1951" customFormat="1" ht="3" customHeight="1">
      <c r="A1687" s="1229"/>
      <c r="B1687" s="1960"/>
      <c r="C1687" s="2152"/>
      <c r="D1687" s="1936"/>
      <c r="K1687" s="1985"/>
      <c r="L1687" s="1985"/>
      <c r="M1687" s="1732"/>
      <c r="N1687" s="1949"/>
      <c r="O1687" s="1958"/>
      <c r="P1687" s="1958"/>
    </row>
    <row r="1688" spans="1:20" s="1815" customFormat="1" ht="11.25" customHeight="1">
      <c r="A1688" s="1904" t="s">
        <v>1938</v>
      </c>
      <c r="B1688" s="1897" t="s">
        <v>708</v>
      </c>
      <c r="D1688" s="1897"/>
      <c r="E1688" s="1897"/>
      <c r="F1688" s="1229"/>
      <c r="H1688" s="1822" t="s">
        <v>6936</v>
      </c>
      <c r="J1688" s="449"/>
      <c r="M1688" s="1896"/>
      <c r="N1688" s="1940" t="s">
        <v>1938</v>
      </c>
      <c r="O1688" s="1916">
        <f>'Part IX Scoring Criteria'!O33</f>
        <v>0</v>
      </c>
      <c r="P1688" s="1916">
        <f>O1691</f>
        <v>0</v>
      </c>
    </row>
    <row r="1689" spans="1:20" s="1951" customFormat="1" ht="3" customHeight="1">
      <c r="A1689" s="1229"/>
      <c r="B1689" s="1960"/>
      <c r="C1689" s="2152"/>
      <c r="D1689" s="1936"/>
      <c r="K1689" s="1985"/>
      <c r="L1689" s="1985"/>
      <c r="M1689" s="1732"/>
      <c r="N1689" s="1949"/>
      <c r="O1689" s="1958"/>
      <c r="P1689" s="1958"/>
    </row>
    <row r="1690" spans="1:20" s="1815" customFormat="1" ht="11.1" customHeight="1">
      <c r="A1690" s="1849" t="s">
        <v>4436</v>
      </c>
      <c r="B1690" s="1849"/>
      <c r="C1690" s="1849"/>
      <c r="D1690" s="1849"/>
      <c r="E1690" s="1849"/>
      <c r="F1690" s="1816" t="s">
        <v>3809</v>
      </c>
      <c r="G1690" s="449" t="s">
        <v>4437</v>
      </c>
      <c r="H1690" s="449"/>
      <c r="I1690" s="449"/>
      <c r="J1690" s="1816" t="s">
        <v>3809</v>
      </c>
      <c r="K1690" s="1945" t="s">
        <v>4283</v>
      </c>
      <c r="L1690" s="1945"/>
      <c r="M1690" s="1945"/>
      <c r="N1690" s="1945"/>
      <c r="O1690" s="1822" t="s">
        <v>3809</v>
      </c>
      <c r="P1690" s="1822"/>
      <c r="R1690" s="2123"/>
      <c r="S1690" s="2123"/>
    </row>
    <row r="1691" spans="1:20" s="1815" customFormat="1" ht="11.25" customHeight="1">
      <c r="A1691" s="1849"/>
      <c r="B1691" s="1849"/>
      <c r="C1691" s="1849"/>
      <c r="D1691" s="1849"/>
      <c r="E1691" s="1849"/>
      <c r="F1691" s="1896">
        <f>SUM(F1692:F1703)</f>
        <v>0</v>
      </c>
      <c r="G1691" s="449"/>
      <c r="H1691" s="449"/>
      <c r="I1691" s="449"/>
      <c r="J1691" s="1896">
        <f>SUM(J1692:J1703)</f>
        <v>0</v>
      </c>
      <c r="K1691" s="1945"/>
      <c r="L1691" s="1945"/>
      <c r="M1691" s="1945"/>
      <c r="N1691" s="1945"/>
      <c r="O1691" s="1815">
        <f>SUM(O1692:O1703)</f>
        <v>0</v>
      </c>
      <c r="Q1691" s="2123"/>
      <c r="R1691" s="2123"/>
    </row>
    <row r="1692" spans="1:20" s="1815" customFormat="1" ht="24.75" customHeight="1">
      <c r="A1692" s="1956">
        <v>1</v>
      </c>
      <c r="B1692" s="1956"/>
      <c r="C1692" s="1956"/>
      <c r="D1692" s="1956"/>
      <c r="E1692" s="1956"/>
      <c r="F1692" s="1967"/>
      <c r="G1692" s="1956">
        <v>1</v>
      </c>
      <c r="H1692" s="1956"/>
      <c r="I1692" s="1956"/>
      <c r="J1692" s="1938" t="s">
        <v>1690</v>
      </c>
      <c r="K1692" s="1956">
        <v>1</v>
      </c>
      <c r="L1692" s="1956"/>
      <c r="M1692" s="1956"/>
      <c r="N1692" s="1956"/>
      <c r="O1692" s="1936" t="s">
        <v>1690</v>
      </c>
      <c r="P1692" s="1936"/>
      <c r="Q1692" s="1973" t="s">
        <v>1228</v>
      </c>
      <c r="R1692" s="2123"/>
    </row>
    <row r="1693" spans="1:20" s="1815" customFormat="1" ht="24.75" customHeight="1">
      <c r="A1693" s="1956">
        <v>2</v>
      </c>
      <c r="B1693" s="1956"/>
      <c r="C1693" s="1956"/>
      <c r="D1693" s="1956"/>
      <c r="E1693" s="1956"/>
      <c r="F1693" s="1967"/>
      <c r="G1693" s="1956">
        <v>2</v>
      </c>
      <c r="H1693" s="1956"/>
      <c r="I1693" s="1956"/>
      <c r="J1693" s="1967"/>
      <c r="K1693" s="1956">
        <v>2</v>
      </c>
      <c r="L1693" s="1956"/>
      <c r="M1693" s="1956"/>
      <c r="N1693" s="1956"/>
      <c r="O1693" s="1910"/>
      <c r="P1693" s="1910"/>
      <c r="Q1693" s="1973"/>
      <c r="R1693" s="2123"/>
    </row>
    <row r="1694" spans="1:20" s="1815" customFormat="1" ht="24.75" customHeight="1">
      <c r="A1694" s="1956">
        <v>3</v>
      </c>
      <c r="B1694" s="1956"/>
      <c r="C1694" s="1956"/>
      <c r="D1694" s="1956"/>
      <c r="E1694" s="1956"/>
      <c r="F1694" s="1967"/>
      <c r="G1694" s="1956">
        <v>3</v>
      </c>
      <c r="H1694" s="1956"/>
      <c r="I1694" s="1956"/>
      <c r="J1694" s="1867" t="s">
        <v>2802</v>
      </c>
      <c r="K1694" s="1956">
        <v>3</v>
      </c>
      <c r="L1694" s="1956"/>
      <c r="M1694" s="1956"/>
      <c r="N1694" s="1956"/>
      <c r="O1694" s="1936" t="s">
        <v>2802</v>
      </c>
      <c r="P1694" s="1936"/>
      <c r="Q1694" s="1815" t="s">
        <v>6937</v>
      </c>
      <c r="S1694" s="449"/>
      <c r="T1694" s="449"/>
    </row>
    <row r="1695" spans="1:20" s="1815" customFormat="1" ht="24.75" customHeight="1">
      <c r="A1695" s="1956">
        <v>4</v>
      </c>
      <c r="B1695" s="1956"/>
      <c r="C1695" s="1956"/>
      <c r="D1695" s="1956"/>
      <c r="E1695" s="1956"/>
      <c r="F1695" s="1967"/>
      <c r="G1695" s="1956">
        <v>4</v>
      </c>
      <c r="H1695" s="1956"/>
      <c r="I1695" s="1956"/>
      <c r="J1695" s="1967"/>
      <c r="K1695" s="1956">
        <v>4</v>
      </c>
      <c r="L1695" s="1956"/>
      <c r="M1695" s="1956"/>
      <c r="N1695" s="1956"/>
      <c r="O1695" s="1936" t="s">
        <v>2802</v>
      </c>
      <c r="P1695" s="1936"/>
      <c r="S1695" s="449"/>
      <c r="T1695" s="449"/>
    </row>
    <row r="1696" spans="1:20" s="1815" customFormat="1" ht="24.75" customHeight="1">
      <c r="A1696" s="1956">
        <v>5</v>
      </c>
      <c r="B1696" s="1956"/>
      <c r="C1696" s="1956"/>
      <c r="D1696" s="1956"/>
      <c r="E1696" s="1956"/>
      <c r="F1696" s="1967"/>
      <c r="G1696" s="1956">
        <v>5</v>
      </c>
      <c r="H1696" s="1956"/>
      <c r="I1696" s="1956"/>
      <c r="J1696" s="1867" t="s">
        <v>3444</v>
      </c>
      <c r="K1696" s="1956">
        <v>5</v>
      </c>
      <c r="L1696" s="1956"/>
      <c r="M1696" s="1956"/>
      <c r="N1696" s="1956"/>
      <c r="O1696" s="1910"/>
      <c r="P1696" s="1910"/>
      <c r="S1696" s="449"/>
      <c r="T1696" s="449"/>
    </row>
    <row r="1697" spans="1:18" s="1815" customFormat="1" ht="24" customHeight="1">
      <c r="A1697" s="1956">
        <v>6</v>
      </c>
      <c r="B1697" s="1956"/>
      <c r="C1697" s="1956"/>
      <c r="D1697" s="1956"/>
      <c r="E1697" s="1956"/>
      <c r="F1697" s="1967"/>
      <c r="G1697" s="1956">
        <v>6</v>
      </c>
      <c r="H1697" s="1956"/>
      <c r="I1697" s="1956"/>
      <c r="J1697" s="1967"/>
      <c r="K1697" s="1956">
        <v>6</v>
      </c>
      <c r="L1697" s="1956"/>
      <c r="M1697" s="1956"/>
      <c r="N1697" s="1956"/>
      <c r="O1697" s="1910"/>
      <c r="P1697" s="1910"/>
    </row>
    <row r="1698" spans="1:18" s="1815" customFormat="1" ht="10.5" customHeight="1">
      <c r="A1698" s="1956">
        <v>7</v>
      </c>
      <c r="B1698" s="1956"/>
      <c r="C1698" s="1956"/>
      <c r="D1698" s="1956"/>
      <c r="E1698" s="1956"/>
      <c r="F1698" s="1967"/>
      <c r="G1698" s="1956">
        <v>7</v>
      </c>
      <c r="H1698" s="1956"/>
      <c r="I1698" s="1956"/>
      <c r="J1698" s="1867" t="s">
        <v>3445</v>
      </c>
      <c r="K1698" s="1956">
        <v>7</v>
      </c>
      <c r="L1698" s="1956"/>
      <c r="M1698" s="1956"/>
      <c r="N1698" s="1956"/>
      <c r="O1698" s="1910"/>
      <c r="P1698" s="1910"/>
      <c r="Q1698" s="2123"/>
      <c r="R1698" s="2123"/>
    </row>
    <row r="1699" spans="1:18" s="1815" customFormat="1" ht="10.5" customHeight="1">
      <c r="A1699" s="1956">
        <v>8</v>
      </c>
      <c r="B1699" s="1956"/>
      <c r="C1699" s="1956"/>
      <c r="D1699" s="1956"/>
      <c r="E1699" s="1956"/>
      <c r="F1699" s="1967"/>
      <c r="G1699" s="1956">
        <v>8</v>
      </c>
      <c r="H1699" s="1956"/>
      <c r="I1699" s="1956"/>
      <c r="J1699" s="1967"/>
      <c r="K1699" s="1956">
        <v>8</v>
      </c>
      <c r="L1699" s="1956"/>
      <c r="M1699" s="1956"/>
      <c r="N1699" s="1956"/>
      <c r="O1699" s="1910"/>
      <c r="P1699" s="1910"/>
      <c r="Q1699" s="2123"/>
      <c r="R1699" s="2123"/>
    </row>
    <row r="1700" spans="1:18" s="1815" customFormat="1" ht="11.25" customHeight="1">
      <c r="A1700" s="1956">
        <v>9</v>
      </c>
      <c r="B1700" s="1956"/>
      <c r="C1700" s="1956"/>
      <c r="D1700" s="1956"/>
      <c r="E1700" s="1956"/>
      <c r="F1700" s="1967"/>
      <c r="G1700" s="1956">
        <v>9</v>
      </c>
      <c r="H1700" s="1956"/>
      <c r="I1700" s="1956"/>
      <c r="J1700" s="1867" t="s">
        <v>3446</v>
      </c>
      <c r="K1700" s="1956">
        <v>9</v>
      </c>
      <c r="L1700" s="1956"/>
      <c r="M1700" s="1956"/>
      <c r="N1700" s="1956"/>
      <c r="O1700" s="1910"/>
      <c r="P1700" s="1910"/>
      <c r="Q1700" s="2123"/>
      <c r="R1700" s="2123"/>
    </row>
    <row r="1701" spans="1:18" s="1815" customFormat="1" ht="11.25" customHeight="1">
      <c r="A1701" s="1956">
        <v>10</v>
      </c>
      <c r="B1701" s="1956"/>
      <c r="C1701" s="1956"/>
      <c r="D1701" s="1956"/>
      <c r="E1701" s="1956"/>
      <c r="F1701" s="1967"/>
      <c r="G1701" s="1956">
        <v>10</v>
      </c>
      <c r="H1701" s="1956"/>
      <c r="I1701" s="1956"/>
      <c r="J1701" s="1967"/>
      <c r="K1701" s="1956">
        <v>10</v>
      </c>
      <c r="L1701" s="1956"/>
      <c r="M1701" s="1956"/>
      <c r="N1701" s="1956"/>
      <c r="O1701" s="1910"/>
      <c r="P1701" s="1910"/>
      <c r="Q1701" s="2123"/>
    </row>
    <row r="1702" spans="1:18" s="1815" customFormat="1" ht="11.25" customHeight="1">
      <c r="A1702" s="1956">
        <v>11</v>
      </c>
      <c r="B1702" s="1956"/>
      <c r="C1702" s="1956"/>
      <c r="D1702" s="1956"/>
      <c r="E1702" s="1956"/>
      <c r="F1702" s="1967"/>
      <c r="G1702" s="1956">
        <v>11</v>
      </c>
      <c r="H1702" s="1956"/>
      <c r="I1702" s="1956"/>
      <c r="J1702" s="1867" t="s">
        <v>3447</v>
      </c>
      <c r="K1702" s="1956">
        <v>11</v>
      </c>
      <c r="L1702" s="1956"/>
      <c r="M1702" s="1956"/>
      <c r="N1702" s="1956"/>
      <c r="O1702" s="1910"/>
      <c r="P1702" s="1910"/>
      <c r="Q1702" s="2123"/>
      <c r="R1702" s="2123"/>
    </row>
    <row r="1703" spans="1:18" s="1815" customFormat="1" ht="11.25" customHeight="1">
      <c r="A1703" s="1956">
        <v>12</v>
      </c>
      <c r="B1703" s="1956"/>
      <c r="C1703" s="1956"/>
      <c r="D1703" s="1956"/>
      <c r="E1703" s="1956"/>
      <c r="F1703" s="1967"/>
      <c r="G1703" s="1956">
        <v>12</v>
      </c>
      <c r="H1703" s="1956"/>
      <c r="I1703" s="1956"/>
      <c r="J1703" s="1967"/>
      <c r="K1703" s="1956">
        <v>12</v>
      </c>
      <c r="L1703" s="1956"/>
      <c r="M1703" s="1956"/>
      <c r="N1703" s="1956"/>
      <c r="O1703" s="1910"/>
      <c r="P1703" s="1910"/>
    </row>
    <row r="1704" spans="1:18" s="1951" customFormat="1" ht="3" customHeight="1">
      <c r="D1704" s="449"/>
      <c r="E1704" s="449"/>
      <c r="F1704" s="1896"/>
      <c r="G1704" s="1896"/>
      <c r="H1704" s="1896"/>
      <c r="I1704" s="1896"/>
      <c r="J1704" s="1908"/>
      <c r="K1704" s="1908"/>
      <c r="L1704" s="1908"/>
      <c r="M1704" s="1229"/>
      <c r="N1704" s="1896"/>
      <c r="O1704" s="1874"/>
      <c r="P1704" s="1923"/>
    </row>
    <row r="1705" spans="1:18" s="1947" customFormat="1" ht="12" customHeight="1">
      <c r="A1705" s="2150" t="s">
        <v>722</v>
      </c>
      <c r="B1705" s="1815" t="s">
        <v>3448</v>
      </c>
      <c r="E1705" s="449"/>
      <c r="G1705" s="449"/>
      <c r="H1705" s="449"/>
      <c r="I1705" s="449" t="s">
        <v>3365</v>
      </c>
      <c r="M1705" s="1896">
        <v>3</v>
      </c>
      <c r="N1705" s="1896"/>
      <c r="O1705" s="1923">
        <f>'Part IX Scoring Criteria'!O50</f>
        <v>2</v>
      </c>
      <c r="P1705" s="1923">
        <f>'Part IX Scoring Criteria'!P50</f>
        <v>0</v>
      </c>
      <c r="Q1705" s="1896" t="s">
        <v>433</v>
      </c>
      <c r="R1705" s="1732" t="str">
        <f>IF(OR($O1705=$M1705,$O1705=0,$O1705=""),"","* * Check Score! * *")</f>
        <v>* * Check Score! * *</v>
      </c>
    </row>
    <row r="1706" spans="1:18" s="1951" customFormat="1" ht="2.25" customHeight="1">
      <c r="A1706" s="2153"/>
      <c r="B1706" s="1995"/>
      <c r="E1706" s="449"/>
      <c r="F1706" s="1951" t="s">
        <v>4298</v>
      </c>
      <c r="G1706" s="1945"/>
      <c r="H1706" s="449"/>
      <c r="I1706" s="449"/>
      <c r="K1706" s="1868"/>
      <c r="L1706" s="2154"/>
      <c r="M1706" s="1896"/>
      <c r="N1706" s="1896"/>
      <c r="O1706" s="1923"/>
      <c r="P1706" s="1923"/>
      <c r="Q1706" s="1896"/>
      <c r="R1706" s="1732"/>
    </row>
    <row r="1707" spans="1:18" s="1951" customFormat="1" ht="13.5" customHeight="1">
      <c r="A1707" s="1904" t="s">
        <v>1936</v>
      </c>
      <c r="B1707" s="1911" t="s">
        <v>2557</v>
      </c>
      <c r="E1707" s="449"/>
      <c r="G1707" s="1945"/>
      <c r="H1707" s="1945" t="s">
        <v>4438</v>
      </c>
      <c r="J1707" s="2155"/>
      <c r="K1707" s="2155" t="str">
        <f>'Part I-Project Information'!$K$94</f>
        <v>Income Averaging</v>
      </c>
      <c r="M1707" s="1896"/>
      <c r="N1707" s="1896"/>
      <c r="Q1707" s="1896"/>
      <c r="R1707" s="1732"/>
    </row>
    <row r="1708" spans="1:18" s="1947" customFormat="1" ht="9" customHeight="1">
      <c r="A1708" s="1904"/>
      <c r="B1708" s="1897" t="s">
        <v>4292</v>
      </c>
      <c r="C1708" s="1897"/>
      <c r="D1708" s="1897"/>
      <c r="E1708" s="1897"/>
      <c r="F1708" s="1897"/>
      <c r="G1708" s="1897"/>
      <c r="H1708" s="1897"/>
      <c r="I1708" s="1897"/>
      <c r="J1708" s="1897"/>
      <c r="K1708" s="1897"/>
      <c r="L1708" s="1897"/>
      <c r="M1708" s="1896"/>
      <c r="N1708" s="1896"/>
      <c r="Q1708" s="1896"/>
      <c r="R1708" s="1732"/>
    </row>
    <row r="1709" spans="1:18" s="1947" customFormat="1" ht="13.5" customHeight="1">
      <c r="B1709" s="1897"/>
      <c r="C1709" s="1897"/>
      <c r="D1709" s="1897"/>
      <c r="E1709" s="1897"/>
      <c r="F1709" s="1897"/>
      <c r="G1709" s="1897"/>
      <c r="H1709" s="1897"/>
      <c r="I1709" s="1897"/>
      <c r="J1709" s="1897"/>
      <c r="K1709" s="1897"/>
      <c r="L1709" s="1897"/>
      <c r="M1709" s="1732">
        <v>2</v>
      </c>
      <c r="N1709" s="1949" t="s">
        <v>1936</v>
      </c>
      <c r="O1709" s="1958">
        <f>'Part IX Scoring Criteria'!O54</f>
        <v>2</v>
      </c>
      <c r="P1709" s="1958">
        <f>'Part IX Scoring Criteria'!P54</f>
        <v>0</v>
      </c>
    </row>
    <row r="1710" spans="1:18" s="1947" customFormat="1" ht="13.5" customHeight="1">
      <c r="A1710" s="1904"/>
      <c r="B1710" s="2156" t="s">
        <v>1939</v>
      </c>
      <c r="C1710" s="1959" t="s">
        <v>4293</v>
      </c>
      <c r="D1710" s="449"/>
      <c r="H1710" s="449" t="s">
        <v>4294</v>
      </c>
      <c r="I1710" s="1822"/>
      <c r="K1710" s="2157">
        <f>'Part IX Scoring Criteria'!K55</f>
        <v>57.222222222222221</v>
      </c>
      <c r="L1710" s="1849" t="str">
        <f>IF(AND(O1710&gt;0,O1711&gt;0), "CHOOSE EITHER A OR B, NOT BOTH!", "")</f>
        <v/>
      </c>
      <c r="M1710" s="1732">
        <v>2</v>
      </c>
      <c r="N1710" s="1960" t="s">
        <v>1939</v>
      </c>
      <c r="O1710" s="1923">
        <f>'Part IX Scoring Criteria'!O55</f>
        <v>2</v>
      </c>
      <c r="P1710" s="1923"/>
      <c r="Q1710" s="1843" t="str">
        <f>IF(OR($O1710=$M1710,$O1710=0,$O1710=""),"","*CHECK!*")</f>
        <v/>
      </c>
      <c r="R1710" s="1823" t="s">
        <v>4767</v>
      </c>
    </row>
    <row r="1711" spans="1:18" s="1947" customFormat="1" ht="13.5" customHeight="1">
      <c r="A1711" s="1940" t="s">
        <v>3238</v>
      </c>
      <c r="B1711" s="2156" t="s">
        <v>1941</v>
      </c>
      <c r="C1711" s="1959" t="s">
        <v>4295</v>
      </c>
      <c r="D1711" s="449"/>
      <c r="I1711" s="1822"/>
      <c r="K1711" s="449"/>
      <c r="L1711" s="1849"/>
      <c r="M1711" s="1732">
        <v>2</v>
      </c>
      <c r="N1711" s="1960" t="s">
        <v>1941</v>
      </c>
      <c r="O1711" s="1923">
        <f>'Part IX Scoring Criteria'!O56</f>
        <v>0</v>
      </c>
      <c r="P1711" s="1923"/>
      <c r="Q1711" s="1843" t="str">
        <f>IF(OR($O1711=$M1711,$O1711=0,$O1711=""),"","*CHECK!*")</f>
        <v/>
      </c>
      <c r="R1711" s="1823" t="s">
        <v>4767</v>
      </c>
    </row>
    <row r="1712" spans="1:18" s="1951" customFormat="1" ht="6.75" customHeight="1">
      <c r="A1712" s="1229"/>
      <c r="B1712" s="1960"/>
      <c r="C1712" s="2152"/>
      <c r="D1712" s="1936"/>
      <c r="K1712" s="1985"/>
      <c r="L1712" s="1985"/>
      <c r="M1712" s="1732"/>
      <c r="N1712" s="1949"/>
      <c r="O1712" s="1958"/>
      <c r="P1712" s="1958"/>
    </row>
    <row r="1713" spans="1:18" s="1951" customFormat="1" ht="13.5" customHeight="1">
      <c r="A1713" s="1904" t="s">
        <v>1938</v>
      </c>
      <c r="B1713" s="1911" t="s">
        <v>6938</v>
      </c>
      <c r="E1713" s="1945"/>
      <c r="H1713" s="1822" t="s">
        <v>4296</v>
      </c>
      <c r="I1713" s="1822"/>
      <c r="J1713" s="1961" t="s">
        <v>4297</v>
      </c>
      <c r="M1713" s="1732">
        <v>3</v>
      </c>
      <c r="N1713" s="1942" t="s">
        <v>1938</v>
      </c>
      <c r="O1713" s="1958">
        <f>'Part IX Scoring Criteria'!O58</f>
        <v>0</v>
      </c>
      <c r="P1713" s="1958">
        <f>'Part IX Scoring Criteria'!P58</f>
        <v>0</v>
      </c>
    </row>
    <row r="1714" spans="1:18" s="1951" customFormat="1" ht="13.5" customHeight="1">
      <c r="A1714" s="2158"/>
      <c r="B1714" s="2156" t="s">
        <v>1939</v>
      </c>
      <c r="C1714" s="2159">
        <v>0.3</v>
      </c>
      <c r="D1714" s="1956" t="s">
        <v>3482</v>
      </c>
      <c r="E1714" s="1945"/>
      <c r="F1714" s="1944"/>
      <c r="H1714" s="2160">
        <f>'Part IX Scoring Criteria'!H59</f>
        <v>0</v>
      </c>
      <c r="I1714" s="2160"/>
      <c r="J1714" s="2161">
        <f>'Part IX Scoring Criteria'!J59</f>
        <v>72</v>
      </c>
      <c r="K1714" s="1985">
        <f>'Part IX Scoring Criteria'!K59</f>
        <v>0</v>
      </c>
      <c r="L1714" s="1985">
        <f>'Part IX Scoring Criteria'!L59</f>
        <v>0</v>
      </c>
      <c r="M1714" s="1732"/>
      <c r="N1714" s="1949" t="s">
        <v>1939</v>
      </c>
      <c r="O1714" s="1958" t="str">
        <f>'Part IX Scoring Criteria'!O59</f>
        <v>No</v>
      </c>
      <c r="P1714" s="1958" t="str">
        <f>'Part IX Scoring Criteria'!P59</f>
        <v>No</v>
      </c>
    </row>
    <row r="1715" spans="1:18" s="1951" customFormat="1" ht="13.5" customHeight="1">
      <c r="A1715" s="1229"/>
      <c r="B1715" s="2156" t="s">
        <v>1941</v>
      </c>
      <c r="C1715" s="1912" t="s">
        <v>3706</v>
      </c>
      <c r="E1715" s="2162"/>
      <c r="F1715" s="1944"/>
      <c r="I1715" s="1953"/>
      <c r="J1715" s="1953"/>
      <c r="K1715" s="1953"/>
      <c r="L1715" s="1953"/>
      <c r="M1715" s="1953"/>
      <c r="N1715" s="1949" t="s">
        <v>1941</v>
      </c>
      <c r="O1715" s="1229">
        <f>'Part IX Scoring Criteria'!O60</f>
        <v>0</v>
      </c>
      <c r="P1715" s="1229"/>
    </row>
    <row r="1716" spans="1:18" s="1951" customFormat="1" ht="10.5" customHeight="1">
      <c r="A1716" s="1815"/>
      <c r="B1716" s="449" t="s">
        <v>1820</v>
      </c>
      <c r="D1716" s="1936"/>
      <c r="E1716" s="1939"/>
      <c r="F1716" s="1939"/>
      <c r="G1716" s="1939"/>
      <c r="H1716" s="1939"/>
      <c r="I1716" s="1939"/>
      <c r="J1716" s="1939"/>
      <c r="K1716" s="1939"/>
      <c r="L1716" s="1939"/>
      <c r="M1716" s="1939"/>
      <c r="N1716" s="1967"/>
      <c r="O1716" s="1967"/>
      <c r="P1716" s="1896"/>
    </row>
    <row r="1717" spans="1:18" s="1951" customFormat="1" ht="22.5" customHeight="1">
      <c r="A1717" s="1936"/>
      <c r="B1717" s="1936"/>
      <c r="C1717" s="1936"/>
      <c r="D1717" s="1936"/>
      <c r="E1717" s="1936"/>
      <c r="F1717" s="1936"/>
      <c r="G1717" s="1936"/>
      <c r="H1717" s="1936"/>
      <c r="I1717" s="1936"/>
      <c r="J1717" s="1936"/>
      <c r="K1717" s="1936"/>
      <c r="L1717" s="1936"/>
      <c r="M1717" s="1936"/>
      <c r="N1717" s="1936"/>
      <c r="O1717" s="1936"/>
      <c r="P1717" s="1936"/>
      <c r="Q1717" s="1973"/>
    </row>
    <row r="1718" spans="1:18" ht="7.5" customHeight="1">
      <c r="N1718" s="1874"/>
      <c r="O1718" s="1874"/>
      <c r="P1718" s="1874"/>
    </row>
    <row r="1719" spans="1:18" s="1951" customFormat="1" ht="12.6" customHeight="1">
      <c r="A1719" s="2150" t="s">
        <v>724</v>
      </c>
      <c r="B1719" s="1815" t="s">
        <v>3780</v>
      </c>
      <c r="D1719" s="2163"/>
      <c r="I1719" s="1822" t="s">
        <v>3579</v>
      </c>
      <c r="J1719" s="1822"/>
      <c r="K1719" s="1822"/>
      <c r="L1719" s="1822"/>
      <c r="M1719" s="1896">
        <v>10</v>
      </c>
      <c r="N1719" s="1940"/>
      <c r="O1719" s="1923">
        <f>'Part IX Scoring Criteria'!O64</f>
        <v>10</v>
      </c>
      <c r="P1719" s="1923">
        <f>'Part IX Scoring Criteria'!P64</f>
        <v>0</v>
      </c>
      <c r="Q1719" s="1896" t="s">
        <v>433</v>
      </c>
    </row>
    <row r="1720" spans="1:18" s="1951" customFormat="1" ht="3" customHeight="1">
      <c r="A1720" s="1815"/>
      <c r="D1720" s="449"/>
      <c r="E1720" s="449"/>
      <c r="F1720" s="1896"/>
      <c r="G1720" s="1896"/>
      <c r="H1720" s="1822"/>
      <c r="I1720" s="1822"/>
      <c r="J1720" s="1822"/>
      <c r="K1720" s="1822"/>
      <c r="L1720" s="1822"/>
      <c r="M1720" s="1229"/>
      <c r="N1720" s="1896"/>
      <c r="O1720" s="1874"/>
      <c r="P1720" s="1923"/>
    </row>
    <row r="1721" spans="1:18" s="1947" customFormat="1" ht="12" customHeight="1">
      <c r="A1721" s="1904"/>
      <c r="B1721" s="449" t="s">
        <v>3636</v>
      </c>
      <c r="D1721" s="1815"/>
      <c r="N1721" s="1940"/>
      <c r="O1721" s="1229" t="str">
        <f>'Part IX Scoring Criteria'!O66</f>
        <v>Yes</v>
      </c>
      <c r="P1721" s="1229"/>
    </row>
    <row r="1722" spans="1:18" s="1947" customFormat="1" ht="12" customHeight="1">
      <c r="A1722" s="1904" t="s">
        <v>1936</v>
      </c>
      <c r="B1722" s="1897" t="s">
        <v>1827</v>
      </c>
      <c r="C1722" s="1815"/>
      <c r="D1722" s="1815"/>
      <c r="F1722" s="1819"/>
      <c r="H1722" s="1863" t="s">
        <v>2638</v>
      </c>
      <c r="I1722" s="1956" t="s">
        <v>6939</v>
      </c>
      <c r="J1722" s="1956"/>
      <c r="K1722" s="1956"/>
      <c r="L1722" s="1956"/>
      <c r="M1722" s="1896">
        <v>10</v>
      </c>
      <c r="N1722" s="1960" t="s">
        <v>1936</v>
      </c>
      <c r="O1722" s="1923">
        <f>'Part IX Scoring Criteria'!O67</f>
        <v>10</v>
      </c>
      <c r="P1722" s="1923"/>
      <c r="Q1722" s="1843" t="str">
        <f>IF(OR($O1722=$M1722,$O1722=0,$O1722=""),"","*CHECK!*")</f>
        <v/>
      </c>
      <c r="R1722" s="1823" t="s">
        <v>4767</v>
      </c>
    </row>
    <row r="1723" spans="1:18" s="1947" customFormat="1" ht="12.6" customHeight="1">
      <c r="A1723" s="1904" t="s">
        <v>1938</v>
      </c>
      <c r="B1723" s="1897" t="s">
        <v>3628</v>
      </c>
      <c r="D1723" s="1962"/>
      <c r="F1723" s="1963"/>
      <c r="H1723" s="1863" t="s">
        <v>3728</v>
      </c>
      <c r="I1723" s="1956"/>
      <c r="J1723" s="1956"/>
      <c r="K1723" s="1956"/>
      <c r="L1723" s="1956"/>
      <c r="M1723" s="1229" t="s">
        <v>1212</v>
      </c>
      <c r="N1723" s="1940" t="s">
        <v>1938</v>
      </c>
      <c r="O1723" s="1923">
        <f>'Part IX Scoring Criteria'!O68</f>
        <v>0</v>
      </c>
      <c r="P1723" s="1923"/>
      <c r="R1723" s="1823" t="s">
        <v>4767</v>
      </c>
    </row>
    <row r="1724" spans="1:18" s="1951" customFormat="1" ht="11.25" customHeight="1">
      <c r="A1724" s="1815"/>
      <c r="B1724" s="449" t="s">
        <v>3566</v>
      </c>
      <c r="C1724" s="1815"/>
      <c r="D1724" s="1897"/>
      <c r="E1724" s="1897"/>
      <c r="F1724" s="1897"/>
      <c r="G1724" s="1897"/>
      <c r="H1724" s="449"/>
      <c r="I1724" s="1956"/>
      <c r="J1724" s="1956"/>
      <c r="K1724" s="1956"/>
      <c r="L1724" s="1956"/>
      <c r="M1724" s="1896"/>
      <c r="N1724" s="1874"/>
      <c r="O1724" s="1923"/>
      <c r="P1724" s="1874"/>
    </row>
    <row r="1725" spans="1:18" s="1951" customFormat="1" ht="90" customHeight="1">
      <c r="A1725" s="1936" t="str">
        <f>'Part IX Scoring Criteria'!A70</f>
        <v xml:space="preserve">Applicant claims 10 points in this category for the following desirable activities/characteristics that are within a 1.5 mile walking/driving distance from the site: Family Dollar, Walmart and Walmart Pharmacy, Trevioli Kitchen, Piedmont Urgent Care, Generations Knowledge &amp; Care, Blackmon Road Middle School, Flat Rock Park and Solid Rock Assembly of God.  See TAB 27 for the Desirable/Undesirable Certification Form and required maps.    There are no undesirable activities/characteristics located within  1/4th mile radius from the site.    </v>
      </c>
      <c r="B1725" s="1936"/>
      <c r="C1725" s="1936"/>
      <c r="D1725" s="1936"/>
      <c r="E1725" s="1936"/>
      <c r="F1725" s="1936"/>
      <c r="G1725" s="1936"/>
      <c r="H1725" s="1936"/>
      <c r="I1725" s="1936"/>
      <c r="J1725" s="1936"/>
      <c r="K1725" s="1936"/>
      <c r="L1725" s="1936"/>
      <c r="M1725" s="1936"/>
      <c r="N1725" s="1936"/>
      <c r="O1725" s="1936"/>
      <c r="P1725" s="1936"/>
      <c r="Q1725" s="1973" t="s">
        <v>1228</v>
      </c>
      <c r="R1725" s="1973"/>
    </row>
    <row r="1726" spans="1:18" s="1951" customFormat="1" ht="11.4" customHeight="1">
      <c r="A1726" s="1815"/>
      <c r="B1726" s="449" t="s">
        <v>1820</v>
      </c>
      <c r="C1726" s="1815"/>
      <c r="D1726" s="1936"/>
      <c r="E1726" s="1939"/>
      <c r="F1726" s="1939"/>
      <c r="G1726" s="1939"/>
      <c r="H1726" s="1939"/>
      <c r="I1726" s="1939"/>
      <c r="J1726" s="1939"/>
      <c r="K1726" s="1939"/>
      <c r="L1726" s="1939"/>
      <c r="M1726" s="1939"/>
      <c r="N1726" s="1967"/>
      <c r="O1726" s="1967"/>
      <c r="P1726" s="1896"/>
    </row>
    <row r="1727" spans="1:18" s="1951" customFormat="1" ht="90" customHeight="1">
      <c r="A1727" s="1936"/>
      <c r="B1727" s="1936"/>
      <c r="C1727" s="1936"/>
      <c r="D1727" s="1936"/>
      <c r="E1727" s="1936"/>
      <c r="F1727" s="1936"/>
      <c r="G1727" s="1936"/>
      <c r="H1727" s="1936"/>
      <c r="I1727" s="1936"/>
      <c r="J1727" s="1936"/>
      <c r="K1727" s="1936"/>
      <c r="L1727" s="1936"/>
      <c r="M1727" s="1936"/>
      <c r="N1727" s="1936"/>
      <c r="O1727" s="1936"/>
      <c r="P1727" s="1936"/>
      <c r="Q1727" s="1973"/>
      <c r="R1727" s="1973"/>
    </row>
    <row r="1728" spans="1:18" ht="7.5" customHeight="1">
      <c r="M1728" s="1815"/>
      <c r="N1728" s="1896"/>
      <c r="O1728" s="1896"/>
      <c r="P1728" s="1896"/>
    </row>
    <row r="1729" spans="1:21" s="1951" customFormat="1" ht="12.6" customHeight="1">
      <c r="A1729" s="2150" t="s">
        <v>1748</v>
      </c>
      <c r="B1729" s="1815" t="s">
        <v>2561</v>
      </c>
      <c r="D1729" s="2163"/>
      <c r="K1729" s="1229" t="s">
        <v>1832</v>
      </c>
      <c r="M1729" s="1896">
        <v>6</v>
      </c>
      <c r="N1729" s="1940"/>
      <c r="O1729" s="1923">
        <f>'Part IX Scoring Criteria'!O74</f>
        <v>3</v>
      </c>
      <c r="P1729" s="1923">
        <f>'Part IX Scoring Criteria'!P74</f>
        <v>0</v>
      </c>
      <c r="Q1729" s="1896" t="s">
        <v>433</v>
      </c>
      <c r="R1729" s="1952" t="s">
        <v>6976</v>
      </c>
      <c r="S1729" s="1952"/>
      <c r="T1729" s="1952"/>
      <c r="U1729" s="1952"/>
    </row>
    <row r="1730" spans="1:21" s="1951" customFormat="1" ht="17.25" customHeight="1">
      <c r="A1730" s="2150"/>
      <c r="B1730" s="1897" t="s">
        <v>3707</v>
      </c>
      <c r="D1730" s="2163"/>
      <c r="H1730" s="1897" t="s">
        <v>2703</v>
      </c>
      <c r="I1730" s="1918"/>
      <c r="J1730" s="1897" t="str">
        <f>'Part I-Project Information'!$H$105</f>
        <v>Flexible</v>
      </c>
      <c r="K1730" s="1897"/>
      <c r="M1730" s="1896"/>
      <c r="N1730" s="1940"/>
      <c r="O1730" s="2164" t="s">
        <v>3449</v>
      </c>
      <c r="P1730" s="2164" t="s">
        <v>3450</v>
      </c>
      <c r="Q1730" s="1896"/>
      <c r="R1730" s="1952"/>
      <c r="S1730" s="1952"/>
      <c r="T1730" s="1952"/>
      <c r="U1730" s="1952"/>
    </row>
    <row r="1731" spans="1:21" s="1951" customFormat="1" ht="11.25" customHeight="1">
      <c r="A1731" s="2150"/>
      <c r="B1731" s="1969" t="s">
        <v>1939</v>
      </c>
      <c r="C1731" s="449" t="s">
        <v>4303</v>
      </c>
      <c r="D1731" s="1962"/>
      <c r="E1731" s="1947"/>
      <c r="F1731" s="1947"/>
      <c r="G1731" s="1947"/>
      <c r="H1731" s="449"/>
      <c r="I1731" s="449"/>
      <c r="J1731" s="1897"/>
      <c r="K1731" s="1897"/>
      <c r="L1731" s="1947"/>
      <c r="M1731" s="1896"/>
      <c r="N1731" s="1940"/>
      <c r="O1731" s="1229" t="str">
        <f>'Part IX Scoring Criteria'!O76</f>
        <v>Yes</v>
      </c>
      <c r="P1731" s="1229"/>
      <c r="Q1731" s="1896"/>
      <c r="R1731" s="1952"/>
      <c r="S1731" s="1952"/>
      <c r="T1731" s="1952"/>
      <c r="U1731" s="1952"/>
    </row>
    <row r="1732" spans="1:21" s="1951" customFormat="1" ht="11.25" customHeight="1">
      <c r="A1732" s="2150"/>
      <c r="B1732" s="1969" t="s">
        <v>1941</v>
      </c>
      <c r="C1732" s="449" t="s">
        <v>4304</v>
      </c>
      <c r="D1732" s="1962"/>
      <c r="E1732" s="1947"/>
      <c r="F1732" s="1947"/>
      <c r="G1732" s="1947"/>
      <c r="H1732" s="449"/>
      <c r="I1732" s="449"/>
      <c r="J1732" s="1897"/>
      <c r="K1732" s="1897"/>
      <c r="L1732" s="1947"/>
      <c r="M1732" s="1947"/>
      <c r="N1732" s="1940"/>
      <c r="O1732" s="1229" t="str">
        <f>'Part IX Scoring Criteria'!O77</f>
        <v>Yes</v>
      </c>
      <c r="P1732" s="1229"/>
      <c r="Q1732" s="1896"/>
      <c r="R1732" s="1952"/>
      <c r="S1732" s="1952"/>
      <c r="T1732" s="1952"/>
      <c r="U1732" s="1952"/>
    </row>
    <row r="1733" spans="1:21" s="1951" customFormat="1" ht="11.25" customHeight="1">
      <c r="A1733" s="2150"/>
      <c r="B1733" s="1969" t="s">
        <v>2468</v>
      </c>
      <c r="C1733" s="449" t="s">
        <v>6911</v>
      </c>
      <c r="D1733" s="1962"/>
      <c r="E1733" s="1947"/>
      <c r="F1733" s="1947"/>
      <c r="G1733" s="1947"/>
      <c r="H1733" s="449"/>
      <c r="I1733" s="449"/>
      <c r="J1733" s="1897"/>
      <c r="K1733" s="1897"/>
      <c r="L1733" s="1947"/>
      <c r="M1733" s="1947"/>
      <c r="N1733" s="1940"/>
      <c r="O1733" s="1229" t="str">
        <f>'Part IX Scoring Criteria'!O78</f>
        <v>Yes</v>
      </c>
      <c r="P1733" s="1229"/>
      <c r="Q1733" s="1896"/>
      <c r="R1733" s="1952"/>
      <c r="S1733" s="1952"/>
      <c r="T1733" s="1952"/>
      <c r="U1733" s="1952"/>
    </row>
    <row r="1734" spans="1:21" s="1951" customFormat="1" ht="11.25" customHeight="1">
      <c r="A1734" s="2150"/>
      <c r="B1734" s="1969" t="s">
        <v>1198</v>
      </c>
      <c r="C1734" s="449" t="s">
        <v>4299</v>
      </c>
      <c r="D1734" s="1962"/>
      <c r="E1734" s="1947"/>
      <c r="F1734" s="1947"/>
      <c r="G1734" s="1947"/>
      <c r="H1734" s="449"/>
      <c r="I1734" s="449"/>
      <c r="J1734" s="1897"/>
      <c r="K1734" s="1897"/>
      <c r="L1734" s="1947"/>
      <c r="M1734" s="1947"/>
      <c r="N1734" s="1940"/>
      <c r="O1734" s="1229" t="str">
        <f>'Part IX Scoring Criteria'!O79</f>
        <v>Yes</v>
      </c>
      <c r="P1734" s="1229"/>
      <c r="Q1734" s="1896"/>
      <c r="R1734" s="1952"/>
      <c r="S1734" s="1952"/>
      <c r="T1734" s="1952"/>
      <c r="U1734" s="1952"/>
    </row>
    <row r="1735" spans="1:21" s="1951" customFormat="1" ht="3" customHeight="1">
      <c r="A1735" s="2150"/>
      <c r="B1735" s="1815"/>
      <c r="D1735" s="2163"/>
      <c r="H1735" s="449"/>
      <c r="I1735" s="449"/>
      <c r="J1735" s="1897"/>
      <c r="K1735" s="1897"/>
      <c r="M1735" s="1896"/>
      <c r="N1735" s="1940"/>
      <c r="O1735" s="1923"/>
      <c r="P1735" s="1923"/>
      <c r="Q1735" s="1896"/>
      <c r="R1735" s="1952"/>
      <c r="S1735" s="1952"/>
      <c r="T1735" s="1952"/>
      <c r="U1735" s="1952"/>
    </row>
    <row r="1736" spans="1:21" s="1951" customFormat="1" ht="13.5" customHeight="1">
      <c r="A1736" s="2150"/>
      <c r="B1736" s="1897" t="s">
        <v>3713</v>
      </c>
      <c r="D1736" s="2163"/>
      <c r="F1736" s="1897" t="s">
        <v>3535</v>
      </c>
      <c r="G1736" s="1897"/>
      <c r="H1736" s="1897"/>
      <c r="I1736" s="1897"/>
      <c r="J1736" s="1897" t="s">
        <v>3536</v>
      </c>
      <c r="K1736" s="1897"/>
      <c r="L1736" s="1897"/>
      <c r="M1736" s="1897"/>
      <c r="N1736" s="1940"/>
      <c r="O1736" s="1964" t="s">
        <v>6977</v>
      </c>
      <c r="P1736" s="1964"/>
      <c r="Q1736" s="1896"/>
      <c r="R1736" s="1952"/>
      <c r="S1736" s="1952"/>
      <c r="T1736" s="1952"/>
      <c r="U1736" s="1952"/>
    </row>
    <row r="1737" spans="1:21" s="1951" customFormat="1" ht="12.75" customHeight="1">
      <c r="A1737" s="2150"/>
      <c r="C1737" s="1897" t="s">
        <v>3712</v>
      </c>
      <c r="D1737" s="1855"/>
      <c r="E1737" s="1849"/>
      <c r="F1737" s="1965">
        <f>'Part IX Scoring Criteria'!F82</f>
        <v>32.547725999999997</v>
      </c>
      <c r="G1737" s="1965"/>
      <c r="H1737" s="1965"/>
      <c r="I1737" s="1965"/>
      <c r="J1737" s="1965">
        <f>'Part IX Scoring Criteria'!J82</f>
        <v>-84.888351</v>
      </c>
      <c r="K1737" s="1965"/>
      <c r="L1737" s="1965"/>
      <c r="M1737" s="1965"/>
      <c r="N1737" s="1940"/>
      <c r="Q1737" s="1896"/>
      <c r="R1737" s="1952"/>
      <c r="S1737" s="1952"/>
      <c r="T1737" s="1952"/>
      <c r="U1737" s="1952"/>
    </row>
    <row r="1738" spans="1:21" s="1951" customFormat="1" ht="12.75" customHeight="1">
      <c r="A1738" s="2165" t="s">
        <v>3808</v>
      </c>
      <c r="B1738" s="2165"/>
      <c r="D1738" s="449" t="s">
        <v>3714</v>
      </c>
      <c r="E1738" s="1849"/>
      <c r="F1738" s="1965">
        <f>'Part IX Scoring Criteria'!F83</f>
        <v>32.548439999999999</v>
      </c>
      <c r="G1738" s="1965"/>
      <c r="H1738" s="1965"/>
      <c r="I1738" s="1965"/>
      <c r="J1738" s="1965">
        <f>'Part IX Scoring Criteria'!J83</f>
        <v>-84.886694000000006</v>
      </c>
      <c r="K1738" s="1965"/>
      <c r="L1738" s="1965"/>
      <c r="M1738" s="1965"/>
      <c r="N1738" s="1940"/>
      <c r="O1738" s="2229">
        <f>'Part IX Scoring Criteria'!O83</f>
        <v>0.1</v>
      </c>
      <c r="P1738" s="1966"/>
      <c r="Q1738" s="1896"/>
      <c r="R1738" s="1952"/>
      <c r="S1738" s="1952"/>
      <c r="T1738" s="1952"/>
      <c r="U1738" s="1952"/>
    </row>
    <row r="1739" spans="1:21" s="1951" customFormat="1" ht="12.75" customHeight="1">
      <c r="A1739" s="2165"/>
      <c r="B1739" s="2165"/>
      <c r="C1739" s="1897" t="s">
        <v>3778</v>
      </c>
      <c r="D1739" s="1855"/>
      <c r="E1739" s="1849"/>
      <c r="F1739" s="1965">
        <f>'Part IX Scoring Criteria'!F84</f>
        <v>0</v>
      </c>
      <c r="G1739" s="1965"/>
      <c r="H1739" s="1965"/>
      <c r="I1739" s="1965"/>
      <c r="J1739" s="1965">
        <f>'Part IX Scoring Criteria'!J84</f>
        <v>0</v>
      </c>
      <c r="K1739" s="1965"/>
      <c r="L1739" s="1965"/>
      <c r="M1739" s="1965"/>
      <c r="N1739" s="1940"/>
      <c r="O1739" s="1940"/>
      <c r="P1739" s="1940"/>
      <c r="Q1739" s="1896"/>
      <c r="R1739" s="1952"/>
      <c r="S1739" s="1952"/>
      <c r="T1739" s="1952"/>
      <c r="U1739" s="1952"/>
    </row>
    <row r="1740" spans="1:21" s="1951" customFormat="1" ht="12.75" customHeight="1">
      <c r="A1740" s="2165"/>
      <c r="B1740" s="2165"/>
      <c r="E1740" s="1940" t="s">
        <v>3777</v>
      </c>
      <c r="F1740" s="1965">
        <f>'Part IX Scoring Criteria'!F85</f>
        <v>0</v>
      </c>
      <c r="G1740" s="1965"/>
      <c r="H1740" s="1965"/>
      <c r="I1740" s="1965"/>
      <c r="J1740" s="1965">
        <f>'Part IX Scoring Criteria'!J85</f>
        <v>0</v>
      </c>
      <c r="K1740" s="1965"/>
      <c r="L1740" s="1965"/>
      <c r="M1740" s="1965"/>
      <c r="N1740" s="1940"/>
      <c r="O1740" s="2229">
        <f>'Part IX Scoring Criteria'!O85</f>
        <v>0</v>
      </c>
      <c r="P1740" s="1966"/>
      <c r="Q1740" s="1896"/>
      <c r="R1740" s="1952"/>
      <c r="S1740" s="1952"/>
      <c r="T1740" s="1952"/>
      <c r="U1740" s="1952"/>
    </row>
    <row r="1741" spans="1:21" s="1951" customFormat="1" ht="9" customHeight="1">
      <c r="A1741" s="2150"/>
      <c r="B1741" s="1815"/>
      <c r="D1741" s="2163"/>
      <c r="H1741" s="449"/>
      <c r="I1741" s="449"/>
      <c r="J1741" s="1897"/>
      <c r="K1741" s="1897"/>
      <c r="M1741" s="1896"/>
      <c r="N1741" s="1940"/>
      <c r="O1741" s="1923"/>
      <c r="P1741" s="1923"/>
      <c r="Q1741" s="1896"/>
      <c r="R1741" s="1952"/>
      <c r="S1741" s="1952"/>
      <c r="T1741" s="1952"/>
      <c r="U1741" s="1952"/>
    </row>
    <row r="1742" spans="1:21" s="1951" customFormat="1" ht="12.6" customHeight="1">
      <c r="A1742" s="1815" t="s">
        <v>2694</v>
      </c>
      <c r="B1742" s="1815"/>
      <c r="D1742" s="2163"/>
      <c r="F1742" s="1908" t="s">
        <v>3365</v>
      </c>
      <c r="M1742" s="1896"/>
      <c r="N1742" s="1896"/>
      <c r="O1742" s="1896"/>
      <c r="P1742" s="1896"/>
      <c r="Q1742" s="1896"/>
      <c r="R1742" s="1952"/>
      <c r="S1742" s="1952"/>
      <c r="T1742" s="1952"/>
      <c r="U1742" s="1952"/>
    </row>
    <row r="1743" spans="1:21" s="1951" customFormat="1" ht="2.25" customHeight="1">
      <c r="A1743" s="1815"/>
      <c r="B1743" s="1815"/>
      <c r="D1743" s="2163"/>
      <c r="F1743" s="1908"/>
      <c r="M1743" s="1896"/>
      <c r="N1743" s="1896"/>
      <c r="O1743" s="1896"/>
      <c r="P1743" s="1896"/>
      <c r="Q1743" s="1896"/>
      <c r="R1743" s="1952"/>
      <c r="S1743" s="1952"/>
      <c r="T1743" s="1952"/>
      <c r="U1743" s="1952"/>
    </row>
    <row r="1744" spans="1:21" s="1951" customFormat="1" ht="12.6" customHeight="1">
      <c r="A1744" s="1982" t="s">
        <v>1936</v>
      </c>
      <c r="B1744" s="1897" t="s">
        <v>3559</v>
      </c>
      <c r="D1744" s="2163"/>
      <c r="F1744" s="449" t="s">
        <v>6912</v>
      </c>
      <c r="M1744" s="1896">
        <v>6</v>
      </c>
      <c r="N1744" s="1949" t="s">
        <v>1936</v>
      </c>
      <c r="O1744" s="1923">
        <f>'Part IX Scoring Criteria'!O89</f>
        <v>0</v>
      </c>
      <c r="P1744" s="1923">
        <f>'Part IX Scoring Criteria'!P89</f>
        <v>0</v>
      </c>
      <c r="Q1744" s="1896"/>
    </row>
    <row r="1745" spans="1:21" s="1950" customFormat="1" ht="23.25" customHeight="1">
      <c r="B1745" s="1968" t="s">
        <v>1939</v>
      </c>
      <c r="C1745" s="1936" t="s">
        <v>6940</v>
      </c>
      <c r="D1745" s="1936"/>
      <c r="E1745" s="1936"/>
      <c r="F1745" s="1936"/>
      <c r="G1745" s="1936"/>
      <c r="H1745" s="1936"/>
      <c r="I1745" s="1963" t="s">
        <v>6941</v>
      </c>
      <c r="J1745" s="1963"/>
      <c r="K1745" s="1963"/>
      <c r="L1745" s="1963"/>
      <c r="M1745" s="1967">
        <v>5</v>
      </c>
      <c r="N1745" s="1968" t="s">
        <v>1939</v>
      </c>
      <c r="O1745" s="2166">
        <f>'Part IX Scoring Criteria'!O90</f>
        <v>0</v>
      </c>
      <c r="P1745" s="2166"/>
      <c r="Q1745" s="1843" t="str">
        <f>IF(OR($O1745=$M1745,$O1745=0,$O1745=""),"","*CHECK!*")</f>
        <v/>
      </c>
      <c r="R1745" s="1823" t="s">
        <v>4767</v>
      </c>
    </row>
    <row r="1746" spans="1:21" s="1950" customFormat="1" ht="12" customHeight="1">
      <c r="A1746" s="1229" t="s">
        <v>1326</v>
      </c>
      <c r="B1746" s="1968" t="s">
        <v>1941</v>
      </c>
      <c r="C1746" s="1936" t="s">
        <v>6942</v>
      </c>
      <c r="D1746" s="1936"/>
      <c r="E1746" s="1936"/>
      <c r="F1746" s="1936"/>
      <c r="G1746" s="1936"/>
      <c r="H1746" s="1229" t="str">
        <f>IF(AND(O1746&gt;0,O1745&gt;0),"Pick A1 or A2!","")</f>
        <v/>
      </c>
      <c r="I1746" s="1963"/>
      <c r="J1746" s="1963"/>
      <c r="K1746" s="1963"/>
      <c r="L1746" s="1963"/>
      <c r="M1746" s="1896">
        <v>4</v>
      </c>
      <c r="N1746" s="1969" t="s">
        <v>1941</v>
      </c>
      <c r="O1746" s="1923">
        <f>'Part IX Scoring Criteria'!O91</f>
        <v>0</v>
      </c>
      <c r="P1746" s="1923"/>
      <c r="Q1746" s="1843" t="str">
        <f>IF(OR($O1746=$M1746,$O1746=0,$O1746=""),"","*CHECK!*")</f>
        <v/>
      </c>
      <c r="R1746" s="1823" t="s">
        <v>4767</v>
      </c>
    </row>
    <row r="1747" spans="1:21" s="1950" customFormat="1" ht="12" customHeight="1">
      <c r="B1747" s="1968" t="s">
        <v>2468</v>
      </c>
      <c r="C1747" s="1936" t="s">
        <v>3560</v>
      </c>
      <c r="D1747" s="1936"/>
      <c r="E1747" s="1936"/>
      <c r="F1747" s="1936"/>
      <c r="I1747" s="1963"/>
      <c r="J1747" s="1963"/>
      <c r="K1747" s="1963"/>
      <c r="L1747" s="1963"/>
      <c r="M1747" s="1896">
        <v>1</v>
      </c>
      <c r="N1747" s="1969" t="s">
        <v>2468</v>
      </c>
      <c r="O1747" s="1923">
        <f>'Part IX Scoring Criteria'!O92</f>
        <v>0</v>
      </c>
      <c r="P1747" s="1923"/>
      <c r="Q1747" s="1843" t="str">
        <f>IF(OR($O1747=$M1747,$O1747=0,$O1747=""),"","*CHECK!*")</f>
        <v/>
      </c>
      <c r="R1747" s="1823" t="s">
        <v>4767</v>
      </c>
    </row>
    <row r="1748" spans="1:21" s="1950" customFormat="1" ht="12" customHeight="1">
      <c r="B1748" s="1968"/>
      <c r="C1748" s="1863" t="s">
        <v>3776</v>
      </c>
      <c r="D1748" s="1936"/>
      <c r="E1748" s="1936"/>
      <c r="F1748" s="1843" t="str">
        <f>'Part I-Project Information'!$H$82</f>
        <v>HFOP</v>
      </c>
      <c r="G1748" s="1863"/>
      <c r="H1748" s="1843"/>
      <c r="I1748" s="1963"/>
      <c r="J1748" s="1963"/>
      <c r="K1748" s="1963"/>
      <c r="L1748" s="1963"/>
      <c r="M1748" s="1947"/>
      <c r="N1748" s="1947"/>
      <c r="O1748" s="1947"/>
      <c r="P1748" s="1947"/>
      <c r="Q1748" s="1993"/>
      <c r="R1748" s="1955"/>
    </row>
    <row r="1749" spans="1:21" s="1950" customFormat="1" ht="12" customHeight="1">
      <c r="B1749" s="1968"/>
      <c r="C1749" s="1863"/>
      <c r="D1749" s="1936"/>
      <c r="E1749" s="1936"/>
      <c r="F1749" s="1843"/>
      <c r="G1749" s="1863"/>
      <c r="H1749" s="1843"/>
      <c r="I1749" s="1963"/>
      <c r="J1749" s="1963"/>
      <c r="K1749" s="1963"/>
      <c r="L1749" s="1963"/>
      <c r="M1749" s="1947"/>
      <c r="N1749" s="1947"/>
      <c r="O1749" s="1947"/>
      <c r="P1749" s="1947"/>
      <c r="Q1749" s="1993"/>
      <c r="R1749" s="1955"/>
    </row>
    <row r="1750" spans="1:21" s="1950" customFormat="1" ht="12" customHeight="1">
      <c r="A1750" s="1982" t="s">
        <v>1938</v>
      </c>
      <c r="B1750" s="1772" t="s">
        <v>3561</v>
      </c>
      <c r="C1750" s="1772"/>
      <c r="D1750" s="1772"/>
      <c r="E1750" s="1772"/>
      <c r="F1750" s="1936" t="s">
        <v>6913</v>
      </c>
      <c r="I1750" s="1956" t="str">
        <f>'Part IX Scoring Criteria'!I95</f>
        <v xml:space="preserve">METRA Transit System </v>
      </c>
      <c r="J1750" s="1956"/>
      <c r="K1750" s="1956"/>
      <c r="L1750" s="2230">
        <f>'Part IX Scoring Criteria'!L95</f>
        <v>7062254581</v>
      </c>
      <c r="M1750" s="1896">
        <v>3</v>
      </c>
      <c r="N1750" s="1940" t="s">
        <v>1938</v>
      </c>
      <c r="O1750" s="1923">
        <f>'Part IX Scoring Criteria'!O95</f>
        <v>3</v>
      </c>
      <c r="P1750" s="1923">
        <f>'Part IX Scoring Criteria'!P95</f>
        <v>0</v>
      </c>
      <c r="Q1750" s="1768"/>
      <c r="R1750" s="1955"/>
    </row>
    <row r="1751" spans="1:21" s="1951" customFormat="1" ht="11.25" customHeight="1">
      <c r="A1751" s="2150"/>
      <c r="B1751" s="1940" t="s">
        <v>3589</v>
      </c>
      <c r="C1751" s="1822" t="s">
        <v>4302</v>
      </c>
      <c r="D1751" s="1962"/>
      <c r="E1751" s="1947"/>
      <c r="F1751" s="1947"/>
      <c r="G1751" s="1947"/>
      <c r="H1751" s="449"/>
      <c r="I1751" s="1956"/>
      <c r="J1751" s="1956"/>
      <c r="K1751" s="1956"/>
      <c r="L1751" s="2230"/>
      <c r="M1751" s="1947"/>
      <c r="N1751" s="1940" t="s">
        <v>3589</v>
      </c>
      <c r="O1751" s="1229" t="str">
        <f>'Part IX Scoring Criteria'!O96</f>
        <v>Yes</v>
      </c>
      <c r="P1751" s="1229"/>
      <c r="Q1751" s="1896"/>
      <c r="R1751" s="1955"/>
      <c r="S1751" s="1950"/>
      <c r="T1751" s="1950"/>
      <c r="U1751" s="1950"/>
    </row>
    <row r="1752" spans="1:21" s="1951" customFormat="1" ht="11.25" customHeight="1">
      <c r="A1752" s="2150"/>
      <c r="B1752" s="1940" t="s">
        <v>3590</v>
      </c>
      <c r="C1752" s="1822" t="s">
        <v>4301</v>
      </c>
      <c r="D1752" s="1962"/>
      <c r="E1752" s="1947"/>
      <c r="F1752" s="1947"/>
      <c r="G1752" s="1947"/>
      <c r="H1752" s="449"/>
      <c r="I1752" s="1956" t="str">
        <f>'Part IX Scoring Criteria'!I97</f>
        <v>metrainfo@columbusga.org</v>
      </c>
      <c r="J1752" s="1956"/>
      <c r="K1752" s="1956"/>
      <c r="L1752" s="1956"/>
      <c r="M1752" s="1947"/>
      <c r="N1752" s="1940" t="s">
        <v>3590</v>
      </c>
      <c r="O1752" s="1229" t="str">
        <f>'Part IX Scoring Criteria'!O97</f>
        <v>Yes</v>
      </c>
      <c r="P1752" s="1229"/>
      <c r="Q1752" s="1896"/>
      <c r="R1752" s="1955"/>
      <c r="S1752" s="1950"/>
      <c r="T1752" s="1950"/>
      <c r="U1752" s="1950"/>
    </row>
    <row r="1753" spans="1:21" s="1950" customFormat="1" ht="12" customHeight="1">
      <c r="A1753" s="1904"/>
      <c r="B1753" s="2167" t="s">
        <v>1939</v>
      </c>
      <c r="C1753" s="449" t="s">
        <v>6943</v>
      </c>
      <c r="D1753" s="449"/>
      <c r="E1753" s="449"/>
      <c r="F1753" s="449"/>
      <c r="G1753" s="449"/>
      <c r="H1753" s="449"/>
      <c r="I1753" s="1956"/>
      <c r="J1753" s="1956"/>
      <c r="K1753" s="1956"/>
      <c r="L1753" s="1956"/>
      <c r="M1753" s="1896">
        <v>3</v>
      </c>
      <c r="N1753" s="1969" t="s">
        <v>1939</v>
      </c>
      <c r="O1753" s="1923">
        <f>'Part IX Scoring Criteria'!O98</f>
        <v>3</v>
      </c>
      <c r="P1753" s="1923"/>
      <c r="Q1753" s="1993" t="str">
        <f>IF(OR($O1753=$M1753,$O1753=0,$O1753=""),"","*CHECK!*")</f>
        <v/>
      </c>
      <c r="R1753" s="1823" t="s">
        <v>4767</v>
      </c>
    </row>
    <row r="1754" spans="1:21" s="1951" customFormat="1" ht="12" customHeight="1">
      <c r="A1754" s="1229" t="s">
        <v>1326</v>
      </c>
      <c r="B1754" s="2167" t="s">
        <v>1941</v>
      </c>
      <c r="C1754" s="449" t="s">
        <v>6944</v>
      </c>
      <c r="D1754" s="449"/>
      <c r="E1754" s="449"/>
      <c r="F1754" s="449"/>
      <c r="G1754" s="449"/>
      <c r="H1754" s="449"/>
      <c r="I1754" s="1956" t="str">
        <f>'Part IX Scoring Criteria'!I99</f>
        <v>https://www.columbusga.gov/Portals/metra/pdfs/Route06.pdf</v>
      </c>
      <c r="J1754" s="1956"/>
      <c r="K1754" s="1956"/>
      <c r="L1754" s="1956"/>
      <c r="M1754" s="1896">
        <v>2</v>
      </c>
      <c r="N1754" s="1969" t="s">
        <v>1941</v>
      </c>
      <c r="O1754" s="1923">
        <f>'Part IX Scoring Criteria'!O99</f>
        <v>0</v>
      </c>
      <c r="P1754" s="1923"/>
      <c r="Q1754" s="1993" t="str">
        <f>IF(OR($O1754=$M1754,$O1754=0,$O1754=""),"","*CHECK!*")</f>
        <v/>
      </c>
      <c r="R1754" s="1823" t="s">
        <v>4767</v>
      </c>
    </row>
    <row r="1755" spans="1:21" s="1951" customFormat="1" ht="14.25" customHeight="1">
      <c r="A1755" s="1229" t="s">
        <v>1326</v>
      </c>
      <c r="B1755" s="2167" t="s">
        <v>2468</v>
      </c>
      <c r="C1755" s="449" t="s">
        <v>6945</v>
      </c>
      <c r="D1755" s="449"/>
      <c r="E1755" s="449"/>
      <c r="F1755" s="449"/>
      <c r="G1755" s="449"/>
      <c r="H1755" s="449"/>
      <c r="I1755" s="1956"/>
      <c r="J1755" s="1956"/>
      <c r="K1755" s="1956"/>
      <c r="L1755" s="1956"/>
      <c r="M1755" s="1896">
        <v>1</v>
      </c>
      <c r="N1755" s="1969" t="s">
        <v>2468</v>
      </c>
      <c r="O1755" s="1923">
        <f>'Part IX Scoring Criteria'!O100</f>
        <v>0</v>
      </c>
      <c r="P1755" s="1923"/>
      <c r="Q1755" s="1993" t="str">
        <f>IF(OR($O1755=$M1755,$O1755=0,$O1755=""),"","*CHECK!*")</f>
        <v/>
      </c>
      <c r="R1755" s="1823" t="s">
        <v>4767</v>
      </c>
    </row>
    <row r="1756" spans="1:21" s="1951" customFormat="1" ht="14.25" customHeight="1">
      <c r="A1756" s="1938"/>
      <c r="B1756" s="2168"/>
      <c r="C1756" s="1939"/>
      <c r="D1756" s="1939"/>
      <c r="E1756" s="1939"/>
      <c r="F1756" s="449" t="str">
        <f>IF(OR(AND(O1753&gt;0,O1754&gt;0,O1755&gt;0),AND(O1753&gt;0,O1754&gt;0),AND(O1753&gt;0,O1755&gt;0),AND(O1754&gt;0,O1755&gt;0)),"Choose only one option: B1 or B2 or B3!","")</f>
        <v/>
      </c>
      <c r="G1756" s="449"/>
      <c r="H1756" s="449"/>
      <c r="I1756" s="1956" t="str">
        <f>'Part IX Scoring Criteria'!I101</f>
        <v>https://www.columbusga.gov/Portals/metra/pdfs/Route06.pdf</v>
      </c>
      <c r="J1756" s="1956"/>
      <c r="K1756" s="1956"/>
      <c r="L1756" s="1956"/>
      <c r="M1756" s="1947"/>
      <c r="N1756" s="1947"/>
      <c r="O1756" s="1947"/>
      <c r="P1756" s="1947"/>
      <c r="Q1756" s="1993"/>
      <c r="R1756" s="1955"/>
    </row>
    <row r="1757" spans="1:21" s="1951" customFormat="1" ht="12.6" customHeight="1">
      <c r="A1757" s="1815" t="s">
        <v>2696</v>
      </c>
      <c r="B1757" s="1897"/>
      <c r="E1757" s="2163"/>
      <c r="I1757" s="1956"/>
      <c r="J1757" s="1956"/>
      <c r="K1757" s="1956"/>
      <c r="L1757" s="1956"/>
      <c r="M1757" s="1896"/>
      <c r="N1757" s="1896"/>
      <c r="O1757" s="1896"/>
      <c r="P1757" s="1896"/>
      <c r="Q1757" s="1732"/>
      <c r="R1757" s="1732"/>
    </row>
    <row r="1758" spans="1:21" s="1947" customFormat="1" ht="12" customHeight="1">
      <c r="A1758" s="1904"/>
      <c r="B1758" s="1968" t="s">
        <v>1198</v>
      </c>
      <c r="C1758" s="1897" t="s">
        <v>6830</v>
      </c>
      <c r="D1758" s="1897"/>
      <c r="E1758" s="1897"/>
      <c r="F1758" s="1897"/>
      <c r="G1758" s="1897"/>
      <c r="H1758" s="1897"/>
      <c r="I1758" s="1897"/>
      <c r="J1758" s="1897"/>
      <c r="K1758" s="1897"/>
      <c r="L1758" s="1897"/>
      <c r="M1758" s="1896">
        <v>1</v>
      </c>
      <c r="N1758" s="1969" t="s">
        <v>1198</v>
      </c>
      <c r="O1758" s="1923">
        <f>'Part IX Scoring Criteria'!O103</f>
        <v>0</v>
      </c>
      <c r="P1758" s="1923"/>
      <c r="Q1758" s="1993" t="str">
        <f>IF(OR($O1758=$M1758,$O1758=0,$O1758=""),"","*CHECK!*")</f>
        <v/>
      </c>
      <c r="R1758" s="1823" t="s">
        <v>4767</v>
      </c>
    </row>
    <row r="1759" spans="1:21" s="1947" customFormat="1" ht="12" customHeight="1">
      <c r="A1759" s="1904"/>
      <c r="B1759" s="1968"/>
      <c r="C1759" s="1897"/>
      <c r="D1759" s="1897"/>
      <c r="E1759" s="1897"/>
      <c r="F1759" s="1897"/>
      <c r="G1759" s="1897"/>
      <c r="H1759" s="1897"/>
      <c r="I1759" s="1897"/>
      <c r="J1759" s="1897"/>
      <c r="K1759" s="1897"/>
      <c r="L1759" s="1897"/>
      <c r="M1759" s="1897"/>
      <c r="N1759" s="1897"/>
      <c r="O1759" s="1897"/>
      <c r="P1759" s="1897"/>
      <c r="Q1759" s="1993"/>
      <c r="R1759" s="1955"/>
    </row>
    <row r="1760" spans="1:21" s="1951" customFormat="1" ht="12.6" customHeight="1">
      <c r="A1760" s="449" t="s">
        <v>6978</v>
      </c>
      <c r="B1760" s="1897"/>
      <c r="E1760" s="2163"/>
      <c r="K1760" s="1897"/>
      <c r="M1760" s="1896"/>
      <c r="N1760" s="1896"/>
      <c r="O1760" s="1896"/>
      <c r="P1760" s="1896"/>
      <c r="Q1760" s="1732"/>
      <c r="R1760" s="1732"/>
    </row>
    <row r="1761" spans="1:20" s="1951" customFormat="1" ht="11.25" customHeight="1">
      <c r="A1761" s="1815"/>
      <c r="B1761" s="449" t="s">
        <v>3566</v>
      </c>
      <c r="C1761" s="1815"/>
      <c r="D1761" s="1897"/>
      <c r="E1761" s="1897"/>
      <c r="F1761" s="1897"/>
      <c r="G1761" s="1897"/>
      <c r="H1761" s="449"/>
      <c r="K1761" s="1897"/>
      <c r="M1761" s="1896"/>
      <c r="N1761" s="1874"/>
      <c r="O1761" s="1923"/>
      <c r="P1761" s="1874"/>
    </row>
    <row r="1762" spans="1:20" s="1951" customFormat="1" ht="29.25" customHeight="1">
      <c r="A1762" s="1936" t="str">
        <f>'Part IX Scoring Criteria'!A107</f>
        <v xml:space="preserve">Applicant is taking three points because the site is within a 0.25 mile walking/driving distance of an established public transportation stop.   There is a bus stop .1 miles from the site that is on METRA's Route 6, Columbus State/Milgen Road line.  This bus stop  is located on Warm Springs Road and is .1 miles from the site's  vehicular entrances.  See TAB 28 for schedule, fares and route.
Applicant notes that the propsed transit stop's latitude is 32.548440, however, the cell does not populate the "0" at the end of this coordinate. </v>
      </c>
      <c r="B1762" s="1936"/>
      <c r="C1762" s="1936"/>
      <c r="D1762" s="1936"/>
      <c r="E1762" s="1936"/>
      <c r="F1762" s="1936"/>
      <c r="G1762" s="1936"/>
      <c r="H1762" s="1936"/>
      <c r="I1762" s="1936"/>
      <c r="J1762" s="1936"/>
      <c r="K1762" s="1936"/>
      <c r="L1762" s="1936"/>
      <c r="M1762" s="1936"/>
      <c r="N1762" s="1936"/>
      <c r="O1762" s="1936"/>
      <c r="P1762" s="1936"/>
      <c r="Q1762" s="1973" t="s">
        <v>1228</v>
      </c>
      <c r="R1762" s="1973"/>
    </row>
    <row r="1763" spans="1:20" s="1947" customFormat="1" ht="11.4" customHeight="1">
      <c r="A1763" s="1815"/>
      <c r="B1763" s="449" t="s">
        <v>1820</v>
      </c>
      <c r="C1763" s="1815"/>
      <c r="D1763" s="449"/>
      <c r="E1763" s="1908"/>
      <c r="F1763" s="1908"/>
      <c r="G1763" s="1908"/>
      <c r="H1763" s="1908"/>
      <c r="I1763" s="1908"/>
      <c r="J1763" s="1908"/>
      <c r="K1763" s="1908"/>
      <c r="L1763" s="1908"/>
      <c r="M1763" s="1908"/>
      <c r="N1763" s="1896"/>
      <c r="O1763" s="1896"/>
      <c r="P1763" s="1896"/>
      <c r="Q1763" s="1951"/>
    </row>
    <row r="1764" spans="1:20" s="1951" customFormat="1" ht="11.25" customHeight="1">
      <c r="A1764" s="1936"/>
      <c r="B1764" s="1936"/>
      <c r="C1764" s="1936"/>
      <c r="D1764" s="1936"/>
      <c r="E1764" s="1936"/>
      <c r="F1764" s="1936"/>
      <c r="G1764" s="1936"/>
      <c r="H1764" s="1936"/>
      <c r="I1764" s="1936"/>
      <c r="J1764" s="1936"/>
      <c r="K1764" s="1936"/>
      <c r="L1764" s="1936"/>
      <c r="M1764" s="1936"/>
      <c r="N1764" s="1936"/>
      <c r="O1764" s="1936"/>
      <c r="P1764" s="1936"/>
      <c r="Q1764" s="1973"/>
    </row>
    <row r="1765" spans="1:20" ht="3" customHeight="1">
      <c r="N1765" s="1874"/>
      <c r="O1765" s="1874"/>
      <c r="P1765" s="1874"/>
      <c r="R1765" s="1951"/>
    </row>
    <row r="1766" spans="1:20" s="1951" customFormat="1" ht="3" customHeight="1">
      <c r="A1766" s="1815"/>
      <c r="D1766" s="449"/>
      <c r="E1766" s="449"/>
      <c r="F1766" s="1896"/>
      <c r="G1766" s="1896"/>
      <c r="H1766" s="1896"/>
      <c r="I1766" s="1896"/>
      <c r="J1766" s="1908"/>
      <c r="K1766" s="1908"/>
      <c r="L1766" s="1908"/>
      <c r="M1766" s="1229"/>
      <c r="N1766" s="1896"/>
      <c r="O1766" s="1874"/>
      <c r="P1766" s="1923"/>
    </row>
    <row r="1767" spans="1:20" s="1951" customFormat="1" ht="12.75" customHeight="1">
      <c r="A1767" s="2150" t="s">
        <v>1750</v>
      </c>
      <c r="B1767" s="1815" t="s">
        <v>3726</v>
      </c>
      <c r="D1767" s="449"/>
      <c r="E1767" s="449"/>
      <c r="F1767" s="1896"/>
      <c r="G1767" s="1896"/>
      <c r="H1767" s="1896"/>
      <c r="I1767" s="1908" t="s">
        <v>3365</v>
      </c>
      <c r="J1767" s="1908"/>
      <c r="K1767" s="1908"/>
      <c r="L1767" s="1908"/>
      <c r="M1767" s="1896">
        <v>4</v>
      </c>
      <c r="N1767" s="1896"/>
      <c r="O1767" s="1923">
        <f>'Part IX Scoring Criteria'!O112</f>
        <v>4</v>
      </c>
      <c r="P1767" s="1923">
        <f>'Part IX Scoring Criteria'!P112</f>
        <v>0</v>
      </c>
      <c r="Q1767" s="1896" t="s">
        <v>433</v>
      </c>
    </row>
    <row r="1768" spans="1:20" s="1951" customFormat="1" ht="1.5" customHeight="1">
      <c r="A1768" s="1815"/>
      <c r="D1768" s="449"/>
      <c r="E1768" s="449"/>
      <c r="F1768" s="1896"/>
      <c r="G1768" s="1896"/>
      <c r="H1768" s="1896"/>
      <c r="I1768" s="1896"/>
      <c r="J1768" s="1908"/>
      <c r="K1768" s="1908"/>
      <c r="L1768" s="1908"/>
      <c r="M1768" s="1229"/>
      <c r="N1768" s="1896"/>
      <c r="O1768" s="1874"/>
      <c r="P1768" s="1923"/>
    </row>
    <row r="1769" spans="1:20" s="1947" customFormat="1" ht="12.75" customHeight="1">
      <c r="A1769" s="1904" t="s">
        <v>1936</v>
      </c>
      <c r="B1769" s="1897" t="s">
        <v>3727</v>
      </c>
      <c r="D1769" s="1962"/>
      <c r="E1769" s="449" t="s">
        <v>3782</v>
      </c>
      <c r="G1769" s="1908"/>
      <c r="I1769" s="1940" t="s">
        <v>3776</v>
      </c>
      <c r="J1769" s="1908" t="str">
        <f>'Part I-Project Information'!$H$82</f>
        <v>HFOP</v>
      </c>
      <c r="K1769" s="1962"/>
      <c r="L1769" s="1732" t="str">
        <f>IF(OR($O1769=$M1769,$O1769=0,$O1769=""),"","* * Check Score! * *")</f>
        <v/>
      </c>
      <c r="M1769" s="1896">
        <v>3</v>
      </c>
      <c r="N1769" s="1940" t="s">
        <v>1936</v>
      </c>
      <c r="O1769" s="1923">
        <f>'Part IX Scoring Criteria'!O114</f>
        <v>0</v>
      </c>
      <c r="P1769" s="1923"/>
      <c r="Q1769" s="1843" t="str">
        <f>IF(OR($O1769=$M1769,$O1769=0,$O1769=""),"","*CHECK!*")</f>
        <v/>
      </c>
      <c r="R1769" s="1823" t="s">
        <v>4767</v>
      </c>
    </row>
    <row r="1770" spans="1:20" s="1951" customFormat="1" ht="11.25" customHeight="1">
      <c r="A1770" s="1815"/>
      <c r="B1770" s="1945" t="s">
        <v>4592</v>
      </c>
      <c r="D1770" s="449"/>
      <c r="E1770" s="449"/>
      <c r="F1770" s="1896"/>
      <c r="G1770" s="1896"/>
      <c r="H1770" s="1896"/>
      <c r="I1770" s="1896"/>
      <c r="J1770" s="1908"/>
      <c r="K1770" s="1908"/>
      <c r="L1770" s="1908"/>
      <c r="M1770" s="1229"/>
      <c r="N1770" s="1896"/>
      <c r="O1770" s="1229">
        <f>'Part IX Scoring Criteria'!O115</f>
        <v>0</v>
      </c>
      <c r="P1770" s="1229"/>
    </row>
    <row r="1771" spans="1:20" s="449" customFormat="1" ht="21.6" customHeight="1">
      <c r="A1771" s="1940"/>
      <c r="B1771" s="1936" t="s">
        <v>4728</v>
      </c>
      <c r="C1771" s="1936"/>
      <c r="D1771" s="1956" t="str">
        <f>'Part IX Scoring Criteria'!D116</f>
        <v xml:space="preserve"> </v>
      </c>
      <c r="E1771" s="1956"/>
      <c r="F1771" s="1956"/>
      <c r="G1771" s="1956"/>
      <c r="H1771" s="1956"/>
      <c r="I1771" s="1956"/>
      <c r="J1771" s="1956"/>
      <c r="K1771" s="1956"/>
      <c r="L1771" s="1956"/>
      <c r="M1771" s="1956"/>
      <c r="N1771" s="1956"/>
      <c r="O1771" s="1956"/>
      <c r="P1771" s="1956"/>
      <c r="Q1771" s="2125"/>
      <c r="R1771" s="2125"/>
      <c r="S1771" s="2125"/>
      <c r="T1771" s="2125"/>
    </row>
    <row r="1772" spans="1:20" s="1947" customFormat="1" ht="21.6" customHeight="1">
      <c r="A1772" s="1904"/>
      <c r="B1772" s="1936" t="s">
        <v>4306</v>
      </c>
      <c r="C1772" s="1936"/>
      <c r="D1772" s="1936"/>
      <c r="E1772" s="1956">
        <f>'Part IX Scoring Criteria'!E117</f>
        <v>0</v>
      </c>
      <c r="F1772" s="1956"/>
      <c r="G1772" s="1956"/>
      <c r="H1772" s="1956"/>
      <c r="I1772" s="1956"/>
      <c r="J1772" s="1956"/>
      <c r="K1772" s="1956"/>
      <c r="L1772" s="1956"/>
      <c r="M1772" s="1956"/>
      <c r="N1772" s="1956"/>
      <c r="O1772" s="1956"/>
      <c r="P1772" s="1956"/>
      <c r="Q1772" s="2125"/>
      <c r="R1772" s="2125"/>
      <c r="S1772" s="2125"/>
      <c r="T1772" s="2125"/>
    </row>
    <row r="1773" spans="1:20" s="1951" customFormat="1" ht="2.25" customHeight="1">
      <c r="A1773" s="1815"/>
      <c r="D1773" s="449"/>
      <c r="E1773" s="449"/>
      <c r="F1773" s="1896"/>
      <c r="G1773" s="1896"/>
      <c r="H1773" s="1896"/>
      <c r="I1773" s="1896"/>
      <c r="J1773" s="1908"/>
      <c r="K1773" s="1908"/>
      <c r="L1773" s="1908"/>
      <c r="M1773" s="1229"/>
      <c r="N1773" s="1896"/>
      <c r="O1773" s="1874"/>
      <c r="P1773" s="1923"/>
    </row>
    <row r="1774" spans="1:20" s="1947" customFormat="1" ht="12.75" customHeight="1">
      <c r="A1774" s="1904" t="s">
        <v>1938</v>
      </c>
      <c r="B1774" s="1897" t="s">
        <v>3729</v>
      </c>
      <c r="L1774" s="1732" t="str">
        <f>IF(OR($O1774=$M1774,$O1774=0,$O1774=""),"","* * Check Score! * *")</f>
        <v/>
      </c>
      <c r="M1774" s="1732">
        <v>3</v>
      </c>
      <c r="N1774" s="1940" t="s">
        <v>1938</v>
      </c>
      <c r="O1774" s="1923">
        <f>'Part IX Scoring Criteria'!O119</f>
        <v>3</v>
      </c>
      <c r="P1774" s="1923"/>
      <c r="Q1774" s="1843" t="str">
        <f>IF(OR($O1774=$M1774,$O1774=0,$O1774=""),"","*CHECK!*")</f>
        <v/>
      </c>
      <c r="R1774" s="1823" t="s">
        <v>4767</v>
      </c>
      <c r="S1774" s="2125"/>
      <c r="T1774" s="2125"/>
    </row>
    <row r="1775" spans="1:20" s="1947" customFormat="1" ht="10.5" customHeight="1">
      <c r="A1775" s="1904"/>
      <c r="B1775" s="449" t="s">
        <v>4503</v>
      </c>
      <c r="E1775" s="449"/>
      <c r="F1775" s="449"/>
      <c r="G1775" s="449"/>
      <c r="M1775" s="1732"/>
      <c r="N1775" s="1732"/>
      <c r="O1775" s="1229" t="str">
        <f>'Part IX Scoring Criteria'!O120</f>
        <v>Yes</v>
      </c>
      <c r="P1775" s="1229"/>
      <c r="Q1775" s="2125"/>
      <c r="R1775" s="2125"/>
      <c r="S1775" s="2125"/>
      <c r="T1775" s="2125"/>
    </row>
    <row r="1776" spans="1:20" s="1950" customFormat="1" ht="21" customHeight="1">
      <c r="A1776" s="1982"/>
      <c r="B1776" s="2168" t="s">
        <v>1939</v>
      </c>
      <c r="C1776" s="1936" t="s">
        <v>4612</v>
      </c>
      <c r="D1776" s="1956" t="s">
        <v>4306</v>
      </c>
      <c r="E1776" s="1956"/>
      <c r="F1776" s="1956"/>
      <c r="G1776" s="1956" t="str">
        <f>'Part IX Scoring Criteria'!G121</f>
        <v xml:space="preserve">Piedmont Columbus Regional </v>
      </c>
      <c r="H1776" s="1956"/>
      <c r="I1776" s="1956"/>
      <c r="J1776" s="1956"/>
      <c r="K1776" s="1956"/>
      <c r="L1776" s="1956"/>
      <c r="M1776" s="1956"/>
      <c r="N1776" s="1956"/>
      <c r="O1776" s="1956"/>
      <c r="P1776" s="1956"/>
      <c r="Q1776" s="2169"/>
      <c r="R1776" s="2169"/>
      <c r="S1776" s="2169"/>
      <c r="T1776" s="2169"/>
    </row>
    <row r="1777" spans="1:21" s="1947" customFormat="1" ht="10.5" customHeight="1">
      <c r="A1777" s="1904"/>
      <c r="B1777" s="449"/>
      <c r="C1777" s="449" t="s">
        <v>4616</v>
      </c>
      <c r="E1777" s="449"/>
      <c r="F1777" s="449"/>
      <c r="G1777" s="449"/>
      <c r="M1777" s="1896"/>
      <c r="N1777" s="1942" t="s">
        <v>4808</v>
      </c>
      <c r="O1777" s="1229" t="str">
        <f>'Part IX Scoring Criteria'!O122</f>
        <v>Yes</v>
      </c>
      <c r="P1777" s="1229"/>
      <c r="Q1777" s="2125"/>
      <c r="R1777" s="2125"/>
      <c r="S1777" s="2125"/>
      <c r="T1777" s="2125"/>
    </row>
    <row r="1778" spans="1:21" s="449" customFormat="1" ht="10.5" customHeight="1">
      <c r="A1778" s="1940"/>
      <c r="B1778" s="1969"/>
      <c r="C1778" s="449" t="s">
        <v>4617</v>
      </c>
      <c r="M1778" s="1229"/>
      <c r="N1778" s="1940" t="s">
        <v>2373</v>
      </c>
      <c r="O1778" s="1229" t="str">
        <f>'Part IX Scoring Criteria'!O123</f>
        <v>Yes</v>
      </c>
      <c r="P1778" s="1229"/>
      <c r="Q1778" s="2125"/>
      <c r="R1778" s="2125"/>
      <c r="S1778" s="2125"/>
      <c r="T1778" s="2125"/>
    </row>
    <row r="1779" spans="1:21" s="1945" customFormat="1" ht="10.5" customHeight="1">
      <c r="A1779" s="1940"/>
      <c r="C1779" s="1945" t="s">
        <v>3804</v>
      </c>
      <c r="E1779" s="449"/>
      <c r="F1779" s="449"/>
      <c r="G1779" s="449"/>
      <c r="L1779" s="1945" t="s">
        <v>3616</v>
      </c>
      <c r="O1779" s="1945" t="s">
        <v>3615</v>
      </c>
      <c r="Q1779" s="449"/>
    </row>
    <row r="1780" spans="1:21" s="1945" customFormat="1" ht="10.95" customHeight="1">
      <c r="A1780" s="1940"/>
      <c r="B1780" s="1940"/>
      <c r="C1780" s="1956" t="str">
        <f>'Part IX Scoring Criteria'!C125</f>
        <v>Blood Pressure Screenings</v>
      </c>
      <c r="D1780" s="1956"/>
      <c r="E1780" s="1956"/>
      <c r="F1780" s="1956"/>
      <c r="G1780" s="1956"/>
      <c r="H1780" s="1956"/>
      <c r="I1780" s="1956"/>
      <c r="J1780" s="1956"/>
      <c r="K1780" s="1956"/>
      <c r="L1780" s="1936" t="str">
        <f>'Part IX Scoring Criteria'!L125</f>
        <v>monthly</v>
      </c>
      <c r="M1780" s="1936"/>
      <c r="N1780" s="1936"/>
      <c r="O1780" s="2231">
        <f>'Part IX Scoring Criteria'!O125</f>
        <v>0</v>
      </c>
      <c r="P1780" s="2231"/>
      <c r="Q1780" s="449" t="str">
        <f>IF(O1780&gt;15, "Too much!","")</f>
        <v/>
      </c>
    </row>
    <row r="1781" spans="1:21" s="1945" customFormat="1" ht="10.95" customHeight="1">
      <c r="A1781" s="1940"/>
      <c r="B1781" s="1942"/>
      <c r="C1781" s="1956" t="str">
        <f>'Part IX Scoring Criteria'!C126</f>
        <v xml:space="preserve">Health Education for Residents </v>
      </c>
      <c r="D1781" s="1956"/>
      <c r="E1781" s="1956"/>
      <c r="F1781" s="1956"/>
      <c r="G1781" s="1956"/>
      <c r="H1781" s="1956"/>
      <c r="I1781" s="1956"/>
      <c r="J1781" s="1956"/>
      <c r="K1781" s="1956"/>
      <c r="L1781" s="1936" t="str">
        <f>'Part IX Scoring Criteria'!L126</f>
        <v>monthly</v>
      </c>
      <c r="M1781" s="1936"/>
      <c r="N1781" s="1936"/>
      <c r="O1781" s="2231">
        <f>'Part IX Scoring Criteria'!O126</f>
        <v>0</v>
      </c>
      <c r="P1781" s="2231"/>
      <c r="Q1781" s="449" t="str">
        <f>IF(O1781&gt;15, "Too much!","")</f>
        <v/>
      </c>
    </row>
    <row r="1782" spans="1:21" s="1945" customFormat="1" ht="10.95" customHeight="1">
      <c r="A1782" s="1940"/>
      <c r="B1782" s="1940"/>
      <c r="C1782" s="1956">
        <f>'Part IX Scoring Criteria'!C127</f>
        <v>0</v>
      </c>
      <c r="D1782" s="1956"/>
      <c r="E1782" s="1956"/>
      <c r="F1782" s="1956"/>
      <c r="G1782" s="1956"/>
      <c r="H1782" s="1956"/>
      <c r="I1782" s="1956"/>
      <c r="J1782" s="1956"/>
      <c r="K1782" s="1956"/>
      <c r="L1782" s="1936" t="str">
        <f>'Part IX Scoring Criteria'!L127</f>
        <v>&lt;&lt; Select &gt;&gt;</v>
      </c>
      <c r="M1782" s="1936"/>
      <c r="N1782" s="1936"/>
      <c r="O1782" s="2231">
        <f>'Part IX Scoring Criteria'!O127</f>
        <v>0</v>
      </c>
      <c r="P1782" s="2231"/>
      <c r="Q1782" s="449" t="str">
        <f>IF(O1782&gt;15, "Too much!","")</f>
        <v/>
      </c>
    </row>
    <row r="1783" spans="1:21" s="1945" customFormat="1" ht="10.95" customHeight="1">
      <c r="A1783" s="1940"/>
      <c r="B1783" s="1940"/>
      <c r="C1783" s="1956">
        <f>'Part IX Scoring Criteria'!C128</f>
        <v>0</v>
      </c>
      <c r="D1783" s="1956"/>
      <c r="E1783" s="1956"/>
      <c r="F1783" s="1956"/>
      <c r="G1783" s="1956"/>
      <c r="H1783" s="1956"/>
      <c r="I1783" s="1956"/>
      <c r="J1783" s="1956"/>
      <c r="K1783" s="1956"/>
      <c r="L1783" s="1936" t="str">
        <f>'Part IX Scoring Criteria'!L128</f>
        <v>&lt;&lt; Select &gt;&gt;</v>
      </c>
      <c r="M1783" s="1936"/>
      <c r="N1783" s="1936"/>
      <c r="O1783" s="2231">
        <f>'Part IX Scoring Criteria'!O128</f>
        <v>0</v>
      </c>
      <c r="P1783" s="2231"/>
      <c r="Q1783" s="449" t="str">
        <f>IF(O1783&gt;15, "Too much!","")</f>
        <v/>
      </c>
    </row>
    <row r="1784" spans="1:21" s="1947" customFormat="1" ht="10.5" customHeight="1">
      <c r="B1784" s="2167" t="s">
        <v>1941</v>
      </c>
      <c r="C1784" s="449" t="s">
        <v>4613</v>
      </c>
      <c r="D1784" s="449" t="s">
        <v>4618</v>
      </c>
      <c r="E1784" s="449"/>
      <c r="F1784" s="449"/>
      <c r="G1784" s="449"/>
      <c r="N1784" s="1942" t="s">
        <v>4809</v>
      </c>
      <c r="O1784" s="1229" t="str">
        <f>'Part IX Scoring Criteria'!O129</f>
        <v>Yes</v>
      </c>
      <c r="P1784" s="1229"/>
      <c r="Q1784" s="1822"/>
      <c r="R1784" s="1945"/>
      <c r="S1784" s="1945"/>
      <c r="T1784" s="1945"/>
      <c r="U1784" s="1945"/>
    </row>
    <row r="1785" spans="1:21" s="1947" customFormat="1" ht="10.5" customHeight="1">
      <c r="A1785" s="1904"/>
      <c r="B1785" s="449"/>
      <c r="D1785" s="449" t="s">
        <v>4619</v>
      </c>
      <c r="E1785" s="449"/>
      <c r="F1785" s="449"/>
      <c r="G1785" s="449"/>
      <c r="M1785" s="1896"/>
      <c r="N1785" s="1940" t="s">
        <v>2373</v>
      </c>
      <c r="O1785" s="1229" t="str">
        <f>'Part IX Scoring Criteria'!O130</f>
        <v>Yes</v>
      </c>
      <c r="P1785" s="1229"/>
      <c r="Q1785" s="1822"/>
      <c r="R1785" s="1945"/>
      <c r="S1785" s="1945"/>
      <c r="T1785" s="1945"/>
      <c r="U1785" s="1945"/>
    </row>
    <row r="1786" spans="1:21" s="1947" customFormat="1" ht="12.75" customHeight="1">
      <c r="A1786" s="1904" t="s">
        <v>731</v>
      </c>
      <c r="B1786" s="1897" t="s">
        <v>3617</v>
      </c>
      <c r="D1786" s="449"/>
      <c r="F1786" s="449"/>
      <c r="G1786" s="449"/>
      <c r="H1786" s="449"/>
      <c r="I1786" s="449"/>
      <c r="J1786" s="449"/>
      <c r="K1786" s="449"/>
      <c r="L1786" s="1732" t="str">
        <f>IF(OR($O1786=$M1786,$O1786=0,$O1786=""),"","* * Check Score! * *")</f>
        <v/>
      </c>
      <c r="M1786" s="1732">
        <v>1</v>
      </c>
      <c r="N1786" s="1960" t="s">
        <v>731</v>
      </c>
      <c r="O1786" s="1923">
        <f>'Part IX Scoring Criteria'!O131</f>
        <v>1</v>
      </c>
      <c r="P1786" s="1923"/>
      <c r="Q1786" s="1843" t="str">
        <f>IF(OR($O1786=$M1786,$O1786=0,$O1786=""),"","*CHECK!*")</f>
        <v/>
      </c>
      <c r="R1786" s="1823" t="s">
        <v>4767</v>
      </c>
      <c r="S1786" s="2125"/>
      <c r="T1786" s="2125"/>
      <c r="U1786" s="2125"/>
    </row>
    <row r="1787" spans="1:21" s="449" customFormat="1" ht="10.5" customHeight="1">
      <c r="A1787" s="1940"/>
      <c r="C1787" s="449" t="s">
        <v>4807</v>
      </c>
      <c r="D1787" s="2141"/>
      <c r="E1787" s="2141"/>
      <c r="F1787" s="2141"/>
      <c r="G1787" s="2141"/>
      <c r="H1787" s="2141"/>
      <c r="I1787" s="2141"/>
      <c r="J1787" s="2141"/>
      <c r="K1787" s="2141"/>
      <c r="L1787" s="2141"/>
      <c r="M1787" s="1229"/>
      <c r="O1787" s="1229" t="str">
        <f>'Part IX Scoring Criteria'!O132</f>
        <v>Agree</v>
      </c>
      <c r="P1787" s="1229"/>
      <c r="R1787" s="2125"/>
      <c r="S1787" s="2125"/>
      <c r="T1787" s="2125"/>
      <c r="U1787" s="2125"/>
    </row>
    <row r="1788" spans="1:21" s="449" customFormat="1" ht="10.5" customHeight="1">
      <c r="A1788" s="1940"/>
      <c r="B1788" s="2167" t="s">
        <v>1939</v>
      </c>
      <c r="C1788" s="1936" t="s">
        <v>6946</v>
      </c>
      <c r="D1788" s="1936"/>
      <c r="E1788" s="1936"/>
      <c r="F1788" s="2141"/>
      <c r="G1788" s="1908" t="s">
        <v>4813</v>
      </c>
      <c r="I1788" s="2141"/>
      <c r="J1788" s="2141"/>
      <c r="K1788" s="2141"/>
      <c r="L1788" s="2141"/>
      <c r="M1788" s="1940"/>
      <c r="N1788" s="1942" t="s">
        <v>4808</v>
      </c>
      <c r="O1788" s="1229" t="str">
        <f>'Part IX Scoring Criteria'!O133</f>
        <v>Yes</v>
      </c>
      <c r="P1788" s="1229"/>
      <c r="R1788" s="2125"/>
      <c r="S1788" s="2125"/>
      <c r="T1788" s="2125"/>
      <c r="U1788" s="2125"/>
    </row>
    <row r="1789" spans="1:21" s="449" customFormat="1" ht="10.5" customHeight="1">
      <c r="A1789" s="1940"/>
      <c r="B1789" s="1969"/>
      <c r="C1789" s="1936"/>
      <c r="D1789" s="1936"/>
      <c r="E1789" s="1936"/>
      <c r="F1789" s="2141"/>
      <c r="G1789" s="1908" t="s">
        <v>4810</v>
      </c>
      <c r="I1789" s="2141"/>
      <c r="J1789" s="2141"/>
      <c r="K1789" s="2141"/>
      <c r="L1789" s="2141"/>
      <c r="M1789" s="1229"/>
      <c r="N1789" s="1940" t="s">
        <v>2373</v>
      </c>
      <c r="O1789" s="1229" t="str">
        <f>'Part IX Scoring Criteria'!O134</f>
        <v>Yes</v>
      </c>
      <c r="P1789" s="1229"/>
      <c r="R1789" s="2125"/>
      <c r="S1789" s="2125"/>
      <c r="T1789" s="2125"/>
      <c r="U1789" s="2125"/>
    </row>
    <row r="1790" spans="1:21" s="449" customFormat="1" ht="10.5" customHeight="1">
      <c r="A1790" s="1940"/>
      <c r="B1790" s="1969"/>
      <c r="C1790" s="1936"/>
      <c r="D1790" s="1936"/>
      <c r="E1790" s="1936"/>
      <c r="F1790" s="2141"/>
      <c r="G1790" s="1908" t="s">
        <v>4811</v>
      </c>
      <c r="I1790" s="2141"/>
      <c r="J1790" s="2141"/>
      <c r="K1790" s="2141"/>
      <c r="L1790" s="2141"/>
      <c r="M1790" s="1229"/>
      <c r="N1790" s="1940" t="s">
        <v>2374</v>
      </c>
      <c r="O1790" s="1229" t="str">
        <f>'Part IX Scoring Criteria'!O135</f>
        <v>Yes</v>
      </c>
      <c r="P1790" s="1229"/>
      <c r="R1790" s="2125"/>
      <c r="S1790" s="2125"/>
      <c r="T1790" s="2125"/>
      <c r="U1790" s="2125"/>
    </row>
    <row r="1791" spans="1:21" s="449" customFormat="1" ht="10.5" customHeight="1">
      <c r="A1791" s="1940"/>
      <c r="B1791" s="1969"/>
      <c r="D1791" s="2141"/>
      <c r="E1791" s="2141"/>
      <c r="F1791" s="2141"/>
      <c r="G1791" s="1908" t="s">
        <v>4812</v>
      </c>
      <c r="I1791" s="2141"/>
      <c r="J1791" s="2141"/>
      <c r="K1791" s="2141"/>
      <c r="L1791" s="2141"/>
      <c r="M1791" s="1229"/>
      <c r="N1791" s="1940" t="s">
        <v>2375</v>
      </c>
      <c r="O1791" s="1229" t="str">
        <f>'Part IX Scoring Criteria'!O136</f>
        <v>Yes</v>
      </c>
      <c r="P1791" s="1229"/>
      <c r="R1791" s="2125"/>
      <c r="S1791" s="2125"/>
      <c r="T1791" s="2125"/>
      <c r="U1791" s="2125"/>
    </row>
    <row r="1792" spans="1:21" s="449" customFormat="1" ht="10.5" customHeight="1">
      <c r="A1792" s="1940"/>
      <c r="B1792" s="1969"/>
      <c r="D1792" s="2141"/>
      <c r="E1792" s="2141"/>
      <c r="F1792" s="2141"/>
      <c r="G1792" s="1908" t="s">
        <v>4814</v>
      </c>
      <c r="I1792" s="2141"/>
      <c r="J1792" s="2141"/>
      <c r="K1792" s="2141"/>
      <c r="L1792" s="2141"/>
      <c r="M1792" s="1229"/>
      <c r="N1792" s="1940" t="s">
        <v>2376</v>
      </c>
      <c r="O1792" s="1229" t="str">
        <f>'Part IX Scoring Criteria'!O137</f>
        <v>Yes</v>
      </c>
      <c r="P1792" s="1229"/>
    </row>
    <row r="1793" spans="1:23" s="449" customFormat="1" ht="10.5" customHeight="1">
      <c r="A1793" s="1940"/>
      <c r="C1793" s="449" t="s">
        <v>4815</v>
      </c>
      <c r="D1793" s="2141"/>
      <c r="E1793" s="2141"/>
      <c r="F1793" s="2141"/>
      <c r="G1793" s="2141"/>
      <c r="H1793" s="2141"/>
      <c r="I1793" s="2141"/>
      <c r="J1793" s="2141"/>
      <c r="K1793" s="2141"/>
      <c r="L1793" s="2141"/>
      <c r="M1793" s="1229"/>
      <c r="O1793" s="1229" t="str">
        <f>'Part IX Scoring Criteria'!O138</f>
        <v>Agree</v>
      </c>
      <c r="P1793" s="1229"/>
      <c r="R1793" s="2125"/>
      <c r="S1793" s="2125"/>
      <c r="T1793" s="2125"/>
      <c r="U1793" s="2125"/>
    </row>
    <row r="1794" spans="1:23" s="449" customFormat="1" ht="10.5" customHeight="1">
      <c r="A1794" s="1940"/>
      <c r="B1794" s="2167" t="s">
        <v>1941</v>
      </c>
      <c r="C1794" s="1908" t="s">
        <v>6947</v>
      </c>
      <c r="D1794" s="2141"/>
      <c r="E1794" s="2141"/>
      <c r="F1794" s="2141"/>
      <c r="G1794" s="2141"/>
      <c r="H1794" s="2141"/>
      <c r="I1794" s="2141"/>
      <c r="J1794" s="2141"/>
      <c r="K1794" s="2141"/>
      <c r="L1794" s="2141"/>
      <c r="M1794" s="1940"/>
      <c r="N1794" s="1960" t="s">
        <v>1941</v>
      </c>
      <c r="O1794" s="1229" t="str">
        <f>'Part IX Scoring Criteria'!O139</f>
        <v>Yes</v>
      </c>
      <c r="P1794" s="1229"/>
    </row>
    <row r="1795" spans="1:23" s="1945" customFormat="1" ht="10.5" customHeight="1">
      <c r="A1795" s="1940"/>
      <c r="B1795" s="1968"/>
      <c r="C1795" s="1945" t="s">
        <v>3624</v>
      </c>
      <c r="E1795" s="449"/>
      <c r="F1795" s="449"/>
      <c r="G1795" s="1945" t="s">
        <v>3806</v>
      </c>
      <c r="Q1795" s="449"/>
    </row>
    <row r="1796" spans="1:23" s="1945" customFormat="1" ht="21" customHeight="1">
      <c r="B1796" s="1940"/>
      <c r="C1796" s="1956" t="str">
        <f>'Part IX Scoring Criteria'!C141</f>
        <v>Healthy Eating Newsletter</v>
      </c>
      <c r="D1796" s="1956"/>
      <c r="E1796" s="1956"/>
      <c r="F1796" s="1956"/>
      <c r="G1796" s="1956" t="str">
        <f>'Part IX Scoring Criteria'!G141</f>
        <v xml:space="preserve">This newsletter will cover a wide variety of topics that will include a variety of topics including the benefits of fresh fruits and vegetables, dangers of fast food, healthy ways to lose weight and how food directly affects one’s physical well-being.  </v>
      </c>
      <c r="H1796" s="1956"/>
      <c r="I1796" s="1956"/>
      <c r="J1796" s="1956"/>
      <c r="K1796" s="1956"/>
      <c r="L1796" s="1956"/>
      <c r="M1796" s="1956"/>
      <c r="N1796" s="1956"/>
      <c r="O1796" s="1956"/>
      <c r="P1796" s="1956"/>
      <c r="Q1796" s="449"/>
    </row>
    <row r="1797" spans="1:23" s="1945" customFormat="1" ht="21" customHeight="1">
      <c r="A1797" s="1940"/>
      <c r="B1797" s="1942"/>
      <c r="C1797" s="1956" t="str">
        <f>'Part IX Scoring Criteria'!C142</f>
        <v>Choose My Plate</v>
      </c>
      <c r="D1797" s="1956"/>
      <c r="E1797" s="1956"/>
      <c r="F1797" s="1956"/>
      <c r="G1797" s="1956" t="str">
        <f>'Part IX Scoring Criteria'!G142</f>
        <v xml:space="preserve">Choose My Plate is a free online resource. This program focuses on learning a healthy eating style that incorporates the following elements: (1) choosing an eating style low in saturated fat, sodium, and added sugars (2) focus on variety, amount and nutrition, and (3) start with small changes. </v>
      </c>
      <c r="H1797" s="1956"/>
      <c r="I1797" s="1956"/>
      <c r="J1797" s="1956"/>
      <c r="K1797" s="1956"/>
      <c r="L1797" s="1956"/>
      <c r="M1797" s="1956"/>
      <c r="N1797" s="1956"/>
      <c r="O1797" s="1956"/>
      <c r="P1797" s="1956"/>
      <c r="Q1797" s="449"/>
    </row>
    <row r="1798" spans="1:23" s="1945" customFormat="1" ht="21" customHeight="1">
      <c r="B1798" s="1822"/>
      <c r="C1798" s="1956" t="str">
        <f>'Part IX Scoring Criteria'!C143</f>
        <v>Food Network</v>
      </c>
      <c r="D1798" s="1956"/>
      <c r="E1798" s="1956"/>
      <c r="F1798" s="1956"/>
      <c r="G1798" s="1956" t="str">
        <f>'Part IX Scoring Criteria'!G143</f>
        <v xml:space="preserve">Food Network is a free online resource. Sample topics on the site include the following: (1) Your Friend the Freezer, (2) Beans: Vegetarian Protein, (3) Savings at the Butcher, (4) Affordable Super Foods, and (5) Chef's Dollar Stretching Tips. </v>
      </c>
      <c r="H1798" s="1956"/>
      <c r="I1798" s="1956"/>
      <c r="J1798" s="1956"/>
      <c r="K1798" s="1956"/>
      <c r="L1798" s="1956"/>
      <c r="M1798" s="1956"/>
      <c r="N1798" s="1956"/>
      <c r="O1798" s="1956"/>
      <c r="P1798" s="1956"/>
      <c r="Q1798" s="449"/>
    </row>
    <row r="1799" spans="1:23" s="1945" customFormat="1" ht="21" customHeight="1">
      <c r="A1799" s="1822"/>
      <c r="B1799" s="1822"/>
      <c r="C1799" s="1956">
        <f>'Part IX Scoring Criteria'!C144</f>
        <v>0</v>
      </c>
      <c r="D1799" s="1956"/>
      <c r="E1799" s="1956"/>
      <c r="F1799" s="1956"/>
      <c r="G1799" s="1956">
        <f>'Part IX Scoring Criteria'!G144</f>
        <v>0</v>
      </c>
      <c r="H1799" s="1956"/>
      <c r="I1799" s="1956"/>
      <c r="J1799" s="1956"/>
      <c r="K1799" s="1956"/>
      <c r="L1799" s="1956"/>
      <c r="M1799" s="1956"/>
      <c r="N1799" s="1956"/>
      <c r="O1799" s="1956"/>
      <c r="P1799" s="1956"/>
      <c r="Q1799" s="449"/>
    </row>
    <row r="1800" spans="1:23" s="1951" customFormat="1" ht="11.25" customHeight="1">
      <c r="A1800" s="1815"/>
      <c r="B1800" s="449" t="s">
        <v>3566</v>
      </c>
      <c r="C1800" s="1815"/>
      <c r="D1800" s="1897"/>
      <c r="E1800" s="1897"/>
      <c r="F1800" s="1897"/>
      <c r="G1800" s="1897"/>
      <c r="H1800" s="449"/>
      <c r="K1800" s="1897"/>
      <c r="M1800" s="1896"/>
      <c r="N1800" s="1874"/>
      <c r="O1800" s="1923"/>
      <c r="P1800" s="1874"/>
    </row>
    <row r="1801" spans="1:23" s="1951" customFormat="1" ht="29.25" customHeight="1">
      <c r="A1801" s="1936" t="str">
        <f>'Part IX Scoring Criteria'!A146</f>
        <v xml:space="preserve">Applicant is claiming points in this section for Preventative Health Care (3 points) and Healthy Eating Initiative (1 point).  Applicant has committed to promote and measure residents' positive health outcomes with these initiatives.  Blood Pressure Screenings and  resident education are two ways Harper Woods II intends to carry out its Healthy Way program.  Through a partnership with Piedmont Columbus Regional, on-site, monthly blood pressure screenings, will be offered to tenants by their Mobile Unit.  The results of these screenings may be used to identify potential cardiovascular issues such as hypertension, hypotension, heart disease or other conditions.   Another service offered by the Mobile Unit is Ask A Nurse. Through this program, tenants will have the opportunity to talk to a registered nurse about important health issues and will receive referrals based on these conversations.   The convenience of monthly onsite visits from the Mobile Unit will promote early intervention and referrals as necessary.   As the next step, Healthy Way will work to improve participants’ knowledge about what those numbers mean, associated health implications and risks, and how to work on certain behaviors to improve their numbers and manage their blood pressure.  Participants will receive informational pamphlets from the staff of the Mobile Unit which detail the health topics discussed and offer information on health resources.   Residents will be encouraged to utilize Empowered to Serve, an online resource offering health lessons, work out videos and numerous articles relating to a healthy lifestyle.  
Tenants will also enjoy free monthly healthy eating newsletter and free online healthy eating resources.  The project will have a community garden accessible to all residents. This garden is noted on the CSP1. and CSP3. in TAB 15.  The Applicant will ensure that the basic organization and managment of the garden is maintained.      Harper Woods II will track outcomes of tenants' progress and provide DCA with an annual report regarding the biometric screenings and other required performance measurements.  See TAB 29 for required documentation.  Applicant is claiming a total of 4 points in this category.  </v>
      </c>
      <c r="B1801" s="1936"/>
      <c r="C1801" s="1936"/>
      <c r="D1801" s="1936"/>
      <c r="E1801" s="1936"/>
      <c r="F1801" s="1936"/>
      <c r="G1801" s="1936"/>
      <c r="H1801" s="1936"/>
      <c r="I1801" s="1936"/>
      <c r="J1801" s="1936"/>
      <c r="K1801" s="1936"/>
      <c r="L1801" s="1936"/>
      <c r="M1801" s="1936"/>
      <c r="N1801" s="1936"/>
      <c r="O1801" s="1936"/>
      <c r="P1801" s="1936"/>
      <c r="Q1801" s="1973" t="s">
        <v>1228</v>
      </c>
      <c r="R1801" s="1973"/>
    </row>
    <row r="1802" spans="1:23" s="1951" customFormat="1" ht="10.199999999999999" customHeight="1">
      <c r="B1802" s="1822" t="s">
        <v>3819</v>
      </c>
      <c r="C1802" s="1815"/>
      <c r="D1802" s="1936"/>
      <c r="E1802" s="1939"/>
      <c r="F1802" s="1939"/>
      <c r="G1802" s="1939"/>
      <c r="H1802" s="1939"/>
      <c r="I1802" s="1939"/>
      <c r="J1802" s="1939"/>
      <c r="K1802" s="1939"/>
      <c r="L1802" s="1939"/>
      <c r="M1802" s="1939"/>
      <c r="N1802" s="1967"/>
      <c r="O1802" s="1967"/>
      <c r="P1802" s="1896"/>
    </row>
    <row r="1803" spans="1:23" s="1951" customFormat="1" ht="11.25" customHeight="1">
      <c r="A1803" s="1936"/>
      <c r="B1803" s="1936"/>
      <c r="C1803" s="1936"/>
      <c r="D1803" s="1936"/>
      <c r="E1803" s="1936"/>
      <c r="F1803" s="1936"/>
      <c r="G1803" s="1936"/>
      <c r="H1803" s="1936"/>
      <c r="I1803" s="1936"/>
      <c r="J1803" s="1936"/>
      <c r="K1803" s="1936"/>
      <c r="L1803" s="1936"/>
      <c r="M1803" s="1936"/>
      <c r="N1803" s="1936"/>
      <c r="O1803" s="1936"/>
      <c r="P1803" s="1936"/>
      <c r="Q1803" s="1973"/>
    </row>
    <row r="1804" spans="1:23" s="1951" customFormat="1" ht="3" customHeight="1">
      <c r="A1804" s="1815"/>
      <c r="C1804" s="1939"/>
      <c r="D1804" s="1939"/>
      <c r="E1804" s="1939"/>
      <c r="F1804" s="1939"/>
      <c r="G1804" s="1939"/>
      <c r="H1804" s="1939"/>
      <c r="I1804" s="1939"/>
      <c r="J1804" s="1939"/>
      <c r="K1804" s="1939"/>
      <c r="L1804" s="1939"/>
      <c r="M1804" s="1939"/>
      <c r="N1804" s="1967"/>
      <c r="O1804" s="1967"/>
      <c r="P1804" s="1896"/>
    </row>
    <row r="1805" spans="1:23" s="1951" customFormat="1" ht="13.5" customHeight="1">
      <c r="A1805" s="2150" t="s">
        <v>516</v>
      </c>
      <c r="B1805" s="1815" t="s">
        <v>3715</v>
      </c>
      <c r="C1805" s="1939"/>
      <c r="D1805" s="1939"/>
      <c r="E1805" s="1939"/>
      <c r="F1805" s="1939"/>
      <c r="G1805" s="1939"/>
      <c r="H1805" s="1939"/>
      <c r="I1805" s="1939"/>
      <c r="J1805" s="1939"/>
      <c r="K1805" s="1939"/>
      <c r="L1805" s="1939"/>
      <c r="M1805" s="1896">
        <v>5</v>
      </c>
      <c r="N1805" s="1967"/>
      <c r="O1805" s="1923">
        <f>'Part IX Scoring Criteria'!O150</f>
        <v>1</v>
      </c>
      <c r="P1805" s="1923">
        <f>'Part IX Scoring Criteria'!P150</f>
        <v>0</v>
      </c>
      <c r="Q1805" s="1896" t="s">
        <v>433</v>
      </c>
      <c r="S1805" s="1951">
        <f>IF(NOT(R1818=T1818),0,IF(OR('Part VI-Revenues &amp; Expenses'!$P$67=0,$V$163=0),0,IF(AND($F$157="Family",$V$163=$T$163),3,IF($V$163=$T$163,2,IF(OR($V$163=2,$V$163=1),1,0)))))</f>
        <v>0</v>
      </c>
    </row>
    <row r="1806" spans="1:23" s="1951" customFormat="1" ht="3.75" customHeight="1">
      <c r="A1806" s="1815"/>
      <c r="C1806" s="1939"/>
      <c r="D1806" s="1939"/>
      <c r="E1806" s="1939"/>
      <c r="F1806" s="1939"/>
      <c r="G1806" s="1939"/>
      <c r="H1806" s="1939"/>
      <c r="I1806" s="1939"/>
      <c r="J1806" s="1939"/>
      <c r="K1806" s="1939"/>
      <c r="L1806" s="1939"/>
      <c r="M1806" s="1939"/>
      <c r="N1806" s="1967"/>
      <c r="O1806" s="1967"/>
      <c r="P1806" s="1896"/>
    </row>
    <row r="1807" spans="1:23" s="1947" customFormat="1" ht="13.5" customHeight="1">
      <c r="A1807" s="1904" t="s">
        <v>1936</v>
      </c>
      <c r="B1807" s="1815" t="s">
        <v>3730</v>
      </c>
      <c r="D1807" s="1962"/>
      <c r="E1807" s="1962"/>
      <c r="G1807" s="1962"/>
      <c r="H1807" s="1962"/>
      <c r="I1807" s="1962"/>
      <c r="J1807" s="1962"/>
      <c r="K1807" s="1962"/>
      <c r="L1807" s="1962"/>
      <c r="M1807" s="1896">
        <v>3</v>
      </c>
      <c r="N1807" s="1960"/>
      <c r="O1807" s="1896">
        <f>'Part IX Scoring Criteria'!O152</f>
        <v>1</v>
      </c>
      <c r="P1807" s="1896"/>
      <c r="Q1807" s="1843" t="str">
        <f>IF(OR($O1807=$M1807,$O1807=0,$O1807=""),"","*CHECK!*")</f>
        <v>*CHECK!*</v>
      </c>
      <c r="R1807" s="1823" t="s">
        <v>4767</v>
      </c>
    </row>
    <row r="1808" spans="1:23" s="1951" customFormat="1" ht="12" customHeight="1">
      <c r="B1808" s="1908" t="s">
        <v>3620</v>
      </c>
      <c r="C1808" s="1944"/>
      <c r="D1808" s="1944"/>
      <c r="E1808" s="1944"/>
      <c r="F1808" s="1944"/>
      <c r="G1808" s="1944"/>
      <c r="H1808" s="1944"/>
      <c r="I1808" s="1944"/>
      <c r="J1808" s="1944"/>
      <c r="K1808" s="1944"/>
      <c r="L1808" s="1944"/>
      <c r="M1808" s="1944"/>
      <c r="N1808" s="1944"/>
      <c r="O1808" s="1229" t="str">
        <f>'Part IX Scoring Criteria'!O153</f>
        <v>Yes</v>
      </c>
      <c r="P1808" s="1229"/>
      <c r="Q1808" s="1815" t="s">
        <v>4593</v>
      </c>
      <c r="R1808" s="1815"/>
      <c r="S1808" s="1815"/>
      <c r="T1808" s="1815"/>
      <c r="U1808" s="1815"/>
      <c r="V1808" s="1815"/>
      <c r="W1808" s="1815"/>
    </row>
    <row r="1809" spans="1:36" s="1951" customFormat="1" ht="3" customHeight="1">
      <c r="A1809" s="1904"/>
      <c r="B1809" s="1945"/>
      <c r="C1809" s="1945"/>
      <c r="D1809" s="1945"/>
      <c r="E1809" s="1945"/>
      <c r="F1809" s="1945"/>
      <c r="G1809" s="1945"/>
      <c r="H1809" s="1945"/>
      <c r="I1809" s="1945"/>
      <c r="J1809" s="1945"/>
      <c r="K1809" s="1945"/>
      <c r="L1809" s="1945"/>
      <c r="M1809" s="1945"/>
      <c r="Q1809" s="1815"/>
      <c r="R1809" s="1815"/>
      <c r="S1809" s="1815"/>
      <c r="T1809" s="1815"/>
      <c r="U1809" s="1815"/>
      <c r="V1809" s="1815"/>
      <c r="W1809" s="1815"/>
    </row>
    <row r="1810" spans="1:36" s="1951" customFormat="1" ht="11.25" customHeight="1">
      <c r="A1810" s="1904"/>
      <c r="B1810" s="1936" t="s">
        <v>6948</v>
      </c>
      <c r="C1810" s="1936"/>
      <c r="D1810" s="1936"/>
      <c r="E1810" s="449" t="s">
        <v>3619</v>
      </c>
      <c r="F1810" s="1947"/>
      <c r="G1810" s="449"/>
      <c r="H1810" s="1947"/>
      <c r="I1810" s="449" t="str">
        <f>'Part IX Scoring Criteria'!I155</f>
        <v>Muscogee County School System</v>
      </c>
      <c r="J1810" s="449"/>
      <c r="K1810" s="449"/>
      <c r="L1810" s="449"/>
      <c r="Q1810" s="1815"/>
      <c r="R1810" s="1815"/>
      <c r="S1810" s="1815"/>
      <c r="T1810" s="1815"/>
      <c r="U1810" s="1815"/>
      <c r="V1810" s="1815"/>
      <c r="W1810" s="1815"/>
    </row>
    <row r="1811" spans="1:36" s="1951" customFormat="1" ht="11.25" customHeight="1">
      <c r="A1811" s="1904"/>
      <c r="B1811" s="1936"/>
      <c r="C1811" s="1936"/>
      <c r="D1811" s="1936"/>
      <c r="E1811" s="1908" t="s">
        <v>4308</v>
      </c>
      <c r="F1811" s="1732"/>
      <c r="G1811" s="1947"/>
      <c r="H1811" s="1947"/>
      <c r="I1811" s="1908"/>
      <c r="J1811" s="1908"/>
      <c r="K1811" s="1908"/>
      <c r="L1811" s="1908"/>
      <c r="M1811" s="1947"/>
      <c r="N1811" s="449"/>
      <c r="O1811" s="1229" t="str">
        <f>'Part IX Scoring Criteria'!O156</f>
        <v>N/a</v>
      </c>
      <c r="P1811" s="1229"/>
      <c r="Q1811" s="1815"/>
      <c r="R1811" s="1815"/>
      <c r="S1811" s="1815"/>
      <c r="T1811" s="1815"/>
      <c r="U1811" s="1815"/>
      <c r="V1811" s="1815"/>
      <c r="W1811" s="1815"/>
    </row>
    <row r="1812" spans="1:36" s="1951" customFormat="1" ht="12" customHeight="1">
      <c r="A1812" s="1815"/>
      <c r="C1812" s="1939"/>
      <c r="D1812" s="1939"/>
      <c r="E1812" s="449" t="s">
        <v>4309</v>
      </c>
      <c r="F1812" s="1229" t="str">
        <f>'Part I-Project Information'!$H$82</f>
        <v>HFOP</v>
      </c>
      <c r="H1812" s="449"/>
      <c r="I1812" s="1939"/>
      <c r="J1812" s="1939"/>
      <c r="M1812" s="1939"/>
      <c r="N1812" s="1967"/>
      <c r="O1812" s="449" t="s">
        <v>6949</v>
      </c>
      <c r="P1812" s="449"/>
      <c r="Q1812" s="1815"/>
      <c r="R1812" s="1815"/>
      <c r="S1812" s="1815"/>
      <c r="T1812" s="1815"/>
      <c r="U1812" s="1815"/>
      <c r="V1812" s="1815"/>
      <c r="W1812" s="1815"/>
    </row>
    <row r="1813" spans="1:36" s="1945" customFormat="1" ht="3" customHeight="1">
      <c r="A1813" s="1955"/>
      <c r="B1813" s="1944"/>
      <c r="O1813" s="449"/>
      <c r="P1813" s="449"/>
      <c r="Q1813" s="1815"/>
      <c r="R1813" s="1815"/>
      <c r="S1813" s="1815"/>
      <c r="T1813" s="1815"/>
      <c r="U1813" s="1815"/>
      <c r="V1813" s="1815"/>
      <c r="W1813" s="1815"/>
    </row>
    <row r="1814" spans="1:36" s="1951" customFormat="1" ht="12" customHeight="1">
      <c r="A1814" s="1940" t="s">
        <v>2372</v>
      </c>
      <c r="B1814" s="1897" t="s">
        <v>4505</v>
      </c>
      <c r="C1814" s="1939"/>
      <c r="D1814" s="1939"/>
      <c r="E1814" s="449"/>
      <c r="F1814" s="1908"/>
      <c r="G1814" s="1908"/>
      <c r="I1814" s="1939"/>
      <c r="J1814" s="1939"/>
      <c r="K1814" s="1939"/>
      <c r="L1814" s="1939"/>
      <c r="M1814" s="1955" t="s">
        <v>4307</v>
      </c>
      <c r="N1814" s="1967"/>
      <c r="O1814" s="449"/>
      <c r="P1814" s="449"/>
      <c r="Q1814" s="1815"/>
      <c r="R1814" s="1815"/>
      <c r="S1814" s="1815"/>
      <c r="T1814" s="1815"/>
      <c r="U1814" s="1815"/>
      <c r="V1814" s="1815"/>
      <c r="Y1814" s="1951" t="s">
        <v>4783</v>
      </c>
    </row>
    <row r="1815" spans="1:36" s="1945" customFormat="1" ht="3" customHeight="1">
      <c r="A1815" s="1955"/>
      <c r="B1815" s="1944"/>
      <c r="M1815" s="1955"/>
      <c r="O1815" s="449"/>
      <c r="P1815" s="449"/>
      <c r="V1815" s="1951"/>
      <c r="W1815" s="1951"/>
    </row>
    <row r="1816" spans="1:36" s="1951" customFormat="1" ht="13.5" customHeight="1">
      <c r="A1816" s="1822" t="s">
        <v>6914</v>
      </c>
      <c r="B1816" s="1822"/>
      <c r="C1816" s="1822"/>
      <c r="D1816" s="1822"/>
      <c r="E1816" s="1822"/>
      <c r="F1816" s="1822"/>
      <c r="G1816" s="1822"/>
      <c r="H1816" s="449" t="s">
        <v>3647</v>
      </c>
      <c r="I1816" s="449"/>
      <c r="J1816" s="449"/>
      <c r="K1816" s="1955" t="s">
        <v>3618</v>
      </c>
      <c r="L1816" s="449" t="s">
        <v>4754</v>
      </c>
      <c r="M1816" s="1955"/>
      <c r="N1816" s="1955"/>
      <c r="O1816" s="449"/>
      <c r="P1816" s="449"/>
      <c r="Q1816" s="1945" t="s">
        <v>4750</v>
      </c>
      <c r="R1816" s="1945" t="s">
        <v>4753</v>
      </c>
      <c r="S1816" s="1945" t="s">
        <v>4751</v>
      </c>
      <c r="T1816" s="1945" t="s">
        <v>4752</v>
      </c>
      <c r="U1816" s="1945" t="s">
        <v>4469</v>
      </c>
      <c r="V1816" s="1945" t="s">
        <v>4468</v>
      </c>
      <c r="X1816" s="1947"/>
      <c r="Y1816" s="1970" t="s">
        <v>4782</v>
      </c>
      <c r="Z1816" s="1971" t="s">
        <v>4784</v>
      </c>
      <c r="AA1816" s="1971" t="s">
        <v>4785</v>
      </c>
    </row>
    <row r="1817" spans="1:36" s="1951" customFormat="1" ht="15" customHeight="1">
      <c r="B1817" s="449" t="s">
        <v>6831</v>
      </c>
      <c r="C1817" s="1908"/>
      <c r="E1817" s="2164" t="s">
        <v>4787</v>
      </c>
      <c r="F1817" s="1817" t="s">
        <v>4761</v>
      </c>
      <c r="G1817" s="1817" t="s">
        <v>3284</v>
      </c>
      <c r="H1817" s="1817">
        <v>2017</v>
      </c>
      <c r="I1817" s="1817">
        <v>2018</v>
      </c>
      <c r="J1817" s="1817">
        <v>2019</v>
      </c>
      <c r="K1817" s="1955"/>
      <c r="L1817" s="449"/>
      <c r="M1817" s="1955"/>
      <c r="N1817" s="1955"/>
      <c r="O1817" s="449"/>
      <c r="P1817" s="449"/>
      <c r="Q1817" s="1945"/>
      <c r="R1817" s="1945"/>
      <c r="S1817" s="1945"/>
      <c r="T1817" s="1945"/>
      <c r="U1817" s="1945"/>
      <c r="V1817" s="1945"/>
      <c r="X1817" s="1970" t="s">
        <v>4780</v>
      </c>
      <c r="Y1817" s="1970">
        <v>75.930000000000007</v>
      </c>
      <c r="Z1817" s="1970">
        <v>73.77</v>
      </c>
      <c r="AA1817" s="1970">
        <v>76.430000000000007</v>
      </c>
      <c r="AB1817" s="1972"/>
      <c r="AD1817" s="1972"/>
      <c r="AE1817" s="1972"/>
      <c r="AF1817" s="1972"/>
      <c r="AG1817" s="1972"/>
      <c r="AH1817" s="1972"/>
      <c r="AI1817" s="1972"/>
      <c r="AJ1817" s="1972"/>
    </row>
    <row r="1818" spans="1:36" s="1951" customFormat="1" ht="12" customHeight="1">
      <c r="A1818" s="1816" t="str">
        <f>IF(OR(M1818="Yes", O1818="Yes", AND(B1818="",F1818="",G1818="",H1818="",I1818="",J1818="",L1818="",O1818="")),"", IF(AND(NOT(B1818=""),OR(O1818="",O1818="No",O1818="N/a"),OR(F1818="",G1818=""),AND(H1818="",I1818="",J1818=""),L1818=""),"Finish!","Check"))</f>
        <v/>
      </c>
      <c r="B1818" s="1822" t="str">
        <f>'Part IX Scoring Criteria'!B163</f>
        <v>Midland Academy</v>
      </c>
      <c r="C1818" s="1822"/>
      <c r="D1818" s="1822"/>
      <c r="E1818" s="1983" t="str">
        <f>'Part IX Scoring Criteria'!E163</f>
        <v>Other</v>
      </c>
      <c r="F1818" s="1229" t="str">
        <f>'Part IX Scoring Criteria'!F163</f>
        <v>No</v>
      </c>
      <c r="G1818" s="1983" t="str">
        <f>'Part IX Scoring Criteria'!G163</f>
        <v>K-5</v>
      </c>
      <c r="H1818" s="2170">
        <f>'Part IX Scoring Criteria'!H163</f>
        <v>75.5</v>
      </c>
      <c r="I1818" s="2170">
        <f>'Part IX Scoring Criteria'!I163</f>
        <v>75.599999999999994</v>
      </c>
      <c r="J1818" s="2170">
        <f>'Part IX Scoring Criteria'!J163</f>
        <v>80.7</v>
      </c>
      <c r="K1818" s="2170">
        <f t="shared" ref="K1818:K1827" si="399">IF(H1818+I1818+J1818=0,"",AVERAGE(H1818,I1818,J1818))</f>
        <v>77.266666666666666</v>
      </c>
      <c r="L1818" s="2170">
        <f>'Part IX Scoring Criteria'!L163</f>
        <v>75.930000000000007</v>
      </c>
      <c r="M1818" s="1229" t="str">
        <f>IF(OR(K1818="",L1818=""),"",IF(K1818&gt;L1818,"Yes",IF(K1818&lt;L1818,"No","")))</f>
        <v>Yes</v>
      </c>
      <c r="O1818" s="1229" t="str">
        <f>'Part IX Scoring Criteria'!O163</f>
        <v>No</v>
      </c>
      <c r="P1818" s="1229"/>
      <c r="Q1818" s="2240">
        <f>IF(AND(B1818="",F1818="",G1818="",H1818="",I1818="",J1818="",L1818="",O1818=""),0,1)</f>
        <v>1</v>
      </c>
      <c r="R1818" s="1973">
        <f>SUM(Q1818:Q1827)</f>
        <v>10</v>
      </c>
      <c r="S1818" s="1732">
        <f t="shared" ref="S1818:S1827" si="400">IF(AND(M1818="",NOT(O1818="Yes")),0,1)</f>
        <v>1</v>
      </c>
      <c r="T1818" s="1973">
        <f>SUM(S1818:S1827)</f>
        <v>10</v>
      </c>
      <c r="U1818" s="1732">
        <f t="shared" ref="U1818:U1827" si="401">IF(OR(M1818="Yes",O1818="Yes"),1,0)</f>
        <v>1</v>
      </c>
      <c r="V1818" s="1973">
        <f>SUM(U1818:U1827)</f>
        <v>9</v>
      </c>
      <c r="X1818" s="1970" t="s">
        <v>4781</v>
      </c>
      <c r="Y1818" s="1970">
        <v>77.45</v>
      </c>
      <c r="Z1818" s="1970">
        <v>74.150000000000006</v>
      </c>
      <c r="AA1818" s="1970">
        <v>76.150000000000006</v>
      </c>
      <c r="AB1818" s="1972"/>
      <c r="AD1818" s="1972"/>
      <c r="AE1818" s="1972"/>
      <c r="AF1818" s="1972"/>
      <c r="AG1818" s="1972"/>
      <c r="AH1818" s="1972"/>
      <c r="AI1818" s="1972"/>
      <c r="AJ1818" s="1972"/>
    </row>
    <row r="1819" spans="1:36" s="1951" customFormat="1" ht="12" customHeight="1">
      <c r="A1819" s="1816" t="str">
        <f t="shared" ref="A1819:A1827" si="402">IF(OR(M1819="Yes", O1819="Yes", AND(B1819="",F1819="",G1819="",H1819="",I1819="",J1819="",L1819="",O1819="")),"", IF(AND(NOT(B1819=""),OR(O1819="",O1819="No",O1819="N/a"),OR(F1819="",G1819=""),AND(H1819="",I1819="",J1819=""),L1819=""),"Finish!","Check"))</f>
        <v/>
      </c>
      <c r="B1819" s="1822" t="str">
        <f>'Part IX Scoring Criteria'!B164</f>
        <v>Midland Middle School</v>
      </c>
      <c r="C1819" s="1822"/>
      <c r="D1819" s="1822"/>
      <c r="E1819" s="1983" t="str">
        <f>'Part IX Scoring Criteria'!E164</f>
        <v>Other</v>
      </c>
      <c r="F1819" s="1229" t="str">
        <f>'Part IX Scoring Criteria'!F164</f>
        <v>No</v>
      </c>
      <c r="G1819" s="1983" t="str">
        <f>'Part IX Scoring Criteria'!G164</f>
        <v>6-8</v>
      </c>
      <c r="H1819" s="2170">
        <f>'Part IX Scoring Criteria'!H164</f>
        <v>73.7</v>
      </c>
      <c r="I1819" s="2170">
        <f>'Part IX Scoring Criteria'!I164</f>
        <v>73.099999999999994</v>
      </c>
      <c r="J1819" s="2170">
        <f>'Part IX Scoring Criteria'!J164</f>
        <v>78</v>
      </c>
      <c r="K1819" s="2170">
        <f t="shared" si="399"/>
        <v>74.933333333333337</v>
      </c>
      <c r="L1819" s="2170">
        <f>'Part IX Scoring Criteria'!L164</f>
        <v>73.77</v>
      </c>
      <c r="M1819" s="1229" t="str">
        <f>IF(L1819="","",IF(K1819&gt;L1819,"Yes",IF(K1819&lt;L1819,"No","")))</f>
        <v>Yes</v>
      </c>
      <c r="O1819" s="1229" t="str">
        <f>'Part IX Scoring Criteria'!O164</f>
        <v>Yes</v>
      </c>
      <c r="P1819" s="1229"/>
      <c r="Q1819" s="2240">
        <f t="shared" ref="Q1819:Q1827" si="403">IF(AND(B1819="",F1819="",G1819="",H1819="",I1819="",J1819="",L1819="",O1819=""),0,1)</f>
        <v>1</v>
      </c>
      <c r="R1819" s="1973"/>
      <c r="S1819" s="1732">
        <f t="shared" si="400"/>
        <v>1</v>
      </c>
      <c r="T1819" s="1973"/>
      <c r="U1819" s="1732">
        <f t="shared" si="401"/>
        <v>1</v>
      </c>
      <c r="V1819" s="1973"/>
      <c r="X1819" s="1970">
        <v>2019</v>
      </c>
      <c r="Y1819" s="1970">
        <v>77.099999999999994</v>
      </c>
      <c r="Z1819" s="1970">
        <v>72.099999999999994</v>
      </c>
      <c r="AA1819" s="1970">
        <v>77</v>
      </c>
      <c r="AB1819" s="1972"/>
      <c r="AC1819" s="1972"/>
      <c r="AD1819" s="1972"/>
      <c r="AE1819" s="1972"/>
      <c r="AF1819" s="1972"/>
      <c r="AG1819" s="1972"/>
      <c r="AH1819" s="1972"/>
      <c r="AI1819" s="1972"/>
      <c r="AJ1819" s="1972"/>
    </row>
    <row r="1820" spans="1:36" s="1951" customFormat="1" ht="12" customHeight="1">
      <c r="A1820" s="1816" t="str">
        <f t="shared" si="402"/>
        <v>Check</v>
      </c>
      <c r="B1820" s="1822" t="str">
        <f>'Part IX Scoring Criteria'!B165</f>
        <v xml:space="preserve">Shaw High School </v>
      </c>
      <c r="C1820" s="1822"/>
      <c r="D1820" s="1822"/>
      <c r="E1820" s="1983" t="str">
        <f>'Part IX Scoring Criteria'!E165</f>
        <v>Other</v>
      </c>
      <c r="F1820" s="1229" t="str">
        <f>'Part IX Scoring Criteria'!F165</f>
        <v>No</v>
      </c>
      <c r="G1820" s="1983" t="str">
        <f>'Part IX Scoring Criteria'!G165</f>
        <v>9-12</v>
      </c>
      <c r="H1820" s="2170">
        <f>'Part IX Scoring Criteria'!H165</f>
        <v>75.400000000000006</v>
      </c>
      <c r="I1820" s="2170">
        <f>'Part IX Scoring Criteria'!I165</f>
        <v>72.7</v>
      </c>
      <c r="J1820" s="2170">
        <f>'Part IX Scoring Criteria'!J165</f>
        <v>69.3</v>
      </c>
      <c r="K1820" s="2170">
        <f t="shared" si="399"/>
        <v>72.466666666666683</v>
      </c>
      <c r="L1820" s="2170">
        <f>'Part IX Scoring Criteria'!L165</f>
        <v>76.430000000000007</v>
      </c>
      <c r="M1820" s="1229" t="str">
        <f t="shared" ref="M1820:M1827" si="404">IF(L1820="","",IF(K1820&gt;L1820,"Yes",IF(K1820&lt;L1820,"No","")))</f>
        <v>No</v>
      </c>
      <c r="O1820" s="1229" t="str">
        <f>'Part IX Scoring Criteria'!O165</f>
        <v>No</v>
      </c>
      <c r="P1820" s="1229"/>
      <c r="Q1820" s="2240">
        <f t="shared" si="403"/>
        <v>1</v>
      </c>
      <c r="R1820" s="1973"/>
      <c r="S1820" s="1732">
        <f t="shared" si="400"/>
        <v>1</v>
      </c>
      <c r="T1820" s="1973"/>
      <c r="U1820" s="1732">
        <f t="shared" si="401"/>
        <v>0</v>
      </c>
      <c r="V1820" s="1973"/>
      <c r="Y1820" s="1972"/>
      <c r="Z1820" s="1972"/>
      <c r="AA1820" s="1972"/>
      <c r="AB1820" s="1972"/>
      <c r="AC1820" s="1972"/>
      <c r="AD1820" s="1972"/>
      <c r="AE1820" s="1972"/>
      <c r="AF1820" s="1972"/>
      <c r="AG1820" s="1972"/>
      <c r="AH1820" s="1972"/>
      <c r="AI1820" s="1972"/>
      <c r="AJ1820" s="1972"/>
    </row>
    <row r="1821" spans="1:36" s="1951" customFormat="1" ht="12" customHeight="1">
      <c r="A1821" s="1816" t="str">
        <f t="shared" si="402"/>
        <v/>
      </c>
      <c r="B1821" s="1822">
        <f>'Part IX Scoring Criteria'!B166</f>
        <v>0</v>
      </c>
      <c r="C1821" s="1822"/>
      <c r="D1821" s="1822"/>
      <c r="E1821" s="1983" t="str">
        <f>'Part IX Scoring Criteria'!E166</f>
        <v>Select</v>
      </c>
      <c r="F1821" s="1229">
        <f>'Part IX Scoring Criteria'!F166</f>
        <v>0</v>
      </c>
      <c r="G1821" s="1983">
        <f>'Part IX Scoring Criteria'!G166</f>
        <v>0</v>
      </c>
      <c r="H1821" s="2170">
        <f>'Part IX Scoring Criteria'!H166</f>
        <v>0</v>
      </c>
      <c r="I1821" s="2170">
        <f>'Part IX Scoring Criteria'!I166</f>
        <v>0</v>
      </c>
      <c r="J1821" s="2170">
        <f>'Part IX Scoring Criteria'!J166</f>
        <v>0</v>
      </c>
      <c r="K1821" s="2170" t="str">
        <f t="shared" si="399"/>
        <v/>
      </c>
      <c r="L1821" s="2170">
        <f>'Part IX Scoring Criteria'!L166</f>
        <v>0</v>
      </c>
      <c r="M1821" s="1229" t="str">
        <f t="shared" si="404"/>
        <v>Yes</v>
      </c>
      <c r="O1821" s="1229">
        <f>'Part IX Scoring Criteria'!O166</f>
        <v>0</v>
      </c>
      <c r="P1821" s="1229"/>
      <c r="Q1821" s="2240">
        <f t="shared" si="403"/>
        <v>1</v>
      </c>
      <c r="R1821" s="1973"/>
      <c r="S1821" s="1732">
        <f t="shared" si="400"/>
        <v>1</v>
      </c>
      <c r="T1821" s="1973"/>
      <c r="U1821" s="1732">
        <f t="shared" si="401"/>
        <v>1</v>
      </c>
      <c r="V1821" s="1973"/>
      <c r="Y1821" s="1972"/>
      <c r="Z1821" s="1972"/>
      <c r="AA1821" s="1972"/>
      <c r="AB1821" s="1972"/>
      <c r="AC1821" s="1972"/>
      <c r="AD1821" s="1972"/>
      <c r="AE1821" s="1972"/>
      <c r="AF1821" s="1972"/>
      <c r="AG1821" s="1972"/>
      <c r="AH1821" s="1972"/>
      <c r="AI1821" s="1972"/>
      <c r="AJ1821" s="1972"/>
    </row>
    <row r="1822" spans="1:36" s="1951" customFormat="1" ht="12" customHeight="1">
      <c r="A1822" s="1816" t="str">
        <f t="shared" si="402"/>
        <v/>
      </c>
      <c r="B1822" s="1822">
        <f>'Part IX Scoring Criteria'!B167</f>
        <v>0</v>
      </c>
      <c r="C1822" s="1822"/>
      <c r="D1822" s="1822"/>
      <c r="E1822" s="1983" t="str">
        <f>'Part IX Scoring Criteria'!E167</f>
        <v>Select</v>
      </c>
      <c r="F1822" s="1229">
        <f>'Part IX Scoring Criteria'!F167</f>
        <v>0</v>
      </c>
      <c r="G1822" s="1983">
        <f>'Part IX Scoring Criteria'!G167</f>
        <v>0</v>
      </c>
      <c r="H1822" s="2170">
        <f>'Part IX Scoring Criteria'!H167</f>
        <v>0</v>
      </c>
      <c r="I1822" s="2170">
        <f>'Part IX Scoring Criteria'!I167</f>
        <v>0</v>
      </c>
      <c r="J1822" s="2170">
        <f>'Part IX Scoring Criteria'!J167</f>
        <v>0</v>
      </c>
      <c r="K1822" s="2170" t="str">
        <f t="shared" si="399"/>
        <v/>
      </c>
      <c r="L1822" s="2170">
        <f>'Part IX Scoring Criteria'!L167</f>
        <v>0</v>
      </c>
      <c r="M1822" s="1229" t="str">
        <f t="shared" si="404"/>
        <v>Yes</v>
      </c>
      <c r="O1822" s="1229">
        <f>'Part IX Scoring Criteria'!O167</f>
        <v>0</v>
      </c>
      <c r="P1822" s="1229"/>
      <c r="Q1822" s="2240">
        <f t="shared" si="403"/>
        <v>1</v>
      </c>
      <c r="R1822" s="1973"/>
      <c r="S1822" s="1732">
        <f t="shared" si="400"/>
        <v>1</v>
      </c>
      <c r="T1822" s="1973"/>
      <c r="U1822" s="1732">
        <f t="shared" si="401"/>
        <v>1</v>
      </c>
      <c r="V1822" s="1973"/>
      <c r="Y1822" s="1972"/>
      <c r="Z1822" s="1972"/>
      <c r="AA1822" s="1972"/>
      <c r="AB1822" s="1972"/>
      <c r="AC1822" s="1972"/>
      <c r="AD1822" s="1972"/>
      <c r="AE1822" s="1972"/>
      <c r="AF1822" s="1972"/>
      <c r="AG1822" s="1972"/>
      <c r="AH1822" s="1972"/>
      <c r="AI1822" s="1972"/>
      <c r="AJ1822" s="1972"/>
    </row>
    <row r="1823" spans="1:36" s="1951" customFormat="1" ht="12" customHeight="1">
      <c r="A1823" s="1816" t="str">
        <f t="shared" si="402"/>
        <v/>
      </c>
      <c r="B1823" s="1822">
        <f>'Part IX Scoring Criteria'!B168</f>
        <v>0</v>
      </c>
      <c r="C1823" s="1822"/>
      <c r="D1823" s="1822"/>
      <c r="E1823" s="1983" t="str">
        <f>'Part IX Scoring Criteria'!E168</f>
        <v>Select</v>
      </c>
      <c r="F1823" s="1229">
        <f>'Part IX Scoring Criteria'!F168</f>
        <v>0</v>
      </c>
      <c r="G1823" s="1983">
        <f>'Part IX Scoring Criteria'!G168</f>
        <v>0</v>
      </c>
      <c r="H1823" s="2170">
        <f>'Part IX Scoring Criteria'!H168</f>
        <v>0</v>
      </c>
      <c r="I1823" s="2170">
        <f>'Part IX Scoring Criteria'!I168</f>
        <v>0</v>
      </c>
      <c r="J1823" s="2170">
        <f>'Part IX Scoring Criteria'!J168</f>
        <v>0</v>
      </c>
      <c r="K1823" s="2170" t="str">
        <f t="shared" si="399"/>
        <v/>
      </c>
      <c r="L1823" s="2170">
        <f>'Part IX Scoring Criteria'!L168</f>
        <v>0</v>
      </c>
      <c r="M1823" s="1229" t="str">
        <f t="shared" si="404"/>
        <v>Yes</v>
      </c>
      <c r="O1823" s="1229">
        <f>'Part IX Scoring Criteria'!O168</f>
        <v>0</v>
      </c>
      <c r="P1823" s="1229"/>
      <c r="Q1823" s="2240">
        <f t="shared" si="403"/>
        <v>1</v>
      </c>
      <c r="R1823" s="1973"/>
      <c r="S1823" s="1732">
        <f t="shared" si="400"/>
        <v>1</v>
      </c>
      <c r="T1823" s="1973"/>
      <c r="U1823" s="1732">
        <f t="shared" si="401"/>
        <v>1</v>
      </c>
      <c r="V1823" s="1973"/>
      <c r="Y1823" s="1972"/>
      <c r="Z1823" s="1972"/>
      <c r="AA1823" s="1972"/>
      <c r="AB1823" s="1972"/>
      <c r="AC1823" s="1972"/>
      <c r="AD1823" s="1972"/>
      <c r="AE1823" s="1972"/>
      <c r="AF1823" s="1972"/>
      <c r="AG1823" s="1972"/>
      <c r="AH1823" s="1972"/>
      <c r="AI1823" s="1972"/>
      <c r="AJ1823" s="1972"/>
    </row>
    <row r="1824" spans="1:36" s="1951" customFormat="1" ht="12" customHeight="1">
      <c r="A1824" s="1816" t="str">
        <f t="shared" si="402"/>
        <v/>
      </c>
      <c r="B1824" s="1822">
        <f>'Part IX Scoring Criteria'!B169</f>
        <v>0</v>
      </c>
      <c r="C1824" s="1822"/>
      <c r="D1824" s="1822"/>
      <c r="E1824" s="1983" t="str">
        <f>'Part IX Scoring Criteria'!E169</f>
        <v>Select</v>
      </c>
      <c r="F1824" s="1229">
        <f>'Part IX Scoring Criteria'!F169</f>
        <v>0</v>
      </c>
      <c r="G1824" s="1983">
        <f>'Part IX Scoring Criteria'!G169</f>
        <v>0</v>
      </c>
      <c r="H1824" s="2170">
        <f>'Part IX Scoring Criteria'!H169</f>
        <v>0</v>
      </c>
      <c r="I1824" s="2170">
        <f>'Part IX Scoring Criteria'!I169</f>
        <v>0</v>
      </c>
      <c r="J1824" s="2170">
        <f>'Part IX Scoring Criteria'!J169</f>
        <v>0</v>
      </c>
      <c r="K1824" s="2170" t="str">
        <f t="shared" si="399"/>
        <v/>
      </c>
      <c r="L1824" s="2170">
        <f>'Part IX Scoring Criteria'!L169</f>
        <v>0</v>
      </c>
      <c r="M1824" s="1229" t="str">
        <f t="shared" si="404"/>
        <v>Yes</v>
      </c>
      <c r="O1824" s="1229">
        <f>'Part IX Scoring Criteria'!O169</f>
        <v>0</v>
      </c>
      <c r="P1824" s="1229"/>
      <c r="Q1824" s="2240">
        <f t="shared" si="403"/>
        <v>1</v>
      </c>
      <c r="R1824" s="1973"/>
      <c r="S1824" s="1732">
        <f t="shared" si="400"/>
        <v>1</v>
      </c>
      <c r="T1824" s="1973"/>
      <c r="U1824" s="1732">
        <f t="shared" si="401"/>
        <v>1</v>
      </c>
      <c r="V1824" s="1973"/>
    </row>
    <row r="1825" spans="1:24" s="1951" customFormat="1" ht="12" customHeight="1">
      <c r="A1825" s="1816" t="str">
        <f t="shared" si="402"/>
        <v/>
      </c>
      <c r="B1825" s="1822">
        <f>'Part IX Scoring Criteria'!B170</f>
        <v>0</v>
      </c>
      <c r="C1825" s="1822"/>
      <c r="D1825" s="1822"/>
      <c r="E1825" s="1983" t="str">
        <f>'Part IX Scoring Criteria'!E170</f>
        <v>Select</v>
      </c>
      <c r="F1825" s="1229">
        <f>'Part IX Scoring Criteria'!F170</f>
        <v>0</v>
      </c>
      <c r="G1825" s="1983">
        <f>'Part IX Scoring Criteria'!G170</f>
        <v>0</v>
      </c>
      <c r="H1825" s="2170">
        <f>'Part IX Scoring Criteria'!H170</f>
        <v>0</v>
      </c>
      <c r="I1825" s="2170">
        <f>'Part IX Scoring Criteria'!I170</f>
        <v>0</v>
      </c>
      <c r="J1825" s="2170">
        <f>'Part IX Scoring Criteria'!J170</f>
        <v>0</v>
      </c>
      <c r="K1825" s="2170" t="str">
        <f t="shared" si="399"/>
        <v/>
      </c>
      <c r="L1825" s="2170">
        <f>'Part IX Scoring Criteria'!L170</f>
        <v>0</v>
      </c>
      <c r="M1825" s="1229" t="str">
        <f t="shared" si="404"/>
        <v>Yes</v>
      </c>
      <c r="O1825" s="1229">
        <f>'Part IX Scoring Criteria'!O170</f>
        <v>0</v>
      </c>
      <c r="P1825" s="1229"/>
      <c r="Q1825" s="2240">
        <f t="shared" si="403"/>
        <v>1</v>
      </c>
      <c r="R1825" s="1973"/>
      <c r="S1825" s="1732">
        <f t="shared" si="400"/>
        <v>1</v>
      </c>
      <c r="T1825" s="1973"/>
      <c r="U1825" s="1732">
        <f t="shared" si="401"/>
        <v>1</v>
      </c>
      <c r="V1825" s="1973"/>
    </row>
    <row r="1826" spans="1:24" s="1951" customFormat="1" ht="12" customHeight="1">
      <c r="A1826" s="1816" t="str">
        <f t="shared" si="402"/>
        <v/>
      </c>
      <c r="B1826" s="1822">
        <f>'Part IX Scoring Criteria'!B171</f>
        <v>0</v>
      </c>
      <c r="C1826" s="1822"/>
      <c r="D1826" s="1822"/>
      <c r="E1826" s="1983" t="str">
        <f>'Part IX Scoring Criteria'!E171</f>
        <v>Select</v>
      </c>
      <c r="F1826" s="1229">
        <f>'Part IX Scoring Criteria'!F171</f>
        <v>0</v>
      </c>
      <c r="G1826" s="1983">
        <f>'Part IX Scoring Criteria'!G171</f>
        <v>0</v>
      </c>
      <c r="H1826" s="2170">
        <f>'Part IX Scoring Criteria'!H171</f>
        <v>0</v>
      </c>
      <c r="I1826" s="2170">
        <f>'Part IX Scoring Criteria'!I171</f>
        <v>0</v>
      </c>
      <c r="J1826" s="2170">
        <f>'Part IX Scoring Criteria'!J171</f>
        <v>0</v>
      </c>
      <c r="K1826" s="2170" t="str">
        <f t="shared" si="399"/>
        <v/>
      </c>
      <c r="L1826" s="2170">
        <f>'Part IX Scoring Criteria'!L171</f>
        <v>0</v>
      </c>
      <c r="M1826" s="1229" t="str">
        <f t="shared" si="404"/>
        <v>Yes</v>
      </c>
      <c r="O1826" s="1229">
        <f>'Part IX Scoring Criteria'!O171</f>
        <v>0</v>
      </c>
      <c r="P1826" s="1229"/>
      <c r="Q1826" s="2240">
        <f t="shared" si="403"/>
        <v>1</v>
      </c>
      <c r="R1826" s="1973"/>
      <c r="S1826" s="1732">
        <f t="shared" si="400"/>
        <v>1</v>
      </c>
      <c r="T1826" s="1973"/>
      <c r="U1826" s="1732">
        <f t="shared" si="401"/>
        <v>1</v>
      </c>
      <c r="V1826" s="1973"/>
    </row>
    <row r="1827" spans="1:24" s="1951" customFormat="1" ht="12" customHeight="1">
      <c r="A1827" s="1816" t="str">
        <f t="shared" si="402"/>
        <v/>
      </c>
      <c r="B1827" s="1822">
        <f>'Part IX Scoring Criteria'!B172</f>
        <v>0</v>
      </c>
      <c r="C1827" s="1822"/>
      <c r="D1827" s="1822"/>
      <c r="E1827" s="1983" t="str">
        <f>'Part IX Scoring Criteria'!E172</f>
        <v>Select</v>
      </c>
      <c r="F1827" s="1229">
        <f>'Part IX Scoring Criteria'!F172</f>
        <v>0</v>
      </c>
      <c r="G1827" s="1983">
        <f>'Part IX Scoring Criteria'!G172</f>
        <v>0</v>
      </c>
      <c r="H1827" s="2170">
        <f>'Part IX Scoring Criteria'!H172</f>
        <v>0</v>
      </c>
      <c r="I1827" s="2170">
        <f>'Part IX Scoring Criteria'!I172</f>
        <v>0</v>
      </c>
      <c r="J1827" s="2170">
        <f>'Part IX Scoring Criteria'!J172</f>
        <v>0</v>
      </c>
      <c r="K1827" s="2170" t="str">
        <f t="shared" si="399"/>
        <v/>
      </c>
      <c r="L1827" s="2170">
        <f>'Part IX Scoring Criteria'!L172</f>
        <v>0</v>
      </c>
      <c r="M1827" s="1229" t="str">
        <f t="shared" si="404"/>
        <v>Yes</v>
      </c>
      <c r="O1827" s="1229">
        <f>'Part IX Scoring Criteria'!O172</f>
        <v>0</v>
      </c>
      <c r="P1827" s="1229"/>
      <c r="Q1827" s="2240">
        <f t="shared" si="403"/>
        <v>1</v>
      </c>
      <c r="R1827" s="1973"/>
      <c r="S1827" s="1732">
        <f t="shared" si="400"/>
        <v>1</v>
      </c>
      <c r="T1827" s="1973"/>
      <c r="U1827" s="1732">
        <f t="shared" si="401"/>
        <v>1</v>
      </c>
      <c r="V1827" s="1973"/>
    </row>
    <row r="1828" spans="1:24" s="1951" customFormat="1" ht="1.5" customHeight="1">
      <c r="A1828" s="1940"/>
      <c r="B1828" s="1955"/>
      <c r="L1828" s="1972"/>
    </row>
    <row r="1829" spans="1:24" s="1945" customFormat="1" ht="6" customHeight="1">
      <c r="A1829" s="1955"/>
      <c r="B1829" s="1944"/>
    </row>
    <row r="1830" spans="1:24" s="1947" customFormat="1" ht="13.5" customHeight="1">
      <c r="A1830" s="1904" t="s">
        <v>1938</v>
      </c>
      <c r="B1830" s="1815" t="s">
        <v>3731</v>
      </c>
      <c r="D1830" s="1962"/>
      <c r="E1830" s="1962"/>
      <c r="F1830" s="1908"/>
      <c r="H1830" s="1908" t="s">
        <v>4566</v>
      </c>
      <c r="M1830" s="1896">
        <v>2</v>
      </c>
      <c r="N1830" s="1960"/>
      <c r="O1830" s="1923">
        <f>'Part IX Scoring Criteria'!O175</f>
        <v>0</v>
      </c>
      <c r="P1830" s="1923">
        <f>'Part IX Scoring Criteria'!P175</f>
        <v>0</v>
      </c>
      <c r="Q1830" s="1896"/>
      <c r="R1830" s="1843"/>
    </row>
    <row r="1831" spans="1:24" s="1945" customFormat="1" ht="12.75" customHeight="1">
      <c r="E1831" s="1945" t="s">
        <v>3821</v>
      </c>
      <c r="F1831" s="1945" t="s">
        <v>3486</v>
      </c>
      <c r="G1831" s="1918" t="s">
        <v>3285</v>
      </c>
      <c r="H1831" s="1918"/>
      <c r="I1831" s="1918"/>
      <c r="J1831" s="1918"/>
      <c r="K1831" s="1918"/>
      <c r="L1831" s="1918"/>
      <c r="M1831" s="1918"/>
      <c r="N1831" s="1918"/>
      <c r="P1831" s="1936"/>
      <c r="R1831" s="449" t="s">
        <v>2735</v>
      </c>
      <c r="S1831" s="449"/>
      <c r="T1831" s="449" t="str">
        <f>'Part I-Project Information'!$F$38</f>
        <v>Columbus</v>
      </c>
      <c r="U1831" s="449"/>
      <c r="V1831" s="449"/>
      <c r="W1831" s="449"/>
      <c r="X1831" s="449"/>
    </row>
    <row r="1832" spans="1:24" s="1945" customFormat="1" ht="13.5" customHeight="1">
      <c r="A1832" s="1940"/>
      <c r="B1832" s="1945" t="s">
        <v>3734</v>
      </c>
      <c r="G1832" s="1936" t="s">
        <v>3733</v>
      </c>
      <c r="H1832" s="1936"/>
      <c r="I1832" s="1936"/>
      <c r="J1832" s="1936"/>
      <c r="K1832" s="1936"/>
      <c r="L1832" s="1936"/>
      <c r="M1832" s="1936"/>
      <c r="N1832" s="1936"/>
      <c r="O1832" s="1945" t="s">
        <v>3487</v>
      </c>
      <c r="R1832" s="449" t="s">
        <v>2736</v>
      </c>
      <c r="S1832" s="449"/>
      <c r="T1832" s="449" t="str">
        <f>'Part I-Project Information'!$J$39</f>
        <v>Muscogee</v>
      </c>
      <c r="U1832" s="449"/>
      <c r="V1832" s="449"/>
      <c r="W1832" s="449"/>
      <c r="X1832" s="449"/>
    </row>
    <row r="1833" spans="1:24" s="1945" customFormat="1" ht="13.5" customHeight="1">
      <c r="A1833" s="1940"/>
      <c r="B1833" s="449" t="s">
        <v>3621</v>
      </c>
      <c r="C1833" s="449"/>
      <c r="D1833" s="449"/>
      <c r="E1833" s="1926">
        <v>3000</v>
      </c>
      <c r="F1833" s="1926">
        <v>6000</v>
      </c>
      <c r="G1833" s="2127">
        <v>15000</v>
      </c>
      <c r="H1833" s="2127"/>
      <c r="I1833" s="2127"/>
      <c r="J1833" s="2127"/>
      <c r="K1833" s="2127"/>
      <c r="L1833" s="2127"/>
      <c r="M1833" s="2127"/>
      <c r="N1833" s="2127"/>
      <c r="O1833" s="2127">
        <v>20000</v>
      </c>
      <c r="P1833" s="2127"/>
      <c r="R1833" s="1908" t="s">
        <v>2737</v>
      </c>
      <c r="S1833" s="449"/>
      <c r="T1833" s="449" t="str">
        <f>'Part I-Project Information'!$O$40</f>
        <v>Columbus</v>
      </c>
      <c r="U1833" s="449"/>
      <c r="V1833" s="449"/>
      <c r="W1833" s="449"/>
      <c r="X1833" s="449"/>
    </row>
    <row r="1834" spans="1:24" s="449" customFormat="1" ht="13.5" customHeight="1">
      <c r="A1834" s="1940"/>
      <c r="B1834" s="449" t="s">
        <v>3732</v>
      </c>
      <c r="E1834" s="1926">
        <v>4500</v>
      </c>
      <c r="F1834" s="1926">
        <v>9000</v>
      </c>
      <c r="G1834" s="2127">
        <v>22500</v>
      </c>
      <c r="H1834" s="2127"/>
      <c r="I1834" s="2127"/>
      <c r="J1834" s="2127"/>
      <c r="K1834" s="2127"/>
      <c r="L1834" s="2127"/>
      <c r="M1834" s="2127"/>
      <c r="N1834" s="2127"/>
      <c r="O1834" s="2127">
        <v>30000</v>
      </c>
      <c r="P1834" s="2127"/>
      <c r="R1834" s="1908" t="s">
        <v>3643</v>
      </c>
      <c r="T1834" s="449" t="str">
        <f>VLOOKUP('Part I-Project Information'!$J$39,'DCA Underwriting Assumptions'!$G$173:$J$332,4)</f>
        <v>MSA</v>
      </c>
    </row>
    <row r="1835" spans="1:24" s="1945" customFormat="1" ht="4.5" customHeight="1">
      <c r="A1835" s="1940"/>
      <c r="B1835" s="1940"/>
      <c r="K1835" s="1817"/>
      <c r="L1835" s="1817"/>
    </row>
    <row r="1836" spans="1:24" s="1945" customFormat="1" ht="12" customHeight="1">
      <c r="B1836" s="1974" t="s">
        <v>4799</v>
      </c>
      <c r="E1836" s="1925"/>
      <c r="F1836" s="1925"/>
      <c r="G1836" s="1925"/>
      <c r="I1836" s="1925">
        <f>'Part IX Scoring Criteria'!I181</f>
        <v>0</v>
      </c>
      <c r="J1836" s="1925"/>
      <c r="K1836" s="1918" t="str">
        <f>IF(I1836="","",IF(I1836&lt;E1833,"Minimum Jobs Threshold entered is below lowest in chart!"))</f>
        <v>Minimum Jobs Threshold entered is below lowest in chart!</v>
      </c>
      <c r="R1836" s="449" t="s">
        <v>3460</v>
      </c>
      <c r="S1836" s="449"/>
      <c r="T1836" s="449" t="str">
        <f>'Part I-Project Information'!$K$40</f>
        <v>Urban</v>
      </c>
      <c r="U1836" s="449"/>
      <c r="V1836" s="449"/>
      <c r="W1836" s="449"/>
      <c r="X1836" s="449"/>
    </row>
    <row r="1837" spans="1:24" s="1945" customFormat="1" ht="12" customHeight="1">
      <c r="A1837" s="1955"/>
      <c r="B1837" s="1944" t="s">
        <v>3459</v>
      </c>
      <c r="H1837" s="1943" t="str">
        <f>IF(I1837&lt;I1836,"Threshold not met!","")</f>
        <v/>
      </c>
      <c r="I1837" s="1925">
        <f>'Part IX Scoring Criteria'!I182</f>
        <v>0</v>
      </c>
      <c r="J1837" s="1925"/>
      <c r="K1837" s="1945" t="str">
        <f>IF(J1837&lt;J1836,"Threshold not met!","")</f>
        <v/>
      </c>
    </row>
    <row r="1838" spans="1:24" s="1945" customFormat="1" ht="3" customHeight="1">
      <c r="A1838" s="1955"/>
      <c r="B1838" s="1944"/>
    </row>
    <row r="1839" spans="1:24" s="1945" customFormat="1" ht="11.25" customHeight="1">
      <c r="B1839" s="1960" t="s">
        <v>1939</v>
      </c>
      <c r="C1839" s="449" t="s">
        <v>3820</v>
      </c>
      <c r="H1839" s="1975" t="s">
        <v>1939</v>
      </c>
      <c r="I1839" s="1985" t="str">
        <f>IF(OR(I1836="",I1837=""),"",IF(I1837&gt;=I1836,"Yes","No"))</f>
        <v>Yes</v>
      </c>
      <c r="J1839" s="1985" t="str">
        <f>IF(OR(J1836="",J1837=""),"",IF(J1837&gt;=J1836,"Yes","No"))</f>
        <v/>
      </c>
    </row>
    <row r="1840" spans="1:24" s="1945" customFormat="1" ht="11.25" customHeight="1">
      <c r="A1840" s="1945" t="s">
        <v>1326</v>
      </c>
      <c r="B1840" s="1960" t="s">
        <v>1941</v>
      </c>
      <c r="C1840" s="449" t="s">
        <v>3735</v>
      </c>
      <c r="D1840" s="1944"/>
      <c r="E1840" s="1944"/>
      <c r="F1840" s="1944"/>
      <c r="H1840" s="1975" t="s">
        <v>1941</v>
      </c>
      <c r="I1840" s="1817" t="e">
        <f>IF(OR(I1836="",I1837=""),"",IF(I1837&gt;=HLOOKUP(I1836,$E$178:$P$179,2),"Yes","No"))</f>
        <v>#N/A</v>
      </c>
      <c r="J1840" s="1817" t="str">
        <f>IF(OR(J1836="",J1837=""),"",IF(J1837&gt;=HLOOKUP(J1836,$E$178:$P$179,2),"Yes","No"))</f>
        <v/>
      </c>
    </row>
    <row r="1841" spans="1:21" s="1945" customFormat="1" ht="11.25" customHeight="1">
      <c r="B1841" s="1904"/>
      <c r="C1841" s="1944" t="s">
        <v>3659</v>
      </c>
      <c r="D1841" s="1944"/>
      <c r="E1841" s="1944"/>
      <c r="F1841" s="1944"/>
      <c r="G1841" s="1944"/>
      <c r="I1841" s="2138" t="e">
        <f>IF(I1837="",0,(I1837/I1836) - 1)</f>
        <v>#DIV/0!</v>
      </c>
      <c r="J1841" s="2138">
        <f>IF(J1837="",0,(J1837/J1836) - 1)</f>
        <v>0</v>
      </c>
      <c r="M1841" s="1817"/>
    </row>
    <row r="1842" spans="1:21" s="1945" customFormat="1" ht="3" customHeight="1">
      <c r="A1842" s="1940"/>
      <c r="B1842" s="1940"/>
      <c r="F1842" s="1229"/>
      <c r="K1842" s="1817"/>
      <c r="L1842" s="1817"/>
    </row>
    <row r="1843" spans="1:21" s="1951" customFormat="1" ht="10.5" customHeight="1">
      <c r="A1843" s="1815"/>
      <c r="B1843" s="449" t="s">
        <v>3566</v>
      </c>
      <c r="C1843" s="1815"/>
      <c r="D1843" s="1897"/>
      <c r="E1843" s="1897"/>
      <c r="F1843" s="1897"/>
      <c r="G1843" s="1897"/>
      <c r="H1843" s="449"/>
      <c r="I1843" s="449"/>
      <c r="J1843" s="449"/>
      <c r="K1843" s="449"/>
      <c r="M1843" s="1896"/>
      <c r="N1843" s="1874"/>
      <c r="O1843" s="1923"/>
      <c r="P1843" s="1874"/>
    </row>
    <row r="1844" spans="1:21" s="1951" customFormat="1" ht="21.75" customHeight="1">
      <c r="A1844" s="1936" t="str">
        <f>'Part IX Scoring Criteria'!A189</f>
        <v xml:space="preserve">Applicant is taking points because Harper Woods II is located in the attendance zone of Midland Academy  High Performing School in Muscogee County according to Georgia's performance evaluation system (CCRPI). Harper Woods II is also within the attendance zone of Midland Middle School with "Beating the Odds Designation" for 2019. See Tab 30 for attendance zone maps and data from CCRPI and BTO.  </v>
      </c>
      <c r="B1844" s="1936"/>
      <c r="C1844" s="1936"/>
      <c r="D1844" s="1936"/>
      <c r="E1844" s="1936"/>
      <c r="F1844" s="1936"/>
      <c r="G1844" s="1936"/>
      <c r="H1844" s="1936"/>
      <c r="I1844" s="1936"/>
      <c r="J1844" s="1936"/>
      <c r="K1844" s="1936"/>
      <c r="L1844" s="1936"/>
      <c r="M1844" s="1936"/>
      <c r="N1844" s="1936"/>
      <c r="O1844" s="1936"/>
      <c r="P1844" s="1936"/>
      <c r="Q1844" s="1973" t="s">
        <v>1228</v>
      </c>
    </row>
    <row r="1845" spans="1:21" s="1951" customFormat="1" ht="10.5" customHeight="1">
      <c r="A1845" s="1815"/>
      <c r="B1845" s="1936" t="s">
        <v>1820</v>
      </c>
      <c r="C1845" s="1815"/>
      <c r="D1845" s="1936"/>
      <c r="E1845" s="1939"/>
      <c r="F1845" s="1939"/>
      <c r="G1845" s="1939"/>
      <c r="H1845" s="1939"/>
      <c r="I1845" s="1939"/>
      <c r="J1845" s="1939"/>
      <c r="K1845" s="1939"/>
      <c r="L1845" s="1939"/>
      <c r="M1845" s="1939"/>
      <c r="N1845" s="1967"/>
      <c r="O1845" s="1967"/>
      <c r="P1845" s="1896"/>
    </row>
    <row r="1846" spans="1:21" s="1951" customFormat="1" ht="11.25" customHeight="1">
      <c r="A1846" s="1936"/>
      <c r="B1846" s="1936"/>
      <c r="C1846" s="1936"/>
      <c r="D1846" s="1936"/>
      <c r="E1846" s="1936"/>
      <c r="F1846" s="1936"/>
      <c r="G1846" s="1936"/>
      <c r="H1846" s="1936"/>
      <c r="I1846" s="1936"/>
      <c r="J1846" s="1936"/>
      <c r="K1846" s="1936"/>
      <c r="L1846" s="1936"/>
      <c r="M1846" s="1936"/>
      <c r="N1846" s="1936"/>
      <c r="O1846" s="1936"/>
      <c r="P1846" s="1936"/>
      <c r="Q1846" s="1973"/>
      <c r="U1846" s="1976"/>
    </row>
    <row r="1847" spans="1:21" s="1951" customFormat="1" ht="3" customHeight="1">
      <c r="A1847" s="1815"/>
      <c r="C1847" s="1939"/>
      <c r="D1847" s="1939"/>
      <c r="E1847" s="1939"/>
      <c r="F1847" s="1939"/>
      <c r="G1847" s="1939"/>
      <c r="H1847" s="1939"/>
      <c r="I1847" s="1939"/>
      <c r="J1847" s="1939"/>
      <c r="K1847" s="1939"/>
      <c r="L1847" s="1939"/>
      <c r="M1847" s="1939"/>
      <c r="N1847" s="1967"/>
      <c r="O1847" s="1967"/>
      <c r="P1847" s="1896"/>
    </row>
    <row r="1848" spans="1:21" s="1947" customFormat="1" ht="12.6" customHeight="1">
      <c r="A1848" s="2150" t="s">
        <v>754</v>
      </c>
      <c r="B1848" s="1815" t="s">
        <v>3736</v>
      </c>
      <c r="D1848" s="449"/>
      <c r="E1848" s="449"/>
      <c r="I1848" s="1940"/>
      <c r="J1848" s="1940"/>
      <c r="K1848" s="1229"/>
      <c r="L1848" s="1229"/>
      <c r="M1848" s="1896">
        <v>7</v>
      </c>
      <c r="N1848" s="1896"/>
      <c r="O1848" s="1923">
        <f>'Part IX Scoring Criteria'!O193</f>
        <v>0</v>
      </c>
      <c r="P1848" s="1923">
        <f>'Part IX Scoring Criteria'!P193</f>
        <v>0</v>
      </c>
      <c r="Q1848" s="1896" t="s">
        <v>433</v>
      </c>
      <c r="R1848" s="1973" t="s">
        <v>4568</v>
      </c>
      <c r="S1848" s="1973"/>
      <c r="T1848" s="1973"/>
      <c r="U1848" s="1973"/>
    </row>
    <row r="1849" spans="1:21" s="1951" customFormat="1" ht="2.25" customHeight="1">
      <c r="A1849" s="1896"/>
      <c r="C1849" s="1897"/>
      <c r="D1849" s="1897"/>
      <c r="E1849" s="1822"/>
      <c r="F1849" s="1897"/>
      <c r="G1849" s="1897"/>
      <c r="H1849" s="1897"/>
      <c r="I1849" s="1897"/>
      <c r="J1849" s="1897"/>
      <c r="K1849" s="1897"/>
      <c r="L1849" s="1897"/>
      <c r="M1849" s="1897"/>
      <c r="N1849" s="1897"/>
      <c r="O1849" s="1897"/>
      <c r="P1849" s="1897"/>
      <c r="R1849" s="1973"/>
      <c r="S1849" s="1973"/>
      <c r="T1849" s="1973"/>
      <c r="U1849" s="1973"/>
    </row>
    <row r="1850" spans="1:21" s="1951" customFormat="1" ht="23.25" customHeight="1">
      <c r="A1850" s="1896"/>
      <c r="B1850" s="449" t="s">
        <v>6950</v>
      </c>
      <c r="C1850" s="449"/>
      <c r="D1850" s="449"/>
      <c r="E1850" s="449"/>
      <c r="F1850" s="449"/>
      <c r="G1850" s="449"/>
      <c r="H1850" s="449"/>
      <c r="I1850" s="449"/>
      <c r="J1850" s="449"/>
      <c r="K1850" s="449"/>
      <c r="L1850" s="449"/>
      <c r="M1850" s="449"/>
      <c r="N1850" s="449"/>
      <c r="O1850" s="449"/>
      <c r="P1850" s="449"/>
      <c r="R1850" s="1973"/>
      <c r="S1850" s="1973"/>
      <c r="T1850" s="1973"/>
      <c r="U1850" s="1973"/>
    </row>
    <row r="1851" spans="1:21" s="1951" customFormat="1" ht="12" customHeight="1">
      <c r="A1851" s="1904" t="s">
        <v>1936</v>
      </c>
      <c r="B1851" s="1897" t="s">
        <v>4600</v>
      </c>
      <c r="C1851" s="1897"/>
      <c r="D1851" s="1897"/>
      <c r="E1851" s="1897"/>
      <c r="F1851" s="1897"/>
      <c r="G1851" s="1897" t="s">
        <v>6883</v>
      </c>
      <c r="H1851" s="1897"/>
      <c r="I1851" s="1897"/>
      <c r="J1851" s="1897"/>
      <c r="K1851" s="1817" t="s">
        <v>4755</v>
      </c>
      <c r="L1851" s="1817" t="s">
        <v>4755</v>
      </c>
      <c r="M1851" s="1896">
        <v>5</v>
      </c>
      <c r="N1851" s="1940" t="s">
        <v>1936</v>
      </c>
      <c r="O1851" s="1958">
        <f>'Part IX Scoring Criteria'!O196</f>
        <v>0</v>
      </c>
      <c r="P1851" s="1958">
        <f>'Part IX Scoring Criteria'!P196</f>
        <v>0</v>
      </c>
      <c r="R1851" s="1973"/>
      <c r="S1851" s="1973"/>
      <c r="T1851" s="1973"/>
      <c r="U1851" s="1973"/>
    </row>
    <row r="1852" spans="1:21" s="1815" customFormat="1" ht="11.25" customHeight="1">
      <c r="B1852" s="1936" t="s">
        <v>6951</v>
      </c>
      <c r="D1852" s="1936"/>
      <c r="E1852" s="1936"/>
      <c r="F1852" s="1936"/>
      <c r="G1852" s="1936"/>
      <c r="H1852" s="1936"/>
      <c r="I1852" s="1936"/>
      <c r="J1852" s="1940"/>
      <c r="K1852" s="1229">
        <f>'Part IX Scoring Criteria'!K197</f>
        <v>0</v>
      </c>
      <c r="L1852" s="1229"/>
      <c r="R1852" s="1973"/>
      <c r="S1852" s="1973"/>
      <c r="T1852" s="1973"/>
      <c r="U1852" s="1973"/>
    </row>
    <row r="1853" spans="1:21" s="1951" customFormat="1" ht="12" customHeight="1">
      <c r="A1853" s="1896"/>
      <c r="B1853" s="449" t="s">
        <v>4596</v>
      </c>
      <c r="C1853" s="1897"/>
      <c r="D1853" s="1897"/>
      <c r="E1853" s="1897"/>
      <c r="F1853" s="1897"/>
      <c r="G1853" s="1897"/>
      <c r="H1853" s="1897"/>
      <c r="I1853" s="1897"/>
      <c r="J1853" s="1897"/>
      <c r="K1853" s="1817" t="s">
        <v>2444</v>
      </c>
      <c r="L1853" s="1817" t="s">
        <v>2444</v>
      </c>
      <c r="N1853" s="1945"/>
      <c r="P1853" s="1945"/>
      <c r="R1853" s="1973"/>
      <c r="S1853" s="1973"/>
      <c r="T1853" s="1973"/>
      <c r="U1853" s="1973"/>
    </row>
    <row r="1854" spans="1:21" s="1910" customFormat="1" ht="11.25" customHeight="1">
      <c r="B1854" s="1942" t="s">
        <v>2372</v>
      </c>
      <c r="C1854" s="1936" t="s">
        <v>4381</v>
      </c>
      <c r="D1854" s="1936"/>
      <c r="E1854" s="1936"/>
      <c r="F1854" s="1936"/>
      <c r="G1854" s="1936"/>
      <c r="H1854" s="1936"/>
      <c r="I1854" s="1936"/>
      <c r="J1854" s="1942" t="s">
        <v>2372</v>
      </c>
      <c r="K1854" s="1229">
        <f>'Part IX Scoring Criteria'!K199</f>
        <v>0</v>
      </c>
      <c r="L1854" s="1229"/>
      <c r="M1854" s="2232" t="str">
        <f>'Part IX Scoring Criteria'!M199</f>
        <v>&lt;Enter page nbr(s) from Plan&gt;</v>
      </c>
      <c r="N1854" s="2232"/>
      <c r="O1854" s="2232"/>
      <c r="P1854" s="2232"/>
      <c r="R1854" s="1973"/>
      <c r="S1854" s="1973"/>
      <c r="T1854" s="1973"/>
      <c r="U1854" s="1973"/>
    </row>
    <row r="1855" spans="1:21" s="1951" customFormat="1" ht="11.25" customHeight="1">
      <c r="A1855" s="1874"/>
      <c r="B1855" s="1940"/>
      <c r="C1855" s="1936"/>
      <c r="D1855" s="1936"/>
      <c r="E1855" s="1936"/>
      <c r="F1855" s="1936"/>
      <c r="G1855" s="1936"/>
      <c r="H1855" s="1936"/>
      <c r="I1855" s="1936"/>
      <c r="J1855" s="1940"/>
      <c r="K1855" s="1970"/>
      <c r="L1855" s="1970"/>
      <c r="R1855" s="1973"/>
      <c r="S1855" s="1973"/>
      <c r="T1855" s="1973"/>
      <c r="U1855" s="1973"/>
    </row>
    <row r="1856" spans="1:21" s="1815" customFormat="1" ht="11.25" customHeight="1">
      <c r="B1856" s="1940" t="s">
        <v>2373</v>
      </c>
      <c r="C1856" s="449" t="s">
        <v>4601</v>
      </c>
      <c r="D1856" s="449"/>
      <c r="E1856" s="449"/>
      <c r="F1856" s="449"/>
      <c r="G1856" s="449"/>
      <c r="H1856" s="449"/>
      <c r="J1856" s="1940" t="s">
        <v>2373</v>
      </c>
      <c r="K1856" s="1229">
        <f>'Part IX Scoring Criteria'!K201</f>
        <v>0</v>
      </c>
      <c r="L1856" s="1229"/>
      <c r="M1856" s="2232" t="str">
        <f>'Part IX Scoring Criteria'!M201</f>
        <v>&lt;Enter page nbr(s) from Plan&gt;</v>
      </c>
      <c r="N1856" s="2232"/>
      <c r="O1856" s="2232"/>
      <c r="P1856" s="2232"/>
      <c r="R1856" s="1973"/>
      <c r="S1856" s="1973"/>
      <c r="T1856" s="1973"/>
      <c r="U1856" s="1973"/>
    </row>
    <row r="1857" spans="1:25" s="1815" customFormat="1" ht="11.25" customHeight="1">
      <c r="B1857" s="1940" t="s">
        <v>2374</v>
      </c>
      <c r="C1857" s="449" t="s">
        <v>4598</v>
      </c>
      <c r="D1857" s="449"/>
      <c r="E1857" s="449"/>
      <c r="F1857" s="449"/>
      <c r="G1857" s="449"/>
      <c r="H1857" s="449"/>
      <c r="I1857" s="449"/>
      <c r="J1857" s="1940" t="s">
        <v>2374</v>
      </c>
      <c r="K1857" s="1229">
        <f>'Part IX Scoring Criteria'!K202</f>
        <v>0</v>
      </c>
      <c r="L1857" s="1229"/>
      <c r="R1857" s="1973"/>
      <c r="S1857" s="1973"/>
      <c r="T1857" s="1973"/>
      <c r="U1857" s="1973"/>
    </row>
    <row r="1858" spans="1:25" s="1951" customFormat="1" ht="11.25" customHeight="1">
      <c r="A1858" s="1874"/>
      <c r="C1858" s="1940" t="s">
        <v>2375</v>
      </c>
      <c r="D1858" s="1908" t="s">
        <v>4380</v>
      </c>
      <c r="E1858" s="449"/>
      <c r="F1858" s="449"/>
      <c r="G1858" s="449"/>
      <c r="H1858" s="449"/>
      <c r="I1858" s="449"/>
      <c r="J1858" s="1940" t="s">
        <v>2375</v>
      </c>
      <c r="K1858" s="2171">
        <f>'Part IX Scoring Criteria'!K203</f>
        <v>0</v>
      </c>
      <c r="L1858" s="2171"/>
      <c r="M1858" s="449"/>
      <c r="N1858" s="449"/>
      <c r="O1858" s="449"/>
      <c r="P1858" s="449"/>
      <c r="R1858" s="1973"/>
      <c r="S1858" s="1973"/>
      <c r="T1858" s="1973"/>
      <c r="U1858" s="1973"/>
    </row>
    <row r="1859" spans="1:25" s="1951" customFormat="1" ht="12" customHeight="1">
      <c r="A1859" s="1896"/>
      <c r="B1859" s="449" t="s">
        <v>4597</v>
      </c>
      <c r="C1859" s="1897"/>
      <c r="D1859" s="1897"/>
      <c r="E1859" s="1897"/>
      <c r="F1859" s="1897"/>
      <c r="G1859" s="1897"/>
      <c r="H1859" s="1897"/>
      <c r="I1859" s="1897"/>
      <c r="J1859" s="1897"/>
      <c r="K1859" s="1817" t="s">
        <v>2444</v>
      </c>
      <c r="L1859" s="1817" t="s">
        <v>2444</v>
      </c>
      <c r="N1859" s="1945"/>
      <c r="P1859" s="1945"/>
      <c r="R1859" s="1973"/>
      <c r="S1859" s="1973"/>
      <c r="T1859" s="1973"/>
      <c r="U1859" s="1973"/>
    </row>
    <row r="1860" spans="1:25" s="1947" customFormat="1" ht="11.25" customHeight="1">
      <c r="A1860" s="1896"/>
      <c r="B1860" s="1940" t="s">
        <v>2376</v>
      </c>
      <c r="C1860" s="449" t="s">
        <v>6915</v>
      </c>
      <c r="D1860" s="449"/>
      <c r="E1860" s="449"/>
      <c r="F1860" s="449"/>
      <c r="G1860" s="449"/>
      <c r="J1860" s="1940" t="s">
        <v>2376</v>
      </c>
      <c r="K1860" s="1229">
        <f>'Part IX Scoring Criteria'!K205</f>
        <v>0</v>
      </c>
      <c r="L1860" s="1229"/>
      <c r="M1860" s="2232" t="str">
        <f>'Part IX Scoring Criteria'!M205</f>
        <v>&lt;Enter page nbr(s) from Plan&gt;</v>
      </c>
      <c r="N1860" s="2232"/>
      <c r="O1860" s="2232"/>
      <c r="P1860" s="2232"/>
      <c r="Q1860" s="1816">
        <f>IF(K1860="Yes",1,0)</f>
        <v>0</v>
      </c>
      <c r="R1860" s="1973"/>
      <c r="S1860" s="1973"/>
      <c r="T1860" s="1973"/>
      <c r="U1860" s="1973"/>
      <c r="V1860" s="1816">
        <f>IF(L1860="Yes",1,0)</f>
        <v>0</v>
      </c>
    </row>
    <row r="1861" spans="1:25" s="1815" customFormat="1" ht="11.25" customHeight="1">
      <c r="B1861" s="1940" t="s">
        <v>2392</v>
      </c>
      <c r="C1861" s="449" t="s">
        <v>4310</v>
      </c>
      <c r="D1861" s="449"/>
      <c r="E1861" s="449"/>
      <c r="F1861" s="449"/>
      <c r="G1861" s="449"/>
      <c r="H1861" s="449"/>
      <c r="J1861" s="1940" t="s">
        <v>2392</v>
      </c>
      <c r="K1861" s="1229">
        <f>'Part IX Scoring Criteria'!K206</f>
        <v>0</v>
      </c>
      <c r="L1861" s="1229"/>
      <c r="M1861" s="2232" t="str">
        <f>'Part IX Scoring Criteria'!M206</f>
        <v>&lt;Enter page nbr(s) from Plan&gt;</v>
      </c>
      <c r="N1861" s="2232"/>
      <c r="O1861" s="2232"/>
      <c r="P1861" s="2232"/>
      <c r="Q1861" s="1816">
        <f t="shared" ref="Q1861:Q1862" si="405">IF(K1861="Yes",1,0)</f>
        <v>0</v>
      </c>
      <c r="R1861" s="1973"/>
      <c r="S1861" s="1973"/>
      <c r="T1861" s="1973"/>
      <c r="U1861" s="1973"/>
      <c r="V1861" s="1816">
        <f>IF(L1861="Yes",1,0)</f>
        <v>0</v>
      </c>
    </row>
    <row r="1862" spans="1:25" s="1815" customFormat="1" ht="10.95" customHeight="1">
      <c r="B1862" s="1940" t="s">
        <v>2393</v>
      </c>
      <c r="C1862" s="449" t="s">
        <v>4594</v>
      </c>
      <c r="D1862" s="449"/>
      <c r="E1862" s="449"/>
      <c r="F1862" s="449"/>
      <c r="G1862" s="449"/>
      <c r="J1862" s="1940" t="s">
        <v>2393</v>
      </c>
      <c r="K1862" s="1229">
        <f>'Part IX Scoring Criteria'!K207</f>
        <v>0</v>
      </c>
      <c r="L1862" s="1229"/>
      <c r="M1862" s="2232" t="str">
        <f>'Part IX Scoring Criteria'!M207</f>
        <v>&lt;Enter page nbr(s) from Plan&gt;</v>
      </c>
      <c r="N1862" s="2232"/>
      <c r="O1862" s="2232"/>
      <c r="P1862" s="2232"/>
      <c r="Q1862" s="1816">
        <f t="shared" si="405"/>
        <v>0</v>
      </c>
      <c r="R1862" s="1973"/>
      <c r="S1862" s="1973"/>
      <c r="T1862" s="1973"/>
      <c r="U1862" s="1973"/>
      <c r="V1862" s="1816">
        <f>IF(L1862="Yes",1,0)</f>
        <v>0</v>
      </c>
    </row>
    <row r="1863" spans="1:25" s="1951" customFormat="1" ht="4.2" customHeight="1">
      <c r="A1863" s="1874"/>
      <c r="B1863" s="1940"/>
      <c r="C1863" s="1936"/>
      <c r="D1863" s="1936"/>
      <c r="E1863" s="1936"/>
      <c r="F1863" s="1936"/>
      <c r="G1863" s="1936"/>
      <c r="H1863" s="1936"/>
      <c r="I1863" s="1936"/>
      <c r="K1863" s="1970"/>
      <c r="L1863" s="1970"/>
      <c r="R1863" s="1973"/>
      <c r="S1863" s="1973"/>
      <c r="T1863" s="1973"/>
      <c r="U1863" s="1973"/>
    </row>
    <row r="1864" spans="1:25" ht="11.25" customHeight="1">
      <c r="B1864" s="1945" t="s">
        <v>4311</v>
      </c>
      <c r="Q1864" s="1843"/>
      <c r="X1864" s="1874"/>
      <c r="Y1864" s="1940"/>
    </row>
    <row r="1865" spans="1:25" ht="22.5" customHeight="1">
      <c r="A1865" s="1940"/>
      <c r="B1865" s="2172" t="s">
        <v>1939</v>
      </c>
      <c r="C1865" s="1936" t="s">
        <v>6884</v>
      </c>
      <c r="D1865" s="1936"/>
      <c r="E1865" s="1936"/>
      <c r="F1865" s="1936"/>
      <c r="G1865" s="1936"/>
      <c r="H1865" s="1936"/>
      <c r="I1865" s="1936"/>
      <c r="J1865" s="1936"/>
      <c r="K1865" s="1936"/>
      <c r="L1865" s="1936"/>
      <c r="M1865" s="1938">
        <v>3</v>
      </c>
      <c r="N1865" s="1968" t="s">
        <v>1939</v>
      </c>
      <c r="O1865" s="2173">
        <f>'Part IX Scoring Criteria'!O210</f>
        <v>0</v>
      </c>
      <c r="P1865" s="2173">
        <f>'Part IX Scoring Criteria'!P210</f>
        <v>0</v>
      </c>
      <c r="Q1865" s="1843"/>
      <c r="R1865" s="1823"/>
    </row>
    <row r="1866" spans="1:25" ht="12" customHeight="1">
      <c r="A1866" s="1940"/>
      <c r="B1866" s="2172" t="s">
        <v>1941</v>
      </c>
      <c r="C1866" s="1936" t="s">
        <v>6952</v>
      </c>
      <c r="D1866" s="1936"/>
      <c r="E1866" s="1936"/>
      <c r="F1866" s="1936"/>
      <c r="G1866" s="1936"/>
      <c r="H1866" s="1936"/>
      <c r="I1866" s="1936"/>
      <c r="J1866" s="1908" t="s">
        <v>3588</v>
      </c>
      <c r="K1866" s="1815"/>
      <c r="L1866" s="1908" t="str">
        <f>'Part I-Project Information'!$N$39</f>
        <v>No</v>
      </c>
      <c r="M1866" s="1229">
        <v>2</v>
      </c>
      <c r="N1866" s="1969" t="s">
        <v>1941</v>
      </c>
      <c r="O1866" s="1958">
        <f>'Part IX Scoring Criteria'!O211</f>
        <v>0</v>
      </c>
      <c r="P1866" s="1958"/>
      <c r="Q1866" s="1843" t="str">
        <f>IF(OR($O1866=$M1866,$O1866=0,$O1866=""),"","*CHECK!*")</f>
        <v/>
      </c>
      <c r="R1866" s="1823" t="s">
        <v>4767</v>
      </c>
    </row>
    <row r="1867" spans="1:25" ht="12" customHeight="1">
      <c r="A1867" s="1940"/>
      <c r="B1867" s="2172"/>
      <c r="C1867" s="449" t="s">
        <v>4569</v>
      </c>
      <c r="D1867" s="449"/>
      <c r="E1867" s="449"/>
      <c r="F1867" s="449"/>
      <c r="G1867" s="449"/>
      <c r="H1867" s="449"/>
      <c r="I1867" s="1939"/>
      <c r="J1867" s="1908" t="s">
        <v>3438</v>
      </c>
      <c r="K1867" s="449"/>
      <c r="L1867" s="1977" t="str">
        <f>'Part I-Project Information'!$O$38</f>
        <v>101.06</v>
      </c>
      <c r="M1867" s="1977"/>
      <c r="N1867" s="1938"/>
      <c r="O1867" s="1938"/>
      <c r="P1867" s="1938"/>
      <c r="Q1867" s="1993"/>
      <c r="R1867" s="1823"/>
    </row>
    <row r="1868" spans="1:25" ht="12" customHeight="1">
      <c r="A1868" s="1940"/>
      <c r="B1868" s="1944"/>
      <c r="C1868" s="449"/>
      <c r="D1868" s="449"/>
      <c r="E1868" s="449"/>
      <c r="F1868" s="449"/>
      <c r="G1868" s="449"/>
      <c r="H1868" s="449"/>
      <c r="J1868" s="1908" t="s">
        <v>3265</v>
      </c>
      <c r="K1868" s="1815"/>
      <c r="L1868" s="449" t="str">
        <f>'Part IV-A-Uses of Funds'!$H$152</f>
        <v>&lt;&lt;Select&gt;&gt;</v>
      </c>
      <c r="M1868" s="449"/>
    </row>
    <row r="1869" spans="1:25" ht="12" customHeight="1">
      <c r="A1869" s="1904" t="s">
        <v>1938</v>
      </c>
      <c r="B1869" s="1897" t="s">
        <v>4312</v>
      </c>
      <c r="D1869" s="1815"/>
      <c r="K1869" s="1948"/>
      <c r="L1869" s="1732" t="str">
        <f>IF(OR($O1869=$M1869,$O1869=0,$O1869=""),"","* * Check Score! * *")</f>
        <v/>
      </c>
      <c r="M1869" s="1896">
        <v>2</v>
      </c>
      <c r="N1869" s="1940" t="s">
        <v>1938</v>
      </c>
      <c r="O1869" s="1923">
        <f>'Part IX Scoring Criteria'!O214</f>
        <v>0</v>
      </c>
      <c r="P1869" s="1923"/>
      <c r="Q1869" s="1993" t="str">
        <f>IF(OR($O1869=$M1869,$O1869=0,$O1869=""),"","*CHECK!*")</f>
        <v/>
      </c>
      <c r="R1869" s="1823" t="s">
        <v>4767</v>
      </c>
    </row>
    <row r="1870" spans="1:25" s="1951" customFormat="1" ht="9.75" customHeight="1">
      <c r="A1870" s="1904"/>
      <c r="B1870" s="1947"/>
      <c r="C1870" s="449" t="s">
        <v>2703</v>
      </c>
      <c r="D1870" s="449"/>
      <c r="E1870" s="449"/>
      <c r="F1870" s="1896"/>
      <c r="G1870" s="1947"/>
      <c r="H1870" s="449"/>
      <c r="I1870" s="1947"/>
      <c r="J1870" s="449" t="str">
        <f>'Part I-Project Information'!$H$105</f>
        <v>Flexible</v>
      </c>
      <c r="K1870" s="1908"/>
      <c r="L1870" s="1947"/>
      <c r="M1870" s="1947"/>
      <c r="N1870" s="1947"/>
      <c r="O1870" s="1947"/>
      <c r="P1870" s="1947"/>
      <c r="T1870" s="1732" t="str">
        <f>IF(OR($O1869=$M1869,$O1869=0,$O1869=""),"","* * Check Score! * *")</f>
        <v/>
      </c>
      <c r="V1870" s="2125"/>
      <c r="W1870" s="2125"/>
    </row>
    <row r="1871" spans="1:25" s="1951" customFormat="1" ht="11.25" customHeight="1">
      <c r="A1871" s="1948"/>
      <c r="B1871" s="1960" t="s">
        <v>3589</v>
      </c>
      <c r="C1871" s="449" t="s">
        <v>3640</v>
      </c>
      <c r="D1871" s="1947"/>
      <c r="E1871" s="1947"/>
      <c r="F1871" s="1947"/>
      <c r="G1871" s="1947"/>
      <c r="H1871" s="1947"/>
      <c r="I1871" s="1947"/>
      <c r="J1871" s="449">
        <f>'Part IX Scoring Criteria'!J216</f>
        <v>0</v>
      </c>
      <c r="K1871" s="449"/>
      <c r="L1871" s="449"/>
      <c r="M1871" s="449"/>
      <c r="N1871" s="449"/>
      <c r="O1871" s="449"/>
      <c r="P1871" s="449"/>
      <c r="V1871" s="2125"/>
      <c r="W1871" s="2125"/>
    </row>
    <row r="1872" spans="1:25" s="1951" customFormat="1" ht="11.25" customHeight="1">
      <c r="A1872" s="1948"/>
      <c r="B1872" s="1940" t="s">
        <v>3590</v>
      </c>
      <c r="C1872" s="1908" t="s">
        <v>3641</v>
      </c>
      <c r="D1872" s="1947"/>
      <c r="E1872" s="1947"/>
      <c r="F1872" s="1947"/>
      <c r="G1872" s="1947"/>
      <c r="H1872" s="1947"/>
      <c r="I1872" s="1940" t="str">
        <f>IF($J$217="Government", "Additional documentation required - see QAP.","")</f>
        <v/>
      </c>
      <c r="J1872" s="449" t="str">
        <f>'Part IX Scoring Criteria'!J217</f>
        <v>&lt;Select unrelated 3rd party type&gt;</v>
      </c>
      <c r="K1872" s="449"/>
      <c r="L1872" s="449"/>
      <c r="M1872" s="1947"/>
      <c r="N1872" s="1947"/>
      <c r="O1872" s="1947"/>
      <c r="P1872" s="1947"/>
      <c r="V1872" s="2125"/>
      <c r="W1872" s="2125"/>
    </row>
    <row r="1873" spans="1:23" ht="11.25" customHeight="1">
      <c r="A1873" s="1930"/>
      <c r="B1873" s="1940" t="s">
        <v>3591</v>
      </c>
      <c r="C1873" s="1908" t="s">
        <v>4570</v>
      </c>
      <c r="D1873" s="1815"/>
      <c r="E1873" s="1815"/>
      <c r="F1873" s="1815"/>
      <c r="G1873" s="1815"/>
      <c r="H1873" s="1815"/>
      <c r="I1873" s="1815"/>
      <c r="J1873" s="1229">
        <f>'Part IX Scoring Criteria'!J218</f>
        <v>0</v>
      </c>
      <c r="K1873" s="449" t="s">
        <v>4314</v>
      </c>
      <c r="L1873" s="449"/>
      <c r="M1873" s="449"/>
      <c r="N1873" s="449"/>
      <c r="O1873" s="1947"/>
      <c r="P1873" s="1947"/>
      <c r="V1873" s="2125"/>
      <c r="W1873" s="2125"/>
    </row>
    <row r="1874" spans="1:23" ht="11.25" customHeight="1">
      <c r="A1874" s="1930"/>
      <c r="B1874" s="1940" t="s">
        <v>3593</v>
      </c>
      <c r="C1874" s="1908" t="s">
        <v>4313</v>
      </c>
      <c r="D1874" s="1815"/>
      <c r="E1874" s="1815"/>
      <c r="F1874" s="1815"/>
      <c r="G1874" s="1815"/>
      <c r="H1874" s="1815"/>
      <c r="I1874" s="1815"/>
      <c r="J1874" s="1229">
        <f>'Part IX Scoring Criteria'!J219</f>
        <v>0</v>
      </c>
      <c r="K1874" s="449"/>
      <c r="L1874" s="449"/>
      <c r="M1874" s="449"/>
      <c r="N1874" s="449"/>
      <c r="O1874" s="2233">
        <f>'Part IX Scoring Criteria'!O219</f>
        <v>0</v>
      </c>
      <c r="P1874" s="1978" t="s">
        <v>3596</v>
      </c>
      <c r="V1874" s="2125"/>
      <c r="W1874" s="2125"/>
    </row>
    <row r="1875" spans="1:23" ht="11.25" customHeight="1">
      <c r="A1875" s="1930"/>
      <c r="B1875" s="1940" t="s">
        <v>3594</v>
      </c>
      <c r="C1875" s="1908" t="s">
        <v>4316</v>
      </c>
      <c r="D1875" s="1815"/>
      <c r="E1875" s="1815"/>
      <c r="F1875" s="1815"/>
      <c r="G1875" s="1815"/>
      <c r="H1875" s="1815"/>
      <c r="I1875" s="1815"/>
      <c r="J1875" s="1229">
        <f>'Part IX Scoring Criteria'!J220</f>
        <v>0</v>
      </c>
      <c r="L1875" s="1940" t="s">
        <v>4315</v>
      </c>
      <c r="N1875" s="1940"/>
      <c r="O1875" s="2234">
        <f>'Part IX Scoring Criteria'!O220</f>
        <v>0</v>
      </c>
      <c r="P1875" s="2234"/>
      <c r="V1875" s="2125"/>
      <c r="W1875" s="2125"/>
    </row>
    <row r="1876" spans="1:23" ht="2.25" customHeight="1">
      <c r="A1876" s="1930"/>
      <c r="G1876" s="1936"/>
      <c r="L1876" s="1910"/>
      <c r="N1876" s="1874"/>
      <c r="O1876" s="1874"/>
      <c r="P1876" s="1874"/>
      <c r="V1876" s="2125"/>
      <c r="W1876" s="2125"/>
    </row>
    <row r="1877" spans="1:23" ht="21.75" customHeight="1">
      <c r="A1877" s="2174" t="s">
        <v>3824</v>
      </c>
      <c r="B1877" s="1822" t="s">
        <v>3822</v>
      </c>
      <c r="C1877" s="1822"/>
      <c r="D1877" s="1956">
        <f>'Part IX Scoring Criteria'!D222</f>
        <v>0</v>
      </c>
      <c r="E1877" s="1956"/>
      <c r="F1877" s="1956"/>
      <c r="G1877" s="1956"/>
      <c r="H1877" s="1956"/>
      <c r="I1877" s="1956"/>
      <c r="J1877" s="1956"/>
      <c r="K1877" s="1956"/>
      <c r="L1877" s="1956"/>
      <c r="M1877" s="1956"/>
      <c r="N1877" s="1956"/>
      <c r="O1877" s="1956"/>
      <c r="P1877" s="1956"/>
      <c r="Q1877" s="1973"/>
      <c r="V1877" s="2125"/>
      <c r="W1877" s="2125"/>
    </row>
    <row r="1878" spans="1:23" ht="22.5" customHeight="1">
      <c r="A1878" s="2174"/>
      <c r="B1878" s="1822" t="s">
        <v>3823</v>
      </c>
      <c r="C1878" s="1822"/>
      <c r="D1878" s="1956">
        <f>'Part IX Scoring Criteria'!D223</f>
        <v>0</v>
      </c>
      <c r="E1878" s="1956"/>
      <c r="F1878" s="1956"/>
      <c r="G1878" s="1956"/>
      <c r="H1878" s="1956"/>
      <c r="I1878" s="1956"/>
      <c r="J1878" s="1956"/>
      <c r="K1878" s="1956"/>
      <c r="L1878" s="1956"/>
      <c r="M1878" s="1956"/>
      <c r="N1878" s="1956"/>
      <c r="O1878" s="1956"/>
      <c r="P1878" s="1956"/>
      <c r="Q1878" s="1973"/>
      <c r="V1878" s="2125"/>
      <c r="W1878" s="2125"/>
    </row>
    <row r="1879" spans="1:23" ht="22.5" customHeight="1">
      <c r="A1879" s="2174"/>
      <c r="B1879" s="1822" t="s">
        <v>4365</v>
      </c>
      <c r="C1879" s="1822"/>
      <c r="D1879" s="1956">
        <f>'Part IX Scoring Criteria'!D224</f>
        <v>0</v>
      </c>
      <c r="E1879" s="1956"/>
      <c r="F1879" s="1956"/>
      <c r="G1879" s="1956"/>
      <c r="H1879" s="1956"/>
      <c r="I1879" s="1956"/>
      <c r="J1879" s="1956"/>
      <c r="K1879" s="1956"/>
      <c r="L1879" s="1956"/>
      <c r="M1879" s="1956"/>
      <c r="N1879" s="1956"/>
      <c r="O1879" s="1956"/>
      <c r="P1879" s="1956"/>
      <c r="Q1879" s="1973"/>
      <c r="V1879" s="2125"/>
      <c r="W1879" s="2125"/>
    </row>
    <row r="1880" spans="1:23" ht="11.25" customHeight="1">
      <c r="B1880" s="449" t="s">
        <v>3338</v>
      </c>
      <c r="G1880" s="449" t="s">
        <v>2560</v>
      </c>
      <c r="H1880" s="449"/>
      <c r="J1880" s="1979">
        <f>'Part IX Scoring Criteria'!J225</f>
        <v>0</v>
      </c>
      <c r="K1880" s="1979"/>
      <c r="L1880" s="1979"/>
      <c r="M1880" s="1979"/>
      <c r="N1880" s="1874"/>
      <c r="O1880" s="1874"/>
      <c r="P1880" s="1874"/>
      <c r="V1880" s="2125"/>
      <c r="W1880" s="2125"/>
    </row>
    <row r="1881" spans="1:23" s="1951" customFormat="1" ht="11.25" customHeight="1">
      <c r="C1881" s="449" t="s">
        <v>6813</v>
      </c>
      <c r="D1881" s="1939"/>
      <c r="G1881" s="1979">
        <f>'Part IV-A-Uses of Funds'!$G$132</f>
        <v>12452350</v>
      </c>
      <c r="H1881" s="1979"/>
      <c r="J1881" s="1980">
        <f>IF($J1880=0,0,$J1880/$G$226)</f>
        <v>0</v>
      </c>
      <c r="K1881" s="1980"/>
      <c r="L1881" s="1980">
        <f>IF($L1880=0,0,$L1880/$G$226)</f>
        <v>0</v>
      </c>
      <c r="M1881" s="1980"/>
      <c r="V1881" s="2125"/>
      <c r="W1881" s="2125"/>
    </row>
    <row r="1882" spans="1:23" s="1947" customFormat="1" ht="10.5" customHeight="1">
      <c r="A1882" s="1815"/>
      <c r="B1882" s="449" t="s">
        <v>3566</v>
      </c>
      <c r="C1882" s="1815"/>
      <c r="D1882" s="1897"/>
      <c r="E1882" s="1897"/>
      <c r="F1882" s="1897"/>
      <c r="G1882" s="1897"/>
      <c r="H1882" s="449"/>
      <c r="I1882" s="449"/>
      <c r="J1882" s="449"/>
      <c r="K1882" s="449"/>
      <c r="M1882" s="1896"/>
      <c r="N1882" s="1896"/>
      <c r="O1882" s="1923"/>
      <c r="P1882" s="1896"/>
    </row>
    <row r="1883" spans="1:23" s="1951" customFormat="1" ht="21.75" customHeight="1">
      <c r="A1883" s="1936" t="str">
        <f>'Part IX Scoring Criteria'!A228</f>
        <v xml:space="preserve">Applicant is not claiming points in this category. </v>
      </c>
      <c r="B1883" s="1936"/>
      <c r="C1883" s="1936"/>
      <c r="D1883" s="1936"/>
      <c r="E1883" s="1936"/>
      <c r="F1883" s="1936"/>
      <c r="G1883" s="1936"/>
      <c r="H1883" s="1936"/>
      <c r="I1883" s="1936"/>
      <c r="J1883" s="1936"/>
      <c r="K1883" s="1936"/>
      <c r="L1883" s="1936"/>
      <c r="M1883" s="1936"/>
      <c r="N1883" s="1936"/>
      <c r="O1883" s="1936"/>
      <c r="P1883" s="1936"/>
      <c r="Q1883" s="1973" t="s">
        <v>1228</v>
      </c>
    </row>
    <row r="1884" spans="1:23" s="1947" customFormat="1" ht="11.4" customHeight="1">
      <c r="A1884" s="1815"/>
      <c r="B1884" s="449" t="s">
        <v>1820</v>
      </c>
      <c r="C1884" s="1815"/>
      <c r="D1884" s="449"/>
      <c r="E1884" s="1908"/>
      <c r="F1884" s="1908"/>
      <c r="G1884" s="1908"/>
      <c r="H1884" s="1908"/>
      <c r="I1884" s="1908"/>
      <c r="J1884" s="1908"/>
      <c r="K1884" s="1908"/>
      <c r="L1884" s="1908"/>
      <c r="M1884" s="1908"/>
      <c r="N1884" s="1896"/>
      <c r="O1884" s="1896"/>
      <c r="P1884" s="1896"/>
      <c r="Q1884" s="1951"/>
    </row>
    <row r="1885" spans="1:23" s="1951" customFormat="1" ht="11.25" customHeight="1">
      <c r="A1885" s="1936"/>
      <c r="B1885" s="1936"/>
      <c r="C1885" s="1936"/>
      <c r="D1885" s="1936"/>
      <c r="E1885" s="1936"/>
      <c r="F1885" s="1936"/>
      <c r="G1885" s="1936"/>
      <c r="H1885" s="1936"/>
      <c r="I1885" s="1936"/>
      <c r="J1885" s="1936"/>
      <c r="K1885" s="1936"/>
      <c r="L1885" s="1936"/>
      <c r="M1885" s="1936"/>
      <c r="N1885" s="1936"/>
      <c r="O1885" s="1936"/>
      <c r="P1885" s="1936"/>
      <c r="Q1885" s="1973"/>
    </row>
    <row r="1886" spans="1:23" s="1951" customFormat="1" ht="3" customHeight="1">
      <c r="A1886" s="1815"/>
      <c r="C1886" s="1939"/>
      <c r="D1886" s="1939"/>
      <c r="E1886" s="1939"/>
      <c r="F1886" s="1939"/>
      <c r="G1886" s="1939"/>
      <c r="H1886" s="1939"/>
      <c r="I1886" s="1939"/>
      <c r="J1886" s="1939"/>
      <c r="K1886" s="1939"/>
      <c r="L1886" s="1939"/>
      <c r="M1886" s="1939"/>
      <c r="N1886" s="1967"/>
      <c r="O1886" s="1967"/>
      <c r="P1886" s="1896"/>
    </row>
    <row r="1887" spans="1:23" s="1951" customFormat="1" ht="13.5" customHeight="1">
      <c r="A1887" s="2150" t="s">
        <v>287</v>
      </c>
      <c r="B1887" s="1815" t="s">
        <v>3737</v>
      </c>
      <c r="C1887" s="1939"/>
      <c r="D1887" s="1939"/>
      <c r="E1887" s="1939"/>
      <c r="F1887" s="1939"/>
      <c r="G1887" s="1939"/>
      <c r="H1887" s="1939"/>
      <c r="I1887" s="1939"/>
      <c r="J1887" s="1939"/>
      <c r="M1887" s="1896">
        <v>3</v>
      </c>
      <c r="N1887" s="1967"/>
      <c r="O1887" s="1967"/>
      <c r="P1887" s="1923"/>
      <c r="Q1887" s="1896" t="s">
        <v>433</v>
      </c>
      <c r="R1887" s="1823" t="s">
        <v>2626</v>
      </c>
    </row>
    <row r="1888" spans="1:23" s="1951" customFormat="1" ht="13.5" customHeight="1">
      <c r="A1888" s="2150"/>
      <c r="B1888" s="1897" t="s">
        <v>4117</v>
      </c>
      <c r="C1888" s="1939"/>
      <c r="D1888" s="1939"/>
      <c r="E1888" s="1939"/>
      <c r="F1888" s="1939"/>
      <c r="G1888" s="1939"/>
      <c r="H1888" s="1939"/>
      <c r="I1888" s="1939"/>
      <c r="J1888" s="1939"/>
      <c r="K1888" s="1229"/>
      <c r="L1888" s="1904" t="str">
        <f>IF(OR(O$150&gt;0,O$265&gt;0),"Applicant is ineligible for points in this section!  Points claimed in VI or IX.","")</f>
        <v/>
      </c>
      <c r="M1888" s="1896"/>
      <c r="N1888" s="1967"/>
      <c r="O1888" s="1229">
        <f>'Part IX Scoring Criteria'!O233</f>
        <v>0</v>
      </c>
      <c r="P1888" s="1229"/>
      <c r="Q1888" s="1896"/>
      <c r="R1888" s="1952" t="s">
        <v>6953</v>
      </c>
      <c r="S1888" s="1952"/>
      <c r="T1888" s="1952"/>
      <c r="U1888" s="1952"/>
    </row>
    <row r="1889" spans="1:23" s="1951" customFormat="1" ht="13.5" customHeight="1">
      <c r="A1889" s="2150"/>
      <c r="B1889" s="1908" t="s">
        <v>3738</v>
      </c>
      <c r="C1889" s="1939"/>
      <c r="D1889" s="1939"/>
      <c r="E1889" s="1939"/>
      <c r="F1889" s="1939"/>
      <c r="G1889" s="1939"/>
      <c r="H1889" s="1939"/>
      <c r="I1889" s="1939"/>
      <c r="J1889" s="1939"/>
      <c r="K1889" s="1229" t="s">
        <v>3141</v>
      </c>
      <c r="L1889" s="1229" t="s">
        <v>251</v>
      </c>
      <c r="M1889" s="1896"/>
      <c r="N1889" s="1967"/>
      <c r="O1889" s="1967"/>
      <c r="P1889" s="1967"/>
      <c r="Q1889" s="1896"/>
      <c r="R1889" s="1952"/>
      <c r="S1889" s="1952"/>
      <c r="T1889" s="1952"/>
      <c r="U1889" s="1952"/>
    </row>
    <row r="1890" spans="1:23" s="1951" customFormat="1" ht="11.25" customHeight="1">
      <c r="A1890" s="1904"/>
      <c r="C1890" s="1945" t="s">
        <v>4571</v>
      </c>
      <c r="K1890" s="1958">
        <f>$O$193</f>
        <v>0</v>
      </c>
      <c r="L1890" s="1958">
        <f>$P$193</f>
        <v>0</v>
      </c>
      <c r="N1890" s="1940" t="s">
        <v>2372</v>
      </c>
      <c r="O1890" s="1229">
        <f>'Part IX Scoring Criteria'!O235</f>
        <v>0</v>
      </c>
      <c r="P1890" s="1229"/>
      <c r="R1890" s="1952"/>
      <c r="S1890" s="1952"/>
      <c r="T1890" s="1952"/>
      <c r="U1890" s="1952"/>
    </row>
    <row r="1891" spans="1:23" s="1951" customFormat="1" ht="11.25" customHeight="1">
      <c r="A1891" s="1904"/>
      <c r="C1891" s="1945" t="s">
        <v>4756</v>
      </c>
      <c r="K1891" s="1958" t="str">
        <f>$O$112</f>
        <v>Required:</v>
      </c>
      <c r="L1891" s="1958">
        <f>$P$112</f>
        <v>0.05</v>
      </c>
      <c r="N1891" s="1940" t="s">
        <v>2373</v>
      </c>
      <c r="O1891" s="1229">
        <f>'Part IX Scoring Criteria'!O236</f>
        <v>0</v>
      </c>
      <c r="P1891" s="1229"/>
      <c r="R1891" s="1952"/>
      <c r="S1891" s="1952"/>
      <c r="T1891" s="1952"/>
      <c r="U1891" s="1952"/>
    </row>
    <row r="1892" spans="1:23" s="1951" customFormat="1" ht="11.25" customHeight="1">
      <c r="C1892" s="1945" t="s">
        <v>4572</v>
      </c>
      <c r="N1892" s="1940" t="s">
        <v>2374</v>
      </c>
      <c r="O1892" s="1229">
        <f>'Part IX Scoring Criteria'!O237</f>
        <v>0</v>
      </c>
      <c r="P1892" s="1229"/>
      <c r="R1892" s="1952"/>
      <c r="S1892" s="1952"/>
      <c r="T1892" s="1952"/>
      <c r="U1892" s="1952"/>
    </row>
    <row r="1893" spans="1:23" s="1951" customFormat="1" ht="11.25" customHeight="1">
      <c r="A1893" s="1904"/>
      <c r="C1893" s="1945" t="s">
        <v>4757</v>
      </c>
      <c r="K1893" s="1961">
        <f>'Part I-Project Information'!F1691</f>
        <v>0</v>
      </c>
      <c r="L1893" s="1972"/>
      <c r="N1893" s="1940" t="s">
        <v>2375</v>
      </c>
      <c r="O1893" s="1940"/>
      <c r="P1893" s="1229"/>
      <c r="R1893" s="1952"/>
      <c r="S1893" s="1952"/>
      <c r="T1893" s="1952"/>
      <c r="U1893" s="1952"/>
    </row>
    <row r="1894" spans="1:23" s="1951" customFormat="1" ht="11.25" customHeight="1">
      <c r="A1894" s="1904"/>
      <c r="C1894" s="1945" t="s">
        <v>4758</v>
      </c>
      <c r="K1894" s="1958">
        <f>$O$150</f>
        <v>0</v>
      </c>
      <c r="L1894" s="1958" t="str">
        <f>$P$150</f>
        <v>Direct</v>
      </c>
      <c r="N1894" s="1940" t="s">
        <v>2376</v>
      </c>
      <c r="O1894" s="1229">
        <f>'Part IX Scoring Criteria'!O239</f>
        <v>0</v>
      </c>
      <c r="P1894" s="1229"/>
      <c r="R1894" s="1952"/>
      <c r="S1894" s="1952"/>
      <c r="T1894" s="1952"/>
      <c r="U1894" s="1952"/>
    </row>
    <row r="1895" spans="1:23" s="1951" customFormat="1" ht="11.25" customHeight="1">
      <c r="A1895" s="1904"/>
      <c r="C1895" s="1945" t="s">
        <v>4759</v>
      </c>
      <c r="K1895" s="1958">
        <f>$O$265</f>
        <v>0</v>
      </c>
      <c r="L1895" s="1958">
        <f>$P$265</f>
        <v>0</v>
      </c>
      <c r="N1895" s="1940" t="s">
        <v>2375</v>
      </c>
      <c r="O1895" s="1229">
        <f>'Part IX Scoring Criteria'!O240</f>
        <v>0</v>
      </c>
      <c r="P1895" s="1229"/>
      <c r="R1895" s="1952"/>
      <c r="S1895" s="1952"/>
      <c r="T1895" s="1952"/>
      <c r="U1895" s="1952"/>
    </row>
    <row r="1896" spans="1:23" s="1951" customFormat="1" ht="3" customHeight="1">
      <c r="A1896" s="1815"/>
      <c r="C1896" s="1939"/>
      <c r="D1896" s="1939"/>
      <c r="E1896" s="1939"/>
      <c r="F1896" s="1939"/>
      <c r="G1896" s="1939"/>
      <c r="H1896" s="1939"/>
      <c r="I1896" s="1939"/>
      <c r="J1896" s="1939"/>
      <c r="K1896" s="1939"/>
      <c r="L1896" s="1939"/>
      <c r="M1896" s="1939"/>
      <c r="N1896" s="1967"/>
      <c r="O1896" s="1967"/>
      <c r="P1896" s="1896"/>
      <c r="R1896" s="1952"/>
      <c r="S1896" s="1952"/>
      <c r="T1896" s="1952"/>
      <c r="U1896" s="1952"/>
    </row>
    <row r="1897" spans="1:23" ht="11.25" customHeight="1">
      <c r="A1897" s="1904" t="s">
        <v>1936</v>
      </c>
      <c r="B1897" s="1897" t="s">
        <v>6885</v>
      </c>
      <c r="D1897" s="1815"/>
      <c r="G1897" s="1944" t="s">
        <v>3592</v>
      </c>
      <c r="Q1897" s="1843"/>
      <c r="R1897" s="1952"/>
      <c r="S1897" s="1952"/>
      <c r="T1897" s="1952"/>
      <c r="U1897" s="1952"/>
    </row>
    <row r="1898" spans="1:23" s="1815" customFormat="1" ht="11.25" customHeight="1">
      <c r="A1898" s="1940"/>
      <c r="C1898" s="449" t="s">
        <v>3644</v>
      </c>
      <c r="E1898" s="449">
        <f>'Part IX Scoring Criteria'!E243</f>
        <v>0</v>
      </c>
      <c r="F1898" s="449"/>
      <c r="G1898" s="449"/>
      <c r="H1898" s="449"/>
      <c r="I1898" s="449"/>
      <c r="J1898" s="1908" t="s">
        <v>2625</v>
      </c>
      <c r="K1898" s="449">
        <f>'Part IX Scoring Criteria'!K243</f>
        <v>0</v>
      </c>
      <c r="L1898" s="449"/>
      <c r="M1898" s="449"/>
      <c r="N1898" s="449"/>
      <c r="O1898" s="449"/>
      <c r="Q1898" s="1843"/>
      <c r="R1898" s="1952"/>
      <c r="S1898" s="1952"/>
      <c r="T1898" s="1952"/>
      <c r="U1898" s="1952"/>
    </row>
    <row r="1899" spans="1:23" s="1815" customFormat="1" ht="11.25" customHeight="1">
      <c r="A1899" s="1940"/>
      <c r="C1899" s="449" t="s">
        <v>2144</v>
      </c>
      <c r="E1899" s="449">
        <f>'Part IX Scoring Criteria'!E244</f>
        <v>0</v>
      </c>
      <c r="F1899" s="449"/>
      <c r="G1899" s="449"/>
      <c r="H1899" s="449" t="s">
        <v>1679</v>
      </c>
      <c r="I1899" s="2235">
        <f>'Part IX Scoring Criteria'!I244</f>
        <v>0</v>
      </c>
      <c r="J1899" s="1908" t="s">
        <v>1755</v>
      </c>
      <c r="K1899" s="449">
        <f>'Part IX Scoring Criteria'!K244</f>
        <v>0</v>
      </c>
      <c r="L1899" s="449"/>
      <c r="M1899" s="449"/>
      <c r="N1899" s="449"/>
      <c r="O1899" s="449"/>
      <c r="Q1899" s="1843"/>
      <c r="R1899" s="1952"/>
      <c r="S1899" s="1952"/>
      <c r="T1899" s="1952"/>
      <c r="U1899" s="1952"/>
      <c r="V1899" s="2125"/>
      <c r="W1899" s="2125"/>
    </row>
    <row r="1900" spans="1:23" ht="3" customHeight="1">
      <c r="A1900" s="1940"/>
      <c r="C1900" s="1936"/>
      <c r="D1900" s="1936"/>
      <c r="E1900" s="1936"/>
      <c r="F1900" s="1936"/>
      <c r="G1900" s="1936"/>
      <c r="H1900" s="1936"/>
      <c r="I1900" s="1936"/>
      <c r="J1900" s="1936"/>
      <c r="K1900" s="1936"/>
      <c r="L1900" s="1936"/>
      <c r="Q1900" s="1843"/>
      <c r="R1900" s="1952"/>
      <c r="S1900" s="1952"/>
      <c r="T1900" s="1952"/>
      <c r="U1900" s="1952"/>
    </row>
    <row r="1901" spans="1:23" ht="10.5" customHeight="1">
      <c r="A1901" s="1940"/>
      <c r="B1901" s="2172" t="s">
        <v>1939</v>
      </c>
      <c r="C1901" s="1936" t="s">
        <v>3739</v>
      </c>
      <c r="D1901" s="1936"/>
      <c r="E1901" s="1936"/>
      <c r="F1901" s="1936"/>
      <c r="G1901" s="1936"/>
      <c r="H1901" s="1936"/>
      <c r="I1901" s="1936"/>
      <c r="J1901" s="1936"/>
      <c r="K1901" s="1936"/>
      <c r="L1901" s="1936"/>
      <c r="M1901" s="1936"/>
      <c r="N1901" s="1936"/>
      <c r="O1901" s="1229" t="s">
        <v>2444</v>
      </c>
      <c r="P1901" s="1229" t="s">
        <v>2444</v>
      </c>
      <c r="Q1901" s="1936"/>
      <c r="R1901" s="1952"/>
      <c r="S1901" s="1952"/>
      <c r="T1901" s="1952"/>
      <c r="U1901" s="1952"/>
    </row>
    <row r="1902" spans="1:23" s="1815" customFormat="1" ht="21.75" customHeight="1">
      <c r="A1902" s="1229"/>
      <c r="B1902" s="1939"/>
      <c r="C1902" s="449" t="s">
        <v>6916</v>
      </c>
      <c r="D1902" s="449"/>
      <c r="E1902" s="449"/>
      <c r="F1902" s="449"/>
      <c r="G1902" s="449"/>
      <c r="H1902" s="449"/>
      <c r="I1902" s="449"/>
      <c r="J1902" s="449"/>
      <c r="K1902" s="449"/>
      <c r="L1902" s="449"/>
      <c r="M1902" s="449"/>
      <c r="N1902" s="1949" t="s">
        <v>1939</v>
      </c>
      <c r="O1902" s="1938">
        <f>'Part IX Scoring Criteria'!O247</f>
        <v>0</v>
      </c>
      <c r="P1902" s="1938"/>
      <c r="Q1902" s="1936"/>
      <c r="V1902" s="2125"/>
      <c r="W1902" s="2125"/>
    </row>
    <row r="1903" spans="1:23" ht="11.25" customHeight="1">
      <c r="A1903" s="1940"/>
      <c r="B1903" s="2172" t="s">
        <v>1941</v>
      </c>
      <c r="C1903" s="1936" t="s">
        <v>3741</v>
      </c>
      <c r="D1903" s="1936"/>
      <c r="E1903" s="1936"/>
      <c r="F1903" s="1936"/>
      <c r="G1903" s="1944" t="s">
        <v>3592</v>
      </c>
      <c r="H1903" s="1936"/>
      <c r="I1903" s="1936"/>
      <c r="J1903" s="1936"/>
      <c r="K1903" s="1936"/>
      <c r="L1903" s="1936"/>
      <c r="M1903" s="1936"/>
      <c r="N1903" s="1936"/>
      <c r="O1903" s="1229" t="s">
        <v>2444</v>
      </c>
      <c r="P1903" s="1229" t="s">
        <v>2444</v>
      </c>
      <c r="Q1903" s="1936"/>
    </row>
    <row r="1904" spans="1:23" ht="21" customHeight="1">
      <c r="A1904" s="1940"/>
      <c r="B1904" s="1942"/>
      <c r="C1904" s="1936" t="s">
        <v>6832</v>
      </c>
      <c r="D1904" s="1936"/>
      <c r="E1904" s="1936"/>
      <c r="F1904" s="1936"/>
      <c r="G1904" s="1936"/>
      <c r="H1904" s="1936"/>
      <c r="I1904" s="1936"/>
      <c r="J1904" s="1936"/>
      <c r="K1904" s="1936"/>
      <c r="L1904" s="1936"/>
      <c r="M1904" s="1936"/>
      <c r="N1904" s="1949" t="s">
        <v>1941</v>
      </c>
      <c r="O1904" s="1938">
        <f>'Part IX Scoring Criteria'!O249</f>
        <v>0</v>
      </c>
      <c r="P1904" s="1938"/>
      <c r="Q1904" s="1922"/>
      <c r="V1904" s="2125"/>
      <c r="W1904" s="2125"/>
    </row>
    <row r="1905" spans="1:24" ht="11.25" customHeight="1">
      <c r="A1905" s="1904"/>
      <c r="B1905" s="1992" t="s">
        <v>2468</v>
      </c>
      <c r="C1905" s="449" t="s">
        <v>3595</v>
      </c>
      <c r="D1905" s="1815"/>
      <c r="Q1905" s="1896"/>
    </row>
    <row r="1906" spans="1:24" s="1815" customFormat="1" ht="21.75" customHeight="1">
      <c r="A1906" s="1940"/>
      <c r="B1906" s="1940"/>
      <c r="C1906" s="1936" t="s">
        <v>3743</v>
      </c>
      <c r="D1906" s="1936"/>
      <c r="E1906" s="1936"/>
      <c r="F1906" s="1936"/>
      <c r="G1906" s="1936"/>
      <c r="H1906" s="1936"/>
      <c r="I1906" s="1936"/>
      <c r="J1906" s="1936"/>
      <c r="K1906" s="1936"/>
      <c r="L1906" s="1936"/>
      <c r="M1906" s="1936"/>
      <c r="N1906" s="1949" t="s">
        <v>2468</v>
      </c>
      <c r="O1906" s="1938">
        <f>'Part IX Scoring Criteria'!O251</f>
        <v>0</v>
      </c>
      <c r="P1906" s="1938"/>
      <c r="Q1906" s="1922"/>
      <c r="V1906" s="2125"/>
      <c r="W1906" s="2125"/>
    </row>
    <row r="1907" spans="1:24" s="1815" customFormat="1" ht="10.5" customHeight="1">
      <c r="A1907" s="1940"/>
      <c r="B1907" s="1940"/>
      <c r="C1907" s="1939"/>
      <c r="D1907" s="1939"/>
      <c r="E1907" s="1939"/>
      <c r="F1907" s="1939"/>
      <c r="G1907" s="1939" t="s">
        <v>4382</v>
      </c>
      <c r="H1907" s="1939"/>
      <c r="J1907" s="2127">
        <f>'Part IX Scoring Criteria'!J252</f>
        <v>0</v>
      </c>
      <c r="K1907" s="2127"/>
      <c r="L1907" s="1939"/>
      <c r="M1907" s="1939"/>
      <c r="N1907" s="1939"/>
      <c r="O1907" s="1939"/>
      <c r="P1907" s="1939"/>
      <c r="Q1907" s="1922"/>
      <c r="V1907" s="2125"/>
      <c r="W1907" s="2125"/>
    </row>
    <row r="1908" spans="1:24" s="1910" customFormat="1" ht="21" customHeight="1">
      <c r="A1908" s="1942"/>
      <c r="B1908" s="1942" t="s">
        <v>2372</v>
      </c>
      <c r="C1908" s="1936" t="s">
        <v>3744</v>
      </c>
      <c r="D1908" s="1936"/>
      <c r="E1908" s="1936"/>
      <c r="F1908" s="1936"/>
      <c r="G1908" s="1936"/>
      <c r="H1908" s="1936"/>
      <c r="I1908" s="1936"/>
      <c r="J1908" s="1936"/>
      <c r="K1908" s="1936"/>
      <c r="L1908" s="1936"/>
      <c r="M1908" s="1936"/>
      <c r="N1908" s="1942" t="s">
        <v>2372</v>
      </c>
      <c r="O1908" s="1938">
        <f>'Part IX Scoring Criteria'!O253</f>
        <v>0</v>
      </c>
      <c r="P1908" s="1938"/>
      <c r="Q1908" s="1981"/>
      <c r="V1908" s="2169"/>
      <c r="W1908" s="2169"/>
    </row>
    <row r="1909" spans="1:24" s="1815" customFormat="1" ht="11.25" customHeight="1">
      <c r="A1909" s="1940"/>
      <c r="B1909" s="1940" t="s">
        <v>2373</v>
      </c>
      <c r="C1909" s="449" t="s">
        <v>4317</v>
      </c>
      <c r="D1909" s="449"/>
      <c r="E1909" s="449"/>
      <c r="F1909" s="449"/>
      <c r="G1909" s="449"/>
      <c r="H1909" s="449"/>
      <c r="I1909" s="449"/>
      <c r="J1909" s="449"/>
      <c r="K1909" s="449"/>
      <c r="L1909" s="449"/>
      <c r="M1909" s="449"/>
      <c r="N1909" s="1940" t="s">
        <v>2373</v>
      </c>
      <c r="O1909" s="1229">
        <f>'Part IX Scoring Criteria'!O254</f>
        <v>0</v>
      </c>
      <c r="P1909" s="1229"/>
      <c r="Q1909" s="1922"/>
      <c r="V1909" s="2125"/>
      <c r="W1909" s="2125"/>
    </row>
    <row r="1910" spans="1:24" ht="11.25" customHeight="1">
      <c r="A1910" s="1904"/>
      <c r="B1910" s="1992" t="s">
        <v>1198</v>
      </c>
      <c r="C1910" s="449" t="s">
        <v>4318</v>
      </c>
      <c r="D1910" s="1815"/>
      <c r="Q1910" s="1896"/>
    </row>
    <row r="1911" spans="1:24" s="1815" customFormat="1" ht="11.25" customHeight="1">
      <c r="A1911" s="1940"/>
      <c r="B1911" s="1940"/>
      <c r="C1911" s="449" t="s">
        <v>4602</v>
      </c>
      <c r="D1911" s="449"/>
      <c r="E1911" s="449"/>
      <c r="F1911" s="449"/>
      <c r="G1911" s="449"/>
      <c r="H1911" s="449"/>
      <c r="I1911" s="449"/>
      <c r="J1911" s="449"/>
      <c r="K1911" s="449"/>
      <c r="L1911" s="449"/>
      <c r="M1911" s="449"/>
      <c r="N1911" s="1949" t="s">
        <v>1198</v>
      </c>
      <c r="O1911" s="1229">
        <f>'Part IX Scoring Criteria'!O256</f>
        <v>0</v>
      </c>
      <c r="P1911" s="1229"/>
      <c r="Q1911" s="1922"/>
      <c r="V1911" s="2125"/>
      <c r="W1911" s="2125"/>
    </row>
    <row r="1912" spans="1:24" ht="11.4" customHeight="1">
      <c r="A1912" s="1904" t="s">
        <v>1938</v>
      </c>
      <c r="B1912" s="1897" t="s">
        <v>6886</v>
      </c>
      <c r="D1912" s="1815"/>
      <c r="G1912" s="1944" t="s">
        <v>3592</v>
      </c>
      <c r="O1912" s="1229" t="s">
        <v>2444</v>
      </c>
      <c r="P1912" s="1229" t="s">
        <v>2444</v>
      </c>
      <c r="Q1912" s="1843"/>
    </row>
    <row r="1913" spans="1:24" ht="22.5" customHeight="1">
      <c r="B1913" s="2172" t="s">
        <v>1939</v>
      </c>
      <c r="C1913" s="449" t="s">
        <v>4574</v>
      </c>
      <c r="D1913" s="449"/>
      <c r="E1913" s="449"/>
      <c r="F1913" s="449"/>
      <c r="G1913" s="449"/>
      <c r="H1913" s="449"/>
      <c r="I1913" s="449"/>
      <c r="J1913" s="449"/>
      <c r="K1913" s="449"/>
      <c r="L1913" s="449"/>
      <c r="M1913" s="1982" t="s">
        <v>1938</v>
      </c>
      <c r="N1913" s="1949" t="s">
        <v>1939</v>
      </c>
      <c r="O1913" s="1938">
        <f>'Part IX Scoring Criteria'!O258</f>
        <v>0</v>
      </c>
      <c r="P1913" s="1938"/>
      <c r="Q1913" s="1843"/>
      <c r="V1913" s="2125"/>
      <c r="W1913" s="2125"/>
    </row>
    <row r="1914" spans="1:24" s="1815" customFormat="1" ht="11.25" customHeight="1">
      <c r="A1914" s="1940"/>
      <c r="B1914" s="2172" t="s">
        <v>1941</v>
      </c>
      <c r="C1914" s="1908" t="s">
        <v>4575</v>
      </c>
      <c r="D1914" s="449"/>
      <c r="E1914" s="449"/>
      <c r="F1914" s="449"/>
      <c r="G1914" s="449"/>
      <c r="H1914" s="449"/>
      <c r="I1914" s="449"/>
      <c r="J1914" s="449"/>
      <c r="K1914" s="449"/>
      <c r="L1914" s="449"/>
      <c r="M1914" s="449"/>
      <c r="N1914" s="1949" t="s">
        <v>1941</v>
      </c>
      <c r="O1914" s="1229">
        <f>'Part IX Scoring Criteria'!O259</f>
        <v>0</v>
      </c>
      <c r="P1914" s="1229"/>
      <c r="Q1914" s="1922"/>
      <c r="V1914" s="2175"/>
      <c r="W1914" s="2175"/>
    </row>
    <row r="1915" spans="1:24" s="1951" customFormat="1" ht="12" customHeight="1">
      <c r="A1915" s="1815"/>
      <c r="B1915" s="449" t="s">
        <v>3566</v>
      </c>
      <c r="C1915" s="1815"/>
      <c r="D1915" s="1897"/>
      <c r="E1915" s="1897"/>
      <c r="F1915" s="1897"/>
      <c r="G1915" s="1897"/>
      <c r="H1915" s="449"/>
      <c r="I1915" s="449"/>
      <c r="M1915" s="1896"/>
      <c r="N1915" s="1874"/>
      <c r="O1915" s="1923"/>
      <c r="P1915" s="1874"/>
    </row>
    <row r="1916" spans="1:24" s="1951" customFormat="1" ht="45.6" customHeight="1">
      <c r="A1916" s="1936" t="str">
        <f>'Part IX Scoring Criteria'!A261</f>
        <v xml:space="preserve">Applicant is not claiming points in this category. </v>
      </c>
      <c r="B1916" s="1936"/>
      <c r="C1916" s="1936"/>
      <c r="D1916" s="1936"/>
      <c r="E1916" s="1936"/>
      <c r="F1916" s="1936"/>
      <c r="G1916" s="1936"/>
      <c r="H1916" s="1936"/>
      <c r="I1916" s="1936"/>
      <c r="J1916" s="1936"/>
      <c r="K1916" s="1936"/>
      <c r="L1916" s="1936"/>
      <c r="M1916" s="1936"/>
      <c r="N1916" s="1936"/>
      <c r="O1916" s="1936"/>
      <c r="P1916" s="1936"/>
      <c r="Q1916" s="1973" t="s">
        <v>1228</v>
      </c>
    </row>
    <row r="1917" spans="1:24" s="1951" customFormat="1" ht="10.5" customHeight="1">
      <c r="A1917" s="1815"/>
      <c r="B1917" s="1936" t="s">
        <v>1820</v>
      </c>
      <c r="C1917" s="1815"/>
      <c r="D1917" s="1936"/>
      <c r="E1917" s="1939"/>
      <c r="F1917" s="1939"/>
      <c r="G1917" s="1939"/>
      <c r="H1917" s="1939"/>
      <c r="I1917" s="1939"/>
      <c r="J1917" s="1939"/>
      <c r="K1917" s="1939"/>
      <c r="L1917" s="1939"/>
      <c r="M1917" s="1939"/>
      <c r="N1917" s="1967"/>
      <c r="O1917" s="1967"/>
      <c r="P1917" s="1896"/>
    </row>
    <row r="1918" spans="1:24" s="1951" customFormat="1" ht="22.2" customHeight="1">
      <c r="A1918" s="1956"/>
      <c r="B1918" s="1956"/>
      <c r="C1918" s="1956"/>
      <c r="D1918" s="1956"/>
      <c r="E1918" s="1956"/>
      <c r="F1918" s="1956"/>
      <c r="G1918" s="1956"/>
      <c r="H1918" s="1956"/>
      <c r="I1918" s="1956"/>
      <c r="J1918" s="1956"/>
      <c r="K1918" s="1956"/>
      <c r="L1918" s="1956"/>
      <c r="M1918" s="1956"/>
      <c r="N1918" s="1956"/>
      <c r="O1918" s="1956"/>
      <c r="P1918" s="1956"/>
      <c r="Q1918" s="1973"/>
    </row>
    <row r="1919" spans="1:24" ht="3.6" customHeight="1">
      <c r="N1919" s="1874"/>
      <c r="O1919" s="1874"/>
      <c r="P1919" s="1874"/>
      <c r="V1919" s="1951"/>
      <c r="W1919" s="1951"/>
      <c r="X1919" s="1951"/>
    </row>
    <row r="1920" spans="1:24" s="1947" customFormat="1" ht="12.6" customHeight="1">
      <c r="A1920" s="2150" t="s">
        <v>418</v>
      </c>
      <c r="B1920" s="1815" t="s">
        <v>2695</v>
      </c>
      <c r="D1920" s="449"/>
      <c r="E1920" s="449"/>
      <c r="G1920" s="1822" t="s">
        <v>4749</v>
      </c>
      <c r="M1920" s="1896">
        <v>5</v>
      </c>
      <c r="N1920" s="1896"/>
      <c r="O1920" s="1916">
        <f>'Part IX Scoring Criteria'!O265</f>
        <v>3</v>
      </c>
      <c r="P1920" s="1916">
        <f>'Part IX Scoring Criteria'!P265</f>
        <v>0</v>
      </c>
      <c r="Q1920" s="1896" t="s">
        <v>433</v>
      </c>
      <c r="S1920" s="1963" t="s">
        <v>4593</v>
      </c>
      <c r="T1920" s="1963"/>
      <c r="U1920" s="1963"/>
      <c r="V1920" s="1951"/>
      <c r="W1920" s="1951"/>
      <c r="X1920" s="1951"/>
    </row>
    <row r="1921" spans="1:24" s="1947" customFormat="1" ht="1.5" customHeight="1">
      <c r="A1921" s="2150"/>
      <c r="B1921" s="1815"/>
      <c r="D1921" s="449"/>
      <c r="E1921" s="449"/>
      <c r="G1921" s="1822"/>
      <c r="M1921" s="1229"/>
      <c r="Q1921" s="1896"/>
      <c r="S1921" s="1963"/>
      <c r="T1921" s="1963"/>
      <c r="U1921" s="1963"/>
      <c r="V1921" s="1951"/>
      <c r="W1921" s="1951"/>
      <c r="X1921" s="1951"/>
    </row>
    <row r="1922" spans="1:24" s="1947" customFormat="1" ht="11.25" customHeight="1">
      <c r="A1922" s="2176" t="s">
        <v>1936</v>
      </c>
      <c r="B1922" s="1897" t="s">
        <v>4319</v>
      </c>
      <c r="D1922" s="449"/>
      <c r="E1922" s="449"/>
      <c r="G1922" s="1944" t="s">
        <v>4730</v>
      </c>
      <c r="I1922" s="1983" t="str">
        <f>'Part I-Project Information'!$O$38</f>
        <v>101.06</v>
      </c>
      <c r="K1922" s="1984"/>
      <c r="M1922" s="1896">
        <v>3</v>
      </c>
      <c r="N1922" s="1897"/>
      <c r="O1922" s="1916">
        <f>IF(OR(AND($G$268="Flexible",$I$270=5%,$O$269="Yes",NOT($O$272="Yes"),OR($O$271="Upper",$O$271="Middle")),
AND($G$268="Rural",$I$270&lt;=10%,$O$269="Yes",NOT($O$272="Yes"))),$M$267,
IF(OR(AND($G$268="Flexible",$I$270=5%, NOT($O$269="Yes"), $O$272="Yes", OR($O$271="Upper",$O$271="Middle"),$K$274&lt;=0.25, $O$64=$M$64),
AND($G$268="Flexible",$I$270&lt;=10%,$O$269="Yes",NOT($O$272="Yes"),OR($O$271="Upper",$O$271="Middle")),
AND($G$268="Rural",$I$270&lt;=15%,$O$269="Yes", NOT($O$272="Yes"), OR($O$271="Upper",$O$271="Middle"))), $M$272,
IF(OR(AND($G$268="Flexible",$I$270&lt;=10%, NOT($O$269="Yes"), $O$272="Yes", OR($O$271="Upper",$O$271="Middle"), $K$274&lt;=0.25,$O$64=$M$64), AND($G$268="Flexible",$I$270&lt;=15%,$O$269="Yes",NOT($O$272="Yes"), OR($O$271="Upper",$O$271="Middle")), AND($G$268="Rural",$O$269="Yes",$I$270&lt;=20%, NOT($O$272="Yes"), OR($O$271="Upper",$O$271="Middle"))),1,0)))</f>
        <v>0</v>
      </c>
      <c r="P1922" s="1896"/>
      <c r="Q1922" s="1896"/>
      <c r="S1922" s="1963"/>
      <c r="T1922" s="1963"/>
      <c r="U1922" s="1963"/>
      <c r="V1922" s="1951"/>
      <c r="W1922" s="1951"/>
      <c r="X1922" s="1951"/>
    </row>
    <row r="1923" spans="1:24" ht="11.4" customHeight="1">
      <c r="A1923" s="2176"/>
      <c r="B1923" s="1897" t="s">
        <v>2703</v>
      </c>
      <c r="C1923" s="1918"/>
      <c r="D1923" s="1918"/>
      <c r="G1923" s="1897" t="str">
        <f>'Part I-Project Information'!$H$105</f>
        <v>Flexible</v>
      </c>
      <c r="N1923" s="1943" t="s">
        <v>1936</v>
      </c>
      <c r="O1923" s="1817" t="s">
        <v>2444</v>
      </c>
      <c r="P1923" s="1817" t="s">
        <v>2444</v>
      </c>
      <c r="S1923" s="1963"/>
      <c r="T1923" s="1963"/>
      <c r="U1923" s="1963"/>
      <c r="V1923" s="1951"/>
      <c r="W1923" s="1951"/>
      <c r="X1923" s="1951"/>
    </row>
    <row r="1924" spans="1:24" ht="11.4" customHeight="1">
      <c r="A1924" s="2176"/>
      <c r="B1924" s="1992" t="s">
        <v>1939</v>
      </c>
      <c r="C1924" s="1945" t="s">
        <v>2609</v>
      </c>
      <c r="M1924" s="1874"/>
      <c r="N1924" s="1960" t="s">
        <v>1939</v>
      </c>
      <c r="O1924" s="1229" t="str">
        <f>'Part IX Scoring Criteria'!O269</f>
        <v>No</v>
      </c>
      <c r="P1924" s="1229"/>
      <c r="Q1924" s="1973" t="str">
        <f>IF(AND(O1924="Yes",O1927="Yes"),"Only 1 or 4 can be 'Yes'!","")</f>
        <v/>
      </c>
      <c r="R1924" s="1973"/>
      <c r="S1924" s="1963"/>
      <c r="T1924" s="1963"/>
      <c r="U1924" s="1963"/>
    </row>
    <row r="1925" spans="1:24" ht="11.4" customHeight="1">
      <c r="B1925" s="1992" t="s">
        <v>1941</v>
      </c>
      <c r="C1925" s="1945" t="s">
        <v>2654</v>
      </c>
      <c r="G1925" s="1945" t="s">
        <v>2327</v>
      </c>
      <c r="I1925" s="2147">
        <f>'Part IX Scoring Criteria'!I270</f>
        <v>0.05</v>
      </c>
      <c r="J1925" s="1945" t="s">
        <v>2655</v>
      </c>
      <c r="L1925" s="449" t="s">
        <v>2653</v>
      </c>
      <c r="M1925" s="449" t="str">
        <f>IF(O1925&gt;I1925,"CHECK ACTUAL PERCENT!!!","")</f>
        <v/>
      </c>
      <c r="N1925" s="1960" t="s">
        <v>1941</v>
      </c>
      <c r="O1925" s="2236">
        <f>'Part IX Scoring Criteria'!O270</f>
        <v>2.3E-2</v>
      </c>
      <c r="P1925" s="1985"/>
      <c r="Q1925" s="1973"/>
      <c r="R1925" s="1973"/>
      <c r="S1925" s="1963"/>
      <c r="T1925" s="1963"/>
      <c r="U1925" s="1963"/>
    </row>
    <row r="1926" spans="1:24" ht="11.4" customHeight="1">
      <c r="B1926" s="1992" t="s">
        <v>2468</v>
      </c>
      <c r="C1926" s="1945" t="s">
        <v>2328</v>
      </c>
      <c r="G1926" s="1945" t="s">
        <v>2329</v>
      </c>
      <c r="J1926" s="2177" t="s">
        <v>4470</v>
      </c>
      <c r="L1926" s="1908" t="s">
        <v>2648</v>
      </c>
      <c r="M1926" s="1815"/>
      <c r="N1926" s="1960" t="s">
        <v>2468</v>
      </c>
      <c r="O1926" s="1229" t="str">
        <f>'Part IX Scoring Criteria'!O271</f>
        <v>Upper</v>
      </c>
      <c r="P1926" s="1229" t="s">
        <v>197</v>
      </c>
      <c r="Q1926" s="1973"/>
      <c r="R1926" s="1973"/>
      <c r="S1926" s="1963"/>
      <c r="T1926" s="1963"/>
      <c r="U1926" s="1963"/>
    </row>
    <row r="1927" spans="1:24" s="1910" customFormat="1" ht="11.4" customHeight="1">
      <c r="B1927" s="2172" t="s">
        <v>1198</v>
      </c>
      <c r="C1927" s="1936" t="s">
        <v>6979</v>
      </c>
      <c r="D1927" s="1936"/>
      <c r="E1927" s="1936"/>
      <c r="F1927" s="1936"/>
      <c r="G1927" s="1936"/>
      <c r="H1927" s="1936"/>
      <c r="I1927" s="1936"/>
      <c r="J1927" s="2177"/>
      <c r="K1927" s="2177" t="s">
        <v>3745</v>
      </c>
      <c r="M1927" s="1732">
        <v>2</v>
      </c>
      <c r="N1927" s="1960" t="s">
        <v>1198</v>
      </c>
      <c r="O1927" s="1938" t="str">
        <f>'Part IX Scoring Criteria'!O272</f>
        <v>Yes</v>
      </c>
      <c r="P1927" s="1938"/>
      <c r="Q1927" s="1973"/>
      <c r="R1927" s="1973"/>
      <c r="S1927" s="1963"/>
      <c r="T1927" s="1963"/>
      <c r="U1927" s="1963"/>
    </row>
    <row r="1928" spans="1:24" ht="11.4" customHeight="1">
      <c r="B1928" s="1969"/>
      <c r="C1928" s="1936"/>
      <c r="D1928" s="1936"/>
      <c r="E1928" s="1936"/>
      <c r="F1928" s="1936"/>
      <c r="G1928" s="1936"/>
      <c r="H1928" s="1936"/>
      <c r="I1928" s="1936"/>
      <c r="J1928" s="2177"/>
      <c r="K1928" s="2177"/>
      <c r="L1928" s="1986" t="s">
        <v>3781</v>
      </c>
      <c r="M1928" s="1986"/>
      <c r="O1928" s="1874"/>
      <c r="P1928" s="1874"/>
      <c r="S1928" s="1963"/>
      <c r="T1928" s="1963"/>
      <c r="U1928" s="1963"/>
    </row>
    <row r="1929" spans="1:24" ht="23.25" customHeight="1">
      <c r="B1929" s="1969"/>
      <c r="C1929" s="1936"/>
      <c r="D1929" s="1936"/>
      <c r="E1929" s="1936"/>
      <c r="F1929" s="1936"/>
      <c r="G1929" s="1936"/>
      <c r="H1929" s="1936"/>
      <c r="I1929" s="1936"/>
      <c r="J1929" s="2237" t="str">
        <f>'Part IX Scoring Criteria'!J274</f>
        <v>101.07</v>
      </c>
      <c r="K1929" s="2238">
        <f>'Part IX Scoring Criteria'!K274</f>
        <v>0.01</v>
      </c>
      <c r="L1929" s="1958">
        <f>'Part IX Scoring Criteria'!L274</f>
        <v>10</v>
      </c>
      <c r="M1929" s="2178">
        <f>'Part IX Scoring Criteria'!M274</f>
        <v>0</v>
      </c>
      <c r="O1929" s="1874"/>
      <c r="P1929" s="1874"/>
      <c r="S1929" s="1963"/>
      <c r="T1929" s="1963"/>
      <c r="U1929" s="1963"/>
    </row>
    <row r="1930" spans="1:24" ht="2.25" customHeight="1">
      <c r="A1930" s="1918"/>
      <c r="B1930" s="1992"/>
      <c r="C1930" s="1945"/>
      <c r="M1930" s="1896"/>
      <c r="N1930" s="2240"/>
      <c r="O1930" s="1896"/>
      <c r="P1930" s="1896"/>
      <c r="S1930" s="1963"/>
      <c r="T1930" s="1963"/>
      <c r="U1930" s="1963"/>
    </row>
    <row r="1931" spans="1:24" ht="11.4" customHeight="1">
      <c r="A1931" s="2240" t="s">
        <v>1938</v>
      </c>
      <c r="B1931" s="1992" t="s">
        <v>4320</v>
      </c>
      <c r="C1931" s="1945"/>
      <c r="G1931" s="1944" t="s">
        <v>6800</v>
      </c>
      <c r="I1931" s="2160">
        <f>'Part IX Scoring Criteria'!I276</f>
        <v>2019</v>
      </c>
      <c r="K1931" s="1943" t="s">
        <v>4611</v>
      </c>
      <c r="L1931" s="2142">
        <f>'Part IX Scoring Criteria'!L276</f>
        <v>13215010106</v>
      </c>
      <c r="M1931" s="1896">
        <v>2</v>
      </c>
      <c r="N1931" s="1904" t="s">
        <v>1938</v>
      </c>
      <c r="O1931" s="1923">
        <f>'Part IX Scoring Criteria'!O276</f>
        <v>1</v>
      </c>
      <c r="P1931" s="1923"/>
      <c r="Q1931" s="1993" t="str">
        <f>IF(O1931&lt;=M1931,"","*CHECK!*")</f>
        <v/>
      </c>
      <c r="R1931" s="1823" t="s">
        <v>4767</v>
      </c>
      <c r="S1931" s="1963"/>
      <c r="T1931" s="1963"/>
      <c r="U1931" s="1963"/>
    </row>
    <row r="1932" spans="1:24" ht="11.4" customHeight="1">
      <c r="A1932" s="1918"/>
      <c r="B1932" s="1992" t="s">
        <v>1939</v>
      </c>
      <c r="C1932" s="449" t="s">
        <v>4466</v>
      </c>
      <c r="D1932" s="449"/>
      <c r="E1932" s="1987"/>
      <c r="F1932" s="1988"/>
      <c r="G1932" s="449" t="s">
        <v>4321</v>
      </c>
      <c r="H1932" s="449"/>
      <c r="I1932" s="449"/>
      <c r="J1932" s="1815"/>
      <c r="K1932" s="1815"/>
      <c r="L1932" s="1822" t="s">
        <v>6801</v>
      </c>
      <c r="M1932" s="1896"/>
      <c r="N1932" s="1960" t="s">
        <v>1939</v>
      </c>
      <c r="O1932" s="1938" t="str">
        <f>'Part IX Scoring Criteria'!O277</f>
        <v>Yes</v>
      </c>
      <c r="P1932" s="1938"/>
      <c r="Q1932" s="1993"/>
      <c r="R1932" s="1823"/>
      <c r="S1932" s="1963"/>
      <c r="T1932" s="1963"/>
      <c r="U1932" s="1963"/>
    </row>
    <row r="1933" spans="1:24" ht="11.4" customHeight="1">
      <c r="A1933" s="1918"/>
      <c r="B1933" s="1992" t="s">
        <v>1941</v>
      </c>
      <c r="C1933" s="449" t="s">
        <v>4467</v>
      </c>
      <c r="D1933" s="449"/>
      <c r="E1933" s="1987"/>
      <c r="F1933" s="1229"/>
      <c r="G1933" s="449" t="s">
        <v>4322</v>
      </c>
      <c r="H1933" s="449"/>
      <c r="I1933" s="449"/>
      <c r="J1933" s="1815"/>
      <c r="K1933" s="1815"/>
      <c r="L1933" s="1822" t="s">
        <v>6801</v>
      </c>
      <c r="M1933" s="1874"/>
      <c r="N1933" s="1960" t="s">
        <v>1941</v>
      </c>
      <c r="O1933" s="1229" t="str">
        <f>'Part IX Scoring Criteria'!O278</f>
        <v>No</v>
      </c>
      <c r="P1933" s="1229"/>
      <c r="Q1933" s="1993"/>
      <c r="R1933" s="1823"/>
      <c r="S1933" s="1963"/>
      <c r="T1933" s="1963"/>
      <c r="U1933" s="1963"/>
    </row>
    <row r="1934" spans="1:24" ht="2.25" customHeight="1">
      <c r="A1934" s="1918"/>
      <c r="B1934" s="1992"/>
      <c r="C1934" s="1945"/>
      <c r="M1934" s="1896"/>
      <c r="N1934" s="2240"/>
      <c r="O1934" s="1896"/>
      <c r="P1934" s="1896"/>
    </row>
    <row r="1935" spans="1:24" s="1951" customFormat="1" ht="10.5" customHeight="1">
      <c r="A1935" s="1815"/>
      <c r="B1935" s="449" t="s">
        <v>3566</v>
      </c>
      <c r="C1935" s="1815"/>
      <c r="D1935" s="1897"/>
      <c r="E1935" s="1897"/>
      <c r="F1935" s="1897"/>
      <c r="G1935" s="1897"/>
      <c r="H1935" s="449"/>
      <c r="I1935" s="449"/>
      <c r="J1935" s="449"/>
      <c r="K1935" s="449"/>
      <c r="M1935" s="1896"/>
      <c r="N1935" s="1874"/>
      <c r="O1935" s="1923"/>
      <c r="P1935" s="1874"/>
    </row>
    <row r="1936" spans="1:24" s="1951" customFormat="1" ht="34.950000000000003" customHeight="1">
      <c r="A1936" s="1936" t="str">
        <f>'Part IX Scoring Criteria'!A281</f>
        <v xml:space="preserve">Applicant qualifies for 3 points in this category.  Applicant is taking two points in this category because our site is located within 1/4 mile of a census tract having less than 5% below poverty level and is designated Upper Income level.  Our site is in census tract 101.06 and the census tract that meets the requirements for these points is 101.07. Census tract 101.07 is adjacent to our site.   The most recent FFIEC Census Report demonstrating the project meets these requirements can be found in TAB 33. We are also taking 1 point under Enterprise Community Partners Opportunity 360 for receiving a State percentile of 60% or greater in Health and well-being. </v>
      </c>
      <c r="B1936" s="1936"/>
      <c r="C1936" s="1936"/>
      <c r="D1936" s="1936"/>
      <c r="E1936" s="1936"/>
      <c r="F1936" s="1936"/>
      <c r="G1936" s="1936"/>
      <c r="H1936" s="1936"/>
      <c r="I1936" s="1936"/>
      <c r="J1936" s="1936"/>
      <c r="K1936" s="1936"/>
      <c r="L1936" s="1936"/>
      <c r="M1936" s="1936"/>
      <c r="N1936" s="1936"/>
      <c r="O1936" s="1936"/>
      <c r="P1936" s="1936"/>
      <c r="Q1936" s="1973" t="s">
        <v>1228</v>
      </c>
    </row>
    <row r="1937" spans="1:22" ht="2.25" customHeight="1">
      <c r="A1937" s="1918"/>
      <c r="B1937" s="1992"/>
      <c r="C1937" s="1945"/>
      <c r="M1937" s="1896"/>
      <c r="N1937" s="2240"/>
      <c r="O1937" s="1896"/>
      <c r="P1937" s="1896"/>
    </row>
    <row r="1938" spans="1:22" s="1951" customFormat="1" ht="10.5" customHeight="1">
      <c r="A1938" s="1815"/>
      <c r="B1938" s="1936" t="s">
        <v>1820</v>
      </c>
      <c r="C1938" s="1815"/>
      <c r="D1938" s="1936"/>
      <c r="E1938" s="1939"/>
      <c r="F1938" s="1939"/>
      <c r="G1938" s="1939"/>
      <c r="H1938" s="1939"/>
      <c r="I1938" s="1939"/>
      <c r="J1938" s="1939"/>
      <c r="K1938" s="1939"/>
      <c r="L1938" s="1939"/>
      <c r="M1938" s="1939"/>
      <c r="N1938" s="1967"/>
      <c r="O1938" s="1967"/>
      <c r="P1938" s="1896"/>
    </row>
    <row r="1939" spans="1:22" s="1951" customFormat="1" ht="11.25" customHeight="1">
      <c r="A1939" s="1956"/>
      <c r="B1939" s="1956"/>
      <c r="C1939" s="1956"/>
      <c r="D1939" s="1956"/>
      <c r="E1939" s="1956"/>
      <c r="F1939" s="1956"/>
      <c r="G1939" s="1956"/>
      <c r="H1939" s="1956"/>
      <c r="I1939" s="1956"/>
      <c r="J1939" s="1956"/>
      <c r="K1939" s="1956"/>
      <c r="L1939" s="1956"/>
      <c r="M1939" s="1956"/>
      <c r="N1939" s="1956"/>
      <c r="O1939" s="1956"/>
      <c r="P1939" s="1956"/>
      <c r="Q1939" s="1973"/>
    </row>
    <row r="1940" spans="1:22" s="1951" customFormat="1" ht="10.199999999999999" customHeight="1">
      <c r="A1940" s="1815"/>
      <c r="D1940" s="449"/>
      <c r="E1940" s="449"/>
      <c r="F1940" s="1896"/>
      <c r="G1940" s="1896"/>
      <c r="H1940" s="1896"/>
      <c r="I1940" s="1896"/>
      <c r="J1940" s="1908"/>
      <c r="K1940" s="1908"/>
      <c r="L1940" s="1908"/>
      <c r="M1940" s="1229"/>
      <c r="N1940" s="1896"/>
      <c r="O1940" s="1874"/>
      <c r="P1940" s="1923"/>
    </row>
    <row r="1941" spans="1:22">
      <c r="A1941" s="2150" t="s">
        <v>356</v>
      </c>
      <c r="B1941" s="1931" t="s">
        <v>4717</v>
      </c>
      <c r="C1941" s="1945"/>
      <c r="G1941" s="1943" t="s">
        <v>3605</v>
      </c>
      <c r="H1941" s="1229" t="s">
        <v>3452</v>
      </c>
      <c r="I1941" s="1985">
        <f>IF('Part VI-Revenues &amp; Expenses'!$P$67=0,0,'Part VI-Revenues &amp; Expenses'!$P$64/'Part VI-Revenues &amp; Expenses'!$P$67)</f>
        <v>0</v>
      </c>
      <c r="J1941" s="1943" t="s">
        <v>4605</v>
      </c>
      <c r="K1941" s="2136" t="str">
        <f>'Part I-Project Information'!$K$94</f>
        <v>Income Averaging</v>
      </c>
      <c r="L1941" s="2136"/>
      <c r="M1941" s="1896">
        <v>1</v>
      </c>
      <c r="N1941" s="2240"/>
      <c r="O1941" s="1923">
        <f>'Part IX Scoring Criteria'!O286</f>
        <v>1</v>
      </c>
      <c r="P1941" s="1923">
        <f>'Part IX Scoring Criteria'!P286</f>
        <v>0</v>
      </c>
      <c r="Q1941" s="1896" t="s">
        <v>433</v>
      </c>
    </row>
    <row r="1942" spans="1:22" ht="13.8">
      <c r="A1942" s="1732" t="s">
        <v>1936</v>
      </c>
      <c r="B1942" s="1945" t="s">
        <v>4603</v>
      </c>
      <c r="C1942" s="1945"/>
      <c r="D1942" s="1945" t="s">
        <v>4604</v>
      </c>
      <c r="M1942" s="1896">
        <v>1</v>
      </c>
      <c r="N1942" s="1940" t="s">
        <v>1936</v>
      </c>
      <c r="O1942" s="1923">
        <f>'Part IX Scoring Criteria'!O287</f>
        <v>0</v>
      </c>
      <c r="P1942" s="1923"/>
      <c r="Q1942" s="1993" t="str">
        <f>IF(OR($O1942=$M1942,$O1942=0,$O1942=""),"","*CHECK!*")</f>
        <v/>
      </c>
      <c r="R1942" s="1823" t="s">
        <v>4767</v>
      </c>
    </row>
    <row r="1943" spans="1:22" ht="13.8">
      <c r="A1943" s="1732" t="s">
        <v>1938</v>
      </c>
      <c r="B1943" s="1945" t="s">
        <v>4293</v>
      </c>
      <c r="C1943" s="1945"/>
      <c r="D1943" s="1945" t="s">
        <v>4723</v>
      </c>
      <c r="M1943" s="1874">
        <v>1</v>
      </c>
      <c r="N1943" s="1940" t="s">
        <v>1938</v>
      </c>
      <c r="O1943" s="1923">
        <f>'Part IX Scoring Criteria'!O288</f>
        <v>1</v>
      </c>
      <c r="P1943" s="1923"/>
      <c r="Q1943" s="1993" t="str">
        <f>IF(OR($O1943=$M1943,$O1943=0,$O1943=""),"","*CHECK!*")</f>
        <v/>
      </c>
      <c r="R1943" s="1823" t="s">
        <v>4767</v>
      </c>
    </row>
    <row r="1944" spans="1:22" ht="2.25" customHeight="1">
      <c r="A1944" s="1918"/>
      <c r="B1944" s="1992"/>
      <c r="C1944" s="1945"/>
      <c r="M1944" s="1896"/>
      <c r="N1944" s="2240"/>
      <c r="O1944" s="1896"/>
      <c r="P1944" s="1896"/>
    </row>
    <row r="1945" spans="1:22" s="1951" customFormat="1" ht="14.4">
      <c r="A1945" s="1815"/>
      <c r="B1945" s="1936" t="s">
        <v>1820</v>
      </c>
      <c r="C1945" s="1815"/>
      <c r="D1945" s="1936"/>
      <c r="E1945" s="1939"/>
      <c r="F1945" s="1939"/>
      <c r="G1945" s="1939"/>
      <c r="H1945" s="1939"/>
      <c r="I1945" s="1939"/>
      <c r="J1945" s="1939"/>
      <c r="K1945" s="1939"/>
      <c r="L1945" s="1939"/>
      <c r="M1945" s="1939"/>
      <c r="N1945" s="1967"/>
      <c r="O1945" s="1967"/>
      <c r="P1945" s="1896"/>
    </row>
    <row r="1946" spans="1:22" s="1951" customFormat="1" ht="11.25" customHeight="1">
      <c r="A1946" s="1956"/>
      <c r="B1946" s="1956"/>
      <c r="C1946" s="1956"/>
      <c r="D1946" s="1956"/>
      <c r="E1946" s="1956"/>
      <c r="F1946" s="1956"/>
      <c r="G1946" s="1956"/>
      <c r="H1946" s="1956"/>
      <c r="I1946" s="1956"/>
      <c r="J1946" s="1956"/>
      <c r="K1946" s="1956"/>
      <c r="L1946" s="1956"/>
      <c r="M1946" s="1956"/>
      <c r="N1946" s="1956"/>
      <c r="O1946" s="1956"/>
      <c r="P1946" s="1956"/>
      <c r="Q1946" s="1973"/>
    </row>
    <row r="1947" spans="1:22" s="1951" customFormat="1" ht="10.199999999999999" customHeight="1">
      <c r="A1947" s="1815"/>
      <c r="D1947" s="449"/>
      <c r="E1947" s="449"/>
      <c r="F1947" s="1896"/>
      <c r="G1947" s="1896"/>
      <c r="H1947" s="1896"/>
      <c r="I1947" s="1896"/>
      <c r="J1947" s="1908"/>
      <c r="K1947" s="1908"/>
      <c r="L1947" s="1908"/>
      <c r="M1947" s="1229"/>
      <c r="N1947" s="1896"/>
      <c r="O1947" s="1874"/>
      <c r="P1947" s="1923"/>
    </row>
    <row r="1948" spans="1:22" s="1947" customFormat="1" ht="12.6" customHeight="1">
      <c r="A1948" s="2150" t="s">
        <v>357</v>
      </c>
      <c r="B1948" s="1815" t="s">
        <v>3746</v>
      </c>
      <c r="D1948" s="449"/>
      <c r="E1948" s="449"/>
      <c r="H1948" s="1822"/>
      <c r="I1948" s="1943" t="s">
        <v>3605</v>
      </c>
      <c r="M1948" s="1896">
        <v>10</v>
      </c>
      <c r="N1948" s="1896"/>
      <c r="O1948" s="1923">
        <f>'Part IX Scoring Criteria'!O293</f>
        <v>0</v>
      </c>
      <c r="P1948" s="1923">
        <f>'Part IX Scoring Criteria'!P293</f>
        <v>0</v>
      </c>
      <c r="Q1948" s="1896" t="s">
        <v>433</v>
      </c>
      <c r="R1948" s="1963" t="s">
        <v>4765</v>
      </c>
      <c r="S1948" s="1963"/>
      <c r="T1948" s="1963"/>
      <c r="U1948" s="1963"/>
      <c r="V1948" s="1963"/>
    </row>
    <row r="1949" spans="1:22" ht="11.25" customHeight="1">
      <c r="A1949" s="1732" t="s">
        <v>1936</v>
      </c>
      <c r="B1949" s="1939" t="s">
        <v>3598</v>
      </c>
      <c r="D1949" s="1939"/>
      <c r="E1949" s="1939"/>
      <c r="F1949" s="1939"/>
      <c r="G1949" s="1939"/>
      <c r="H1949" s="1939"/>
      <c r="I1949" s="1939"/>
      <c r="J1949" s="1939"/>
      <c r="K1949" s="1939"/>
      <c r="L1949" s="1939"/>
      <c r="M1949" s="2105" t="str">
        <f>IF(OR(SUM(T1949:T1950)&gt;1,SUM(Q1949:Q1950)&gt;1),"Only one category can be met by other means!","")</f>
        <v/>
      </c>
      <c r="N1949" s="1940" t="s">
        <v>1936</v>
      </c>
      <c r="O1949" s="1229">
        <f>'Part IX Scoring Criteria'!O294</f>
        <v>0</v>
      </c>
      <c r="P1949" s="1229"/>
      <c r="Q1949" s="1817">
        <f>IF(L1949="Yes",1,0)</f>
        <v>0</v>
      </c>
      <c r="R1949" s="1963"/>
      <c r="S1949" s="1963"/>
      <c r="T1949" s="1963"/>
      <c r="U1949" s="1963"/>
      <c r="V1949" s="1963"/>
    </row>
    <row r="1950" spans="1:22" ht="11.25" customHeight="1">
      <c r="A1950" s="1732" t="s">
        <v>1938</v>
      </c>
      <c r="B1950" s="1939" t="s">
        <v>3599</v>
      </c>
      <c r="D1950" s="1939"/>
      <c r="L1950" s="1939"/>
      <c r="M1950" s="2105"/>
      <c r="N1950" s="1940" t="s">
        <v>1938</v>
      </c>
      <c r="O1950" s="1229">
        <f>'Part IX Scoring Criteria'!O295</f>
        <v>0</v>
      </c>
      <c r="P1950" s="1229"/>
      <c r="Q1950" s="1817">
        <f>IF(L1950="Yes",1,0)</f>
        <v>0</v>
      </c>
      <c r="R1950" s="1963"/>
      <c r="S1950" s="1963"/>
      <c r="T1950" s="1963"/>
      <c r="U1950" s="1963"/>
      <c r="V1950" s="1963"/>
    </row>
    <row r="1951" spans="1:22" s="1951" customFormat="1" ht="10.5" customHeight="1">
      <c r="A1951" s="1815"/>
      <c r="B1951" s="449" t="s">
        <v>3566</v>
      </c>
      <c r="C1951" s="1815"/>
      <c r="D1951" s="1897"/>
      <c r="E1951" s="1897"/>
      <c r="F1951" s="1897"/>
      <c r="G1951" s="1897"/>
      <c r="H1951" s="449"/>
      <c r="I1951" s="449"/>
      <c r="J1951" s="449"/>
      <c r="K1951" s="449"/>
      <c r="M1951" s="1896"/>
      <c r="N1951" s="1874"/>
      <c r="O1951" s="1923"/>
      <c r="P1951" s="1874"/>
      <c r="R1951" s="1963"/>
      <c r="S1951" s="1963"/>
      <c r="T1951" s="1963"/>
      <c r="U1951" s="1963"/>
      <c r="V1951" s="1963"/>
    </row>
    <row r="1952" spans="1:22" s="1951" customFormat="1" ht="34.950000000000003" customHeight="1">
      <c r="A1952" s="1936" t="str">
        <f>'Part IX Scoring Criteria'!A297</f>
        <v>Applicant Is not claiming points in this category.</v>
      </c>
      <c r="B1952" s="1936"/>
      <c r="C1952" s="1936"/>
      <c r="D1952" s="1936"/>
      <c r="E1952" s="1936"/>
      <c r="F1952" s="1936"/>
      <c r="G1952" s="1936"/>
      <c r="H1952" s="1936"/>
      <c r="I1952" s="1936"/>
      <c r="J1952" s="1936"/>
      <c r="K1952" s="1936"/>
      <c r="L1952" s="1936"/>
      <c r="M1952" s="1936"/>
      <c r="N1952" s="1936"/>
      <c r="O1952" s="1936"/>
      <c r="P1952" s="1936"/>
      <c r="Q1952" s="1973" t="s">
        <v>1228</v>
      </c>
    </row>
    <row r="1953" spans="1:27" s="1951" customFormat="1" ht="10.5" customHeight="1">
      <c r="A1953" s="1815"/>
      <c r="B1953" s="1936" t="s">
        <v>1820</v>
      </c>
      <c r="C1953" s="1815"/>
      <c r="D1953" s="1936"/>
      <c r="E1953" s="1939"/>
      <c r="F1953" s="1939"/>
      <c r="G1953" s="1939"/>
      <c r="H1953" s="1939"/>
      <c r="I1953" s="1939"/>
      <c r="J1953" s="1939"/>
      <c r="K1953" s="1939"/>
      <c r="L1953" s="1939"/>
      <c r="M1953" s="1939"/>
      <c r="N1953" s="1967"/>
      <c r="O1953" s="1967"/>
      <c r="P1953" s="1896"/>
    </row>
    <row r="1954" spans="1:27" s="1951" customFormat="1" ht="11.25" customHeight="1">
      <c r="A1954" s="1956"/>
      <c r="B1954" s="1956"/>
      <c r="C1954" s="1956"/>
      <c r="D1954" s="1956"/>
      <c r="E1954" s="1956"/>
      <c r="F1954" s="1956"/>
      <c r="G1954" s="1956"/>
      <c r="H1954" s="1956"/>
      <c r="I1954" s="1956"/>
      <c r="J1954" s="1956"/>
      <c r="K1954" s="1956"/>
      <c r="L1954" s="1956"/>
      <c r="M1954" s="1956"/>
      <c r="N1954" s="1956"/>
      <c r="O1954" s="1956"/>
      <c r="P1954" s="1956"/>
      <c r="Q1954" s="1973"/>
    </row>
    <row r="1955" spans="1:27" s="1951" customFormat="1" ht="14.4">
      <c r="A1955" s="1815"/>
      <c r="D1955" s="449"/>
      <c r="E1955" s="449"/>
      <c r="F1955" s="1896"/>
      <c r="G1955" s="1896"/>
      <c r="H1955" s="1896"/>
      <c r="I1955" s="1896"/>
      <c r="J1955" s="1908"/>
      <c r="K1955" s="1908"/>
      <c r="L1955" s="1908"/>
      <c r="M1955" s="1229"/>
      <c r="N1955" s="1896"/>
      <c r="O1955" s="1874"/>
      <c r="P1955" s="1923"/>
    </row>
    <row r="1956" spans="1:27" s="1951" customFormat="1" ht="12" customHeight="1">
      <c r="A1956" s="2150" t="s">
        <v>358</v>
      </c>
      <c r="B1956" s="1815" t="s">
        <v>4719</v>
      </c>
      <c r="D1956" s="2163"/>
      <c r="E1956" s="2163"/>
      <c r="F1956" s="2163"/>
      <c r="H1956" s="1908"/>
      <c r="J1956" s="449" t="s">
        <v>2703</v>
      </c>
      <c r="K1956" s="1897"/>
      <c r="L1956" s="449" t="str">
        <f>'Part I-Project Information'!$H$105</f>
        <v>Flexible</v>
      </c>
      <c r="M1956" s="1896">
        <v>3</v>
      </c>
      <c r="N1956" s="1896"/>
      <c r="O1956" s="1896">
        <f>'Part IX Scoring Criteria'!O301</f>
        <v>3</v>
      </c>
      <c r="P1956" s="1896">
        <f>'Part IX Scoring Criteria'!P301</f>
        <v>0</v>
      </c>
      <c r="Q1956" s="1896" t="s">
        <v>433</v>
      </c>
      <c r="R1956" s="1819" t="s">
        <v>4577</v>
      </c>
      <c r="S1956" s="1819"/>
      <c r="T1956" s="1819"/>
      <c r="U1956" s="1819"/>
      <c r="V1956" s="1819"/>
      <c r="W1956" s="1955"/>
      <c r="X1956" s="1955"/>
    </row>
    <row r="1957" spans="1:27" ht="11.25" customHeight="1">
      <c r="A1957" s="1732"/>
      <c r="B1957" s="1897" t="s">
        <v>4621</v>
      </c>
      <c r="D1957" s="1815"/>
      <c r="E1957" s="1815"/>
      <c r="F1957" s="1815"/>
      <c r="H1957" s="449" t="s">
        <v>3507</v>
      </c>
      <c r="I1957" s="1945"/>
      <c r="J1957" s="449" t="str">
        <f>'Part I-Project Information'!$O$34</f>
        <v>Yes- w/Master Plan</v>
      </c>
      <c r="K1957" s="449"/>
      <c r="L1957" s="1944" t="str">
        <f>'Part I-Project Information'!$O$35</f>
        <v>2019-006</v>
      </c>
      <c r="M1957" s="1896"/>
      <c r="N1957" s="1896"/>
      <c r="O1957" s="1896"/>
      <c r="P1957" s="1896"/>
      <c r="Q1957" s="1993" t="str">
        <f>IF(OR($O1957=$M1957,$O1957=0,$O1957=""),"","*CHECK!*")</f>
        <v/>
      </c>
      <c r="R1957" s="1819"/>
      <c r="S1957" s="1819"/>
      <c r="T1957" s="1819"/>
      <c r="U1957" s="1819"/>
      <c r="V1957" s="1819"/>
    </row>
    <row r="1958" spans="1:27" s="1945" customFormat="1" ht="22.5" customHeight="1">
      <c r="A1958" s="1968" t="s">
        <v>1936</v>
      </c>
      <c r="B1958" s="1936" t="s">
        <v>6887</v>
      </c>
      <c r="C1958" s="1936"/>
      <c r="D1958" s="1936"/>
      <c r="E1958" s="1936"/>
      <c r="F1958" s="1936"/>
      <c r="G1958" s="1936"/>
      <c r="H1958" s="1936"/>
      <c r="I1958" s="1936"/>
      <c r="J1958" s="1936"/>
      <c r="K1958" s="1936"/>
      <c r="L1958" s="1936"/>
      <c r="M1958" s="1936"/>
      <c r="N1958" s="1942" t="s">
        <v>1936</v>
      </c>
      <c r="O1958" s="1938" t="str">
        <f>'Part IX Scoring Criteria'!O303</f>
        <v>Yes</v>
      </c>
      <c r="P1958" s="1938"/>
      <c r="Q1958" s="1936" t="s">
        <v>6954</v>
      </c>
      <c r="R1958" s="1936"/>
      <c r="S1958" s="1936"/>
      <c r="T1958" s="1936"/>
      <c r="U1958" s="1936"/>
      <c r="V1958" s="1936"/>
      <c r="W1958" s="1936"/>
      <c r="X1958" s="1936"/>
      <c r="Y1958" s="1936"/>
      <c r="Z1958" s="1936"/>
      <c r="AA1958" s="1936"/>
    </row>
    <row r="1959" spans="1:27" s="449" customFormat="1" ht="11.25" customHeight="1">
      <c r="A1959" s="1969"/>
      <c r="B1959" s="449" t="s">
        <v>3611</v>
      </c>
      <c r="I1959" s="1940" t="s">
        <v>4326</v>
      </c>
      <c r="J1959" s="1908" t="str">
        <f>'Part IX Scoring Criteria'!J304</f>
        <v>2019-006</v>
      </c>
      <c r="K1959" s="1940" t="s">
        <v>599</v>
      </c>
      <c r="L1959" s="449" t="str">
        <f>'Part IX Scoring Criteria'!L304</f>
        <v>Harper Woods</v>
      </c>
      <c r="Q1959" s="1936"/>
      <c r="R1959" s="1936"/>
      <c r="S1959" s="1936"/>
      <c r="T1959" s="1936"/>
    </row>
    <row r="1960" spans="1:27" s="449" customFormat="1" ht="11.25" customHeight="1">
      <c r="A1960" s="1969"/>
      <c r="B1960" s="449" t="s">
        <v>3642</v>
      </c>
      <c r="I1960" s="1940" t="s">
        <v>4326</v>
      </c>
      <c r="J1960" s="1908">
        <f>'Part IX Scoring Criteria'!J305</f>
        <v>0</v>
      </c>
      <c r="K1960" s="1940" t="s">
        <v>599</v>
      </c>
      <c r="L1960" s="449">
        <f>'Part IX Scoring Criteria'!L305</f>
        <v>0</v>
      </c>
      <c r="Q1960" s="1936"/>
      <c r="R1960" s="1936"/>
      <c r="S1960" s="1936"/>
      <c r="T1960" s="1936"/>
    </row>
    <row r="1961" spans="1:27" s="449" customFormat="1" ht="11.25" customHeight="1">
      <c r="A1961" s="1969" t="s">
        <v>1938</v>
      </c>
      <c r="B1961" s="449" t="s">
        <v>941</v>
      </c>
      <c r="M1961" s="1896"/>
      <c r="N1961" s="1940" t="s">
        <v>1938</v>
      </c>
      <c r="O1961" s="1229" t="str">
        <f>'Part IX Scoring Criteria'!O306</f>
        <v>Yes</v>
      </c>
      <c r="P1961" s="1229"/>
      <c r="Q1961" s="1936"/>
      <c r="R1961" s="1936"/>
      <c r="S1961" s="1936"/>
      <c r="T1961" s="1936"/>
    </row>
    <row r="1962" spans="1:27" s="449" customFormat="1" ht="11.25" customHeight="1">
      <c r="A1962" s="1969" t="s">
        <v>731</v>
      </c>
      <c r="B1962" s="449" t="s">
        <v>942</v>
      </c>
      <c r="M1962" s="1896"/>
      <c r="N1962" s="1940" t="s">
        <v>731</v>
      </c>
      <c r="O1962" s="1229" t="str">
        <f>'Part IX Scoring Criteria'!O307</f>
        <v>No</v>
      </c>
      <c r="P1962" s="1229"/>
      <c r="Q1962" s="1936"/>
      <c r="R1962" s="1936"/>
      <c r="S1962" s="1936"/>
      <c r="T1962" s="1936"/>
    </row>
    <row r="1963" spans="1:27" s="449" customFormat="1" ht="22.5" customHeight="1">
      <c r="A1963" s="1968" t="s">
        <v>2065</v>
      </c>
      <c r="B1963" s="1936" t="s">
        <v>4623</v>
      </c>
      <c r="C1963" s="1936"/>
      <c r="D1963" s="1936"/>
      <c r="E1963" s="1936"/>
      <c r="F1963" s="1936"/>
      <c r="G1963" s="1936"/>
      <c r="H1963" s="1936"/>
      <c r="I1963" s="1936"/>
      <c r="J1963" s="1936"/>
      <c r="K1963" s="1936"/>
      <c r="L1963" s="1936"/>
      <c r="M1963" s="1936"/>
      <c r="N1963" s="1942" t="s">
        <v>2065</v>
      </c>
      <c r="O1963" s="1938" t="str">
        <f>'Part IX Scoring Criteria'!O308</f>
        <v>Yes</v>
      </c>
      <c r="P1963" s="1938"/>
      <c r="Q1963" s="1936"/>
      <c r="R1963" s="1936"/>
      <c r="S1963" s="1936"/>
      <c r="T1963" s="1936"/>
    </row>
    <row r="1964" spans="1:27" s="449" customFormat="1" ht="11.25" customHeight="1">
      <c r="A1964" s="1969" t="s">
        <v>1692</v>
      </c>
      <c r="B1964" s="449" t="s">
        <v>4327</v>
      </c>
      <c r="M1964" s="1896"/>
      <c r="N1964" s="1940" t="s">
        <v>1692</v>
      </c>
      <c r="O1964" s="1229" t="str">
        <f>'Part IX Scoring Criteria'!O309</f>
        <v>Yes</v>
      </c>
      <c r="P1964" s="1229"/>
      <c r="Q1964" s="1936"/>
      <c r="R1964" s="1936"/>
      <c r="S1964" s="1936"/>
      <c r="T1964" s="1936"/>
    </row>
    <row r="1965" spans="1:27" s="449" customFormat="1" ht="11.25" customHeight="1">
      <c r="A1965" s="1969" t="s">
        <v>1693</v>
      </c>
      <c r="B1965" s="449" t="s">
        <v>943</v>
      </c>
      <c r="M1965" s="1896"/>
      <c r="N1965" s="1940" t="s">
        <v>1693</v>
      </c>
      <c r="O1965" s="1229" t="str">
        <f>'Part IX Scoring Criteria'!O310</f>
        <v>Yes</v>
      </c>
      <c r="P1965" s="1229"/>
      <c r="Q1965" s="1936"/>
      <c r="R1965" s="1936"/>
      <c r="S1965" s="1936"/>
      <c r="T1965" s="1936"/>
    </row>
    <row r="1966" spans="1:27" s="1951" customFormat="1" ht="10.5" customHeight="1">
      <c r="A1966" s="1815"/>
      <c r="B1966" s="449" t="s">
        <v>3566</v>
      </c>
      <c r="C1966" s="1815"/>
      <c r="D1966" s="1897"/>
      <c r="E1966" s="1897"/>
      <c r="F1966" s="1897"/>
      <c r="G1966" s="1897"/>
      <c r="H1966" s="449"/>
      <c r="I1966" s="449"/>
      <c r="J1966" s="449"/>
      <c r="K1966" s="449"/>
      <c r="M1966" s="1896"/>
      <c r="N1966" s="1874"/>
      <c r="O1966" s="1923"/>
      <c r="P1966" s="1874"/>
    </row>
    <row r="1967" spans="1:27" s="1951" customFormat="1" ht="21.75" customHeight="1">
      <c r="A1967" s="1936" t="str">
        <f>'Part IX Scoring Criteria'!A312</f>
        <v xml:space="preserve">The Applicant is claiming 3 points in this category because Harper Woods II is the second phase of this multi-phased development. Harper Woods 2019-006 was funded by DCA in the 2019 Competitive Application Round, and is under construction.  See TAB 36 for documentation that site control was established for all phases when the initial phase was closed.  This includes the Purchase &amp; Sale Agreement of the larger parcel, the deed of the larger parcel, the deed for phase I, a copy of the land disturbance permit, the construction contract and the notice of commencement for the first phase. </v>
      </c>
      <c r="B1967" s="1936"/>
      <c r="C1967" s="1936"/>
      <c r="D1967" s="1936"/>
      <c r="E1967" s="1936"/>
      <c r="F1967" s="1936"/>
      <c r="G1967" s="1936"/>
      <c r="H1967" s="1936"/>
      <c r="I1967" s="1936"/>
      <c r="J1967" s="1936"/>
      <c r="K1967" s="1936"/>
      <c r="L1967" s="1936"/>
      <c r="M1967" s="1936"/>
      <c r="N1967" s="1936"/>
      <c r="O1967" s="1936"/>
      <c r="P1967" s="1936"/>
      <c r="Q1967" s="1973" t="s">
        <v>1228</v>
      </c>
    </row>
    <row r="1968" spans="1:27" s="1951" customFormat="1" ht="10.5" customHeight="1">
      <c r="B1968" s="1936" t="s">
        <v>1820</v>
      </c>
      <c r="C1968" s="1815"/>
      <c r="D1968" s="1936"/>
      <c r="E1968" s="1939"/>
      <c r="F1968" s="1939"/>
      <c r="G1968" s="1939"/>
      <c r="H1968" s="1939"/>
      <c r="I1968" s="1939"/>
      <c r="J1968" s="1939"/>
      <c r="K1968" s="1939"/>
      <c r="L1968" s="1939"/>
      <c r="M1968" s="1939"/>
      <c r="N1968" s="1967"/>
      <c r="O1968" s="1967"/>
      <c r="P1968" s="1896"/>
    </row>
    <row r="1969" spans="1:24" s="1951" customFormat="1" ht="11.25" customHeight="1">
      <c r="A1969" s="1936"/>
      <c r="B1969" s="1936"/>
      <c r="C1969" s="1936"/>
      <c r="D1969" s="1936"/>
      <c r="E1969" s="1936"/>
      <c r="F1969" s="1936"/>
      <c r="G1969" s="1936"/>
      <c r="H1969" s="1936"/>
      <c r="I1969" s="1936"/>
      <c r="J1969" s="1936"/>
      <c r="K1969" s="1936"/>
      <c r="L1969" s="1936"/>
      <c r="M1969" s="1936"/>
      <c r="N1969" s="1936"/>
      <c r="O1969" s="1936"/>
      <c r="P1969" s="1936"/>
      <c r="Q1969" s="1973"/>
    </row>
    <row r="1970" spans="1:24" s="1951" customFormat="1" ht="10.95" customHeight="1">
      <c r="A1970" s="1815"/>
      <c r="D1970" s="449"/>
      <c r="E1970" s="449"/>
      <c r="F1970" s="1896"/>
      <c r="G1970" s="1896"/>
      <c r="H1970" s="1896"/>
      <c r="I1970" s="1896"/>
      <c r="J1970" s="1908"/>
      <c r="K1970" s="1908"/>
      <c r="L1970" s="1908"/>
      <c r="M1970" s="1229"/>
      <c r="N1970" s="1896"/>
      <c r="O1970" s="1874"/>
      <c r="P1970" s="1923"/>
    </row>
    <row r="1971" spans="1:24" s="1951" customFormat="1" ht="12" customHeight="1">
      <c r="A1971" s="2150" t="s">
        <v>1683</v>
      </c>
      <c r="B1971" s="1815" t="s">
        <v>4606</v>
      </c>
      <c r="D1971" s="2163"/>
      <c r="E1971" s="2163"/>
      <c r="F1971" s="1908" t="s">
        <v>3281</v>
      </c>
      <c r="H1971" s="1908" t="s">
        <v>4624</v>
      </c>
      <c r="I1971" s="1815"/>
      <c r="J1971" s="449">
        <f>'Part I-Project Information'!F1692</f>
        <v>0</v>
      </c>
      <c r="M1971" s="1896">
        <v>5</v>
      </c>
      <c r="N1971" s="1896"/>
      <c r="O1971" s="1923">
        <f>'Part IX Scoring Criteria'!O316</f>
        <v>0</v>
      </c>
      <c r="P1971" s="1923">
        <f>'Part IX Scoring Criteria'!P316</f>
        <v>0</v>
      </c>
      <c r="Q1971" s="1896" t="s">
        <v>433</v>
      </c>
      <c r="R1971" s="2179" t="s">
        <v>4577</v>
      </c>
      <c r="S1971" s="2179"/>
      <c r="T1971" s="2179"/>
      <c r="U1971" s="2179"/>
      <c r="V1971" s="2179"/>
      <c r="W1971" s="1955"/>
      <c r="X1971" s="1955"/>
    </row>
    <row r="1972" spans="1:24" s="1815" customFormat="1" ht="11.25" customHeight="1">
      <c r="A1972" s="1732" t="s">
        <v>1936</v>
      </c>
      <c r="B1972" s="1897" t="s">
        <v>6888</v>
      </c>
      <c r="J1972" s="449" t="str">
        <f>CONCATENATE('Part I-Project Information'!F1691,", ",'Part I-Project Information'!J1692)</f>
        <v xml:space="preserve">, </v>
      </c>
      <c r="R1972" s="2179"/>
      <c r="S1972" s="2179"/>
      <c r="T1972" s="2179"/>
      <c r="U1972" s="2179"/>
      <c r="V1972" s="2179"/>
    </row>
    <row r="1973" spans="1:24" s="1815" customFormat="1" ht="36" customHeight="1">
      <c r="A1973" s="1732"/>
      <c r="B1973" s="1772" t="s">
        <v>6955</v>
      </c>
      <c r="C1973" s="1772"/>
      <c r="D1973" s="1772"/>
      <c r="E1973" s="1772"/>
      <c r="F1973" s="1772"/>
      <c r="G1973" s="1772"/>
      <c r="H1973" s="1772"/>
      <c r="I1973" s="1772"/>
      <c r="J1973" s="1772"/>
      <c r="K1973" s="1772"/>
      <c r="L1973" s="1772"/>
      <c r="M1973" s="1967">
        <v>5</v>
      </c>
      <c r="N1973" s="1942" t="s">
        <v>1936</v>
      </c>
      <c r="O1973" s="2166">
        <f>'Part IX Scoring Criteria'!O318</f>
        <v>0</v>
      </c>
      <c r="P1973" s="2166">
        <f>'Part IX Scoring Criteria'!P318</f>
        <v>0</v>
      </c>
      <c r="R1973" s="2179"/>
      <c r="S1973" s="2179"/>
      <c r="T1973" s="2179"/>
      <c r="U1973" s="2179"/>
      <c r="V1973" s="2179"/>
    </row>
    <row r="1974" spans="1:24" s="1815" customFormat="1" ht="11.25" customHeight="1">
      <c r="B1974" s="1992" t="s">
        <v>1939</v>
      </c>
      <c r="C1974" s="449" t="s">
        <v>6889</v>
      </c>
      <c r="L1974" s="1732" t="str">
        <f>IF(OR($O1974=$M1974,$O1974=0,$O1974=""),"","* * Check Score! * *")</f>
        <v/>
      </c>
      <c r="M1974" s="1896">
        <v>5</v>
      </c>
      <c r="N1974" s="1969" t="s">
        <v>1939</v>
      </c>
      <c r="O1974" s="1923">
        <f>'Part IX Scoring Criteria'!O319</f>
        <v>0</v>
      </c>
      <c r="P1974" s="1923"/>
      <c r="Q1974" s="1993" t="str">
        <f>IF(OR($O1974=$M1974,$O1974=0,$O1974=""),"","*CHECK!*")</f>
        <v/>
      </c>
      <c r="R1974" s="1823" t="s">
        <v>4767</v>
      </c>
    </row>
    <row r="1975" spans="1:24" ht="11.25" customHeight="1">
      <c r="A1975" s="1229"/>
      <c r="B1975" s="2172" t="s">
        <v>1941</v>
      </c>
      <c r="C1975" s="1945" t="s">
        <v>6890</v>
      </c>
      <c r="D1975" s="1815"/>
      <c r="E1975" s="1815"/>
      <c r="F1975" s="1815"/>
      <c r="G1975" s="1908"/>
      <c r="H1975" s="1908"/>
      <c r="I1975" s="1908"/>
      <c r="L1975" s="1732" t="str">
        <f>IF(OR($O1975=$M1975,$O1975=0,$O1975=""),"","* * Check Score! * *")</f>
        <v/>
      </c>
      <c r="M1975" s="1874">
        <v>4</v>
      </c>
      <c r="N1975" s="1969" t="s">
        <v>1941</v>
      </c>
      <c r="O1975" s="1923">
        <f>'Part IX Scoring Criteria'!O320</f>
        <v>0</v>
      </c>
      <c r="P1975" s="1923"/>
      <c r="Q1975" s="1993" t="str">
        <f>IF(OR($O1975=$M1975,$O1975=0,$O1975=""),"","*CHECK!*")</f>
        <v/>
      </c>
      <c r="R1975" s="1823" t="s">
        <v>4767</v>
      </c>
    </row>
    <row r="1976" spans="1:24" s="1815" customFormat="1" ht="11.25" customHeight="1">
      <c r="A1976" s="1732" t="s">
        <v>1938</v>
      </c>
      <c r="B1976" s="1897" t="s">
        <v>6891</v>
      </c>
      <c r="F1976" s="1843" t="s">
        <v>4625</v>
      </c>
      <c r="H1976" s="449" t="s">
        <v>2703</v>
      </c>
      <c r="I1976" s="1951"/>
      <c r="J1976" s="449" t="str">
        <f>'Part I-Project Information'!$H$105</f>
        <v>Flexible</v>
      </c>
    </row>
    <row r="1977" spans="1:24" s="1815" customFormat="1" ht="11.25" customHeight="1">
      <c r="A1977" s="1732"/>
      <c r="B1977" s="1897" t="s">
        <v>6956</v>
      </c>
      <c r="H1977" s="1908"/>
      <c r="M1977" s="1896">
        <v>3</v>
      </c>
      <c r="N1977" s="1940" t="s">
        <v>1938</v>
      </c>
      <c r="O1977" s="1923">
        <f>'Part IX Scoring Criteria'!O322</f>
        <v>0</v>
      </c>
      <c r="P1977" s="1923">
        <f>'Part IX Scoring Criteria'!P322</f>
        <v>0</v>
      </c>
    </row>
    <row r="1978" spans="1:24" s="1815" customFormat="1" ht="11.25" customHeight="1">
      <c r="B1978" s="1992" t="s">
        <v>1939</v>
      </c>
      <c r="C1978" s="449" t="s">
        <v>6892</v>
      </c>
      <c r="J1978" s="1955" t="s">
        <v>4630</v>
      </c>
      <c r="L1978" s="1815" t="str">
        <f>IF(OR(AND(O1978&gt;0,O1979&gt;0), AND(O1981&gt;0,O1982&gt;0), AND(O1978+O1979&gt;0,O1981+O1982&gt;0)),"Choose option 1 or 2 or 3 or 4!!!",IF(AND(J1976="Rural", SUM(O1981:O1982)&gt;0),"Cannot choose options 3 or 4 if in Rural Pool!!!",""))</f>
        <v/>
      </c>
      <c r="M1978" s="1896">
        <v>3</v>
      </c>
      <c r="N1978" s="1969" t="s">
        <v>1939</v>
      </c>
      <c r="O1978" s="1923">
        <f>'Part IX Scoring Criteria'!O323</f>
        <v>0</v>
      </c>
      <c r="P1978" s="1923"/>
      <c r="Q1978" s="1993" t="str">
        <f>IF(OR($O1978=$M1978,$O1978=0,$O1978=""),"","*CHECK!*")</f>
        <v/>
      </c>
      <c r="R1978" s="1823" t="s">
        <v>4767</v>
      </c>
    </row>
    <row r="1979" spans="1:24" ht="11.25" customHeight="1">
      <c r="A1979" s="1229"/>
      <c r="B1979" s="2172" t="s">
        <v>1941</v>
      </c>
      <c r="C1979" s="1945" t="s">
        <v>6893</v>
      </c>
      <c r="D1979" s="1815"/>
      <c r="E1979" s="1815"/>
      <c r="F1979" s="1815"/>
      <c r="G1979" s="1908"/>
      <c r="H1979" s="1908"/>
      <c r="I1979" s="1908"/>
      <c r="J1979" s="1955" t="s">
        <v>4630</v>
      </c>
      <c r="K1979" s="1815"/>
      <c r="L1979" s="1815"/>
      <c r="M1979" s="1874">
        <v>2</v>
      </c>
      <c r="N1979" s="1969" t="s">
        <v>1941</v>
      </c>
      <c r="O1979" s="1923">
        <f>'Part IX Scoring Criteria'!O324</f>
        <v>0</v>
      </c>
      <c r="P1979" s="1923"/>
      <c r="Q1979" s="1993" t="str">
        <f>IF(OR($O1979=$M1979,$O1979=0,$O1979=""),"","*CHECK!*")</f>
        <v/>
      </c>
      <c r="R1979" s="1823" t="s">
        <v>4767</v>
      </c>
    </row>
    <row r="1980" spans="1:24" ht="22.5" customHeight="1">
      <c r="A1980" s="1229"/>
      <c r="B1980" s="2176" t="s">
        <v>6957</v>
      </c>
      <c r="C1980" s="2176"/>
      <c r="D1980" s="2176"/>
      <c r="E1980" s="2176"/>
      <c r="F1980" s="2176"/>
      <c r="G1980" s="2176"/>
      <c r="H1980" s="2176"/>
      <c r="I1980" s="2176"/>
      <c r="J1980" s="2176"/>
      <c r="K1980" s="2176"/>
      <c r="L1980" s="1815"/>
      <c r="M1980" s="1874"/>
      <c r="N1980" s="1874"/>
      <c r="O1980" s="1874"/>
      <c r="P1980" s="1874"/>
      <c r="Q1980" s="1993"/>
      <c r="R1980" s="1843"/>
    </row>
    <row r="1981" spans="1:24" ht="11.25" customHeight="1">
      <c r="A1981" s="1229"/>
      <c r="B1981" s="2172" t="s">
        <v>2468</v>
      </c>
      <c r="C1981" s="449" t="s">
        <v>6894</v>
      </c>
      <c r="D1981" s="1815"/>
      <c r="E1981" s="1815"/>
      <c r="F1981" s="1815"/>
      <c r="G1981" s="1908"/>
      <c r="H1981" s="1908"/>
      <c r="I1981" s="1908"/>
      <c r="K1981" s="1815"/>
      <c r="L1981" s="1815"/>
      <c r="M1981" s="1874">
        <v>3</v>
      </c>
      <c r="N1981" s="1969" t="s">
        <v>2468</v>
      </c>
      <c r="O1981" s="1923">
        <f>'Part IX Scoring Criteria'!O326</f>
        <v>0</v>
      </c>
      <c r="P1981" s="1923"/>
      <c r="Q1981" s="1993" t="str">
        <f>IF(OR($O1981=$M1981,$O1981=0,$O1981=""),"","*CHECK!*")</f>
        <v/>
      </c>
      <c r="R1981" s="1823" t="s">
        <v>4767</v>
      </c>
    </row>
    <row r="1982" spans="1:24" ht="11.25" customHeight="1">
      <c r="A1982" s="1229"/>
      <c r="B1982" s="2172" t="s">
        <v>1198</v>
      </c>
      <c r="C1982" s="1945" t="s">
        <v>6895</v>
      </c>
      <c r="D1982" s="1815"/>
      <c r="E1982" s="1815"/>
      <c r="F1982" s="1815"/>
      <c r="G1982" s="1908"/>
      <c r="H1982" s="1908"/>
      <c r="I1982" s="1908"/>
      <c r="K1982" s="1815"/>
      <c r="L1982" s="1815"/>
      <c r="M1982" s="1874">
        <v>2</v>
      </c>
      <c r="N1982" s="1969" t="s">
        <v>1198</v>
      </c>
      <c r="O1982" s="1923">
        <f>'Part IX Scoring Criteria'!O327</f>
        <v>0</v>
      </c>
      <c r="P1982" s="1923"/>
      <c r="Q1982" s="1993" t="str">
        <f>IF(OR($O1982=$M1982,$O1982=0,$O1982=""),"","*CHECK!*")</f>
        <v/>
      </c>
      <c r="R1982" s="1823" t="s">
        <v>4767</v>
      </c>
    </row>
    <row r="1983" spans="1:24" s="1951" customFormat="1" ht="10.5" customHeight="1">
      <c r="A1983" s="1815"/>
      <c r="B1983" s="449" t="s">
        <v>3566</v>
      </c>
      <c r="C1983" s="1815"/>
      <c r="D1983" s="1897"/>
      <c r="E1983" s="1897"/>
      <c r="F1983" s="1897"/>
      <c r="G1983" s="1897"/>
      <c r="H1983" s="449"/>
      <c r="I1983" s="449"/>
      <c r="J1983" s="449"/>
      <c r="K1983" s="449"/>
      <c r="M1983" s="1896"/>
      <c r="N1983" s="1874"/>
      <c r="O1983" s="1923"/>
      <c r="P1983" s="1874"/>
    </row>
    <row r="1984" spans="1:24" s="1951" customFormat="1" ht="21.75" customHeight="1">
      <c r="A1984" s="1936" t="str">
        <f>'Part IX Scoring Criteria'!A329</f>
        <v xml:space="preserve">Applicant is not claiming points in this category. </v>
      </c>
      <c r="B1984" s="1936"/>
      <c r="C1984" s="1936"/>
      <c r="D1984" s="1936"/>
      <c r="E1984" s="1936"/>
      <c r="F1984" s="1936"/>
      <c r="G1984" s="1936"/>
      <c r="H1984" s="1936"/>
      <c r="I1984" s="1936"/>
      <c r="J1984" s="1936"/>
      <c r="K1984" s="1936"/>
      <c r="L1984" s="1936"/>
      <c r="M1984" s="1936"/>
      <c r="N1984" s="1936"/>
      <c r="O1984" s="1936"/>
      <c r="P1984" s="1936"/>
      <c r="Q1984" s="1973" t="s">
        <v>1228</v>
      </c>
    </row>
    <row r="1985" spans="1:21" s="1951" customFormat="1" ht="10.5" customHeight="1">
      <c r="B1985" s="1936" t="s">
        <v>1820</v>
      </c>
      <c r="C1985" s="1815"/>
      <c r="D1985" s="1936"/>
      <c r="E1985" s="1939"/>
      <c r="F1985" s="1939"/>
      <c r="G1985" s="1939"/>
      <c r="H1985" s="1939"/>
      <c r="I1985" s="1939"/>
      <c r="J1985" s="1939"/>
      <c r="K1985" s="1939"/>
      <c r="L1985" s="1939"/>
      <c r="M1985" s="1939"/>
      <c r="N1985" s="1967"/>
      <c r="O1985" s="1967"/>
      <c r="P1985" s="1896"/>
    </row>
    <row r="1986" spans="1:21" s="1951" customFormat="1" ht="11.25" customHeight="1">
      <c r="A1986" s="1936"/>
      <c r="B1986" s="1936"/>
      <c r="C1986" s="1936"/>
      <c r="D1986" s="1936"/>
      <c r="E1986" s="1936"/>
      <c r="F1986" s="1936"/>
      <c r="G1986" s="1936"/>
      <c r="H1986" s="1936"/>
      <c r="I1986" s="1936"/>
      <c r="J1986" s="1936"/>
      <c r="K1986" s="1936"/>
      <c r="L1986" s="1936"/>
      <c r="M1986" s="1936"/>
      <c r="N1986" s="1936"/>
      <c r="O1986" s="1936"/>
      <c r="P1986" s="1936"/>
      <c r="Q1986" s="1973"/>
    </row>
    <row r="1987" spans="1:21" ht="1.5" customHeight="1">
      <c r="N1987" s="1874"/>
      <c r="O1987" s="1874"/>
      <c r="P1987" s="1874"/>
      <c r="T1987" s="2125"/>
      <c r="U1987" s="2125"/>
    </row>
    <row r="1988" spans="1:21" s="1951" customFormat="1" ht="12" customHeight="1">
      <c r="A1988" s="1931" t="s">
        <v>2691</v>
      </c>
      <c r="B1988" s="1815" t="s">
        <v>2729</v>
      </c>
      <c r="D1988" s="2163"/>
      <c r="E1988" s="2163"/>
      <c r="F1988" s="2163"/>
      <c r="H1988" s="1908"/>
      <c r="J1988" s="1229"/>
      <c r="K1988" s="1897"/>
      <c r="L1988" s="1940" t="s">
        <v>4768</v>
      </c>
      <c r="M1988" s="1896">
        <v>4</v>
      </c>
      <c r="N1988" s="1896"/>
      <c r="O1988" s="1923">
        <f>'Part IX Scoring Criteria'!O333</f>
        <v>4</v>
      </c>
      <c r="P1988" s="1923">
        <f>'Part IX Scoring Criteria'!P333</f>
        <v>0</v>
      </c>
      <c r="Q1988" s="1896" t="s">
        <v>433</v>
      </c>
      <c r="T1988" s="2125"/>
      <c r="U1988" s="2125"/>
    </row>
    <row r="1989" spans="1:21" s="1947" customFormat="1" ht="11.25" customHeight="1">
      <c r="A1989" s="1904" t="s">
        <v>1936</v>
      </c>
      <c r="B1989" s="1897" t="s">
        <v>2177</v>
      </c>
      <c r="D1989" s="1908"/>
      <c r="E1989" s="1908"/>
      <c r="F1989" s="1952"/>
      <c r="G1989" s="1995"/>
      <c r="L1989" s="1732"/>
      <c r="M1989" s="1896">
        <v>3</v>
      </c>
      <c r="N1989" s="1940" t="s">
        <v>1936</v>
      </c>
      <c r="O1989" s="1923">
        <f>'Part IX Scoring Criteria'!O334</f>
        <v>3</v>
      </c>
      <c r="P1989" s="1923">
        <f>'Part IX Scoring Criteria'!P334</f>
        <v>0</v>
      </c>
      <c r="Q1989" s="1993"/>
      <c r="R1989" s="1843"/>
      <c r="T1989" s="2125"/>
      <c r="U1989" s="2125"/>
    </row>
    <row r="1990" spans="1:21" s="1947" customFormat="1" ht="11.25" customHeight="1">
      <c r="A1990" s="1904"/>
      <c r="B1990" s="1992" t="s">
        <v>1939</v>
      </c>
      <c r="C1990" s="1908" t="s">
        <v>4328</v>
      </c>
      <c r="D1990" s="1908"/>
      <c r="E1990" s="1908"/>
      <c r="F1990" s="1952"/>
      <c r="G1990" s="1995"/>
      <c r="L1990" s="1732"/>
      <c r="M1990" s="1896">
        <v>3</v>
      </c>
      <c r="N1990" s="1969" t="s">
        <v>1939</v>
      </c>
      <c r="O1990" s="1229" t="str">
        <f>'Part IX Scoring Criteria'!O335</f>
        <v>Yes</v>
      </c>
      <c r="P1990" s="1229"/>
      <c r="Q1990" s="1993"/>
      <c r="R1990" s="1843"/>
      <c r="T1990" s="2125"/>
      <c r="U1990" s="2125"/>
    </row>
    <row r="1991" spans="1:21" s="1947" customFormat="1" ht="11.25" customHeight="1">
      <c r="A1991" s="1904"/>
      <c r="B1991" s="2172" t="s">
        <v>1941</v>
      </c>
      <c r="C1991" s="1908" t="s">
        <v>4329</v>
      </c>
      <c r="D1991" s="1908"/>
      <c r="E1991" s="1908"/>
      <c r="F1991" s="1952"/>
      <c r="G1991" s="1995"/>
      <c r="L1991" s="1732"/>
      <c r="M1991" s="1896">
        <v>2</v>
      </c>
      <c r="N1991" s="1969" t="s">
        <v>1941</v>
      </c>
      <c r="O1991" s="1229" t="str">
        <f>'Part IX Scoring Criteria'!O336</f>
        <v>No</v>
      </c>
      <c r="P1991" s="1229"/>
      <c r="Q1991" s="1993"/>
      <c r="R1991" s="1843"/>
      <c r="T1991" s="2125"/>
      <c r="U1991" s="2125"/>
    </row>
    <row r="1992" spans="1:21" s="1947" customFormat="1" ht="10.5" customHeight="1">
      <c r="A1992" s="1904"/>
      <c r="B1992" s="2172" t="s">
        <v>2468</v>
      </c>
      <c r="C1992" s="1908" t="s">
        <v>4330</v>
      </c>
      <c r="D1992" s="1908"/>
      <c r="E1992" s="1908"/>
      <c r="F1992" s="1952"/>
      <c r="G1992" s="1995"/>
      <c r="K1992" s="1940"/>
      <c r="M1992" s="1896">
        <v>1</v>
      </c>
      <c r="N1992" s="1969" t="s">
        <v>2468</v>
      </c>
      <c r="O1992" s="1229" t="str">
        <f>'Part IX Scoring Criteria'!O337</f>
        <v>No</v>
      </c>
      <c r="P1992" s="1229"/>
      <c r="R1992" s="1955"/>
      <c r="T1992" s="2125"/>
      <c r="U1992" s="2125"/>
    </row>
    <row r="1993" spans="1:21" s="1951" customFormat="1" ht="11.25" customHeight="1">
      <c r="A1993" s="1904" t="s">
        <v>1938</v>
      </c>
      <c r="B1993" s="1897" t="s">
        <v>4578</v>
      </c>
      <c r="D1993" s="449"/>
      <c r="K1993" s="449"/>
      <c r="L1993" s="1732" t="str">
        <f>IF(OR($O1993=$M1993,$O1993=0,$O1993=""),"","* * Check Score! * *")</f>
        <v/>
      </c>
      <c r="M1993" s="1896">
        <v>1</v>
      </c>
      <c r="N1993" s="1940" t="s">
        <v>1938</v>
      </c>
      <c r="O1993" s="1923">
        <f>'Part IX Scoring Criteria'!O338</f>
        <v>0</v>
      </c>
      <c r="P1993" s="1923">
        <f>'Part IX Scoring Criteria'!P338</f>
        <v>0</v>
      </c>
      <c r="Q1993" s="1993" t="str">
        <f>IF(OR($O1993=$M1993,$O1993=0,$O1993=""),"","*CHECK!*")</f>
        <v/>
      </c>
      <c r="R1993" s="1843"/>
      <c r="T1993" s="2125"/>
      <c r="U1993" s="2125"/>
    </row>
    <row r="1994" spans="1:21" s="1951" customFormat="1" ht="21.75" customHeight="1">
      <c r="A1994" s="1931"/>
      <c r="B1994" s="449" t="s">
        <v>4579</v>
      </c>
      <c r="C1994" s="449"/>
      <c r="D1994" s="449"/>
      <c r="E1994" s="449"/>
      <c r="F1994" s="449"/>
      <c r="G1994" s="449"/>
      <c r="H1994" s="449"/>
      <c r="I1994" s="449"/>
      <c r="J1994" s="449"/>
      <c r="K1994" s="449"/>
      <c r="L1994" s="449"/>
      <c r="M1994" s="1896"/>
      <c r="N1994" s="1940"/>
      <c r="O1994" s="1938" t="str">
        <f>'Part IX Scoring Criteria'!O339</f>
        <v>No</v>
      </c>
      <c r="P1994" s="1938"/>
      <c r="Q1994" s="1955"/>
      <c r="R1994" s="1732"/>
      <c r="T1994" s="2125"/>
      <c r="U1994" s="2125"/>
    </row>
    <row r="1995" spans="1:21" s="1951" customFormat="1" ht="11.25" customHeight="1">
      <c r="A1995" s="1904" t="s">
        <v>731</v>
      </c>
      <c r="B1995" s="1897" t="s">
        <v>4331</v>
      </c>
      <c r="D1995" s="449"/>
      <c r="H1995" s="1822"/>
      <c r="K1995" s="449"/>
      <c r="L1995" s="1732"/>
      <c r="M1995" s="1896">
        <v>1</v>
      </c>
      <c r="N1995" s="1940" t="s">
        <v>731</v>
      </c>
      <c r="O1995" s="1923">
        <f>'Part IX Scoring Criteria'!O340</f>
        <v>1</v>
      </c>
      <c r="P1995" s="1923">
        <f>'Part IX Scoring Criteria'!P340</f>
        <v>0</v>
      </c>
      <c r="Q1995" s="1993" t="str">
        <f>IF(OR($O1995=$M1995,$O1995=0,$O1995=""),"","*CHECK!*")</f>
        <v/>
      </c>
      <c r="R1995" s="1843"/>
      <c r="T1995" s="2125"/>
      <c r="U1995" s="2125"/>
    </row>
    <row r="1996" spans="1:21" s="1951" customFormat="1" ht="33.75" customHeight="1">
      <c r="B1996" s="1936" t="s">
        <v>6958</v>
      </c>
      <c r="C1996" s="1936"/>
      <c r="D1996" s="1936"/>
      <c r="E1996" s="1936"/>
      <c r="F1996" s="1936"/>
      <c r="G1996" s="1936"/>
      <c r="H1996" s="1936"/>
      <c r="I1996" s="1936"/>
      <c r="J1996" s="1936"/>
      <c r="K1996" s="1936"/>
      <c r="L1996" s="1936"/>
      <c r="M1996" s="1896"/>
      <c r="N1996" s="1940"/>
      <c r="O1996" s="1938" t="str">
        <f>'Part IX Scoring Criteria'!O341</f>
        <v>Yes</v>
      </c>
      <c r="P1996" s="1938"/>
      <c r="Q1996" s="1955"/>
      <c r="R1996" s="1732"/>
      <c r="T1996" s="2125"/>
      <c r="U1996" s="2125"/>
    </row>
    <row r="1997" spans="1:21" s="1951" customFormat="1" ht="22.5" customHeight="1">
      <c r="B1997" s="1936" t="s">
        <v>4448</v>
      </c>
      <c r="C1997" s="1936"/>
      <c r="D1997" s="1936"/>
      <c r="E1997" s="1936"/>
      <c r="F1997" s="1936"/>
      <c r="G1997" s="1936"/>
      <c r="H1997" s="1936"/>
      <c r="I1997" s="1936"/>
      <c r="J1997" s="1936"/>
      <c r="K1997" s="1936"/>
      <c r="L1997" s="1936"/>
      <c r="M1997" s="1896"/>
      <c r="N1997" s="1896"/>
      <c r="O1997" s="1896"/>
      <c r="P1997" s="1896"/>
      <c r="Q1997" s="1955"/>
      <c r="R1997" s="1732"/>
      <c r="T1997" s="2125"/>
      <c r="U1997" s="2125"/>
    </row>
    <row r="1998" spans="1:21" s="1951" customFormat="1" ht="10.5" customHeight="1">
      <c r="A1998" s="1815"/>
      <c r="B1998" s="1936" t="s">
        <v>1820</v>
      </c>
      <c r="C1998" s="1815"/>
      <c r="D1998" s="1936"/>
      <c r="E1998" s="1939"/>
      <c r="F1998" s="1939"/>
      <c r="G1998" s="1939"/>
      <c r="H1998" s="1939"/>
      <c r="I1998" s="1939"/>
      <c r="J1998" s="1939"/>
      <c r="K1998" s="1939"/>
      <c r="L1998" s="1939"/>
      <c r="M1998" s="1939"/>
      <c r="N1998" s="1967"/>
      <c r="O1998" s="1967"/>
      <c r="P1998" s="1896"/>
    </row>
    <row r="1999" spans="1:21" s="1951" customFormat="1" ht="11.25" customHeight="1">
      <c r="A1999" s="1936"/>
      <c r="B1999" s="1936"/>
      <c r="C1999" s="1936"/>
      <c r="D1999" s="1936"/>
      <c r="E1999" s="1936"/>
      <c r="F1999" s="1936"/>
      <c r="G1999" s="1936"/>
      <c r="H1999" s="1936"/>
      <c r="I1999" s="1936"/>
      <c r="J1999" s="1936"/>
      <c r="K1999" s="1936"/>
      <c r="L1999" s="1936"/>
      <c r="M1999" s="1936"/>
      <c r="N1999" s="1936"/>
      <c r="O1999" s="1936"/>
      <c r="P1999" s="1936"/>
      <c r="Q1999" s="1973"/>
    </row>
    <row r="2000" spans="1:21" s="1951" customFormat="1" ht="1.5" customHeight="1">
      <c r="A2000" s="1815"/>
      <c r="B2000" s="1815"/>
      <c r="C2000" s="1939"/>
      <c r="D2000" s="1939"/>
      <c r="E2000" s="1939"/>
      <c r="F2000" s="1939"/>
      <c r="G2000" s="1939"/>
      <c r="H2000" s="1939"/>
      <c r="I2000" s="1939"/>
      <c r="J2000" s="1939"/>
      <c r="K2000" s="1939"/>
      <c r="L2000" s="1939"/>
      <c r="M2000" s="1939"/>
      <c r="N2000" s="1967"/>
      <c r="O2000" s="1967"/>
      <c r="P2000" s="1896"/>
    </row>
    <row r="2001" spans="1:18" s="1951" customFormat="1" ht="12" customHeight="1">
      <c r="A2001" s="2150" t="s">
        <v>2194</v>
      </c>
      <c r="B2001" s="1815" t="s">
        <v>3747</v>
      </c>
      <c r="C2001" s="1945"/>
      <c r="D2001" s="1945"/>
      <c r="E2001" s="449"/>
      <c r="G2001" s="1945"/>
      <c r="M2001" s="1896">
        <v>2</v>
      </c>
      <c r="N2001" s="1896"/>
      <c r="O2001" s="1896"/>
      <c r="P2001" s="1896">
        <f>P2002+P2010</f>
        <v>0</v>
      </c>
      <c r="Q2001" s="1896" t="s">
        <v>433</v>
      </c>
    </row>
    <row r="2002" spans="1:18" s="1951" customFormat="1" ht="12" customHeight="1">
      <c r="A2002" s="1904" t="s">
        <v>1936</v>
      </c>
      <c r="B2002" s="1897" t="s">
        <v>3748</v>
      </c>
      <c r="C2002" s="1945"/>
      <c r="D2002" s="1945"/>
      <c r="E2002" s="449"/>
      <c r="G2002" s="1912">
        <f>'Part VIII-Threshold Criteria'!I2005</f>
        <v>0</v>
      </c>
      <c r="L2002" s="1940" t="s">
        <v>4816</v>
      </c>
      <c r="M2002" s="1229">
        <f>'Part I-Project Information'!H1753</f>
        <v>0</v>
      </c>
      <c r="N2002" s="1940" t="s">
        <v>1936</v>
      </c>
      <c r="O2002" s="1732" t="str">
        <f>'Part I-Project Information'!$H$100</f>
        <v>No</v>
      </c>
      <c r="P2002" s="1896"/>
      <c r="Q2002" s="1896"/>
      <c r="R2002" s="1843" t="s">
        <v>2626</v>
      </c>
    </row>
    <row r="2003" spans="1:18" s="1947" customFormat="1" ht="10.5" customHeight="1">
      <c r="A2003" s="1904"/>
      <c r="B2003" s="1969" t="s">
        <v>1939</v>
      </c>
      <c r="C2003" s="449" t="s">
        <v>4383</v>
      </c>
      <c r="D2003" s="1815"/>
      <c r="N2003" s="1969" t="s">
        <v>4384</v>
      </c>
      <c r="O2003" s="1229">
        <f>'Part IX Scoring Criteria'!O348</f>
        <v>0</v>
      </c>
      <c r="P2003" s="1229"/>
      <c r="R2003" s="1732"/>
    </row>
    <row r="2004" spans="1:18" s="1947" customFormat="1" ht="10.5" customHeight="1">
      <c r="A2004" s="1904"/>
      <c r="B2004" s="1969"/>
      <c r="C2004" s="449" t="s">
        <v>4741</v>
      </c>
      <c r="D2004" s="1815"/>
      <c r="N2004" s="1969" t="s">
        <v>4385</v>
      </c>
      <c r="O2004" s="1229">
        <f>'Part IX Scoring Criteria'!O349</f>
        <v>0</v>
      </c>
      <c r="P2004" s="1229"/>
      <c r="R2004" s="1732"/>
    </row>
    <row r="2005" spans="1:18" s="1947" customFormat="1" ht="10.5" customHeight="1">
      <c r="A2005" s="1904"/>
      <c r="B2005" s="1969" t="s">
        <v>1941</v>
      </c>
      <c r="C2005" s="449" t="s">
        <v>3756</v>
      </c>
      <c r="D2005" s="1815"/>
      <c r="N2005" s="1969" t="s">
        <v>1941</v>
      </c>
      <c r="O2005" s="1229">
        <f>'Part IX Scoring Criteria'!O350</f>
        <v>0</v>
      </c>
      <c r="P2005" s="1229"/>
      <c r="R2005" s="1732"/>
    </row>
    <row r="2006" spans="1:18" s="1947" customFormat="1" ht="10.5" customHeight="1">
      <c r="A2006" s="1904"/>
      <c r="B2006" s="1969" t="s">
        <v>2468</v>
      </c>
      <c r="C2006" s="449" t="s">
        <v>4386</v>
      </c>
      <c r="D2006" s="1815"/>
      <c r="N2006" s="1969" t="s">
        <v>2468</v>
      </c>
      <c r="O2006" s="1229">
        <f>'Part IX Scoring Criteria'!O351</f>
        <v>0</v>
      </c>
      <c r="P2006" s="1229"/>
      <c r="R2006" s="1732"/>
    </row>
    <row r="2007" spans="1:18" s="1947" customFormat="1" ht="10.5" customHeight="1">
      <c r="B2007" s="1969" t="s">
        <v>1198</v>
      </c>
      <c r="C2007" s="449" t="s">
        <v>4332</v>
      </c>
      <c r="D2007" s="1815"/>
      <c r="N2007" s="1969" t="s">
        <v>1198</v>
      </c>
      <c r="O2007" s="1229">
        <f>'Part IX Scoring Criteria'!O352</f>
        <v>0</v>
      </c>
      <c r="P2007" s="1229"/>
      <c r="R2007" s="1732"/>
    </row>
    <row r="2008" spans="1:18" s="1947" customFormat="1" ht="10.5" customHeight="1">
      <c r="A2008" s="1904"/>
      <c r="B2008" s="1969" t="s">
        <v>1199</v>
      </c>
      <c r="C2008" s="449" t="s">
        <v>4333</v>
      </c>
      <c r="D2008" s="1815"/>
      <c r="N2008" s="1969" t="s">
        <v>1199</v>
      </c>
      <c r="O2008" s="1229">
        <f>'Part IX Scoring Criteria'!O353</f>
        <v>0</v>
      </c>
      <c r="P2008" s="1229"/>
      <c r="R2008" s="1732"/>
    </row>
    <row r="2009" spans="1:18" s="1947" customFormat="1" ht="10.5" customHeight="1">
      <c r="A2009" s="1904"/>
      <c r="B2009" s="1969" t="s">
        <v>1834</v>
      </c>
      <c r="C2009" s="449" t="s">
        <v>3757</v>
      </c>
      <c r="D2009" s="1815"/>
      <c r="N2009" s="1969" t="s">
        <v>1834</v>
      </c>
      <c r="O2009" s="1229">
        <f>'Part IX Scoring Criteria'!O354</f>
        <v>0</v>
      </c>
      <c r="P2009" s="1229"/>
      <c r="R2009" s="1732"/>
    </row>
    <row r="2010" spans="1:18" s="1951" customFormat="1" ht="12" customHeight="1">
      <c r="A2010" s="1904" t="s">
        <v>1938</v>
      </c>
      <c r="B2010" s="1897" t="s">
        <v>3749</v>
      </c>
      <c r="C2010" s="1945"/>
      <c r="D2010" s="1945"/>
      <c r="E2010" s="449"/>
      <c r="G2010" s="1912">
        <f>'Part I-Project Information'!D1817</f>
        <v>0</v>
      </c>
      <c r="I2010" s="1912"/>
      <c r="L2010" s="1817"/>
      <c r="M2010" s="1817"/>
      <c r="N2010" s="1940" t="s">
        <v>1938</v>
      </c>
      <c r="P2010" s="1896"/>
      <c r="Q2010" s="1896"/>
      <c r="R2010" s="1843" t="s">
        <v>2626</v>
      </c>
    </row>
    <row r="2011" spans="1:18" s="1947" customFormat="1" ht="10.5" customHeight="1">
      <c r="A2011" s="1931"/>
      <c r="B2011" s="1969" t="s">
        <v>1939</v>
      </c>
      <c r="C2011" s="449" t="s">
        <v>4383</v>
      </c>
      <c r="D2011" s="449"/>
      <c r="E2011" s="449"/>
      <c r="M2011" s="1896"/>
      <c r="N2011" s="1969" t="s">
        <v>4384</v>
      </c>
      <c r="O2011" s="1229">
        <f>'Part IX Scoring Criteria'!O356</f>
        <v>0</v>
      </c>
      <c r="P2011" s="1229"/>
      <c r="Q2011" s="1896"/>
    </row>
    <row r="2012" spans="1:18" s="1947" customFormat="1" ht="10.5" customHeight="1">
      <c r="A2012" s="1904"/>
      <c r="B2012" s="1969"/>
      <c r="C2012" s="449" t="s">
        <v>4769</v>
      </c>
      <c r="D2012" s="1815"/>
      <c r="N2012" s="1969" t="s">
        <v>4385</v>
      </c>
      <c r="O2012" s="1229">
        <f>'Part IX Scoring Criteria'!O357</f>
        <v>0</v>
      </c>
      <c r="P2012" s="1229"/>
      <c r="R2012" s="1732"/>
    </row>
    <row r="2013" spans="1:18" s="1947" customFormat="1" ht="10.5" customHeight="1">
      <c r="A2013" s="1904"/>
      <c r="B2013" s="1969" t="s">
        <v>1941</v>
      </c>
      <c r="C2013" s="449" t="s">
        <v>3768</v>
      </c>
      <c r="D2013" s="1815"/>
      <c r="N2013" s="1969" t="s">
        <v>1941</v>
      </c>
      <c r="O2013" s="1229">
        <f>'Part IX Scoring Criteria'!O358</f>
        <v>0</v>
      </c>
      <c r="P2013" s="1229"/>
      <c r="R2013" s="1732"/>
    </row>
    <row r="2014" spans="1:18" s="1947" customFormat="1" ht="10.5" customHeight="1">
      <c r="B2014" s="1969" t="s">
        <v>2468</v>
      </c>
      <c r="C2014" s="449" t="s">
        <v>3757</v>
      </c>
      <c r="D2014" s="1815"/>
      <c r="N2014" s="1969" t="s">
        <v>2468</v>
      </c>
      <c r="O2014" s="1229">
        <f>'Part IX Scoring Criteria'!O359</f>
        <v>0</v>
      </c>
      <c r="P2014" s="1229"/>
      <c r="R2014" s="1732"/>
    </row>
    <row r="2015" spans="1:18" s="1951" customFormat="1" ht="10.5" customHeight="1">
      <c r="B2015" s="1936" t="s">
        <v>1820</v>
      </c>
      <c r="C2015" s="1815"/>
      <c r="D2015" s="1936"/>
      <c r="E2015" s="1939"/>
      <c r="F2015" s="1939"/>
      <c r="G2015" s="1939"/>
      <c r="H2015" s="1939"/>
      <c r="I2015" s="1939"/>
      <c r="J2015" s="1939"/>
      <c r="K2015" s="1939"/>
      <c r="L2015" s="1939"/>
      <c r="M2015" s="1939"/>
      <c r="N2015" s="1967"/>
      <c r="O2015" s="1967"/>
      <c r="P2015" s="1896"/>
    </row>
    <row r="2016" spans="1:18" s="1951" customFormat="1" ht="11.25" customHeight="1">
      <c r="A2016" s="1936"/>
      <c r="B2016" s="1936"/>
      <c r="C2016" s="1936"/>
      <c r="D2016" s="1936"/>
      <c r="E2016" s="1936"/>
      <c r="F2016" s="1936"/>
      <c r="G2016" s="1936"/>
      <c r="H2016" s="1936"/>
      <c r="I2016" s="1936"/>
      <c r="J2016" s="1936"/>
      <c r="K2016" s="1936"/>
      <c r="L2016" s="1936"/>
      <c r="M2016" s="1936"/>
      <c r="N2016" s="1936"/>
      <c r="O2016" s="1936"/>
      <c r="P2016" s="1936"/>
      <c r="Q2016" s="1973"/>
    </row>
    <row r="2017" spans="1:19" ht="2.25" customHeight="1">
      <c r="N2017" s="1874"/>
      <c r="O2017" s="1874"/>
      <c r="P2017" s="1874"/>
    </row>
    <row r="2018" spans="1:19" s="1951" customFormat="1" ht="2.25" customHeight="1">
      <c r="A2018" s="1815"/>
      <c r="C2018" s="1939"/>
      <c r="D2018" s="1939"/>
      <c r="E2018" s="1939"/>
      <c r="F2018" s="1939"/>
      <c r="G2018" s="1939"/>
      <c r="H2018" s="1939"/>
      <c r="I2018" s="1939"/>
      <c r="J2018" s="1939"/>
      <c r="K2018" s="1939"/>
      <c r="L2018" s="1939"/>
      <c r="M2018" s="1939"/>
      <c r="N2018" s="1967"/>
      <c r="O2018" s="1967"/>
      <c r="P2018" s="1896"/>
    </row>
    <row r="2019" spans="1:19" s="1951" customFormat="1" ht="12" customHeight="1">
      <c r="A2019" s="2150" t="s">
        <v>3784</v>
      </c>
      <c r="B2019" s="1815" t="s">
        <v>1631</v>
      </c>
      <c r="D2019" s="1945"/>
      <c r="E2019" s="1945"/>
      <c r="G2019" s="449"/>
      <c r="I2019" s="449"/>
      <c r="J2019" s="449"/>
      <c r="L2019" s="1229"/>
      <c r="M2019" s="1896">
        <v>1</v>
      </c>
      <c r="N2019" s="1896"/>
      <c r="O2019" s="1923">
        <f>'Part IX Scoring Criteria'!O364</f>
        <v>0</v>
      </c>
      <c r="P2019" s="1923">
        <f>'Part IX Scoring Criteria'!P364</f>
        <v>0</v>
      </c>
      <c r="Q2019" s="1896" t="s">
        <v>433</v>
      </c>
      <c r="R2019" s="1844" t="s">
        <v>4767</v>
      </c>
      <c r="S2019" s="1844"/>
    </row>
    <row r="2020" spans="1:19" s="1951" customFormat="1" ht="11.25" customHeight="1">
      <c r="A2020" s="1904"/>
      <c r="B2020" s="1908" t="s">
        <v>3453</v>
      </c>
      <c r="D2020" s="1945"/>
      <c r="E2020" s="1945"/>
      <c r="G2020" s="449"/>
      <c r="I2020" s="449" t="str">
        <f>'Part IX Scoring Criteria'!I365</f>
        <v>Enter GICH Community Name</v>
      </c>
      <c r="J2020" s="449"/>
      <c r="K2020" s="449"/>
      <c r="L2020" s="449"/>
      <c r="M2020" s="1896"/>
      <c r="N2020" s="1896"/>
      <c r="O2020" s="1817" t="s">
        <v>2444</v>
      </c>
      <c r="P2020" s="1817" t="s">
        <v>2444</v>
      </c>
      <c r="Q2020" s="1993"/>
      <c r="R2020" s="1844"/>
      <c r="S2020" s="1844"/>
    </row>
    <row r="2021" spans="1:19" s="1951" customFormat="1" ht="11.25" customHeight="1">
      <c r="A2021" s="1904"/>
      <c r="B2021" s="1969" t="s">
        <v>1939</v>
      </c>
      <c r="C2021" s="1945" t="s">
        <v>6803</v>
      </c>
      <c r="D2021" s="1945"/>
      <c r="E2021" s="1945" t="s">
        <v>4346</v>
      </c>
      <c r="G2021" s="449"/>
      <c r="I2021" s="449"/>
      <c r="J2021" s="1945"/>
      <c r="K2021" s="1945"/>
      <c r="L2021" s="1945"/>
      <c r="M2021" s="1229"/>
      <c r="N2021" s="1229"/>
      <c r="O2021" s="1229">
        <f>'Part IX Scoring Criteria'!O366</f>
        <v>0</v>
      </c>
      <c r="P2021" s="1229"/>
      <c r="Q2021" s="1939"/>
      <c r="R2021" s="1844"/>
      <c r="S2021" s="1844"/>
    </row>
    <row r="2022" spans="1:19" s="1947" customFormat="1" ht="11.25" customHeight="1">
      <c r="A2022" s="1904"/>
      <c r="B2022" s="1229"/>
      <c r="C2022" s="449"/>
      <c r="D2022" s="1229" t="s">
        <v>1326</v>
      </c>
      <c r="E2022" s="449" t="s">
        <v>6959</v>
      </c>
      <c r="G2022" s="449"/>
      <c r="H2022" s="449"/>
      <c r="I2022" s="449"/>
      <c r="J2022" s="449"/>
      <c r="K2022" s="449"/>
      <c r="L2022" s="1229">
        <f>'Part IX Scoring Criteria'!L367</f>
        <v>0</v>
      </c>
      <c r="N2022" s="1229"/>
      <c r="O2022" s="1229">
        <f>'Part IX Scoring Criteria'!O367</f>
        <v>0</v>
      </c>
      <c r="P2022" s="1229"/>
      <c r="Q2022" s="1908"/>
      <c r="R2022" s="1844"/>
      <c r="S2022" s="1844"/>
    </row>
    <row r="2023" spans="1:19" s="1951" customFormat="1" ht="11.25" customHeight="1">
      <c r="B2023" s="1969" t="s">
        <v>1941</v>
      </c>
      <c r="C2023" s="1908" t="s">
        <v>6960</v>
      </c>
      <c r="D2023" s="1947"/>
      <c r="E2023" s="1945"/>
      <c r="F2023" s="449"/>
      <c r="G2023" s="449"/>
      <c r="N2023" s="1940"/>
      <c r="O2023" s="1817" t="s">
        <v>2444</v>
      </c>
      <c r="P2023" s="1817" t="s">
        <v>2444</v>
      </c>
    </row>
    <row r="2024" spans="1:19" s="449" customFormat="1" ht="10.5" customHeight="1">
      <c r="B2024" s="1940" t="s">
        <v>2372</v>
      </c>
      <c r="C2024" s="1908" t="s">
        <v>3750</v>
      </c>
      <c r="N2024" s="1940" t="s">
        <v>2372</v>
      </c>
      <c r="O2024" s="1229">
        <f>'Part IX Scoring Criteria'!O369</f>
        <v>0</v>
      </c>
      <c r="P2024" s="1229"/>
    </row>
    <row r="2025" spans="1:19" s="449" customFormat="1" ht="10.5" customHeight="1">
      <c r="B2025" s="1942" t="s">
        <v>2373</v>
      </c>
      <c r="C2025" s="1908" t="s">
        <v>3751</v>
      </c>
      <c r="N2025" s="1942" t="s">
        <v>2373</v>
      </c>
      <c r="O2025" s="1229">
        <f>'Part IX Scoring Criteria'!O370</f>
        <v>0</v>
      </c>
      <c r="P2025" s="1229"/>
    </row>
    <row r="2026" spans="1:19" s="449" customFormat="1" ht="10.5" customHeight="1">
      <c r="B2026" s="1940" t="s">
        <v>2374</v>
      </c>
      <c r="C2026" s="1908" t="s">
        <v>4580</v>
      </c>
      <c r="N2026" s="1940" t="s">
        <v>2374</v>
      </c>
      <c r="O2026" s="1229">
        <f>'Part IX Scoring Criteria'!O371</f>
        <v>0</v>
      </c>
      <c r="P2026" s="1229"/>
    </row>
    <row r="2027" spans="1:19" s="1945" customFormat="1" ht="11.25" customHeight="1">
      <c r="B2027" s="1911" t="s">
        <v>3454</v>
      </c>
      <c r="D2027" s="449"/>
      <c r="E2027" s="449"/>
      <c r="F2027" s="449"/>
      <c r="G2027" s="449"/>
      <c r="H2027" s="449"/>
      <c r="I2027" s="449"/>
      <c r="J2027" s="449"/>
      <c r="K2027" s="449"/>
      <c r="L2027" s="449"/>
      <c r="M2027" s="449"/>
      <c r="N2027" s="1940"/>
      <c r="O2027" s="1940"/>
      <c r="P2027" s="1940"/>
    </row>
    <row r="2028" spans="1:19" s="1945" customFormat="1" ht="2.25" customHeight="1">
      <c r="B2028" s="1911"/>
      <c r="D2028" s="449"/>
      <c r="E2028" s="449"/>
      <c r="F2028" s="449"/>
      <c r="G2028" s="449"/>
      <c r="H2028" s="449"/>
      <c r="I2028" s="449"/>
      <c r="J2028" s="449"/>
      <c r="K2028" s="449"/>
      <c r="L2028" s="449"/>
      <c r="M2028" s="449"/>
      <c r="N2028" s="1940"/>
      <c r="O2028" s="1940"/>
      <c r="P2028" s="1940"/>
    </row>
    <row r="2029" spans="1:19" s="1947" customFormat="1" ht="10.5" customHeight="1">
      <c r="A2029" s="1815"/>
      <c r="B2029" s="449" t="s">
        <v>3566</v>
      </c>
      <c r="C2029" s="1815"/>
      <c r="D2029" s="1897"/>
      <c r="E2029" s="1897"/>
      <c r="F2029" s="1897"/>
      <c r="G2029" s="1897"/>
      <c r="H2029" s="449"/>
      <c r="I2029" s="449"/>
      <c r="J2029" s="449"/>
      <c r="K2029" s="449"/>
      <c r="M2029" s="1896"/>
      <c r="N2029" s="1896"/>
      <c r="O2029" s="1923"/>
      <c r="P2029" s="1896"/>
    </row>
    <row r="2030" spans="1:19" s="1951" customFormat="1" ht="10.95" customHeight="1">
      <c r="A2030" s="1936" t="str">
        <f>'Part IX Scoring Criteria'!A375</f>
        <v xml:space="preserve">Applicant is not claiming points in this section. </v>
      </c>
      <c r="B2030" s="1936"/>
      <c r="C2030" s="1936"/>
      <c r="D2030" s="1936"/>
      <c r="E2030" s="1936"/>
      <c r="F2030" s="1936"/>
      <c r="G2030" s="1936"/>
      <c r="H2030" s="1936"/>
      <c r="I2030" s="1936"/>
      <c r="J2030" s="1936"/>
      <c r="K2030" s="1936"/>
      <c r="L2030" s="1936"/>
      <c r="M2030" s="1936"/>
      <c r="N2030" s="1936"/>
      <c r="O2030" s="1936"/>
      <c r="P2030" s="1936"/>
      <c r="Q2030" s="1973" t="s">
        <v>1228</v>
      </c>
    </row>
    <row r="2031" spans="1:19" s="1947" customFormat="1" ht="10.5" customHeight="1">
      <c r="A2031" s="1815"/>
      <c r="B2031" s="449" t="s">
        <v>1820</v>
      </c>
      <c r="C2031" s="1815"/>
      <c r="D2031" s="449"/>
      <c r="E2031" s="1908"/>
      <c r="F2031" s="1908"/>
      <c r="G2031" s="1908"/>
      <c r="H2031" s="1908"/>
      <c r="I2031" s="1908"/>
      <c r="J2031" s="1908"/>
      <c r="K2031" s="1908"/>
      <c r="L2031" s="1908"/>
      <c r="M2031" s="1908"/>
      <c r="N2031" s="1896"/>
      <c r="O2031" s="1896"/>
      <c r="P2031" s="1896"/>
      <c r="Q2031" s="1951"/>
    </row>
    <row r="2032" spans="1:19" s="1951" customFormat="1" ht="11.25" customHeight="1">
      <c r="A2032" s="1936"/>
      <c r="B2032" s="1936"/>
      <c r="C2032" s="1936"/>
      <c r="D2032" s="1936"/>
      <c r="E2032" s="1936"/>
      <c r="F2032" s="1936"/>
      <c r="G2032" s="1936"/>
      <c r="H2032" s="1936"/>
      <c r="I2032" s="1936"/>
      <c r="J2032" s="1936"/>
      <c r="K2032" s="1936"/>
      <c r="L2032" s="1936"/>
      <c r="M2032" s="1936"/>
      <c r="N2032" s="1936"/>
      <c r="O2032" s="1936"/>
      <c r="P2032" s="1936"/>
      <c r="Q2032" s="1973"/>
    </row>
    <row r="2033" spans="1:20" ht="3" customHeight="1">
      <c r="N2033" s="1874"/>
      <c r="O2033" s="1874"/>
      <c r="P2033" s="1874"/>
    </row>
    <row r="2034" spans="1:20" s="1951" customFormat="1" ht="12.75" customHeight="1">
      <c r="A2034" s="2150" t="s">
        <v>3785</v>
      </c>
      <c r="B2034" s="1815" t="s">
        <v>3753</v>
      </c>
      <c r="D2034" s="1945"/>
      <c r="E2034" s="1945"/>
      <c r="F2034" s="449"/>
      <c r="G2034" s="449"/>
      <c r="H2034" s="449"/>
      <c r="I2034" s="449"/>
      <c r="J2034" s="449"/>
      <c r="L2034" s="1732" t="str">
        <f>IF(O2034&lt;=M2034,"","* * Check Score! * *")</f>
        <v/>
      </c>
      <c r="M2034" s="1923">
        <v>4</v>
      </c>
      <c r="N2034" s="1896"/>
      <c r="O2034" s="1923">
        <f>'Part IX Scoring Criteria'!O379</f>
        <v>2</v>
      </c>
      <c r="P2034" s="1923">
        <f>'Part IX Scoring Criteria'!P379</f>
        <v>0</v>
      </c>
      <c r="Q2034" s="1896" t="s">
        <v>433</v>
      </c>
    </row>
    <row r="2035" spans="1:20" s="1951" customFormat="1" ht="10.5" customHeight="1">
      <c r="A2035" s="1815"/>
      <c r="B2035" s="1908" t="s">
        <v>6961</v>
      </c>
      <c r="E2035" s="1945"/>
      <c r="F2035" s="449"/>
      <c r="G2035" s="449"/>
      <c r="H2035" s="449"/>
      <c r="I2035" s="449"/>
      <c r="K2035" s="1229"/>
      <c r="L2035" s="1989"/>
      <c r="O2035" s="1229" t="s">
        <v>2444</v>
      </c>
      <c r="P2035" s="1229" t="s">
        <v>2444</v>
      </c>
    </row>
    <row r="2036" spans="1:20" s="1945" customFormat="1" ht="12.75" customHeight="1">
      <c r="B2036" s="1940" t="s">
        <v>2372</v>
      </c>
      <c r="C2036" s="449" t="s">
        <v>2730</v>
      </c>
      <c r="F2036" s="449"/>
      <c r="G2036" s="449"/>
      <c r="H2036" s="449"/>
      <c r="I2036" s="449"/>
      <c r="J2036" s="1951"/>
      <c r="K2036" s="1229"/>
      <c r="L2036" s="1936" t="str">
        <f>IF(OR(O2036="No",O2036="",O2037="No",O2037="",O2038="No",O2038="",O2039="No",O2039=""),"Unmet criterion results in no points!","")</f>
        <v/>
      </c>
      <c r="M2036" s="1936"/>
      <c r="N2036" s="1940" t="s">
        <v>2372</v>
      </c>
      <c r="O2036" s="1229" t="str">
        <f>'Part IX Scoring Criteria'!O381</f>
        <v>Yes</v>
      </c>
      <c r="P2036" s="1229"/>
      <c r="R2036" s="1936" t="str">
        <f>IF(OR(P2036="No",P2036="",P2037="No",P2037="",P2038="No",P2038="",P2039="No",P2039=""),"Unmet criterion results in no points!","")</f>
        <v>Unmet criterion results in no points!</v>
      </c>
      <c r="S2036" s="1936" t="e">
        <f>IF(OR(V2036="No",V2036="",V2037="No",V2037="",V2038="No",V2038="",V2039="No",V2039="",#REF!="No",#REF!="",#REF!="No",#REF!=""),"Unmet criterion results in no points!","")</f>
        <v>#REF!</v>
      </c>
    </row>
    <row r="2037" spans="1:20" s="1945" customFormat="1" ht="12.75" customHeight="1">
      <c r="B2037" s="1940" t="s">
        <v>2373</v>
      </c>
      <c r="C2037" s="449" t="s">
        <v>3614</v>
      </c>
      <c r="L2037" s="1936"/>
      <c r="M2037" s="1936"/>
      <c r="N2037" s="1940" t="s">
        <v>2373</v>
      </c>
      <c r="O2037" s="1229" t="str">
        <f>'Part IX Scoring Criteria'!O382</f>
        <v>Yes</v>
      </c>
      <c r="P2037" s="1229"/>
      <c r="R2037" s="1936"/>
      <c r="S2037" s="1936"/>
    </row>
    <row r="2038" spans="1:20" s="1945" customFormat="1" ht="12.75" customHeight="1">
      <c r="B2038" s="1940" t="s">
        <v>2374</v>
      </c>
      <c r="C2038" s="449" t="s">
        <v>3613</v>
      </c>
      <c r="L2038" s="1936"/>
      <c r="M2038" s="1936"/>
      <c r="N2038" s="1940" t="s">
        <v>2374</v>
      </c>
      <c r="O2038" s="1229" t="str">
        <f>'Part IX Scoring Criteria'!O383</f>
        <v>Yes</v>
      </c>
      <c r="P2038" s="1229"/>
      <c r="R2038" s="1936"/>
      <c r="S2038" s="1936"/>
    </row>
    <row r="2039" spans="1:20" s="1945" customFormat="1" ht="33.75" customHeight="1">
      <c r="B2039" s="1942" t="s">
        <v>2375</v>
      </c>
      <c r="C2039" s="1936" t="s">
        <v>4334</v>
      </c>
      <c r="D2039" s="1936"/>
      <c r="E2039" s="1936"/>
      <c r="F2039" s="1936"/>
      <c r="G2039" s="1936"/>
      <c r="H2039" s="1936"/>
      <c r="I2039" s="1936"/>
      <c r="J2039" s="1936"/>
      <c r="K2039" s="1936"/>
      <c r="L2039" s="1936"/>
      <c r="M2039" s="1936"/>
      <c r="N2039" s="1942" t="s">
        <v>2375</v>
      </c>
      <c r="O2039" s="1938" t="str">
        <f>'Part IX Scoring Criteria'!O384</f>
        <v>Yes</v>
      </c>
      <c r="P2039" s="1938"/>
    </row>
    <row r="2040" spans="1:20" ht="3" customHeight="1">
      <c r="C2040" s="1936"/>
      <c r="D2040" s="1936"/>
      <c r="E2040" s="1936"/>
      <c r="F2040" s="1936"/>
      <c r="G2040" s="1936"/>
      <c r="H2040" s="1936"/>
      <c r="I2040" s="1936"/>
      <c r="J2040" s="1936"/>
      <c r="K2040" s="1936"/>
      <c r="L2040" s="1936"/>
      <c r="M2040" s="1936"/>
      <c r="N2040" s="1874"/>
      <c r="O2040" s="1874"/>
      <c r="P2040" s="1874"/>
    </row>
    <row r="2041" spans="1:20" ht="12.75" customHeight="1">
      <c r="A2041" s="2180" t="s">
        <v>1936</v>
      </c>
      <c r="B2041" s="1897" t="s">
        <v>3754</v>
      </c>
      <c r="L2041" s="1732" t="str">
        <f>IF(O2041&lt;=M2041,"","* * Check Score! * *")</f>
        <v/>
      </c>
      <c r="M2041" s="1732">
        <v>3</v>
      </c>
      <c r="N2041" s="1940" t="s">
        <v>1936</v>
      </c>
      <c r="O2041" s="1923">
        <f>'Part IX Scoring Criteria'!O386</f>
        <v>2</v>
      </c>
      <c r="P2041" s="1923"/>
      <c r="Q2041" s="1993" t="str">
        <f>IF(O2041&lt;=M2041,"","*CHECK!*")</f>
        <v/>
      </c>
      <c r="R2041" s="1819" t="s">
        <v>4767</v>
      </c>
      <c r="S2041" s="1819"/>
      <c r="T2041" s="1844"/>
    </row>
    <row r="2042" spans="1:20" ht="12.75" customHeight="1">
      <c r="A2042" s="2180"/>
      <c r="B2042" s="2172" t="s">
        <v>1939</v>
      </c>
      <c r="C2042" s="1936" t="s">
        <v>4337</v>
      </c>
      <c r="D2042" s="1936"/>
      <c r="E2042" s="1936"/>
      <c r="F2042" s="1936"/>
      <c r="G2042" s="1936"/>
      <c r="H2042" s="1936"/>
      <c r="I2042" s="1936"/>
      <c r="R2042" s="1819"/>
      <c r="S2042" s="1819"/>
      <c r="T2042" s="1844"/>
    </row>
    <row r="2043" spans="1:20" ht="12.75" customHeight="1">
      <c r="A2043" s="2180"/>
      <c r="B2043" s="1968"/>
      <c r="C2043" s="1936" t="s">
        <v>4336</v>
      </c>
      <c r="D2043" s="1936"/>
      <c r="E2043" s="1936"/>
      <c r="F2043" s="1936"/>
      <c r="G2043" s="1936"/>
      <c r="H2043" s="1936"/>
      <c r="I2043" s="1936"/>
      <c r="J2043" s="1945" t="s">
        <v>1943</v>
      </c>
      <c r="K2043" s="1945"/>
      <c r="M2043" s="1945" t="s">
        <v>1943</v>
      </c>
      <c r="N2043" s="1945"/>
      <c r="O2043" s="1945"/>
      <c r="P2043" s="1945"/>
      <c r="R2043" s="1819"/>
      <c r="S2043" s="1819"/>
      <c r="T2043" s="1844"/>
    </row>
    <row r="2044" spans="1:20" s="1951" customFormat="1" ht="12.75" customHeight="1">
      <c r="A2044" s="1948"/>
      <c r="B2044" s="1940" t="s">
        <v>2372</v>
      </c>
      <c r="C2044" s="449" t="s">
        <v>1451</v>
      </c>
      <c r="I2044" s="1940" t="s">
        <v>2372</v>
      </c>
      <c r="J2044" s="1917">
        <f>'Part IX Scoring Criteria'!J389</f>
        <v>0</v>
      </c>
      <c r="K2044" s="1917">
        <f>'Part IX Scoring Criteria'!K389</f>
        <v>0</v>
      </c>
      <c r="L2044" s="1940" t="s">
        <v>2372</v>
      </c>
      <c r="M2044" s="1917"/>
      <c r="N2044" s="1917"/>
      <c r="O2044" s="1917"/>
      <c r="P2044" s="1917"/>
      <c r="R2044" s="1732"/>
    </row>
    <row r="2045" spans="1:20" ht="12.75" customHeight="1">
      <c r="A2045" s="1930"/>
      <c r="B2045" s="1942" t="s">
        <v>2373</v>
      </c>
      <c r="C2045" s="449" t="s">
        <v>3456</v>
      </c>
      <c r="I2045" s="1942" t="s">
        <v>2373</v>
      </c>
      <c r="J2045" s="1917">
        <f>'Part IX Scoring Criteria'!J390</f>
        <v>0</v>
      </c>
      <c r="K2045" s="1917">
        <f>'Part IX Scoring Criteria'!K390</f>
        <v>0</v>
      </c>
      <c r="L2045" s="1942" t="s">
        <v>2373</v>
      </c>
      <c r="M2045" s="1917"/>
      <c r="N2045" s="1917"/>
      <c r="O2045" s="1917"/>
      <c r="P2045" s="1917"/>
      <c r="R2045" s="1732"/>
    </row>
    <row r="2046" spans="1:20" ht="12.75" customHeight="1">
      <c r="B2046" s="1940" t="s">
        <v>2374</v>
      </c>
      <c r="C2046" s="449" t="s">
        <v>4581</v>
      </c>
      <c r="I2046" s="1940" t="s">
        <v>2374</v>
      </c>
      <c r="J2046" s="1917">
        <f>'Part IX Scoring Criteria'!J391</f>
        <v>625000</v>
      </c>
      <c r="K2046" s="1917">
        <f>'Part IX Scoring Criteria'!K391</f>
        <v>0</v>
      </c>
      <c r="L2046" s="1940" t="s">
        <v>2374</v>
      </c>
      <c r="M2046" s="1917"/>
      <c r="N2046" s="1917"/>
      <c r="O2046" s="1917"/>
      <c r="P2046" s="1917"/>
      <c r="R2046" s="1732"/>
    </row>
    <row r="2047" spans="1:20" ht="12.75" customHeight="1">
      <c r="A2047" s="1930"/>
      <c r="B2047" s="1940" t="s">
        <v>2375</v>
      </c>
      <c r="C2047" s="449" t="s">
        <v>3344</v>
      </c>
      <c r="I2047" s="1940" t="s">
        <v>2375</v>
      </c>
      <c r="J2047" s="1917">
        <f>'Part IX Scoring Criteria'!J392</f>
        <v>0</v>
      </c>
      <c r="K2047" s="1917">
        <f>'Part IX Scoring Criteria'!K392</f>
        <v>0</v>
      </c>
      <c r="L2047" s="1940" t="s">
        <v>2375</v>
      </c>
      <c r="M2047" s="1917"/>
      <c r="N2047" s="1917"/>
      <c r="O2047" s="1917"/>
      <c r="P2047" s="1917"/>
      <c r="R2047" s="1732"/>
    </row>
    <row r="2048" spans="1:20" s="1951" customFormat="1" ht="12.75" customHeight="1">
      <c r="A2048" s="1948"/>
      <c r="B2048" s="1942" t="s">
        <v>2376</v>
      </c>
      <c r="C2048" s="449" t="s">
        <v>2647</v>
      </c>
      <c r="I2048" s="1942" t="s">
        <v>2376</v>
      </c>
      <c r="J2048" s="1917">
        <f>'Part IX Scoring Criteria'!J393</f>
        <v>0</v>
      </c>
      <c r="K2048" s="1917">
        <f>'Part IX Scoring Criteria'!K393</f>
        <v>0</v>
      </c>
      <c r="L2048" s="1942" t="s">
        <v>2376</v>
      </c>
      <c r="M2048" s="1917"/>
      <c r="N2048" s="1917"/>
      <c r="O2048" s="1917"/>
      <c r="P2048" s="1917"/>
      <c r="R2048" s="1732"/>
    </row>
    <row r="2049" spans="1:23" ht="12.75" customHeight="1">
      <c r="B2049" s="1940" t="s">
        <v>2392</v>
      </c>
      <c r="C2049" s="449" t="s">
        <v>1450</v>
      </c>
      <c r="I2049" s="1940" t="s">
        <v>2392</v>
      </c>
      <c r="J2049" s="1917">
        <f>'Part IX Scoring Criteria'!J394</f>
        <v>0</v>
      </c>
      <c r="K2049" s="1917">
        <f>'Part IX Scoring Criteria'!K394</f>
        <v>0</v>
      </c>
      <c r="L2049" s="1940" t="s">
        <v>2392</v>
      </c>
      <c r="M2049" s="1917"/>
      <c r="N2049" s="1917"/>
      <c r="O2049" s="1917"/>
      <c r="P2049" s="1917"/>
      <c r="R2049" s="1732"/>
    </row>
    <row r="2050" spans="1:23" ht="12.75" customHeight="1">
      <c r="A2050" s="1930"/>
      <c r="B2050" s="1940" t="s">
        <v>2393</v>
      </c>
      <c r="C2050" s="449" t="s">
        <v>3455</v>
      </c>
      <c r="I2050" s="1940" t="s">
        <v>2393</v>
      </c>
      <c r="J2050" s="1917">
        <f>'Part IX Scoring Criteria'!J395</f>
        <v>0</v>
      </c>
      <c r="K2050" s="1917">
        <f>'Part IX Scoring Criteria'!K395</f>
        <v>0</v>
      </c>
      <c r="L2050" s="1940" t="s">
        <v>2393</v>
      </c>
      <c r="M2050" s="1917"/>
      <c r="N2050" s="1917"/>
      <c r="O2050" s="1917"/>
      <c r="P2050" s="1917"/>
      <c r="R2050" s="1732"/>
    </row>
    <row r="2051" spans="1:23" ht="12.75" customHeight="1">
      <c r="B2051" s="1940" t="s">
        <v>2394</v>
      </c>
      <c r="C2051" s="449" t="s">
        <v>6814</v>
      </c>
      <c r="I2051" s="1940" t="s">
        <v>2394</v>
      </c>
      <c r="J2051" s="1917">
        <f>'Part IX Scoring Criteria'!J396</f>
        <v>0</v>
      </c>
      <c r="K2051" s="1917">
        <f>'Part IX Scoring Criteria'!K396</f>
        <v>0</v>
      </c>
      <c r="L2051" s="1940" t="s">
        <v>2394</v>
      </c>
      <c r="M2051" s="1917"/>
      <c r="N2051" s="1917"/>
      <c r="O2051" s="1917"/>
      <c r="P2051" s="1917"/>
      <c r="R2051" s="1732"/>
    </row>
    <row r="2052" spans="1:23" ht="12.75" customHeight="1">
      <c r="B2052" s="1940" t="s">
        <v>2395</v>
      </c>
      <c r="C2052" s="449" t="s">
        <v>4339</v>
      </c>
      <c r="I2052" s="1940" t="s">
        <v>2395</v>
      </c>
      <c r="J2052" s="1917">
        <f>'Part IX Scoring Criteria'!J397</f>
        <v>0</v>
      </c>
      <c r="K2052" s="1917">
        <f>'Part IX Scoring Criteria'!K397</f>
        <v>0</v>
      </c>
      <c r="L2052" s="1940" t="s">
        <v>2395</v>
      </c>
      <c r="M2052" s="1917"/>
      <c r="N2052" s="1917"/>
      <c r="O2052" s="1917"/>
      <c r="P2052" s="1917"/>
      <c r="R2052" s="1732"/>
    </row>
    <row r="2053" spans="1:23" ht="12.75" customHeight="1">
      <c r="B2053" s="1940" t="s">
        <v>3457</v>
      </c>
      <c r="C2053" s="449" t="s">
        <v>4340</v>
      </c>
      <c r="I2053" s="1940" t="s">
        <v>3457</v>
      </c>
      <c r="J2053" s="1917">
        <f>'Part IX Scoring Criteria'!J398</f>
        <v>0</v>
      </c>
      <c r="K2053" s="1917">
        <f>'Part IX Scoring Criteria'!K398</f>
        <v>0</v>
      </c>
      <c r="L2053" s="1940" t="s">
        <v>3457</v>
      </c>
      <c r="M2053" s="1917"/>
      <c r="N2053" s="1917"/>
      <c r="O2053" s="1917"/>
      <c r="P2053" s="1917"/>
      <c r="R2053" s="1732"/>
    </row>
    <row r="2054" spans="1:23" ht="12.75" customHeight="1">
      <c r="B2054" s="1990" t="s">
        <v>6896</v>
      </c>
      <c r="H2054" s="1908" t="s">
        <v>2559</v>
      </c>
      <c r="J2054" s="1917">
        <f>SUM(J2044:K2053)</f>
        <v>625000</v>
      </c>
      <c r="K2054" s="1917"/>
      <c r="M2054" s="1917">
        <f>SUM($M2044:$M2053)</f>
        <v>0</v>
      </c>
      <c r="N2054" s="1917"/>
      <c r="O2054" s="1917"/>
      <c r="P2054" s="1917"/>
      <c r="R2054" s="1732"/>
    </row>
    <row r="2055" spans="1:23" s="1951" customFormat="1" ht="7.5" customHeight="1">
      <c r="A2055" s="1815"/>
      <c r="D2055" s="449"/>
      <c r="E2055" s="449"/>
      <c r="F2055" s="1896"/>
      <c r="G2055" s="1822"/>
      <c r="H2055" s="1816"/>
      <c r="J2055" s="1819"/>
      <c r="K2055" s="1819"/>
      <c r="L2055" s="1822"/>
      <c r="M2055" s="1819"/>
      <c r="N2055" s="1819"/>
      <c r="O2055" s="2181"/>
      <c r="P2055" s="1819"/>
    </row>
    <row r="2056" spans="1:23" ht="12.75" customHeight="1">
      <c r="B2056" s="2182" t="s">
        <v>1941</v>
      </c>
      <c r="C2056" s="1918" t="s">
        <v>2558</v>
      </c>
      <c r="M2056" s="1819"/>
      <c r="N2056" s="1819"/>
      <c r="P2056" s="1819"/>
    </row>
    <row r="2057" spans="1:23" s="1951" customFormat="1" ht="12" customHeight="1">
      <c r="A2057" s="1815"/>
      <c r="C2057" s="1822" t="s">
        <v>6917</v>
      </c>
      <c r="D2057" s="1822"/>
      <c r="E2057" s="1822"/>
      <c r="F2057" s="1908" t="s">
        <v>4372</v>
      </c>
      <c r="H2057" s="1995"/>
      <c r="I2057" s="1926">
        <f>'Part IX Scoring Criteria'!I402</f>
        <v>12452350</v>
      </c>
      <c r="J2057" s="1917">
        <f>'Part IV-A-Uses of Funds'!$G$132</f>
        <v>12452350</v>
      </c>
      <c r="K2057" s="1917"/>
      <c r="L2057" s="1822"/>
      <c r="M2057" s="1819"/>
      <c r="N2057" s="1819"/>
      <c r="O2057" s="2181"/>
      <c r="P2057" s="1819"/>
    </row>
    <row r="2058" spans="1:23" ht="12.75" customHeight="1">
      <c r="C2058" s="1822"/>
      <c r="D2058" s="1822"/>
      <c r="E2058" s="1822"/>
      <c r="F2058" s="1944" t="s">
        <v>4371</v>
      </c>
      <c r="I2058" s="2239">
        <f>'Part IX Scoring Criteria'!I403</f>
        <v>5.0191E-2</v>
      </c>
      <c r="J2058" s="1991">
        <f>IF($J2057=0,0,$J2054/$J2057)</f>
        <v>5.0191329347472564E-2</v>
      </c>
      <c r="K2058" s="1991"/>
      <c r="M2058" s="1991">
        <f>IF($J2057=0,0,$M2054/$J2057)</f>
        <v>0</v>
      </c>
      <c r="N2058" s="1991"/>
      <c r="O2058" s="1991"/>
      <c r="P2058" s="1991"/>
    </row>
    <row r="2059" spans="1:23" s="1951" customFormat="1" ht="12.75" customHeight="1">
      <c r="C2059" s="1822"/>
      <c r="D2059" s="1822"/>
      <c r="E2059" s="1822"/>
      <c r="F2059" s="1945" t="s">
        <v>4370</v>
      </c>
      <c r="I2059" s="1926">
        <f>'Part IX Scoring Criteria'!I404</f>
        <v>2</v>
      </c>
      <c r="J2059" s="1914">
        <f>IF(L2036="", IF($J2058&gt;=0.1, 3,IF($J2058&gt;=0.05, 2,IF($J2058&gt;=0.02,1,0))),0)</f>
        <v>2</v>
      </c>
      <c r="K2059" s="1914"/>
      <c r="L2059" s="1897"/>
      <c r="M2059" s="1914">
        <f>IF(R2036="", IF($M2058&gt;=0.1, 3,IF($M2058&gt;=0.05, 2,IF($M2058&gt;=0.02,1,0))),0)</f>
        <v>0</v>
      </c>
      <c r="N2059" s="1914"/>
      <c r="O2059" s="1914"/>
      <c r="P2059" s="1914"/>
    </row>
    <row r="2060" spans="1:23" ht="3" customHeight="1">
      <c r="N2060" s="1874"/>
      <c r="O2060" s="1874"/>
      <c r="P2060" s="1874"/>
    </row>
    <row r="2061" spans="1:23" s="1947" customFormat="1" ht="12.75" customHeight="1">
      <c r="A2061" s="1904" t="s">
        <v>1938</v>
      </c>
      <c r="B2061" s="1911" t="s">
        <v>3458</v>
      </c>
      <c r="D2061" s="449"/>
      <c r="E2061" s="449"/>
      <c r="F2061" s="1896"/>
      <c r="H2061" s="449"/>
      <c r="I2061" s="1896"/>
      <c r="J2061" s="1908"/>
      <c r="K2061" s="1908"/>
      <c r="L2061" s="1732" t="str">
        <f>IF(OR($O2061=$M2061,$O2061=0,$O2061=""),"","* * Check Score! * *")</f>
        <v/>
      </c>
      <c r="M2061" s="1732">
        <v>1</v>
      </c>
      <c r="N2061" s="1940" t="s">
        <v>1938</v>
      </c>
      <c r="O2061" s="1923">
        <f>'Part IX Scoring Criteria'!O406</f>
        <v>0</v>
      </c>
      <c r="P2061" s="1923">
        <f>'Part IX Scoring Criteria'!P406</f>
        <v>0</v>
      </c>
      <c r="Q2061" s="1896" t="s">
        <v>433</v>
      </c>
      <c r="R2061" s="1823" t="s">
        <v>4767</v>
      </c>
      <c r="V2061" s="2125"/>
      <c r="W2061" s="2125"/>
    </row>
    <row r="2062" spans="1:23" s="1951" customFormat="1" ht="22.5" customHeight="1">
      <c r="A2062" s="1904"/>
      <c r="B2062" s="1942" t="s">
        <v>2372</v>
      </c>
      <c r="C2062" s="1936" t="s">
        <v>3755</v>
      </c>
      <c r="D2062" s="1936"/>
      <c r="E2062" s="1936"/>
      <c r="F2062" s="1936"/>
      <c r="G2062" s="1936"/>
      <c r="H2062" s="1936"/>
      <c r="I2062" s="1936"/>
      <c r="J2062" s="1936"/>
      <c r="K2062" s="1936"/>
      <c r="L2062" s="1936"/>
      <c r="M2062" s="1936"/>
      <c r="N2062" s="1942" t="s">
        <v>2372</v>
      </c>
      <c r="O2062" s="1938" t="str">
        <f>'Part IX Scoring Criteria'!O407</f>
        <v>N/a</v>
      </c>
      <c r="P2062" s="1938"/>
      <c r="V2062" s="2125"/>
      <c r="W2062" s="2125"/>
    </row>
    <row r="2063" spans="1:23" s="1951" customFormat="1" ht="12.75" customHeight="1">
      <c r="A2063" s="1904"/>
      <c r="B2063" s="1940" t="s">
        <v>2373</v>
      </c>
      <c r="C2063" s="449" t="s">
        <v>3606</v>
      </c>
      <c r="D2063" s="449"/>
      <c r="E2063" s="449"/>
      <c r="F2063" s="449"/>
      <c r="G2063" s="449"/>
      <c r="H2063" s="449"/>
      <c r="I2063" s="449"/>
      <c r="J2063" s="449"/>
      <c r="K2063" s="449"/>
      <c r="M2063" s="449"/>
      <c r="N2063" s="1942" t="s">
        <v>2373</v>
      </c>
      <c r="O2063" s="1229" t="str">
        <f>'Part IX Scoring Criteria'!O408</f>
        <v>N/a</v>
      </c>
      <c r="P2063" s="1229"/>
      <c r="V2063" s="2125"/>
      <c r="W2063" s="2125"/>
    </row>
    <row r="2064" spans="1:23" ht="12.75" customHeight="1">
      <c r="B2064" s="1940" t="s">
        <v>2374</v>
      </c>
      <c r="C2064" s="1945" t="s">
        <v>4342</v>
      </c>
      <c r="N2064" s="1940" t="s">
        <v>2374</v>
      </c>
      <c r="O2064" s="1229" t="str">
        <f>'Part IX Scoring Criteria'!O409</f>
        <v>N/a</v>
      </c>
      <c r="P2064" s="1229"/>
    </row>
    <row r="2065" spans="1:19" ht="12" customHeight="1">
      <c r="B2065" s="449" t="s">
        <v>3566</v>
      </c>
      <c r="N2065" s="1874"/>
      <c r="O2065" s="1874"/>
      <c r="P2065" s="1874"/>
    </row>
    <row r="2066" spans="1:19" s="1951" customFormat="1" ht="21.75" customHeight="1">
      <c r="A2066" s="1936" t="str">
        <f>'Part IX Scoring Criteria'!A411</f>
        <v xml:space="preserve">The applicant meets threshold in this section because Harper Woods II is receiving a HOME Loan from the City of Columbus for $625,000. This loan is at least 5% of the Total Development Cost. This loan is for the construction and permanent financing of Harper Woods II. </v>
      </c>
      <c r="B2066" s="1936"/>
      <c r="C2066" s="1936"/>
      <c r="D2066" s="1936"/>
      <c r="E2066" s="1936"/>
      <c r="F2066" s="1936"/>
      <c r="G2066" s="1936"/>
      <c r="H2066" s="1936"/>
      <c r="I2066" s="1936"/>
      <c r="J2066" s="1936"/>
      <c r="K2066" s="1936"/>
      <c r="L2066" s="1936"/>
      <c r="M2066" s="1936"/>
      <c r="N2066" s="1936"/>
      <c r="O2066" s="1936"/>
      <c r="P2066" s="1936"/>
      <c r="Q2066" s="1973" t="s">
        <v>1228</v>
      </c>
    </row>
    <row r="2067" spans="1:19" s="1947" customFormat="1" ht="11.25" customHeight="1">
      <c r="A2067" s="1815"/>
      <c r="B2067" s="1822" t="s">
        <v>1820</v>
      </c>
      <c r="C2067" s="1815"/>
      <c r="D2067" s="449"/>
      <c r="E2067" s="1908"/>
      <c r="F2067" s="1908"/>
      <c r="G2067" s="1908"/>
      <c r="H2067" s="1908"/>
      <c r="I2067" s="1908"/>
      <c r="J2067" s="1908"/>
      <c r="K2067" s="1908"/>
      <c r="L2067" s="1908"/>
      <c r="M2067" s="1908"/>
      <c r="N2067" s="1896"/>
      <c r="O2067" s="1896"/>
      <c r="P2067" s="1896"/>
      <c r="Q2067" s="1951"/>
    </row>
    <row r="2068" spans="1:19" s="1951" customFormat="1" ht="11.25" customHeight="1">
      <c r="A2068" s="1936"/>
      <c r="B2068" s="1936"/>
      <c r="C2068" s="1936"/>
      <c r="D2068" s="1936"/>
      <c r="E2068" s="1936"/>
      <c r="F2068" s="1936"/>
      <c r="G2068" s="1936"/>
      <c r="H2068" s="1936"/>
      <c r="I2068" s="1936"/>
      <c r="J2068" s="1936"/>
      <c r="K2068" s="1936"/>
      <c r="L2068" s="1936"/>
      <c r="M2068" s="1936"/>
      <c r="N2068" s="1936"/>
      <c r="O2068" s="1936"/>
      <c r="P2068" s="1936"/>
      <c r="Q2068" s="1973"/>
    </row>
    <row r="2069" spans="1:19" s="1951" customFormat="1" ht="3" customHeight="1">
      <c r="A2069" s="1815"/>
      <c r="B2069" s="1815"/>
      <c r="C2069" s="1939"/>
      <c r="D2069" s="1939"/>
      <c r="E2069" s="1939"/>
      <c r="F2069" s="1939"/>
      <c r="G2069" s="1939"/>
      <c r="H2069" s="1939"/>
      <c r="I2069" s="1939"/>
      <c r="J2069" s="1939"/>
      <c r="K2069" s="1939"/>
      <c r="L2069" s="1939"/>
      <c r="M2069" s="1939"/>
      <c r="N2069" s="1967"/>
      <c r="O2069" s="1967"/>
      <c r="P2069" s="1896"/>
    </row>
    <row r="2070" spans="1:19" s="1951" customFormat="1" ht="13.5" customHeight="1">
      <c r="A2070" s="2182" t="s">
        <v>3783</v>
      </c>
      <c r="B2070" s="1815" t="s">
        <v>2640</v>
      </c>
      <c r="D2070" s="1908"/>
      <c r="G2070" s="1908" t="s">
        <v>3281</v>
      </c>
      <c r="J2070" s="449"/>
      <c r="K2070" s="449"/>
      <c r="L2070" s="449"/>
      <c r="M2070" s="1896">
        <v>2</v>
      </c>
      <c r="N2070" s="1940"/>
      <c r="O2070" s="1896">
        <f>'Part IX Scoring Criteria'!O415</f>
        <v>0</v>
      </c>
      <c r="P2070" s="1896">
        <f>'Part IX Scoring Criteria'!P415</f>
        <v>0</v>
      </c>
      <c r="Q2070" s="1896" t="s">
        <v>433</v>
      </c>
      <c r="R2070" s="1732" t="str">
        <f>IF(OR($O2074=$M2070,$O2074=0,$O2074=""),"","* * Check Score! * *")</f>
        <v/>
      </c>
    </row>
    <row r="2071" spans="1:19" s="1950" customFormat="1" ht="1.5" customHeight="1">
      <c r="B2071" s="1968"/>
      <c r="F2071" s="1938"/>
      <c r="G2071" s="1732"/>
      <c r="M2071" s="1967"/>
      <c r="N2071" s="1967"/>
      <c r="O2071" s="1967"/>
      <c r="P2071" s="1967"/>
      <c r="Q2071" s="1822"/>
    </row>
    <row r="2072" spans="1:19" s="1950" customFormat="1" ht="11.25" customHeight="1">
      <c r="A2072" s="1931"/>
      <c r="B2072" s="1992" t="s">
        <v>3345</v>
      </c>
      <c r="D2072" s="449" t="str">
        <f>'Part IX Scoring Criteria'!D417</f>
        <v>&lt;Select applicable status&gt;</v>
      </c>
      <c r="E2072" s="449"/>
      <c r="F2072" s="449"/>
      <c r="G2072" s="449"/>
      <c r="H2072" s="449"/>
      <c r="I2072" s="449"/>
      <c r="J2072" s="1936" t="s">
        <v>2734</v>
      </c>
      <c r="L2072" s="1926">
        <f>'Part III-Sources of Funds'!$I$51</f>
        <v>0</v>
      </c>
      <c r="M2072" s="1967"/>
      <c r="N2072" s="1967"/>
      <c r="O2072" s="1967"/>
      <c r="P2072" s="1967"/>
      <c r="Q2072" s="1822"/>
    </row>
    <row r="2073" spans="1:19" s="1950" customFormat="1" ht="1.5" customHeight="1">
      <c r="B2073" s="1968"/>
      <c r="M2073" s="1967"/>
      <c r="N2073" s="1967"/>
      <c r="O2073" s="1967"/>
      <c r="P2073" s="1967"/>
      <c r="Q2073" s="1822"/>
    </row>
    <row r="2074" spans="1:19" s="1950" customFormat="1" ht="11.25" customHeight="1">
      <c r="A2074" s="2156" t="s">
        <v>1936</v>
      </c>
      <c r="B2074" s="449" t="s">
        <v>4582</v>
      </c>
      <c r="C2074" s="1936"/>
      <c r="D2074" s="1936"/>
      <c r="E2074" s="1936"/>
      <c r="F2074" s="1936"/>
      <c r="G2074" s="1936"/>
      <c r="H2074" s="1936"/>
      <c r="I2074" s="1936"/>
      <c r="M2074" s="1967">
        <v>2</v>
      </c>
      <c r="N2074" s="1942" t="s">
        <v>1936</v>
      </c>
      <c r="O2074" s="1923">
        <f>'Part IX Scoring Criteria'!O419</f>
        <v>0</v>
      </c>
      <c r="P2074" s="1923">
        <f>'Part IX Scoring Criteria'!P419</f>
        <v>0</v>
      </c>
      <c r="Q2074" s="1993" t="str">
        <f>IF(OR($O2074=$M2074,$O2074=0,$O2074=""),"","*CHECK!*")</f>
        <v/>
      </c>
      <c r="R2074" s="1823" t="s">
        <v>4767</v>
      </c>
    </row>
    <row r="2075" spans="1:19" s="1950" customFormat="1" ht="12" customHeight="1">
      <c r="A2075" s="1967"/>
      <c r="B2075" s="449" t="s">
        <v>6962</v>
      </c>
      <c r="C2075" s="449"/>
      <c r="D2075" s="449"/>
      <c r="E2075" s="449"/>
      <c r="F2075" s="449"/>
      <c r="G2075" s="449"/>
      <c r="H2075" s="449"/>
      <c r="I2075" s="449"/>
      <c r="J2075" s="449"/>
      <c r="K2075" s="449"/>
      <c r="L2075" s="449"/>
      <c r="M2075" s="1956" t="s">
        <v>6963</v>
      </c>
      <c r="N2075" s="1956"/>
      <c r="Q2075" s="1822"/>
    </row>
    <row r="2076" spans="1:19" s="1950" customFormat="1" ht="12" customHeight="1">
      <c r="B2076" s="449"/>
      <c r="C2076" s="449"/>
      <c r="D2076" s="449"/>
      <c r="E2076" s="449"/>
      <c r="F2076" s="449"/>
      <c r="G2076" s="449"/>
      <c r="H2076" s="449"/>
      <c r="I2076" s="449"/>
      <c r="J2076" s="449"/>
      <c r="K2076" s="449"/>
      <c r="L2076" s="449"/>
      <c r="M2076" s="1956"/>
      <c r="N2076" s="1956"/>
      <c r="O2076" s="2127">
        <f>'Part VI-Revenues &amp; Expenses'!$P$123</f>
        <v>0</v>
      </c>
      <c r="P2076" s="2127"/>
      <c r="Q2076" s="1822"/>
    </row>
    <row r="2077" spans="1:19" s="1950" customFormat="1" ht="12" customHeight="1">
      <c r="B2077" s="449"/>
      <c r="C2077" s="449"/>
      <c r="D2077" s="449"/>
      <c r="E2077" s="449"/>
      <c r="F2077" s="449"/>
      <c r="G2077" s="449"/>
      <c r="H2077" s="449"/>
      <c r="I2077" s="449"/>
      <c r="J2077" s="449"/>
      <c r="K2077" s="449"/>
      <c r="L2077" s="449"/>
      <c r="M2077" s="1843" t="s">
        <v>2732</v>
      </c>
      <c r="N2077" s="1967"/>
      <c r="O2077" s="2127">
        <f>'Part VI-Revenues &amp; Expenses'!$P$67</f>
        <v>72</v>
      </c>
      <c r="P2077" s="2127"/>
      <c r="Q2077" s="1822"/>
    </row>
    <row r="2078" spans="1:19" s="1950" customFormat="1" ht="12" customHeight="1">
      <c r="B2078" s="449"/>
      <c r="C2078" s="449"/>
      <c r="D2078" s="449"/>
      <c r="E2078" s="449"/>
      <c r="F2078" s="449"/>
      <c r="G2078" s="449"/>
      <c r="H2078" s="449"/>
      <c r="I2078" s="449"/>
      <c r="J2078" s="449"/>
      <c r="K2078" s="449"/>
      <c r="L2078" s="449"/>
      <c r="M2078" s="1843" t="s">
        <v>2733</v>
      </c>
      <c r="N2078" s="1967"/>
      <c r="O2078" s="2183">
        <f>IF(O2077=0,0,O2076/O2077)</f>
        <v>0</v>
      </c>
      <c r="P2078" s="2183"/>
      <c r="Q2078" s="1822"/>
    </row>
    <row r="2079" spans="1:19" s="1951" customFormat="1" ht="66.75" customHeight="1">
      <c r="A2079" s="1945"/>
      <c r="B2079" s="1956" t="str">
        <f>'Part IX Scoring Criteria'!B424</f>
        <v>&lt;&lt; Enter here Applicant's Narrative of how building will be reused. Adjust row height as needed. &gt;&gt;</v>
      </c>
      <c r="C2079" s="1956"/>
      <c r="D2079" s="1956"/>
      <c r="E2079" s="1956"/>
      <c r="F2079" s="1956"/>
      <c r="G2079" s="1956"/>
      <c r="H2079" s="1956"/>
      <c r="I2079" s="1956"/>
      <c r="J2079" s="1956"/>
      <c r="K2079" s="1956"/>
      <c r="L2079" s="1956"/>
      <c r="M2079" s="1956"/>
      <c r="N2079" s="1956"/>
      <c r="O2079" s="1956"/>
      <c r="P2079" s="1956"/>
      <c r="Q2079" s="1973" t="s">
        <v>1228</v>
      </c>
      <c r="R2079" s="1973"/>
      <c r="S2079" s="1973"/>
    </row>
    <row r="2080" spans="1:19" s="1950" customFormat="1" ht="1.5" customHeight="1">
      <c r="A2080" s="1229"/>
      <c r="B2080" s="1968"/>
      <c r="F2080" s="1938"/>
      <c r="G2080" s="1732"/>
      <c r="M2080" s="1967"/>
      <c r="N2080" s="1967"/>
      <c r="O2080" s="1967"/>
      <c r="P2080" s="1967"/>
      <c r="Q2080" s="1822"/>
    </row>
    <row r="2081" spans="1:18" s="1950" customFormat="1" ht="11.25" customHeight="1">
      <c r="A2081" s="2184" t="s">
        <v>6980</v>
      </c>
      <c r="B2081" s="1936" t="s">
        <v>4583</v>
      </c>
      <c r="C2081" s="1936"/>
      <c r="H2081" s="1936"/>
      <c r="M2081" s="1967">
        <v>2</v>
      </c>
      <c r="N2081" s="1942" t="s">
        <v>1938</v>
      </c>
      <c r="O2081" s="1923">
        <f>'Part IX Scoring Criteria'!O426</f>
        <v>0</v>
      </c>
      <c r="P2081" s="1923">
        <f>'Part IX Scoring Criteria'!P426</f>
        <v>0</v>
      </c>
      <c r="Q2081" s="1993" t="str">
        <f>IF(OR($O2081=$M2081,$O2081=0,$O2081=""),"","*CHECK!*")</f>
        <v/>
      </c>
      <c r="R2081" s="1823" t="s">
        <v>4767</v>
      </c>
    </row>
    <row r="2082" spans="1:18" s="1950" customFormat="1" ht="11.25" customHeight="1">
      <c r="A2082" s="2184"/>
      <c r="B2082" s="1936" t="s">
        <v>6897</v>
      </c>
      <c r="C2082" s="1936"/>
      <c r="D2082" s="1936"/>
      <c r="E2082" s="1936"/>
      <c r="F2082" s="1936"/>
      <c r="G2082" s="1936"/>
      <c r="H2082" s="1936"/>
      <c r="I2082" s="1936"/>
      <c r="J2082" s="1936"/>
      <c r="K2082" s="1936"/>
      <c r="L2082" s="1936"/>
      <c r="M2082" s="1955" t="s">
        <v>4344</v>
      </c>
      <c r="O2082" s="2127">
        <f>'Part VI-Revenues &amp; Expenses'!$P$125</f>
        <v>0</v>
      </c>
      <c r="P2082" s="2127"/>
      <c r="Q2082" s="1822"/>
    </row>
    <row r="2083" spans="1:18" s="1950" customFormat="1" ht="11.25" customHeight="1">
      <c r="A2083" s="2184"/>
      <c r="B2083" s="1936"/>
      <c r="C2083" s="1936"/>
      <c r="D2083" s="1936"/>
      <c r="E2083" s="1936"/>
      <c r="F2083" s="1936"/>
      <c r="G2083" s="1936"/>
      <c r="H2083" s="1936"/>
      <c r="I2083" s="1936"/>
      <c r="J2083" s="1936"/>
      <c r="K2083" s="1936"/>
      <c r="L2083" s="1936"/>
      <c r="M2083" s="1993" t="s">
        <v>2732</v>
      </c>
      <c r="N2083" s="1967"/>
      <c r="O2083" s="2127">
        <f>'Part VI-Revenues &amp; Expenses'!$P$67</f>
        <v>72</v>
      </c>
      <c r="P2083" s="2127"/>
      <c r="Q2083" s="1822"/>
    </row>
    <row r="2084" spans="1:18" s="1950" customFormat="1" ht="11.25" customHeight="1">
      <c r="A2084" s="2184"/>
      <c r="B2084" s="1936"/>
      <c r="C2084" s="1936"/>
      <c r="D2084" s="1936"/>
      <c r="E2084" s="1936"/>
      <c r="F2084" s="1936"/>
      <c r="G2084" s="1936"/>
      <c r="H2084" s="1936"/>
      <c r="I2084" s="1936"/>
      <c r="J2084" s="1936"/>
      <c r="K2084" s="1936"/>
      <c r="L2084" s="1936"/>
      <c r="M2084" s="1843" t="s">
        <v>2733</v>
      </c>
      <c r="N2084" s="1967"/>
      <c r="O2084" s="2183">
        <f>IF(O2083=0,0,L2070/O2083)</f>
        <v>0</v>
      </c>
      <c r="P2084" s="2183"/>
      <c r="Q2084" s="1822"/>
    </row>
    <row r="2085" spans="1:18" s="1951" customFormat="1" ht="11.25" customHeight="1">
      <c r="A2085" s="1815"/>
      <c r="B2085" s="449" t="s">
        <v>3566</v>
      </c>
      <c r="C2085" s="1815"/>
      <c r="D2085" s="1897"/>
      <c r="E2085" s="1897"/>
      <c r="F2085" s="1897"/>
      <c r="G2085" s="1897"/>
      <c r="H2085" s="449"/>
      <c r="I2085" s="449"/>
      <c r="J2085" s="449"/>
      <c r="K2085" s="449"/>
      <c r="M2085" s="1896"/>
      <c r="N2085" s="1874"/>
      <c r="O2085" s="1923"/>
      <c r="P2085" s="1874"/>
    </row>
    <row r="2086" spans="1:18" s="1951" customFormat="1" ht="66.599999999999994" customHeight="1">
      <c r="A2086" s="1936" t="str">
        <f>'Part IX Scoring Criteria'!A431</f>
        <v xml:space="preserve">Applicant is not claiming points in this category. </v>
      </c>
      <c r="B2086" s="1936"/>
      <c r="C2086" s="1936"/>
      <c r="D2086" s="1936"/>
      <c r="E2086" s="1936"/>
      <c r="F2086" s="1936"/>
      <c r="G2086" s="1936"/>
      <c r="H2086" s="1936"/>
      <c r="I2086" s="1936"/>
      <c r="J2086" s="1936"/>
      <c r="K2086" s="1936"/>
      <c r="L2086" s="1936"/>
      <c r="M2086" s="1936"/>
      <c r="N2086" s="1936"/>
      <c r="O2086" s="1936"/>
      <c r="P2086" s="1936"/>
      <c r="Q2086" s="1973" t="s">
        <v>1228</v>
      </c>
      <c r="R2086" s="1973"/>
    </row>
    <row r="2087" spans="1:18" s="1951" customFormat="1" ht="10.5" customHeight="1">
      <c r="B2087" s="1936" t="s">
        <v>1820</v>
      </c>
      <c r="C2087" s="1815"/>
      <c r="D2087" s="1936"/>
      <c r="E2087" s="1939"/>
      <c r="F2087" s="1939"/>
      <c r="G2087" s="1939"/>
      <c r="H2087" s="1939"/>
      <c r="I2087" s="1939"/>
      <c r="J2087" s="1939"/>
      <c r="K2087" s="1939"/>
      <c r="L2087" s="1939"/>
      <c r="M2087" s="1939"/>
      <c r="N2087" s="1967"/>
      <c r="O2087" s="1967"/>
      <c r="P2087" s="1896"/>
    </row>
    <row r="2088" spans="1:18" s="1951" customFormat="1" ht="22.2" customHeight="1">
      <c r="A2088" s="1936"/>
      <c r="B2088" s="1936"/>
      <c r="C2088" s="1936"/>
      <c r="D2088" s="1936"/>
      <c r="E2088" s="1936"/>
      <c r="F2088" s="1936"/>
      <c r="G2088" s="1936"/>
      <c r="H2088" s="1936"/>
      <c r="I2088" s="1936"/>
      <c r="J2088" s="1936"/>
      <c r="K2088" s="1936"/>
      <c r="L2088" s="1936"/>
      <c r="M2088" s="1936"/>
      <c r="N2088" s="1936"/>
      <c r="O2088" s="1936"/>
      <c r="P2088" s="1936"/>
      <c r="Q2088" s="1973"/>
    </row>
    <row r="2089" spans="1:18" s="1951" customFormat="1" ht="3" customHeight="1">
      <c r="A2089" s="1815"/>
      <c r="B2089" s="1815"/>
      <c r="C2089" s="1939"/>
      <c r="D2089" s="1939"/>
      <c r="E2089" s="1939"/>
      <c r="F2089" s="1939"/>
      <c r="G2089" s="1939"/>
      <c r="H2089" s="1939"/>
      <c r="I2089" s="1939"/>
      <c r="J2089" s="1939"/>
      <c r="K2089" s="1939"/>
      <c r="L2089" s="1939"/>
      <c r="M2089" s="1939"/>
      <c r="N2089" s="1967"/>
      <c r="O2089" s="1967"/>
      <c r="P2089" s="1896"/>
    </row>
    <row r="2090" spans="1:18" s="1947" customFormat="1" ht="11.25" customHeight="1">
      <c r="A2090" s="1931" t="s">
        <v>3786</v>
      </c>
      <c r="B2090" s="1815" t="s">
        <v>4718</v>
      </c>
      <c r="D2090" s="449"/>
      <c r="E2090" s="449"/>
      <c r="F2090" s="449"/>
      <c r="G2090" s="449"/>
      <c r="I2090" s="449"/>
      <c r="J2090" s="449"/>
      <c r="K2090" s="449"/>
      <c r="L2090" s="1732" t="str">
        <f>IF(OR($O2090=$M2090,$O2090&lt;=0,$O2090=""),"","* * Check Score! * *")</f>
        <v/>
      </c>
      <c r="M2090" s="1896">
        <v>10</v>
      </c>
      <c r="N2090" s="1896"/>
      <c r="O2090" s="1923">
        <f>'Part IX Scoring Criteria'!O435</f>
        <v>10</v>
      </c>
      <c r="P2090" s="1923">
        <f>'Part IX Scoring Criteria'!P435</f>
        <v>10</v>
      </c>
      <c r="Q2090" s="1896" t="s">
        <v>433</v>
      </c>
    </row>
    <row r="2091" spans="1:18" s="1947" customFormat="1" ht="1.5" customHeight="1">
      <c r="A2091" s="1931"/>
      <c r="B2091" s="1815"/>
      <c r="D2091" s="449"/>
      <c r="E2091" s="449"/>
      <c r="F2091" s="449"/>
      <c r="G2091" s="449"/>
      <c r="I2091" s="449"/>
      <c r="J2091" s="449"/>
      <c r="K2091" s="449"/>
      <c r="L2091" s="1732"/>
      <c r="M2091" s="1896"/>
      <c r="N2091" s="1896"/>
      <c r="O2091" s="1896"/>
      <c r="P2091" s="1896"/>
      <c r="Q2091" s="1896"/>
    </row>
    <row r="2092" spans="1:18" s="1947" customFormat="1" ht="10.5" customHeight="1">
      <c r="A2092" s="1931"/>
      <c r="B2092" s="449" t="s">
        <v>3483</v>
      </c>
      <c r="D2092" s="449"/>
      <c r="E2092" s="449"/>
      <c r="F2092" s="449"/>
      <c r="G2092" s="449"/>
      <c r="I2092" s="449"/>
      <c r="J2092" s="449"/>
      <c r="K2092" s="449"/>
      <c r="L2092" s="1732"/>
      <c r="M2092" s="1896"/>
      <c r="N2092" s="1896"/>
      <c r="O2092" s="1923">
        <v>10</v>
      </c>
      <c r="P2092" s="1923">
        <v>10</v>
      </c>
      <c r="Q2092" s="1896"/>
    </row>
    <row r="2093" spans="1:18" s="1947" customFormat="1" ht="10.5" customHeight="1">
      <c r="A2093" s="1931"/>
      <c r="B2093" s="449" t="s">
        <v>3484</v>
      </c>
      <c r="D2093" s="449"/>
      <c r="E2093" s="449"/>
      <c r="F2093" s="449"/>
      <c r="G2093" s="449"/>
      <c r="I2093" s="449"/>
      <c r="J2093" s="449"/>
      <c r="K2093" s="449"/>
      <c r="L2093" s="1732"/>
      <c r="M2093" s="1896"/>
      <c r="N2093" s="1896"/>
      <c r="O2093" s="1923">
        <f>'Part IX Scoring Criteria'!O438</f>
        <v>0</v>
      </c>
      <c r="P2093" s="1923"/>
      <c r="Q2093" s="1896"/>
    </row>
    <row r="2094" spans="1:18" s="1947" customFormat="1" ht="10.5" customHeight="1">
      <c r="A2094" s="1931"/>
      <c r="B2094" s="449" t="s">
        <v>3485</v>
      </c>
      <c r="D2094" s="449"/>
      <c r="E2094" s="449"/>
      <c r="F2094" s="449"/>
      <c r="G2094" s="449"/>
      <c r="I2094" s="449"/>
      <c r="J2094" s="449"/>
      <c r="K2094" s="449"/>
      <c r="L2094" s="1732"/>
      <c r="M2094" s="1896"/>
      <c r="N2094" s="1896"/>
      <c r="O2094" s="1923">
        <f>'Part IX Scoring Criteria'!O439</f>
        <v>0</v>
      </c>
      <c r="P2094" s="1923"/>
      <c r="Q2094" s="1896"/>
    </row>
    <row r="2095" spans="1:18" s="1947" customFormat="1" ht="10.5" customHeight="1">
      <c r="A2095" s="449"/>
      <c r="B2095" s="449" t="s">
        <v>1820</v>
      </c>
      <c r="C2095" s="1815"/>
      <c r="D2095" s="449"/>
      <c r="E2095" s="1908"/>
      <c r="F2095" s="1908"/>
      <c r="G2095" s="1908"/>
      <c r="H2095" s="1908"/>
      <c r="I2095" s="1908"/>
      <c r="J2095" s="1908"/>
      <c r="K2095" s="1908"/>
      <c r="L2095" s="1908"/>
      <c r="M2095" s="1908"/>
      <c r="N2095" s="1896"/>
      <c r="O2095" s="1896"/>
      <c r="P2095" s="1896"/>
    </row>
    <row r="2096" spans="1:18" s="1951" customFormat="1" ht="10.95" customHeight="1">
      <c r="A2096" s="1936"/>
      <c r="B2096" s="1936"/>
      <c r="C2096" s="1936"/>
      <c r="D2096" s="1936"/>
      <c r="E2096" s="1936"/>
      <c r="F2096" s="1936"/>
      <c r="G2096" s="1936"/>
      <c r="H2096" s="1936"/>
      <c r="I2096" s="1936"/>
      <c r="J2096" s="1936"/>
      <c r="K2096" s="1936"/>
      <c r="L2096" s="1936"/>
      <c r="M2096" s="1936"/>
      <c r="N2096" s="1936"/>
      <c r="O2096" s="1936"/>
      <c r="P2096" s="1936"/>
      <c r="Q2096" s="1973" t="s">
        <v>1228</v>
      </c>
      <c r="R2096" s="1973"/>
    </row>
    <row r="2097" spans="1:18" s="1951" customFormat="1" ht="6" customHeight="1">
      <c r="A2097" s="1931"/>
      <c r="B2097" s="1815"/>
      <c r="C2097" s="1939"/>
      <c r="D2097" s="1939"/>
      <c r="E2097" s="1939"/>
      <c r="F2097" s="1939"/>
      <c r="G2097" s="1939"/>
      <c r="H2097" s="1939"/>
      <c r="I2097" s="1939"/>
      <c r="J2097" s="1939"/>
      <c r="K2097" s="1939"/>
      <c r="L2097" s="1939"/>
      <c r="M2097" s="1939"/>
      <c r="N2097" s="1967"/>
      <c r="O2097" s="1967"/>
      <c r="P2097" s="1896"/>
    </row>
    <row r="2098" spans="1:18" s="1815" customFormat="1" ht="12.75" customHeight="1">
      <c r="A2098" s="1931"/>
      <c r="B2098" s="2185"/>
      <c r="D2098" s="1995"/>
      <c r="E2098" s="1995"/>
      <c r="F2098" s="1951"/>
      <c r="G2098" s="1952" t="s">
        <v>419</v>
      </c>
      <c r="I2098" s="1952"/>
      <c r="J2098" s="1952"/>
      <c r="K2098" s="1952"/>
      <c r="L2098" s="1947"/>
      <c r="M2098" s="1994">
        <f>M1680+M1705+M1719+M1729+M1767+M1805+M1848+M1887+M1920+M1941+M1948+M1956+M1971+M1988+M2001+M2019+M2034+M2070+M2090</f>
        <v>95</v>
      </c>
      <c r="N2098" s="1994"/>
      <c r="O2098" s="1994">
        <f>-O1663+O1680+O1705+O1719+O1729+O1767+O1805+O1848+O1920+O1941+O1948+O1956+O1971+O1988+O2019+O2034+O2070+O2090</f>
        <v>53</v>
      </c>
      <c r="P2098" s="1994">
        <f>-P1663+P1680+P1705+P1719+P1729+P1767+P1805+P1848+P1887+P1920+P1941+P1948+P1956+P1971+P1988+P2001+P2019+P2034+P2070+P2090</f>
        <v>20</v>
      </c>
    </row>
    <row r="2099" spans="1:18" s="1815" customFormat="1" ht="11.25" customHeight="1">
      <c r="A2099" s="1951"/>
      <c r="B2099" s="2185"/>
      <c r="C2099" s="1951"/>
      <c r="D2099" s="1995"/>
      <c r="E2099" s="1995"/>
      <c r="F2099" s="2241"/>
      <c r="G2099" s="2241"/>
      <c r="H2099" s="1897" t="s">
        <v>3838</v>
      </c>
      <c r="J2099" s="1995"/>
      <c r="K2099" s="1995"/>
      <c r="L2099" s="1951"/>
      <c r="M2099" s="1995"/>
      <c r="N2099" s="1896"/>
      <c r="O2099" s="1896"/>
      <c r="P2099" s="1958">
        <f>P1887</f>
        <v>0</v>
      </c>
    </row>
    <row r="2100" spans="1:18" s="1815" customFormat="1" ht="11.25" customHeight="1">
      <c r="A2100" s="1951"/>
      <c r="B2100" s="2185"/>
      <c r="C2100" s="1951"/>
      <c r="D2100" s="1995"/>
      <c r="E2100" s="1995"/>
      <c r="F2100" s="2241"/>
      <c r="G2100" s="2241"/>
      <c r="H2100" s="1897" t="s">
        <v>3839</v>
      </c>
      <c r="J2100" s="1995"/>
      <c r="K2100" s="1995"/>
      <c r="L2100" s="1951"/>
      <c r="M2100" s="1995"/>
      <c r="N2100" s="1896"/>
      <c r="O2100" s="1958"/>
      <c r="P2100" s="1958">
        <f>P2001</f>
        <v>0</v>
      </c>
    </row>
    <row r="2101" spans="1:18" s="1951" customFormat="1" ht="11.25" customHeight="1">
      <c r="A2101" s="1815"/>
      <c r="D2101" s="449"/>
      <c r="E2101" s="449"/>
      <c r="F2101" s="1896"/>
      <c r="H2101" s="1897" t="s">
        <v>3841</v>
      </c>
      <c r="I2101" s="1896"/>
      <c r="J2101" s="1908"/>
      <c r="K2101" s="1908"/>
      <c r="L2101" s="1908"/>
      <c r="M2101" s="1229"/>
      <c r="N2101" s="1896"/>
      <c r="O2101" s="1874"/>
      <c r="P2101" s="1923">
        <f>P2098-P2099-P2100</f>
        <v>20</v>
      </c>
    </row>
    <row r="2102" spans="1:18" ht="2.25" customHeight="1">
      <c r="A2102" s="1951"/>
      <c r="B2102" s="2185"/>
      <c r="C2102" s="1951"/>
      <c r="F2102" s="1908"/>
      <c r="G2102" s="1908"/>
      <c r="H2102" s="2241"/>
      <c r="I2102" s="2241"/>
      <c r="L2102" s="1951"/>
      <c r="N2102" s="1896"/>
      <c r="O2102" s="1896"/>
      <c r="P2102" s="1923"/>
    </row>
    <row r="2103" spans="1:18" s="1951" customFormat="1" ht="22.5" customHeight="1">
      <c r="A2103" s="449" t="s">
        <v>3510</v>
      </c>
      <c r="B2103" s="449"/>
      <c r="C2103" s="449"/>
      <c r="D2103" s="449"/>
      <c r="E2103" s="449"/>
      <c r="F2103" s="449"/>
      <c r="G2103" s="449"/>
      <c r="H2103" s="449"/>
      <c r="I2103" s="449"/>
      <c r="J2103" s="449"/>
      <c r="K2103" s="449"/>
      <c r="L2103" s="449"/>
      <c r="M2103" s="449"/>
      <c r="N2103" s="449"/>
      <c r="O2103" s="449"/>
      <c r="P2103" s="449"/>
    </row>
    <row r="2104" spans="1:18" s="1951" customFormat="1" ht="179.4" customHeight="1">
      <c r="A2104" s="1936" t="str">
        <f>'Part IX Scoring Criteria'!A449</f>
        <v xml:space="preserve">The following scoring sections did not provide a blue scoring justification box for comments.  For those sections, scoring justifications comments are below.
Section 1:  Application Completeness:  Applicant took all available points in this section because the application has no missing  or incomplete documentation.  Each submitted document is accurate and legible.  The application is organized as set out in the Tab Checklist.  In addition, we do not expect there to be any instances where DCA will make  financial adjustments. 
Section 2:  Deeper Targeting/Rent Income Restrictions:  Applicant agrees to an overall property AMI that is equal to or less than 58%, and therefore, qualifies for 2 points.  
Section 10: Mixed Income Developments: Applicant is claiming 1 point in this section for Income Averaging. Harper Woods II will use the income averaging minimum set-aside election, and does not include market rate units. 
Section 14: Extended Affordability Commitment: Owner is willing to forego the Qualified Contract Cancellation Option after the close of the Compliance Period (3 points).  The Owner also commits to providing a right of first refusal to a nonprofit organization or local housing authority in accordance with DCA requirements set forth in Exhibit B of Appendix II (Scoring), should the Owner elect to transfer all or some of the owner's interest in the property during the Compliance or Extended Use Period (1 point).  For these reasons, Applicant qualifies for 4 points in this section.  
Section 15: Exceptional Nonprofit/Public Housing Authority: Applicant is not claiming points in this section. 
Section 19:  Compliance/Performance:  Applicant believes it is eligible for all 10 points for this section as there are no instances of noncompliance for any projects on the CHS and for any General Partnership, Developer Entity or Principal associated with this Project Team.     TAB 43 contains a listing of only the Georgia Properties for the entire Development Team, as included in the Compliance History Summary Section of the Performance Workbook.
</v>
      </c>
      <c r="B2104" s="1936"/>
      <c r="C2104" s="1936"/>
      <c r="D2104" s="1936"/>
      <c r="E2104" s="1936"/>
      <c r="F2104" s="1936"/>
      <c r="G2104" s="1936"/>
      <c r="H2104" s="1936"/>
      <c r="I2104" s="1936"/>
      <c r="J2104" s="1936"/>
      <c r="K2104" s="1936"/>
      <c r="L2104" s="1936"/>
      <c r="M2104" s="1936"/>
      <c r="N2104" s="1936"/>
      <c r="O2104" s="1936"/>
      <c r="P2104" s="1936"/>
      <c r="Q2104" s="1973" t="s">
        <v>1228</v>
      </c>
      <c r="R2104" s="1973"/>
    </row>
  </sheetData>
  <sheetProtection algorithmName="SHA-512" hashValue="bK8VPcbWQ0UaGCIOHcc/6AOWyWXNDEMqRtZTFQ11zx2Rc2b5rQtcDN6OGzsVmWj+HwSW3jeY8SwRLn2Ll4AYEA==" saltValue="titUGrqukBB344mBKQKq6A==" spinCount="100000" sheet="1" objects="1" scenarios="1" selectLockedCells="1" selectUnlockedCells="1"/>
  <conditionalFormatting sqref="B417:D419">
    <cfRule type="cellIs" dxfId="90" priority="101" stopIfTrue="1" operator="equal">
      <formula>"Make a selection FIRST --&gt;"</formula>
    </cfRule>
  </conditionalFormatting>
  <conditionalFormatting sqref="J425">
    <cfRule type="cellIs" dxfId="89" priority="100" operator="equal">
      <formula>"No"</formula>
    </cfRule>
  </conditionalFormatting>
  <conditionalFormatting sqref="J423">
    <cfRule type="cellIs" dxfId="88" priority="99" operator="equal">
      <formula>"No"</formula>
    </cfRule>
  </conditionalFormatting>
  <conditionalFormatting sqref="D422">
    <cfRule type="cellIs" dxfId="87" priority="98" operator="greaterThan">
      <formula>50.000001%</formula>
    </cfRule>
  </conditionalFormatting>
  <conditionalFormatting sqref="P424:Q424">
    <cfRule type="cellIs" dxfId="86" priority="97" operator="notEqual">
      <formula>0</formula>
    </cfRule>
  </conditionalFormatting>
  <conditionalFormatting sqref="J630:L630">
    <cfRule type="cellIs" dxfId="85" priority="92" stopIfTrue="1" operator="greaterThan">
      <formula>$J$180</formula>
    </cfRule>
  </conditionalFormatting>
  <conditionalFormatting sqref="G480">
    <cfRule type="cellIs" priority="93" stopIfTrue="1" operator="equal">
      <formula>"""Exceeds the limit! Re-check amounts."""</formula>
    </cfRule>
  </conditionalFormatting>
  <conditionalFormatting sqref="M611:T611">
    <cfRule type="cellIs" dxfId="84" priority="86" operator="equal">
      <formula>"Exceeds Project Cost Limit!   Needs Cost Limit waiver."</formula>
    </cfRule>
    <cfRule type="cellIs" dxfId="83" priority="89" operator="equal">
      <formula>"QAP Cost Limit TDC exceeds Project Cost Limit!"</formula>
    </cfRule>
  </conditionalFormatting>
  <conditionalFormatting sqref="O607:V608">
    <cfRule type="cellIs" dxfId="82" priority="88" operator="equal">
      <formula>"QAP Cost Limit TDC exceeds Project Cost Limit!"</formula>
    </cfRule>
  </conditionalFormatting>
  <conditionalFormatting sqref="O625:V625">
    <cfRule type="cellIs" dxfId="81" priority="87" operator="equal">
      <formula>"QAP Cost Limit TDC exceeds Project Cost Limit!"</formula>
    </cfRule>
  </conditionalFormatting>
  <conditionalFormatting sqref="I742:M742">
    <cfRule type="cellIs" dxfId="80" priority="85" operator="equal">
      <formula>"""&lt;&lt;Select Fuel &gt;&gt;"""</formula>
    </cfRule>
  </conditionalFormatting>
  <conditionalFormatting sqref="I742:M742">
    <cfRule type="cellIs" dxfId="79" priority="83" operator="equal">
      <formula>"Select Fuel"</formula>
    </cfRule>
    <cfRule type="cellIs" dxfId="78" priority="84" operator="equal">
      <formula>"&lt;&lt;Select Fuel &gt;&gt;"</formula>
    </cfRule>
  </conditionalFormatting>
  <conditionalFormatting sqref="J742:M742">
    <cfRule type="cellIs" dxfId="77" priority="82" operator="equal">
      <formula>"Select Fuel"</formula>
    </cfRule>
  </conditionalFormatting>
  <conditionalFormatting sqref="I759:M759">
    <cfRule type="cellIs" dxfId="76" priority="81" operator="equal">
      <formula>"""&lt;&lt;Select Fuel &gt;&gt;"""</formula>
    </cfRule>
  </conditionalFormatting>
  <conditionalFormatting sqref="I759:M759">
    <cfRule type="cellIs" dxfId="75" priority="79" operator="equal">
      <formula>"Select Fuel"</formula>
    </cfRule>
    <cfRule type="cellIs" dxfId="74" priority="80" operator="equal">
      <formula>"&lt;&lt;Select Fuel &gt;&gt;"</formula>
    </cfRule>
  </conditionalFormatting>
  <conditionalFormatting sqref="J759:M759">
    <cfRule type="cellIs" dxfId="73" priority="78" operator="equal">
      <formula>"Select Fuel"</formula>
    </cfRule>
  </conditionalFormatting>
  <conditionalFormatting sqref="H779:I816">
    <cfRule type="expression" priority="75" stopIfTrue="1">
      <formula>AND($B779="PHA", $H779&gt;0)</formula>
    </cfRule>
  </conditionalFormatting>
  <conditionalFormatting sqref="U895 U870:U872 U881 U860:U861">
    <cfRule type="cellIs" dxfId="72" priority="76" stopIfTrue="1" operator="greaterThan">
      <formula>0</formula>
    </cfRule>
  </conditionalFormatting>
  <conditionalFormatting sqref="A779:A816">
    <cfRule type="cellIs" dxfId="71" priority="77" stopIfTrue="1" operator="equal">
      <formula>1</formula>
    </cfRule>
  </conditionalFormatting>
  <conditionalFormatting sqref="J779:J816">
    <cfRule type="expression" priority="74" stopIfTrue="1">
      <formula>AND($B779="PHA", $H779&gt;0)</formula>
    </cfRule>
  </conditionalFormatting>
  <conditionalFormatting sqref="P947">
    <cfRule type="cellIs" dxfId="70" priority="73" operator="greaterThan">
      <formula>0.02</formula>
    </cfRule>
  </conditionalFormatting>
  <conditionalFormatting sqref="Q779:Q816">
    <cfRule type="expression" dxfId="69" priority="72">
      <formula>AND($P$10="New Construction",$Q$10="Yes")</formula>
    </cfRule>
  </conditionalFormatting>
  <conditionalFormatting sqref="K825:P836 K927:P939 K907:P925 K862:P904">
    <cfRule type="cellIs" dxfId="68" priority="71" operator="equal">
      <formula>0</formula>
    </cfRule>
  </conditionalFormatting>
  <conditionalFormatting sqref="B818:C818">
    <cfRule type="cellIs" dxfId="67" priority="70" operator="greaterThan">
      <formula>60.0000001</formula>
    </cfRule>
  </conditionalFormatting>
  <conditionalFormatting sqref="L822:O822">
    <cfRule type="containsText" dxfId="66" priority="69" operator="containsText" text="&lt;&lt; Select LIHTC Election &gt;&gt;">
      <formula>NOT(ISERROR(SEARCH("&lt;&lt; Select LIHTC Election &gt;&gt;",L822)))</formula>
    </cfRule>
  </conditionalFormatting>
  <conditionalFormatting sqref="U926">
    <cfRule type="cellIs" dxfId="65" priority="68" stopIfTrue="1" operator="greaterThan">
      <formula>0</formula>
    </cfRule>
  </conditionalFormatting>
  <conditionalFormatting sqref="K926:P926">
    <cfRule type="cellIs" dxfId="64" priority="67" operator="equal">
      <formula>0</formula>
    </cfRule>
  </conditionalFormatting>
  <conditionalFormatting sqref="L871:O871">
    <cfRule type="cellIs" dxfId="63" priority="64" operator="equal">
      <formula>"&lt;&lt; Select LIHTC Election &gt;&gt;"</formula>
    </cfRule>
    <cfRule type="containsText" dxfId="62" priority="66" operator="containsText" text="&lt;&lt; Select Election or Income Averaging &gt;&gt;">
      <formula>NOT(ISERROR(SEARCH("&lt;&lt; Select Election or Income Averaging &gt;&gt;",L871)))</formula>
    </cfRule>
  </conditionalFormatting>
  <conditionalFormatting sqref="L916:O916">
    <cfRule type="cellIs" dxfId="61" priority="63" operator="equal">
      <formula>"&lt;&lt; Select LIHTC Election &gt;&gt;"</formula>
    </cfRule>
    <cfRule type="containsText" dxfId="60" priority="65" operator="containsText" text="&lt;&lt; Select Election or Income Averaging &gt;&gt;">
      <formula>NOT(ISERROR(SEARCH("&lt;&lt; Select Election or Income Averaging &gt;&gt;",L916)))</formula>
    </cfRule>
  </conditionalFormatting>
  <conditionalFormatting sqref="K905:P906">
    <cfRule type="cellIs" dxfId="59" priority="62" operator="equal">
      <formula>0</formula>
    </cfRule>
  </conditionalFormatting>
  <conditionalFormatting sqref="A774:A778">
    <cfRule type="cellIs" dxfId="58" priority="61" operator="equal">
      <formula>"Finish Row!"</formula>
    </cfRule>
  </conditionalFormatting>
  <conditionalFormatting sqref="U838">
    <cfRule type="cellIs" dxfId="57" priority="60" stopIfTrue="1" operator="greaterThan">
      <formula>0</formula>
    </cfRule>
  </conditionalFormatting>
  <conditionalFormatting sqref="G1034">
    <cfRule type="expression" dxfId="56" priority="59">
      <formula>$G$6&lt;$G$5</formula>
    </cfRule>
  </conditionalFormatting>
  <conditionalFormatting sqref="A1058">
    <cfRule type="expression" dxfId="55" priority="58">
      <formula>"or(B28&lt;$G$6,C28&lt;$G$6,D28&lt;$G$6,E28&lt;$G$6,F28&lt;$G$6,G28&lt;$G$6,H28&lt;$G$6,I28&lt;$G$6,J28&lt;$G$6,K28&lt;$G$6,)"</formula>
    </cfRule>
  </conditionalFormatting>
  <conditionalFormatting sqref="A1090">
    <cfRule type="expression" dxfId="54" priority="57">
      <formula>"or(B28&lt;$G$6,C28&lt;$G$6,D28&lt;$G$6,E28&lt;$G$6,F28&lt;$G$6,G28&lt;$G$6,H28&lt;$G$6,I28&lt;$G$6,J28&lt;$G$6,K28&lt;$G$6,)"</formula>
    </cfRule>
  </conditionalFormatting>
  <conditionalFormatting sqref="A1122">
    <cfRule type="expression" dxfId="53" priority="56">
      <formula>"or(B28&lt;$G$6,C28&lt;$G$6,D28&lt;$G$6,E28&lt;$G$6,F28&lt;$G$6,G28&lt;$G$6,H28&lt;$G$6,I28&lt;$G$6,J28&lt;$G$6,K28&lt;$G$6,)"</formula>
    </cfRule>
  </conditionalFormatting>
  <conditionalFormatting sqref="A1051">
    <cfRule type="expression" dxfId="52" priority="55">
      <formula>"or(B28&lt;$G$6,C28&lt;$G$6,D28&lt;$G$6,E28&lt;$G$6,F28&lt;$G$6,G28&lt;$G$6,H28&lt;$G$6,I28&lt;$G$6,J28&lt;$G$6,K28&lt;$G$6,)"</formula>
    </cfRule>
  </conditionalFormatting>
  <conditionalFormatting sqref="A1083">
    <cfRule type="expression" dxfId="51" priority="54">
      <formula>"or(B28&lt;$G$6,C28&lt;$G$6,D28&lt;$G$6,E28&lt;$G$6,F28&lt;$G$6,G28&lt;$G$6,H28&lt;$G$6,I28&lt;$G$6,J28&lt;$G$6,K28&lt;$G$6,)"</formula>
    </cfRule>
  </conditionalFormatting>
  <conditionalFormatting sqref="A1115">
    <cfRule type="expression" dxfId="50" priority="53">
      <formula>"or(B28&lt;$G$6,C28&lt;$G$6,D28&lt;$G$6,E28&lt;$G$6,F28&lt;$G$6,G28&lt;$G$6,H28&lt;$G$6,I28&lt;$G$6,J28&lt;$G$6,K28&lt;$G$6,)"</formula>
    </cfRule>
  </conditionalFormatting>
  <conditionalFormatting sqref="A1145">
    <cfRule type="expression" dxfId="49" priority="52">
      <formula>"or(B28&lt;$G$6,C28&lt;$G$6,D28&lt;$G$6,E28&lt;$G$6,F28&lt;$G$6,G28&lt;$G$6,H28&lt;$G$6,I28&lt;$G$6,J28&lt;$G$6,K28&lt;$G$6,)"</formula>
    </cfRule>
  </conditionalFormatting>
  <conditionalFormatting sqref="C1036">
    <cfRule type="containsText" dxfId="48" priority="51" operator="containsText" text="Must be &gt;= 7%!">
      <formula>NOT(ISERROR(SEARCH("Must be &gt;= 7%!",C1036)))</formula>
    </cfRule>
  </conditionalFormatting>
  <conditionalFormatting sqref="R1238:S1239 R1217 R1231:R1232 R1223:R1225 R1220 R1235:R1237">
    <cfRule type="cellIs" dxfId="47" priority="50" stopIfTrue="1" operator="greaterThan">
      <formula>0</formula>
    </cfRule>
  </conditionalFormatting>
  <conditionalFormatting sqref="R1210:R1212">
    <cfRule type="cellIs" dxfId="46" priority="49" stopIfTrue="1" operator="greaterThan">
      <formula>0</formula>
    </cfRule>
  </conditionalFormatting>
  <conditionalFormatting sqref="L1650:R1650">
    <cfRule type="cellIs" dxfId="45" priority="48" stopIfTrue="1" operator="equal">
      <formula>"* * Check Score! * *"</formula>
    </cfRule>
  </conditionalFormatting>
  <conditionalFormatting sqref="O1805:P1805 O1807:P1807">
    <cfRule type="cellIs" dxfId="44" priority="45" operator="greaterThan">
      <formula>M1805</formula>
    </cfRule>
  </conditionalFormatting>
  <conditionalFormatting sqref="Q1750">
    <cfRule type="cellIs" dxfId="43" priority="44" stopIfTrue="1" operator="equal">
      <formula>"* * Check Score! * *"</formula>
    </cfRule>
  </conditionalFormatting>
  <conditionalFormatting sqref="N2019:N2022">
    <cfRule type="cellIs" dxfId="42" priority="43" stopIfTrue="1" operator="equal">
      <formula>"* * Check Score! * *"</formula>
    </cfRule>
  </conditionalFormatting>
  <conditionalFormatting sqref="R2005">
    <cfRule type="cellIs" dxfId="41" priority="42" stopIfTrue="1" operator="equal">
      <formula>"* * Check Score! * *"</formula>
    </cfRule>
  </conditionalFormatting>
  <conditionalFormatting sqref="F1721">
    <cfRule type="expression" dxfId="40" priority="46">
      <formula>AND($O$265&gt;0,$O$265&lt;4,OR($I$265="Statutory Redevelopment Plan",$I$265="Redevelopment Zone",$I$265="Local Redevelopment Plan"))</formula>
    </cfRule>
  </conditionalFormatting>
  <conditionalFormatting sqref="O1723">
    <cfRule type="cellIs" priority="40" operator="notEqual">
      <formula>$M1723</formula>
    </cfRule>
  </conditionalFormatting>
  <conditionalFormatting sqref="O1722">
    <cfRule type="cellIs" priority="41" operator="notEqual">
      <formula>$M1722</formula>
    </cfRule>
  </conditionalFormatting>
  <conditionalFormatting sqref="L1769">
    <cfRule type="cellIs" dxfId="39" priority="35" stopIfTrue="1" operator="equal">
      <formula>"* * Check Score! * *"</formula>
    </cfRule>
  </conditionalFormatting>
  <conditionalFormatting sqref="L1993">
    <cfRule type="cellIs" dxfId="38" priority="39" stopIfTrue="1" operator="equal">
      <formula>"* * Check Score! * *"</formula>
    </cfRule>
  </conditionalFormatting>
  <conditionalFormatting sqref="L1990:L1991">
    <cfRule type="cellIs" dxfId="37" priority="38" stopIfTrue="1" operator="equal">
      <formula>"* * Check Score! * *"</formula>
    </cfRule>
  </conditionalFormatting>
  <conditionalFormatting sqref="L1869">
    <cfRule type="cellIs" dxfId="36" priority="37" stopIfTrue="1" operator="equal">
      <formula>"* * Check Score! * *"</formula>
    </cfRule>
  </conditionalFormatting>
  <conditionalFormatting sqref="L1866:L1867">
    <cfRule type="cellIs" dxfId="35" priority="36" stopIfTrue="1" operator="equal">
      <formula>"* * Check Score! * *"</formula>
    </cfRule>
  </conditionalFormatting>
  <conditionalFormatting sqref="L2041">
    <cfRule type="cellIs" dxfId="34" priority="34" stopIfTrue="1" operator="equal">
      <formula>"* * Check Score! * *"</formula>
    </cfRule>
  </conditionalFormatting>
  <conditionalFormatting sqref="L2061">
    <cfRule type="cellIs" dxfId="33" priority="33" stopIfTrue="1" operator="equal">
      <formula>"* * Check Score! * *"</formula>
    </cfRule>
  </conditionalFormatting>
  <conditionalFormatting sqref="L2034">
    <cfRule type="cellIs" dxfId="32" priority="32" stopIfTrue="1" operator="equal">
      <formula>"* * Check Score! * *"</formula>
    </cfRule>
  </conditionalFormatting>
  <conditionalFormatting sqref="R2006">
    <cfRule type="cellIs" dxfId="31" priority="31" stopIfTrue="1" operator="equal">
      <formula>"* * Check Score! * *"</formula>
    </cfRule>
  </conditionalFormatting>
  <conditionalFormatting sqref="L1786">
    <cfRule type="cellIs" dxfId="30" priority="29" stopIfTrue="1" operator="equal">
      <formula>"* * Check Score! * *"</formula>
    </cfRule>
  </conditionalFormatting>
  <conditionalFormatting sqref="L1774">
    <cfRule type="cellIs" dxfId="29" priority="30" stopIfTrue="1" operator="equal">
      <formula>"* * Check Score! * *"</formula>
    </cfRule>
  </conditionalFormatting>
  <conditionalFormatting sqref="F1890:F1894">
    <cfRule type="expression" dxfId="28" priority="47">
      <formula>AND($O$130&gt;0,$O$130&lt;4,OR(#REF!="Statutory Redevelopment Plan",#REF!="Redevelopment Zone",#REF!="Local Redevelopment Plan"))</formula>
    </cfRule>
  </conditionalFormatting>
  <conditionalFormatting sqref="O1710">
    <cfRule type="cellIs" dxfId="27" priority="28" operator="notEqual">
      <formula>$M1710</formula>
    </cfRule>
  </conditionalFormatting>
  <conditionalFormatting sqref="L1995">
    <cfRule type="cellIs" dxfId="26" priority="27" stopIfTrue="1" operator="equal">
      <formula>"* * Check Score! * *"</formula>
    </cfRule>
  </conditionalFormatting>
  <conditionalFormatting sqref="R2007">
    <cfRule type="cellIs" dxfId="25" priority="26" stopIfTrue="1" operator="equal">
      <formula>"* * Check Score! * *"</formula>
    </cfRule>
  </conditionalFormatting>
  <conditionalFormatting sqref="R2008">
    <cfRule type="cellIs" dxfId="24" priority="25" stopIfTrue="1" operator="equal">
      <formula>"* * Check Score! * *"</formula>
    </cfRule>
  </conditionalFormatting>
  <conditionalFormatting sqref="L1710:L1711">
    <cfRule type="containsText" dxfId="23" priority="24" operator="containsText" text="CHOOSE EITHER A OR B, NOT BOTH!">
      <formula>NOT(ISERROR(SEARCH("CHOOSE EITHER A OR B, NOT BOTH!",L1710)))</formula>
    </cfRule>
  </conditionalFormatting>
  <conditionalFormatting sqref="O1746">
    <cfRule type="cellIs" dxfId="22" priority="22" operator="notEqual">
      <formula>$M1746</formula>
    </cfRule>
  </conditionalFormatting>
  <conditionalFormatting sqref="O1745">
    <cfRule type="cellIs" dxfId="21" priority="23" operator="notEqual">
      <formula>$M1745</formula>
    </cfRule>
  </conditionalFormatting>
  <conditionalFormatting sqref="O1747">
    <cfRule type="cellIs" dxfId="20" priority="21" operator="notEqual">
      <formula>$M1747</formula>
    </cfRule>
  </conditionalFormatting>
  <conditionalFormatting sqref="O1711">
    <cfRule type="cellIs" dxfId="19" priority="11" operator="notEqual">
      <formula>$M1711</formula>
    </cfRule>
  </conditionalFormatting>
  <conditionalFormatting sqref="O1754">
    <cfRule type="cellIs" dxfId="18" priority="19" operator="notEqual">
      <formula>$M1754</formula>
    </cfRule>
  </conditionalFormatting>
  <conditionalFormatting sqref="O1753">
    <cfRule type="cellIs" dxfId="17" priority="20" operator="notEqual">
      <formula>$M1753</formula>
    </cfRule>
  </conditionalFormatting>
  <conditionalFormatting sqref="O1755">
    <cfRule type="cellIs" dxfId="16" priority="18" operator="notEqual">
      <formula>$M1755</formula>
    </cfRule>
  </conditionalFormatting>
  <conditionalFormatting sqref="O1758">
    <cfRule type="cellIs" dxfId="15" priority="17" operator="notEqual">
      <formula>$M1758</formula>
    </cfRule>
  </conditionalFormatting>
  <conditionalFormatting sqref="O1769">
    <cfRule type="cellIs" dxfId="14" priority="16" operator="notEqual">
      <formula>$M1769</formula>
    </cfRule>
  </conditionalFormatting>
  <conditionalFormatting sqref="O1774">
    <cfRule type="cellIs" dxfId="13" priority="15" operator="notEqual">
      <formula>$M1774</formula>
    </cfRule>
  </conditionalFormatting>
  <conditionalFormatting sqref="O1786">
    <cfRule type="cellIs" dxfId="12" priority="14" operator="notEqual">
      <formula>$M1786</formula>
    </cfRule>
  </conditionalFormatting>
  <conditionalFormatting sqref="O1866">
    <cfRule type="cellIs" dxfId="11" priority="13" operator="notEqual">
      <formula>$M1866</formula>
    </cfRule>
  </conditionalFormatting>
  <conditionalFormatting sqref="O1869">
    <cfRule type="cellIs" dxfId="10" priority="12" operator="notEqual">
      <formula>$M1869</formula>
    </cfRule>
  </conditionalFormatting>
  <conditionalFormatting sqref="F1895">
    <cfRule type="expression" dxfId="9" priority="10">
      <formula>AND($O$130&gt;0,$O$130&lt;4,OR(#REF!="Statutory Redevelopment Plan",#REF!="Redevelopment Zone",#REF!="Local Redevelopment Plan"))</formula>
    </cfRule>
  </conditionalFormatting>
  <conditionalFormatting sqref="R2004">
    <cfRule type="cellIs" dxfId="8" priority="9" stopIfTrue="1" operator="equal">
      <formula>"* * Check Score! * *"</formula>
    </cfRule>
  </conditionalFormatting>
  <conditionalFormatting sqref="J1707:K1707">
    <cfRule type="containsText" dxfId="7" priority="8" operator="containsText" text="&lt;&lt; Select Election or Income Averaging &gt;&gt;">
      <formula>NOT(ISERROR(SEARCH("&lt;&lt; Select Election or Income Averaging &gt;&gt;",J1707)))</formula>
    </cfRule>
  </conditionalFormatting>
  <conditionalFormatting sqref="O1705">
    <cfRule type="containsText" dxfId="6" priority="7" operator="containsText" text="AorB?">
      <formula>NOT(ISERROR(SEARCH("AorB?",O1705)))</formula>
    </cfRule>
  </conditionalFormatting>
  <conditionalFormatting sqref="H1746">
    <cfRule type="containsText" dxfId="5" priority="6" operator="containsText" text="Pick A1 or A2!">
      <formula>NOT(ISERROR(SEARCH("Pick A1 or A2!",H1746)))</formula>
    </cfRule>
  </conditionalFormatting>
  <conditionalFormatting sqref="F1756">
    <cfRule type="containsText" dxfId="4" priority="5" operator="containsText" text="Choose only one option: B1 or B2 or B3!">
      <formula>NOT(ISERROR(SEARCH("Choose only one option: B1 or B2 or B3!",F1756)))</formula>
    </cfRule>
  </conditionalFormatting>
  <conditionalFormatting sqref="P1866">
    <cfRule type="cellIs" dxfId="3" priority="4" operator="notEqual">
      <formula>$M1866</formula>
    </cfRule>
  </conditionalFormatting>
  <conditionalFormatting sqref="L1974">
    <cfRule type="cellIs" dxfId="2" priority="3" stopIfTrue="1" operator="equal">
      <formula>"* * Check Score! * *"</formula>
    </cfRule>
  </conditionalFormatting>
  <conditionalFormatting sqref="L1975">
    <cfRule type="cellIs" dxfId="1" priority="2" stopIfTrue="1" operator="equal">
      <formula>"* * Check Score! * *"</formula>
    </cfRule>
  </conditionalFormatting>
  <conditionalFormatting sqref="L1978:L1982">
    <cfRule type="cellIs" dxfId="0" priority="1" operator="equal">
      <formula>"Choose option 1 or 2 or 3 or 4!!!"</formula>
    </cfRule>
  </conditionalFormatting>
  <hyperlinks>
    <hyperlink ref="N68" r:id="rId1" xr:uid="{00000000-0004-0000-1600-000000000000}"/>
    <hyperlink ref="N69" r:id="rId2" xr:uid="{00000000-0004-0000-1600-000001000000}"/>
    <hyperlink ref="N233" r:id="rId3" xr:uid="{00000000-0004-0000-1600-000002000000}"/>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9">
    <pageSetUpPr fitToPage="1"/>
  </sheetPr>
  <dimension ref="A1:AA210"/>
  <sheetViews>
    <sheetView showGridLines="0" tabSelected="1" zoomScaleNormal="100" workbookViewId="0">
      <selection activeCell="A130" sqref="A1:XFD1048576"/>
    </sheetView>
  </sheetViews>
  <sheetFormatPr defaultColWidth="9.109375" defaultRowHeight="13.8"/>
  <cols>
    <col min="1" max="1" width="2.88671875" style="311" customWidth="1"/>
    <col min="2" max="4" width="1.88671875" style="311" customWidth="1"/>
    <col min="5" max="5" width="14.88671875" style="311" customWidth="1"/>
    <col min="6" max="6" width="6.109375" style="311" customWidth="1"/>
    <col min="7" max="7" width="2.88671875" style="311" customWidth="1"/>
    <col min="8" max="8" width="8" style="311" customWidth="1"/>
    <col min="9" max="9" width="6.109375" style="311" customWidth="1"/>
    <col min="10" max="10" width="8.109375" style="311" customWidth="1"/>
    <col min="11" max="11" width="9.88671875" style="311" customWidth="1"/>
    <col min="12" max="13" width="8.88671875" style="311" customWidth="1"/>
    <col min="14" max="14" width="9.44140625" style="311" customWidth="1"/>
    <col min="15" max="15" width="9.88671875" style="311" customWidth="1"/>
    <col min="16" max="19" width="6.109375" style="311" customWidth="1"/>
    <col min="20" max="24" width="11.5546875" style="311" customWidth="1"/>
    <col min="25" max="16384" width="9.109375" style="311"/>
  </cols>
  <sheetData>
    <row r="1" spans="1:27" s="293" customFormat="1" ht="14.1" customHeight="1">
      <c r="A1" s="2475" t="str">
        <f>CONCATENATE("PART TWO - DEVELOPMENT TEAM INFORMATION","  -  ",'Part I-Project Information'!$O$6," ",'Part I-Project Information'!$F$34,", ",'Part I-Project Information'!F38,", ",'Part I-Project Information'!J39," County")</f>
        <v>PART TWO - DEVELOPMENT TEAM INFORMATION  -  2020-074 Harper Woods II, Columbus, Muscogee County</v>
      </c>
      <c r="B1" s="2476"/>
      <c r="C1" s="2476"/>
      <c r="D1" s="2476"/>
      <c r="E1" s="2476"/>
      <c r="F1" s="2476"/>
      <c r="G1" s="2476"/>
      <c r="H1" s="2476"/>
      <c r="I1" s="2476"/>
      <c r="J1" s="2476"/>
      <c r="K1" s="2476"/>
      <c r="L1" s="2476"/>
      <c r="M1" s="2476"/>
      <c r="N1" s="2476"/>
      <c r="O1" s="2476"/>
      <c r="P1" s="2476"/>
      <c r="Q1" s="2476"/>
      <c r="R1" s="2476"/>
      <c r="S1" s="2477"/>
    </row>
    <row r="2" spans="1:27" ht="12" customHeight="1" thickBot="1">
      <c r="A2" s="912" t="s">
        <v>4094</v>
      </c>
      <c r="B2" s="913"/>
      <c r="C2" s="913"/>
      <c r="D2" s="913"/>
      <c r="E2" s="913"/>
      <c r="F2" s="913"/>
      <c r="G2" s="913"/>
      <c r="H2" s="913"/>
      <c r="I2" s="913"/>
      <c r="J2" s="913"/>
      <c r="K2" s="913"/>
      <c r="L2" s="913"/>
      <c r="M2" s="913"/>
      <c r="N2" s="913"/>
      <c r="O2" s="913"/>
      <c r="P2" s="913"/>
      <c r="Q2" s="913"/>
      <c r="R2" s="913"/>
      <c r="S2" s="913"/>
    </row>
    <row r="3" spans="1:27" s="293" customFormat="1" ht="13.35" customHeight="1" thickBot="1">
      <c r="A3" s="295" t="s">
        <v>598</v>
      </c>
      <c r="B3" s="298" t="s">
        <v>1812</v>
      </c>
      <c r="C3" s="298"/>
      <c r="E3" s="298"/>
      <c r="F3" s="298"/>
      <c r="G3" s="298"/>
      <c r="H3" s="1194" t="s">
        <v>3893</v>
      </c>
      <c r="O3" s="2478" t="str">
        <f>'Part I-Project Information'!$B$6</f>
        <v>May 26, 2020 Version</v>
      </c>
      <c r="P3" s="2479"/>
      <c r="Q3" s="2479"/>
      <c r="R3" s="2479"/>
      <c r="S3" s="2480"/>
    </row>
    <row r="4" spans="1:27" s="293" customFormat="1" ht="8.4" customHeight="1">
      <c r="A4" s="295"/>
      <c r="B4" s="295"/>
      <c r="C4" s="295"/>
      <c r="D4" s="298"/>
      <c r="E4" s="298"/>
      <c r="F4" s="298"/>
      <c r="G4" s="298"/>
      <c r="H4" s="298"/>
      <c r="I4" s="298"/>
      <c r="J4" s="298"/>
    </row>
    <row r="5" spans="1:27" s="293" customFormat="1" ht="11.25" customHeight="1">
      <c r="B5" s="295" t="s">
        <v>1936</v>
      </c>
      <c r="C5" s="298" t="s">
        <v>1808</v>
      </c>
      <c r="H5" s="3660" t="s">
        <v>7025</v>
      </c>
      <c r="I5" s="3661"/>
      <c r="J5" s="3661"/>
      <c r="K5" s="3661"/>
      <c r="L5" s="3661"/>
      <c r="M5" s="3661"/>
      <c r="N5" s="3662"/>
      <c r="O5" s="2346" t="s">
        <v>1942</v>
      </c>
      <c r="P5" s="2346"/>
      <c r="Q5" s="3660" t="s">
        <v>6988</v>
      </c>
      <c r="R5" s="3661"/>
      <c r="S5" s="3662"/>
      <c r="Y5" s="1016"/>
      <c r="Z5" s="1017"/>
      <c r="AA5" s="2356"/>
    </row>
    <row r="6" spans="1:27" s="293" customFormat="1" ht="11.25" customHeight="1">
      <c r="D6" s="331"/>
      <c r="E6" s="2348" t="s">
        <v>999</v>
      </c>
      <c r="F6" s="305"/>
      <c r="H6" s="3484" t="s">
        <v>6989</v>
      </c>
      <c r="I6" s="3663"/>
      <c r="J6" s="3663"/>
      <c r="K6" s="3664"/>
      <c r="L6" s="3663"/>
      <c r="M6" s="3663"/>
      <c r="N6" s="3665"/>
      <c r="O6" s="2346" t="s">
        <v>1704</v>
      </c>
      <c r="Q6" s="3505" t="s">
        <v>7026</v>
      </c>
      <c r="R6" s="3569"/>
      <c r="S6" s="3570"/>
      <c r="V6" s="1016"/>
      <c r="W6" s="1016"/>
      <c r="X6" s="1016"/>
      <c r="Y6" s="1016"/>
      <c r="Z6" s="1017"/>
      <c r="AA6" s="2356"/>
    </row>
    <row r="7" spans="1:27" s="293" customFormat="1" ht="11.25" customHeight="1">
      <c r="D7" s="331"/>
      <c r="E7" s="2348" t="s">
        <v>600</v>
      </c>
      <c r="H7" s="3484" t="s">
        <v>1179</v>
      </c>
      <c r="I7" s="3664"/>
      <c r="J7" s="3573"/>
      <c r="K7" s="3666" t="s">
        <v>744</v>
      </c>
      <c r="L7" s="3508" t="s">
        <v>3103</v>
      </c>
      <c r="M7" s="3663"/>
      <c r="N7" s="3665"/>
      <c r="O7" s="2346" t="s">
        <v>1679</v>
      </c>
      <c r="Q7" s="3627">
        <v>6783245550</v>
      </c>
      <c r="R7" s="3628"/>
      <c r="S7" s="3629"/>
    </row>
    <row r="8" spans="1:27" s="293" customFormat="1" ht="11.25" customHeight="1">
      <c r="D8" s="331"/>
      <c r="E8" s="2348" t="s">
        <v>1754</v>
      </c>
      <c r="H8" s="3571" t="s">
        <v>828</v>
      </c>
      <c r="I8" s="1007" t="s">
        <v>2173</v>
      </c>
      <c r="J8" s="3667">
        <v>303394002</v>
      </c>
      <c r="K8" s="3668"/>
      <c r="L8" s="293" t="s">
        <v>3509</v>
      </c>
      <c r="M8" s="3669" t="s">
        <v>7027</v>
      </c>
      <c r="N8" s="3670"/>
      <c r="O8" s="2346" t="s">
        <v>1932</v>
      </c>
      <c r="Q8" s="3627">
        <v>7708627333</v>
      </c>
      <c r="R8" s="3628"/>
      <c r="S8" s="3629"/>
    </row>
    <row r="9" spans="1:27" s="293" customFormat="1" ht="11.25" customHeight="1">
      <c r="D9" s="331"/>
      <c r="E9" s="2348" t="s">
        <v>3894</v>
      </c>
      <c r="H9" s="3671">
        <v>6783245540</v>
      </c>
      <c r="I9" s="3672"/>
      <c r="J9" s="3673">
        <v>101</v>
      </c>
      <c r="K9" s="2357" t="s">
        <v>1937</v>
      </c>
      <c r="L9" s="3471" t="s">
        <v>6990</v>
      </c>
      <c r="M9" s="3584"/>
      <c r="N9" s="3584"/>
      <c r="O9" s="3472"/>
      <c r="P9" s="3472"/>
      <c r="Q9" s="3584"/>
      <c r="R9" s="3584"/>
      <c r="S9" s="3585"/>
    </row>
    <row r="10" spans="1:27" s="293" customFormat="1" ht="11.25" customHeight="1">
      <c r="D10" s="331"/>
      <c r="E10" s="1194" t="s">
        <v>3893</v>
      </c>
      <c r="H10" s="326"/>
      <c r="K10" s="268"/>
      <c r="N10" s="363" t="s">
        <v>3433</v>
      </c>
      <c r="Q10" s="2357"/>
    </row>
    <row r="11" spans="1:27" s="293" customFormat="1" ht="4.3499999999999996" customHeight="1">
      <c r="D11" s="332"/>
      <c r="E11" s="2348"/>
      <c r="F11" s="298"/>
      <c r="G11" s="298"/>
      <c r="H11" s="298"/>
      <c r="I11" s="298"/>
      <c r="J11" s="298"/>
      <c r="N11" s="298"/>
      <c r="O11" s="298"/>
      <c r="P11" s="298"/>
      <c r="Q11" s="298"/>
      <c r="R11" s="298"/>
      <c r="S11" s="298"/>
      <c r="T11" s="298"/>
    </row>
    <row r="12" spans="1:27" s="293" customFormat="1" ht="11.25" customHeight="1">
      <c r="B12" s="330" t="s">
        <v>1938</v>
      </c>
      <c r="C12" s="298" t="s">
        <v>1809</v>
      </c>
      <c r="F12" s="298"/>
      <c r="G12" s="298"/>
      <c r="H12" s="298"/>
      <c r="I12" s="298"/>
      <c r="N12" s="3674" t="s">
        <v>1258</v>
      </c>
      <c r="W12" s="3674"/>
      <c r="X12" s="3674"/>
      <c r="Y12" s="3674"/>
      <c r="Z12" s="3674"/>
    </row>
    <row r="13" spans="1:27" s="293" customFormat="1" ht="11.25" customHeight="1">
      <c r="C13" s="333" t="s">
        <v>1939</v>
      </c>
      <c r="D13" s="330" t="s">
        <v>1940</v>
      </c>
      <c r="H13" s="2356"/>
      <c r="I13" s="2356"/>
      <c r="J13" s="2356"/>
      <c r="N13" s="1020"/>
      <c r="W13" s="3675"/>
      <c r="X13" s="3675"/>
      <c r="Y13" s="3675"/>
      <c r="Z13" s="3675"/>
    </row>
    <row r="14" spans="1:27" s="293" customFormat="1" ht="11.25" customHeight="1">
      <c r="D14" s="295" t="s">
        <v>2066</v>
      </c>
      <c r="E14" s="293" t="s">
        <v>1810</v>
      </c>
      <c r="H14" s="3660" t="s">
        <v>7028</v>
      </c>
      <c r="I14" s="3661"/>
      <c r="J14" s="3661"/>
      <c r="K14" s="3661"/>
      <c r="L14" s="3661"/>
      <c r="M14" s="3661"/>
      <c r="N14" s="3662"/>
      <c r="O14" s="2346" t="s">
        <v>1942</v>
      </c>
      <c r="P14" s="2346"/>
      <c r="Q14" s="3660" t="s">
        <v>6988</v>
      </c>
      <c r="R14" s="3661"/>
      <c r="S14" s="3662"/>
    </row>
    <row r="15" spans="1:27" s="293" customFormat="1" ht="11.25" customHeight="1">
      <c r="D15" s="331"/>
      <c r="E15" s="2348" t="s">
        <v>999</v>
      </c>
      <c r="F15" s="305"/>
      <c r="H15" s="3484" t="s">
        <v>6989</v>
      </c>
      <c r="I15" s="3663"/>
      <c r="J15" s="3663"/>
      <c r="K15" s="3664"/>
      <c r="L15" s="3663"/>
      <c r="M15" s="3663"/>
      <c r="N15" s="3665"/>
      <c r="O15" s="2346" t="s">
        <v>1704</v>
      </c>
      <c r="Q15" s="3505" t="s">
        <v>7148</v>
      </c>
      <c r="R15" s="3569"/>
      <c r="S15" s="3570"/>
    </row>
    <row r="16" spans="1:27" s="293" customFormat="1" ht="11.25" customHeight="1">
      <c r="D16" s="331"/>
      <c r="E16" s="2348" t="s">
        <v>600</v>
      </c>
      <c r="H16" s="3484" t="s">
        <v>1179</v>
      </c>
      <c r="I16" s="3664"/>
      <c r="J16" s="3573"/>
      <c r="K16" s="2351" t="s">
        <v>2625</v>
      </c>
      <c r="L16" s="3484" t="s">
        <v>6998</v>
      </c>
      <c r="M16" s="3663"/>
      <c r="N16" s="3573"/>
      <c r="O16" s="2346" t="s">
        <v>1679</v>
      </c>
      <c r="Q16" s="3627">
        <v>6783245550</v>
      </c>
      <c r="R16" s="3628"/>
      <c r="S16" s="3629"/>
    </row>
    <row r="17" spans="3:19" s="293" customFormat="1" ht="11.25" customHeight="1">
      <c r="D17" s="295"/>
      <c r="E17" s="2348" t="s">
        <v>1754</v>
      </c>
      <c r="H17" s="3571" t="s">
        <v>828</v>
      </c>
      <c r="K17" s="1007" t="s">
        <v>2173</v>
      </c>
      <c r="L17" s="3491">
        <v>303394002</v>
      </c>
      <c r="M17" s="3676"/>
      <c r="O17" s="2346" t="s">
        <v>1932</v>
      </c>
      <c r="Q17" s="3627">
        <v>7708627333</v>
      </c>
      <c r="R17" s="3628"/>
      <c r="S17" s="3629"/>
    </row>
    <row r="18" spans="3:19" s="293" customFormat="1" ht="11.25" customHeight="1">
      <c r="D18" s="331"/>
      <c r="E18" s="2348" t="s">
        <v>3894</v>
      </c>
      <c r="H18" s="3671">
        <v>6783245540</v>
      </c>
      <c r="I18" s="3677"/>
      <c r="J18" s="3678">
        <v>101</v>
      </c>
      <c r="K18" s="2357" t="s">
        <v>1937</v>
      </c>
      <c r="L18" s="3630" t="s">
        <v>6990</v>
      </c>
      <c r="M18" s="3584"/>
      <c r="N18" s="3472"/>
      <c r="O18" s="3472"/>
      <c r="P18" s="3472"/>
      <c r="Q18" s="3584"/>
      <c r="R18" s="3584"/>
      <c r="S18" s="3585"/>
    </row>
    <row r="19" spans="3:19" ht="4.3499999999999996" customHeight="1">
      <c r="D19" s="319"/>
      <c r="H19" s="3679"/>
      <c r="I19" s="3679"/>
      <c r="J19" s="3679"/>
      <c r="K19" s="2357"/>
      <c r="L19" s="3679"/>
      <c r="M19" s="3679"/>
      <c r="N19" s="2345"/>
      <c r="O19" s="3680"/>
      <c r="P19" s="3680"/>
      <c r="Q19" s="2357"/>
      <c r="R19" s="3680"/>
      <c r="S19" s="3680"/>
    </row>
    <row r="20" spans="3:19" s="293" customFormat="1" ht="11.25" customHeight="1">
      <c r="D20" s="295" t="s">
        <v>2067</v>
      </c>
      <c r="E20" s="293" t="s">
        <v>1811</v>
      </c>
      <c r="F20" s="2356"/>
      <c r="H20" s="3660"/>
      <c r="I20" s="3661"/>
      <c r="J20" s="3661"/>
      <c r="K20" s="3661"/>
      <c r="L20" s="3661"/>
      <c r="M20" s="3661"/>
      <c r="N20" s="3662"/>
      <c r="O20" s="2346" t="s">
        <v>1942</v>
      </c>
      <c r="P20" s="2346"/>
      <c r="Q20" s="3660"/>
      <c r="R20" s="3661"/>
      <c r="S20" s="3662"/>
    </row>
    <row r="21" spans="3:19" s="293" customFormat="1" ht="11.25" customHeight="1">
      <c r="D21" s="331"/>
      <c r="E21" s="2348" t="s">
        <v>999</v>
      </c>
      <c r="F21" s="305"/>
      <c r="H21" s="3484"/>
      <c r="I21" s="3663"/>
      <c r="J21" s="3663"/>
      <c r="K21" s="3664"/>
      <c r="L21" s="3663"/>
      <c r="M21" s="3663"/>
      <c r="N21" s="3665"/>
      <c r="O21" s="2346" t="s">
        <v>1704</v>
      </c>
      <c r="Q21" s="3505"/>
      <c r="R21" s="3569"/>
      <c r="S21" s="3570"/>
    </row>
    <row r="22" spans="3:19" s="293" customFormat="1" ht="11.25" customHeight="1">
      <c r="D22" s="331"/>
      <c r="E22" s="2348" t="s">
        <v>600</v>
      </c>
      <c r="H22" s="3484"/>
      <c r="I22" s="3664"/>
      <c r="J22" s="3573"/>
      <c r="K22" s="2351" t="s">
        <v>2625</v>
      </c>
      <c r="L22" s="3484"/>
      <c r="M22" s="3663"/>
      <c r="N22" s="3573"/>
      <c r="O22" s="2346" t="s">
        <v>1679</v>
      </c>
      <c r="Q22" s="3627"/>
      <c r="R22" s="3628"/>
      <c r="S22" s="3629"/>
    </row>
    <row r="23" spans="3:19" s="293" customFormat="1" ht="11.25" customHeight="1">
      <c r="E23" s="2348" t="s">
        <v>1754</v>
      </c>
      <c r="H23" s="3571"/>
      <c r="K23" s="1007" t="s">
        <v>2173</v>
      </c>
      <c r="L23" s="3491"/>
      <c r="M23" s="3676"/>
      <c r="O23" s="2346" t="s">
        <v>1932</v>
      </c>
      <c r="Q23" s="3627"/>
      <c r="R23" s="3628"/>
      <c r="S23" s="3629"/>
    </row>
    <row r="24" spans="3:19" s="293" customFormat="1" ht="11.25" customHeight="1">
      <c r="D24" s="331"/>
      <c r="E24" s="2348" t="s">
        <v>3894</v>
      </c>
      <c r="H24" s="3671"/>
      <c r="I24" s="3677"/>
      <c r="J24" s="3678"/>
      <c r="K24" s="2357" t="s">
        <v>1937</v>
      </c>
      <c r="L24" s="3630"/>
      <c r="M24" s="3584"/>
      <c r="N24" s="3472"/>
      <c r="O24" s="3472"/>
      <c r="P24" s="3472"/>
      <c r="Q24" s="3584"/>
      <c r="R24" s="3584"/>
      <c r="S24" s="3585"/>
    </row>
    <row r="25" spans="3:19" s="293" customFormat="1" ht="4.3499999999999996" customHeight="1">
      <c r="D25" s="331"/>
      <c r="E25" s="2356"/>
      <c r="F25" s="2356"/>
      <c r="G25" s="2346"/>
      <c r="H25" s="3679"/>
      <c r="I25" s="3679"/>
      <c r="J25" s="3679"/>
      <c r="K25" s="2357"/>
      <c r="L25" s="3679"/>
      <c r="M25" s="3679"/>
      <c r="N25" s="2345"/>
      <c r="O25" s="3680"/>
      <c r="P25" s="3680"/>
      <c r="Q25" s="2357"/>
      <c r="R25" s="3680"/>
      <c r="S25" s="3680"/>
    </row>
    <row r="26" spans="3:19" s="293" customFormat="1" ht="11.25" customHeight="1">
      <c r="D26" s="295" t="s">
        <v>1691</v>
      </c>
      <c r="E26" s="293" t="s">
        <v>1811</v>
      </c>
      <c r="F26" s="2356"/>
      <c r="H26" s="3660"/>
      <c r="I26" s="3661"/>
      <c r="J26" s="3661"/>
      <c r="K26" s="3661"/>
      <c r="L26" s="3661"/>
      <c r="M26" s="3661"/>
      <c r="N26" s="3662"/>
      <c r="O26" s="2346" t="s">
        <v>1942</v>
      </c>
      <c r="P26" s="2346"/>
      <c r="Q26" s="3660"/>
      <c r="R26" s="3661"/>
      <c r="S26" s="3662"/>
    </row>
    <row r="27" spans="3:19" s="293" customFormat="1" ht="11.25" customHeight="1">
      <c r="D27" s="331"/>
      <c r="E27" s="2348" t="s">
        <v>999</v>
      </c>
      <c r="F27" s="305"/>
      <c r="H27" s="3484"/>
      <c r="I27" s="3663"/>
      <c r="J27" s="3663"/>
      <c r="K27" s="3664"/>
      <c r="L27" s="3663"/>
      <c r="M27" s="3663"/>
      <c r="N27" s="3665"/>
      <c r="O27" s="2346" t="s">
        <v>1704</v>
      </c>
      <c r="Q27" s="3505"/>
      <c r="R27" s="3569"/>
      <c r="S27" s="3570"/>
    </row>
    <row r="28" spans="3:19" s="293" customFormat="1" ht="11.25" customHeight="1">
      <c r="D28" s="331"/>
      <c r="E28" s="2348" t="s">
        <v>600</v>
      </c>
      <c r="H28" s="3484"/>
      <c r="I28" s="3664"/>
      <c r="J28" s="3573"/>
      <c r="K28" s="2351" t="s">
        <v>2625</v>
      </c>
      <c r="L28" s="3484"/>
      <c r="M28" s="3663"/>
      <c r="N28" s="3573"/>
      <c r="O28" s="2346" t="s">
        <v>1679</v>
      </c>
      <c r="Q28" s="3627"/>
      <c r="R28" s="3628"/>
      <c r="S28" s="3629"/>
    </row>
    <row r="29" spans="3:19" s="293" customFormat="1" ht="11.25" customHeight="1">
      <c r="E29" s="2348" t="s">
        <v>1754</v>
      </c>
      <c r="H29" s="3571"/>
      <c r="K29" s="1007" t="s">
        <v>2173</v>
      </c>
      <c r="L29" s="3491"/>
      <c r="M29" s="3676"/>
      <c r="O29" s="2346" t="s">
        <v>1932</v>
      </c>
      <c r="Q29" s="3627"/>
      <c r="R29" s="3628"/>
      <c r="S29" s="3629"/>
    </row>
    <row r="30" spans="3:19" s="293" customFormat="1" ht="11.25" customHeight="1">
      <c r="D30" s="331"/>
      <c r="E30" s="2348" t="s">
        <v>3894</v>
      </c>
      <c r="H30" s="3671"/>
      <c r="I30" s="3677"/>
      <c r="J30" s="3678"/>
      <c r="K30" s="2357" t="s">
        <v>1937</v>
      </c>
      <c r="L30" s="3630"/>
      <c r="M30" s="3584"/>
      <c r="N30" s="3472"/>
      <c r="O30" s="3472"/>
      <c r="P30" s="3472"/>
      <c r="Q30" s="3584"/>
      <c r="R30" s="3584"/>
      <c r="S30" s="3585"/>
    </row>
    <row r="31" spans="3:19" ht="4.3499999999999996" customHeight="1"/>
    <row r="32" spans="3:19" s="293" customFormat="1" ht="11.25" customHeight="1">
      <c r="C32" s="333" t="s">
        <v>1941</v>
      </c>
      <c r="D32" s="330" t="s">
        <v>1813</v>
      </c>
      <c r="H32" s="2356"/>
      <c r="I32" s="2356"/>
      <c r="J32" s="2356"/>
      <c r="K32" s="1194" t="s">
        <v>3893</v>
      </c>
      <c r="L32" s="2356"/>
      <c r="M32" s="2356"/>
    </row>
    <row r="33" spans="3:19" s="293" customFormat="1" ht="11.25" customHeight="1">
      <c r="D33" s="295" t="s">
        <v>2066</v>
      </c>
      <c r="E33" s="293" t="s">
        <v>732</v>
      </c>
      <c r="H33" s="3660" t="s">
        <v>7031</v>
      </c>
      <c r="I33" s="3661"/>
      <c r="J33" s="3661"/>
      <c r="K33" s="3661"/>
      <c r="L33" s="3661"/>
      <c r="M33" s="3661"/>
      <c r="N33" s="3662"/>
      <c r="O33" s="2346" t="s">
        <v>1942</v>
      </c>
      <c r="P33" s="2346"/>
      <c r="Q33" s="3660" t="s">
        <v>7033</v>
      </c>
      <c r="R33" s="3661"/>
      <c r="S33" s="3662"/>
    </row>
    <row r="34" spans="3:19" s="293" customFormat="1" ht="11.25" customHeight="1">
      <c r="D34" s="331"/>
      <c r="E34" s="2348" t="s">
        <v>999</v>
      </c>
      <c r="F34" s="305"/>
      <c r="H34" s="3484" t="s">
        <v>7029</v>
      </c>
      <c r="I34" s="3663"/>
      <c r="J34" s="3663"/>
      <c r="K34" s="3664"/>
      <c r="L34" s="3663"/>
      <c r="M34" s="3663"/>
      <c r="N34" s="3665"/>
      <c r="O34" s="2346" t="s">
        <v>1704</v>
      </c>
      <c r="Q34" s="3505" t="s">
        <v>7034</v>
      </c>
      <c r="R34" s="3569"/>
      <c r="S34" s="3570"/>
    </row>
    <row r="35" spans="3:19" s="293" customFormat="1" ht="11.25" customHeight="1">
      <c r="D35" s="331"/>
      <c r="E35" s="2348" t="s">
        <v>600</v>
      </c>
      <c r="H35" s="3484" t="s">
        <v>7149</v>
      </c>
      <c r="I35" s="3664"/>
      <c r="J35" s="3573"/>
      <c r="K35" s="2351" t="s">
        <v>2625</v>
      </c>
      <c r="L35" s="3484" t="s">
        <v>7030</v>
      </c>
      <c r="M35" s="3663"/>
      <c r="N35" s="3573"/>
      <c r="O35" s="2346" t="s">
        <v>1679</v>
      </c>
      <c r="Q35" s="3627">
        <v>2058687642</v>
      </c>
      <c r="R35" s="3628"/>
      <c r="S35" s="3629"/>
    </row>
    <row r="36" spans="3:19" s="293" customFormat="1" ht="11.25" customHeight="1">
      <c r="E36" s="2348" t="s">
        <v>1754</v>
      </c>
      <c r="H36" s="3571" t="s">
        <v>818</v>
      </c>
      <c r="K36" s="1007" t="s">
        <v>2173</v>
      </c>
      <c r="L36" s="3491">
        <v>352094532</v>
      </c>
      <c r="M36" s="3676"/>
      <c r="O36" s="2346" t="s">
        <v>1932</v>
      </c>
      <c r="Q36" s="3627"/>
      <c r="R36" s="3628"/>
      <c r="S36" s="3629"/>
    </row>
    <row r="37" spans="3:19" s="293" customFormat="1" ht="11.25" customHeight="1">
      <c r="D37" s="331"/>
      <c r="E37" s="2348" t="s">
        <v>3894</v>
      </c>
      <c r="H37" s="3671">
        <v>2058685540</v>
      </c>
      <c r="I37" s="3677"/>
      <c r="J37" s="3678"/>
      <c r="K37" s="2357" t="s">
        <v>1937</v>
      </c>
      <c r="L37" s="3630" t="s">
        <v>7032</v>
      </c>
      <c r="M37" s="3584"/>
      <c r="N37" s="3472"/>
      <c r="O37" s="3472"/>
      <c r="P37" s="3472"/>
      <c r="Q37" s="3584"/>
      <c r="R37" s="3584"/>
      <c r="S37" s="3585"/>
    </row>
    <row r="38" spans="3:19" ht="4.3499999999999996" customHeight="1">
      <c r="H38" s="3679"/>
      <c r="I38" s="3679"/>
      <c r="J38" s="3679"/>
      <c r="K38" s="2357"/>
      <c r="L38" s="3679"/>
      <c r="M38" s="3679"/>
      <c r="N38" s="2345"/>
      <c r="O38" s="3680"/>
      <c r="P38" s="3680"/>
      <c r="Q38" s="2357"/>
      <c r="R38" s="3680"/>
      <c r="S38" s="3680"/>
    </row>
    <row r="39" spans="3:19" s="293" customFormat="1" ht="11.25" customHeight="1">
      <c r="D39" s="295" t="s">
        <v>2067</v>
      </c>
      <c r="E39" s="293" t="s">
        <v>733</v>
      </c>
      <c r="F39" s="295"/>
      <c r="H39" s="3660" t="s">
        <v>7035</v>
      </c>
      <c r="I39" s="3661"/>
      <c r="J39" s="3661"/>
      <c r="K39" s="3661"/>
      <c r="L39" s="3661"/>
      <c r="M39" s="3661"/>
      <c r="N39" s="3662"/>
      <c r="O39" s="2346" t="s">
        <v>1942</v>
      </c>
      <c r="P39" s="2346"/>
      <c r="Q39" s="3660" t="s">
        <v>6988</v>
      </c>
      <c r="R39" s="3661"/>
      <c r="S39" s="3662"/>
    </row>
    <row r="40" spans="3:19" s="293" customFormat="1" ht="11.25" customHeight="1">
      <c r="D40" s="331"/>
      <c r="E40" s="2348" t="s">
        <v>999</v>
      </c>
      <c r="F40" s="305"/>
      <c r="H40" s="3484" t="s">
        <v>6989</v>
      </c>
      <c r="I40" s="3663"/>
      <c r="J40" s="3663"/>
      <c r="K40" s="3664"/>
      <c r="L40" s="3663"/>
      <c r="M40" s="3663"/>
      <c r="N40" s="3665"/>
      <c r="O40" s="2346" t="s">
        <v>1704</v>
      </c>
      <c r="Q40" s="3505" t="s">
        <v>7026</v>
      </c>
      <c r="R40" s="3569"/>
      <c r="S40" s="3570"/>
    </row>
    <row r="41" spans="3:19" s="293" customFormat="1" ht="11.25" customHeight="1">
      <c r="D41" s="331"/>
      <c r="E41" s="2348" t="s">
        <v>600</v>
      </c>
      <c r="H41" s="3484" t="s">
        <v>1179</v>
      </c>
      <c r="I41" s="3664"/>
      <c r="J41" s="3573"/>
      <c r="K41" s="2351" t="s">
        <v>2625</v>
      </c>
      <c r="L41" s="3484" t="s">
        <v>6998</v>
      </c>
      <c r="M41" s="3663"/>
      <c r="N41" s="3573"/>
      <c r="O41" s="2346" t="s">
        <v>1679</v>
      </c>
      <c r="Q41" s="3627">
        <v>6783245550</v>
      </c>
      <c r="R41" s="3628"/>
      <c r="S41" s="3629"/>
    </row>
    <row r="42" spans="3:19" s="293" customFormat="1" ht="11.25" customHeight="1">
      <c r="D42" s="295"/>
      <c r="E42" s="2348" t="s">
        <v>1754</v>
      </c>
      <c r="H42" s="3571" t="s">
        <v>828</v>
      </c>
      <c r="K42" s="1007" t="s">
        <v>2173</v>
      </c>
      <c r="L42" s="3491">
        <v>303394002</v>
      </c>
      <c r="M42" s="3676"/>
      <c r="O42" s="2346" t="s">
        <v>1932</v>
      </c>
      <c r="Q42" s="3627">
        <v>7708627333</v>
      </c>
      <c r="R42" s="3628"/>
      <c r="S42" s="3629"/>
    </row>
    <row r="43" spans="3:19" s="293" customFormat="1" ht="11.25" customHeight="1">
      <c r="D43" s="331"/>
      <c r="E43" s="2348" t="s">
        <v>3894</v>
      </c>
      <c r="H43" s="3671">
        <v>6783245540</v>
      </c>
      <c r="I43" s="3677"/>
      <c r="J43" s="3678">
        <v>101</v>
      </c>
      <c r="K43" s="2357" t="s">
        <v>1937</v>
      </c>
      <c r="L43" s="3630" t="s">
        <v>6990</v>
      </c>
      <c r="M43" s="3584"/>
      <c r="N43" s="3472"/>
      <c r="O43" s="3472"/>
      <c r="P43" s="3472"/>
      <c r="Q43" s="3584"/>
      <c r="R43" s="3584"/>
      <c r="S43" s="3585"/>
    </row>
    <row r="44" spans="3:19" s="293" customFormat="1" ht="4.3499999999999996" customHeight="1">
      <c r="D44" s="331"/>
      <c r="E44" s="2348"/>
      <c r="F44" s="295"/>
      <c r="H44" s="326"/>
      <c r="I44" s="326"/>
      <c r="J44" s="3681"/>
      <c r="K44" s="2357"/>
      <c r="L44" s="326"/>
      <c r="M44" s="326"/>
      <c r="N44" s="2357"/>
      <c r="O44" s="326"/>
      <c r="P44" s="326"/>
      <c r="Q44" s="2357"/>
      <c r="R44" s="326"/>
      <c r="S44" s="326"/>
    </row>
    <row r="45" spans="3:19" s="293" customFormat="1" ht="11.25" customHeight="1">
      <c r="C45" s="334" t="s">
        <v>2468</v>
      </c>
      <c r="D45" s="330" t="s">
        <v>633</v>
      </c>
      <c r="H45" s="2356"/>
      <c r="I45" s="2356"/>
      <c r="J45" s="2356"/>
      <c r="K45" s="1194" t="s">
        <v>3893</v>
      </c>
      <c r="L45" s="2356"/>
      <c r="M45" s="2356"/>
    </row>
    <row r="46" spans="3:19" s="293" customFormat="1" ht="11.25" customHeight="1">
      <c r="E46" s="293" t="s">
        <v>90</v>
      </c>
      <c r="H46" s="3660"/>
      <c r="I46" s="3661"/>
      <c r="J46" s="3661"/>
      <c r="K46" s="3661"/>
      <c r="L46" s="3661"/>
      <c r="M46" s="3661"/>
      <c r="N46" s="3662"/>
      <c r="O46" s="2346" t="s">
        <v>1942</v>
      </c>
      <c r="P46" s="2346"/>
      <c r="Q46" s="3660"/>
      <c r="R46" s="3661"/>
      <c r="S46" s="3662"/>
    </row>
    <row r="47" spans="3:19" s="293" customFormat="1" ht="11.25" customHeight="1">
      <c r="D47" s="331"/>
      <c r="E47" s="2348" t="s">
        <v>999</v>
      </c>
      <c r="F47" s="305"/>
      <c r="H47" s="3484"/>
      <c r="I47" s="3663"/>
      <c r="J47" s="3663"/>
      <c r="K47" s="3664"/>
      <c r="L47" s="3663"/>
      <c r="M47" s="3663"/>
      <c r="N47" s="3665"/>
      <c r="O47" s="2346" t="s">
        <v>1704</v>
      </c>
      <c r="Q47" s="3505"/>
      <c r="R47" s="3569"/>
      <c r="S47" s="3570"/>
    </row>
    <row r="48" spans="3:19" s="293" customFormat="1" ht="11.25" customHeight="1">
      <c r="D48" s="331"/>
      <c r="E48" s="2348" t="s">
        <v>600</v>
      </c>
      <c r="H48" s="3484"/>
      <c r="I48" s="3664"/>
      <c r="J48" s="3573"/>
      <c r="K48" s="2351" t="s">
        <v>2625</v>
      </c>
      <c r="L48" s="3484"/>
      <c r="M48" s="3663"/>
      <c r="N48" s="3573"/>
      <c r="O48" s="2346" t="s">
        <v>1679</v>
      </c>
      <c r="Q48" s="3627"/>
      <c r="R48" s="3628"/>
      <c r="S48" s="3629"/>
    </row>
    <row r="49" spans="1:19" s="293" customFormat="1" ht="11.25" customHeight="1">
      <c r="E49" s="2348" t="s">
        <v>1754</v>
      </c>
      <c r="H49" s="3571"/>
      <c r="K49" s="1007" t="s">
        <v>2173</v>
      </c>
      <c r="L49" s="3491"/>
      <c r="M49" s="3676"/>
      <c r="O49" s="2346" t="s">
        <v>1932</v>
      </c>
      <c r="Q49" s="3627"/>
      <c r="R49" s="3628"/>
      <c r="S49" s="3629"/>
    </row>
    <row r="50" spans="1:19" s="293" customFormat="1" ht="11.25" customHeight="1">
      <c r="D50" s="331"/>
      <c r="E50" s="2348" t="s">
        <v>3894</v>
      </c>
      <c r="H50" s="3671"/>
      <c r="I50" s="3677"/>
      <c r="J50" s="3678"/>
      <c r="K50" s="2357" t="s">
        <v>1937</v>
      </c>
      <c r="L50" s="3630"/>
      <c r="M50" s="3584"/>
      <c r="N50" s="3472"/>
      <c r="O50" s="3472"/>
      <c r="P50" s="3472"/>
      <c r="Q50" s="3584"/>
      <c r="R50" s="3584"/>
      <c r="S50" s="3585"/>
    </row>
    <row r="51" spans="1:19" ht="6.75" customHeight="1"/>
    <row r="52" spans="1:19" s="293" customFormat="1" ht="13.35" customHeight="1">
      <c r="A52" s="295" t="s">
        <v>722</v>
      </c>
      <c r="B52" s="295" t="s">
        <v>634</v>
      </c>
      <c r="F52" s="295"/>
      <c r="G52" s="2357"/>
      <c r="H52" s="2357"/>
      <c r="I52" s="2357"/>
      <c r="J52" s="2356"/>
      <c r="K52" s="1194" t="s">
        <v>3893</v>
      </c>
      <c r="L52" s="2356"/>
      <c r="M52" s="2356"/>
      <c r="N52" s="2356"/>
      <c r="O52" s="2356"/>
      <c r="P52" s="2356"/>
      <c r="Q52" s="2356"/>
      <c r="R52" s="2356"/>
      <c r="S52" s="2356"/>
    </row>
    <row r="53" spans="1:19" s="293" customFormat="1" ht="3" customHeight="1">
      <c r="A53" s="295"/>
      <c r="B53" s="295"/>
      <c r="F53" s="295"/>
      <c r="G53" s="2357"/>
      <c r="H53" s="3682"/>
      <c r="I53" s="3682"/>
      <c r="J53" s="3682"/>
      <c r="K53" s="2345"/>
      <c r="L53" s="3682"/>
      <c r="M53" s="3682"/>
      <c r="N53" s="2345"/>
      <c r="O53" s="3680"/>
      <c r="P53" s="3680"/>
      <c r="Q53" s="2357"/>
      <c r="R53" s="3680"/>
      <c r="S53" s="3680"/>
    </row>
    <row r="54" spans="1:19" s="293" customFormat="1" ht="11.25" customHeight="1">
      <c r="B54" s="295" t="s">
        <v>1936</v>
      </c>
      <c r="C54" s="295" t="s">
        <v>277</v>
      </c>
      <c r="H54" s="3660" t="s">
        <v>7036</v>
      </c>
      <c r="I54" s="3661"/>
      <c r="J54" s="3661"/>
      <c r="K54" s="3661"/>
      <c r="L54" s="3661"/>
      <c r="M54" s="3661"/>
      <c r="N54" s="3662"/>
      <c r="O54" s="2346" t="s">
        <v>1942</v>
      </c>
      <c r="P54" s="2346"/>
      <c r="Q54" s="3660" t="s">
        <v>6988</v>
      </c>
      <c r="R54" s="3661"/>
      <c r="S54" s="3662"/>
    </row>
    <row r="55" spans="1:19" s="293" customFormat="1" ht="11.25" customHeight="1">
      <c r="D55" s="331"/>
      <c r="E55" s="2348" t="s">
        <v>999</v>
      </c>
      <c r="F55" s="305"/>
      <c r="H55" s="3484" t="s">
        <v>6989</v>
      </c>
      <c r="I55" s="3663"/>
      <c r="J55" s="3663"/>
      <c r="K55" s="3664"/>
      <c r="L55" s="3663"/>
      <c r="M55" s="3663"/>
      <c r="N55" s="3665"/>
      <c r="O55" s="2346" t="s">
        <v>1704</v>
      </c>
      <c r="Q55" s="3505" t="s">
        <v>6991</v>
      </c>
      <c r="R55" s="3569"/>
      <c r="S55" s="3570"/>
    </row>
    <row r="56" spans="1:19" s="293" customFormat="1" ht="11.25" customHeight="1">
      <c r="D56" s="331"/>
      <c r="E56" s="2348" t="s">
        <v>600</v>
      </c>
      <c r="H56" s="3484" t="s">
        <v>1179</v>
      </c>
      <c r="I56" s="3664"/>
      <c r="J56" s="3573"/>
      <c r="K56" s="2351" t="s">
        <v>2625</v>
      </c>
      <c r="L56" s="3484" t="s">
        <v>6998</v>
      </c>
      <c r="M56" s="3663"/>
      <c r="N56" s="3573"/>
      <c r="O56" s="2346" t="s">
        <v>1679</v>
      </c>
      <c r="Q56" s="3627">
        <v>6783245550</v>
      </c>
      <c r="R56" s="3628"/>
      <c r="S56" s="3629"/>
    </row>
    <row r="57" spans="1:19" s="293" customFormat="1" ht="11.25" customHeight="1">
      <c r="E57" s="2348" t="s">
        <v>1754</v>
      </c>
      <c r="H57" s="3571" t="s">
        <v>828</v>
      </c>
      <c r="K57" s="1007" t="s">
        <v>2173</v>
      </c>
      <c r="L57" s="3491">
        <v>303394002</v>
      </c>
      <c r="M57" s="3676"/>
      <c r="O57" s="2346" t="s">
        <v>1932</v>
      </c>
      <c r="Q57" s="3627">
        <v>7708627333</v>
      </c>
      <c r="R57" s="3628"/>
      <c r="S57" s="3629"/>
    </row>
    <row r="58" spans="1:19" s="293" customFormat="1" ht="11.25" customHeight="1">
      <c r="D58" s="331"/>
      <c r="E58" s="2348" t="s">
        <v>3894</v>
      </c>
      <c r="H58" s="3671">
        <v>6783245540</v>
      </c>
      <c r="I58" s="3677"/>
      <c r="J58" s="3678">
        <v>101</v>
      </c>
      <c r="K58" s="2357" t="s">
        <v>1937</v>
      </c>
      <c r="L58" s="3630" t="s">
        <v>6990</v>
      </c>
      <c r="M58" s="3584"/>
      <c r="N58" s="3472"/>
      <c r="O58" s="3472"/>
      <c r="P58" s="3472"/>
      <c r="Q58" s="3584"/>
      <c r="R58" s="3584"/>
      <c r="S58" s="3585"/>
    </row>
    <row r="59" spans="1:19" s="293" customFormat="1" ht="6.6" customHeight="1">
      <c r="D59" s="331"/>
      <c r="E59" s="2356"/>
      <c r="F59" s="2356"/>
      <c r="G59" s="2346"/>
      <c r="H59" s="3679"/>
      <c r="I59" s="3679"/>
      <c r="J59" s="3679"/>
      <c r="K59" s="2357"/>
      <c r="L59" s="3679"/>
      <c r="M59" s="3679"/>
      <c r="N59" s="2345"/>
      <c r="O59" s="3680"/>
      <c r="P59" s="3680"/>
      <c r="Q59" s="2357"/>
      <c r="R59" s="3680"/>
      <c r="S59" s="3680"/>
    </row>
    <row r="60" spans="1:19" s="293" customFormat="1" ht="11.25" customHeight="1">
      <c r="B60" s="295" t="s">
        <v>1938</v>
      </c>
      <c r="C60" s="295" t="s">
        <v>278</v>
      </c>
      <c r="H60" s="3660"/>
      <c r="I60" s="3661"/>
      <c r="J60" s="3661"/>
      <c r="K60" s="3661"/>
      <c r="L60" s="3661"/>
      <c r="M60" s="3661"/>
      <c r="N60" s="3662"/>
      <c r="O60" s="2346" t="s">
        <v>1942</v>
      </c>
      <c r="P60" s="2346"/>
      <c r="Q60" s="3660"/>
      <c r="R60" s="3661"/>
      <c r="S60" s="3662"/>
    </row>
    <row r="61" spans="1:19" s="293" customFormat="1" ht="11.25" customHeight="1">
      <c r="D61" s="331"/>
      <c r="E61" s="2348" t="s">
        <v>999</v>
      </c>
      <c r="F61" s="305"/>
      <c r="H61" s="3484"/>
      <c r="I61" s="3663"/>
      <c r="J61" s="3663"/>
      <c r="K61" s="3664"/>
      <c r="L61" s="3663"/>
      <c r="M61" s="3663"/>
      <c r="N61" s="3665"/>
      <c r="O61" s="2346" t="s">
        <v>1704</v>
      </c>
      <c r="Q61" s="3505"/>
      <c r="R61" s="3569"/>
      <c r="S61" s="3570"/>
    </row>
    <row r="62" spans="1:19" s="293" customFormat="1" ht="11.25" customHeight="1">
      <c r="D62" s="331"/>
      <c r="E62" s="2348" t="s">
        <v>600</v>
      </c>
      <c r="H62" s="3484"/>
      <c r="I62" s="3664"/>
      <c r="J62" s="3573"/>
      <c r="K62" s="2351" t="s">
        <v>2625</v>
      </c>
      <c r="L62" s="3484"/>
      <c r="M62" s="3663"/>
      <c r="N62" s="3573"/>
      <c r="O62" s="2346" t="s">
        <v>1679</v>
      </c>
      <c r="Q62" s="3627"/>
      <c r="R62" s="3628"/>
      <c r="S62" s="3629"/>
    </row>
    <row r="63" spans="1:19" s="293" customFormat="1" ht="11.25" customHeight="1">
      <c r="E63" s="2348" t="s">
        <v>1754</v>
      </c>
      <c r="H63" s="3571"/>
      <c r="K63" s="1007" t="s">
        <v>2173</v>
      </c>
      <c r="L63" s="3491"/>
      <c r="M63" s="3676"/>
      <c r="O63" s="2346" t="s">
        <v>1932</v>
      </c>
      <c r="Q63" s="3627"/>
      <c r="R63" s="3628"/>
      <c r="S63" s="3629"/>
    </row>
    <row r="64" spans="1:19" s="293" customFormat="1" ht="11.25" customHeight="1">
      <c r="D64" s="331"/>
      <c r="E64" s="2348" t="s">
        <v>3894</v>
      </c>
      <c r="H64" s="3671"/>
      <c r="I64" s="3677"/>
      <c r="J64" s="3678"/>
      <c r="K64" s="2357" t="s">
        <v>1937</v>
      </c>
      <c r="L64" s="3630"/>
      <c r="M64" s="3584"/>
      <c r="N64" s="3472"/>
      <c r="O64" s="3472"/>
      <c r="P64" s="3472"/>
      <c r="Q64" s="3584"/>
      <c r="R64" s="3584"/>
      <c r="S64" s="3585"/>
    </row>
    <row r="65" spans="1:19" s="293" customFormat="1" ht="6.6" customHeight="1">
      <c r="D65" s="331"/>
      <c r="E65" s="2356"/>
      <c r="F65" s="2356"/>
      <c r="G65" s="2346"/>
      <c r="H65" s="3679"/>
      <c r="I65" s="3679"/>
      <c r="J65" s="3679"/>
      <c r="K65" s="2357"/>
      <c r="L65" s="3679"/>
      <c r="M65" s="3679"/>
      <c r="N65" s="2345"/>
      <c r="O65" s="3680"/>
      <c r="P65" s="3680"/>
      <c r="Q65" s="2357"/>
      <c r="R65" s="3680"/>
      <c r="S65" s="3680"/>
    </row>
    <row r="66" spans="1:19" s="293" customFormat="1" ht="11.25" customHeight="1">
      <c r="B66" s="295" t="s">
        <v>731</v>
      </c>
      <c r="C66" s="295" t="s">
        <v>1496</v>
      </c>
      <c r="H66" s="3660"/>
      <c r="I66" s="3661"/>
      <c r="J66" s="3661"/>
      <c r="K66" s="3661"/>
      <c r="L66" s="3661"/>
      <c r="M66" s="3661"/>
      <c r="N66" s="3662"/>
      <c r="O66" s="2346" t="s">
        <v>1942</v>
      </c>
      <c r="P66" s="2346"/>
      <c r="Q66" s="3660"/>
      <c r="R66" s="3661"/>
      <c r="S66" s="3662"/>
    </row>
    <row r="67" spans="1:19" s="293" customFormat="1" ht="11.25" customHeight="1">
      <c r="D67" s="331"/>
      <c r="E67" s="2348" t="s">
        <v>999</v>
      </c>
      <c r="F67" s="305"/>
      <c r="H67" s="3484"/>
      <c r="I67" s="3663"/>
      <c r="J67" s="3663"/>
      <c r="K67" s="3664"/>
      <c r="L67" s="3663"/>
      <c r="M67" s="3663"/>
      <c r="N67" s="3665"/>
      <c r="O67" s="2346" t="s">
        <v>1704</v>
      </c>
      <c r="Q67" s="3505"/>
      <c r="R67" s="3569"/>
      <c r="S67" s="3570"/>
    </row>
    <row r="68" spans="1:19" s="293" customFormat="1" ht="11.25" customHeight="1">
      <c r="D68" s="331"/>
      <c r="E68" s="2348" t="s">
        <v>600</v>
      </c>
      <c r="H68" s="3484"/>
      <c r="I68" s="3664"/>
      <c r="J68" s="3573"/>
      <c r="K68" s="2351" t="s">
        <v>2625</v>
      </c>
      <c r="L68" s="3484"/>
      <c r="M68" s="3663"/>
      <c r="N68" s="3573"/>
      <c r="O68" s="2346" t="s">
        <v>1679</v>
      </c>
      <c r="Q68" s="3627"/>
      <c r="R68" s="3628"/>
      <c r="S68" s="3629"/>
    </row>
    <row r="69" spans="1:19" s="293" customFormat="1" ht="11.25" customHeight="1">
      <c r="E69" s="2348" t="s">
        <v>1754</v>
      </c>
      <c r="H69" s="3571"/>
      <c r="K69" s="1007" t="s">
        <v>2173</v>
      </c>
      <c r="L69" s="3491"/>
      <c r="M69" s="3676"/>
      <c r="O69" s="2346" t="s">
        <v>1932</v>
      </c>
      <c r="Q69" s="3627"/>
      <c r="R69" s="3628"/>
      <c r="S69" s="3629"/>
    </row>
    <row r="70" spans="1:19" s="293" customFormat="1" ht="11.25" customHeight="1">
      <c r="D70" s="331"/>
      <c r="E70" s="2348" t="s">
        <v>3894</v>
      </c>
      <c r="H70" s="3671"/>
      <c r="I70" s="3677"/>
      <c r="J70" s="3678"/>
      <c r="K70" s="2357" t="s">
        <v>1937</v>
      </c>
      <c r="L70" s="3630"/>
      <c r="M70" s="3584"/>
      <c r="N70" s="3472"/>
      <c r="O70" s="3472"/>
      <c r="P70" s="3472"/>
      <c r="Q70" s="3584"/>
      <c r="R70" s="3584"/>
      <c r="S70" s="3585"/>
    </row>
    <row r="71" spans="1:19" ht="6.6" customHeight="1">
      <c r="H71" s="3679"/>
      <c r="I71" s="3679"/>
      <c r="J71" s="3679"/>
      <c r="K71" s="2357"/>
      <c r="L71" s="3679"/>
      <c r="M71" s="3679"/>
      <c r="N71" s="2345"/>
      <c r="O71" s="3680"/>
      <c r="P71" s="3680"/>
      <c r="Q71" s="2357"/>
      <c r="R71" s="3680"/>
      <c r="S71" s="3680"/>
    </row>
    <row r="72" spans="1:19" s="293" customFormat="1" ht="11.25" customHeight="1">
      <c r="B72" s="295" t="s">
        <v>2065</v>
      </c>
      <c r="C72" s="295" t="s">
        <v>279</v>
      </c>
      <c r="H72" s="3660"/>
      <c r="I72" s="3661"/>
      <c r="J72" s="3661"/>
      <c r="K72" s="3661"/>
      <c r="L72" s="3661"/>
      <c r="M72" s="3661"/>
      <c r="N72" s="3662"/>
      <c r="O72" s="2346" t="s">
        <v>1942</v>
      </c>
      <c r="P72" s="2346"/>
      <c r="Q72" s="3660"/>
      <c r="R72" s="3661"/>
      <c r="S72" s="3662"/>
    </row>
    <row r="73" spans="1:19" s="293" customFormat="1" ht="11.25" customHeight="1">
      <c r="D73" s="331"/>
      <c r="E73" s="2348" t="s">
        <v>999</v>
      </c>
      <c r="F73" s="305"/>
      <c r="H73" s="3484"/>
      <c r="I73" s="3663"/>
      <c r="J73" s="3663"/>
      <c r="K73" s="3664"/>
      <c r="L73" s="3663"/>
      <c r="M73" s="3663"/>
      <c r="N73" s="3665"/>
      <c r="O73" s="2346" t="s">
        <v>1704</v>
      </c>
      <c r="Q73" s="3505"/>
      <c r="R73" s="3569"/>
      <c r="S73" s="3570"/>
    </row>
    <row r="74" spans="1:19" s="293" customFormat="1" ht="11.25" customHeight="1">
      <c r="D74" s="331"/>
      <c r="E74" s="2348" t="s">
        <v>600</v>
      </c>
      <c r="H74" s="3484"/>
      <c r="I74" s="3664"/>
      <c r="J74" s="3573"/>
      <c r="K74" s="2351" t="s">
        <v>2625</v>
      </c>
      <c r="L74" s="3484"/>
      <c r="M74" s="3663"/>
      <c r="N74" s="3573"/>
      <c r="O74" s="2346" t="s">
        <v>1679</v>
      </c>
      <c r="Q74" s="3627"/>
      <c r="R74" s="3628"/>
      <c r="S74" s="3629"/>
    </row>
    <row r="75" spans="1:19" s="293" customFormat="1" ht="11.25" customHeight="1">
      <c r="E75" s="2348" t="s">
        <v>1754</v>
      </c>
      <c r="H75" s="3571"/>
      <c r="K75" s="1007" t="s">
        <v>2173</v>
      </c>
      <c r="L75" s="3491"/>
      <c r="M75" s="3676"/>
      <c r="O75" s="2346" t="s">
        <v>1932</v>
      </c>
      <c r="Q75" s="3627"/>
      <c r="R75" s="3628"/>
      <c r="S75" s="3629"/>
    </row>
    <row r="76" spans="1:19" s="293" customFormat="1" ht="11.25" customHeight="1">
      <c r="D76" s="331"/>
      <c r="E76" s="2348" t="s">
        <v>3894</v>
      </c>
      <c r="H76" s="3671"/>
      <c r="I76" s="3677"/>
      <c r="J76" s="3678"/>
      <c r="K76" s="2357" t="s">
        <v>1937</v>
      </c>
      <c r="L76" s="3630"/>
      <c r="M76" s="3584"/>
      <c r="N76" s="3472"/>
      <c r="O76" s="3472"/>
      <c r="P76" s="3472"/>
      <c r="Q76" s="3584"/>
      <c r="R76" s="3584"/>
      <c r="S76" s="3585"/>
    </row>
    <row r="77" spans="1:19" ht="6.75" customHeight="1"/>
    <row r="78" spans="1:19" s="2348" customFormat="1" ht="13.35" customHeight="1">
      <c r="A78" s="298" t="s">
        <v>724</v>
      </c>
      <c r="B78" s="298" t="s">
        <v>280</v>
      </c>
      <c r="D78" s="298"/>
      <c r="E78" s="2346"/>
      <c r="F78" s="2350"/>
      <c r="G78" s="2350"/>
      <c r="H78" s="2350"/>
      <c r="I78" s="2350"/>
      <c r="J78" s="2350"/>
      <c r="K78" s="1194" t="s">
        <v>3893</v>
      </c>
      <c r="L78" s="2350"/>
      <c r="M78" s="2350"/>
    </row>
    <row r="79" spans="1:19" s="2348" customFormat="1" ht="3" customHeight="1">
      <c r="A79" s="298"/>
      <c r="B79" s="298"/>
      <c r="D79" s="298"/>
      <c r="E79" s="2346"/>
      <c r="F79" s="2350"/>
      <c r="G79" s="2350"/>
      <c r="H79" s="3682"/>
      <c r="I79" s="3682"/>
      <c r="J79" s="3682"/>
      <c r="K79" s="2345"/>
      <c r="L79" s="3682"/>
      <c r="M79" s="3682"/>
      <c r="N79" s="2345"/>
      <c r="O79" s="3680"/>
      <c r="P79" s="3680"/>
      <c r="Q79" s="2357"/>
      <c r="R79" s="3680"/>
      <c r="S79" s="3680"/>
    </row>
    <row r="80" spans="1:19" s="293" customFormat="1" ht="11.25" customHeight="1">
      <c r="B80" s="295" t="s">
        <v>1936</v>
      </c>
      <c r="C80" s="295" t="s">
        <v>281</v>
      </c>
      <c r="H80" s="3660"/>
      <c r="I80" s="3661"/>
      <c r="J80" s="3661"/>
      <c r="K80" s="3661"/>
      <c r="L80" s="3661"/>
      <c r="M80" s="3661"/>
      <c r="N80" s="3662"/>
      <c r="O80" s="2346" t="s">
        <v>1942</v>
      </c>
      <c r="P80" s="2346"/>
      <c r="Q80" s="3660"/>
      <c r="R80" s="3661"/>
      <c r="S80" s="3662"/>
    </row>
    <row r="81" spans="2:19" s="293" customFormat="1" ht="11.25" customHeight="1">
      <c r="D81" s="331"/>
      <c r="E81" s="2348" t="s">
        <v>999</v>
      </c>
      <c r="F81" s="305"/>
      <c r="H81" s="3484"/>
      <c r="I81" s="3663"/>
      <c r="J81" s="3663"/>
      <c r="K81" s="3664"/>
      <c r="L81" s="3663"/>
      <c r="M81" s="3663"/>
      <c r="N81" s="3665"/>
      <c r="O81" s="2346" t="s">
        <v>1704</v>
      </c>
      <c r="Q81" s="3505"/>
      <c r="R81" s="3569"/>
      <c r="S81" s="3570"/>
    </row>
    <row r="82" spans="2:19" s="293" customFormat="1" ht="11.25" customHeight="1">
      <c r="D82" s="331"/>
      <c r="E82" s="2348" t="s">
        <v>600</v>
      </c>
      <c r="H82" s="3484"/>
      <c r="I82" s="3664"/>
      <c r="J82" s="3573"/>
      <c r="K82" s="2351" t="s">
        <v>2625</v>
      </c>
      <c r="L82" s="3484"/>
      <c r="M82" s="3663"/>
      <c r="N82" s="3573"/>
      <c r="O82" s="2346" t="s">
        <v>1679</v>
      </c>
      <c r="Q82" s="3627"/>
      <c r="R82" s="3628"/>
      <c r="S82" s="3629"/>
    </row>
    <row r="83" spans="2:19" s="293" customFormat="1" ht="11.25" customHeight="1">
      <c r="E83" s="2348" t="s">
        <v>1754</v>
      </c>
      <c r="H83" s="3571"/>
      <c r="K83" s="1007" t="s">
        <v>2173</v>
      </c>
      <c r="L83" s="3491"/>
      <c r="M83" s="3676"/>
      <c r="O83" s="2346" t="s">
        <v>1932</v>
      </c>
      <c r="Q83" s="3627"/>
      <c r="R83" s="3628"/>
      <c r="S83" s="3629"/>
    </row>
    <row r="84" spans="2:19" s="293" customFormat="1" ht="11.25" customHeight="1">
      <c r="D84" s="331"/>
      <c r="E84" s="2348" t="s">
        <v>3894</v>
      </c>
      <c r="H84" s="3671"/>
      <c r="I84" s="3677"/>
      <c r="J84" s="3678"/>
      <c r="K84" s="2357" t="s">
        <v>1937</v>
      </c>
      <c r="L84" s="3630"/>
      <c r="M84" s="3584"/>
      <c r="N84" s="3472"/>
      <c r="O84" s="3472"/>
      <c r="P84" s="3472"/>
      <c r="Q84" s="3584"/>
      <c r="R84" s="3584"/>
      <c r="S84" s="3585"/>
    </row>
    <row r="85" spans="2:19" ht="6.6" customHeight="1">
      <c r="H85" s="3679"/>
      <c r="I85" s="3679"/>
      <c r="J85" s="3679"/>
      <c r="K85" s="2357"/>
      <c r="L85" s="3679"/>
      <c r="M85" s="3679"/>
      <c r="N85" s="2345"/>
      <c r="O85" s="3680"/>
      <c r="P85" s="3680"/>
      <c r="Q85" s="2357"/>
      <c r="R85" s="3680"/>
      <c r="S85" s="3680"/>
    </row>
    <row r="86" spans="2:19" s="293" customFormat="1" ht="11.25" customHeight="1">
      <c r="B86" s="295" t="s">
        <v>1938</v>
      </c>
      <c r="C86" s="295" t="s">
        <v>282</v>
      </c>
      <c r="H86" s="3660" t="s">
        <v>7037</v>
      </c>
      <c r="I86" s="3661"/>
      <c r="J86" s="3661"/>
      <c r="K86" s="3661"/>
      <c r="L86" s="3661"/>
      <c r="M86" s="3661"/>
      <c r="N86" s="3662"/>
      <c r="O86" s="2346" t="s">
        <v>1942</v>
      </c>
      <c r="P86" s="2346"/>
      <c r="Q86" s="3660" t="s">
        <v>6997</v>
      </c>
      <c r="R86" s="3661"/>
      <c r="S86" s="3662"/>
    </row>
    <row r="87" spans="2:19" s="293" customFormat="1" ht="11.25" customHeight="1">
      <c r="D87" s="331"/>
      <c r="E87" s="2348" t="s">
        <v>999</v>
      </c>
      <c r="F87" s="305"/>
      <c r="H87" s="3484" t="s">
        <v>6989</v>
      </c>
      <c r="I87" s="3663"/>
      <c r="J87" s="3663"/>
      <c r="K87" s="3664"/>
      <c r="L87" s="3663"/>
      <c r="M87" s="3663"/>
      <c r="N87" s="3665"/>
      <c r="O87" s="2346" t="s">
        <v>1704</v>
      </c>
      <c r="Q87" s="3505" t="s">
        <v>7038</v>
      </c>
      <c r="R87" s="3569"/>
      <c r="S87" s="3570"/>
    </row>
    <row r="88" spans="2:19" s="293" customFormat="1" ht="11.25" customHeight="1">
      <c r="D88" s="331"/>
      <c r="E88" s="2348" t="s">
        <v>600</v>
      </c>
      <c r="H88" s="3484" t="s">
        <v>1179</v>
      </c>
      <c r="I88" s="3664"/>
      <c r="J88" s="3573"/>
      <c r="K88" s="2351" t="s">
        <v>2625</v>
      </c>
      <c r="L88" s="3484" t="s">
        <v>6998</v>
      </c>
      <c r="M88" s="3663"/>
      <c r="N88" s="3573"/>
      <c r="O88" s="2346" t="s">
        <v>1679</v>
      </c>
      <c r="Q88" s="3627">
        <v>6783245550</v>
      </c>
      <c r="R88" s="3628"/>
      <c r="S88" s="3629"/>
    </row>
    <row r="89" spans="2:19" s="293" customFormat="1" ht="11.25" customHeight="1">
      <c r="E89" s="2348" t="s">
        <v>1754</v>
      </c>
      <c r="H89" s="3571" t="s">
        <v>828</v>
      </c>
      <c r="K89" s="1007" t="s">
        <v>2173</v>
      </c>
      <c r="L89" s="3491">
        <v>303394002</v>
      </c>
      <c r="M89" s="3676"/>
      <c r="O89" s="2346" t="s">
        <v>1932</v>
      </c>
      <c r="Q89" s="3627">
        <v>7708627333</v>
      </c>
      <c r="R89" s="3628"/>
      <c r="S89" s="3629"/>
    </row>
    <row r="90" spans="2:19" s="293" customFormat="1" ht="11.25" customHeight="1">
      <c r="D90" s="331"/>
      <c r="E90" s="2348" t="s">
        <v>3894</v>
      </c>
      <c r="H90" s="3671">
        <v>6783245540</v>
      </c>
      <c r="I90" s="3677"/>
      <c r="J90" s="3678">
        <v>101</v>
      </c>
      <c r="K90" s="2357" t="s">
        <v>1937</v>
      </c>
      <c r="L90" s="3630" t="s">
        <v>6990</v>
      </c>
      <c r="M90" s="3584"/>
      <c r="N90" s="3472"/>
      <c r="O90" s="3472"/>
      <c r="P90" s="3472"/>
      <c r="Q90" s="3584"/>
      <c r="R90" s="3584"/>
      <c r="S90" s="3585"/>
    </row>
    <row r="91" spans="2:19" ht="6.6" customHeight="1">
      <c r="H91" s="3679"/>
      <c r="I91" s="3679"/>
      <c r="J91" s="3679"/>
      <c r="K91" s="2357"/>
      <c r="L91" s="3679"/>
      <c r="M91" s="3679"/>
      <c r="N91" s="2345"/>
      <c r="O91" s="3680"/>
      <c r="P91" s="3680"/>
      <c r="Q91" s="2357"/>
      <c r="R91" s="3680"/>
      <c r="S91" s="3680"/>
    </row>
    <row r="92" spans="2:19" s="293" customFormat="1" ht="11.25" customHeight="1">
      <c r="B92" s="295" t="s">
        <v>731</v>
      </c>
      <c r="C92" s="295" t="s">
        <v>283</v>
      </c>
      <c r="F92" s="311"/>
      <c r="H92" s="3660" t="s">
        <v>7167</v>
      </c>
      <c r="I92" s="3661"/>
      <c r="J92" s="3661"/>
      <c r="K92" s="3661"/>
      <c r="L92" s="3661"/>
      <c r="M92" s="3661"/>
      <c r="N92" s="3662"/>
      <c r="O92" s="2346" t="s">
        <v>1942</v>
      </c>
      <c r="P92" s="2346"/>
      <c r="Q92" s="3660" t="s">
        <v>6988</v>
      </c>
      <c r="R92" s="3661"/>
      <c r="S92" s="3662"/>
    </row>
    <row r="93" spans="2:19" s="293" customFormat="1" ht="11.25" customHeight="1">
      <c r="D93" s="331"/>
      <c r="E93" s="2348" t="s">
        <v>999</v>
      </c>
      <c r="F93" s="305"/>
      <c r="H93" s="3484" t="s">
        <v>6989</v>
      </c>
      <c r="I93" s="3663"/>
      <c r="J93" s="3663"/>
      <c r="K93" s="3664"/>
      <c r="L93" s="3663"/>
      <c r="M93" s="3663"/>
      <c r="N93" s="3665"/>
      <c r="O93" s="2346" t="s">
        <v>1704</v>
      </c>
      <c r="Q93" s="3505" t="s">
        <v>7038</v>
      </c>
      <c r="R93" s="3569"/>
      <c r="S93" s="3570"/>
    </row>
    <row r="94" spans="2:19" s="293" customFormat="1" ht="11.25" customHeight="1">
      <c r="D94" s="331"/>
      <c r="E94" s="2348" t="s">
        <v>600</v>
      </c>
      <c r="H94" s="3484" t="s">
        <v>1179</v>
      </c>
      <c r="I94" s="3664"/>
      <c r="J94" s="3573"/>
      <c r="K94" s="2351" t="s">
        <v>2625</v>
      </c>
      <c r="L94" s="3484" t="s">
        <v>6998</v>
      </c>
      <c r="M94" s="3663"/>
      <c r="N94" s="3573"/>
      <c r="O94" s="2346" t="s">
        <v>1679</v>
      </c>
      <c r="Q94" s="3627">
        <v>6783245550</v>
      </c>
      <c r="R94" s="3628"/>
      <c r="S94" s="3629"/>
    </row>
    <row r="95" spans="2:19" s="293" customFormat="1" ht="11.25" customHeight="1">
      <c r="D95" s="331"/>
      <c r="E95" s="2348" t="s">
        <v>1754</v>
      </c>
      <c r="H95" s="3571" t="s">
        <v>828</v>
      </c>
      <c r="K95" s="1007" t="s">
        <v>2173</v>
      </c>
      <c r="L95" s="3491">
        <v>303394002</v>
      </c>
      <c r="M95" s="3676"/>
      <c r="O95" s="2346" t="s">
        <v>1932</v>
      </c>
      <c r="Q95" s="3627">
        <v>7708627333</v>
      </c>
      <c r="R95" s="3628"/>
      <c r="S95" s="3629"/>
    </row>
    <row r="96" spans="2:19" s="293" customFormat="1" ht="11.25" customHeight="1">
      <c r="D96" s="331"/>
      <c r="E96" s="2348" t="s">
        <v>3894</v>
      </c>
      <c r="H96" s="3671">
        <v>6783245540</v>
      </c>
      <c r="I96" s="3677"/>
      <c r="J96" s="3678">
        <v>101</v>
      </c>
      <c r="K96" s="2357" t="s">
        <v>1937</v>
      </c>
      <c r="L96" s="3630" t="s">
        <v>6990</v>
      </c>
      <c r="M96" s="3584"/>
      <c r="N96" s="3472"/>
      <c r="O96" s="3472"/>
      <c r="P96" s="3472"/>
      <c r="Q96" s="3584"/>
      <c r="R96" s="3584"/>
      <c r="S96" s="3585"/>
    </row>
    <row r="97" spans="2:19" ht="6.6" customHeight="1">
      <c r="H97" s="3679"/>
      <c r="I97" s="3679"/>
      <c r="J97" s="3679"/>
      <c r="K97" s="2357"/>
      <c r="L97" s="3679"/>
      <c r="M97" s="3679"/>
      <c r="N97" s="2345"/>
      <c r="O97" s="3680"/>
      <c r="P97" s="3680"/>
      <c r="Q97" s="2357"/>
      <c r="R97" s="3680"/>
      <c r="S97" s="3680"/>
    </row>
    <row r="98" spans="2:19" s="293" customFormat="1" ht="11.25" customHeight="1">
      <c r="B98" s="295" t="s">
        <v>2065</v>
      </c>
      <c r="C98" s="295" t="s">
        <v>284</v>
      </c>
      <c r="H98" s="3660" t="s">
        <v>7039</v>
      </c>
      <c r="I98" s="3661"/>
      <c r="J98" s="3661"/>
      <c r="K98" s="3661"/>
      <c r="L98" s="3661"/>
      <c r="M98" s="3661"/>
      <c r="N98" s="3662"/>
      <c r="O98" s="2346" t="s">
        <v>1942</v>
      </c>
      <c r="P98" s="2346"/>
      <c r="Q98" s="3660" t="s">
        <v>7042</v>
      </c>
      <c r="R98" s="3661"/>
      <c r="S98" s="3662"/>
    </row>
    <row r="99" spans="2:19" s="293" customFormat="1" ht="11.25" customHeight="1">
      <c r="D99" s="331"/>
      <c r="E99" s="2348" t="s">
        <v>999</v>
      </c>
      <c r="F99" s="305"/>
      <c r="H99" s="3484" t="s">
        <v>7150</v>
      </c>
      <c r="I99" s="3663"/>
      <c r="J99" s="3663"/>
      <c r="K99" s="3664"/>
      <c r="L99" s="3663"/>
      <c r="M99" s="3663"/>
      <c r="N99" s="3665"/>
      <c r="O99" s="2346" t="s">
        <v>1704</v>
      </c>
      <c r="Q99" s="3505" t="s">
        <v>7043</v>
      </c>
      <c r="R99" s="3569"/>
      <c r="S99" s="3570"/>
    </row>
    <row r="100" spans="2:19" s="293" customFormat="1" ht="11.25" customHeight="1">
      <c r="D100" s="331"/>
      <c r="E100" s="2348" t="s">
        <v>600</v>
      </c>
      <c r="H100" s="3484" t="s">
        <v>1124</v>
      </c>
      <c r="I100" s="3664"/>
      <c r="J100" s="3573"/>
      <c r="K100" s="2351" t="s">
        <v>2625</v>
      </c>
      <c r="L100" s="3484" t="s">
        <v>7040</v>
      </c>
      <c r="M100" s="3663"/>
      <c r="N100" s="3573"/>
      <c r="O100" s="2346" t="s">
        <v>1679</v>
      </c>
      <c r="Q100" s="3627">
        <v>9044568960</v>
      </c>
      <c r="R100" s="3628"/>
      <c r="S100" s="3629"/>
    </row>
    <row r="101" spans="2:19" s="293" customFormat="1" ht="11.25" customHeight="1">
      <c r="D101" s="331"/>
      <c r="E101" s="2348" t="s">
        <v>1754</v>
      </c>
      <c r="H101" s="3571" t="s">
        <v>827</v>
      </c>
      <c r="K101" s="1007" t="s">
        <v>2173</v>
      </c>
      <c r="L101" s="3491">
        <v>322025023</v>
      </c>
      <c r="M101" s="3676"/>
      <c r="O101" s="2346" t="s">
        <v>1932</v>
      </c>
      <c r="Q101" s="3627">
        <v>2298349704</v>
      </c>
      <c r="R101" s="3628"/>
      <c r="S101" s="3629"/>
    </row>
    <row r="102" spans="2:19" ht="11.25" customHeight="1">
      <c r="E102" s="2348" t="s">
        <v>3894</v>
      </c>
      <c r="F102" s="293"/>
      <c r="G102" s="293"/>
      <c r="H102" s="3671">
        <v>2296718260</v>
      </c>
      <c r="I102" s="3677"/>
      <c r="J102" s="3678"/>
      <c r="K102" s="2357" t="s">
        <v>1937</v>
      </c>
      <c r="L102" s="3630" t="s">
        <v>7041</v>
      </c>
      <c r="M102" s="3584"/>
      <c r="N102" s="3472"/>
      <c r="O102" s="3472"/>
      <c r="P102" s="3472"/>
      <c r="Q102" s="3584"/>
      <c r="R102" s="3584"/>
      <c r="S102" s="3585"/>
    </row>
    <row r="103" spans="2:19" ht="6" customHeight="1">
      <c r="E103" s="2348"/>
      <c r="F103" s="293"/>
      <c r="G103" s="2356"/>
      <c r="H103" s="3679"/>
      <c r="I103" s="3679"/>
      <c r="J103" s="3679"/>
      <c r="K103" s="2357"/>
      <c r="L103" s="3679"/>
      <c r="M103" s="3679"/>
      <c r="N103" s="2345"/>
      <c r="O103" s="3680"/>
      <c r="P103" s="3680"/>
      <c r="Q103" s="2357"/>
      <c r="R103" s="3680"/>
      <c r="S103" s="3680"/>
    </row>
    <row r="104" spans="2:19" s="293" customFormat="1" ht="11.25" customHeight="1">
      <c r="B104" s="295" t="s">
        <v>1692</v>
      </c>
      <c r="C104" s="295" t="s">
        <v>285</v>
      </c>
      <c r="H104" s="3660" t="s">
        <v>7044</v>
      </c>
      <c r="I104" s="3661"/>
      <c r="J104" s="3661"/>
      <c r="K104" s="3661"/>
      <c r="L104" s="3661"/>
      <c r="M104" s="3661"/>
      <c r="N104" s="3662"/>
      <c r="O104" s="2346" t="s">
        <v>1942</v>
      </c>
      <c r="P104" s="2346"/>
      <c r="Q104" s="3660" t="s">
        <v>7048</v>
      </c>
      <c r="R104" s="3661"/>
      <c r="S104" s="3662"/>
    </row>
    <row r="105" spans="2:19" s="293" customFormat="1" ht="11.25" customHeight="1">
      <c r="D105" s="331"/>
      <c r="E105" s="2348" t="s">
        <v>999</v>
      </c>
      <c r="F105" s="305"/>
      <c r="H105" s="3484" t="s">
        <v>7045</v>
      </c>
      <c r="I105" s="3663"/>
      <c r="J105" s="3663"/>
      <c r="K105" s="3664"/>
      <c r="L105" s="3663"/>
      <c r="M105" s="3663"/>
      <c r="N105" s="3665"/>
      <c r="O105" s="2346" t="s">
        <v>1704</v>
      </c>
      <c r="Q105" s="3505" t="s">
        <v>7043</v>
      </c>
      <c r="R105" s="3569"/>
      <c r="S105" s="3570"/>
    </row>
    <row r="106" spans="2:19" s="293" customFormat="1" ht="11.25" customHeight="1">
      <c r="D106" s="331"/>
      <c r="E106" s="2348" t="s">
        <v>600</v>
      </c>
      <c r="H106" s="3484" t="s">
        <v>1179</v>
      </c>
      <c r="I106" s="3664"/>
      <c r="J106" s="3573"/>
      <c r="K106" s="2351" t="s">
        <v>2625</v>
      </c>
      <c r="L106" s="3484" t="s">
        <v>7047</v>
      </c>
      <c r="M106" s="3663"/>
      <c r="N106" s="3573"/>
      <c r="O106" s="2346" t="s">
        <v>1679</v>
      </c>
      <c r="Q106" s="3627">
        <v>7703537115</v>
      </c>
      <c r="R106" s="3628"/>
      <c r="S106" s="3629"/>
    </row>
    <row r="107" spans="2:19" s="293" customFormat="1" ht="11.25" customHeight="1">
      <c r="D107" s="331"/>
      <c r="E107" s="2348" t="s">
        <v>1754</v>
      </c>
      <c r="H107" s="3571" t="s">
        <v>828</v>
      </c>
      <c r="K107" s="1007" t="s">
        <v>2173</v>
      </c>
      <c r="L107" s="3491">
        <v>300303329</v>
      </c>
      <c r="M107" s="3676"/>
      <c r="O107" s="2346" t="s">
        <v>1932</v>
      </c>
      <c r="Q107" s="3627">
        <v>4043142857</v>
      </c>
      <c r="R107" s="3628"/>
      <c r="S107" s="3629"/>
    </row>
    <row r="108" spans="2:19" ht="11.25" customHeight="1">
      <c r="E108" s="2348" t="s">
        <v>3894</v>
      </c>
      <c r="F108" s="293"/>
      <c r="G108" s="293"/>
      <c r="H108" s="3671">
        <v>7703537115</v>
      </c>
      <c r="I108" s="3677"/>
      <c r="J108" s="3678"/>
      <c r="K108" s="2357" t="s">
        <v>1937</v>
      </c>
      <c r="L108" s="3630" t="s">
        <v>7046</v>
      </c>
      <c r="M108" s="3584"/>
      <c r="N108" s="3472"/>
      <c r="O108" s="3472"/>
      <c r="P108" s="3472"/>
      <c r="Q108" s="3584"/>
      <c r="R108" s="3584"/>
      <c r="S108" s="3585"/>
    </row>
    <row r="109" spans="2:19" ht="6.6" customHeight="1">
      <c r="E109" s="2348"/>
      <c r="F109" s="293"/>
      <c r="G109" s="2356"/>
      <c r="H109" s="3679"/>
      <c r="I109" s="3679"/>
      <c r="J109" s="3679"/>
      <c r="K109" s="2357"/>
      <c r="L109" s="3679"/>
      <c r="M109" s="3679"/>
      <c r="N109" s="2345"/>
      <c r="O109" s="3680"/>
      <c r="P109" s="3680"/>
      <c r="Q109" s="2357"/>
      <c r="R109" s="3680"/>
      <c r="S109" s="3680"/>
    </row>
    <row r="110" spans="2:19" s="293" customFormat="1" ht="11.25" customHeight="1">
      <c r="B110" s="295" t="s">
        <v>1693</v>
      </c>
      <c r="C110" s="295" t="s">
        <v>286</v>
      </c>
      <c r="H110" s="3660" t="s">
        <v>7049</v>
      </c>
      <c r="I110" s="3661"/>
      <c r="J110" s="3661"/>
      <c r="K110" s="3661"/>
      <c r="L110" s="3661"/>
      <c r="M110" s="3661"/>
      <c r="N110" s="3662"/>
      <c r="O110" s="2346" t="s">
        <v>1942</v>
      </c>
      <c r="P110" s="2346"/>
      <c r="Q110" s="3660" t="s">
        <v>7053</v>
      </c>
      <c r="R110" s="3661"/>
      <c r="S110" s="3662"/>
    </row>
    <row r="111" spans="2:19" s="293" customFormat="1" ht="11.25" customHeight="1">
      <c r="D111" s="331"/>
      <c r="E111" s="2348" t="s">
        <v>999</v>
      </c>
      <c r="F111" s="305"/>
      <c r="H111" s="3484" t="s">
        <v>7050</v>
      </c>
      <c r="I111" s="3663"/>
      <c r="J111" s="3663"/>
      <c r="K111" s="3664"/>
      <c r="L111" s="3663"/>
      <c r="M111" s="3663"/>
      <c r="N111" s="3665"/>
      <c r="O111" s="2346" t="s">
        <v>1704</v>
      </c>
      <c r="Q111" s="3505" t="s">
        <v>7054</v>
      </c>
      <c r="R111" s="3569"/>
      <c r="S111" s="3570"/>
    </row>
    <row r="112" spans="2:19" s="293" customFormat="1" ht="11.25" customHeight="1">
      <c r="D112" s="331"/>
      <c r="E112" s="2348" t="s">
        <v>600</v>
      </c>
      <c r="H112" s="3484" t="s">
        <v>192</v>
      </c>
      <c r="I112" s="3664"/>
      <c r="J112" s="3573"/>
      <c r="K112" s="2351" t="s">
        <v>2625</v>
      </c>
      <c r="L112" s="3484" t="s">
        <v>7051</v>
      </c>
      <c r="M112" s="3663"/>
      <c r="N112" s="3573"/>
      <c r="O112" s="2346" t="s">
        <v>1679</v>
      </c>
      <c r="Q112" s="3627">
        <v>4043732800</v>
      </c>
      <c r="R112" s="3628"/>
      <c r="S112" s="3629"/>
    </row>
    <row r="113" spans="1:22" s="293" customFormat="1" ht="11.25" customHeight="1">
      <c r="D113" s="335"/>
      <c r="E113" s="2348" t="s">
        <v>1754</v>
      </c>
      <c r="H113" s="3571" t="s">
        <v>828</v>
      </c>
      <c r="K113" s="1007" t="s">
        <v>2173</v>
      </c>
      <c r="L113" s="3491">
        <v>300303329</v>
      </c>
      <c r="M113" s="3676"/>
      <c r="O113" s="2346" t="s">
        <v>1932</v>
      </c>
      <c r="Q113" s="3627"/>
      <c r="R113" s="3628"/>
      <c r="S113" s="3629"/>
    </row>
    <row r="114" spans="1:22" s="293" customFormat="1" ht="11.25" customHeight="1">
      <c r="D114" s="335"/>
      <c r="E114" s="2348" t="s">
        <v>3894</v>
      </c>
      <c r="H114" s="3671">
        <v>4043732800</v>
      </c>
      <c r="I114" s="3677"/>
      <c r="J114" s="3678"/>
      <c r="K114" s="2357" t="s">
        <v>1937</v>
      </c>
      <c r="L114" s="3630" t="s">
        <v>7052</v>
      </c>
      <c r="M114" s="3584"/>
      <c r="N114" s="3472"/>
      <c r="O114" s="3472"/>
      <c r="P114" s="3472"/>
      <c r="Q114" s="3584"/>
      <c r="R114" s="3584"/>
      <c r="S114" s="3585"/>
    </row>
    <row r="115" spans="1:22" ht="3" customHeight="1"/>
    <row r="116" spans="1:22" s="293" customFormat="1" ht="12" customHeight="1">
      <c r="A116" s="295" t="s">
        <v>1748</v>
      </c>
      <c r="B116" s="295" t="s">
        <v>2536</v>
      </c>
      <c r="F116" s="295"/>
      <c r="G116" s="2357"/>
      <c r="H116" s="2357"/>
      <c r="I116" s="2357"/>
      <c r="J116" s="2357"/>
      <c r="K116" s="2357"/>
      <c r="L116" s="2357"/>
      <c r="M116" s="2357"/>
      <c r="N116" s="2357"/>
      <c r="O116" s="2357"/>
      <c r="P116" s="2357"/>
      <c r="Q116" s="2351"/>
    </row>
    <row r="117" spans="1:22" s="293" customFormat="1" ht="11.25" customHeight="1">
      <c r="B117" s="295" t="s">
        <v>1936</v>
      </c>
      <c r="C117" s="295" t="s">
        <v>3439</v>
      </c>
      <c r="H117" s="3660" t="s">
        <v>7055</v>
      </c>
      <c r="I117" s="3683"/>
      <c r="J117" s="3684"/>
      <c r="K117" s="2357" t="s">
        <v>2410</v>
      </c>
      <c r="L117" s="3660" t="s">
        <v>6988</v>
      </c>
      <c r="M117" s="3661"/>
      <c r="N117" s="3662"/>
      <c r="O117" s="2348" t="s">
        <v>3440</v>
      </c>
      <c r="Q117" s="3685">
        <v>6783245550</v>
      </c>
      <c r="R117" s="3686"/>
      <c r="S117" s="3687"/>
    </row>
    <row r="118" spans="1:22" s="293" customFormat="1" ht="11.25" customHeight="1">
      <c r="D118" s="331"/>
      <c r="E118" s="2348" t="s">
        <v>999</v>
      </c>
      <c r="F118" s="305"/>
      <c r="H118" s="3576" t="s">
        <v>6989</v>
      </c>
      <c r="I118" s="3688"/>
      <c r="J118" s="3689"/>
      <c r="K118" s="3577"/>
      <c r="L118" s="3688"/>
      <c r="M118" s="3688"/>
      <c r="N118" s="3690"/>
      <c r="O118" s="2348" t="s">
        <v>600</v>
      </c>
      <c r="Q118" s="3691" t="s">
        <v>1179</v>
      </c>
      <c r="R118" s="3580"/>
      <c r="S118" s="3581"/>
    </row>
    <row r="119" spans="1:22" s="293" customFormat="1" ht="11.25" customHeight="1">
      <c r="D119" s="331"/>
      <c r="E119" s="2348" t="s">
        <v>1754</v>
      </c>
      <c r="H119" s="3692" t="s">
        <v>828</v>
      </c>
      <c r="I119" s="1007" t="s">
        <v>2173</v>
      </c>
      <c r="J119" s="3572">
        <v>303394002</v>
      </c>
      <c r="K119" s="3573"/>
      <c r="L119" s="2357" t="s">
        <v>1937</v>
      </c>
      <c r="M119" s="3471" t="s">
        <v>6990</v>
      </c>
      <c r="N119" s="3472"/>
      <c r="O119" s="3472"/>
      <c r="P119" s="3472"/>
      <c r="Q119" s="3584"/>
      <c r="R119" s="3584"/>
      <c r="S119" s="3585"/>
    </row>
    <row r="120" spans="1:22" ht="12" customHeight="1">
      <c r="B120" s="295" t="s">
        <v>1938</v>
      </c>
      <c r="C120" s="295" t="s">
        <v>4432</v>
      </c>
      <c r="H120" s="1479"/>
      <c r="I120" s="1479"/>
      <c r="J120" s="1479"/>
      <c r="K120" s="1479"/>
      <c r="L120" s="1479"/>
      <c r="M120" s="1479"/>
      <c r="N120" s="1479"/>
      <c r="O120" s="1479"/>
      <c r="P120" s="1479"/>
      <c r="Q120" s="1479"/>
      <c r="R120" s="1479"/>
      <c r="S120" s="1479"/>
    </row>
    <row r="121" spans="1:22" ht="11.25" customHeight="1" thickBot="1">
      <c r="A121" s="2472" t="s">
        <v>3656</v>
      </c>
      <c r="B121" s="2472"/>
      <c r="C121" s="2472"/>
      <c r="D121" s="2472"/>
      <c r="E121" s="2473"/>
      <c r="F121" s="3693" t="s">
        <v>2444</v>
      </c>
      <c r="G121" s="3694" t="s">
        <v>3357</v>
      </c>
      <c r="H121" s="3695"/>
      <c r="I121" s="3695"/>
      <c r="J121" s="3695"/>
      <c r="K121" s="3695"/>
      <c r="L121" s="3695"/>
      <c r="M121" s="3695"/>
      <c r="N121" s="3695"/>
      <c r="O121" s="3695"/>
      <c r="P121" s="3695"/>
      <c r="Q121" s="3695"/>
      <c r="R121" s="3695"/>
      <c r="S121" s="3696"/>
    </row>
    <row r="122" spans="1:22" s="293" customFormat="1" ht="25.5" customHeight="1" thickBot="1">
      <c r="B122" s="487"/>
      <c r="C122" s="1042" t="s">
        <v>1939</v>
      </c>
      <c r="D122" s="2443" t="s">
        <v>2738</v>
      </c>
      <c r="E122" s="2443"/>
      <c r="F122" s="3697" t="s">
        <v>2886</v>
      </c>
      <c r="G122" s="2782" t="s">
        <v>7056</v>
      </c>
      <c r="H122" s="3698"/>
      <c r="I122" s="3698"/>
      <c r="J122" s="3698"/>
      <c r="K122" s="3698"/>
      <c r="L122" s="3698"/>
      <c r="M122" s="3698"/>
      <c r="N122" s="3698"/>
      <c r="O122" s="3698"/>
      <c r="P122" s="3698"/>
      <c r="Q122" s="3698"/>
      <c r="R122" s="3698"/>
      <c r="S122" s="3699"/>
      <c r="U122" s="2474" t="s">
        <v>1984</v>
      </c>
      <c r="V122" s="2474"/>
    </row>
    <row r="123" spans="1:22" s="293" customFormat="1" ht="25.5" customHeight="1" thickBot="1">
      <c r="B123" s="487"/>
      <c r="C123" s="580" t="s">
        <v>1941</v>
      </c>
      <c r="D123" s="2410" t="s">
        <v>2799</v>
      </c>
      <c r="E123" s="2402"/>
      <c r="F123" s="3697" t="s">
        <v>2886</v>
      </c>
      <c r="G123" s="2779" t="s">
        <v>7057</v>
      </c>
      <c r="H123" s="2779"/>
      <c r="I123" s="2779"/>
      <c r="J123" s="2779"/>
      <c r="K123" s="2779"/>
      <c r="L123" s="2779"/>
      <c r="M123" s="2779"/>
      <c r="N123" s="2779"/>
      <c r="O123" s="2779"/>
      <c r="P123" s="2779"/>
      <c r="Q123" s="2779"/>
      <c r="R123" s="2779"/>
      <c r="S123" s="2780"/>
      <c r="U123" s="2474"/>
      <c r="V123" s="2474"/>
    </row>
    <row r="124" spans="1:22" s="293" customFormat="1" ht="25.5" customHeight="1" thickBot="1">
      <c r="B124" s="487"/>
      <c r="C124" s="580" t="s">
        <v>2468</v>
      </c>
      <c r="D124" s="2410" t="s">
        <v>2778</v>
      </c>
      <c r="E124" s="2402"/>
      <c r="F124" s="3697" t="s">
        <v>2886</v>
      </c>
      <c r="G124" s="2779" t="s">
        <v>7058</v>
      </c>
      <c r="H124" s="2779"/>
      <c r="I124" s="2779"/>
      <c r="J124" s="2779"/>
      <c r="K124" s="2779"/>
      <c r="L124" s="2779"/>
      <c r="M124" s="2779"/>
      <c r="N124" s="2779"/>
      <c r="O124" s="2779"/>
      <c r="P124" s="2779"/>
      <c r="Q124" s="2779"/>
      <c r="R124" s="2779"/>
      <c r="S124" s="2780"/>
      <c r="U124" s="2474"/>
      <c r="V124" s="2474"/>
    </row>
    <row r="125" spans="1:22" s="293" customFormat="1" ht="25.5" customHeight="1" thickBot="1">
      <c r="B125" s="487"/>
      <c r="C125" s="580" t="s">
        <v>1198</v>
      </c>
      <c r="D125" s="2410" t="s">
        <v>2739</v>
      </c>
      <c r="E125" s="2402"/>
      <c r="F125" s="3697" t="s">
        <v>2889</v>
      </c>
      <c r="G125" s="2779"/>
      <c r="H125" s="2779"/>
      <c r="I125" s="2779"/>
      <c r="J125" s="2779"/>
      <c r="K125" s="2779"/>
      <c r="L125" s="2779"/>
      <c r="M125" s="2779"/>
      <c r="N125" s="2779"/>
      <c r="O125" s="2779"/>
      <c r="P125" s="2779"/>
      <c r="Q125" s="2779"/>
      <c r="R125" s="2779"/>
      <c r="S125" s="2780"/>
      <c r="U125" s="2474"/>
      <c r="V125" s="2474"/>
    </row>
    <row r="126" spans="1:22" s="293" customFormat="1" ht="25.5" customHeight="1" thickBot="1">
      <c r="B126" s="487"/>
      <c r="C126" s="580" t="s">
        <v>1199</v>
      </c>
      <c r="D126" s="2410" t="s">
        <v>3348</v>
      </c>
      <c r="E126" s="2402"/>
      <c r="F126" s="3697" t="s">
        <v>2886</v>
      </c>
      <c r="G126" s="2779" t="s">
        <v>7059</v>
      </c>
      <c r="H126" s="2779"/>
      <c r="I126" s="2779"/>
      <c r="J126" s="2779"/>
      <c r="K126" s="2779"/>
      <c r="L126" s="2779"/>
      <c r="M126" s="2779"/>
      <c r="N126" s="2779"/>
      <c r="O126" s="2779"/>
      <c r="P126" s="2779"/>
      <c r="Q126" s="2779"/>
      <c r="R126" s="2779"/>
      <c r="S126" s="2780"/>
      <c r="U126" s="2474"/>
      <c r="V126" s="2474"/>
    </row>
    <row r="127" spans="1:22" s="293" customFormat="1" ht="25.5" customHeight="1" thickBot="1">
      <c r="B127" s="487"/>
      <c r="C127" s="580" t="s">
        <v>1834</v>
      </c>
      <c r="D127" s="2410" t="s">
        <v>3349</v>
      </c>
      <c r="E127" s="2402"/>
      <c r="F127" s="3697" t="s">
        <v>2886</v>
      </c>
      <c r="G127" s="2779" t="s">
        <v>7060</v>
      </c>
      <c r="H127" s="2779"/>
      <c r="I127" s="2779"/>
      <c r="J127" s="2779"/>
      <c r="K127" s="2779"/>
      <c r="L127" s="2779"/>
      <c r="M127" s="2779"/>
      <c r="N127" s="2779"/>
      <c r="O127" s="2779"/>
      <c r="P127" s="2779"/>
      <c r="Q127" s="2779"/>
      <c r="R127" s="2779"/>
      <c r="S127" s="2780"/>
      <c r="U127" s="2474"/>
      <c r="V127" s="2474"/>
    </row>
    <row r="128" spans="1:22" s="293" customFormat="1" ht="25.5" customHeight="1" thickBot="1">
      <c r="B128" s="487"/>
      <c r="C128" s="580" t="s">
        <v>492</v>
      </c>
      <c r="D128" s="2410" t="s">
        <v>2740</v>
      </c>
      <c r="E128" s="2402"/>
      <c r="F128" s="3697" t="s">
        <v>2889</v>
      </c>
      <c r="G128" s="2779"/>
      <c r="H128" s="2779"/>
      <c r="I128" s="2779"/>
      <c r="J128" s="2779"/>
      <c r="K128" s="2779"/>
      <c r="L128" s="2779"/>
      <c r="M128" s="2779"/>
      <c r="N128" s="2779"/>
      <c r="O128" s="2779"/>
      <c r="P128" s="2779"/>
      <c r="Q128" s="2779"/>
      <c r="R128" s="2779"/>
      <c r="S128" s="2780"/>
    </row>
    <row r="129" spans="1:22" s="293" customFormat="1" ht="25.5" customHeight="1" thickBot="1">
      <c r="B129" s="487"/>
      <c r="C129" s="580" t="s">
        <v>493</v>
      </c>
      <c r="D129" s="2410" t="s">
        <v>4446</v>
      </c>
      <c r="E129" s="2402"/>
      <c r="F129" s="3697" t="s">
        <v>2889</v>
      </c>
      <c r="G129" s="2779"/>
      <c r="H129" s="2779"/>
      <c r="I129" s="2779"/>
      <c r="J129" s="2779"/>
      <c r="K129" s="2779"/>
      <c r="L129" s="2779"/>
      <c r="M129" s="2779"/>
      <c r="N129" s="2779"/>
      <c r="O129" s="2779"/>
      <c r="P129" s="2779"/>
      <c r="Q129" s="2779"/>
      <c r="R129" s="2779"/>
      <c r="S129" s="2780"/>
    </row>
    <row r="130" spans="1:22" s="293" customFormat="1" ht="25.5" customHeight="1" thickBot="1">
      <c r="B130" s="487"/>
      <c r="C130" s="580" t="s">
        <v>4445</v>
      </c>
      <c r="D130" s="3700" t="s">
        <v>7062</v>
      </c>
      <c r="E130" s="3701"/>
      <c r="F130" s="3697" t="s">
        <v>2886</v>
      </c>
      <c r="G130" s="2920" t="s">
        <v>7061</v>
      </c>
      <c r="H130" s="2920"/>
      <c r="I130" s="2920"/>
      <c r="J130" s="2920"/>
      <c r="K130" s="2920"/>
      <c r="L130" s="2920"/>
      <c r="M130" s="2920"/>
      <c r="N130" s="2920"/>
      <c r="O130" s="2920"/>
      <c r="P130" s="2920"/>
      <c r="Q130" s="2920"/>
      <c r="R130" s="2920"/>
      <c r="S130" s="2921"/>
    </row>
    <row r="131" spans="1:22" s="293" customFormat="1" ht="13.35" customHeight="1">
      <c r="A131" s="295" t="s">
        <v>1748</v>
      </c>
      <c r="B131" s="295" t="s">
        <v>2747</v>
      </c>
      <c r="F131" s="295"/>
      <c r="G131" s="2357"/>
      <c r="H131" s="2357"/>
      <c r="I131" s="2357"/>
      <c r="J131" s="2357"/>
      <c r="K131" s="2357"/>
      <c r="L131" s="2357"/>
      <c r="M131" s="2357"/>
      <c r="N131" s="2357"/>
      <c r="O131" s="2357"/>
      <c r="P131" s="2357"/>
      <c r="Q131" s="2351"/>
    </row>
    <row r="132" spans="1:22" s="293" customFormat="1" ht="2.25" customHeight="1">
      <c r="A132" s="295"/>
      <c r="B132" s="295"/>
      <c r="F132" s="295"/>
      <c r="G132" s="2357"/>
      <c r="H132" s="2357"/>
      <c r="I132" s="2357"/>
      <c r="J132" s="2357"/>
      <c r="K132" s="2357"/>
      <c r="L132" s="2357"/>
      <c r="M132" s="2357"/>
      <c r="N132" s="2357"/>
      <c r="O132" s="2357"/>
      <c r="P132" s="2357"/>
      <c r="Q132" s="2351"/>
    </row>
    <row r="133" spans="1:22" ht="13.35" customHeight="1">
      <c r="B133" s="295" t="s">
        <v>731</v>
      </c>
      <c r="C133" s="295" t="s">
        <v>4433</v>
      </c>
    </row>
    <row r="134" spans="1:22" s="293" customFormat="1" ht="13.5" customHeight="1">
      <c r="A134" s="2442" t="s">
        <v>622</v>
      </c>
      <c r="B134" s="2443"/>
      <c r="C134" s="2443"/>
      <c r="D134" s="2443"/>
      <c r="E134" s="2447" t="s">
        <v>3334</v>
      </c>
      <c r="F134" s="2448"/>
      <c r="G134" s="2448"/>
      <c r="H134" s="2448"/>
      <c r="I134" s="2449"/>
      <c r="J134" s="2453" t="s">
        <v>3335</v>
      </c>
      <c r="K134" s="2456" t="s">
        <v>2805</v>
      </c>
      <c r="L134" s="2456" t="s">
        <v>2806</v>
      </c>
      <c r="M134" s="2459" t="s">
        <v>3342</v>
      </c>
      <c r="N134" s="2460"/>
      <c r="O134" s="2460"/>
      <c r="P134" s="2460"/>
      <c r="Q134" s="2460"/>
      <c r="R134" s="2460"/>
      <c r="S134" s="2461"/>
    </row>
    <row r="135" spans="1:22" s="293" customFormat="1" ht="13.5" customHeight="1">
      <c r="A135" s="2444"/>
      <c r="B135" s="2402"/>
      <c r="C135" s="2402"/>
      <c r="D135" s="2402"/>
      <c r="E135" s="2450"/>
      <c r="F135" s="2451"/>
      <c r="G135" s="2451"/>
      <c r="H135" s="2451"/>
      <c r="I135" s="2452"/>
      <c r="J135" s="2454"/>
      <c r="K135" s="2457"/>
      <c r="L135" s="2457"/>
      <c r="M135" s="2462"/>
      <c r="N135" s="2463"/>
      <c r="O135" s="2463"/>
      <c r="P135" s="2463"/>
      <c r="Q135" s="2463"/>
      <c r="R135" s="2463"/>
      <c r="S135" s="2464"/>
    </row>
    <row r="136" spans="1:22" s="293" customFormat="1" ht="13.5" customHeight="1">
      <c r="A136" s="2444"/>
      <c r="B136" s="2402"/>
      <c r="C136" s="2402"/>
      <c r="D136" s="2402"/>
      <c r="E136" s="2450"/>
      <c r="F136" s="2451"/>
      <c r="G136" s="2451"/>
      <c r="H136" s="2451"/>
      <c r="I136" s="2452"/>
      <c r="J136" s="2454"/>
      <c r="K136" s="2457"/>
      <c r="L136" s="2457"/>
      <c r="M136" s="2462"/>
      <c r="N136" s="2463"/>
      <c r="O136" s="2463"/>
      <c r="P136" s="2463"/>
      <c r="Q136" s="2463"/>
      <c r="R136" s="2463"/>
      <c r="S136" s="2464"/>
    </row>
    <row r="137" spans="1:22" s="293" customFormat="1" ht="23.25" customHeight="1">
      <c r="A137" s="2444"/>
      <c r="B137" s="2402"/>
      <c r="C137" s="2402"/>
      <c r="D137" s="2402"/>
      <c r="E137" s="2465" t="s">
        <v>3537</v>
      </c>
      <c r="F137" s="2466"/>
      <c r="G137" s="2466"/>
      <c r="H137" s="2467"/>
      <c r="I137" s="581"/>
      <c r="J137" s="2454"/>
      <c r="K137" s="2457"/>
      <c r="L137" s="2457"/>
      <c r="M137" s="2462"/>
      <c r="N137" s="2463"/>
      <c r="O137" s="2463"/>
      <c r="P137" s="2463"/>
      <c r="Q137" s="2463"/>
      <c r="R137" s="2463"/>
      <c r="S137" s="2464"/>
    </row>
    <row r="138" spans="1:22" s="293" customFormat="1" ht="13.5" customHeight="1">
      <c r="A138" s="2445"/>
      <c r="B138" s="2446"/>
      <c r="C138" s="2446"/>
      <c r="D138" s="2446"/>
      <c r="E138" s="2468"/>
      <c r="F138" s="2469"/>
      <c r="G138" s="2469"/>
      <c r="H138" s="2470"/>
      <c r="I138" s="1483" t="s">
        <v>2444</v>
      </c>
      <c r="J138" s="2455"/>
      <c r="K138" s="2458"/>
      <c r="L138" s="2457"/>
      <c r="M138" s="1484" t="s">
        <v>2444</v>
      </c>
      <c r="N138" s="2431" t="s">
        <v>2804</v>
      </c>
      <c r="O138" s="2431"/>
      <c r="P138" s="2431"/>
      <c r="Q138" s="2431"/>
      <c r="R138" s="2431"/>
      <c r="S138" s="2471"/>
    </row>
    <row r="139" spans="1:22" s="293" customFormat="1" ht="47.25" customHeight="1">
      <c r="A139" s="2439" t="s">
        <v>3329</v>
      </c>
      <c r="B139" s="2440"/>
      <c r="C139" s="2440"/>
      <c r="D139" s="2441"/>
      <c r="E139" s="3702"/>
      <c r="F139" s="3698"/>
      <c r="G139" s="3698"/>
      <c r="H139" s="3698"/>
      <c r="I139" s="3703" t="s">
        <v>2889</v>
      </c>
      <c r="J139" s="3704" t="s">
        <v>2889</v>
      </c>
      <c r="K139" s="3705" t="s">
        <v>7027</v>
      </c>
      <c r="L139" s="3706">
        <v>9.0000000000000006E-5</v>
      </c>
      <c r="M139" s="3707" t="s">
        <v>2886</v>
      </c>
      <c r="N139" s="3708" t="s">
        <v>7063</v>
      </c>
      <c r="O139" s="3698"/>
      <c r="P139" s="3698"/>
      <c r="Q139" s="3698"/>
      <c r="R139" s="3698"/>
      <c r="S139" s="3699"/>
    </row>
    <row r="140" spans="1:22" s="293" customFormat="1" ht="24" customHeight="1">
      <c r="A140" s="2433" t="s">
        <v>3330</v>
      </c>
      <c r="B140" s="2434"/>
      <c r="C140" s="2434"/>
      <c r="D140" s="2435"/>
      <c r="E140" s="2778"/>
      <c r="F140" s="2779"/>
      <c r="G140" s="2779"/>
      <c r="H140" s="2779"/>
      <c r="I140" s="3709" t="s">
        <v>2889</v>
      </c>
      <c r="J140" s="3710" t="s">
        <v>2889</v>
      </c>
      <c r="K140" s="3711"/>
      <c r="L140" s="3712"/>
      <c r="M140" s="3713" t="s">
        <v>2889</v>
      </c>
      <c r="N140" s="3714"/>
      <c r="O140" s="2779"/>
      <c r="P140" s="2779"/>
      <c r="Q140" s="2779"/>
      <c r="R140" s="2779"/>
      <c r="S140" s="2780"/>
      <c r="U140" s="2474" t="s">
        <v>1984</v>
      </c>
      <c r="V140" s="2474"/>
    </row>
    <row r="141" spans="1:22" s="293" customFormat="1" ht="24" customHeight="1">
      <c r="A141" s="2433" t="s">
        <v>3331</v>
      </c>
      <c r="B141" s="2434"/>
      <c r="C141" s="2434"/>
      <c r="D141" s="2435"/>
      <c r="E141" s="2778"/>
      <c r="F141" s="2779"/>
      <c r="G141" s="2779"/>
      <c r="H141" s="2779"/>
      <c r="I141" s="3709" t="s">
        <v>2889</v>
      </c>
      <c r="J141" s="3710" t="s">
        <v>2889</v>
      </c>
      <c r="K141" s="3711"/>
      <c r="L141" s="3712"/>
      <c r="M141" s="3713" t="s">
        <v>2889</v>
      </c>
      <c r="N141" s="3714"/>
      <c r="O141" s="2779"/>
      <c r="P141" s="2779"/>
      <c r="Q141" s="2779"/>
      <c r="R141" s="2779"/>
      <c r="S141" s="2780"/>
      <c r="U141" s="2474"/>
      <c r="V141" s="2474"/>
    </row>
    <row r="142" spans="1:22" s="293" customFormat="1" ht="24" customHeight="1">
      <c r="A142" s="2433" t="s">
        <v>3332</v>
      </c>
      <c r="B142" s="2434"/>
      <c r="C142" s="2434"/>
      <c r="D142" s="2435"/>
      <c r="E142" s="2778"/>
      <c r="F142" s="2779"/>
      <c r="G142" s="2779"/>
      <c r="H142" s="2779"/>
      <c r="I142" s="3709" t="s">
        <v>2889</v>
      </c>
      <c r="J142" s="3710" t="s">
        <v>2889</v>
      </c>
      <c r="K142" s="3711" t="s">
        <v>7027</v>
      </c>
      <c r="L142" s="3712">
        <v>0.98990999999999996</v>
      </c>
      <c r="M142" s="3713" t="s">
        <v>2889</v>
      </c>
      <c r="N142" s="3714"/>
      <c r="O142" s="2779"/>
      <c r="P142" s="2779"/>
      <c r="Q142" s="2779"/>
      <c r="R142" s="2779"/>
      <c r="S142" s="2780"/>
      <c r="U142" s="2474"/>
      <c r="V142" s="2474"/>
    </row>
    <row r="143" spans="1:22" s="293" customFormat="1" ht="51.75" customHeight="1">
      <c r="A143" s="2433" t="s">
        <v>3333</v>
      </c>
      <c r="B143" s="2434"/>
      <c r="C143" s="2434"/>
      <c r="D143" s="2435"/>
      <c r="E143" s="2778"/>
      <c r="F143" s="2779"/>
      <c r="G143" s="2779"/>
      <c r="H143" s="2779"/>
      <c r="I143" s="3709" t="s">
        <v>2889</v>
      </c>
      <c r="J143" s="3710" t="s">
        <v>2889</v>
      </c>
      <c r="K143" s="3711" t="s">
        <v>7027</v>
      </c>
      <c r="L143" s="3712">
        <v>0.01</v>
      </c>
      <c r="M143" s="3713" t="s">
        <v>2886</v>
      </c>
      <c r="N143" s="3714" t="s">
        <v>7168</v>
      </c>
      <c r="O143" s="2779"/>
      <c r="P143" s="2779"/>
      <c r="Q143" s="2779"/>
      <c r="R143" s="2779"/>
      <c r="S143" s="2780"/>
      <c r="U143" s="2474"/>
      <c r="V143" s="2474"/>
    </row>
    <row r="144" spans="1:22" s="293" customFormat="1" ht="24" customHeight="1">
      <c r="A144" s="2433" t="s">
        <v>2793</v>
      </c>
      <c r="B144" s="2434"/>
      <c r="C144" s="2434"/>
      <c r="D144" s="2435"/>
      <c r="E144" s="2778"/>
      <c r="F144" s="2779"/>
      <c r="G144" s="2779"/>
      <c r="H144" s="2779"/>
      <c r="I144" s="3709" t="s">
        <v>2889</v>
      </c>
      <c r="J144" s="3710" t="s">
        <v>2889</v>
      </c>
      <c r="K144" s="3711"/>
      <c r="L144" s="3712"/>
      <c r="M144" s="3713" t="s">
        <v>2889</v>
      </c>
      <c r="N144" s="3714"/>
      <c r="O144" s="2779"/>
      <c r="P144" s="2779"/>
      <c r="Q144" s="2779"/>
      <c r="R144" s="2779"/>
      <c r="S144" s="2780"/>
      <c r="U144" s="2474"/>
      <c r="V144" s="2474"/>
    </row>
    <row r="145" spans="1:24" s="293" customFormat="1" ht="51" customHeight="1">
      <c r="A145" s="2433" t="s">
        <v>635</v>
      </c>
      <c r="B145" s="2434"/>
      <c r="C145" s="2434"/>
      <c r="D145" s="2435"/>
      <c r="E145" s="2778"/>
      <c r="F145" s="2779"/>
      <c r="G145" s="2779"/>
      <c r="H145" s="2779"/>
      <c r="I145" s="3709" t="s">
        <v>2889</v>
      </c>
      <c r="J145" s="3710" t="s">
        <v>2889</v>
      </c>
      <c r="K145" s="3711" t="s">
        <v>7027</v>
      </c>
      <c r="L145" s="3712">
        <v>0</v>
      </c>
      <c r="M145" s="3713" t="s">
        <v>2886</v>
      </c>
      <c r="N145" s="3714" t="s">
        <v>7169</v>
      </c>
      <c r="O145" s="2779"/>
      <c r="P145" s="2779"/>
      <c r="Q145" s="2779"/>
      <c r="R145" s="2779"/>
      <c r="S145" s="2780"/>
      <c r="U145" s="2474"/>
      <c r="V145" s="2474"/>
    </row>
    <row r="146" spans="1:24" s="293" customFormat="1" ht="24" customHeight="1">
      <c r="A146" s="2433" t="s">
        <v>2794</v>
      </c>
      <c r="B146" s="2434"/>
      <c r="C146" s="2434"/>
      <c r="D146" s="2435"/>
      <c r="E146" s="2778"/>
      <c r="F146" s="2779"/>
      <c r="G146" s="2779"/>
      <c r="H146" s="2779"/>
      <c r="I146" s="3709" t="s">
        <v>2889</v>
      </c>
      <c r="J146" s="3710" t="s">
        <v>2889</v>
      </c>
      <c r="K146" s="3711"/>
      <c r="L146" s="3712"/>
      <c r="M146" s="3713" t="s">
        <v>2889</v>
      </c>
      <c r="N146" s="3714"/>
      <c r="O146" s="2779"/>
      <c r="P146" s="2779"/>
      <c r="Q146" s="2779"/>
      <c r="R146" s="2779"/>
      <c r="S146" s="2780"/>
    </row>
    <row r="147" spans="1:24" s="293" customFormat="1" ht="24" customHeight="1">
      <c r="A147" s="2433" t="s">
        <v>2795</v>
      </c>
      <c r="B147" s="2434"/>
      <c r="C147" s="2434"/>
      <c r="D147" s="2435"/>
      <c r="E147" s="2778"/>
      <c r="F147" s="2779"/>
      <c r="G147" s="2779"/>
      <c r="H147" s="2779"/>
      <c r="I147" s="3709" t="s">
        <v>2889</v>
      </c>
      <c r="J147" s="3710" t="s">
        <v>2889</v>
      </c>
      <c r="K147" s="3711"/>
      <c r="L147" s="3712"/>
      <c r="M147" s="3713" t="s">
        <v>2889</v>
      </c>
      <c r="N147" s="3714"/>
      <c r="O147" s="2779"/>
      <c r="P147" s="2779"/>
      <c r="Q147" s="2779"/>
      <c r="R147" s="2779"/>
      <c r="S147" s="2780"/>
    </row>
    <row r="148" spans="1:24" s="293" customFormat="1" ht="24" customHeight="1">
      <c r="A148" s="2433" t="s">
        <v>2797</v>
      </c>
      <c r="B148" s="2434"/>
      <c r="C148" s="2434"/>
      <c r="D148" s="2435"/>
      <c r="E148" s="2778"/>
      <c r="F148" s="2779"/>
      <c r="G148" s="2779"/>
      <c r="H148" s="2779"/>
      <c r="I148" s="3709" t="s">
        <v>2889</v>
      </c>
      <c r="J148" s="3710" t="s">
        <v>2889</v>
      </c>
      <c r="K148" s="3711"/>
      <c r="L148" s="3712"/>
      <c r="M148" s="3713" t="s">
        <v>2889</v>
      </c>
      <c r="N148" s="3714"/>
      <c r="O148" s="2779"/>
      <c r="P148" s="2779"/>
      <c r="Q148" s="2779"/>
      <c r="R148" s="2779"/>
      <c r="S148" s="2780"/>
    </row>
    <row r="149" spans="1:24" s="293" customFormat="1" ht="24" customHeight="1">
      <c r="A149" s="2433" t="s">
        <v>2796</v>
      </c>
      <c r="B149" s="2434"/>
      <c r="C149" s="2434"/>
      <c r="D149" s="2435"/>
      <c r="E149" s="2778"/>
      <c r="F149" s="2779"/>
      <c r="G149" s="2779"/>
      <c r="H149" s="2779"/>
      <c r="I149" s="3709" t="s">
        <v>2889</v>
      </c>
      <c r="J149" s="3710" t="s">
        <v>2889</v>
      </c>
      <c r="K149" s="3711"/>
      <c r="L149" s="3712"/>
      <c r="M149" s="3713" t="s">
        <v>2889</v>
      </c>
      <c r="N149" s="3714"/>
      <c r="O149" s="2779"/>
      <c r="P149" s="2779"/>
      <c r="Q149" s="2779"/>
      <c r="R149" s="2779"/>
      <c r="S149" s="2780"/>
    </row>
    <row r="150" spans="1:24" s="293" customFormat="1" ht="58.5" customHeight="1">
      <c r="A150" s="2433" t="s">
        <v>1497</v>
      </c>
      <c r="B150" s="2434"/>
      <c r="C150" s="2434"/>
      <c r="D150" s="2435"/>
      <c r="E150" s="2778"/>
      <c r="F150" s="2779"/>
      <c r="G150" s="2779"/>
      <c r="H150" s="2779"/>
      <c r="I150" s="3709" t="s">
        <v>2889</v>
      </c>
      <c r="J150" s="3710" t="s">
        <v>2889</v>
      </c>
      <c r="K150" s="3711" t="s">
        <v>7027</v>
      </c>
      <c r="L150" s="3712">
        <v>0</v>
      </c>
      <c r="M150" s="3713" t="s">
        <v>2886</v>
      </c>
      <c r="N150" s="3714" t="s">
        <v>7170</v>
      </c>
      <c r="O150" s="2779"/>
      <c r="P150" s="2779"/>
      <c r="Q150" s="2779"/>
      <c r="R150" s="2779"/>
      <c r="S150" s="2780"/>
    </row>
    <row r="151" spans="1:24" s="293" customFormat="1" ht="52.5" customHeight="1">
      <c r="A151" s="2436" t="s">
        <v>2798</v>
      </c>
      <c r="B151" s="2437"/>
      <c r="C151" s="2437"/>
      <c r="D151" s="2438"/>
      <c r="E151" s="2754"/>
      <c r="F151" s="2920"/>
      <c r="G151" s="2920"/>
      <c r="H151" s="2920"/>
      <c r="I151" s="3715" t="s">
        <v>2889</v>
      </c>
      <c r="J151" s="3716" t="s">
        <v>2889</v>
      </c>
      <c r="K151" s="3717" t="s">
        <v>7027</v>
      </c>
      <c r="L151" s="3718">
        <v>0</v>
      </c>
      <c r="M151" s="3719" t="s">
        <v>2886</v>
      </c>
      <c r="N151" s="3720" t="s">
        <v>7170</v>
      </c>
      <c r="O151" s="2920"/>
      <c r="P151" s="2920"/>
      <c r="Q151" s="2920"/>
      <c r="R151" s="2920"/>
      <c r="S151" s="2921"/>
    </row>
    <row r="152" spans="1:24" s="2356" customFormat="1" ht="12" customHeight="1">
      <c r="G152" s="303"/>
      <c r="H152" s="303"/>
      <c r="I152" s="303"/>
      <c r="J152" s="2357"/>
      <c r="K152" s="318" t="s">
        <v>524</v>
      </c>
      <c r="L152" s="523">
        <f>SUM(L139:L151)</f>
        <v>1</v>
      </c>
      <c r="M152" s="2357"/>
      <c r="P152" s="301"/>
    </row>
    <row r="153" spans="1:24" ht="11.25" customHeight="1">
      <c r="A153" s="319" t="s">
        <v>516</v>
      </c>
      <c r="B153" s="330"/>
      <c r="C153" s="319" t="s">
        <v>555</v>
      </c>
      <c r="N153" s="319" t="s">
        <v>516</v>
      </c>
      <c r="O153" s="319" t="s">
        <v>77</v>
      </c>
    </row>
    <row r="154" spans="1:24" ht="60" customHeight="1">
      <c r="A154" s="3721" t="s">
        <v>7064</v>
      </c>
      <c r="B154" s="3722"/>
      <c r="C154" s="3722"/>
      <c r="D154" s="3722"/>
      <c r="E154" s="3722"/>
      <c r="F154" s="3722"/>
      <c r="G154" s="3722"/>
      <c r="H154" s="3722"/>
      <c r="I154" s="3722"/>
      <c r="J154" s="3722"/>
      <c r="K154" s="3722"/>
      <c r="L154" s="3722"/>
      <c r="M154" s="3723"/>
      <c r="N154" s="3724"/>
      <c r="O154" s="3725"/>
      <c r="P154" s="3725"/>
      <c r="Q154" s="3725"/>
      <c r="R154" s="3725"/>
      <c r="S154" s="3726"/>
      <c r="T154" s="2401" t="s">
        <v>2614</v>
      </c>
      <c r="U154" s="2401"/>
      <c r="V154" s="2401"/>
      <c r="W154" s="2401"/>
      <c r="X154" s="2401"/>
    </row>
    <row r="155" spans="1:24" s="293" customFormat="1" ht="12" customHeight="1">
      <c r="A155" s="298"/>
      <c r="B155" s="311"/>
      <c r="C155" s="311"/>
      <c r="D155" s="311"/>
      <c r="E155" s="311"/>
      <c r="F155" s="311"/>
      <c r="G155" s="311"/>
      <c r="H155" s="311"/>
      <c r="I155" s="311"/>
      <c r="J155" s="311"/>
      <c r="K155" s="311"/>
      <c r="L155" s="311"/>
      <c r="M155" s="311"/>
      <c r="N155" s="311"/>
      <c r="O155" s="311"/>
      <c r="T155" s="2401"/>
      <c r="U155" s="2401"/>
      <c r="V155" s="2401"/>
      <c r="W155" s="2401"/>
      <c r="X155" s="2401"/>
    </row>
    <row r="156" spans="1:24" s="293" customFormat="1" ht="12" customHeight="1">
      <c r="A156" s="471"/>
      <c r="B156" s="311"/>
      <c r="C156" s="311"/>
      <c r="D156" s="311"/>
      <c r="E156" s="311"/>
      <c r="F156" s="311"/>
      <c r="G156" s="311"/>
      <c r="H156" s="311"/>
      <c r="I156" s="311"/>
      <c r="J156" s="311"/>
      <c r="K156" s="311"/>
      <c r="L156" s="311"/>
      <c r="M156" s="311"/>
      <c r="N156" s="311"/>
      <c r="O156" s="311"/>
    </row>
    <row r="157" spans="1:24" s="293" customFormat="1" ht="12" customHeight="1">
      <c r="A157" s="298"/>
      <c r="B157" s="311"/>
      <c r="C157" s="311"/>
      <c r="D157" s="311"/>
      <c r="E157" s="311"/>
      <c r="F157" s="311"/>
      <c r="G157" s="311"/>
      <c r="H157" s="311"/>
      <c r="I157" s="311"/>
      <c r="J157" s="311"/>
      <c r="K157" s="311"/>
      <c r="L157" s="311"/>
      <c r="M157" s="311"/>
      <c r="N157" s="311"/>
      <c r="O157" s="311"/>
    </row>
    <row r="158" spans="1:24" s="293" customFormat="1" ht="12" customHeight="1">
      <c r="A158" s="298"/>
      <c r="B158" s="311"/>
      <c r="C158" s="311"/>
      <c r="D158" s="311"/>
      <c r="E158" s="311"/>
      <c r="F158" s="311"/>
      <c r="G158" s="311"/>
      <c r="H158" s="311"/>
      <c r="I158" s="311"/>
      <c r="J158" s="311"/>
      <c r="K158" s="311"/>
      <c r="L158" s="311"/>
      <c r="M158" s="311"/>
      <c r="N158" s="311"/>
      <c r="O158" s="311"/>
    </row>
    <row r="159" spans="1:24" s="293" customFormat="1" ht="12" customHeight="1">
      <c r="B159" s="311"/>
      <c r="C159" s="311"/>
      <c r="D159" s="311"/>
      <c r="E159" s="311"/>
      <c r="F159" s="311"/>
      <c r="G159" s="311"/>
      <c r="H159" s="311"/>
      <c r="I159" s="311"/>
      <c r="J159" s="311"/>
      <c r="K159" s="311"/>
      <c r="L159" s="311"/>
      <c r="M159" s="311"/>
      <c r="N159" s="311"/>
      <c r="O159" s="311"/>
      <c r="P159" s="3727" t="s">
        <v>1754</v>
      </c>
    </row>
    <row r="160" spans="1:24" s="293" customFormat="1" ht="12" customHeight="1">
      <c r="A160" s="331"/>
      <c r="B160" s="311"/>
      <c r="C160" s="311"/>
      <c r="D160" s="311"/>
      <c r="E160" s="311"/>
      <c r="F160" s="311"/>
      <c r="G160" s="311"/>
      <c r="H160" s="311"/>
      <c r="I160" s="311"/>
      <c r="J160" s="311"/>
      <c r="K160" s="311"/>
      <c r="L160" s="311"/>
      <c r="M160" s="311"/>
      <c r="N160" s="311"/>
      <c r="O160" s="311"/>
      <c r="P160" s="3728" t="s">
        <v>818</v>
      </c>
    </row>
    <row r="161" spans="1:16" s="293" customFormat="1" ht="12" customHeight="1">
      <c r="A161" s="331"/>
      <c r="B161" s="311"/>
      <c r="C161" s="311"/>
      <c r="D161" s="311"/>
      <c r="E161" s="311"/>
      <c r="F161" s="311"/>
      <c r="G161" s="311"/>
      <c r="H161" s="311"/>
      <c r="I161" s="311"/>
      <c r="J161" s="311"/>
      <c r="K161" s="311"/>
      <c r="L161" s="311"/>
      <c r="M161" s="311"/>
      <c r="N161" s="311"/>
      <c r="O161" s="311"/>
      <c r="P161" s="3728" t="s">
        <v>819</v>
      </c>
    </row>
    <row r="162" spans="1:16" s="293" customFormat="1" ht="12" customHeight="1">
      <c r="A162" s="331"/>
      <c r="B162" s="311"/>
      <c r="C162" s="311"/>
      <c r="D162" s="311"/>
      <c r="E162" s="311"/>
      <c r="F162" s="311"/>
      <c r="G162" s="311"/>
      <c r="H162" s="311"/>
      <c r="I162" s="311"/>
      <c r="J162" s="311"/>
      <c r="K162" s="311"/>
      <c r="L162" s="311"/>
      <c r="M162" s="311"/>
      <c r="N162" s="311"/>
      <c r="O162" s="311"/>
      <c r="P162" s="3728" t="s">
        <v>820</v>
      </c>
    </row>
    <row r="163" spans="1:16" s="293" customFormat="1" ht="12" customHeight="1">
      <c r="A163" s="471"/>
      <c r="B163" s="311"/>
      <c r="C163" s="311"/>
      <c r="D163" s="311"/>
      <c r="E163" s="311"/>
      <c r="F163" s="311"/>
      <c r="G163" s="311"/>
      <c r="H163" s="311"/>
      <c r="I163" s="311"/>
      <c r="J163" s="311"/>
      <c r="K163" s="311"/>
      <c r="L163" s="311"/>
      <c r="M163" s="311"/>
      <c r="N163" s="311"/>
      <c r="O163" s="311"/>
      <c r="P163" s="3728" t="s">
        <v>821</v>
      </c>
    </row>
    <row r="164" spans="1:16" s="293" customFormat="1" ht="12" customHeight="1">
      <c r="B164" s="311"/>
      <c r="C164" s="311"/>
      <c r="D164" s="311"/>
      <c r="E164" s="311"/>
      <c r="F164" s="311"/>
      <c r="G164" s="311"/>
      <c r="H164" s="311"/>
      <c r="I164" s="311"/>
      <c r="J164" s="311"/>
      <c r="K164" s="311"/>
      <c r="L164" s="311"/>
      <c r="M164" s="311"/>
      <c r="N164" s="311"/>
      <c r="O164" s="311"/>
      <c r="P164" s="3728" t="s">
        <v>822</v>
      </c>
    </row>
    <row r="165" spans="1:16" s="293" customFormat="1" ht="12" customHeight="1">
      <c r="B165" s="311"/>
      <c r="C165" s="311"/>
      <c r="D165" s="311"/>
      <c r="E165" s="311"/>
      <c r="F165" s="311"/>
      <c r="G165" s="311"/>
      <c r="H165" s="311"/>
      <c r="I165" s="311"/>
      <c r="J165" s="311"/>
      <c r="K165" s="311"/>
      <c r="L165" s="311"/>
      <c r="M165" s="311"/>
      <c r="N165" s="311"/>
      <c r="O165" s="311"/>
      <c r="P165" s="3728" t="s">
        <v>823</v>
      </c>
    </row>
    <row r="166" spans="1:16" s="293" customFormat="1" ht="12" customHeight="1">
      <c r="B166" s="311"/>
      <c r="C166" s="311"/>
      <c r="D166" s="311"/>
      <c r="E166" s="311"/>
      <c r="F166" s="311"/>
      <c r="G166" s="311"/>
      <c r="H166" s="311"/>
      <c r="I166" s="311"/>
      <c r="J166" s="311"/>
      <c r="K166" s="311"/>
      <c r="L166" s="311"/>
      <c r="M166" s="311"/>
      <c r="N166" s="311"/>
      <c r="O166" s="311"/>
      <c r="P166" s="3728" t="s">
        <v>824</v>
      </c>
    </row>
    <row r="167" spans="1:16" s="293" customFormat="1" ht="12" customHeight="1">
      <c r="B167" s="311"/>
      <c r="C167" s="311"/>
      <c r="D167" s="311"/>
      <c r="E167" s="311"/>
      <c r="F167" s="311"/>
      <c r="G167" s="311"/>
      <c r="H167" s="311"/>
      <c r="I167" s="311"/>
      <c r="J167" s="311"/>
      <c r="K167" s="311"/>
      <c r="L167" s="311"/>
      <c r="M167" s="311"/>
      <c r="N167" s="311"/>
      <c r="O167" s="311"/>
      <c r="P167" s="3728" t="s">
        <v>825</v>
      </c>
    </row>
    <row r="168" spans="1:16" ht="12" customHeight="1">
      <c r="P168" s="3728" t="s">
        <v>826</v>
      </c>
    </row>
    <row r="169" spans="1:16" ht="12" customHeight="1">
      <c r="A169" s="319"/>
      <c r="P169" s="3728" t="s">
        <v>827</v>
      </c>
    </row>
    <row r="170" spans="1:16" ht="12" customHeight="1">
      <c r="P170" s="3728" t="s">
        <v>828</v>
      </c>
    </row>
    <row r="171" spans="1:16" ht="12" customHeight="1">
      <c r="P171" s="3728" t="s">
        <v>829</v>
      </c>
    </row>
    <row r="172" spans="1:16" ht="12" customHeight="1">
      <c r="P172" s="3728" t="s">
        <v>830</v>
      </c>
    </row>
    <row r="173" spans="1:16" ht="12" customHeight="1">
      <c r="P173" s="3728" t="s">
        <v>831</v>
      </c>
    </row>
    <row r="174" spans="1:16" ht="12" customHeight="1">
      <c r="P174" s="3728" t="s">
        <v>832</v>
      </c>
    </row>
    <row r="175" spans="1:16" ht="12" customHeight="1">
      <c r="P175" s="3728" t="s">
        <v>833</v>
      </c>
    </row>
    <row r="176" spans="1:16" ht="12" customHeight="1">
      <c r="P176" s="3728" t="s">
        <v>834</v>
      </c>
    </row>
    <row r="177" spans="16:16" ht="12" customHeight="1">
      <c r="P177" s="3728" t="s">
        <v>835</v>
      </c>
    </row>
    <row r="178" spans="16:16" ht="12" customHeight="1">
      <c r="P178" s="3728" t="s">
        <v>836</v>
      </c>
    </row>
    <row r="179" spans="16:16" ht="12" customHeight="1">
      <c r="P179" s="3728" t="s">
        <v>837</v>
      </c>
    </row>
    <row r="180" spans="16:16" ht="12" customHeight="1">
      <c r="P180" s="3728" t="s">
        <v>838</v>
      </c>
    </row>
    <row r="181" spans="16:16" ht="12" customHeight="1">
      <c r="P181" s="3728" t="s">
        <v>839</v>
      </c>
    </row>
    <row r="182" spans="16:16" ht="12" customHeight="1">
      <c r="P182" s="3728" t="s">
        <v>840</v>
      </c>
    </row>
    <row r="183" spans="16:16" ht="12" customHeight="1">
      <c r="P183" s="3728" t="s">
        <v>841</v>
      </c>
    </row>
    <row r="184" spans="16:16" ht="12" customHeight="1">
      <c r="P184" s="3728" t="s">
        <v>842</v>
      </c>
    </row>
    <row r="185" spans="16:16" ht="12" customHeight="1">
      <c r="P185" s="3728" t="s">
        <v>1314</v>
      </c>
    </row>
    <row r="186" spans="16:16" ht="12" customHeight="1">
      <c r="P186" s="3728" t="s">
        <v>1315</v>
      </c>
    </row>
    <row r="187" spans="16:16" ht="12" customHeight="1">
      <c r="P187" s="3728" t="s">
        <v>1316</v>
      </c>
    </row>
    <row r="188" spans="16:16" ht="12" customHeight="1">
      <c r="P188" s="3728" t="s">
        <v>1317</v>
      </c>
    </row>
    <row r="189" spans="16:16" ht="12" customHeight="1">
      <c r="P189" s="3728" t="s">
        <v>1318</v>
      </c>
    </row>
    <row r="190" spans="16:16">
      <c r="P190" s="3728" t="s">
        <v>1319</v>
      </c>
    </row>
    <row r="191" spans="16:16" ht="12" customHeight="1">
      <c r="P191" s="3728" t="s">
        <v>1320</v>
      </c>
    </row>
    <row r="192" spans="16:16" ht="12" customHeight="1">
      <c r="P192" s="3728" t="s">
        <v>1321</v>
      </c>
    </row>
    <row r="193" spans="16:16" ht="12" customHeight="1">
      <c r="P193" s="3728" t="s">
        <v>1322</v>
      </c>
    </row>
    <row r="194" spans="16:16" ht="12" customHeight="1">
      <c r="P194" s="3728" t="s">
        <v>1323</v>
      </c>
    </row>
    <row r="195" spans="16:16" ht="12" customHeight="1">
      <c r="P195" s="3728" t="s">
        <v>1324</v>
      </c>
    </row>
    <row r="196" spans="16:16" ht="12" customHeight="1">
      <c r="P196" s="3728" t="s">
        <v>1325</v>
      </c>
    </row>
    <row r="197" spans="16:16" ht="12" customHeight="1">
      <c r="P197" s="3728" t="s">
        <v>1326</v>
      </c>
    </row>
    <row r="198" spans="16:16" ht="12" customHeight="1">
      <c r="P198" s="3728" t="s">
        <v>1327</v>
      </c>
    </row>
    <row r="199" spans="16:16" ht="12" customHeight="1">
      <c r="P199" s="3728" t="s">
        <v>1328</v>
      </c>
    </row>
    <row r="200" spans="16:16" ht="12" customHeight="1">
      <c r="P200" s="3728" t="s">
        <v>1329</v>
      </c>
    </row>
    <row r="201" spans="16:16" ht="12" customHeight="1">
      <c r="P201" s="3728" t="s">
        <v>1330</v>
      </c>
    </row>
    <row r="202" spans="16:16" ht="12" customHeight="1">
      <c r="P202" s="3728" t="s">
        <v>1331</v>
      </c>
    </row>
    <row r="203" spans="16:16" ht="12" customHeight="1">
      <c r="P203" s="3728" t="s">
        <v>1332</v>
      </c>
    </row>
    <row r="204" spans="16:16" ht="12" customHeight="1">
      <c r="P204" s="3728" t="s">
        <v>1333</v>
      </c>
    </row>
    <row r="205" spans="16:16" ht="12" customHeight="1">
      <c r="P205" s="3728" t="s">
        <v>1334</v>
      </c>
    </row>
    <row r="206" spans="16:16" ht="12" customHeight="1">
      <c r="P206" s="3728" t="s">
        <v>1335</v>
      </c>
    </row>
    <row r="207" spans="16:16" ht="12" customHeight="1">
      <c r="P207" s="3728" t="s">
        <v>1336</v>
      </c>
    </row>
    <row r="208" spans="16:16" ht="12" customHeight="1">
      <c r="P208" s="3728" t="s">
        <v>1337</v>
      </c>
    </row>
    <row r="209" spans="16:16" ht="12" customHeight="1">
      <c r="P209" s="3728" t="s">
        <v>1338</v>
      </c>
    </row>
    <row r="210" spans="16:16" ht="12" customHeight="1">
      <c r="P210" s="3728" t="s">
        <v>1339</v>
      </c>
    </row>
  </sheetData>
  <sheetProtection algorithmName="SHA-512" hashValue="cSiOkKYsuTtPtH5gjGucn60UiqkL7ndrpUrKuww7UtMlq/7Sbv5uy2LZiIm8P7cbtu1Aur5tQTEfnSiOMBCyyA==" saltValue="dhwZmVUtpDyKmiV+F6lTmQ==" spinCount="100000" sheet="1" objects="1" scenarios="1" selectLockedCells="1" selectUnlockedCells="1"/>
  <mergeCells count="269">
    <mergeCell ref="D129:E129"/>
    <mergeCell ref="G129:S129"/>
    <mergeCell ref="U140:V145"/>
    <mergeCell ref="J8:K8"/>
    <mergeCell ref="M8:N8"/>
    <mergeCell ref="Q8:S8"/>
    <mergeCell ref="H9:I9"/>
    <mergeCell ref="L9:S9"/>
    <mergeCell ref="H14:N14"/>
    <mergeCell ref="Q14:S14"/>
    <mergeCell ref="H18:I18"/>
    <mergeCell ref="L18:S18"/>
    <mergeCell ref="H20:N20"/>
    <mergeCell ref="Q20:S20"/>
    <mergeCell ref="H21:N21"/>
    <mergeCell ref="Q21:S21"/>
    <mergeCell ref="H15:N15"/>
    <mergeCell ref="Q15:S15"/>
    <mergeCell ref="H16:J16"/>
    <mergeCell ref="L16:N16"/>
    <mergeCell ref="Q16:S16"/>
    <mergeCell ref="L17:M17"/>
    <mergeCell ref="Q17:S17"/>
    <mergeCell ref="H26:N26"/>
    <mergeCell ref="Q26:S26"/>
    <mergeCell ref="L35:N35"/>
    <mergeCell ref="A1:S1"/>
    <mergeCell ref="H5:N5"/>
    <mergeCell ref="Q5:S5"/>
    <mergeCell ref="H6:N6"/>
    <mergeCell ref="Q6:S6"/>
    <mergeCell ref="H7:J7"/>
    <mergeCell ref="L7:N7"/>
    <mergeCell ref="Q7:S7"/>
    <mergeCell ref="Q33:S33"/>
    <mergeCell ref="O3:S3"/>
    <mergeCell ref="U122:V127"/>
    <mergeCell ref="H27:N27"/>
    <mergeCell ref="Q27:S27"/>
    <mergeCell ref="H28:J28"/>
    <mergeCell ref="L28:N28"/>
    <mergeCell ref="Q28:S28"/>
    <mergeCell ref="H22:J22"/>
    <mergeCell ref="L22:N22"/>
    <mergeCell ref="Q22:S22"/>
    <mergeCell ref="L23:M23"/>
    <mergeCell ref="Q23:S23"/>
    <mergeCell ref="H24:I24"/>
    <mergeCell ref="L24:S24"/>
    <mergeCell ref="H34:N34"/>
    <mergeCell ref="Q34:S34"/>
    <mergeCell ref="H35:J35"/>
    <mergeCell ref="Q35:S35"/>
    <mergeCell ref="L36:M36"/>
    <mergeCell ref="Q36:S36"/>
    <mergeCell ref="L29:M29"/>
    <mergeCell ref="Q29:S29"/>
    <mergeCell ref="H30:I30"/>
    <mergeCell ref="L30:S30"/>
    <mergeCell ref="H33:N33"/>
    <mergeCell ref="H41:J41"/>
    <mergeCell ref="L41:N41"/>
    <mergeCell ref="Q41:S41"/>
    <mergeCell ref="L42:M42"/>
    <mergeCell ref="Q42:S42"/>
    <mergeCell ref="H43:I43"/>
    <mergeCell ref="L43:S43"/>
    <mergeCell ref="H37:I37"/>
    <mergeCell ref="L37:S37"/>
    <mergeCell ref="H39:N39"/>
    <mergeCell ref="Q39:S39"/>
    <mergeCell ref="H40:N40"/>
    <mergeCell ref="Q40:S40"/>
    <mergeCell ref="L49:M49"/>
    <mergeCell ref="Q49:S49"/>
    <mergeCell ref="H50:I50"/>
    <mergeCell ref="L50:S50"/>
    <mergeCell ref="H54:N54"/>
    <mergeCell ref="Q54:S54"/>
    <mergeCell ref="H46:N46"/>
    <mergeCell ref="Q46:S46"/>
    <mergeCell ref="H47:N47"/>
    <mergeCell ref="Q47:S47"/>
    <mergeCell ref="H48:J48"/>
    <mergeCell ref="L48:N48"/>
    <mergeCell ref="Q48:S48"/>
    <mergeCell ref="H58:I58"/>
    <mergeCell ref="L58:S58"/>
    <mergeCell ref="H60:N60"/>
    <mergeCell ref="Q60:S60"/>
    <mergeCell ref="H61:N61"/>
    <mergeCell ref="Q61:S61"/>
    <mergeCell ref="H55:N55"/>
    <mergeCell ref="Q55:S55"/>
    <mergeCell ref="H56:J56"/>
    <mergeCell ref="L56:N56"/>
    <mergeCell ref="Q56:S56"/>
    <mergeCell ref="L57:M57"/>
    <mergeCell ref="Q57:S57"/>
    <mergeCell ref="H66:N66"/>
    <mergeCell ref="Q66:S66"/>
    <mergeCell ref="H67:N67"/>
    <mergeCell ref="Q67:S67"/>
    <mergeCell ref="H68:J68"/>
    <mergeCell ref="L68:N68"/>
    <mergeCell ref="Q68:S68"/>
    <mergeCell ref="H62:J62"/>
    <mergeCell ref="L62:N62"/>
    <mergeCell ref="Q62:S62"/>
    <mergeCell ref="L63:M63"/>
    <mergeCell ref="Q63:S63"/>
    <mergeCell ref="H64:I64"/>
    <mergeCell ref="L64:S64"/>
    <mergeCell ref="H73:N73"/>
    <mergeCell ref="Q73:S73"/>
    <mergeCell ref="H74:J74"/>
    <mergeCell ref="L74:N74"/>
    <mergeCell ref="Q74:S74"/>
    <mergeCell ref="L75:M75"/>
    <mergeCell ref="Q75:S75"/>
    <mergeCell ref="L69:M69"/>
    <mergeCell ref="Q69:S69"/>
    <mergeCell ref="H70:I70"/>
    <mergeCell ref="L70:S70"/>
    <mergeCell ref="H72:N72"/>
    <mergeCell ref="Q72:S72"/>
    <mergeCell ref="H82:J82"/>
    <mergeCell ref="L82:N82"/>
    <mergeCell ref="Q82:S82"/>
    <mergeCell ref="L83:M83"/>
    <mergeCell ref="Q83:S83"/>
    <mergeCell ref="H84:I84"/>
    <mergeCell ref="L84:S84"/>
    <mergeCell ref="H76:I76"/>
    <mergeCell ref="L76:S76"/>
    <mergeCell ref="H80:N80"/>
    <mergeCell ref="Q80:S80"/>
    <mergeCell ref="H81:N81"/>
    <mergeCell ref="Q81:S81"/>
    <mergeCell ref="L89:M89"/>
    <mergeCell ref="Q89:S89"/>
    <mergeCell ref="H90:I90"/>
    <mergeCell ref="L90:S90"/>
    <mergeCell ref="H92:N92"/>
    <mergeCell ref="Q92:S92"/>
    <mergeCell ref="H86:N86"/>
    <mergeCell ref="Q86:S86"/>
    <mergeCell ref="H87:N87"/>
    <mergeCell ref="Q87:S87"/>
    <mergeCell ref="H88:J88"/>
    <mergeCell ref="L88:N88"/>
    <mergeCell ref="Q88:S88"/>
    <mergeCell ref="H96:I96"/>
    <mergeCell ref="L96:S96"/>
    <mergeCell ref="H98:N98"/>
    <mergeCell ref="Q98:S98"/>
    <mergeCell ref="H99:N99"/>
    <mergeCell ref="Q99:S99"/>
    <mergeCell ref="H93:N93"/>
    <mergeCell ref="Q93:S93"/>
    <mergeCell ref="H94:J94"/>
    <mergeCell ref="L94:N94"/>
    <mergeCell ref="Q94:S94"/>
    <mergeCell ref="L95:M95"/>
    <mergeCell ref="Q95:S95"/>
    <mergeCell ref="H104:N104"/>
    <mergeCell ref="Q104:S104"/>
    <mergeCell ref="H105:N105"/>
    <mergeCell ref="Q105:S105"/>
    <mergeCell ref="H106:J106"/>
    <mergeCell ref="L106:N106"/>
    <mergeCell ref="Q106:S106"/>
    <mergeCell ref="H100:J100"/>
    <mergeCell ref="L100:N100"/>
    <mergeCell ref="Q100:S100"/>
    <mergeCell ref="L101:M101"/>
    <mergeCell ref="Q101:S101"/>
    <mergeCell ref="H102:I102"/>
    <mergeCell ref="L102:S102"/>
    <mergeCell ref="H111:N111"/>
    <mergeCell ref="Q111:S111"/>
    <mergeCell ref="H112:J112"/>
    <mergeCell ref="L112:N112"/>
    <mergeCell ref="Q112:S112"/>
    <mergeCell ref="L113:M113"/>
    <mergeCell ref="Q113:S113"/>
    <mergeCell ref="L107:M107"/>
    <mergeCell ref="Q107:S107"/>
    <mergeCell ref="H108:I108"/>
    <mergeCell ref="L108:S108"/>
    <mergeCell ref="H110:N110"/>
    <mergeCell ref="Q110:S110"/>
    <mergeCell ref="J119:K119"/>
    <mergeCell ref="M119:S119"/>
    <mergeCell ref="A121:E121"/>
    <mergeCell ref="G121:S121"/>
    <mergeCell ref="D122:E122"/>
    <mergeCell ref="G122:S122"/>
    <mergeCell ref="H114:I114"/>
    <mergeCell ref="L114:S114"/>
    <mergeCell ref="H117:J117"/>
    <mergeCell ref="L117:N117"/>
    <mergeCell ref="Q117:S117"/>
    <mergeCell ref="H118:N118"/>
    <mergeCell ref="Q118:S118"/>
    <mergeCell ref="D126:E126"/>
    <mergeCell ref="G126:S126"/>
    <mergeCell ref="D127:E127"/>
    <mergeCell ref="G127:S127"/>
    <mergeCell ref="D128:E128"/>
    <mergeCell ref="G128:S128"/>
    <mergeCell ref="D123:E123"/>
    <mergeCell ref="G123:S123"/>
    <mergeCell ref="D124:E124"/>
    <mergeCell ref="G124:S124"/>
    <mergeCell ref="D125:E125"/>
    <mergeCell ref="G125:S125"/>
    <mergeCell ref="A139:D139"/>
    <mergeCell ref="E139:H139"/>
    <mergeCell ref="N139:S139"/>
    <mergeCell ref="A140:D140"/>
    <mergeCell ref="E140:H140"/>
    <mergeCell ref="N140:S140"/>
    <mergeCell ref="D130:E130"/>
    <mergeCell ref="G130:S130"/>
    <mergeCell ref="A134:D138"/>
    <mergeCell ref="E134:I136"/>
    <mergeCell ref="J134:J138"/>
    <mergeCell ref="K134:K138"/>
    <mergeCell ref="L134:L138"/>
    <mergeCell ref="M134:S137"/>
    <mergeCell ref="E137:H138"/>
    <mergeCell ref="N138:S138"/>
    <mergeCell ref="A151:D151"/>
    <mergeCell ref="E151:H151"/>
    <mergeCell ref="N151:S151"/>
    <mergeCell ref="A154:M154"/>
    <mergeCell ref="N154:S154"/>
    <mergeCell ref="T154:X155"/>
    <mergeCell ref="A149:D149"/>
    <mergeCell ref="E149:H149"/>
    <mergeCell ref="N149:S149"/>
    <mergeCell ref="A150:D150"/>
    <mergeCell ref="E150:H150"/>
    <mergeCell ref="N150:S150"/>
    <mergeCell ref="A147:D147"/>
    <mergeCell ref="E147:H147"/>
    <mergeCell ref="N147:S147"/>
    <mergeCell ref="A148:D148"/>
    <mergeCell ref="E148:H148"/>
    <mergeCell ref="N148:S148"/>
    <mergeCell ref="A145:D145"/>
    <mergeCell ref="E145:H145"/>
    <mergeCell ref="N145:S145"/>
    <mergeCell ref="A146:D146"/>
    <mergeCell ref="E146:H146"/>
    <mergeCell ref="N146:S146"/>
    <mergeCell ref="A143:D143"/>
    <mergeCell ref="E143:H143"/>
    <mergeCell ref="N143:S143"/>
    <mergeCell ref="A144:D144"/>
    <mergeCell ref="E144:H144"/>
    <mergeCell ref="N144:S144"/>
    <mergeCell ref="A141:D141"/>
    <mergeCell ref="E141:H141"/>
    <mergeCell ref="N141:S141"/>
    <mergeCell ref="A142:D142"/>
    <mergeCell ref="E142:H142"/>
    <mergeCell ref="N142:S142"/>
  </mergeCells>
  <dataValidations count="8">
    <dataValidation type="list" allowBlank="1" showInputMessage="1" showErrorMessage="1" sqref="M8:N8" xr:uid="{00000000-0002-0000-0200-000000000000}">
      <formula1>"For Profit, Non Profit, CHDO, Joint Venture"</formula1>
    </dataValidation>
    <dataValidation type="whole" allowBlank="1" showInputMessage="1" showErrorMessage="1" errorTitle="9-digit zip code required" error="This cell is formatted for 9 digit zip codes.  Please enter only numeric characters.  Do not enter hyphens, parentheses, periods, or spaces." sqref="L17:M17 L23:M23 L29:M29 L36:M36 L42:M42 J8:K8 L75:M75 J119:K119 L49:M49 L83:M83 L57:M57 L63:M63 L69:M69 L89:M89 L95:M95 L107:M107 L101:M101 L113:M113" xr:uid="{00000000-0002-0000-0200-000001000000}">
      <formula1>1000000</formula1>
      <formula2>999999999</formula2>
    </dataValidation>
    <dataValidation type="list" showErrorMessage="1" errorTitle="State" error="Please select the appropriate state from the list provided by clicking the arrow to the right-hand side of the box." promptTitle="State" prompt="Please select the appropriate state from the list provided by clicking the arrow to the right-hand side of the box." sqref="H119 H23 H17 H101 H95 H89 H69 H63 H57 H83 H29 H49 H75 H8 H42 H36 H107 H113" xr:uid="{00000000-0002-0000-0200-000002000000}">
      <formula1>$P$160:$P$210</formula1>
    </dataValidation>
    <dataValidation type="whole" showInputMessage="1" showErrorMessage="1" error="This cell is formatted for 10 digit phone numbers.  Please enter only numeric characters.  Do not enter hyphens, parentheses, periods, or spaces." sqref="H90:H91 H18:H19 H102:H103 H58:H59 H96:H97 H76 H84:H85 H79 H70:H71 H53 H50 H64:H65 H43 H9:H10 H44:I44 H37:H38 H30 H24:H25 H108:H109 H114" xr:uid="{00000000-0002-0000-0200-000003000000}">
      <formula1>1000000000</formula1>
      <formula2>9999999999</formula2>
    </dataValidation>
    <dataValidation type="whole" allowBlank="1" showInputMessage="1" showErrorMessage="1" error="This cell is formatted for 10 digit phone numbers.  Please enter only numeric characters.  Do not enter hyphens, parentheses, periods, or spaces." sqref="Q7:Q8 L44:M44 Q16:Q17 Q22:Q23 O91:P91 R91:S91 Q94:Q95 O109:P109 O65:P65 Q88:Q89 R109:S109 O38:P38 R59:S59 R65:S65 O79:P79 R97:S97 R79:S79 L79:M79 O25:P25 Q82:Q83 O53:P53 R53:S53 L53:M53 R71:S71 O85:P85 O97:P97 R85:S85 Q74:Q75 R38:S38 Q28:Q29 Q41:Q42 L97:M97 Q68:Q69 Q35:Q36 O59:P59 L59:M59 O71:P71 Q56:Q57 L38:M38 Q62:Q63 L85:M85 Q48:Q49 L65:M65 R25:S25 O44:P44 L71:M71 L103:M103 L109:M109 R44:S44 R19:S19 O19:P19 L19:M19 L25:M25 L91:M91 O103:P103 R103:S103 Q106:Q107 Q100:Q101 Q112:Q113" xr:uid="{00000000-0002-0000-0200-000004000000}">
      <formula1>1000000000</formula1>
      <formula2>9999999999</formula2>
    </dataValidation>
    <dataValidation type="list" allowBlank="1" showErrorMessage="1" sqref="K139:K151" xr:uid="{00000000-0002-0000-0200-000005000000}">
      <formula1>"For Profit, Nonprofit, CHDO"</formula1>
    </dataValidation>
    <dataValidation type="list" allowBlank="1" showErrorMessage="1" sqref="F122:F130" xr:uid="{00000000-0002-0000-0200-000006000000}">
      <formula1>"Select,Yes, No"</formula1>
    </dataValidation>
    <dataValidation type="list" allowBlank="1" showErrorMessage="1" sqref="I139:J151 M139:M151" xr:uid="{00000000-0002-0000-0200-000007000000}">
      <formula1>"Select, Yes, No"</formula1>
    </dataValidation>
  </dataValidations>
  <hyperlinks>
    <hyperlink ref="N12" r:id="rId1" xr:uid="{00000000-0004-0000-0200-000000000000}"/>
  </hyperlinks>
  <printOptions horizontalCentered="1"/>
  <pageMargins left="0.25" right="0.25" top="0.75" bottom="0.5" header="0.5" footer="0.25"/>
  <pageSetup scale="10" fitToHeight="0" orientation="landscape" r:id="rId2"/>
  <headerFooter alignWithMargins="0">
    <oddHeader>&amp;LGeorgia Department of Community Affairs&amp;C&amp;11 2020 Funding Application&amp;RHousing Finance and Development Division</oddHeader>
    <oddFooter>&amp;L&amp;G&amp;9 &amp;F&amp;C&amp;9&amp;A&amp;R&amp;9&amp;P of &amp;N</oddFooter>
  </headerFooter>
  <rowBreaks count="3" manualBreakCount="3">
    <brk id="51" max="16383" man="1"/>
    <brk id="96" max="16383" man="1"/>
    <brk id="130" max="16383" man="1"/>
  </rowBreaks>
  <legacyDrawingHF r:id="rId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30"/>
  <dimension ref="A1:W107"/>
  <sheetViews>
    <sheetView showGridLines="0" topLeftCell="A40" zoomScaleNormal="100" workbookViewId="0">
      <selection activeCell="A40" sqref="A1:XFD1048576"/>
    </sheetView>
  </sheetViews>
  <sheetFormatPr defaultColWidth="9.109375" defaultRowHeight="13.2"/>
  <cols>
    <col min="1" max="1" width="4.109375" style="337" customWidth="1"/>
    <col min="2" max="17" width="8.109375" style="337" customWidth="1"/>
    <col min="18" max="18" width="3.109375" style="337" customWidth="1"/>
    <col min="19" max="19" width="13.5546875" style="337" customWidth="1"/>
    <col min="20" max="20" width="98.88671875" style="337" customWidth="1"/>
    <col min="21" max="16384" width="9.109375" style="337"/>
  </cols>
  <sheetData>
    <row r="1" spans="1:20" s="268" customFormat="1" ht="14.1" customHeight="1">
      <c r="A1" s="2475" t="str">
        <f>CONCATENATE("PART THREE - SOURCES OF FUNDS","  -  ",'Part I-Project Information'!$O$6," ",'Part I-Project Information'!$F$34,", ",'Part I-Project Information'!$F$38,", ",'Part I-Project Information'!$J$39," County")</f>
        <v>PART THREE - SOURCES OF FUNDS  -  2020-074 Harper Woods II, Columbus, Muscogee County</v>
      </c>
      <c r="B1" s="2476"/>
      <c r="C1" s="2476"/>
      <c r="D1" s="2476"/>
      <c r="E1" s="2476"/>
      <c r="F1" s="2476"/>
      <c r="G1" s="2476"/>
      <c r="H1" s="2476"/>
      <c r="I1" s="2476"/>
      <c r="J1" s="2476"/>
      <c r="K1" s="2476"/>
      <c r="L1" s="2476"/>
      <c r="M1" s="2476"/>
      <c r="N1" s="2476"/>
      <c r="O1" s="2476"/>
      <c r="P1" s="2476"/>
      <c r="Q1" s="2477"/>
      <c r="S1" s="2520" t="str">
        <f>$A$1</f>
        <v>PART THREE - SOURCES OF FUNDS  -  2020-074 Harper Woods II, Columbus, Muscogee County</v>
      </c>
      <c r="T1" s="2520"/>
    </row>
    <row r="2" spans="1:20" ht="17.399999999999999" customHeight="1">
      <c r="A2" s="311"/>
      <c r="B2" s="311"/>
      <c r="C2" s="311"/>
      <c r="D2" s="311"/>
      <c r="E2" s="311"/>
      <c r="F2" s="311"/>
      <c r="G2" s="1209"/>
      <c r="H2" s="1209"/>
      <c r="I2" s="1209"/>
      <c r="J2" s="1209"/>
      <c r="K2" s="1209"/>
      <c r="L2" s="1209"/>
    </row>
    <row r="3" spans="1:20" s="268" customFormat="1" ht="13.35" customHeight="1">
      <c r="A3" s="295" t="s">
        <v>598</v>
      </c>
      <c r="B3" s="303" t="s">
        <v>2426</v>
      </c>
      <c r="C3" s="293"/>
      <c r="D3" s="2356"/>
      <c r="E3" s="2356"/>
      <c r="F3" s="2356"/>
      <c r="G3" s="2356"/>
      <c r="L3" s="2521" t="str">
        <f>'Part I-Project Information'!$B$6</f>
        <v>May 26, 2020 Version</v>
      </c>
      <c r="M3" s="2522"/>
      <c r="N3" s="2522"/>
      <c r="O3" s="2522"/>
      <c r="P3" s="2523"/>
      <c r="S3" s="338" t="str">
        <f>B3</f>
        <v>GOVERNMENT FUNDING SOURCES  (check all that apply)</v>
      </c>
    </row>
    <row r="4" spans="1:20" s="268" customFormat="1" ht="15.75" customHeight="1">
      <c r="A4" s="319"/>
      <c r="B4" s="471"/>
      <c r="C4" s="314"/>
      <c r="D4" s="2356"/>
      <c r="E4" s="2356"/>
      <c r="F4" s="2356"/>
      <c r="G4" s="2356"/>
      <c r="S4" s="2509" t="s">
        <v>2607</v>
      </c>
      <c r="T4" s="2509"/>
    </row>
    <row r="5" spans="1:20" s="268" customFormat="1" ht="16.5" customHeight="1">
      <c r="A5" s="471"/>
      <c r="B5" s="3631" t="s">
        <v>2886</v>
      </c>
      <c r="C5" s="2346" t="s">
        <v>2348</v>
      </c>
      <c r="D5" s="293"/>
      <c r="E5" s="3631" t="s">
        <v>2889</v>
      </c>
      <c r="F5" s="2346" t="s">
        <v>3540</v>
      </c>
      <c r="G5" s="293"/>
      <c r="H5" s="3729"/>
      <c r="I5" s="2876"/>
      <c r="L5" s="3631" t="s">
        <v>2889</v>
      </c>
      <c r="M5" s="2346" t="s">
        <v>1504</v>
      </c>
      <c r="O5" s="3496" t="s">
        <v>2889</v>
      </c>
      <c r="P5" s="2489" t="s">
        <v>4488</v>
      </c>
      <c r="Q5" s="2489"/>
      <c r="S5" s="3730"/>
      <c r="T5" s="3731"/>
    </row>
    <row r="6" spans="1:20" s="268" customFormat="1" ht="16.5" customHeight="1">
      <c r="A6" s="471"/>
      <c r="B6" s="3509" t="s">
        <v>2889</v>
      </c>
      <c r="C6" s="2346" t="s">
        <v>4427</v>
      </c>
      <c r="D6" s="293"/>
      <c r="E6" s="3564" t="s">
        <v>2886</v>
      </c>
      <c r="F6" s="2346" t="s">
        <v>3541</v>
      </c>
      <c r="H6" s="3732">
        <v>625000</v>
      </c>
      <c r="I6" s="3733"/>
      <c r="L6" s="3509" t="s">
        <v>2889</v>
      </c>
      <c r="M6" s="2346" t="s">
        <v>534</v>
      </c>
      <c r="P6" s="2489"/>
      <c r="Q6" s="2489"/>
      <c r="S6" s="3734"/>
      <c r="T6" s="3735"/>
    </row>
    <row r="7" spans="1:20" s="268" customFormat="1" ht="16.5" customHeight="1">
      <c r="A7" s="293"/>
      <c r="B7" s="3509" t="s">
        <v>2889</v>
      </c>
      <c r="C7" s="2346" t="s">
        <v>535</v>
      </c>
      <c r="F7" s="293" t="s">
        <v>4426</v>
      </c>
      <c r="H7" s="3736" t="s">
        <v>7065</v>
      </c>
      <c r="I7" s="3737"/>
      <c r="J7" s="3738"/>
      <c r="L7" s="3509" t="s">
        <v>2889</v>
      </c>
      <c r="M7" s="2348" t="s">
        <v>3455</v>
      </c>
      <c r="P7" s="1556"/>
      <c r="Q7" s="1556"/>
      <c r="S7" s="3734"/>
      <c r="T7" s="3735"/>
    </row>
    <row r="8" spans="1:20" s="268" customFormat="1" ht="16.5" customHeight="1">
      <c r="A8" s="471"/>
      <c r="B8" s="3509" t="s">
        <v>2889</v>
      </c>
      <c r="C8" s="2346" t="s">
        <v>2534</v>
      </c>
      <c r="E8" s="3631" t="s">
        <v>2889</v>
      </c>
      <c r="F8" s="2348" t="s">
        <v>2542</v>
      </c>
      <c r="L8" s="3509" t="s">
        <v>2889</v>
      </c>
      <c r="M8" s="2348" t="s">
        <v>4428</v>
      </c>
      <c r="S8" s="3739"/>
      <c r="T8" s="3740"/>
    </row>
    <row r="9" spans="1:20" s="268" customFormat="1" ht="16.5" customHeight="1">
      <c r="A9" s="471"/>
      <c r="B9" s="3509" t="s">
        <v>2889</v>
      </c>
      <c r="C9" s="2346" t="s">
        <v>2535</v>
      </c>
      <c r="E9" s="3509" t="s">
        <v>2889</v>
      </c>
      <c r="F9" s="2348" t="s">
        <v>3539</v>
      </c>
      <c r="H9" s="3741" t="s">
        <v>3650</v>
      </c>
      <c r="I9" s="3742"/>
      <c r="J9" s="3738"/>
      <c r="L9" s="3509" t="s">
        <v>2889</v>
      </c>
      <c r="M9" s="2346" t="s">
        <v>3504</v>
      </c>
      <c r="S9" s="3730"/>
      <c r="T9" s="3731"/>
    </row>
    <row r="10" spans="1:20" s="268" customFormat="1" ht="16.5" customHeight="1">
      <c r="A10" s="471"/>
      <c r="B10" s="3509" t="s">
        <v>2889</v>
      </c>
      <c r="C10" s="2348" t="s">
        <v>3508</v>
      </c>
      <c r="E10" s="3743" t="s">
        <v>2889</v>
      </c>
      <c r="F10" s="3595" t="s">
        <v>4221</v>
      </c>
      <c r="G10" s="3591"/>
      <c r="H10" s="3591"/>
      <c r="I10" s="3591"/>
      <c r="J10" s="3611"/>
      <c r="L10" s="3509" t="s">
        <v>2889</v>
      </c>
      <c r="M10" s="293" t="s">
        <v>2543</v>
      </c>
      <c r="S10" s="3734"/>
      <c r="T10" s="3735"/>
    </row>
    <row r="11" spans="1:20" s="268" customFormat="1" ht="16.5" customHeight="1">
      <c r="A11" s="471"/>
      <c r="B11" s="3509" t="s">
        <v>2889</v>
      </c>
      <c r="C11" s="293" t="s">
        <v>3661</v>
      </c>
      <c r="F11" s="3744" t="s">
        <v>4223</v>
      </c>
      <c r="G11" s="3745"/>
      <c r="H11" s="3745"/>
      <c r="I11" s="3745"/>
      <c r="J11" s="3746"/>
      <c r="L11" s="3509" t="s">
        <v>2889</v>
      </c>
      <c r="M11" s="293" t="s">
        <v>3542</v>
      </c>
      <c r="S11" s="3734"/>
      <c r="T11" s="3735"/>
    </row>
    <row r="12" spans="1:20" s="268" customFormat="1" ht="16.5" customHeight="1">
      <c r="A12" s="471"/>
      <c r="B12" s="3509" t="s">
        <v>2889</v>
      </c>
      <c r="C12" s="293" t="s">
        <v>2541</v>
      </c>
      <c r="E12" s="3747" t="s">
        <v>2889</v>
      </c>
      <c r="F12" s="3595" t="s">
        <v>4222</v>
      </c>
      <c r="G12" s="3591"/>
      <c r="H12" s="3591"/>
      <c r="I12" s="3591"/>
      <c r="J12" s="3611"/>
      <c r="L12" s="3509" t="s">
        <v>2889</v>
      </c>
      <c r="M12" s="293" t="s">
        <v>2705</v>
      </c>
      <c r="S12" s="3734"/>
      <c r="T12" s="3735"/>
    </row>
    <row r="13" spans="1:20" s="268" customFormat="1" ht="16.5" customHeight="1">
      <c r="A13" s="471"/>
      <c r="B13" s="3509" t="s">
        <v>2889</v>
      </c>
      <c r="C13" s="293" t="s">
        <v>3538</v>
      </c>
      <c r="F13" s="3744" t="s">
        <v>4224</v>
      </c>
      <c r="G13" s="3745"/>
      <c r="H13" s="3745"/>
      <c r="I13" s="3745"/>
      <c r="J13" s="3746"/>
      <c r="L13" s="3509" t="s">
        <v>2889</v>
      </c>
      <c r="M13" s="2348" t="s">
        <v>3660</v>
      </c>
      <c r="S13" s="3739"/>
      <c r="T13" s="3740"/>
    </row>
    <row r="14" spans="1:20" s="268" customFormat="1" ht="16.5" customHeight="1">
      <c r="A14" s="471"/>
      <c r="B14" s="3564" t="s">
        <v>2889</v>
      </c>
      <c r="C14" s="2346" t="s">
        <v>1757</v>
      </c>
      <c r="E14" s="3496" t="s">
        <v>2889</v>
      </c>
      <c r="F14" s="2346" t="s">
        <v>4425</v>
      </c>
      <c r="I14" s="3748"/>
      <c r="J14" s="3749"/>
      <c r="L14" s="3564" t="s">
        <v>2889</v>
      </c>
      <c r="M14" s="288" t="s">
        <v>4430</v>
      </c>
    </row>
    <row r="15" spans="1:20" s="268" customFormat="1" ht="17.100000000000001" customHeight="1">
      <c r="A15" s="471"/>
      <c r="B15" s="268" t="s">
        <v>4429</v>
      </c>
      <c r="C15" s="293"/>
      <c r="D15" s="293"/>
      <c r="E15" s="293"/>
      <c r="F15" s="293"/>
      <c r="G15" s="293"/>
      <c r="H15" s="293"/>
      <c r="I15" s="293"/>
      <c r="J15" s="293"/>
      <c r="K15" s="293"/>
      <c r="L15" s="293"/>
      <c r="M15" s="316"/>
      <c r="N15" s="293"/>
      <c r="O15" s="293"/>
      <c r="P15" s="293"/>
      <c r="Q15" s="293"/>
    </row>
    <row r="16" spans="1:20" s="268" customFormat="1" ht="12" customHeight="1">
      <c r="A16" s="471"/>
      <c r="L16" s="293"/>
      <c r="M16" s="316"/>
      <c r="N16" s="293"/>
      <c r="O16" s="293"/>
      <c r="P16" s="293"/>
      <c r="Q16" s="293"/>
    </row>
    <row r="17" spans="1:20" s="338" customFormat="1" ht="15" customHeight="1">
      <c r="A17" s="295" t="s">
        <v>722</v>
      </c>
      <c r="B17" s="2350" t="s">
        <v>2286</v>
      </c>
      <c r="C17" s="293"/>
      <c r="D17" s="2356"/>
      <c r="E17" s="293"/>
      <c r="F17" s="293"/>
      <c r="G17" s="293"/>
      <c r="H17" s="268"/>
      <c r="L17" s="293"/>
      <c r="M17" s="2356"/>
      <c r="N17" s="2524"/>
      <c r="O17" s="2524"/>
      <c r="P17" s="293"/>
      <c r="Q17" s="293"/>
      <c r="S17" s="338" t="str">
        <f>B17</f>
        <v>CONSTRUCTION FINANCING</v>
      </c>
    </row>
    <row r="18" spans="1:20" s="338" customFormat="1" ht="5.25" customHeight="1">
      <c r="A18" s="295"/>
      <c r="B18" s="2350"/>
      <c r="C18" s="293"/>
      <c r="K18" s="293"/>
      <c r="L18" s="293"/>
      <c r="M18" s="2356"/>
      <c r="N18" s="2351"/>
      <c r="O18" s="2351"/>
      <c r="P18" s="293"/>
      <c r="Q18" s="293"/>
    </row>
    <row r="19" spans="1:20" s="268" customFormat="1" ht="17.100000000000001" customHeight="1">
      <c r="A19" s="293"/>
      <c r="B19" s="2346" t="s">
        <v>1824</v>
      </c>
      <c r="C19" s="293"/>
      <c r="D19" s="293"/>
      <c r="E19" s="293"/>
      <c r="F19" s="293"/>
      <c r="G19" s="293"/>
      <c r="H19" s="2525" t="s">
        <v>1271</v>
      </c>
      <c r="I19" s="2525"/>
      <c r="J19" s="2525"/>
      <c r="K19" s="2525"/>
      <c r="L19" s="2432" t="s">
        <v>4388</v>
      </c>
      <c r="M19" s="2432"/>
      <c r="N19" s="2432" t="s">
        <v>1475</v>
      </c>
      <c r="O19" s="2432"/>
      <c r="P19" s="2432" t="s">
        <v>1597</v>
      </c>
      <c r="Q19" s="2432"/>
      <c r="S19" s="2509" t="s">
        <v>2607</v>
      </c>
      <c r="T19" s="2509"/>
    </row>
    <row r="20" spans="1:20" s="268" customFormat="1" ht="15.75" customHeight="1">
      <c r="A20" s="293"/>
      <c r="B20" s="2510" t="s">
        <v>1558</v>
      </c>
      <c r="C20" s="2511"/>
      <c r="D20" s="2511"/>
      <c r="E20" s="2354"/>
      <c r="F20" s="2354"/>
      <c r="G20" s="2354"/>
      <c r="H20" s="3750" t="s">
        <v>7145</v>
      </c>
      <c r="I20" s="3751"/>
      <c r="J20" s="3751"/>
      <c r="K20" s="3752"/>
      <c r="L20" s="3753">
        <v>930000</v>
      </c>
      <c r="M20" s="3754"/>
      <c r="N20" s="3755">
        <v>0.04</v>
      </c>
      <c r="O20" s="3756"/>
      <c r="P20" s="3757">
        <v>24</v>
      </c>
      <c r="Q20" s="3758"/>
      <c r="S20" s="3730"/>
      <c r="T20" s="3731"/>
    </row>
    <row r="21" spans="1:20" s="268" customFormat="1" ht="15.75" customHeight="1">
      <c r="A21" s="293"/>
      <c r="B21" s="2494" t="s">
        <v>1559</v>
      </c>
      <c r="C21" s="2495"/>
      <c r="D21" s="2495"/>
      <c r="E21" s="2356"/>
      <c r="F21" s="2356"/>
      <c r="G21" s="2356"/>
      <c r="H21" s="3759" t="s">
        <v>7146</v>
      </c>
      <c r="I21" s="3760"/>
      <c r="J21" s="3760"/>
      <c r="K21" s="3761"/>
      <c r="L21" s="3762">
        <v>7453479</v>
      </c>
      <c r="M21" s="3763"/>
      <c r="N21" s="3764">
        <v>0.04</v>
      </c>
      <c r="O21" s="3765"/>
      <c r="P21" s="3766">
        <v>24</v>
      </c>
      <c r="Q21" s="3767"/>
      <c r="S21" s="3734"/>
      <c r="T21" s="3735"/>
    </row>
    <row r="22" spans="1:20" s="268" customFormat="1" ht="15.75" customHeight="1">
      <c r="A22" s="293"/>
      <c r="B22" s="2518" t="s">
        <v>1560</v>
      </c>
      <c r="C22" s="2519"/>
      <c r="D22" s="2519"/>
      <c r="E22" s="2359"/>
      <c r="F22" s="2359"/>
      <c r="G22" s="2359"/>
      <c r="H22" s="3768" t="s">
        <v>7066</v>
      </c>
      <c r="I22" s="3769"/>
      <c r="J22" s="3769"/>
      <c r="K22" s="3770"/>
      <c r="L22" s="3771">
        <v>625000</v>
      </c>
      <c r="M22" s="3772"/>
      <c r="N22" s="3773">
        <v>0.01</v>
      </c>
      <c r="O22" s="3774"/>
      <c r="P22" s="3775">
        <v>24</v>
      </c>
      <c r="Q22" s="3776"/>
      <c r="S22" s="3734"/>
      <c r="T22" s="3735"/>
    </row>
    <row r="23" spans="1:20" s="268" customFormat="1" ht="15.75" customHeight="1">
      <c r="A23" s="293"/>
      <c r="B23" s="2510" t="s">
        <v>2159</v>
      </c>
      <c r="C23" s="2511"/>
      <c r="D23" s="2511"/>
      <c r="E23" s="2356"/>
      <c r="F23" s="2356"/>
      <c r="G23" s="2356"/>
      <c r="H23" s="3777"/>
      <c r="I23" s="3778"/>
      <c r="J23" s="3778"/>
      <c r="K23" s="3779"/>
      <c r="L23" s="3780"/>
      <c r="M23" s="3781"/>
      <c r="N23" s="2512"/>
      <c r="O23" s="2513"/>
      <c r="P23" s="2507"/>
      <c r="Q23" s="2507"/>
      <c r="S23" s="3734"/>
      <c r="T23" s="3735"/>
    </row>
    <row r="24" spans="1:20" s="268" customFormat="1" ht="15.75" customHeight="1">
      <c r="A24" s="293"/>
      <c r="B24" s="2494" t="s">
        <v>781</v>
      </c>
      <c r="C24" s="2495"/>
      <c r="D24" s="2495"/>
      <c r="E24" s="2356"/>
      <c r="H24" s="3759"/>
      <c r="I24" s="3760"/>
      <c r="J24" s="3760"/>
      <c r="K24" s="3761"/>
      <c r="L24" s="3762"/>
      <c r="M24" s="3763"/>
      <c r="N24" s="2512"/>
      <c r="O24" s="2513"/>
      <c r="P24" s="2507"/>
      <c r="Q24" s="2507"/>
      <c r="S24" s="3734"/>
      <c r="T24" s="3735"/>
    </row>
    <row r="25" spans="1:20" s="268" customFormat="1" ht="15.75" customHeight="1">
      <c r="A25" s="293"/>
      <c r="B25" s="2494" t="s">
        <v>623</v>
      </c>
      <c r="C25" s="2495"/>
      <c r="D25" s="2495"/>
      <c r="E25" s="2356"/>
      <c r="H25" s="3759"/>
      <c r="I25" s="3760"/>
      <c r="J25" s="3760"/>
      <c r="K25" s="3761"/>
      <c r="L25" s="3762"/>
      <c r="M25" s="3763"/>
      <c r="N25" s="2512"/>
      <c r="O25" s="2513"/>
      <c r="P25" s="2507"/>
      <c r="Q25" s="2507"/>
      <c r="S25" s="3734"/>
      <c r="T25" s="3735"/>
    </row>
    <row r="26" spans="1:20" s="268" customFormat="1" ht="15.75" customHeight="1">
      <c r="A26" s="293"/>
      <c r="B26" s="2494" t="s">
        <v>782</v>
      </c>
      <c r="C26" s="2495"/>
      <c r="D26" s="2495"/>
      <c r="E26" s="2356"/>
      <c r="H26" s="3759" t="s">
        <v>7031</v>
      </c>
      <c r="I26" s="3760"/>
      <c r="J26" s="3760"/>
      <c r="K26" s="3761"/>
      <c r="L26" s="3762">
        <v>1421579</v>
      </c>
      <c r="M26" s="3763"/>
      <c r="N26" s="293"/>
      <c r="Q26" s="293"/>
      <c r="S26" s="3739"/>
      <c r="T26" s="3740"/>
    </row>
    <row r="27" spans="1:20" s="268" customFormat="1" ht="15.75" customHeight="1">
      <c r="A27" s="293"/>
      <c r="B27" s="2494" t="s">
        <v>783</v>
      </c>
      <c r="C27" s="2495"/>
      <c r="D27" s="2495"/>
      <c r="E27" s="2356"/>
      <c r="H27" s="3759" t="s">
        <v>7035</v>
      </c>
      <c r="I27" s="3760"/>
      <c r="J27" s="3760"/>
      <c r="K27" s="3761"/>
      <c r="L27" s="3762">
        <v>757745</v>
      </c>
      <c r="M27" s="3763"/>
      <c r="N27" s="293"/>
      <c r="Q27" s="293"/>
      <c r="S27" s="3730"/>
      <c r="T27" s="3731"/>
    </row>
    <row r="28" spans="1:20" s="268" customFormat="1" ht="15.75" customHeight="1">
      <c r="A28" s="293"/>
      <c r="B28" s="2355" t="s">
        <v>237</v>
      </c>
      <c r="C28" s="2356"/>
      <c r="D28" s="3782"/>
      <c r="E28" s="3782"/>
      <c r="F28" s="3782"/>
      <c r="G28" s="3782"/>
      <c r="H28" s="3759"/>
      <c r="I28" s="3760"/>
      <c r="J28" s="3760"/>
      <c r="K28" s="3761"/>
      <c r="L28" s="3762"/>
      <c r="M28" s="3763"/>
      <c r="N28" s="293"/>
      <c r="Q28" s="293"/>
      <c r="S28" s="3734"/>
      <c r="T28" s="3735"/>
    </row>
    <row r="29" spans="1:20" s="268" customFormat="1" ht="15.75" customHeight="1">
      <c r="A29" s="293"/>
      <c r="B29" s="2355" t="s">
        <v>237</v>
      </c>
      <c r="C29" s="2356"/>
      <c r="D29" s="3783"/>
      <c r="E29" s="3783"/>
      <c r="F29" s="3783"/>
      <c r="G29" s="3783"/>
      <c r="H29" s="3759"/>
      <c r="I29" s="3760"/>
      <c r="J29" s="3760"/>
      <c r="K29" s="3761"/>
      <c r="L29" s="3762"/>
      <c r="M29" s="3763"/>
      <c r="N29" s="293"/>
      <c r="S29" s="3734"/>
      <c r="T29" s="3735"/>
    </row>
    <row r="30" spans="1:20" s="268" customFormat="1" ht="15.75" customHeight="1">
      <c r="A30" s="293"/>
      <c r="B30" s="2358" t="s">
        <v>237</v>
      </c>
      <c r="C30" s="2359"/>
      <c r="D30" s="3784"/>
      <c r="E30" s="3784"/>
      <c r="F30" s="3784"/>
      <c r="G30" s="3784"/>
      <c r="H30" s="3768"/>
      <c r="I30" s="3769"/>
      <c r="J30" s="3769"/>
      <c r="K30" s="3770"/>
      <c r="L30" s="3771"/>
      <c r="M30" s="3772"/>
      <c r="N30" s="293"/>
      <c r="S30" s="3734"/>
      <c r="T30" s="3735"/>
    </row>
    <row r="31" spans="1:20" s="268" customFormat="1" ht="16.5" customHeight="1">
      <c r="A31" s="293"/>
      <c r="B31" s="2350" t="s">
        <v>1272</v>
      </c>
      <c r="C31" s="293"/>
      <c r="D31" s="293"/>
      <c r="E31" s="293"/>
      <c r="F31" s="293"/>
      <c r="G31" s="293"/>
      <c r="H31" s="293"/>
      <c r="I31" s="293"/>
      <c r="L31" s="2514">
        <f>SUM(L20:L30)</f>
        <v>11187803</v>
      </c>
      <c r="M31" s="2515"/>
      <c r="N31" s="311"/>
      <c r="S31" s="3734"/>
      <c r="T31" s="3735"/>
    </row>
    <row r="32" spans="1:20" s="268" customFormat="1" ht="16.5" customHeight="1">
      <c r="A32" s="293"/>
      <c r="B32" s="2346" t="s">
        <v>1273</v>
      </c>
      <c r="C32" s="293"/>
      <c r="D32" s="293"/>
      <c r="E32" s="293"/>
      <c r="F32" s="293"/>
      <c r="G32" s="293"/>
      <c r="H32" s="293"/>
      <c r="I32" s="293"/>
      <c r="L32" s="3785">
        <f>'Part IV-A-Uses of Funds'!$G$17+'Part IV-A-Uses of Funds'!$G$23+'Part IV-A-Uses of Funds'!$G$27+'Part IV-A-Uses of Funds'!$G$33+'Part IV-A-Uses of Funds'!$G$38+'Part IV-A-Uses of Funds'!$G$47+'Part IV-A-Uses of Funds'!$G$64+'Part IV-A-Uses of Funds'!$G$77+'Part IV-A-Uses of Funds'!$G$83+('Part IV-A-Uses of Funds'!$G$105-'Part IV-A-Uses of Funds'!$G$100)+'Part IV-A-Uses of Funds'!$F$114+'Part IV-A-Uses of Funds'!$G$120</f>
        <v>10624850</v>
      </c>
      <c r="M32" s="3786"/>
      <c r="N32" s="820"/>
      <c r="S32" s="3734"/>
      <c r="T32" s="3735"/>
    </row>
    <row r="33" spans="1:20" s="268" customFormat="1" ht="16.5" customHeight="1">
      <c r="A33" s="293"/>
      <c r="B33" s="2348" t="s">
        <v>2107</v>
      </c>
      <c r="C33" s="293"/>
      <c r="D33" s="293"/>
      <c r="E33" s="293"/>
      <c r="F33" s="293"/>
      <c r="G33" s="293"/>
      <c r="H33" s="293"/>
      <c r="I33" s="293"/>
      <c r="L33" s="2516">
        <f>L31-L32</f>
        <v>562953</v>
      </c>
      <c r="M33" s="2517"/>
      <c r="N33" s="820"/>
      <c r="S33" s="3739"/>
      <c r="T33" s="3740"/>
    </row>
    <row r="34" spans="1:20" ht="9.6" customHeight="1">
      <c r="A34" s="319"/>
      <c r="B34" s="2350"/>
      <c r="C34" s="311"/>
      <c r="D34" s="311"/>
      <c r="E34" s="311"/>
      <c r="F34" s="311"/>
      <c r="G34" s="311"/>
      <c r="H34" s="311"/>
      <c r="I34" s="311"/>
      <c r="J34" s="311"/>
      <c r="K34" s="311"/>
      <c r="L34" s="311"/>
      <c r="M34" s="2357"/>
      <c r="N34" s="2357"/>
    </row>
    <row r="35" spans="1:20" ht="9.6" customHeight="1">
      <c r="A35" s="295" t="s">
        <v>724</v>
      </c>
      <c r="B35" s="2350" t="s">
        <v>780</v>
      </c>
      <c r="C35" s="311"/>
      <c r="D35" s="311"/>
      <c r="E35" s="311"/>
      <c r="F35" s="311"/>
      <c r="G35" s="311"/>
      <c r="H35" s="311"/>
      <c r="I35" s="311"/>
      <c r="J35" s="311"/>
      <c r="K35" s="311"/>
      <c r="L35" s="311"/>
      <c r="M35" s="2357"/>
      <c r="N35" s="2357"/>
      <c r="O35" s="311"/>
      <c r="S35" s="338" t="str">
        <f>B35</f>
        <v>PERMANENT FINANCING</v>
      </c>
    </row>
    <row r="36" spans="1:20" s="268" customFormat="1" ht="13.35" customHeight="1">
      <c r="A36" s="293"/>
      <c r="B36" s="293"/>
      <c r="C36" s="293"/>
      <c r="D36" s="293"/>
      <c r="E36" s="293"/>
      <c r="F36" s="2357"/>
      <c r="G36" s="2357"/>
      <c r="H36" s="2507"/>
      <c r="I36" s="2507"/>
      <c r="K36" s="364" t="s">
        <v>2051</v>
      </c>
      <c r="L36" s="2357" t="s">
        <v>1269</v>
      </c>
      <c r="M36" s="2357" t="s">
        <v>1274</v>
      </c>
      <c r="P36" s="2508" t="s">
        <v>32</v>
      </c>
      <c r="Q36" s="2508"/>
      <c r="S36" s="338"/>
    </row>
    <row r="37" spans="1:20" s="268" customFormat="1" ht="13.35" customHeight="1">
      <c r="A37" s="293"/>
      <c r="B37" s="2352" t="s">
        <v>1824</v>
      </c>
      <c r="C37" s="2359"/>
      <c r="D37" s="2359"/>
      <c r="E37" s="2413" t="s">
        <v>1271</v>
      </c>
      <c r="F37" s="2413"/>
      <c r="G37" s="2413"/>
      <c r="H37" s="2413"/>
      <c r="I37" s="2432" t="s">
        <v>4387</v>
      </c>
      <c r="J37" s="2432"/>
      <c r="K37" s="2345" t="s">
        <v>1760</v>
      </c>
      <c r="L37" s="2345" t="s">
        <v>2158</v>
      </c>
      <c r="M37" s="2345" t="s">
        <v>2158</v>
      </c>
      <c r="N37" s="2432" t="s">
        <v>72</v>
      </c>
      <c r="O37" s="2432"/>
      <c r="P37" s="3787"/>
      <c r="Q37" s="3787"/>
      <c r="S37" s="2509" t="s">
        <v>2607</v>
      </c>
      <c r="T37" s="2509"/>
    </row>
    <row r="38" spans="1:20" s="268" customFormat="1" ht="15.75" customHeight="1">
      <c r="A38" s="293"/>
      <c r="B38" s="2510" t="s">
        <v>2547</v>
      </c>
      <c r="C38" s="2511"/>
      <c r="D38" s="2511"/>
      <c r="E38" s="3750" t="s">
        <v>7031</v>
      </c>
      <c r="F38" s="3751"/>
      <c r="G38" s="3751"/>
      <c r="H38" s="3752"/>
      <c r="I38" s="3788">
        <v>930000</v>
      </c>
      <c r="J38" s="3789"/>
      <c r="K38" s="3790">
        <v>5.5E-2</v>
      </c>
      <c r="L38" s="3563">
        <v>15</v>
      </c>
      <c r="M38" s="3563">
        <v>30</v>
      </c>
      <c r="N38" s="3791" t="s">
        <v>7067</v>
      </c>
      <c r="O38" s="3791"/>
      <c r="P38" s="3792">
        <f>IF(OR(I38&lt;=0,I38=""),"",IF(N38="Cash Flow",0,IF(N38="Amortizing",-PMT(K38/12,M38*12,I38,0,0)*12,"")))</f>
        <v>63365.252550325516</v>
      </c>
      <c r="Q38" s="3792"/>
      <c r="S38" s="3730"/>
      <c r="T38" s="3731"/>
    </row>
    <row r="39" spans="1:20" s="268" customFormat="1" ht="15.75" customHeight="1">
      <c r="A39" s="293"/>
      <c r="B39" s="2494" t="s">
        <v>2548</v>
      </c>
      <c r="C39" s="2495"/>
      <c r="D39" s="2495"/>
      <c r="E39" s="3759" t="s">
        <v>7066</v>
      </c>
      <c r="F39" s="3760"/>
      <c r="G39" s="3760"/>
      <c r="H39" s="3761"/>
      <c r="I39" s="3793">
        <v>625000</v>
      </c>
      <c r="J39" s="3794"/>
      <c r="K39" s="3795">
        <v>0.01</v>
      </c>
      <c r="L39" s="3509">
        <v>15</v>
      </c>
      <c r="M39" s="3509">
        <v>20</v>
      </c>
      <c r="N39" s="3796" t="s">
        <v>7067</v>
      </c>
      <c r="O39" s="3796"/>
      <c r="P39" s="3797">
        <f>IF(OR(I39&lt;=0,I39=""),"",IF(N39="Cash Flow",0,IF(N39="Amortizing",-PMT(K39/12,M39*12,I39,0,0)*12,"")))</f>
        <v>34492.073021834745</v>
      </c>
      <c r="Q39" s="3797"/>
      <c r="S39" s="3734"/>
      <c r="T39" s="3735"/>
    </row>
    <row r="40" spans="1:20" s="268" customFormat="1" ht="15.75" customHeight="1">
      <c r="A40" s="293"/>
      <c r="B40" s="2494" t="s">
        <v>2549</v>
      </c>
      <c r="C40" s="2495"/>
      <c r="D40" s="2495"/>
      <c r="E40" s="3759"/>
      <c r="F40" s="3760"/>
      <c r="G40" s="3760"/>
      <c r="H40" s="3761"/>
      <c r="I40" s="3793"/>
      <c r="J40" s="3794"/>
      <c r="K40" s="3795"/>
      <c r="L40" s="3509"/>
      <c r="M40" s="3509"/>
      <c r="N40" s="3796"/>
      <c r="O40" s="3796"/>
      <c r="P40" s="3797" t="str">
        <f>IF(OR(I40&lt;=0,I40=""),"",IF(N40="Cash Flow",0,IF(N40="Amortizing",-PMT(K40/12,M40*12,I40,0,0)*12,"")))</f>
        <v/>
      </c>
      <c r="Q40" s="3797"/>
      <c r="S40" s="3734"/>
      <c r="T40" s="3735"/>
    </row>
    <row r="41" spans="1:20" s="268" customFormat="1" ht="15.75" customHeight="1">
      <c r="A41" s="293"/>
      <c r="B41" s="2355" t="s">
        <v>723</v>
      </c>
      <c r="C41" s="3798"/>
      <c r="D41" s="3799"/>
      <c r="E41" s="3759"/>
      <c r="F41" s="3760"/>
      <c r="G41" s="3760"/>
      <c r="H41" s="3761"/>
      <c r="I41" s="3800"/>
      <c r="J41" s="3801"/>
      <c r="K41" s="3802"/>
      <c r="L41" s="3564"/>
      <c r="M41" s="3564"/>
      <c r="N41" s="3803"/>
      <c r="O41" s="3803"/>
      <c r="P41" s="3804" t="str">
        <f>IF(OR(I41&lt;=0,I41=""),"",IF(N41="Cash Flow",0,IF(N41="Amortizing",-PMT(K41/12,M41*12,I41,0,0)*12,"")))</f>
        <v/>
      </c>
      <c r="Q41" s="3804"/>
      <c r="S41" s="3734"/>
      <c r="T41" s="3735"/>
    </row>
    <row r="42" spans="1:20" s="268" customFormat="1" ht="15.75" customHeight="1">
      <c r="A42" s="293"/>
      <c r="B42" s="2355" t="s">
        <v>4553</v>
      </c>
      <c r="C42" s="2356"/>
      <c r="D42" s="2362"/>
      <c r="E42" s="3759"/>
      <c r="F42" s="3760"/>
      <c r="G42" s="3760"/>
      <c r="H42" s="3761"/>
      <c r="I42" s="3793"/>
      <c r="J42" s="3794"/>
      <c r="K42" s="451"/>
      <c r="L42" s="2361"/>
      <c r="M42" s="2361"/>
      <c r="N42" s="2506"/>
      <c r="O42" s="2506"/>
      <c r="P42" s="2505"/>
      <c r="Q42" s="2505"/>
      <c r="S42" s="3734"/>
      <c r="T42" s="3735"/>
    </row>
    <row r="43" spans="1:20" s="268" customFormat="1" ht="15.75" customHeight="1">
      <c r="A43" s="293"/>
      <c r="B43" s="2358" t="s">
        <v>223</v>
      </c>
      <c r="C43" s="2359"/>
      <c r="D43" s="365">
        <f>IF(OR(I43="",I43=0,'Part IV-A-Uses of Funds'!$G$118="",'Part IV-A-Uses of Funds'!$G$118=0),"",I43/'Part IV-A-Uses of Funds'!$G$118)</f>
        <v>4.345238095238095E-4</v>
      </c>
      <c r="E43" s="3768" t="s">
        <v>7068</v>
      </c>
      <c r="F43" s="3769"/>
      <c r="G43" s="3769"/>
      <c r="H43" s="3770"/>
      <c r="I43" s="3805">
        <v>730</v>
      </c>
      <c r="J43" s="3806"/>
      <c r="K43" s="3807">
        <v>0.03</v>
      </c>
      <c r="L43" s="3496">
        <v>10</v>
      </c>
      <c r="M43" s="3496">
        <v>10</v>
      </c>
      <c r="N43" s="3808" t="s">
        <v>7067</v>
      </c>
      <c r="O43" s="3809"/>
      <c r="P43" s="3810">
        <f>IF(OR(I43&lt;=0,I43=""),"",IF(N43="Cash Flow",0,IF(N43="Amortizing",-PMT(K43/12,M43*12,I43,0,0)*12,"")))</f>
        <v>84.587212355789219</v>
      </c>
      <c r="Q43" s="3811"/>
      <c r="S43" s="3734"/>
      <c r="T43" s="3735"/>
    </row>
    <row r="44" spans="1:20" s="268" customFormat="1" ht="3" customHeight="1">
      <c r="A44" s="293"/>
      <c r="B44" s="293"/>
      <c r="C44" s="293"/>
      <c r="D44" s="293"/>
      <c r="E44" s="293"/>
      <c r="F44" s="293"/>
      <c r="G44" s="293"/>
      <c r="H44" s="293"/>
      <c r="I44" s="3812"/>
      <c r="J44" s="3813"/>
      <c r="K44" s="3814"/>
      <c r="L44" s="2357"/>
      <c r="M44" s="2357"/>
      <c r="N44" s="3815"/>
      <c r="O44" s="3815"/>
      <c r="P44" s="2357"/>
      <c r="Q44" s="2357"/>
      <c r="S44" s="3734"/>
      <c r="T44" s="3735"/>
    </row>
    <row r="45" spans="1:20" s="268" customFormat="1" ht="14.25" customHeight="1">
      <c r="A45" s="293"/>
      <c r="B45" s="1020" t="s">
        <v>3832</v>
      </c>
      <c r="C45" s="2356"/>
      <c r="E45" s="268" t="s">
        <v>3771</v>
      </c>
      <c r="F45" s="2487">
        <f>IF(OR($I$43="",$I$43=0,'Part VII-Pro Forma'!$S$34=0,'Part VII-Pro Forma'!$S$34=""),"",VLOOKUP($L$43,'Part VII-Pro Forma'!$Q$20:$S$39,3))</f>
        <v>341212.71625283535</v>
      </c>
      <c r="G45" s="2488"/>
      <c r="H45" s="582" t="s">
        <v>3831</v>
      </c>
      <c r="I45" s="2487">
        <f>IF(OR($I$43="",$I$43=0,'Part VII-Pro Forma'!$R$34=0,'Part VII-Pro Forma'!$R$34=""),"",VLOOKUP($L$43,'Part VII-Pro Forma'!$Q$20:$S$34,2))</f>
        <v>845.87212355789222</v>
      </c>
      <c r="J45" s="2488"/>
      <c r="K45" s="582" t="s">
        <v>3833</v>
      </c>
      <c r="L45" s="2501">
        <f>IF(OR($F$45 = 0,$F$45 =""),"",$I$45/$F$45)</f>
        <v>2.4790169980977764E-3</v>
      </c>
      <c r="M45" s="2502"/>
      <c r="N45" s="3816" t="s">
        <v>4395</v>
      </c>
      <c r="O45" s="3817"/>
      <c r="P45" s="2503">
        <f>IF(OR($I$60=0,$I$58&gt;$I$59),0,ABS($I$58-$I$59))</f>
        <v>0</v>
      </c>
      <c r="Q45" s="2504"/>
      <c r="S45" s="3734"/>
      <c r="T45" s="3735"/>
    </row>
    <row r="46" spans="1:20" s="268" customFormat="1" ht="3" customHeight="1">
      <c r="A46" s="293"/>
      <c r="B46" s="293"/>
      <c r="C46" s="293"/>
      <c r="D46" s="293"/>
      <c r="E46" s="293"/>
      <c r="F46" s="293"/>
      <c r="G46" s="293"/>
      <c r="H46" s="293"/>
      <c r="I46" s="3818"/>
      <c r="J46" s="3819"/>
      <c r="K46" s="3814"/>
      <c r="L46" s="2357"/>
      <c r="M46" s="2357"/>
      <c r="N46" s="3815"/>
      <c r="O46" s="3815"/>
      <c r="P46" s="2357"/>
      <c r="Q46" s="2357"/>
      <c r="S46" s="3739"/>
      <c r="T46" s="3740"/>
    </row>
    <row r="47" spans="1:20" s="268" customFormat="1" ht="15.75" customHeight="1">
      <c r="A47" s="293"/>
      <c r="B47" s="2491" t="s">
        <v>2159</v>
      </c>
      <c r="C47" s="2492"/>
      <c r="D47" s="2493"/>
      <c r="E47" s="3750"/>
      <c r="F47" s="3751"/>
      <c r="G47" s="3751"/>
      <c r="H47" s="3752"/>
      <c r="I47" s="3820"/>
      <c r="J47" s="3821"/>
      <c r="K47" s="366"/>
      <c r="L47" s="366"/>
      <c r="M47" s="366"/>
      <c r="N47" s="366"/>
      <c r="O47" s="366"/>
      <c r="P47" s="397" t="s">
        <v>502</v>
      </c>
      <c r="Q47" s="366"/>
      <c r="S47" s="3730"/>
      <c r="T47" s="3731"/>
    </row>
    <row r="48" spans="1:20" s="268" customFormat="1" ht="15.75" customHeight="1">
      <c r="A48" s="293"/>
      <c r="B48" s="2494" t="s">
        <v>781</v>
      </c>
      <c r="C48" s="2495"/>
      <c r="D48" s="2496"/>
      <c r="E48" s="3759"/>
      <c r="F48" s="3760"/>
      <c r="G48" s="3760"/>
      <c r="H48" s="3761"/>
      <c r="I48" s="3793"/>
      <c r="J48" s="3794"/>
      <c r="L48" s="2497" t="s">
        <v>503</v>
      </c>
      <c r="M48" s="2497"/>
      <c r="N48" s="2498" t="s">
        <v>504</v>
      </c>
      <c r="O48" s="2498"/>
      <c r="P48" s="398" t="s">
        <v>2494</v>
      </c>
      <c r="Q48" s="366"/>
      <c r="S48" s="3734"/>
      <c r="T48" s="3735"/>
    </row>
    <row r="49" spans="1:23" s="268" customFormat="1" ht="15.75" customHeight="1">
      <c r="A49" s="293"/>
      <c r="B49" s="2494" t="s">
        <v>782</v>
      </c>
      <c r="C49" s="2495"/>
      <c r="D49" s="2496"/>
      <c r="E49" s="3759" t="s">
        <v>7031</v>
      </c>
      <c r="F49" s="3760"/>
      <c r="G49" s="3760"/>
      <c r="H49" s="3761"/>
      <c r="I49" s="3793">
        <v>7107894</v>
      </c>
      <c r="J49" s="3793"/>
      <c r="L49" s="2499">
        <f>'Part IV-A-Uses of Funds'!$J$184*10*'Part IV-A-Uses of Funds'!$N$175</f>
        <v>7180417.5</v>
      </c>
      <c r="M49" s="2499"/>
      <c r="N49" s="2500">
        <f>I49-L49</f>
        <v>-72523.5</v>
      </c>
      <c r="O49" s="2500"/>
      <c r="P49" s="399">
        <f>I49/I59</f>
        <v>0.57080743795347866</v>
      </c>
      <c r="Q49" s="366"/>
      <c r="S49" s="3734"/>
      <c r="T49" s="3735"/>
    </row>
    <row r="50" spans="1:23" s="268" customFormat="1" ht="15.75" customHeight="1">
      <c r="A50" s="293"/>
      <c r="B50" s="2494" t="s">
        <v>783</v>
      </c>
      <c r="C50" s="2495"/>
      <c r="D50" s="2496"/>
      <c r="E50" s="3759" t="s">
        <v>7035</v>
      </c>
      <c r="F50" s="3760"/>
      <c r="G50" s="3760"/>
      <c r="H50" s="3761"/>
      <c r="I50" s="3793">
        <v>3788726</v>
      </c>
      <c r="J50" s="3793"/>
      <c r="L50" s="2499">
        <f>'Part IV-A-Uses of Funds'!$J$184*10*'Part IV-A-Uses of Funds'!$Q$175</f>
        <v>3716922</v>
      </c>
      <c r="M50" s="2499"/>
      <c r="N50" s="2500">
        <f>I50-L50</f>
        <v>71804</v>
      </c>
      <c r="O50" s="2500"/>
      <c r="P50" s="399">
        <f>I50/I59</f>
        <v>0.30425791115733175</v>
      </c>
      <c r="Q50" s="366"/>
      <c r="S50" s="3734"/>
      <c r="T50" s="3735"/>
    </row>
    <row r="51" spans="1:23" s="268" customFormat="1" ht="15.75" customHeight="1">
      <c r="A51" s="293"/>
      <c r="B51" s="2494" t="s">
        <v>1383</v>
      </c>
      <c r="C51" s="2495"/>
      <c r="D51" s="2496"/>
      <c r="E51" s="3759"/>
      <c r="F51" s="3760"/>
      <c r="G51" s="3760"/>
      <c r="H51" s="3761"/>
      <c r="I51" s="3793"/>
      <c r="J51" s="3793"/>
      <c r="P51" s="400">
        <f>SUM(P49:P50)</f>
        <v>0.87506534911081046</v>
      </c>
      <c r="Q51" s="366"/>
      <c r="S51" s="3739"/>
      <c r="T51" s="3740"/>
    </row>
    <row r="52" spans="1:23" s="268" customFormat="1" ht="15.75" customHeight="1">
      <c r="A52" s="293"/>
      <c r="B52" s="2355" t="s">
        <v>517</v>
      </c>
      <c r="C52" s="2356"/>
      <c r="D52" s="2362"/>
      <c r="E52" s="3759"/>
      <c r="F52" s="3760"/>
      <c r="G52" s="3760"/>
      <c r="H52" s="3761"/>
      <c r="I52" s="3793"/>
      <c r="J52" s="3793"/>
      <c r="K52" s="293"/>
      <c r="Q52" s="366"/>
      <c r="S52" s="3734"/>
      <c r="T52" s="3735"/>
    </row>
    <row r="53" spans="1:23" s="268" customFormat="1" ht="15.75" customHeight="1">
      <c r="A53" s="293"/>
      <c r="B53" s="2355" t="s">
        <v>1822</v>
      </c>
      <c r="C53" s="2356"/>
      <c r="D53" s="2362"/>
      <c r="E53" s="3759"/>
      <c r="F53" s="3760"/>
      <c r="G53" s="3760"/>
      <c r="H53" s="3761"/>
      <c r="I53" s="3793"/>
      <c r="J53" s="3793"/>
      <c r="N53" s="367"/>
      <c r="O53" s="367"/>
      <c r="P53" s="367"/>
      <c r="Q53" s="366"/>
      <c r="S53" s="3734"/>
      <c r="T53" s="3735"/>
    </row>
    <row r="54" spans="1:23" s="268" customFormat="1" ht="15.75" customHeight="1">
      <c r="A54" s="293"/>
      <c r="B54" s="2355" t="s">
        <v>1823</v>
      </c>
      <c r="C54" s="2356"/>
      <c r="D54" s="2362"/>
      <c r="E54" s="3759"/>
      <c r="F54" s="3760"/>
      <c r="G54" s="3760"/>
      <c r="H54" s="3761"/>
      <c r="I54" s="3793"/>
      <c r="J54" s="3793"/>
      <c r="M54" s="367"/>
      <c r="N54" s="367"/>
      <c r="O54" s="367"/>
      <c r="P54" s="367"/>
      <c r="Q54" s="366"/>
      <c r="S54" s="3734"/>
      <c r="T54" s="3735"/>
    </row>
    <row r="55" spans="1:23" s="268" customFormat="1" ht="15.75" customHeight="1">
      <c r="A55" s="293"/>
      <c r="B55" s="2355" t="s">
        <v>723</v>
      </c>
      <c r="C55" s="3782"/>
      <c r="D55" s="3782"/>
      <c r="E55" s="3759"/>
      <c r="F55" s="3760"/>
      <c r="G55" s="3760"/>
      <c r="H55" s="3761"/>
      <c r="I55" s="3793"/>
      <c r="J55" s="3793"/>
      <c r="M55" s="367"/>
      <c r="N55" s="367"/>
      <c r="O55" s="367"/>
      <c r="P55" s="367"/>
      <c r="Q55" s="366"/>
      <c r="S55" s="3734"/>
      <c r="T55" s="3735"/>
    </row>
    <row r="56" spans="1:23" s="268" customFormat="1" ht="15.75" customHeight="1">
      <c r="A56" s="293"/>
      <c r="B56" s="2355" t="s">
        <v>723</v>
      </c>
      <c r="C56" s="3783"/>
      <c r="D56" s="3783"/>
      <c r="E56" s="3759"/>
      <c r="F56" s="3760"/>
      <c r="G56" s="3760"/>
      <c r="H56" s="3761"/>
      <c r="I56" s="3793"/>
      <c r="J56" s="3793"/>
      <c r="K56" s="293"/>
      <c r="L56" s="368"/>
      <c r="M56" s="367"/>
      <c r="N56" s="367"/>
      <c r="O56" s="367"/>
      <c r="P56" s="367"/>
      <c r="Q56" s="366"/>
      <c r="S56" s="3734"/>
      <c r="T56" s="3735"/>
    </row>
    <row r="57" spans="1:23" s="268" customFormat="1" ht="15.75" customHeight="1">
      <c r="A57" s="293"/>
      <c r="B57" s="2358" t="s">
        <v>723</v>
      </c>
      <c r="C57" s="3784"/>
      <c r="D57" s="3784"/>
      <c r="E57" s="3768"/>
      <c r="F57" s="3769"/>
      <c r="G57" s="3769"/>
      <c r="H57" s="3770"/>
      <c r="I57" s="3822"/>
      <c r="J57" s="3822"/>
      <c r="K57" s="293"/>
      <c r="L57" s="368"/>
      <c r="M57" s="367"/>
      <c r="N57" s="367"/>
      <c r="O57" s="367"/>
      <c r="P57" s="367"/>
      <c r="Q57" s="366"/>
      <c r="S57" s="3734"/>
      <c r="T57" s="3735"/>
    </row>
    <row r="58" spans="1:23" s="268" customFormat="1" ht="14.25" customHeight="1">
      <c r="A58" s="293"/>
      <c r="B58" s="2346" t="s">
        <v>2160</v>
      </c>
      <c r="C58" s="293"/>
      <c r="D58" s="293"/>
      <c r="E58" s="293"/>
      <c r="F58" s="293"/>
      <c r="G58" s="293"/>
      <c r="I58" s="2481">
        <f>SUM(I38:J43)+SUM(I47:J57)</f>
        <v>12452350</v>
      </c>
      <c r="J58" s="2482"/>
      <c r="K58" s="293"/>
      <c r="L58" s="368"/>
      <c r="M58" s="367"/>
      <c r="N58" s="367"/>
      <c r="O58" s="367"/>
      <c r="P58" s="367"/>
      <c r="Q58" s="366"/>
      <c r="S58" s="3734"/>
      <c r="T58" s="3735"/>
    </row>
    <row r="59" spans="1:23" s="268" customFormat="1" ht="14.25" customHeight="1" thickBot="1">
      <c r="A59" s="293"/>
      <c r="B59" s="2346" t="s">
        <v>2161</v>
      </c>
      <c r="C59" s="293"/>
      <c r="D59" s="293"/>
      <c r="E59" s="293"/>
      <c r="F59" s="293"/>
      <c r="G59" s="293"/>
      <c r="I59" s="2483">
        <f>'Part IV-A-Uses of Funds'!$G$132</f>
        <v>12452350</v>
      </c>
      <c r="J59" s="2484"/>
      <c r="K59" s="293"/>
      <c r="L59" s="368"/>
      <c r="M59" s="367"/>
      <c r="N59" s="367"/>
      <c r="O59" s="367"/>
      <c r="P59" s="367"/>
      <c r="Q59" s="366"/>
      <c r="S59" s="3734"/>
      <c r="T59" s="3735"/>
    </row>
    <row r="60" spans="1:23" s="268" customFormat="1" ht="14.25" customHeight="1" thickBot="1">
      <c r="A60" s="293"/>
      <c r="B60" s="2348" t="s">
        <v>1493</v>
      </c>
      <c r="C60" s="293"/>
      <c r="D60" s="293"/>
      <c r="E60" s="293"/>
      <c r="F60" s="293"/>
      <c r="G60" s="293"/>
      <c r="I60" s="2485">
        <f>I58-I59</f>
        <v>0</v>
      </c>
      <c r="J60" s="2486"/>
      <c r="K60" s="293"/>
      <c r="L60" s="368"/>
      <c r="M60" s="367"/>
      <c r="N60" s="367"/>
      <c r="O60" s="367"/>
      <c r="P60" s="367"/>
      <c r="Q60" s="366"/>
      <c r="S60" s="3739"/>
      <c r="T60" s="3740"/>
    </row>
    <row r="61" spans="1:23" s="268" customFormat="1" ht="13.35" customHeight="1">
      <c r="A61" s="293" t="s">
        <v>4554</v>
      </c>
      <c r="B61" s="2348"/>
      <c r="C61" s="293"/>
      <c r="D61" s="293"/>
      <c r="E61" s="293"/>
      <c r="F61" s="293"/>
      <c r="G61" s="293"/>
      <c r="H61" s="360"/>
      <c r="I61" s="360"/>
      <c r="J61" s="311"/>
      <c r="K61" s="293"/>
      <c r="L61" s="368"/>
      <c r="M61" s="367"/>
      <c r="N61" s="367"/>
      <c r="O61" s="367"/>
      <c r="P61" s="367"/>
      <c r="Q61" s="366"/>
      <c r="R61" s="366"/>
      <c r="S61" s="366"/>
      <c r="T61" s="366"/>
    </row>
    <row r="62" spans="1:23" ht="6" customHeight="1">
      <c r="A62" s="311"/>
      <c r="B62" s="311"/>
      <c r="C62" s="311"/>
      <c r="D62" s="311"/>
      <c r="E62" s="311"/>
      <c r="F62" s="311"/>
      <c r="G62" s="311"/>
      <c r="H62" s="311"/>
      <c r="I62" s="311"/>
      <c r="J62" s="311"/>
      <c r="K62" s="311"/>
      <c r="L62" s="311"/>
      <c r="M62" s="311"/>
      <c r="N62" s="311"/>
      <c r="O62" s="311"/>
      <c r="P62" s="311"/>
      <c r="Q62" s="311"/>
    </row>
    <row r="63" spans="1:23" ht="12" customHeight="1">
      <c r="A63" s="295" t="s">
        <v>1748</v>
      </c>
      <c r="B63" s="295" t="s">
        <v>555</v>
      </c>
      <c r="C63" s="311"/>
      <c r="D63" s="311"/>
      <c r="E63" s="311"/>
      <c r="F63" s="311"/>
      <c r="G63" s="311"/>
      <c r="H63" s="311"/>
      <c r="I63" s="311"/>
      <c r="J63" s="311"/>
      <c r="M63" s="295" t="s">
        <v>1748</v>
      </c>
      <c r="N63" s="295" t="s">
        <v>77</v>
      </c>
      <c r="O63" s="311"/>
      <c r="P63" s="311"/>
      <c r="Q63" s="311"/>
    </row>
    <row r="64" spans="1:23" ht="111.75" customHeight="1">
      <c r="A64" s="3823" t="s">
        <v>7156</v>
      </c>
      <c r="B64" s="3823"/>
      <c r="C64" s="3823"/>
      <c r="D64" s="3823"/>
      <c r="E64" s="3823"/>
      <c r="F64" s="3823"/>
      <c r="G64" s="3823"/>
      <c r="H64" s="3823"/>
      <c r="I64" s="3823"/>
      <c r="J64" s="3823"/>
      <c r="K64" s="3823"/>
      <c r="L64" s="3823"/>
      <c r="M64" s="3824"/>
      <c r="N64" s="3824"/>
      <c r="O64" s="3824"/>
      <c r="P64" s="3824"/>
      <c r="Q64" s="3824"/>
      <c r="S64" s="2490" t="s">
        <v>2614</v>
      </c>
      <c r="T64" s="2490"/>
      <c r="U64" s="462"/>
      <c r="V64" s="462"/>
      <c r="W64" s="462"/>
    </row>
    <row r="65" spans="1:23" ht="11.25" customHeight="1">
      <c r="S65" s="462"/>
      <c r="T65" s="462"/>
      <c r="U65" s="462"/>
      <c r="V65" s="462"/>
      <c r="W65" s="462"/>
    </row>
    <row r="66" spans="1:23" ht="12" customHeight="1"/>
    <row r="67" spans="1:23" ht="12" customHeight="1">
      <c r="B67" s="340"/>
    </row>
    <row r="68" spans="1:23" ht="14.4" customHeight="1"/>
    <row r="69" spans="1:23" s="268" customFormat="1" ht="14.4" customHeight="1"/>
    <row r="70" spans="1:23" s="268" customFormat="1" ht="14.4" customHeight="1"/>
    <row r="71" spans="1:23" s="268" customFormat="1" ht="14.4" customHeight="1"/>
    <row r="72" spans="1:23" ht="14.4" customHeight="1"/>
    <row r="73" spans="1:23" s="268" customFormat="1" ht="14.4" customHeight="1">
      <c r="A73" s="341"/>
    </row>
    <row r="74" spans="1:23" s="268" customFormat="1" ht="14.4" customHeight="1">
      <c r="A74" s="341"/>
    </row>
    <row r="75" spans="1:23" s="268" customFormat="1" ht="14.4" customHeight="1"/>
    <row r="76" spans="1:23" s="268" customFormat="1" ht="14.4" customHeight="1">
      <c r="A76" s="341"/>
    </row>
    <row r="77" spans="1:23" s="268" customFormat="1" ht="14.4" customHeight="1">
      <c r="A77" s="339"/>
    </row>
    <row r="78" spans="1:23" s="268" customFormat="1" ht="14.4" customHeight="1">
      <c r="A78" s="339"/>
    </row>
    <row r="79" spans="1:23" s="268" customFormat="1" ht="14.4" customHeight="1">
      <c r="A79" s="342"/>
    </row>
    <row r="80" spans="1:23" s="268" customFormat="1" ht="14.4" customHeight="1">
      <c r="A80" s="341"/>
    </row>
    <row r="81" spans="1:1" s="268" customFormat="1" ht="14.4" customHeight="1">
      <c r="A81" s="339"/>
    </row>
    <row r="82" spans="1:1" s="268" customFormat="1" ht="14.4" customHeight="1">
      <c r="A82" s="339"/>
    </row>
    <row r="83" spans="1:1" s="268" customFormat="1" ht="14.4" customHeight="1">
      <c r="A83" s="342"/>
    </row>
    <row r="84" spans="1:1" s="268" customFormat="1" ht="14.4" customHeight="1">
      <c r="A84" s="341"/>
    </row>
    <row r="85" spans="1:1" s="268" customFormat="1" ht="14.4" customHeight="1">
      <c r="A85" s="339"/>
    </row>
    <row r="86" spans="1:1" s="268" customFormat="1" ht="14.4" customHeight="1">
      <c r="A86" s="339"/>
    </row>
    <row r="87" spans="1:1" s="268" customFormat="1" ht="14.4" customHeight="1">
      <c r="A87" s="342"/>
    </row>
    <row r="88" spans="1:1" s="268" customFormat="1" ht="14.4" customHeight="1">
      <c r="A88" s="342"/>
    </row>
    <row r="89" spans="1:1" s="268" customFormat="1" ht="14.4" customHeight="1">
      <c r="A89" s="342"/>
    </row>
    <row r="90" spans="1:1" s="268" customFormat="1" ht="14.4" customHeight="1">
      <c r="A90" s="342"/>
    </row>
    <row r="91" spans="1:1" s="268" customFormat="1" ht="14.4" customHeight="1"/>
    <row r="92" spans="1:1" s="268" customFormat="1" ht="14.4" customHeight="1"/>
    <row r="93" spans="1:1" ht="14.4" customHeight="1"/>
    <row r="94" spans="1:1" ht="14.4" customHeight="1"/>
    <row r="95" spans="1:1" ht="14.4" customHeight="1"/>
    <row r="96" spans="1:1" ht="14.4" customHeight="1"/>
    <row r="97" spans="11:14" ht="14.4" customHeight="1"/>
    <row r="98" spans="11:14" ht="14.4" customHeight="1"/>
    <row r="99" spans="11:14" ht="14.4" customHeight="1">
      <c r="K99" s="293"/>
      <c r="L99" s="268"/>
      <c r="M99" s="268"/>
      <c r="N99" s="268"/>
    </row>
    <row r="100" spans="11:14" ht="14.4" customHeight="1"/>
    <row r="101" spans="11:14" ht="14.4" customHeight="1"/>
    <row r="102" spans="11:14" ht="14.4" customHeight="1"/>
    <row r="103" spans="11:14" ht="14.4" customHeight="1"/>
    <row r="104" spans="11:14" ht="14.4" customHeight="1"/>
    <row r="105" spans="11:14" ht="14.4" customHeight="1"/>
    <row r="106" spans="11:14" ht="14.4" customHeight="1"/>
    <row r="107" spans="11:14" ht="14.4" customHeight="1"/>
  </sheetData>
  <sheetProtection algorithmName="SHA-512" hashValue="BAG9d0VPuAf9Gg6b4p/6fthS4pLnbWal606Z1zN0vz2saABQRsxDs0ge1L2OBgHC7C0sh2JDBkNqV+E+j9pHNw==" saltValue="zIufPeeEvjlK7iFaMbOBxQ==" spinCount="100000" sheet="1" objects="1" scenarios="1" selectLockedCells="1" selectUnlockedCells="1"/>
  <mergeCells count="157">
    <mergeCell ref="N17:O17"/>
    <mergeCell ref="H19:K19"/>
    <mergeCell ref="L19:M19"/>
    <mergeCell ref="N19:O19"/>
    <mergeCell ref="P19:Q19"/>
    <mergeCell ref="H22:K22"/>
    <mergeCell ref="L22:M22"/>
    <mergeCell ref="N22:O22"/>
    <mergeCell ref="P22:Q22"/>
    <mergeCell ref="A1:Q1"/>
    <mergeCell ref="S1:T1"/>
    <mergeCell ref="S4:T4"/>
    <mergeCell ref="S5:T8"/>
    <mergeCell ref="I14:J14"/>
    <mergeCell ref="S9:T13"/>
    <mergeCell ref="H9:J9"/>
    <mergeCell ref="H5:I5"/>
    <mergeCell ref="H6:I6"/>
    <mergeCell ref="F12:J12"/>
    <mergeCell ref="F10:J10"/>
    <mergeCell ref="F11:J11"/>
    <mergeCell ref="L3:P3"/>
    <mergeCell ref="H7:J7"/>
    <mergeCell ref="F13:J13"/>
    <mergeCell ref="S19:T19"/>
    <mergeCell ref="B20:D20"/>
    <mergeCell ref="H20:K20"/>
    <mergeCell ref="L20:M20"/>
    <mergeCell ref="N20:O20"/>
    <mergeCell ref="P20:Q20"/>
    <mergeCell ref="S20:T26"/>
    <mergeCell ref="B21:D21"/>
    <mergeCell ref="H21:K21"/>
    <mergeCell ref="L21:M21"/>
    <mergeCell ref="B23:D23"/>
    <mergeCell ref="H23:K23"/>
    <mergeCell ref="L23:M23"/>
    <mergeCell ref="N23:O23"/>
    <mergeCell ref="P23:Q23"/>
    <mergeCell ref="B24:D24"/>
    <mergeCell ref="H24:K24"/>
    <mergeCell ref="L24:M24"/>
    <mergeCell ref="N24:O24"/>
    <mergeCell ref="P24:Q24"/>
    <mergeCell ref="N21:O21"/>
    <mergeCell ref="P21:Q21"/>
    <mergeCell ref="B22:D22"/>
    <mergeCell ref="S27:T33"/>
    <mergeCell ref="D28:G28"/>
    <mergeCell ref="H28:K28"/>
    <mergeCell ref="L28:M28"/>
    <mergeCell ref="D29:G29"/>
    <mergeCell ref="H29:K29"/>
    <mergeCell ref="L29:M29"/>
    <mergeCell ref="B25:D25"/>
    <mergeCell ref="H25:K25"/>
    <mergeCell ref="L25:M25"/>
    <mergeCell ref="N25:O25"/>
    <mergeCell ref="P25:Q25"/>
    <mergeCell ref="B26:D26"/>
    <mergeCell ref="H26:K26"/>
    <mergeCell ref="L26:M26"/>
    <mergeCell ref="D30:G30"/>
    <mergeCell ref="H30:K30"/>
    <mergeCell ref="L30:M30"/>
    <mergeCell ref="L31:M31"/>
    <mergeCell ref="L32:M32"/>
    <mergeCell ref="L33:M33"/>
    <mergeCell ref="B27:D27"/>
    <mergeCell ref="H27:K27"/>
    <mergeCell ref="L27:M27"/>
    <mergeCell ref="H36:I36"/>
    <mergeCell ref="P36:Q37"/>
    <mergeCell ref="E37:H37"/>
    <mergeCell ref="I37:J37"/>
    <mergeCell ref="N37:O37"/>
    <mergeCell ref="S37:T37"/>
    <mergeCell ref="N39:O39"/>
    <mergeCell ref="B40:D40"/>
    <mergeCell ref="E40:H40"/>
    <mergeCell ref="I40:J40"/>
    <mergeCell ref="P40:Q40"/>
    <mergeCell ref="N40:O40"/>
    <mergeCell ref="B38:D38"/>
    <mergeCell ref="N38:O38"/>
    <mergeCell ref="E38:H38"/>
    <mergeCell ref="L45:M45"/>
    <mergeCell ref="I45:J45"/>
    <mergeCell ref="P45:Q45"/>
    <mergeCell ref="N45:O45"/>
    <mergeCell ref="S38:T43"/>
    <mergeCell ref="B39:D39"/>
    <mergeCell ref="E39:H39"/>
    <mergeCell ref="I39:J39"/>
    <mergeCell ref="P39:Q39"/>
    <mergeCell ref="E43:H43"/>
    <mergeCell ref="I43:J43"/>
    <mergeCell ref="P43:Q43"/>
    <mergeCell ref="N43:O43"/>
    <mergeCell ref="S44:T46"/>
    <mergeCell ref="C41:D41"/>
    <mergeCell ref="E41:H41"/>
    <mergeCell ref="I41:J41"/>
    <mergeCell ref="P41:Q41"/>
    <mergeCell ref="N41:O41"/>
    <mergeCell ref="E42:H42"/>
    <mergeCell ref="I42:J42"/>
    <mergeCell ref="P42:Q42"/>
    <mergeCell ref="N42:O42"/>
    <mergeCell ref="P38:Q38"/>
    <mergeCell ref="L49:M49"/>
    <mergeCell ref="N49:O49"/>
    <mergeCell ref="B50:D50"/>
    <mergeCell ref="E50:H50"/>
    <mergeCell ref="I50:J50"/>
    <mergeCell ref="L50:M50"/>
    <mergeCell ref="N50:O50"/>
    <mergeCell ref="B51:D51"/>
    <mergeCell ref="E51:H51"/>
    <mergeCell ref="I51:J51"/>
    <mergeCell ref="F45:G45"/>
    <mergeCell ref="P5:Q6"/>
    <mergeCell ref="E52:H52"/>
    <mergeCell ref="I52:J52"/>
    <mergeCell ref="E53:H53"/>
    <mergeCell ref="I53:J53"/>
    <mergeCell ref="E54:H54"/>
    <mergeCell ref="I54:J54"/>
    <mergeCell ref="S64:T64"/>
    <mergeCell ref="M64:Q64"/>
    <mergeCell ref="A64:L64"/>
    <mergeCell ref="I38:J38"/>
    <mergeCell ref="B47:D47"/>
    <mergeCell ref="E47:H47"/>
    <mergeCell ref="I47:J47"/>
    <mergeCell ref="S47:T51"/>
    <mergeCell ref="B48:D48"/>
    <mergeCell ref="E48:H48"/>
    <mergeCell ref="I48:J48"/>
    <mergeCell ref="L48:M48"/>
    <mergeCell ref="N48:O48"/>
    <mergeCell ref="B49:D49"/>
    <mergeCell ref="E49:H49"/>
    <mergeCell ref="I49:J49"/>
    <mergeCell ref="C57:D57"/>
    <mergeCell ref="E57:H57"/>
    <mergeCell ref="I57:J57"/>
    <mergeCell ref="I58:J58"/>
    <mergeCell ref="I59:J59"/>
    <mergeCell ref="I60:J60"/>
    <mergeCell ref="S52:T60"/>
    <mergeCell ref="C55:D55"/>
    <mergeCell ref="E55:H55"/>
    <mergeCell ref="I55:J55"/>
    <mergeCell ref="C56:D56"/>
    <mergeCell ref="E56:H56"/>
    <mergeCell ref="I56:J56"/>
  </mergeCells>
  <conditionalFormatting sqref="B38:D40">
    <cfRule type="cellIs" dxfId="186" priority="6" stopIfTrue="1" operator="equal">
      <formula>"Make a selection FIRST --&gt;"</formula>
    </cfRule>
  </conditionalFormatting>
  <conditionalFormatting sqref="J46">
    <cfRule type="cellIs" dxfId="185" priority="5" operator="equal">
      <formula>"No"</formula>
    </cfRule>
  </conditionalFormatting>
  <conditionalFormatting sqref="J44">
    <cfRule type="cellIs" dxfId="184" priority="4" operator="equal">
      <formula>"No"</formula>
    </cfRule>
  </conditionalFormatting>
  <conditionalFormatting sqref="D43">
    <cfRule type="cellIs" dxfId="183" priority="3" operator="greaterThan">
      <formula>50.000001%</formula>
    </cfRule>
  </conditionalFormatting>
  <conditionalFormatting sqref="P45:Q45">
    <cfRule type="cellIs" dxfId="182" priority="1" operator="notEqual">
      <formula>0</formula>
    </cfRule>
  </conditionalFormatting>
  <dataValidations count="3">
    <dataValidation type="list" allowBlank="1" showInputMessage="1" showErrorMessage="1" sqref="N38:O42" xr:uid="{00000000-0002-0000-0300-000000000000}">
      <formula1>"Amortizing, DCA HOME IPS, Cash Flow, Adjusted Interest"</formula1>
    </dataValidation>
    <dataValidation type="list" allowBlank="1" showInputMessage="1" showErrorMessage="1" sqref="E12 E5:E6 E14 L5:L14 B5:B14 E8:E10 O5" xr:uid="{00000000-0002-0000-0300-000001000000}">
      <formula1>"Yes, No"</formula1>
    </dataValidation>
    <dataValidation type="list" allowBlank="1" showInputMessage="1" showErrorMessage="1" sqref="N43:O43 P44:Q44 P46:Q46" xr:uid="{00000000-0002-0000-0300-000002000000}">
      <formula1>"Amortizing, Cash Flow"</formula1>
    </dataValidation>
  </dataValidations>
  <printOptions horizontalCentered="1"/>
  <pageMargins left="0.25" right="0.25" top="0.5" bottom="0.5" header="0.25" footer="0.25"/>
  <pageSetup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1" manualBreakCount="1">
    <brk id="33" max="16383" man="1"/>
  </rowBreaks>
  <ignoredErrors>
    <ignoredError sqref="P38:P41 P43" unlockedFormula="1"/>
  </ignoredErrors>
  <legacyDrawingHF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6">
    <pageSetUpPr fitToPage="1"/>
  </sheetPr>
  <dimension ref="A1:Q744"/>
  <sheetViews>
    <sheetView showGridLines="0" workbookViewId="0">
      <selection activeCell="J42" sqref="J42"/>
    </sheetView>
  </sheetViews>
  <sheetFormatPr defaultColWidth="8.88671875" defaultRowHeight="13.2"/>
  <cols>
    <col min="1" max="1" width="17.88671875" style="27" customWidth="1"/>
    <col min="2" max="5" width="16.88671875" style="27" customWidth="1"/>
    <col min="6" max="6" width="4.88671875" style="27" bestFit="1" customWidth="1"/>
    <col min="7" max="7" width="11.109375" style="27" customWidth="1"/>
    <col min="8" max="8" width="12.109375" style="27" bestFit="1" customWidth="1"/>
    <col min="9" max="9" width="12.44140625" style="27" bestFit="1" customWidth="1"/>
    <col min="10" max="10" width="11.88671875" style="27" bestFit="1" customWidth="1"/>
    <col min="11" max="11" width="15.109375" style="27" bestFit="1" customWidth="1"/>
    <col min="12" max="16384" width="8.88671875" style="27"/>
  </cols>
  <sheetData>
    <row r="1" spans="1:17" s="164" customFormat="1" ht="16.350000000000001" customHeight="1">
      <c r="A1" s="2526" t="e">
        <f>CONCATENATE("PART III B: USD 538 LOAN","  -  ",#REF!," ",#REF!,", ",#REF!,", ",#REF!," County")</f>
        <v>#REF!</v>
      </c>
      <c r="B1" s="2527"/>
      <c r="C1" s="2527"/>
      <c r="D1" s="2527"/>
      <c r="E1" s="2527"/>
      <c r="F1" s="2528"/>
      <c r="G1" s="162"/>
      <c r="H1" s="162"/>
      <c r="I1" s="162"/>
      <c r="J1" s="162"/>
      <c r="K1" s="162"/>
      <c r="L1" s="162"/>
      <c r="M1" s="162"/>
      <c r="N1" s="162"/>
      <c r="O1" s="162"/>
      <c r="P1" s="162"/>
      <c r="Q1" s="162"/>
    </row>
    <row r="2" spans="1:17" ht="11.1" customHeight="1">
      <c r="A2" s="193"/>
      <c r="B2" s="193"/>
      <c r="C2" s="193"/>
      <c r="D2" s="193"/>
      <c r="E2" s="193"/>
      <c r="F2" s="193"/>
      <c r="G2" s="193"/>
      <c r="H2" s="193"/>
    </row>
    <row r="3" spans="1:17" ht="14.4" customHeight="1">
      <c r="A3" s="2535" t="s">
        <v>213</v>
      </c>
      <c r="B3" s="2535"/>
      <c r="C3" s="2535"/>
      <c r="D3" s="2535"/>
      <c r="E3" s="2535"/>
      <c r="F3" s="2535"/>
      <c r="G3" s="193"/>
      <c r="H3" s="193"/>
    </row>
    <row r="4" spans="1:17" s="181" customFormat="1" ht="6" customHeight="1"/>
    <row r="5" spans="1:17">
      <c r="A5" s="33" t="s">
        <v>2197</v>
      </c>
      <c r="B5" s="33"/>
      <c r="C5" s="257"/>
      <c r="D5" s="258">
        <f>IF(C5&gt;1500000,1500000,0)</f>
        <v>0</v>
      </c>
      <c r="E5" s="259">
        <f>IF(C5&gt;1500000,C5-1500000,0)</f>
        <v>0</v>
      </c>
    </row>
    <row r="6" spans="1:17">
      <c r="A6" s="33" t="s">
        <v>2399</v>
      </c>
      <c r="B6" s="214" t="s">
        <v>494</v>
      </c>
      <c r="C6" s="260">
        <v>0</v>
      </c>
      <c r="D6" s="117" t="s">
        <v>495</v>
      </c>
      <c r="E6" s="33"/>
    </row>
    <row r="7" spans="1:17">
      <c r="A7" s="33"/>
      <c r="B7" s="214" t="s">
        <v>2415</v>
      </c>
      <c r="C7" s="261"/>
      <c r="D7" s="117" t="s">
        <v>1624</v>
      </c>
      <c r="E7" s="33"/>
    </row>
    <row r="8" spans="1:17" ht="13.35" customHeight="1">
      <c r="A8" s="33" t="s">
        <v>2403</v>
      </c>
      <c r="B8" s="33"/>
      <c r="C8" s="260">
        <v>0</v>
      </c>
      <c r="D8" s="117" t="s">
        <v>1625</v>
      </c>
      <c r="E8" s="33"/>
    </row>
    <row r="9" spans="1:17">
      <c r="A9" s="33" t="s">
        <v>1358</v>
      </c>
      <c r="B9" s="33"/>
      <c r="C9" s="262"/>
      <c r="D9" s="33"/>
      <c r="E9" s="33"/>
    </row>
    <row r="10" spans="1:17">
      <c r="A10" s="33" t="s">
        <v>1359</v>
      </c>
      <c r="B10" s="33"/>
      <c r="C10" s="262"/>
      <c r="D10" s="33"/>
      <c r="E10" s="33"/>
    </row>
    <row r="11" spans="1:17">
      <c r="A11" s="33" t="s">
        <v>1356</v>
      </c>
      <c r="B11" s="33"/>
      <c r="C11" s="263" t="e">
        <f>PMT(C7/12,C10*12,-C5,0,0)*12</f>
        <v>#NUM!</v>
      </c>
      <c r="D11" s="258" t="e">
        <f>PMT($C$7/12,$C$10*12,-D5,0,0)*12</f>
        <v>#NUM!</v>
      </c>
      <c r="E11" s="258" t="e">
        <f>PMT($C$7/12,$C$10*12,-E5,0,0)*12</f>
        <v>#NUM!</v>
      </c>
    </row>
    <row r="12" spans="1:17">
      <c r="A12" s="33" t="s">
        <v>1357</v>
      </c>
      <c r="B12" s="33"/>
      <c r="C12" s="264" t="e">
        <f>C11/12</f>
        <v>#NUM!</v>
      </c>
      <c r="D12" s="258" t="e">
        <f>D11/12</f>
        <v>#NUM!</v>
      </c>
      <c r="E12" s="258" t="e">
        <f>E11/12</f>
        <v>#NUM!</v>
      </c>
    </row>
    <row r="13" spans="1:17" ht="11.1" customHeight="1">
      <c r="A13" s="193"/>
      <c r="B13" s="193"/>
      <c r="C13" s="193"/>
      <c r="D13" s="193"/>
      <c r="E13" s="193"/>
      <c r="F13" s="193"/>
      <c r="G13" s="193"/>
      <c r="H13" s="193"/>
    </row>
    <row r="14" spans="1:17" ht="12.6" customHeight="1">
      <c r="A14" s="2536" t="s">
        <v>125</v>
      </c>
      <c r="B14" s="2536"/>
      <c r="C14" s="2536"/>
      <c r="D14" s="2536"/>
      <c r="E14" s="2536"/>
      <c r="F14" s="2536"/>
      <c r="G14" s="193"/>
      <c r="H14" s="193"/>
    </row>
    <row r="15" spans="1:17" ht="5.4" customHeight="1">
      <c r="A15" s="28"/>
      <c r="E15" s="204"/>
      <c r="F15" s="193"/>
      <c r="G15" s="193"/>
      <c r="H15" s="193"/>
    </row>
    <row r="16" spans="1:17" ht="13.35" customHeight="1">
      <c r="A16" s="206" t="s">
        <v>2416</v>
      </c>
      <c r="B16" s="207" t="s">
        <v>2413</v>
      </c>
      <c r="C16" s="207" t="s">
        <v>2414</v>
      </c>
      <c r="D16" s="2532" t="s">
        <v>2196</v>
      </c>
      <c r="E16" s="2532"/>
      <c r="F16" s="193"/>
      <c r="G16" s="193"/>
      <c r="H16" s="193"/>
    </row>
    <row r="17" spans="1:8" ht="12.6" customHeight="1">
      <c r="A17" s="80">
        <v>1</v>
      </c>
      <c r="B17" s="182">
        <f>IF(A17&gt;$C$9,0,SUM(C64:C75)*($C$6/$C$7))</f>
        <v>0</v>
      </c>
      <c r="C17" s="205">
        <f>IF(A17&gt;C9,0,(E63+K63)*$C$8)</f>
        <v>0</v>
      </c>
      <c r="D17" s="2537">
        <f t="shared" ref="D17:D56" si="0">IF(A17&gt;$C$9,0,$C$11+C17)</f>
        <v>0</v>
      </c>
      <c r="E17" s="2537"/>
      <c r="F17" s="193"/>
      <c r="G17" s="193"/>
      <c r="H17" s="193"/>
    </row>
    <row r="18" spans="1:8" ht="12.6" customHeight="1">
      <c r="A18" s="80">
        <v>2</v>
      </c>
      <c r="B18" s="182">
        <f>IF(A18&gt;C9,0,SUM(C76:C87)*($C$6/$C$7))</f>
        <v>0</v>
      </c>
      <c r="C18" s="212">
        <f>IF(A18&gt;C9,0,(E75+K75)*$C$8)</f>
        <v>0</v>
      </c>
      <c r="D18" s="2529">
        <f t="shared" si="0"/>
        <v>0</v>
      </c>
      <c r="E18" s="2529"/>
      <c r="F18" s="193"/>
      <c r="G18" s="193"/>
      <c r="H18" s="193"/>
    </row>
    <row r="19" spans="1:8" ht="12.6" customHeight="1">
      <c r="A19" s="80">
        <v>3</v>
      </c>
      <c r="B19" s="182">
        <f>IF(A19&gt;C9,0,SUM(C88:C99)*($C$6/$C$7))</f>
        <v>0</v>
      </c>
      <c r="C19" s="205">
        <f>IF(A19&gt;C9,0,(E87+K87)*$C$8)</f>
        <v>0</v>
      </c>
      <c r="D19" s="2529">
        <f t="shared" si="0"/>
        <v>0</v>
      </c>
      <c r="E19" s="2529"/>
      <c r="F19" s="193"/>
      <c r="G19" s="193"/>
      <c r="H19" s="193"/>
    </row>
    <row r="20" spans="1:8" ht="12.6" customHeight="1">
      <c r="A20" s="80">
        <v>4</v>
      </c>
      <c r="B20" s="182">
        <f>IF(A20&gt;C9,0,SUM(C100:C111)*($C$6/$C$7))</f>
        <v>0</v>
      </c>
      <c r="C20" s="205">
        <f>IF(A20&gt;C9,0,(E99+K99)*$C$8)</f>
        <v>0</v>
      </c>
      <c r="D20" s="2529">
        <f t="shared" si="0"/>
        <v>0</v>
      </c>
      <c r="E20" s="2529"/>
      <c r="F20" s="193"/>
      <c r="G20" s="193"/>
      <c r="H20" s="193"/>
    </row>
    <row r="21" spans="1:8" ht="12.6" customHeight="1">
      <c r="A21" s="80">
        <v>5</v>
      </c>
      <c r="B21" s="182">
        <f>IF(A21&gt;C9,0,SUM(C112:C123)*($C$6/$C$7))</f>
        <v>0</v>
      </c>
      <c r="C21" s="205">
        <f>IF(A21&gt;C9,0,(E111+K111)*$C$8)</f>
        <v>0</v>
      </c>
      <c r="D21" s="2530">
        <f t="shared" si="0"/>
        <v>0</v>
      </c>
      <c r="E21" s="2530"/>
      <c r="F21" s="193"/>
      <c r="G21" s="193"/>
      <c r="H21" s="193"/>
    </row>
    <row r="22" spans="1:8" ht="12.6" customHeight="1">
      <c r="A22" s="183">
        <v>6</v>
      </c>
      <c r="B22" s="184">
        <f>IF(A22&gt;C9,0,SUM(C124:C135)*($C$6/$C$7))</f>
        <v>0</v>
      </c>
      <c r="C22" s="209">
        <f>IF(A22&gt;C9,0,(E123+K123)*$C$8)</f>
        <v>0</v>
      </c>
      <c r="D22" s="2529">
        <f t="shared" si="0"/>
        <v>0</v>
      </c>
      <c r="E22" s="2529"/>
      <c r="F22" s="193"/>
      <c r="G22" s="193"/>
      <c r="H22" s="193"/>
    </row>
    <row r="23" spans="1:8" ht="12.6" customHeight="1">
      <c r="A23" s="185">
        <v>7</v>
      </c>
      <c r="B23" s="186">
        <f>IF(A23&gt;C9,0,SUM(C136:C147)*($C$6/$C$7))</f>
        <v>0</v>
      </c>
      <c r="C23" s="187">
        <f>IF(A23&gt;C9,0,(E135+K135)*$C$8)</f>
        <v>0</v>
      </c>
      <c r="D23" s="2529">
        <f t="shared" si="0"/>
        <v>0</v>
      </c>
      <c r="E23" s="2529"/>
      <c r="F23" s="193"/>
      <c r="G23" s="193"/>
      <c r="H23" s="193"/>
    </row>
    <row r="24" spans="1:8" ht="12.6" customHeight="1">
      <c r="A24" s="185">
        <v>8</v>
      </c>
      <c r="B24" s="186">
        <f>IF(A24&gt;C9,0,SUM(C148:C159)*($C$6/$C$7))</f>
        <v>0</v>
      </c>
      <c r="C24" s="187">
        <f>IF(A24&gt;C9,0,(E147+K147)*$C$8)</f>
        <v>0</v>
      </c>
      <c r="D24" s="2529">
        <f t="shared" si="0"/>
        <v>0</v>
      </c>
      <c r="E24" s="2529"/>
      <c r="F24" s="193"/>
      <c r="G24" s="193"/>
      <c r="H24" s="193"/>
    </row>
    <row r="25" spans="1:8" ht="12.6" customHeight="1">
      <c r="A25" s="185">
        <v>9</v>
      </c>
      <c r="B25" s="186">
        <f>IF(A25&gt;C9,0,SUM(C160:C171)*($C$6/$C$7))</f>
        <v>0</v>
      </c>
      <c r="C25" s="187">
        <f>IF(A25&gt;C9,0,(E159+K159)*$C$8)</f>
        <v>0</v>
      </c>
      <c r="D25" s="2529">
        <f t="shared" si="0"/>
        <v>0</v>
      </c>
      <c r="E25" s="2529"/>
      <c r="F25" s="193"/>
      <c r="G25" s="193"/>
      <c r="H25" s="193"/>
    </row>
    <row r="26" spans="1:8" ht="12.6" customHeight="1">
      <c r="A26" s="188">
        <v>10</v>
      </c>
      <c r="B26" s="189">
        <f>IF(A26&gt;C9,0,SUM(C172:C183)*($C$6/$C$7))</f>
        <v>0</v>
      </c>
      <c r="C26" s="208">
        <f>IF(A26&gt;C9,0,(E171+K171)*$C$8)</f>
        <v>0</v>
      </c>
      <c r="D26" s="2530">
        <f t="shared" si="0"/>
        <v>0</v>
      </c>
      <c r="E26" s="2530"/>
      <c r="F26" s="193"/>
      <c r="G26" s="193"/>
      <c r="H26" s="193"/>
    </row>
    <row r="27" spans="1:8" ht="12.6" customHeight="1">
      <c r="A27" s="190">
        <v>11</v>
      </c>
      <c r="B27" s="182">
        <f>IF(A27&gt;C9,0,SUM(C184:C195)*($C$6/$C$7))</f>
        <v>0</v>
      </c>
      <c r="C27" s="205">
        <f>IF(A27&gt;C9,0,(E183+K183)*$C$8)</f>
        <v>0</v>
      </c>
      <c r="D27" s="2529">
        <f t="shared" si="0"/>
        <v>0</v>
      </c>
      <c r="E27" s="2529"/>
      <c r="F27" s="193"/>
      <c r="G27" s="193"/>
      <c r="H27" s="193"/>
    </row>
    <row r="28" spans="1:8" ht="12.6" customHeight="1">
      <c r="A28" s="190">
        <v>12</v>
      </c>
      <c r="B28" s="182">
        <f>IF(A28&gt;C9,0,SUM(C196:C207)*($C$6/$C$7))</f>
        <v>0</v>
      </c>
      <c r="C28" s="205">
        <f>IF(A28&gt;C9,0,(E195+K195)*$C$8)</f>
        <v>0</v>
      </c>
      <c r="D28" s="2529">
        <f t="shared" si="0"/>
        <v>0</v>
      </c>
      <c r="E28" s="2529"/>
      <c r="F28" s="193"/>
      <c r="G28" s="193"/>
      <c r="H28" s="193"/>
    </row>
    <row r="29" spans="1:8" ht="12.6" customHeight="1">
      <c r="A29" s="190">
        <v>13</v>
      </c>
      <c r="B29" s="182">
        <f>IF(A29&gt;C9,0,SUM(C208:C219)*($C$6/$C$7))</f>
        <v>0</v>
      </c>
      <c r="C29" s="205">
        <f>IF(A29&gt;C9,0,(E207+K207)*$C$8)</f>
        <v>0</v>
      </c>
      <c r="D29" s="2529">
        <f t="shared" si="0"/>
        <v>0</v>
      </c>
      <c r="E29" s="2529"/>
      <c r="F29" s="193"/>
      <c r="G29" s="193"/>
      <c r="H29" s="193"/>
    </row>
    <row r="30" spans="1:8" ht="12.6" customHeight="1">
      <c r="A30" s="190">
        <v>14</v>
      </c>
      <c r="B30" s="182">
        <f>IF(A30&gt;C9,0,SUM(C220:C231)*($C$6/$C$7))</f>
        <v>0</v>
      </c>
      <c r="C30" s="205">
        <f>IF(A30&gt;C9,0,(E219+K219)*$C$8)</f>
        <v>0</v>
      </c>
      <c r="D30" s="2529">
        <f t="shared" si="0"/>
        <v>0</v>
      </c>
      <c r="E30" s="2529"/>
      <c r="F30" s="193"/>
      <c r="G30" s="193"/>
      <c r="H30" s="193"/>
    </row>
    <row r="31" spans="1:8" ht="12.6" customHeight="1">
      <c r="A31" s="190">
        <v>15</v>
      </c>
      <c r="B31" s="182">
        <f>IF(A31&gt;C9,0,SUM(C232:C243)*($C$6/$C$7))</f>
        <v>0</v>
      </c>
      <c r="C31" s="205">
        <f>IF(A31&gt;C9,0,(E231+K231)*$C$8)</f>
        <v>0</v>
      </c>
      <c r="D31" s="2530">
        <f t="shared" si="0"/>
        <v>0</v>
      </c>
      <c r="E31" s="2530"/>
      <c r="F31" s="193"/>
      <c r="G31" s="193"/>
      <c r="H31" s="193"/>
    </row>
    <row r="32" spans="1:8" ht="12.6" customHeight="1">
      <c r="A32" s="192">
        <v>16</v>
      </c>
      <c r="B32" s="184">
        <f>IF(A32&gt;C9,0,SUM(C244:C255)*($C$6/$C$7))</f>
        <v>0</v>
      </c>
      <c r="C32" s="209">
        <f>IF(A32&gt;C9,0,(E243+K243)*$C$8)</f>
        <v>0</v>
      </c>
      <c r="D32" s="2529">
        <f t="shared" si="0"/>
        <v>0</v>
      </c>
      <c r="E32" s="2529"/>
      <c r="F32" s="193"/>
      <c r="G32" s="193"/>
      <c r="H32" s="193"/>
    </row>
    <row r="33" spans="1:8" ht="12.6" customHeight="1">
      <c r="A33" s="185">
        <v>17</v>
      </c>
      <c r="B33" s="186">
        <f>IF(A33&gt;C9,0,SUM(C256:C267)*($C$6/$C$7))</f>
        <v>0</v>
      </c>
      <c r="C33" s="187">
        <f>IF(A33&gt;C9,0,(E255+K255)*$C$8)</f>
        <v>0</v>
      </c>
      <c r="D33" s="2529">
        <f t="shared" si="0"/>
        <v>0</v>
      </c>
      <c r="E33" s="2529"/>
      <c r="F33" s="193"/>
      <c r="G33" s="193"/>
      <c r="H33" s="193"/>
    </row>
    <row r="34" spans="1:8" ht="12.6" customHeight="1">
      <c r="A34" s="185">
        <v>18</v>
      </c>
      <c r="B34" s="186">
        <f>IF(A34&gt;C9,0,SUM(C268:C279)*($C$6/$C$7))</f>
        <v>0</v>
      </c>
      <c r="C34" s="187">
        <f>IF(A34&gt;C9,0,(E267+K267)*$C$8)</f>
        <v>0</v>
      </c>
      <c r="D34" s="2529">
        <f t="shared" si="0"/>
        <v>0</v>
      </c>
      <c r="E34" s="2529"/>
      <c r="F34" s="193"/>
      <c r="G34" s="193"/>
      <c r="H34" s="193"/>
    </row>
    <row r="35" spans="1:8" ht="12.6" customHeight="1">
      <c r="A35" s="185">
        <v>19</v>
      </c>
      <c r="B35" s="186">
        <f>IF(A35&gt;C9,0,SUM(C280:C291)*($C$6/$C$7))</f>
        <v>0</v>
      </c>
      <c r="C35" s="187">
        <f>IF(A35&gt;C9,0,(E279+K279)*$C$8)</f>
        <v>0</v>
      </c>
      <c r="D35" s="2529">
        <f t="shared" si="0"/>
        <v>0</v>
      </c>
      <c r="E35" s="2529"/>
      <c r="F35" s="193"/>
      <c r="G35" s="193"/>
      <c r="H35" s="193"/>
    </row>
    <row r="36" spans="1:8" ht="12.6" customHeight="1">
      <c r="A36" s="188">
        <v>20</v>
      </c>
      <c r="B36" s="189">
        <f>IF(A36&gt;C9,0,SUM(C292:C303)*($C$6/$C$7))</f>
        <v>0</v>
      </c>
      <c r="C36" s="208">
        <f>IF(A36&gt;C9,0,(E291+K291)*$C$8)</f>
        <v>0</v>
      </c>
      <c r="D36" s="2530">
        <f t="shared" si="0"/>
        <v>0</v>
      </c>
      <c r="E36" s="2530"/>
      <c r="F36" s="193"/>
      <c r="G36" s="193"/>
      <c r="H36" s="193"/>
    </row>
    <row r="37" spans="1:8" ht="12.6" customHeight="1">
      <c r="A37" s="80">
        <v>21</v>
      </c>
      <c r="B37" s="184">
        <f>IF(A37&gt;C9,0,SUM(C293:C304)*($C$6/$C$7))</f>
        <v>0</v>
      </c>
      <c r="C37" s="209">
        <f>IF(A37&gt;C9,0,(E303+K303)*$C$8)</f>
        <v>0</v>
      </c>
      <c r="D37" s="2531">
        <f t="shared" si="0"/>
        <v>0</v>
      </c>
      <c r="E37" s="2531"/>
      <c r="F37" s="193"/>
      <c r="G37" s="193"/>
      <c r="H37" s="193"/>
    </row>
    <row r="38" spans="1:8" ht="12.6" customHeight="1">
      <c r="A38" s="80">
        <v>22</v>
      </c>
      <c r="B38" s="186">
        <f>IF(A38&gt;C9,0,SUM(C294:C305)*($C$6/$C$7))</f>
        <v>0</v>
      </c>
      <c r="C38" s="187">
        <f>IF(A38&gt;C9,0,(E315+K315)*$C$8)</f>
        <v>0</v>
      </c>
      <c r="D38" s="2529">
        <f t="shared" si="0"/>
        <v>0</v>
      </c>
      <c r="E38" s="2529"/>
      <c r="F38" s="193"/>
      <c r="G38" s="193"/>
      <c r="H38" s="193"/>
    </row>
    <row r="39" spans="1:8" ht="12.6" customHeight="1">
      <c r="A39" s="80">
        <v>23</v>
      </c>
      <c r="B39" s="186">
        <f>IF(A39&gt;C9,0,SUM(C295:C306)*($C$6/$C$7))</f>
        <v>0</v>
      </c>
      <c r="C39" s="187">
        <f>IF(A39&gt;C9,0,(E327+K327)*$C$8)</f>
        <v>0</v>
      </c>
      <c r="D39" s="2529">
        <f t="shared" si="0"/>
        <v>0</v>
      </c>
      <c r="E39" s="2529"/>
      <c r="F39" s="193"/>
      <c r="G39" s="193"/>
      <c r="H39" s="193"/>
    </row>
    <row r="40" spans="1:8" ht="12.6" customHeight="1">
      <c r="A40" s="80">
        <v>24</v>
      </c>
      <c r="B40" s="186">
        <f>IF(A40&gt;C9,0,SUM(C296:C307)*($C$6/$C$7))</f>
        <v>0</v>
      </c>
      <c r="C40" s="187">
        <f>IF(A40&gt;C9,0,(E339+K339)*$C$8)</f>
        <v>0</v>
      </c>
      <c r="D40" s="2529">
        <f t="shared" si="0"/>
        <v>0</v>
      </c>
      <c r="E40" s="2529"/>
      <c r="F40" s="193"/>
      <c r="G40" s="193"/>
      <c r="H40" s="193"/>
    </row>
    <row r="41" spans="1:8" ht="12.6" customHeight="1">
      <c r="A41" s="80">
        <v>25</v>
      </c>
      <c r="B41" s="189">
        <f>IF(A41&gt;C9,0,SUM(C297:C308)*($C$6/$C$7))</f>
        <v>0</v>
      </c>
      <c r="C41" s="208">
        <f>IF(A41&gt;C9,0,(E351+K351)*$C$8)</f>
        <v>0</v>
      </c>
      <c r="D41" s="2530">
        <f t="shared" si="0"/>
        <v>0</v>
      </c>
      <c r="E41" s="2530"/>
      <c r="F41" s="193"/>
      <c r="G41" s="193"/>
      <c r="H41" s="193"/>
    </row>
    <row r="42" spans="1:8" ht="12.6" customHeight="1">
      <c r="A42" s="183">
        <v>26</v>
      </c>
      <c r="B42" s="184">
        <f>IF(A42&gt;C9,0,SUM(C298:C309)*($C$6/$C$7))</f>
        <v>0</v>
      </c>
      <c r="C42" s="209">
        <f>IF(A42&gt;C9,0,(E363+K363)*$C$8)</f>
        <v>0</v>
      </c>
      <c r="D42" s="2531">
        <f t="shared" si="0"/>
        <v>0</v>
      </c>
      <c r="E42" s="2531"/>
      <c r="F42" s="193"/>
      <c r="G42" s="193"/>
      <c r="H42" s="193"/>
    </row>
    <row r="43" spans="1:8" ht="12.6" customHeight="1">
      <c r="A43" s="185">
        <v>27</v>
      </c>
      <c r="B43" s="186">
        <f>IF(A43&gt;C9,0,SUM(C299:C310)*($C$6/$C$7))</f>
        <v>0</v>
      </c>
      <c r="C43" s="187">
        <f>IF(A43&gt;C9,0,(E375+K375)*$C$8)</f>
        <v>0</v>
      </c>
      <c r="D43" s="2529">
        <f t="shared" si="0"/>
        <v>0</v>
      </c>
      <c r="E43" s="2529"/>
      <c r="F43" s="193"/>
      <c r="G43" s="193"/>
      <c r="H43" s="193"/>
    </row>
    <row r="44" spans="1:8" ht="12.6" customHeight="1">
      <c r="A44" s="185">
        <v>28</v>
      </c>
      <c r="B44" s="186">
        <f>IF(A44&gt;C9,0,SUM(C300:C311)*($C$6/$C$7))</f>
        <v>0</v>
      </c>
      <c r="C44" s="187">
        <f>IF(A44&gt;C9,0,(E387+K387)*$C$8)</f>
        <v>0</v>
      </c>
      <c r="D44" s="2529">
        <f t="shared" si="0"/>
        <v>0</v>
      </c>
      <c r="E44" s="2529"/>
      <c r="F44" s="193"/>
      <c r="G44" s="193"/>
      <c r="H44" s="193"/>
    </row>
    <row r="45" spans="1:8" ht="12.6" customHeight="1">
      <c r="A45" s="185">
        <v>29</v>
      </c>
      <c r="B45" s="186">
        <f>IF(A45&gt;C9,0,SUM(C301:C312)*($C$6/$C$7))</f>
        <v>0</v>
      </c>
      <c r="C45" s="187">
        <f>IF(A45&gt;C9,0,(E411+K411)*$C$8)</f>
        <v>0</v>
      </c>
      <c r="D45" s="2529">
        <f t="shared" si="0"/>
        <v>0</v>
      </c>
      <c r="E45" s="2529"/>
      <c r="F45" s="193"/>
      <c r="G45" s="193"/>
      <c r="H45" s="193"/>
    </row>
    <row r="46" spans="1:8" ht="12.6" customHeight="1">
      <c r="A46" s="188">
        <v>30</v>
      </c>
      <c r="B46" s="189">
        <f>IF(A46&gt;C9,0,SUM(C302:C313)*($C$6/$C$7))</f>
        <v>0</v>
      </c>
      <c r="C46" s="208">
        <f>IF(A46&gt;C9,0,(E423+K423)*$C$8)</f>
        <v>0</v>
      </c>
      <c r="D46" s="2530">
        <f t="shared" si="0"/>
        <v>0</v>
      </c>
      <c r="E46" s="2530"/>
      <c r="F46" s="193"/>
      <c r="G46" s="193"/>
      <c r="H46" s="193"/>
    </row>
    <row r="47" spans="1:8" ht="12.6" customHeight="1">
      <c r="A47" s="192">
        <v>31</v>
      </c>
      <c r="B47" s="184">
        <f>IF(A47&gt;C9,0,SUM(C303:C314)*($C$6/$C$7))</f>
        <v>0</v>
      </c>
      <c r="C47" s="209">
        <f>IF(A47&gt;C9,0,(E435+K435)*$C$8)</f>
        <v>0</v>
      </c>
      <c r="D47" s="2531">
        <f t="shared" si="0"/>
        <v>0</v>
      </c>
      <c r="E47" s="2531"/>
      <c r="F47" s="193"/>
      <c r="G47" s="193"/>
      <c r="H47" s="193"/>
    </row>
    <row r="48" spans="1:8" ht="12.6" customHeight="1">
      <c r="A48" s="185">
        <v>32</v>
      </c>
      <c r="B48" s="186">
        <f>IF(A48&gt;C9,0,SUM(C304:C315)*($C$6/$C$7))</f>
        <v>0</v>
      </c>
      <c r="C48" s="187">
        <f>IF(A48&gt;C9,0,(E447+K447)*$C$8)</f>
        <v>0</v>
      </c>
      <c r="D48" s="2529">
        <f t="shared" si="0"/>
        <v>0</v>
      </c>
      <c r="E48" s="2529"/>
      <c r="F48" s="193"/>
      <c r="G48" s="193"/>
      <c r="H48" s="193"/>
    </row>
    <row r="49" spans="1:12" ht="12.6" customHeight="1">
      <c r="A49" s="185">
        <v>33</v>
      </c>
      <c r="B49" s="186">
        <f>IF(A49&gt;C9,0,SUM(C305:C316)*($C$6/$C$7))</f>
        <v>0</v>
      </c>
      <c r="C49" s="187">
        <f>IF(A49&gt;C9,0,(E459+K459)*$C$8)</f>
        <v>0</v>
      </c>
      <c r="D49" s="2529">
        <f t="shared" si="0"/>
        <v>0</v>
      </c>
      <c r="E49" s="2529"/>
      <c r="F49" s="193"/>
      <c r="G49" s="193"/>
      <c r="H49" s="193"/>
    </row>
    <row r="50" spans="1:12" ht="12.6" customHeight="1">
      <c r="A50" s="185">
        <v>34</v>
      </c>
      <c r="B50" s="186">
        <f>IF(A50&gt;C9,0,SUM(C306:C317)*($C$6/$C$7))</f>
        <v>0</v>
      </c>
      <c r="C50" s="187">
        <f>IF(A50&gt;C9,0,(E471+K471)*$C$8)</f>
        <v>0</v>
      </c>
      <c r="D50" s="2529">
        <f t="shared" si="0"/>
        <v>0</v>
      </c>
      <c r="E50" s="2529"/>
      <c r="F50" s="193"/>
      <c r="G50" s="193"/>
      <c r="H50" s="193"/>
    </row>
    <row r="51" spans="1:12" ht="12.6" customHeight="1">
      <c r="A51" s="188">
        <v>35</v>
      </c>
      <c r="B51" s="189">
        <f>IF(A51&gt;C9,0,SUM(C307:C318)*($C$6/$C$7))</f>
        <v>0</v>
      </c>
      <c r="C51" s="208">
        <f>IF(A51&gt;C9,0,(E483+K483)*$C$8)</f>
        <v>0</v>
      </c>
      <c r="D51" s="2530">
        <f t="shared" si="0"/>
        <v>0</v>
      </c>
      <c r="E51" s="2530"/>
      <c r="F51" s="193"/>
      <c r="G51" s="193"/>
      <c r="H51" s="193"/>
    </row>
    <row r="52" spans="1:12" ht="12.6" customHeight="1">
      <c r="A52" s="192">
        <v>36</v>
      </c>
      <c r="B52" s="184">
        <f>IF(A52&gt;C9,0,SUM(C308:C319)*($C$6/$C$7))</f>
        <v>0</v>
      </c>
      <c r="C52" s="209">
        <f>IF(A52&gt;C9,0,(E495+K495)*$C$8)</f>
        <v>0</v>
      </c>
      <c r="D52" s="2531">
        <f t="shared" si="0"/>
        <v>0</v>
      </c>
      <c r="E52" s="2531"/>
      <c r="F52" s="193"/>
      <c r="G52" s="193"/>
      <c r="H52" s="193"/>
    </row>
    <row r="53" spans="1:12" ht="12.6" customHeight="1">
      <c r="A53" s="185">
        <v>37</v>
      </c>
      <c r="B53" s="186">
        <f>IF(A53&gt;C9,0,SUM(C309:C320)*($C$6/$C$7))</f>
        <v>0</v>
      </c>
      <c r="C53" s="187">
        <f>IF(A53&gt;C9,0,(E507+K507)*$C$8)</f>
        <v>0</v>
      </c>
      <c r="D53" s="2529">
        <f t="shared" si="0"/>
        <v>0</v>
      </c>
      <c r="E53" s="2529"/>
      <c r="F53" s="193"/>
      <c r="G53" s="193"/>
      <c r="H53" s="193"/>
    </row>
    <row r="54" spans="1:12" ht="12.6" customHeight="1">
      <c r="A54" s="185">
        <v>38</v>
      </c>
      <c r="B54" s="186">
        <f>IF(A54&gt;C9,0,SUM(C310:C321)*($C$6/$C$7))</f>
        <v>0</v>
      </c>
      <c r="C54" s="187">
        <f>IF(A54&gt;C9,0,(E519+K519)*$C$8)</f>
        <v>0</v>
      </c>
      <c r="D54" s="2529">
        <f t="shared" si="0"/>
        <v>0</v>
      </c>
      <c r="E54" s="2529"/>
      <c r="F54" s="193"/>
      <c r="G54" s="193"/>
      <c r="H54" s="193"/>
    </row>
    <row r="55" spans="1:12" ht="12.6" customHeight="1">
      <c r="A55" s="185">
        <v>39</v>
      </c>
      <c r="B55" s="186">
        <f>IF(A55&gt;C9,0,SUM(C311:C322)*($C$6/$C$7))</f>
        <v>0</v>
      </c>
      <c r="C55" s="187">
        <f>IF(A55&gt;C9,0,(E531+K531)*$C$8)</f>
        <v>0</v>
      </c>
      <c r="D55" s="2529">
        <f t="shared" si="0"/>
        <v>0</v>
      </c>
      <c r="E55" s="2529"/>
      <c r="F55" s="193"/>
      <c r="G55" s="193"/>
      <c r="H55" s="193"/>
    </row>
    <row r="56" spans="1:12" ht="12.6" customHeight="1">
      <c r="A56" s="188">
        <v>40</v>
      </c>
      <c r="B56" s="189">
        <f>IF(A56&gt;C9,0,SUM(C312:C323)*($C$6/$C$7))</f>
        <v>0</v>
      </c>
      <c r="C56" s="208">
        <f>IF(A56&gt;C9,0,(E543+K543)*$C$8)</f>
        <v>0</v>
      </c>
      <c r="D56" s="2530">
        <f t="shared" si="0"/>
        <v>0</v>
      </c>
      <c r="E56" s="2530"/>
      <c r="F56" s="193"/>
      <c r="G56" s="193"/>
      <c r="H56" s="193"/>
    </row>
    <row r="57" spans="1:12" ht="3" customHeight="1">
      <c r="A57" s="193"/>
      <c r="B57" s="193"/>
      <c r="C57" s="193"/>
      <c r="D57" s="193"/>
      <c r="E57" s="193"/>
      <c r="F57" s="193"/>
      <c r="G57" s="193"/>
      <c r="H57" s="193"/>
    </row>
    <row r="58" spans="1:12" ht="13.35" customHeight="1">
      <c r="A58" s="2533" t="e">
        <f>CONCATENATE(#REF!," ",#REF!,", ",#REF!,", ",#REF!," County")</f>
        <v>#REF!</v>
      </c>
      <c r="B58" s="2533"/>
      <c r="C58" s="2533"/>
      <c r="D58" s="2533"/>
      <c r="E58" s="2533"/>
      <c r="F58" s="2533"/>
      <c r="G58" s="2533" t="e">
        <f>CONCATENATE(#REF!," ",#REF!,", ",#REF!,", ",#REF!," County")</f>
        <v>#REF!</v>
      </c>
      <c r="H58" s="2533"/>
      <c r="I58" s="2533"/>
      <c r="J58" s="2533"/>
      <c r="K58" s="2533"/>
      <c r="L58" s="2533"/>
    </row>
    <row r="59" spans="1:12" ht="13.8">
      <c r="A59" s="2534" t="s">
        <v>2407</v>
      </c>
      <c r="B59" s="2534"/>
      <c r="C59" s="2534"/>
      <c r="D59" s="2534"/>
      <c r="E59" s="2534"/>
      <c r="F59" s="2534"/>
      <c r="G59" s="2534" t="s">
        <v>2407</v>
      </c>
      <c r="H59" s="2534"/>
      <c r="I59" s="2534"/>
      <c r="J59" s="2534"/>
      <c r="K59" s="2534"/>
      <c r="L59" s="2534"/>
    </row>
    <row r="60" spans="1:12" ht="6" customHeight="1">
      <c r="C60" s="191"/>
      <c r="D60" s="191"/>
      <c r="I60" s="191"/>
      <c r="J60" s="191"/>
    </row>
    <row r="61" spans="1:12">
      <c r="A61" s="194" t="s">
        <v>2408</v>
      </c>
      <c r="B61" s="195" t="s">
        <v>2409</v>
      </c>
      <c r="C61" s="195" t="s">
        <v>1268</v>
      </c>
      <c r="D61" s="195" t="s">
        <v>2410</v>
      </c>
      <c r="E61" s="194" t="s">
        <v>2411</v>
      </c>
      <c r="F61" s="221" t="s">
        <v>2416</v>
      </c>
      <c r="G61" s="194" t="s">
        <v>2408</v>
      </c>
      <c r="H61" s="195" t="s">
        <v>2409</v>
      </c>
      <c r="I61" s="195" t="s">
        <v>1268</v>
      </c>
      <c r="J61" s="195" t="s">
        <v>2410</v>
      </c>
      <c r="K61" s="194" t="s">
        <v>2411</v>
      </c>
      <c r="L61" s="221" t="s">
        <v>2416</v>
      </c>
    </row>
    <row r="62" spans="1:12" ht="3.6" customHeight="1">
      <c r="A62" s="197"/>
      <c r="B62" s="116"/>
      <c r="C62" s="116"/>
      <c r="D62" s="116"/>
      <c r="E62" s="116"/>
      <c r="F62" s="80"/>
      <c r="G62" s="197"/>
      <c r="H62" s="116"/>
      <c r="I62" s="116"/>
      <c r="J62" s="116"/>
      <c r="K62" s="116"/>
      <c r="L62" s="80"/>
    </row>
    <row r="63" spans="1:12">
      <c r="A63" s="198" t="s">
        <v>2412</v>
      </c>
      <c r="B63" s="199"/>
      <c r="C63" s="199"/>
      <c r="D63" s="199"/>
      <c r="E63" s="200">
        <f>IF($C$5&gt;1500000,$D$5,$C$5)</f>
        <v>0</v>
      </c>
      <c r="F63" s="80"/>
      <c r="G63" s="198" t="s">
        <v>2412</v>
      </c>
      <c r="H63" s="199"/>
      <c r="I63" s="199"/>
      <c r="J63" s="199"/>
      <c r="K63" s="200">
        <f>IF($C$5&gt;1500000,$E$5,0)</f>
        <v>0</v>
      </c>
      <c r="L63" s="80"/>
    </row>
    <row r="64" spans="1:12">
      <c r="A64" s="201">
        <v>1</v>
      </c>
      <c r="B64" s="202">
        <f t="shared" ref="B64:B127" si="1">IF(A64&gt;12*$C$9,0,IF($C$5&gt;1500000,$D$12,$C$12))</f>
        <v>0</v>
      </c>
      <c r="C64" s="202">
        <f t="shared" ref="C64:C127" si="2">IF(A64&gt;12*$C$9,0,E63*$C$7/12)</f>
        <v>0</v>
      </c>
      <c r="D64" s="202">
        <f t="shared" ref="D64:D127" si="3">IF(A64&gt;12*$C$9,0,B64-C64)</f>
        <v>0</v>
      </c>
      <c r="E64" s="202">
        <f t="shared" ref="E64:E127" si="4">IF(A64&gt;12*$C$9,0,E63-D64)</f>
        <v>0</v>
      </c>
      <c r="F64" s="201"/>
      <c r="G64" s="201">
        <v>1</v>
      </c>
      <c r="H64" s="202">
        <f t="shared" ref="H64:H127" si="5">IF(G64&gt;12*$C$9,0,IF($C$5&gt;1500000,$E$12,0))</f>
        <v>0</v>
      </c>
      <c r="I64" s="202">
        <f t="shared" ref="I64:I127" si="6">IF(G64&gt;12*$C$9,0,K63*$C$7/12)</f>
        <v>0</v>
      </c>
      <c r="J64" s="202">
        <f t="shared" ref="J64:J127" si="7">IF(G64&gt;12*$C$9,0,H64-I64)</f>
        <v>0</v>
      </c>
      <c r="K64" s="202">
        <f t="shared" ref="K64:K127" si="8">IF(G64&gt;12*$C$9,0,K63-J64)</f>
        <v>0</v>
      </c>
      <c r="L64" s="201"/>
    </row>
    <row r="65" spans="1:12">
      <c r="A65" s="201">
        <v>2</v>
      </c>
      <c r="B65" s="202">
        <f t="shared" si="1"/>
        <v>0</v>
      </c>
      <c r="C65" s="202">
        <f t="shared" si="2"/>
        <v>0</v>
      </c>
      <c r="D65" s="202">
        <f t="shared" si="3"/>
        <v>0</v>
      </c>
      <c r="E65" s="202">
        <f t="shared" si="4"/>
        <v>0</v>
      </c>
      <c r="F65" s="201"/>
      <c r="G65" s="201">
        <v>2</v>
      </c>
      <c r="H65" s="202">
        <f t="shared" si="5"/>
        <v>0</v>
      </c>
      <c r="I65" s="202">
        <f t="shared" si="6"/>
        <v>0</v>
      </c>
      <c r="J65" s="202">
        <f t="shared" si="7"/>
        <v>0</v>
      </c>
      <c r="K65" s="202">
        <f t="shared" si="8"/>
        <v>0</v>
      </c>
      <c r="L65" s="201"/>
    </row>
    <row r="66" spans="1:12">
      <c r="A66" s="201">
        <v>3</v>
      </c>
      <c r="B66" s="202">
        <f t="shared" si="1"/>
        <v>0</v>
      </c>
      <c r="C66" s="202">
        <f t="shared" si="2"/>
        <v>0</v>
      </c>
      <c r="D66" s="202">
        <f t="shared" si="3"/>
        <v>0</v>
      </c>
      <c r="E66" s="202">
        <f t="shared" si="4"/>
        <v>0</v>
      </c>
      <c r="F66" s="201"/>
      <c r="G66" s="201">
        <v>3</v>
      </c>
      <c r="H66" s="202">
        <f t="shared" si="5"/>
        <v>0</v>
      </c>
      <c r="I66" s="202">
        <f t="shared" si="6"/>
        <v>0</v>
      </c>
      <c r="J66" s="202">
        <f t="shared" si="7"/>
        <v>0</v>
      </c>
      <c r="K66" s="202">
        <f t="shared" si="8"/>
        <v>0</v>
      </c>
      <c r="L66" s="201"/>
    </row>
    <row r="67" spans="1:12">
      <c r="A67" s="201">
        <v>4</v>
      </c>
      <c r="B67" s="202">
        <f t="shared" si="1"/>
        <v>0</v>
      </c>
      <c r="C67" s="202">
        <f t="shared" si="2"/>
        <v>0</v>
      </c>
      <c r="D67" s="202">
        <f t="shared" si="3"/>
        <v>0</v>
      </c>
      <c r="E67" s="202">
        <f t="shared" si="4"/>
        <v>0</v>
      </c>
      <c r="F67" s="201"/>
      <c r="G67" s="201">
        <v>4</v>
      </c>
      <c r="H67" s="202">
        <f t="shared" si="5"/>
        <v>0</v>
      </c>
      <c r="I67" s="202">
        <f t="shared" si="6"/>
        <v>0</v>
      </c>
      <c r="J67" s="202">
        <f t="shared" si="7"/>
        <v>0</v>
      </c>
      <c r="K67" s="202">
        <f t="shared" si="8"/>
        <v>0</v>
      </c>
      <c r="L67" s="201"/>
    </row>
    <row r="68" spans="1:12">
      <c r="A68" s="201">
        <v>5</v>
      </c>
      <c r="B68" s="202">
        <f t="shared" si="1"/>
        <v>0</v>
      </c>
      <c r="C68" s="202">
        <f t="shared" si="2"/>
        <v>0</v>
      </c>
      <c r="D68" s="202">
        <f t="shared" si="3"/>
        <v>0</v>
      </c>
      <c r="E68" s="202">
        <f t="shared" si="4"/>
        <v>0</v>
      </c>
      <c r="F68" s="201"/>
      <c r="G68" s="201">
        <v>5</v>
      </c>
      <c r="H68" s="202">
        <f t="shared" si="5"/>
        <v>0</v>
      </c>
      <c r="I68" s="202">
        <f t="shared" si="6"/>
        <v>0</v>
      </c>
      <c r="J68" s="202">
        <f t="shared" si="7"/>
        <v>0</v>
      </c>
      <c r="K68" s="202">
        <f t="shared" si="8"/>
        <v>0</v>
      </c>
      <c r="L68" s="201"/>
    </row>
    <row r="69" spans="1:12">
      <c r="A69" s="201">
        <v>6</v>
      </c>
      <c r="B69" s="202">
        <f t="shared" si="1"/>
        <v>0</v>
      </c>
      <c r="C69" s="202">
        <f t="shared" si="2"/>
        <v>0</v>
      </c>
      <c r="D69" s="202">
        <f t="shared" si="3"/>
        <v>0</v>
      </c>
      <c r="E69" s="202">
        <f t="shared" si="4"/>
        <v>0</v>
      </c>
      <c r="F69" s="201"/>
      <c r="G69" s="201">
        <v>6</v>
      </c>
      <c r="H69" s="202">
        <f t="shared" si="5"/>
        <v>0</v>
      </c>
      <c r="I69" s="202">
        <f t="shared" si="6"/>
        <v>0</v>
      </c>
      <c r="J69" s="202">
        <f t="shared" si="7"/>
        <v>0</v>
      </c>
      <c r="K69" s="202">
        <f t="shared" si="8"/>
        <v>0</v>
      </c>
      <c r="L69" s="201"/>
    </row>
    <row r="70" spans="1:12">
      <c r="A70" s="201">
        <v>7</v>
      </c>
      <c r="B70" s="202">
        <f t="shared" si="1"/>
        <v>0</v>
      </c>
      <c r="C70" s="202">
        <f t="shared" si="2"/>
        <v>0</v>
      </c>
      <c r="D70" s="202">
        <f t="shared" si="3"/>
        <v>0</v>
      </c>
      <c r="E70" s="202">
        <f t="shared" si="4"/>
        <v>0</v>
      </c>
      <c r="F70" s="201"/>
      <c r="G70" s="201">
        <v>7</v>
      </c>
      <c r="H70" s="202">
        <f t="shared" si="5"/>
        <v>0</v>
      </c>
      <c r="I70" s="202">
        <f t="shared" si="6"/>
        <v>0</v>
      </c>
      <c r="J70" s="202">
        <f t="shared" si="7"/>
        <v>0</v>
      </c>
      <c r="K70" s="202">
        <f t="shared" si="8"/>
        <v>0</v>
      </c>
      <c r="L70" s="201"/>
    </row>
    <row r="71" spans="1:12">
      <c r="A71" s="201">
        <v>8</v>
      </c>
      <c r="B71" s="202">
        <f t="shared" si="1"/>
        <v>0</v>
      </c>
      <c r="C71" s="202">
        <f t="shared" si="2"/>
        <v>0</v>
      </c>
      <c r="D71" s="202">
        <f t="shared" si="3"/>
        <v>0</v>
      </c>
      <c r="E71" s="202">
        <f t="shared" si="4"/>
        <v>0</v>
      </c>
      <c r="F71" s="201"/>
      <c r="G71" s="201">
        <v>8</v>
      </c>
      <c r="H71" s="202">
        <f t="shared" si="5"/>
        <v>0</v>
      </c>
      <c r="I71" s="202">
        <f t="shared" si="6"/>
        <v>0</v>
      </c>
      <c r="J71" s="202">
        <f t="shared" si="7"/>
        <v>0</v>
      </c>
      <c r="K71" s="202">
        <f t="shared" si="8"/>
        <v>0</v>
      </c>
      <c r="L71" s="201"/>
    </row>
    <row r="72" spans="1:12">
      <c r="A72" s="201">
        <v>9</v>
      </c>
      <c r="B72" s="202">
        <f t="shared" si="1"/>
        <v>0</v>
      </c>
      <c r="C72" s="202">
        <f t="shared" si="2"/>
        <v>0</v>
      </c>
      <c r="D72" s="202">
        <f t="shared" si="3"/>
        <v>0</v>
      </c>
      <c r="E72" s="202">
        <f t="shared" si="4"/>
        <v>0</v>
      </c>
      <c r="F72" s="201"/>
      <c r="G72" s="201">
        <v>9</v>
      </c>
      <c r="H72" s="202">
        <f t="shared" si="5"/>
        <v>0</v>
      </c>
      <c r="I72" s="202">
        <f t="shared" si="6"/>
        <v>0</v>
      </c>
      <c r="J72" s="202">
        <f t="shared" si="7"/>
        <v>0</v>
      </c>
      <c r="K72" s="202">
        <f t="shared" si="8"/>
        <v>0</v>
      </c>
      <c r="L72" s="201"/>
    </row>
    <row r="73" spans="1:12">
      <c r="A73" s="201">
        <v>10</v>
      </c>
      <c r="B73" s="202">
        <f t="shared" si="1"/>
        <v>0</v>
      </c>
      <c r="C73" s="202">
        <f t="shared" si="2"/>
        <v>0</v>
      </c>
      <c r="D73" s="202">
        <f t="shared" si="3"/>
        <v>0</v>
      </c>
      <c r="E73" s="202">
        <f t="shared" si="4"/>
        <v>0</v>
      </c>
      <c r="F73" s="201"/>
      <c r="G73" s="201">
        <v>10</v>
      </c>
      <c r="H73" s="202">
        <f t="shared" si="5"/>
        <v>0</v>
      </c>
      <c r="I73" s="202">
        <f t="shared" si="6"/>
        <v>0</v>
      </c>
      <c r="J73" s="202">
        <f t="shared" si="7"/>
        <v>0</v>
      </c>
      <c r="K73" s="202">
        <f t="shared" si="8"/>
        <v>0</v>
      </c>
      <c r="L73" s="201"/>
    </row>
    <row r="74" spans="1:12">
      <c r="A74" s="201">
        <v>11</v>
      </c>
      <c r="B74" s="202">
        <f t="shared" si="1"/>
        <v>0</v>
      </c>
      <c r="C74" s="202">
        <f t="shared" si="2"/>
        <v>0</v>
      </c>
      <c r="D74" s="202">
        <f t="shared" si="3"/>
        <v>0</v>
      </c>
      <c r="E74" s="202">
        <f t="shared" si="4"/>
        <v>0</v>
      </c>
      <c r="F74" s="201"/>
      <c r="G74" s="201">
        <v>11</v>
      </c>
      <c r="H74" s="202">
        <f t="shared" si="5"/>
        <v>0</v>
      </c>
      <c r="I74" s="202">
        <f t="shared" si="6"/>
        <v>0</v>
      </c>
      <c r="J74" s="202">
        <f t="shared" si="7"/>
        <v>0</v>
      </c>
      <c r="K74" s="202">
        <f t="shared" si="8"/>
        <v>0</v>
      </c>
      <c r="L74" s="201"/>
    </row>
    <row r="75" spans="1:12">
      <c r="A75" s="201">
        <v>12</v>
      </c>
      <c r="B75" s="202">
        <f t="shared" si="1"/>
        <v>0</v>
      </c>
      <c r="C75" s="202">
        <f t="shared" si="2"/>
        <v>0</v>
      </c>
      <c r="D75" s="202">
        <f t="shared" si="3"/>
        <v>0</v>
      </c>
      <c r="E75" s="202">
        <f t="shared" si="4"/>
        <v>0</v>
      </c>
      <c r="F75" s="201">
        <v>1</v>
      </c>
      <c r="G75" s="201">
        <v>12</v>
      </c>
      <c r="H75" s="202">
        <f t="shared" si="5"/>
        <v>0</v>
      </c>
      <c r="I75" s="202">
        <f t="shared" si="6"/>
        <v>0</v>
      </c>
      <c r="J75" s="202">
        <f t="shared" si="7"/>
        <v>0</v>
      </c>
      <c r="K75" s="202">
        <f t="shared" si="8"/>
        <v>0</v>
      </c>
      <c r="L75" s="201">
        <v>1</v>
      </c>
    </row>
    <row r="76" spans="1:12">
      <c r="A76" s="201">
        <v>13</v>
      </c>
      <c r="B76" s="202">
        <f t="shared" si="1"/>
        <v>0</v>
      </c>
      <c r="C76" s="202">
        <f t="shared" si="2"/>
        <v>0</v>
      </c>
      <c r="D76" s="202">
        <f t="shared" si="3"/>
        <v>0</v>
      </c>
      <c r="E76" s="202">
        <f t="shared" si="4"/>
        <v>0</v>
      </c>
      <c r="F76" s="201"/>
      <c r="G76" s="201">
        <v>13</v>
      </c>
      <c r="H76" s="202">
        <f t="shared" si="5"/>
        <v>0</v>
      </c>
      <c r="I76" s="202">
        <f t="shared" si="6"/>
        <v>0</v>
      </c>
      <c r="J76" s="202">
        <f t="shared" si="7"/>
        <v>0</v>
      </c>
      <c r="K76" s="202">
        <f t="shared" si="8"/>
        <v>0</v>
      </c>
      <c r="L76" s="201"/>
    </row>
    <row r="77" spans="1:12">
      <c r="A77" s="201">
        <v>14</v>
      </c>
      <c r="B77" s="202">
        <f t="shared" si="1"/>
        <v>0</v>
      </c>
      <c r="C77" s="202">
        <f t="shared" si="2"/>
        <v>0</v>
      </c>
      <c r="D77" s="202">
        <f t="shared" si="3"/>
        <v>0</v>
      </c>
      <c r="E77" s="202">
        <f t="shared" si="4"/>
        <v>0</v>
      </c>
      <c r="F77" s="201"/>
      <c r="G77" s="201">
        <v>14</v>
      </c>
      <c r="H77" s="202">
        <f t="shared" si="5"/>
        <v>0</v>
      </c>
      <c r="I77" s="202">
        <f t="shared" si="6"/>
        <v>0</v>
      </c>
      <c r="J77" s="202">
        <f t="shared" si="7"/>
        <v>0</v>
      </c>
      <c r="K77" s="202">
        <f t="shared" si="8"/>
        <v>0</v>
      </c>
      <c r="L77" s="201"/>
    </row>
    <row r="78" spans="1:12">
      <c r="A78" s="201">
        <v>15</v>
      </c>
      <c r="B78" s="202">
        <f t="shared" si="1"/>
        <v>0</v>
      </c>
      <c r="C78" s="202">
        <f t="shared" si="2"/>
        <v>0</v>
      </c>
      <c r="D78" s="202">
        <f t="shared" si="3"/>
        <v>0</v>
      </c>
      <c r="E78" s="202">
        <f t="shared" si="4"/>
        <v>0</v>
      </c>
      <c r="F78" s="201"/>
      <c r="G78" s="201">
        <v>15</v>
      </c>
      <c r="H78" s="202">
        <f t="shared" si="5"/>
        <v>0</v>
      </c>
      <c r="I78" s="202">
        <f t="shared" si="6"/>
        <v>0</v>
      </c>
      <c r="J78" s="202">
        <f t="shared" si="7"/>
        <v>0</v>
      </c>
      <c r="K78" s="202">
        <f t="shared" si="8"/>
        <v>0</v>
      </c>
      <c r="L78" s="201"/>
    </row>
    <row r="79" spans="1:12">
      <c r="A79" s="201">
        <v>16</v>
      </c>
      <c r="B79" s="202">
        <f t="shared" si="1"/>
        <v>0</v>
      </c>
      <c r="C79" s="202">
        <f t="shared" si="2"/>
        <v>0</v>
      </c>
      <c r="D79" s="202">
        <f t="shared" si="3"/>
        <v>0</v>
      </c>
      <c r="E79" s="202">
        <f t="shared" si="4"/>
        <v>0</v>
      </c>
      <c r="F79" s="201"/>
      <c r="G79" s="201">
        <v>16</v>
      </c>
      <c r="H79" s="202">
        <f t="shared" si="5"/>
        <v>0</v>
      </c>
      <c r="I79" s="202">
        <f t="shared" si="6"/>
        <v>0</v>
      </c>
      <c r="J79" s="202">
        <f t="shared" si="7"/>
        <v>0</v>
      </c>
      <c r="K79" s="202">
        <f t="shared" si="8"/>
        <v>0</v>
      </c>
      <c r="L79" s="201"/>
    </row>
    <row r="80" spans="1:12">
      <c r="A80" s="201">
        <v>17</v>
      </c>
      <c r="B80" s="202">
        <f t="shared" si="1"/>
        <v>0</v>
      </c>
      <c r="C80" s="202">
        <f t="shared" si="2"/>
        <v>0</v>
      </c>
      <c r="D80" s="202">
        <f t="shared" si="3"/>
        <v>0</v>
      </c>
      <c r="E80" s="202">
        <f t="shared" si="4"/>
        <v>0</v>
      </c>
      <c r="F80" s="201"/>
      <c r="G80" s="201">
        <v>17</v>
      </c>
      <c r="H80" s="202">
        <f t="shared" si="5"/>
        <v>0</v>
      </c>
      <c r="I80" s="202">
        <f t="shared" si="6"/>
        <v>0</v>
      </c>
      <c r="J80" s="202">
        <f t="shared" si="7"/>
        <v>0</v>
      </c>
      <c r="K80" s="202">
        <f t="shared" si="8"/>
        <v>0</v>
      </c>
      <c r="L80" s="201"/>
    </row>
    <row r="81" spans="1:12">
      <c r="A81" s="201">
        <v>18</v>
      </c>
      <c r="B81" s="202">
        <f t="shared" si="1"/>
        <v>0</v>
      </c>
      <c r="C81" s="202">
        <f t="shared" si="2"/>
        <v>0</v>
      </c>
      <c r="D81" s="202">
        <f t="shared" si="3"/>
        <v>0</v>
      </c>
      <c r="E81" s="202">
        <f t="shared" si="4"/>
        <v>0</v>
      </c>
      <c r="F81" s="201"/>
      <c r="G81" s="201">
        <v>18</v>
      </c>
      <c r="H81" s="202">
        <f t="shared" si="5"/>
        <v>0</v>
      </c>
      <c r="I81" s="202">
        <f t="shared" si="6"/>
        <v>0</v>
      </c>
      <c r="J81" s="202">
        <f t="shared" si="7"/>
        <v>0</v>
      </c>
      <c r="K81" s="202">
        <f t="shared" si="8"/>
        <v>0</v>
      </c>
      <c r="L81" s="201"/>
    </row>
    <row r="82" spans="1:12">
      <c r="A82" s="201">
        <v>19</v>
      </c>
      <c r="B82" s="202">
        <f t="shared" si="1"/>
        <v>0</v>
      </c>
      <c r="C82" s="202">
        <f t="shared" si="2"/>
        <v>0</v>
      </c>
      <c r="D82" s="202">
        <f t="shared" si="3"/>
        <v>0</v>
      </c>
      <c r="E82" s="202">
        <f t="shared" si="4"/>
        <v>0</v>
      </c>
      <c r="F82" s="201"/>
      <c r="G82" s="201">
        <v>19</v>
      </c>
      <c r="H82" s="202">
        <f t="shared" si="5"/>
        <v>0</v>
      </c>
      <c r="I82" s="202">
        <f t="shared" si="6"/>
        <v>0</v>
      </c>
      <c r="J82" s="202">
        <f t="shared" si="7"/>
        <v>0</v>
      </c>
      <c r="K82" s="202">
        <f t="shared" si="8"/>
        <v>0</v>
      </c>
      <c r="L82" s="201"/>
    </row>
    <row r="83" spans="1:12">
      <c r="A83" s="201">
        <v>20</v>
      </c>
      <c r="B83" s="202">
        <f t="shared" si="1"/>
        <v>0</v>
      </c>
      <c r="C83" s="202">
        <f t="shared" si="2"/>
        <v>0</v>
      </c>
      <c r="D83" s="202">
        <f t="shared" si="3"/>
        <v>0</v>
      </c>
      <c r="E83" s="202">
        <f t="shared" si="4"/>
        <v>0</v>
      </c>
      <c r="F83" s="201"/>
      <c r="G83" s="201">
        <v>20</v>
      </c>
      <c r="H83" s="202">
        <f t="shared" si="5"/>
        <v>0</v>
      </c>
      <c r="I83" s="202">
        <f t="shared" si="6"/>
        <v>0</v>
      </c>
      <c r="J83" s="202">
        <f t="shared" si="7"/>
        <v>0</v>
      </c>
      <c r="K83" s="202">
        <f t="shared" si="8"/>
        <v>0</v>
      </c>
      <c r="L83" s="201"/>
    </row>
    <row r="84" spans="1:12">
      <c r="A84" s="201">
        <v>21</v>
      </c>
      <c r="B84" s="202">
        <f t="shared" si="1"/>
        <v>0</v>
      </c>
      <c r="C84" s="202">
        <f t="shared" si="2"/>
        <v>0</v>
      </c>
      <c r="D84" s="202">
        <f t="shared" si="3"/>
        <v>0</v>
      </c>
      <c r="E84" s="202">
        <f t="shared" si="4"/>
        <v>0</v>
      </c>
      <c r="F84" s="201"/>
      <c r="G84" s="201">
        <v>21</v>
      </c>
      <c r="H84" s="202">
        <f t="shared" si="5"/>
        <v>0</v>
      </c>
      <c r="I84" s="202">
        <f t="shared" si="6"/>
        <v>0</v>
      </c>
      <c r="J84" s="202">
        <f t="shared" si="7"/>
        <v>0</v>
      </c>
      <c r="K84" s="202">
        <f t="shared" si="8"/>
        <v>0</v>
      </c>
      <c r="L84" s="201"/>
    </row>
    <row r="85" spans="1:12">
      <c r="A85" s="201">
        <v>22</v>
      </c>
      <c r="B85" s="202">
        <f t="shared" si="1"/>
        <v>0</v>
      </c>
      <c r="C85" s="202">
        <f t="shared" si="2"/>
        <v>0</v>
      </c>
      <c r="D85" s="202">
        <f t="shared" si="3"/>
        <v>0</v>
      </c>
      <c r="E85" s="202">
        <f t="shared" si="4"/>
        <v>0</v>
      </c>
      <c r="F85" s="201"/>
      <c r="G85" s="201">
        <v>22</v>
      </c>
      <c r="H85" s="202">
        <f t="shared" si="5"/>
        <v>0</v>
      </c>
      <c r="I85" s="202">
        <f t="shared" si="6"/>
        <v>0</v>
      </c>
      <c r="J85" s="202">
        <f t="shared" si="7"/>
        <v>0</v>
      </c>
      <c r="K85" s="202">
        <f t="shared" si="8"/>
        <v>0</v>
      </c>
      <c r="L85" s="201"/>
    </row>
    <row r="86" spans="1:12">
      <c r="A86" s="201">
        <v>23</v>
      </c>
      <c r="B86" s="202">
        <f t="shared" si="1"/>
        <v>0</v>
      </c>
      <c r="C86" s="202">
        <f t="shared" si="2"/>
        <v>0</v>
      </c>
      <c r="D86" s="202">
        <f t="shared" si="3"/>
        <v>0</v>
      </c>
      <c r="E86" s="202">
        <f t="shared" si="4"/>
        <v>0</v>
      </c>
      <c r="F86" s="201"/>
      <c r="G86" s="201">
        <v>23</v>
      </c>
      <c r="H86" s="202">
        <f t="shared" si="5"/>
        <v>0</v>
      </c>
      <c r="I86" s="202">
        <f t="shared" si="6"/>
        <v>0</v>
      </c>
      <c r="J86" s="202">
        <f t="shared" si="7"/>
        <v>0</v>
      </c>
      <c r="K86" s="202">
        <f t="shared" si="8"/>
        <v>0</v>
      </c>
      <c r="L86" s="201"/>
    </row>
    <row r="87" spans="1:12">
      <c r="A87" s="201">
        <v>24</v>
      </c>
      <c r="B87" s="202">
        <f t="shared" si="1"/>
        <v>0</v>
      </c>
      <c r="C87" s="202">
        <f t="shared" si="2"/>
        <v>0</v>
      </c>
      <c r="D87" s="202">
        <f t="shared" si="3"/>
        <v>0</v>
      </c>
      <c r="E87" s="202">
        <f t="shared" si="4"/>
        <v>0</v>
      </c>
      <c r="F87" s="201">
        <v>2</v>
      </c>
      <c r="G87" s="201">
        <v>24</v>
      </c>
      <c r="H87" s="202">
        <f t="shared" si="5"/>
        <v>0</v>
      </c>
      <c r="I87" s="202">
        <f t="shared" si="6"/>
        <v>0</v>
      </c>
      <c r="J87" s="202">
        <f t="shared" si="7"/>
        <v>0</v>
      </c>
      <c r="K87" s="202">
        <f t="shared" si="8"/>
        <v>0</v>
      </c>
      <c r="L87" s="201">
        <v>2</v>
      </c>
    </row>
    <row r="88" spans="1:12">
      <c r="A88" s="201">
        <v>25</v>
      </c>
      <c r="B88" s="202">
        <f t="shared" si="1"/>
        <v>0</v>
      </c>
      <c r="C88" s="202">
        <f t="shared" si="2"/>
        <v>0</v>
      </c>
      <c r="D88" s="202">
        <f t="shared" si="3"/>
        <v>0</v>
      </c>
      <c r="E88" s="202">
        <f t="shared" si="4"/>
        <v>0</v>
      </c>
      <c r="F88" s="201"/>
      <c r="G88" s="201">
        <v>25</v>
      </c>
      <c r="H88" s="202">
        <f t="shared" si="5"/>
        <v>0</v>
      </c>
      <c r="I88" s="202">
        <f t="shared" si="6"/>
        <v>0</v>
      </c>
      <c r="J88" s="202">
        <f t="shared" si="7"/>
        <v>0</v>
      </c>
      <c r="K88" s="202">
        <f t="shared" si="8"/>
        <v>0</v>
      </c>
      <c r="L88" s="201"/>
    </row>
    <row r="89" spans="1:12">
      <c r="A89" s="201">
        <v>26</v>
      </c>
      <c r="B89" s="202">
        <f t="shared" si="1"/>
        <v>0</v>
      </c>
      <c r="C89" s="202">
        <f t="shared" si="2"/>
        <v>0</v>
      </c>
      <c r="D89" s="202">
        <f t="shared" si="3"/>
        <v>0</v>
      </c>
      <c r="E89" s="202">
        <f t="shared" si="4"/>
        <v>0</v>
      </c>
      <c r="F89" s="201"/>
      <c r="G89" s="201">
        <v>26</v>
      </c>
      <c r="H89" s="202">
        <f t="shared" si="5"/>
        <v>0</v>
      </c>
      <c r="I89" s="202">
        <f t="shared" si="6"/>
        <v>0</v>
      </c>
      <c r="J89" s="202">
        <f t="shared" si="7"/>
        <v>0</v>
      </c>
      <c r="K89" s="202">
        <f t="shared" si="8"/>
        <v>0</v>
      </c>
      <c r="L89" s="201"/>
    </row>
    <row r="90" spans="1:12">
      <c r="A90" s="201">
        <v>27</v>
      </c>
      <c r="B90" s="202">
        <f t="shared" si="1"/>
        <v>0</v>
      </c>
      <c r="C90" s="202">
        <f t="shared" si="2"/>
        <v>0</v>
      </c>
      <c r="D90" s="202">
        <f t="shared" si="3"/>
        <v>0</v>
      </c>
      <c r="E90" s="202">
        <f t="shared" si="4"/>
        <v>0</v>
      </c>
      <c r="F90" s="201"/>
      <c r="G90" s="201">
        <v>27</v>
      </c>
      <c r="H90" s="202">
        <f t="shared" si="5"/>
        <v>0</v>
      </c>
      <c r="I90" s="202">
        <f t="shared" si="6"/>
        <v>0</v>
      </c>
      <c r="J90" s="202">
        <f t="shared" si="7"/>
        <v>0</v>
      </c>
      <c r="K90" s="202">
        <f t="shared" si="8"/>
        <v>0</v>
      </c>
      <c r="L90" s="201"/>
    </row>
    <row r="91" spans="1:12">
      <c r="A91" s="201">
        <v>28</v>
      </c>
      <c r="B91" s="202">
        <f t="shared" si="1"/>
        <v>0</v>
      </c>
      <c r="C91" s="202">
        <f t="shared" si="2"/>
        <v>0</v>
      </c>
      <c r="D91" s="202">
        <f t="shared" si="3"/>
        <v>0</v>
      </c>
      <c r="E91" s="202">
        <f t="shared" si="4"/>
        <v>0</v>
      </c>
      <c r="F91" s="201"/>
      <c r="G91" s="201">
        <v>28</v>
      </c>
      <c r="H91" s="202">
        <f t="shared" si="5"/>
        <v>0</v>
      </c>
      <c r="I91" s="202">
        <f t="shared" si="6"/>
        <v>0</v>
      </c>
      <c r="J91" s="202">
        <f t="shared" si="7"/>
        <v>0</v>
      </c>
      <c r="K91" s="202">
        <f t="shared" si="8"/>
        <v>0</v>
      </c>
      <c r="L91" s="201"/>
    </row>
    <row r="92" spans="1:12">
      <c r="A92" s="201">
        <v>29</v>
      </c>
      <c r="B92" s="202">
        <f t="shared" si="1"/>
        <v>0</v>
      </c>
      <c r="C92" s="202">
        <f t="shared" si="2"/>
        <v>0</v>
      </c>
      <c r="D92" s="202">
        <f t="shared" si="3"/>
        <v>0</v>
      </c>
      <c r="E92" s="202">
        <f t="shared" si="4"/>
        <v>0</v>
      </c>
      <c r="F92" s="201"/>
      <c r="G92" s="201">
        <v>29</v>
      </c>
      <c r="H92" s="202">
        <f t="shared" si="5"/>
        <v>0</v>
      </c>
      <c r="I92" s="202">
        <f t="shared" si="6"/>
        <v>0</v>
      </c>
      <c r="J92" s="202">
        <f t="shared" si="7"/>
        <v>0</v>
      </c>
      <c r="K92" s="202">
        <f t="shared" si="8"/>
        <v>0</v>
      </c>
      <c r="L92" s="201"/>
    </row>
    <row r="93" spans="1:12">
      <c r="A93" s="201">
        <v>30</v>
      </c>
      <c r="B93" s="202">
        <f t="shared" si="1"/>
        <v>0</v>
      </c>
      <c r="C93" s="202">
        <f t="shared" si="2"/>
        <v>0</v>
      </c>
      <c r="D93" s="202">
        <f t="shared" si="3"/>
        <v>0</v>
      </c>
      <c r="E93" s="202">
        <f t="shared" si="4"/>
        <v>0</v>
      </c>
      <c r="F93" s="201"/>
      <c r="G93" s="201">
        <v>30</v>
      </c>
      <c r="H93" s="202">
        <f t="shared" si="5"/>
        <v>0</v>
      </c>
      <c r="I93" s="202">
        <f t="shared" si="6"/>
        <v>0</v>
      </c>
      <c r="J93" s="202">
        <f t="shared" si="7"/>
        <v>0</v>
      </c>
      <c r="K93" s="202">
        <f t="shared" si="8"/>
        <v>0</v>
      </c>
      <c r="L93" s="201"/>
    </row>
    <row r="94" spans="1:12">
      <c r="A94" s="201">
        <v>31</v>
      </c>
      <c r="B94" s="202">
        <f t="shared" si="1"/>
        <v>0</v>
      </c>
      <c r="C94" s="202">
        <f t="shared" si="2"/>
        <v>0</v>
      </c>
      <c r="D94" s="202">
        <f t="shared" si="3"/>
        <v>0</v>
      </c>
      <c r="E94" s="202">
        <f t="shared" si="4"/>
        <v>0</v>
      </c>
      <c r="F94" s="201"/>
      <c r="G94" s="201">
        <v>31</v>
      </c>
      <c r="H94" s="202">
        <f t="shared" si="5"/>
        <v>0</v>
      </c>
      <c r="I94" s="202">
        <f t="shared" si="6"/>
        <v>0</v>
      </c>
      <c r="J94" s="202">
        <f t="shared" si="7"/>
        <v>0</v>
      </c>
      <c r="K94" s="202">
        <f t="shared" si="8"/>
        <v>0</v>
      </c>
      <c r="L94" s="201"/>
    </row>
    <row r="95" spans="1:12">
      <c r="A95" s="201">
        <v>32</v>
      </c>
      <c r="B95" s="202">
        <f t="shared" si="1"/>
        <v>0</v>
      </c>
      <c r="C95" s="202">
        <f t="shared" si="2"/>
        <v>0</v>
      </c>
      <c r="D95" s="202">
        <f t="shared" si="3"/>
        <v>0</v>
      </c>
      <c r="E95" s="202">
        <f t="shared" si="4"/>
        <v>0</v>
      </c>
      <c r="F95" s="201"/>
      <c r="G95" s="201">
        <v>32</v>
      </c>
      <c r="H95" s="202">
        <f t="shared" si="5"/>
        <v>0</v>
      </c>
      <c r="I95" s="202">
        <f t="shared" si="6"/>
        <v>0</v>
      </c>
      <c r="J95" s="202">
        <f t="shared" si="7"/>
        <v>0</v>
      </c>
      <c r="K95" s="202">
        <f t="shared" si="8"/>
        <v>0</v>
      </c>
      <c r="L95" s="201"/>
    </row>
    <row r="96" spans="1:12">
      <c r="A96" s="201">
        <v>33</v>
      </c>
      <c r="B96" s="202">
        <f t="shared" si="1"/>
        <v>0</v>
      </c>
      <c r="C96" s="202">
        <f t="shared" si="2"/>
        <v>0</v>
      </c>
      <c r="D96" s="202">
        <f t="shared" si="3"/>
        <v>0</v>
      </c>
      <c r="E96" s="202">
        <f t="shared" si="4"/>
        <v>0</v>
      </c>
      <c r="F96" s="201"/>
      <c r="G96" s="201">
        <v>33</v>
      </c>
      <c r="H96" s="202">
        <f t="shared" si="5"/>
        <v>0</v>
      </c>
      <c r="I96" s="202">
        <f t="shared" si="6"/>
        <v>0</v>
      </c>
      <c r="J96" s="202">
        <f t="shared" si="7"/>
        <v>0</v>
      </c>
      <c r="K96" s="202">
        <f t="shared" si="8"/>
        <v>0</v>
      </c>
      <c r="L96" s="201"/>
    </row>
    <row r="97" spans="1:12">
      <c r="A97" s="201">
        <v>34</v>
      </c>
      <c r="B97" s="202">
        <f t="shared" si="1"/>
        <v>0</v>
      </c>
      <c r="C97" s="202">
        <f t="shared" si="2"/>
        <v>0</v>
      </c>
      <c r="D97" s="202">
        <f t="shared" si="3"/>
        <v>0</v>
      </c>
      <c r="E97" s="202">
        <f t="shared" si="4"/>
        <v>0</v>
      </c>
      <c r="F97" s="201"/>
      <c r="G97" s="201">
        <v>34</v>
      </c>
      <c r="H97" s="202">
        <f t="shared" si="5"/>
        <v>0</v>
      </c>
      <c r="I97" s="202">
        <f t="shared" si="6"/>
        <v>0</v>
      </c>
      <c r="J97" s="202">
        <f t="shared" si="7"/>
        <v>0</v>
      </c>
      <c r="K97" s="202">
        <f t="shared" si="8"/>
        <v>0</v>
      </c>
      <c r="L97" s="201"/>
    </row>
    <row r="98" spans="1:12">
      <c r="A98" s="201">
        <v>35</v>
      </c>
      <c r="B98" s="202">
        <f t="shared" si="1"/>
        <v>0</v>
      </c>
      <c r="C98" s="202">
        <f t="shared" si="2"/>
        <v>0</v>
      </c>
      <c r="D98" s="202">
        <f t="shared" si="3"/>
        <v>0</v>
      </c>
      <c r="E98" s="202">
        <f t="shared" si="4"/>
        <v>0</v>
      </c>
      <c r="F98" s="201"/>
      <c r="G98" s="201">
        <v>35</v>
      </c>
      <c r="H98" s="202">
        <f t="shared" si="5"/>
        <v>0</v>
      </c>
      <c r="I98" s="202">
        <f t="shared" si="6"/>
        <v>0</v>
      </c>
      <c r="J98" s="202">
        <f t="shared" si="7"/>
        <v>0</v>
      </c>
      <c r="K98" s="202">
        <f t="shared" si="8"/>
        <v>0</v>
      </c>
      <c r="L98" s="201"/>
    </row>
    <row r="99" spans="1:12">
      <c r="A99" s="201">
        <v>36</v>
      </c>
      <c r="B99" s="202">
        <f t="shared" si="1"/>
        <v>0</v>
      </c>
      <c r="C99" s="202">
        <f t="shared" si="2"/>
        <v>0</v>
      </c>
      <c r="D99" s="202">
        <f t="shared" si="3"/>
        <v>0</v>
      </c>
      <c r="E99" s="202">
        <f t="shared" si="4"/>
        <v>0</v>
      </c>
      <c r="F99" s="201">
        <v>3</v>
      </c>
      <c r="G99" s="201">
        <v>36</v>
      </c>
      <c r="H99" s="202">
        <f t="shared" si="5"/>
        <v>0</v>
      </c>
      <c r="I99" s="202">
        <f t="shared" si="6"/>
        <v>0</v>
      </c>
      <c r="J99" s="202">
        <f t="shared" si="7"/>
        <v>0</v>
      </c>
      <c r="K99" s="202">
        <f t="shared" si="8"/>
        <v>0</v>
      </c>
      <c r="L99" s="201">
        <v>3</v>
      </c>
    </row>
    <row r="100" spans="1:12">
      <c r="A100" s="201">
        <v>37</v>
      </c>
      <c r="B100" s="202">
        <f t="shared" si="1"/>
        <v>0</v>
      </c>
      <c r="C100" s="202">
        <f t="shared" si="2"/>
        <v>0</v>
      </c>
      <c r="D100" s="202">
        <f t="shared" si="3"/>
        <v>0</v>
      </c>
      <c r="E100" s="202">
        <f t="shared" si="4"/>
        <v>0</v>
      </c>
      <c r="F100" s="201"/>
      <c r="G100" s="201">
        <v>37</v>
      </c>
      <c r="H100" s="202">
        <f t="shared" si="5"/>
        <v>0</v>
      </c>
      <c r="I100" s="202">
        <f t="shared" si="6"/>
        <v>0</v>
      </c>
      <c r="J100" s="202">
        <f t="shared" si="7"/>
        <v>0</v>
      </c>
      <c r="K100" s="202">
        <f t="shared" si="8"/>
        <v>0</v>
      </c>
      <c r="L100" s="201"/>
    </row>
    <row r="101" spans="1:12">
      <c r="A101" s="201">
        <v>38</v>
      </c>
      <c r="B101" s="202">
        <f t="shared" si="1"/>
        <v>0</v>
      </c>
      <c r="C101" s="202">
        <f t="shared" si="2"/>
        <v>0</v>
      </c>
      <c r="D101" s="202">
        <f t="shared" si="3"/>
        <v>0</v>
      </c>
      <c r="E101" s="202">
        <f t="shared" si="4"/>
        <v>0</v>
      </c>
      <c r="F101" s="201"/>
      <c r="G101" s="201">
        <v>38</v>
      </c>
      <c r="H101" s="202">
        <f t="shared" si="5"/>
        <v>0</v>
      </c>
      <c r="I101" s="202">
        <f t="shared" si="6"/>
        <v>0</v>
      </c>
      <c r="J101" s="202">
        <f t="shared" si="7"/>
        <v>0</v>
      </c>
      <c r="K101" s="202">
        <f t="shared" si="8"/>
        <v>0</v>
      </c>
      <c r="L101" s="201"/>
    </row>
    <row r="102" spans="1:12">
      <c r="A102" s="201">
        <v>39</v>
      </c>
      <c r="B102" s="202">
        <f t="shared" si="1"/>
        <v>0</v>
      </c>
      <c r="C102" s="202">
        <f t="shared" si="2"/>
        <v>0</v>
      </c>
      <c r="D102" s="202">
        <f t="shared" si="3"/>
        <v>0</v>
      </c>
      <c r="E102" s="202">
        <f t="shared" si="4"/>
        <v>0</v>
      </c>
      <c r="F102" s="201"/>
      <c r="G102" s="201">
        <v>39</v>
      </c>
      <c r="H102" s="202">
        <f t="shared" si="5"/>
        <v>0</v>
      </c>
      <c r="I102" s="202">
        <f t="shared" si="6"/>
        <v>0</v>
      </c>
      <c r="J102" s="202">
        <f t="shared" si="7"/>
        <v>0</v>
      </c>
      <c r="K102" s="202">
        <f t="shared" si="8"/>
        <v>0</v>
      </c>
      <c r="L102" s="201"/>
    </row>
    <row r="103" spans="1:12">
      <c r="A103" s="201">
        <v>40</v>
      </c>
      <c r="B103" s="202">
        <f t="shared" si="1"/>
        <v>0</v>
      </c>
      <c r="C103" s="202">
        <f t="shared" si="2"/>
        <v>0</v>
      </c>
      <c r="D103" s="202">
        <f t="shared" si="3"/>
        <v>0</v>
      </c>
      <c r="E103" s="202">
        <f t="shared" si="4"/>
        <v>0</v>
      </c>
      <c r="F103" s="201"/>
      <c r="G103" s="201">
        <v>40</v>
      </c>
      <c r="H103" s="202">
        <f t="shared" si="5"/>
        <v>0</v>
      </c>
      <c r="I103" s="202">
        <f t="shared" si="6"/>
        <v>0</v>
      </c>
      <c r="J103" s="202">
        <f t="shared" si="7"/>
        <v>0</v>
      </c>
      <c r="K103" s="202">
        <f t="shared" si="8"/>
        <v>0</v>
      </c>
      <c r="L103" s="201"/>
    </row>
    <row r="104" spans="1:12">
      <c r="A104" s="201">
        <v>41</v>
      </c>
      <c r="B104" s="202">
        <f t="shared" si="1"/>
        <v>0</v>
      </c>
      <c r="C104" s="202">
        <f t="shared" si="2"/>
        <v>0</v>
      </c>
      <c r="D104" s="202">
        <f t="shared" si="3"/>
        <v>0</v>
      </c>
      <c r="E104" s="202">
        <f t="shared" si="4"/>
        <v>0</v>
      </c>
      <c r="F104" s="201"/>
      <c r="G104" s="201">
        <v>41</v>
      </c>
      <c r="H104" s="202">
        <f t="shared" si="5"/>
        <v>0</v>
      </c>
      <c r="I104" s="202">
        <f t="shared" si="6"/>
        <v>0</v>
      </c>
      <c r="J104" s="202">
        <f t="shared" si="7"/>
        <v>0</v>
      </c>
      <c r="K104" s="202">
        <f t="shared" si="8"/>
        <v>0</v>
      </c>
      <c r="L104" s="201"/>
    </row>
    <row r="105" spans="1:12">
      <c r="A105" s="201">
        <v>42</v>
      </c>
      <c r="B105" s="202">
        <f t="shared" si="1"/>
        <v>0</v>
      </c>
      <c r="C105" s="202">
        <f t="shared" si="2"/>
        <v>0</v>
      </c>
      <c r="D105" s="202">
        <f t="shared" si="3"/>
        <v>0</v>
      </c>
      <c r="E105" s="202">
        <f t="shared" si="4"/>
        <v>0</v>
      </c>
      <c r="F105" s="201"/>
      <c r="G105" s="201">
        <v>42</v>
      </c>
      <c r="H105" s="202">
        <f t="shared" si="5"/>
        <v>0</v>
      </c>
      <c r="I105" s="202">
        <f t="shared" si="6"/>
        <v>0</v>
      </c>
      <c r="J105" s="202">
        <f t="shared" si="7"/>
        <v>0</v>
      </c>
      <c r="K105" s="202">
        <f t="shared" si="8"/>
        <v>0</v>
      </c>
      <c r="L105" s="201"/>
    </row>
    <row r="106" spans="1:12">
      <c r="A106" s="201">
        <v>43</v>
      </c>
      <c r="B106" s="202">
        <f t="shared" si="1"/>
        <v>0</v>
      </c>
      <c r="C106" s="202">
        <f t="shared" si="2"/>
        <v>0</v>
      </c>
      <c r="D106" s="202">
        <f t="shared" si="3"/>
        <v>0</v>
      </c>
      <c r="E106" s="202">
        <f t="shared" si="4"/>
        <v>0</v>
      </c>
      <c r="F106" s="201"/>
      <c r="G106" s="201">
        <v>43</v>
      </c>
      <c r="H106" s="202">
        <f t="shared" si="5"/>
        <v>0</v>
      </c>
      <c r="I106" s="202">
        <f t="shared" si="6"/>
        <v>0</v>
      </c>
      <c r="J106" s="202">
        <f t="shared" si="7"/>
        <v>0</v>
      </c>
      <c r="K106" s="202">
        <f t="shared" si="8"/>
        <v>0</v>
      </c>
      <c r="L106" s="201"/>
    </row>
    <row r="107" spans="1:12">
      <c r="A107" s="201">
        <v>44</v>
      </c>
      <c r="B107" s="202">
        <f t="shared" si="1"/>
        <v>0</v>
      </c>
      <c r="C107" s="202">
        <f t="shared" si="2"/>
        <v>0</v>
      </c>
      <c r="D107" s="202">
        <f t="shared" si="3"/>
        <v>0</v>
      </c>
      <c r="E107" s="202">
        <f t="shared" si="4"/>
        <v>0</v>
      </c>
      <c r="F107" s="201"/>
      <c r="G107" s="201">
        <v>44</v>
      </c>
      <c r="H107" s="202">
        <f t="shared" si="5"/>
        <v>0</v>
      </c>
      <c r="I107" s="202">
        <f t="shared" si="6"/>
        <v>0</v>
      </c>
      <c r="J107" s="202">
        <f t="shared" si="7"/>
        <v>0</v>
      </c>
      <c r="K107" s="202">
        <f t="shared" si="8"/>
        <v>0</v>
      </c>
      <c r="L107" s="201"/>
    </row>
    <row r="108" spans="1:12">
      <c r="A108" s="201">
        <v>45</v>
      </c>
      <c r="B108" s="202">
        <f t="shared" si="1"/>
        <v>0</v>
      </c>
      <c r="C108" s="202">
        <f t="shared" si="2"/>
        <v>0</v>
      </c>
      <c r="D108" s="202">
        <f t="shared" si="3"/>
        <v>0</v>
      </c>
      <c r="E108" s="202">
        <f t="shared" si="4"/>
        <v>0</v>
      </c>
      <c r="F108" s="201"/>
      <c r="G108" s="201">
        <v>45</v>
      </c>
      <c r="H108" s="202">
        <f t="shared" si="5"/>
        <v>0</v>
      </c>
      <c r="I108" s="202">
        <f t="shared" si="6"/>
        <v>0</v>
      </c>
      <c r="J108" s="202">
        <f t="shared" si="7"/>
        <v>0</v>
      </c>
      <c r="K108" s="202">
        <f t="shared" si="8"/>
        <v>0</v>
      </c>
      <c r="L108" s="201"/>
    </row>
    <row r="109" spans="1:12">
      <c r="A109" s="201">
        <v>46</v>
      </c>
      <c r="B109" s="202">
        <f t="shared" si="1"/>
        <v>0</v>
      </c>
      <c r="C109" s="202">
        <f t="shared" si="2"/>
        <v>0</v>
      </c>
      <c r="D109" s="202">
        <f t="shared" si="3"/>
        <v>0</v>
      </c>
      <c r="E109" s="202">
        <f t="shared" si="4"/>
        <v>0</v>
      </c>
      <c r="F109" s="201"/>
      <c r="G109" s="201">
        <v>46</v>
      </c>
      <c r="H109" s="202">
        <f t="shared" si="5"/>
        <v>0</v>
      </c>
      <c r="I109" s="202">
        <f t="shared" si="6"/>
        <v>0</v>
      </c>
      <c r="J109" s="202">
        <f t="shared" si="7"/>
        <v>0</v>
      </c>
      <c r="K109" s="202">
        <f t="shared" si="8"/>
        <v>0</v>
      </c>
      <c r="L109" s="201"/>
    </row>
    <row r="110" spans="1:12">
      <c r="A110" s="201">
        <v>47</v>
      </c>
      <c r="B110" s="202">
        <f t="shared" si="1"/>
        <v>0</v>
      </c>
      <c r="C110" s="202">
        <f t="shared" si="2"/>
        <v>0</v>
      </c>
      <c r="D110" s="202">
        <f t="shared" si="3"/>
        <v>0</v>
      </c>
      <c r="E110" s="202">
        <f t="shared" si="4"/>
        <v>0</v>
      </c>
      <c r="F110" s="201"/>
      <c r="G110" s="201">
        <v>47</v>
      </c>
      <c r="H110" s="202">
        <f t="shared" si="5"/>
        <v>0</v>
      </c>
      <c r="I110" s="202">
        <f t="shared" si="6"/>
        <v>0</v>
      </c>
      <c r="J110" s="202">
        <f t="shared" si="7"/>
        <v>0</v>
      </c>
      <c r="K110" s="202">
        <f t="shared" si="8"/>
        <v>0</v>
      </c>
      <c r="L110" s="201"/>
    </row>
    <row r="111" spans="1:12">
      <c r="A111" s="201">
        <v>48</v>
      </c>
      <c r="B111" s="202">
        <f t="shared" si="1"/>
        <v>0</v>
      </c>
      <c r="C111" s="202">
        <f t="shared" si="2"/>
        <v>0</v>
      </c>
      <c r="D111" s="202">
        <f t="shared" si="3"/>
        <v>0</v>
      </c>
      <c r="E111" s="202">
        <f t="shared" si="4"/>
        <v>0</v>
      </c>
      <c r="F111" s="201">
        <v>4</v>
      </c>
      <c r="G111" s="201">
        <v>48</v>
      </c>
      <c r="H111" s="202">
        <f t="shared" si="5"/>
        <v>0</v>
      </c>
      <c r="I111" s="202">
        <f t="shared" si="6"/>
        <v>0</v>
      </c>
      <c r="J111" s="202">
        <f t="shared" si="7"/>
        <v>0</v>
      </c>
      <c r="K111" s="202">
        <f t="shared" si="8"/>
        <v>0</v>
      </c>
      <c r="L111" s="201">
        <v>4</v>
      </c>
    </row>
    <row r="112" spans="1:12">
      <c r="A112" s="201">
        <v>49</v>
      </c>
      <c r="B112" s="202">
        <f t="shared" si="1"/>
        <v>0</v>
      </c>
      <c r="C112" s="202">
        <f t="shared" si="2"/>
        <v>0</v>
      </c>
      <c r="D112" s="202">
        <f t="shared" si="3"/>
        <v>0</v>
      </c>
      <c r="E112" s="202">
        <f t="shared" si="4"/>
        <v>0</v>
      </c>
      <c r="F112" s="201"/>
      <c r="G112" s="201">
        <v>49</v>
      </c>
      <c r="H112" s="202">
        <f t="shared" si="5"/>
        <v>0</v>
      </c>
      <c r="I112" s="202">
        <f t="shared" si="6"/>
        <v>0</v>
      </c>
      <c r="J112" s="202">
        <f t="shared" si="7"/>
        <v>0</v>
      </c>
      <c r="K112" s="202">
        <f t="shared" si="8"/>
        <v>0</v>
      </c>
      <c r="L112" s="201"/>
    </row>
    <row r="113" spans="1:12">
      <c r="A113" s="201">
        <v>50</v>
      </c>
      <c r="B113" s="202">
        <f t="shared" si="1"/>
        <v>0</v>
      </c>
      <c r="C113" s="202">
        <f t="shared" si="2"/>
        <v>0</v>
      </c>
      <c r="D113" s="202">
        <f t="shared" si="3"/>
        <v>0</v>
      </c>
      <c r="E113" s="202">
        <f t="shared" si="4"/>
        <v>0</v>
      </c>
      <c r="F113" s="201"/>
      <c r="G113" s="201">
        <v>50</v>
      </c>
      <c r="H113" s="202">
        <f t="shared" si="5"/>
        <v>0</v>
      </c>
      <c r="I113" s="202">
        <f t="shared" si="6"/>
        <v>0</v>
      </c>
      <c r="J113" s="202">
        <f t="shared" si="7"/>
        <v>0</v>
      </c>
      <c r="K113" s="202">
        <f t="shared" si="8"/>
        <v>0</v>
      </c>
      <c r="L113" s="201"/>
    </row>
    <row r="114" spans="1:12">
      <c r="A114" s="201">
        <v>51</v>
      </c>
      <c r="B114" s="202">
        <f t="shared" si="1"/>
        <v>0</v>
      </c>
      <c r="C114" s="202">
        <f t="shared" si="2"/>
        <v>0</v>
      </c>
      <c r="D114" s="202">
        <f t="shared" si="3"/>
        <v>0</v>
      </c>
      <c r="E114" s="202">
        <f t="shared" si="4"/>
        <v>0</v>
      </c>
      <c r="F114" s="201"/>
      <c r="G114" s="201">
        <v>51</v>
      </c>
      <c r="H114" s="202">
        <f t="shared" si="5"/>
        <v>0</v>
      </c>
      <c r="I114" s="202">
        <f t="shared" si="6"/>
        <v>0</v>
      </c>
      <c r="J114" s="202">
        <f t="shared" si="7"/>
        <v>0</v>
      </c>
      <c r="K114" s="202">
        <f t="shared" si="8"/>
        <v>0</v>
      </c>
      <c r="L114" s="201"/>
    </row>
    <row r="115" spans="1:12">
      <c r="A115" s="201">
        <v>52</v>
      </c>
      <c r="B115" s="202">
        <f t="shared" si="1"/>
        <v>0</v>
      </c>
      <c r="C115" s="202">
        <f t="shared" si="2"/>
        <v>0</v>
      </c>
      <c r="D115" s="202">
        <f t="shared" si="3"/>
        <v>0</v>
      </c>
      <c r="E115" s="202">
        <f t="shared" si="4"/>
        <v>0</v>
      </c>
      <c r="F115" s="201"/>
      <c r="G115" s="201">
        <v>52</v>
      </c>
      <c r="H115" s="202">
        <f t="shared" si="5"/>
        <v>0</v>
      </c>
      <c r="I115" s="202">
        <f t="shared" si="6"/>
        <v>0</v>
      </c>
      <c r="J115" s="202">
        <f t="shared" si="7"/>
        <v>0</v>
      </c>
      <c r="K115" s="202">
        <f t="shared" si="8"/>
        <v>0</v>
      </c>
      <c r="L115" s="201"/>
    </row>
    <row r="116" spans="1:12">
      <c r="A116" s="201">
        <v>53</v>
      </c>
      <c r="B116" s="202">
        <f t="shared" si="1"/>
        <v>0</v>
      </c>
      <c r="C116" s="202">
        <f t="shared" si="2"/>
        <v>0</v>
      </c>
      <c r="D116" s="202">
        <f t="shared" si="3"/>
        <v>0</v>
      </c>
      <c r="E116" s="202">
        <f t="shared" si="4"/>
        <v>0</v>
      </c>
      <c r="F116" s="201"/>
      <c r="G116" s="201">
        <v>53</v>
      </c>
      <c r="H116" s="202">
        <f t="shared" si="5"/>
        <v>0</v>
      </c>
      <c r="I116" s="202">
        <f t="shared" si="6"/>
        <v>0</v>
      </c>
      <c r="J116" s="202">
        <f t="shared" si="7"/>
        <v>0</v>
      </c>
      <c r="K116" s="202">
        <f t="shared" si="8"/>
        <v>0</v>
      </c>
      <c r="L116" s="201"/>
    </row>
    <row r="117" spans="1:12">
      <c r="A117" s="201">
        <v>54</v>
      </c>
      <c r="B117" s="202">
        <f t="shared" si="1"/>
        <v>0</v>
      </c>
      <c r="C117" s="202">
        <f t="shared" si="2"/>
        <v>0</v>
      </c>
      <c r="D117" s="202">
        <f t="shared" si="3"/>
        <v>0</v>
      </c>
      <c r="E117" s="202">
        <f t="shared" si="4"/>
        <v>0</v>
      </c>
      <c r="F117" s="201"/>
      <c r="G117" s="201">
        <v>54</v>
      </c>
      <c r="H117" s="202">
        <f t="shared" si="5"/>
        <v>0</v>
      </c>
      <c r="I117" s="202">
        <f t="shared" si="6"/>
        <v>0</v>
      </c>
      <c r="J117" s="202">
        <f t="shared" si="7"/>
        <v>0</v>
      </c>
      <c r="K117" s="202">
        <f t="shared" si="8"/>
        <v>0</v>
      </c>
      <c r="L117" s="201"/>
    </row>
    <row r="118" spans="1:12">
      <c r="A118" s="201">
        <v>55</v>
      </c>
      <c r="B118" s="202">
        <f t="shared" si="1"/>
        <v>0</v>
      </c>
      <c r="C118" s="202">
        <f t="shared" si="2"/>
        <v>0</v>
      </c>
      <c r="D118" s="202">
        <f t="shared" si="3"/>
        <v>0</v>
      </c>
      <c r="E118" s="202">
        <f t="shared" si="4"/>
        <v>0</v>
      </c>
      <c r="F118" s="201"/>
      <c r="G118" s="201">
        <v>55</v>
      </c>
      <c r="H118" s="202">
        <f t="shared" si="5"/>
        <v>0</v>
      </c>
      <c r="I118" s="202">
        <f t="shared" si="6"/>
        <v>0</v>
      </c>
      <c r="J118" s="202">
        <f t="shared" si="7"/>
        <v>0</v>
      </c>
      <c r="K118" s="202">
        <f t="shared" si="8"/>
        <v>0</v>
      </c>
      <c r="L118" s="201"/>
    </row>
    <row r="119" spans="1:12">
      <c r="A119" s="201">
        <v>56</v>
      </c>
      <c r="B119" s="202">
        <f t="shared" si="1"/>
        <v>0</v>
      </c>
      <c r="C119" s="202">
        <f t="shared" si="2"/>
        <v>0</v>
      </c>
      <c r="D119" s="202">
        <f t="shared" si="3"/>
        <v>0</v>
      </c>
      <c r="E119" s="202">
        <f t="shared" si="4"/>
        <v>0</v>
      </c>
      <c r="F119" s="201"/>
      <c r="G119" s="201">
        <v>56</v>
      </c>
      <c r="H119" s="202">
        <f t="shared" si="5"/>
        <v>0</v>
      </c>
      <c r="I119" s="202">
        <f t="shared" si="6"/>
        <v>0</v>
      </c>
      <c r="J119" s="202">
        <f t="shared" si="7"/>
        <v>0</v>
      </c>
      <c r="K119" s="202">
        <f t="shared" si="8"/>
        <v>0</v>
      </c>
      <c r="L119" s="201"/>
    </row>
    <row r="120" spans="1:12">
      <c r="A120" s="201">
        <v>57</v>
      </c>
      <c r="B120" s="202">
        <f t="shared" si="1"/>
        <v>0</v>
      </c>
      <c r="C120" s="202">
        <f t="shared" si="2"/>
        <v>0</v>
      </c>
      <c r="D120" s="202">
        <f t="shared" si="3"/>
        <v>0</v>
      </c>
      <c r="E120" s="202">
        <f t="shared" si="4"/>
        <v>0</v>
      </c>
      <c r="F120" s="201"/>
      <c r="G120" s="201">
        <v>57</v>
      </c>
      <c r="H120" s="202">
        <f t="shared" si="5"/>
        <v>0</v>
      </c>
      <c r="I120" s="202">
        <f t="shared" si="6"/>
        <v>0</v>
      </c>
      <c r="J120" s="202">
        <f t="shared" si="7"/>
        <v>0</v>
      </c>
      <c r="K120" s="202">
        <f t="shared" si="8"/>
        <v>0</v>
      </c>
      <c r="L120" s="201"/>
    </row>
    <row r="121" spans="1:12">
      <c r="A121" s="201">
        <v>58</v>
      </c>
      <c r="B121" s="202">
        <f t="shared" si="1"/>
        <v>0</v>
      </c>
      <c r="C121" s="202">
        <f t="shared" si="2"/>
        <v>0</v>
      </c>
      <c r="D121" s="202">
        <f t="shared" si="3"/>
        <v>0</v>
      </c>
      <c r="E121" s="202">
        <f t="shared" si="4"/>
        <v>0</v>
      </c>
      <c r="F121" s="201"/>
      <c r="G121" s="201">
        <v>58</v>
      </c>
      <c r="H121" s="202">
        <f t="shared" si="5"/>
        <v>0</v>
      </c>
      <c r="I121" s="202">
        <f t="shared" si="6"/>
        <v>0</v>
      </c>
      <c r="J121" s="202">
        <f t="shared" si="7"/>
        <v>0</v>
      </c>
      <c r="K121" s="202">
        <f t="shared" si="8"/>
        <v>0</v>
      </c>
      <c r="L121" s="201"/>
    </row>
    <row r="122" spans="1:12">
      <c r="A122" s="201">
        <v>59</v>
      </c>
      <c r="B122" s="202">
        <f t="shared" si="1"/>
        <v>0</v>
      </c>
      <c r="C122" s="202">
        <f t="shared" si="2"/>
        <v>0</v>
      </c>
      <c r="D122" s="202">
        <f t="shared" si="3"/>
        <v>0</v>
      </c>
      <c r="E122" s="202">
        <f t="shared" si="4"/>
        <v>0</v>
      </c>
      <c r="F122" s="201"/>
      <c r="G122" s="201">
        <v>59</v>
      </c>
      <c r="H122" s="202">
        <f t="shared" si="5"/>
        <v>0</v>
      </c>
      <c r="I122" s="202">
        <f t="shared" si="6"/>
        <v>0</v>
      </c>
      <c r="J122" s="202">
        <f t="shared" si="7"/>
        <v>0</v>
      </c>
      <c r="K122" s="202">
        <f t="shared" si="8"/>
        <v>0</v>
      </c>
      <c r="L122" s="201"/>
    </row>
    <row r="123" spans="1:12">
      <c r="A123" s="201">
        <v>60</v>
      </c>
      <c r="B123" s="202">
        <f t="shared" si="1"/>
        <v>0</v>
      </c>
      <c r="C123" s="202">
        <f t="shared" si="2"/>
        <v>0</v>
      </c>
      <c r="D123" s="202">
        <f t="shared" si="3"/>
        <v>0</v>
      </c>
      <c r="E123" s="202">
        <f t="shared" si="4"/>
        <v>0</v>
      </c>
      <c r="F123" s="201"/>
      <c r="G123" s="201">
        <v>60</v>
      </c>
      <c r="H123" s="202">
        <f t="shared" si="5"/>
        <v>0</v>
      </c>
      <c r="I123" s="202">
        <f t="shared" si="6"/>
        <v>0</v>
      </c>
      <c r="J123" s="202">
        <f t="shared" si="7"/>
        <v>0</v>
      </c>
      <c r="K123" s="202">
        <f t="shared" si="8"/>
        <v>0</v>
      </c>
      <c r="L123" s="201"/>
    </row>
    <row r="124" spans="1:12">
      <c r="A124" s="201">
        <v>61</v>
      </c>
      <c r="B124" s="202">
        <f t="shared" si="1"/>
        <v>0</v>
      </c>
      <c r="C124" s="202">
        <f t="shared" si="2"/>
        <v>0</v>
      </c>
      <c r="D124" s="202">
        <f t="shared" si="3"/>
        <v>0</v>
      </c>
      <c r="E124" s="202">
        <f t="shared" si="4"/>
        <v>0</v>
      </c>
      <c r="F124" s="201"/>
      <c r="G124" s="201">
        <v>61</v>
      </c>
      <c r="H124" s="202">
        <f t="shared" si="5"/>
        <v>0</v>
      </c>
      <c r="I124" s="202">
        <f t="shared" si="6"/>
        <v>0</v>
      </c>
      <c r="J124" s="202">
        <f t="shared" si="7"/>
        <v>0</v>
      </c>
      <c r="K124" s="202">
        <f t="shared" si="8"/>
        <v>0</v>
      </c>
      <c r="L124" s="201"/>
    </row>
    <row r="125" spans="1:12">
      <c r="A125" s="201">
        <v>62</v>
      </c>
      <c r="B125" s="202">
        <f t="shared" si="1"/>
        <v>0</v>
      </c>
      <c r="C125" s="202">
        <f t="shared" si="2"/>
        <v>0</v>
      </c>
      <c r="D125" s="202">
        <f t="shared" si="3"/>
        <v>0</v>
      </c>
      <c r="E125" s="202">
        <f t="shared" si="4"/>
        <v>0</v>
      </c>
      <c r="F125" s="201">
        <v>5</v>
      </c>
      <c r="G125" s="201">
        <v>62</v>
      </c>
      <c r="H125" s="202">
        <f t="shared" si="5"/>
        <v>0</v>
      </c>
      <c r="I125" s="202">
        <f t="shared" si="6"/>
        <v>0</v>
      </c>
      <c r="J125" s="202">
        <f t="shared" si="7"/>
        <v>0</v>
      </c>
      <c r="K125" s="202">
        <f t="shared" si="8"/>
        <v>0</v>
      </c>
      <c r="L125" s="201">
        <v>5</v>
      </c>
    </row>
    <row r="126" spans="1:12">
      <c r="A126" s="201">
        <v>63</v>
      </c>
      <c r="B126" s="202">
        <f t="shared" si="1"/>
        <v>0</v>
      </c>
      <c r="C126" s="202">
        <f t="shared" si="2"/>
        <v>0</v>
      </c>
      <c r="D126" s="202">
        <f t="shared" si="3"/>
        <v>0</v>
      </c>
      <c r="E126" s="202">
        <f t="shared" si="4"/>
        <v>0</v>
      </c>
      <c r="F126" s="201"/>
      <c r="G126" s="201">
        <v>63</v>
      </c>
      <c r="H126" s="202">
        <f t="shared" si="5"/>
        <v>0</v>
      </c>
      <c r="I126" s="202">
        <f t="shared" si="6"/>
        <v>0</v>
      </c>
      <c r="J126" s="202">
        <f t="shared" si="7"/>
        <v>0</v>
      </c>
      <c r="K126" s="202">
        <f t="shared" si="8"/>
        <v>0</v>
      </c>
      <c r="L126" s="201"/>
    </row>
    <row r="127" spans="1:12">
      <c r="A127" s="201">
        <v>64</v>
      </c>
      <c r="B127" s="202">
        <f t="shared" si="1"/>
        <v>0</v>
      </c>
      <c r="C127" s="202">
        <f t="shared" si="2"/>
        <v>0</v>
      </c>
      <c r="D127" s="202">
        <f t="shared" si="3"/>
        <v>0</v>
      </c>
      <c r="E127" s="202">
        <f t="shared" si="4"/>
        <v>0</v>
      </c>
      <c r="F127" s="201"/>
      <c r="G127" s="201">
        <v>64</v>
      </c>
      <c r="H127" s="202">
        <f t="shared" si="5"/>
        <v>0</v>
      </c>
      <c r="I127" s="202">
        <f t="shared" si="6"/>
        <v>0</v>
      </c>
      <c r="J127" s="202">
        <f t="shared" si="7"/>
        <v>0</v>
      </c>
      <c r="K127" s="202">
        <f t="shared" si="8"/>
        <v>0</v>
      </c>
      <c r="L127" s="201"/>
    </row>
    <row r="128" spans="1:12">
      <c r="A128" s="201">
        <v>65</v>
      </c>
      <c r="B128" s="202">
        <f t="shared" ref="B128:B191" si="9">IF(A128&gt;12*$C$9,0,IF($C$5&gt;1500000,$D$12,$C$12))</f>
        <v>0</v>
      </c>
      <c r="C128" s="202">
        <f t="shared" ref="C128:C191" si="10">IF(A128&gt;12*$C$9,0,E127*$C$7/12)</f>
        <v>0</v>
      </c>
      <c r="D128" s="202">
        <f t="shared" ref="D128:D191" si="11">IF(A128&gt;12*$C$9,0,B128-C128)</f>
        <v>0</v>
      </c>
      <c r="E128" s="202">
        <f t="shared" ref="E128:E191" si="12">IF(A128&gt;12*$C$9,0,E127-D128)</f>
        <v>0</v>
      </c>
      <c r="F128" s="201"/>
      <c r="G128" s="201">
        <v>65</v>
      </c>
      <c r="H128" s="202">
        <f t="shared" ref="H128:H191" si="13">IF(G128&gt;12*$C$9,0,IF($C$5&gt;1500000,$E$12,0))</f>
        <v>0</v>
      </c>
      <c r="I128" s="202">
        <f t="shared" ref="I128:I191" si="14">IF(G128&gt;12*$C$9,0,K127*$C$7/12)</f>
        <v>0</v>
      </c>
      <c r="J128" s="202">
        <f t="shared" ref="J128:J191" si="15">IF(G128&gt;12*$C$9,0,H128-I128)</f>
        <v>0</v>
      </c>
      <c r="K128" s="202">
        <f t="shared" ref="K128:K191" si="16">IF(G128&gt;12*$C$9,0,K127-J128)</f>
        <v>0</v>
      </c>
      <c r="L128" s="201"/>
    </row>
    <row r="129" spans="1:12">
      <c r="A129" s="201">
        <v>66</v>
      </c>
      <c r="B129" s="202">
        <f t="shared" si="9"/>
        <v>0</v>
      </c>
      <c r="C129" s="202">
        <f t="shared" si="10"/>
        <v>0</v>
      </c>
      <c r="D129" s="202">
        <f t="shared" si="11"/>
        <v>0</v>
      </c>
      <c r="E129" s="202">
        <f t="shared" si="12"/>
        <v>0</v>
      </c>
      <c r="F129" s="201"/>
      <c r="G129" s="201">
        <v>66</v>
      </c>
      <c r="H129" s="202">
        <f t="shared" si="13"/>
        <v>0</v>
      </c>
      <c r="I129" s="202">
        <f t="shared" si="14"/>
        <v>0</v>
      </c>
      <c r="J129" s="202">
        <f t="shared" si="15"/>
        <v>0</v>
      </c>
      <c r="K129" s="202">
        <f t="shared" si="16"/>
        <v>0</v>
      </c>
      <c r="L129" s="201"/>
    </row>
    <row r="130" spans="1:12">
      <c r="A130" s="201">
        <v>67</v>
      </c>
      <c r="B130" s="202">
        <f t="shared" si="9"/>
        <v>0</v>
      </c>
      <c r="C130" s="202">
        <f t="shared" si="10"/>
        <v>0</v>
      </c>
      <c r="D130" s="202">
        <f t="shared" si="11"/>
        <v>0</v>
      </c>
      <c r="E130" s="202">
        <f t="shared" si="12"/>
        <v>0</v>
      </c>
      <c r="F130" s="201"/>
      <c r="G130" s="201">
        <v>67</v>
      </c>
      <c r="H130" s="202">
        <f t="shared" si="13"/>
        <v>0</v>
      </c>
      <c r="I130" s="202">
        <f t="shared" si="14"/>
        <v>0</v>
      </c>
      <c r="J130" s="202">
        <f t="shared" si="15"/>
        <v>0</v>
      </c>
      <c r="K130" s="202">
        <f t="shared" si="16"/>
        <v>0</v>
      </c>
      <c r="L130" s="201"/>
    </row>
    <row r="131" spans="1:12">
      <c r="A131" s="201">
        <v>68</v>
      </c>
      <c r="B131" s="202">
        <f t="shared" si="9"/>
        <v>0</v>
      </c>
      <c r="C131" s="202">
        <f t="shared" si="10"/>
        <v>0</v>
      </c>
      <c r="D131" s="202">
        <f t="shared" si="11"/>
        <v>0</v>
      </c>
      <c r="E131" s="202">
        <f t="shared" si="12"/>
        <v>0</v>
      </c>
      <c r="F131" s="201"/>
      <c r="G131" s="201">
        <v>68</v>
      </c>
      <c r="H131" s="202">
        <f t="shared" si="13"/>
        <v>0</v>
      </c>
      <c r="I131" s="202">
        <f t="shared" si="14"/>
        <v>0</v>
      </c>
      <c r="J131" s="202">
        <f t="shared" si="15"/>
        <v>0</v>
      </c>
      <c r="K131" s="202">
        <f t="shared" si="16"/>
        <v>0</v>
      </c>
      <c r="L131" s="201"/>
    </row>
    <row r="132" spans="1:12">
      <c r="A132" s="201">
        <v>69</v>
      </c>
      <c r="B132" s="202">
        <f t="shared" si="9"/>
        <v>0</v>
      </c>
      <c r="C132" s="202">
        <f t="shared" si="10"/>
        <v>0</v>
      </c>
      <c r="D132" s="202">
        <f t="shared" si="11"/>
        <v>0</v>
      </c>
      <c r="E132" s="202">
        <f t="shared" si="12"/>
        <v>0</v>
      </c>
      <c r="F132" s="201"/>
      <c r="G132" s="201">
        <v>69</v>
      </c>
      <c r="H132" s="202">
        <f t="shared" si="13"/>
        <v>0</v>
      </c>
      <c r="I132" s="202">
        <f t="shared" si="14"/>
        <v>0</v>
      </c>
      <c r="J132" s="202">
        <f t="shared" si="15"/>
        <v>0</v>
      </c>
      <c r="K132" s="202">
        <f t="shared" si="16"/>
        <v>0</v>
      </c>
      <c r="L132" s="201"/>
    </row>
    <row r="133" spans="1:12">
      <c r="A133" s="201">
        <v>70</v>
      </c>
      <c r="B133" s="202">
        <f t="shared" si="9"/>
        <v>0</v>
      </c>
      <c r="C133" s="202">
        <f t="shared" si="10"/>
        <v>0</v>
      </c>
      <c r="D133" s="202">
        <f t="shared" si="11"/>
        <v>0</v>
      </c>
      <c r="E133" s="202">
        <f t="shared" si="12"/>
        <v>0</v>
      </c>
      <c r="F133" s="201"/>
      <c r="G133" s="201">
        <v>70</v>
      </c>
      <c r="H133" s="202">
        <f t="shared" si="13"/>
        <v>0</v>
      </c>
      <c r="I133" s="202">
        <f t="shared" si="14"/>
        <v>0</v>
      </c>
      <c r="J133" s="202">
        <f t="shared" si="15"/>
        <v>0</v>
      </c>
      <c r="K133" s="202">
        <f t="shared" si="16"/>
        <v>0</v>
      </c>
      <c r="L133" s="201"/>
    </row>
    <row r="134" spans="1:12">
      <c r="A134" s="201">
        <v>71</v>
      </c>
      <c r="B134" s="202">
        <f t="shared" si="9"/>
        <v>0</v>
      </c>
      <c r="C134" s="202">
        <f t="shared" si="10"/>
        <v>0</v>
      </c>
      <c r="D134" s="202">
        <f t="shared" si="11"/>
        <v>0</v>
      </c>
      <c r="E134" s="202">
        <f t="shared" si="12"/>
        <v>0</v>
      </c>
      <c r="F134" s="201"/>
      <c r="G134" s="201">
        <v>71</v>
      </c>
      <c r="H134" s="202">
        <f t="shared" si="13"/>
        <v>0</v>
      </c>
      <c r="I134" s="202">
        <f t="shared" si="14"/>
        <v>0</v>
      </c>
      <c r="J134" s="202">
        <f t="shared" si="15"/>
        <v>0</v>
      </c>
      <c r="K134" s="202">
        <f t="shared" si="16"/>
        <v>0</v>
      </c>
      <c r="L134" s="201"/>
    </row>
    <row r="135" spans="1:12">
      <c r="A135" s="201">
        <v>72</v>
      </c>
      <c r="B135" s="202">
        <f t="shared" si="9"/>
        <v>0</v>
      </c>
      <c r="C135" s="202">
        <f t="shared" si="10"/>
        <v>0</v>
      </c>
      <c r="D135" s="202">
        <f t="shared" si="11"/>
        <v>0</v>
      </c>
      <c r="E135" s="202">
        <f t="shared" si="12"/>
        <v>0</v>
      </c>
      <c r="F135" s="201"/>
      <c r="G135" s="201">
        <v>72</v>
      </c>
      <c r="H135" s="202">
        <f t="shared" si="13"/>
        <v>0</v>
      </c>
      <c r="I135" s="202">
        <f t="shared" si="14"/>
        <v>0</v>
      </c>
      <c r="J135" s="202">
        <f t="shared" si="15"/>
        <v>0</v>
      </c>
      <c r="K135" s="202">
        <f t="shared" si="16"/>
        <v>0</v>
      </c>
      <c r="L135" s="201"/>
    </row>
    <row r="136" spans="1:12">
      <c r="A136" s="201">
        <v>73</v>
      </c>
      <c r="B136" s="202">
        <f t="shared" si="9"/>
        <v>0</v>
      </c>
      <c r="C136" s="202">
        <f t="shared" si="10"/>
        <v>0</v>
      </c>
      <c r="D136" s="202">
        <f t="shared" si="11"/>
        <v>0</v>
      </c>
      <c r="E136" s="202">
        <f t="shared" si="12"/>
        <v>0</v>
      </c>
      <c r="F136" s="201"/>
      <c r="G136" s="201">
        <v>73</v>
      </c>
      <c r="H136" s="202">
        <f t="shared" si="13"/>
        <v>0</v>
      </c>
      <c r="I136" s="202">
        <f t="shared" si="14"/>
        <v>0</v>
      </c>
      <c r="J136" s="202">
        <f t="shared" si="15"/>
        <v>0</v>
      </c>
      <c r="K136" s="202">
        <f t="shared" si="16"/>
        <v>0</v>
      </c>
      <c r="L136" s="201"/>
    </row>
    <row r="137" spans="1:12">
      <c r="A137" s="201">
        <v>74</v>
      </c>
      <c r="B137" s="202">
        <f t="shared" si="9"/>
        <v>0</v>
      </c>
      <c r="C137" s="202">
        <f t="shared" si="10"/>
        <v>0</v>
      </c>
      <c r="D137" s="202">
        <f t="shared" si="11"/>
        <v>0</v>
      </c>
      <c r="E137" s="202">
        <f t="shared" si="12"/>
        <v>0</v>
      </c>
      <c r="F137" s="201">
        <v>6</v>
      </c>
      <c r="G137" s="201">
        <v>74</v>
      </c>
      <c r="H137" s="202">
        <f t="shared" si="13"/>
        <v>0</v>
      </c>
      <c r="I137" s="202">
        <f t="shared" si="14"/>
        <v>0</v>
      </c>
      <c r="J137" s="202">
        <f t="shared" si="15"/>
        <v>0</v>
      </c>
      <c r="K137" s="202">
        <f t="shared" si="16"/>
        <v>0</v>
      </c>
      <c r="L137" s="201">
        <v>6</v>
      </c>
    </row>
    <row r="138" spans="1:12">
      <c r="A138" s="201">
        <v>75</v>
      </c>
      <c r="B138" s="202">
        <f t="shared" si="9"/>
        <v>0</v>
      </c>
      <c r="C138" s="202">
        <f t="shared" si="10"/>
        <v>0</v>
      </c>
      <c r="D138" s="202">
        <f t="shared" si="11"/>
        <v>0</v>
      </c>
      <c r="E138" s="202">
        <f t="shared" si="12"/>
        <v>0</v>
      </c>
      <c r="F138" s="201"/>
      <c r="G138" s="201">
        <v>75</v>
      </c>
      <c r="H138" s="202">
        <f t="shared" si="13"/>
        <v>0</v>
      </c>
      <c r="I138" s="202">
        <f t="shared" si="14"/>
        <v>0</v>
      </c>
      <c r="J138" s="202">
        <f t="shared" si="15"/>
        <v>0</v>
      </c>
      <c r="K138" s="202">
        <f t="shared" si="16"/>
        <v>0</v>
      </c>
      <c r="L138" s="201"/>
    </row>
    <row r="139" spans="1:12">
      <c r="A139" s="201">
        <v>76</v>
      </c>
      <c r="B139" s="202">
        <f t="shared" si="9"/>
        <v>0</v>
      </c>
      <c r="C139" s="202">
        <f t="shared" si="10"/>
        <v>0</v>
      </c>
      <c r="D139" s="202">
        <f t="shared" si="11"/>
        <v>0</v>
      </c>
      <c r="E139" s="202">
        <f t="shared" si="12"/>
        <v>0</v>
      </c>
      <c r="F139" s="201"/>
      <c r="G139" s="201">
        <v>76</v>
      </c>
      <c r="H139" s="202">
        <f t="shared" si="13"/>
        <v>0</v>
      </c>
      <c r="I139" s="202">
        <f t="shared" si="14"/>
        <v>0</v>
      </c>
      <c r="J139" s="202">
        <f t="shared" si="15"/>
        <v>0</v>
      </c>
      <c r="K139" s="202">
        <f t="shared" si="16"/>
        <v>0</v>
      </c>
      <c r="L139" s="201"/>
    </row>
    <row r="140" spans="1:12">
      <c r="A140" s="201">
        <v>77</v>
      </c>
      <c r="B140" s="202">
        <f t="shared" si="9"/>
        <v>0</v>
      </c>
      <c r="C140" s="202">
        <f t="shared" si="10"/>
        <v>0</v>
      </c>
      <c r="D140" s="202">
        <f t="shared" si="11"/>
        <v>0</v>
      </c>
      <c r="E140" s="202">
        <f t="shared" si="12"/>
        <v>0</v>
      </c>
      <c r="F140" s="201"/>
      <c r="G140" s="201">
        <v>77</v>
      </c>
      <c r="H140" s="202">
        <f t="shared" si="13"/>
        <v>0</v>
      </c>
      <c r="I140" s="202">
        <f t="shared" si="14"/>
        <v>0</v>
      </c>
      <c r="J140" s="202">
        <f t="shared" si="15"/>
        <v>0</v>
      </c>
      <c r="K140" s="202">
        <f t="shared" si="16"/>
        <v>0</v>
      </c>
      <c r="L140" s="201"/>
    </row>
    <row r="141" spans="1:12">
      <c r="A141" s="201">
        <v>78</v>
      </c>
      <c r="B141" s="202">
        <f t="shared" si="9"/>
        <v>0</v>
      </c>
      <c r="C141" s="202">
        <f t="shared" si="10"/>
        <v>0</v>
      </c>
      <c r="D141" s="202">
        <f t="shared" si="11"/>
        <v>0</v>
      </c>
      <c r="E141" s="202">
        <f t="shared" si="12"/>
        <v>0</v>
      </c>
      <c r="F141" s="201"/>
      <c r="G141" s="201">
        <v>78</v>
      </c>
      <c r="H141" s="202">
        <f t="shared" si="13"/>
        <v>0</v>
      </c>
      <c r="I141" s="202">
        <f t="shared" si="14"/>
        <v>0</v>
      </c>
      <c r="J141" s="202">
        <f t="shared" si="15"/>
        <v>0</v>
      </c>
      <c r="K141" s="202">
        <f t="shared" si="16"/>
        <v>0</v>
      </c>
      <c r="L141" s="201"/>
    </row>
    <row r="142" spans="1:12">
      <c r="A142" s="201">
        <v>79</v>
      </c>
      <c r="B142" s="202">
        <f t="shared" si="9"/>
        <v>0</v>
      </c>
      <c r="C142" s="202">
        <f t="shared" si="10"/>
        <v>0</v>
      </c>
      <c r="D142" s="202">
        <f t="shared" si="11"/>
        <v>0</v>
      </c>
      <c r="E142" s="202">
        <f t="shared" si="12"/>
        <v>0</v>
      </c>
      <c r="F142" s="201"/>
      <c r="G142" s="201">
        <v>79</v>
      </c>
      <c r="H142" s="202">
        <f t="shared" si="13"/>
        <v>0</v>
      </c>
      <c r="I142" s="202">
        <f t="shared" si="14"/>
        <v>0</v>
      </c>
      <c r="J142" s="202">
        <f t="shared" si="15"/>
        <v>0</v>
      </c>
      <c r="K142" s="202">
        <f t="shared" si="16"/>
        <v>0</v>
      </c>
      <c r="L142" s="201"/>
    </row>
    <row r="143" spans="1:12">
      <c r="A143" s="201">
        <v>80</v>
      </c>
      <c r="B143" s="202">
        <f t="shared" si="9"/>
        <v>0</v>
      </c>
      <c r="C143" s="202">
        <f t="shared" si="10"/>
        <v>0</v>
      </c>
      <c r="D143" s="202">
        <f t="shared" si="11"/>
        <v>0</v>
      </c>
      <c r="E143" s="202">
        <f t="shared" si="12"/>
        <v>0</v>
      </c>
      <c r="F143" s="201"/>
      <c r="G143" s="201">
        <v>80</v>
      </c>
      <c r="H143" s="202">
        <f t="shared" si="13"/>
        <v>0</v>
      </c>
      <c r="I143" s="202">
        <f t="shared" si="14"/>
        <v>0</v>
      </c>
      <c r="J143" s="202">
        <f t="shared" si="15"/>
        <v>0</v>
      </c>
      <c r="K143" s="202">
        <f t="shared" si="16"/>
        <v>0</v>
      </c>
      <c r="L143" s="201"/>
    </row>
    <row r="144" spans="1:12">
      <c r="A144" s="201">
        <v>81</v>
      </c>
      <c r="B144" s="202">
        <f t="shared" si="9"/>
        <v>0</v>
      </c>
      <c r="C144" s="202">
        <f t="shared" si="10"/>
        <v>0</v>
      </c>
      <c r="D144" s="202">
        <f t="shared" si="11"/>
        <v>0</v>
      </c>
      <c r="E144" s="202">
        <f t="shared" si="12"/>
        <v>0</v>
      </c>
      <c r="F144" s="201"/>
      <c r="G144" s="201">
        <v>81</v>
      </c>
      <c r="H144" s="202">
        <f t="shared" si="13"/>
        <v>0</v>
      </c>
      <c r="I144" s="202">
        <f t="shared" si="14"/>
        <v>0</v>
      </c>
      <c r="J144" s="202">
        <f t="shared" si="15"/>
        <v>0</v>
      </c>
      <c r="K144" s="202">
        <f t="shared" si="16"/>
        <v>0</v>
      </c>
      <c r="L144" s="201"/>
    </row>
    <row r="145" spans="1:12">
      <c r="A145" s="201">
        <v>82</v>
      </c>
      <c r="B145" s="202">
        <f t="shared" si="9"/>
        <v>0</v>
      </c>
      <c r="C145" s="202">
        <f t="shared" si="10"/>
        <v>0</v>
      </c>
      <c r="D145" s="202">
        <f t="shared" si="11"/>
        <v>0</v>
      </c>
      <c r="E145" s="202">
        <f t="shared" si="12"/>
        <v>0</v>
      </c>
      <c r="F145" s="201"/>
      <c r="G145" s="201">
        <v>82</v>
      </c>
      <c r="H145" s="202">
        <f t="shared" si="13"/>
        <v>0</v>
      </c>
      <c r="I145" s="202">
        <f t="shared" si="14"/>
        <v>0</v>
      </c>
      <c r="J145" s="202">
        <f t="shared" si="15"/>
        <v>0</v>
      </c>
      <c r="K145" s="202">
        <f t="shared" si="16"/>
        <v>0</v>
      </c>
      <c r="L145" s="201"/>
    </row>
    <row r="146" spans="1:12">
      <c r="A146" s="201">
        <v>83</v>
      </c>
      <c r="B146" s="202">
        <f t="shared" si="9"/>
        <v>0</v>
      </c>
      <c r="C146" s="202">
        <f t="shared" si="10"/>
        <v>0</v>
      </c>
      <c r="D146" s="202">
        <f t="shared" si="11"/>
        <v>0</v>
      </c>
      <c r="E146" s="202">
        <f t="shared" si="12"/>
        <v>0</v>
      </c>
      <c r="F146" s="201"/>
      <c r="G146" s="201">
        <v>83</v>
      </c>
      <c r="H146" s="202">
        <f t="shared" si="13"/>
        <v>0</v>
      </c>
      <c r="I146" s="202">
        <f t="shared" si="14"/>
        <v>0</v>
      </c>
      <c r="J146" s="202">
        <f t="shared" si="15"/>
        <v>0</v>
      </c>
      <c r="K146" s="202">
        <f t="shared" si="16"/>
        <v>0</v>
      </c>
      <c r="L146" s="201"/>
    </row>
    <row r="147" spans="1:12">
      <c r="A147" s="201">
        <v>84</v>
      </c>
      <c r="B147" s="202">
        <f t="shared" si="9"/>
        <v>0</v>
      </c>
      <c r="C147" s="202">
        <f t="shared" si="10"/>
        <v>0</v>
      </c>
      <c r="D147" s="202">
        <f t="shared" si="11"/>
        <v>0</v>
      </c>
      <c r="E147" s="202">
        <f t="shared" si="12"/>
        <v>0</v>
      </c>
      <c r="F147" s="201">
        <v>7</v>
      </c>
      <c r="G147" s="201">
        <v>84</v>
      </c>
      <c r="H147" s="202">
        <f t="shared" si="13"/>
        <v>0</v>
      </c>
      <c r="I147" s="202">
        <f t="shared" si="14"/>
        <v>0</v>
      </c>
      <c r="J147" s="202">
        <f t="shared" si="15"/>
        <v>0</v>
      </c>
      <c r="K147" s="202">
        <f t="shared" si="16"/>
        <v>0</v>
      </c>
      <c r="L147" s="201">
        <v>7</v>
      </c>
    </row>
    <row r="148" spans="1:12">
      <c r="A148" s="201">
        <v>85</v>
      </c>
      <c r="B148" s="202">
        <f t="shared" si="9"/>
        <v>0</v>
      </c>
      <c r="C148" s="202">
        <f t="shared" si="10"/>
        <v>0</v>
      </c>
      <c r="D148" s="202">
        <f t="shared" si="11"/>
        <v>0</v>
      </c>
      <c r="E148" s="202">
        <f t="shared" si="12"/>
        <v>0</v>
      </c>
      <c r="F148" s="201"/>
      <c r="G148" s="201">
        <v>85</v>
      </c>
      <c r="H148" s="202">
        <f t="shared" si="13"/>
        <v>0</v>
      </c>
      <c r="I148" s="202">
        <f t="shared" si="14"/>
        <v>0</v>
      </c>
      <c r="J148" s="202">
        <f t="shared" si="15"/>
        <v>0</v>
      </c>
      <c r="K148" s="202">
        <f t="shared" si="16"/>
        <v>0</v>
      </c>
      <c r="L148" s="201"/>
    </row>
    <row r="149" spans="1:12">
      <c r="A149" s="201">
        <v>86</v>
      </c>
      <c r="B149" s="202">
        <f t="shared" si="9"/>
        <v>0</v>
      </c>
      <c r="C149" s="202">
        <f t="shared" si="10"/>
        <v>0</v>
      </c>
      <c r="D149" s="202">
        <f t="shared" si="11"/>
        <v>0</v>
      </c>
      <c r="E149" s="202">
        <f t="shared" si="12"/>
        <v>0</v>
      </c>
      <c r="F149" s="201"/>
      <c r="G149" s="201">
        <v>86</v>
      </c>
      <c r="H149" s="202">
        <f t="shared" si="13"/>
        <v>0</v>
      </c>
      <c r="I149" s="202">
        <f t="shared" si="14"/>
        <v>0</v>
      </c>
      <c r="J149" s="202">
        <f t="shared" si="15"/>
        <v>0</v>
      </c>
      <c r="K149" s="202">
        <f t="shared" si="16"/>
        <v>0</v>
      </c>
      <c r="L149" s="201"/>
    </row>
    <row r="150" spans="1:12">
      <c r="A150" s="201">
        <v>87</v>
      </c>
      <c r="B150" s="202">
        <f t="shared" si="9"/>
        <v>0</v>
      </c>
      <c r="C150" s="202">
        <f t="shared" si="10"/>
        <v>0</v>
      </c>
      <c r="D150" s="202">
        <f t="shared" si="11"/>
        <v>0</v>
      </c>
      <c r="E150" s="202">
        <f t="shared" si="12"/>
        <v>0</v>
      </c>
      <c r="F150" s="201"/>
      <c r="G150" s="201">
        <v>87</v>
      </c>
      <c r="H150" s="202">
        <f t="shared" si="13"/>
        <v>0</v>
      </c>
      <c r="I150" s="202">
        <f t="shared" si="14"/>
        <v>0</v>
      </c>
      <c r="J150" s="202">
        <f t="shared" si="15"/>
        <v>0</v>
      </c>
      <c r="K150" s="202">
        <f t="shared" si="16"/>
        <v>0</v>
      </c>
      <c r="L150" s="201"/>
    </row>
    <row r="151" spans="1:12">
      <c r="A151" s="201">
        <v>88</v>
      </c>
      <c r="B151" s="202">
        <f t="shared" si="9"/>
        <v>0</v>
      </c>
      <c r="C151" s="202">
        <f t="shared" si="10"/>
        <v>0</v>
      </c>
      <c r="D151" s="202">
        <f t="shared" si="11"/>
        <v>0</v>
      </c>
      <c r="E151" s="202">
        <f t="shared" si="12"/>
        <v>0</v>
      </c>
      <c r="F151" s="201"/>
      <c r="G151" s="201">
        <v>88</v>
      </c>
      <c r="H151" s="202">
        <f t="shared" si="13"/>
        <v>0</v>
      </c>
      <c r="I151" s="202">
        <f t="shared" si="14"/>
        <v>0</v>
      </c>
      <c r="J151" s="202">
        <f t="shared" si="15"/>
        <v>0</v>
      </c>
      <c r="K151" s="202">
        <f t="shared" si="16"/>
        <v>0</v>
      </c>
      <c r="L151" s="201"/>
    </row>
    <row r="152" spans="1:12">
      <c r="A152" s="201">
        <v>89</v>
      </c>
      <c r="B152" s="202">
        <f t="shared" si="9"/>
        <v>0</v>
      </c>
      <c r="C152" s="202">
        <f t="shared" si="10"/>
        <v>0</v>
      </c>
      <c r="D152" s="202">
        <f t="shared" si="11"/>
        <v>0</v>
      </c>
      <c r="E152" s="202">
        <f t="shared" si="12"/>
        <v>0</v>
      </c>
      <c r="F152" s="201"/>
      <c r="G152" s="201">
        <v>89</v>
      </c>
      <c r="H152" s="202">
        <f t="shared" si="13"/>
        <v>0</v>
      </c>
      <c r="I152" s="202">
        <f t="shared" si="14"/>
        <v>0</v>
      </c>
      <c r="J152" s="202">
        <f t="shared" si="15"/>
        <v>0</v>
      </c>
      <c r="K152" s="202">
        <f t="shared" si="16"/>
        <v>0</v>
      </c>
      <c r="L152" s="201"/>
    </row>
    <row r="153" spans="1:12">
      <c r="A153" s="201">
        <v>90</v>
      </c>
      <c r="B153" s="202">
        <f t="shared" si="9"/>
        <v>0</v>
      </c>
      <c r="C153" s="202">
        <f t="shared" si="10"/>
        <v>0</v>
      </c>
      <c r="D153" s="202">
        <f t="shared" si="11"/>
        <v>0</v>
      </c>
      <c r="E153" s="202">
        <f t="shared" si="12"/>
        <v>0</v>
      </c>
      <c r="F153" s="201"/>
      <c r="G153" s="201">
        <v>90</v>
      </c>
      <c r="H153" s="202">
        <f t="shared" si="13"/>
        <v>0</v>
      </c>
      <c r="I153" s="202">
        <f t="shared" si="14"/>
        <v>0</v>
      </c>
      <c r="J153" s="202">
        <f t="shared" si="15"/>
        <v>0</v>
      </c>
      <c r="K153" s="202">
        <f t="shared" si="16"/>
        <v>0</v>
      </c>
      <c r="L153" s="201"/>
    </row>
    <row r="154" spans="1:12">
      <c r="A154" s="201">
        <v>91</v>
      </c>
      <c r="B154" s="202">
        <f t="shared" si="9"/>
        <v>0</v>
      </c>
      <c r="C154" s="202">
        <f t="shared" si="10"/>
        <v>0</v>
      </c>
      <c r="D154" s="202">
        <f t="shared" si="11"/>
        <v>0</v>
      </c>
      <c r="E154" s="202">
        <f t="shared" si="12"/>
        <v>0</v>
      </c>
      <c r="F154" s="201"/>
      <c r="G154" s="201">
        <v>91</v>
      </c>
      <c r="H154" s="202">
        <f t="shared" si="13"/>
        <v>0</v>
      </c>
      <c r="I154" s="202">
        <f t="shared" si="14"/>
        <v>0</v>
      </c>
      <c r="J154" s="202">
        <f t="shared" si="15"/>
        <v>0</v>
      </c>
      <c r="K154" s="202">
        <f t="shared" si="16"/>
        <v>0</v>
      </c>
      <c r="L154" s="201"/>
    </row>
    <row r="155" spans="1:12">
      <c r="A155" s="201">
        <v>92</v>
      </c>
      <c r="B155" s="202">
        <f t="shared" si="9"/>
        <v>0</v>
      </c>
      <c r="C155" s="202">
        <f t="shared" si="10"/>
        <v>0</v>
      </c>
      <c r="D155" s="202">
        <f t="shared" si="11"/>
        <v>0</v>
      </c>
      <c r="E155" s="202">
        <f t="shared" si="12"/>
        <v>0</v>
      </c>
      <c r="F155" s="201"/>
      <c r="G155" s="201">
        <v>92</v>
      </c>
      <c r="H155" s="202">
        <f t="shared" si="13"/>
        <v>0</v>
      </c>
      <c r="I155" s="202">
        <f t="shared" si="14"/>
        <v>0</v>
      </c>
      <c r="J155" s="202">
        <f t="shared" si="15"/>
        <v>0</v>
      </c>
      <c r="K155" s="202">
        <f t="shared" si="16"/>
        <v>0</v>
      </c>
      <c r="L155" s="201"/>
    </row>
    <row r="156" spans="1:12">
      <c r="A156" s="201">
        <v>93</v>
      </c>
      <c r="B156" s="202">
        <f t="shared" si="9"/>
        <v>0</v>
      </c>
      <c r="C156" s="202">
        <f t="shared" si="10"/>
        <v>0</v>
      </c>
      <c r="D156" s="202">
        <f t="shared" si="11"/>
        <v>0</v>
      </c>
      <c r="E156" s="202">
        <f t="shared" si="12"/>
        <v>0</v>
      </c>
      <c r="F156" s="201"/>
      <c r="G156" s="201">
        <v>93</v>
      </c>
      <c r="H156" s="202">
        <f t="shared" si="13"/>
        <v>0</v>
      </c>
      <c r="I156" s="202">
        <f t="shared" si="14"/>
        <v>0</v>
      </c>
      <c r="J156" s="202">
        <f t="shared" si="15"/>
        <v>0</v>
      </c>
      <c r="K156" s="202">
        <f t="shared" si="16"/>
        <v>0</v>
      </c>
      <c r="L156" s="201"/>
    </row>
    <row r="157" spans="1:12">
      <c r="A157" s="201">
        <v>94</v>
      </c>
      <c r="B157" s="202">
        <f t="shared" si="9"/>
        <v>0</v>
      </c>
      <c r="C157" s="202">
        <f t="shared" si="10"/>
        <v>0</v>
      </c>
      <c r="D157" s="202">
        <f t="shared" si="11"/>
        <v>0</v>
      </c>
      <c r="E157" s="202">
        <f t="shared" si="12"/>
        <v>0</v>
      </c>
      <c r="F157" s="201"/>
      <c r="G157" s="201">
        <v>94</v>
      </c>
      <c r="H157" s="202">
        <f t="shared" si="13"/>
        <v>0</v>
      </c>
      <c r="I157" s="202">
        <f t="shared" si="14"/>
        <v>0</v>
      </c>
      <c r="J157" s="202">
        <f t="shared" si="15"/>
        <v>0</v>
      </c>
      <c r="K157" s="202">
        <f t="shared" si="16"/>
        <v>0</v>
      </c>
      <c r="L157" s="201"/>
    </row>
    <row r="158" spans="1:12">
      <c r="A158" s="201">
        <v>95</v>
      </c>
      <c r="B158" s="202">
        <f t="shared" si="9"/>
        <v>0</v>
      </c>
      <c r="C158" s="202">
        <f t="shared" si="10"/>
        <v>0</v>
      </c>
      <c r="D158" s="202">
        <f t="shared" si="11"/>
        <v>0</v>
      </c>
      <c r="E158" s="202">
        <f t="shared" si="12"/>
        <v>0</v>
      </c>
      <c r="F158" s="201"/>
      <c r="G158" s="201">
        <v>95</v>
      </c>
      <c r="H158" s="202">
        <f t="shared" si="13"/>
        <v>0</v>
      </c>
      <c r="I158" s="202">
        <f t="shared" si="14"/>
        <v>0</v>
      </c>
      <c r="J158" s="202">
        <f t="shared" si="15"/>
        <v>0</v>
      </c>
      <c r="K158" s="202">
        <f t="shared" si="16"/>
        <v>0</v>
      </c>
      <c r="L158" s="201"/>
    </row>
    <row r="159" spans="1:12">
      <c r="A159" s="201">
        <v>96</v>
      </c>
      <c r="B159" s="202">
        <f t="shared" si="9"/>
        <v>0</v>
      </c>
      <c r="C159" s="202">
        <f t="shared" si="10"/>
        <v>0</v>
      </c>
      <c r="D159" s="202">
        <f t="shared" si="11"/>
        <v>0</v>
      </c>
      <c r="E159" s="202">
        <f t="shared" si="12"/>
        <v>0</v>
      </c>
      <c r="F159" s="201">
        <v>8</v>
      </c>
      <c r="G159" s="201">
        <v>96</v>
      </c>
      <c r="H159" s="202">
        <f t="shared" si="13"/>
        <v>0</v>
      </c>
      <c r="I159" s="202">
        <f t="shared" si="14"/>
        <v>0</v>
      </c>
      <c r="J159" s="202">
        <f t="shared" si="15"/>
        <v>0</v>
      </c>
      <c r="K159" s="202">
        <f t="shared" si="16"/>
        <v>0</v>
      </c>
      <c r="L159" s="201">
        <v>8</v>
      </c>
    </row>
    <row r="160" spans="1:12">
      <c r="A160" s="201">
        <v>97</v>
      </c>
      <c r="B160" s="202">
        <f t="shared" si="9"/>
        <v>0</v>
      </c>
      <c r="C160" s="202">
        <f t="shared" si="10"/>
        <v>0</v>
      </c>
      <c r="D160" s="202">
        <f t="shared" si="11"/>
        <v>0</v>
      </c>
      <c r="E160" s="202">
        <f t="shared" si="12"/>
        <v>0</v>
      </c>
      <c r="F160" s="201"/>
      <c r="G160" s="201">
        <v>97</v>
      </c>
      <c r="H160" s="202">
        <f t="shared" si="13"/>
        <v>0</v>
      </c>
      <c r="I160" s="202">
        <f t="shared" si="14"/>
        <v>0</v>
      </c>
      <c r="J160" s="202">
        <f t="shared" si="15"/>
        <v>0</v>
      </c>
      <c r="K160" s="202">
        <f t="shared" si="16"/>
        <v>0</v>
      </c>
      <c r="L160" s="201"/>
    </row>
    <row r="161" spans="1:12">
      <c r="A161" s="201">
        <v>98</v>
      </c>
      <c r="B161" s="202">
        <f t="shared" si="9"/>
        <v>0</v>
      </c>
      <c r="C161" s="202">
        <f t="shared" si="10"/>
        <v>0</v>
      </c>
      <c r="D161" s="202">
        <f t="shared" si="11"/>
        <v>0</v>
      </c>
      <c r="E161" s="202">
        <f t="shared" si="12"/>
        <v>0</v>
      </c>
      <c r="F161" s="201"/>
      <c r="G161" s="201">
        <v>98</v>
      </c>
      <c r="H161" s="202">
        <f t="shared" si="13"/>
        <v>0</v>
      </c>
      <c r="I161" s="202">
        <f t="shared" si="14"/>
        <v>0</v>
      </c>
      <c r="J161" s="202">
        <f t="shared" si="15"/>
        <v>0</v>
      </c>
      <c r="K161" s="202">
        <f t="shared" si="16"/>
        <v>0</v>
      </c>
      <c r="L161" s="201"/>
    </row>
    <row r="162" spans="1:12">
      <c r="A162" s="201">
        <v>99</v>
      </c>
      <c r="B162" s="202">
        <f t="shared" si="9"/>
        <v>0</v>
      </c>
      <c r="C162" s="202">
        <f t="shared" si="10"/>
        <v>0</v>
      </c>
      <c r="D162" s="202">
        <f t="shared" si="11"/>
        <v>0</v>
      </c>
      <c r="E162" s="202">
        <f t="shared" si="12"/>
        <v>0</v>
      </c>
      <c r="F162" s="201"/>
      <c r="G162" s="201">
        <v>99</v>
      </c>
      <c r="H162" s="202">
        <f t="shared" si="13"/>
        <v>0</v>
      </c>
      <c r="I162" s="202">
        <f t="shared" si="14"/>
        <v>0</v>
      </c>
      <c r="J162" s="202">
        <f t="shared" si="15"/>
        <v>0</v>
      </c>
      <c r="K162" s="202">
        <f t="shared" si="16"/>
        <v>0</v>
      </c>
      <c r="L162" s="201"/>
    </row>
    <row r="163" spans="1:12">
      <c r="A163" s="201">
        <v>100</v>
      </c>
      <c r="B163" s="202">
        <f t="shared" si="9"/>
        <v>0</v>
      </c>
      <c r="C163" s="202">
        <f t="shared" si="10"/>
        <v>0</v>
      </c>
      <c r="D163" s="202">
        <f t="shared" si="11"/>
        <v>0</v>
      </c>
      <c r="E163" s="202">
        <f t="shared" si="12"/>
        <v>0</v>
      </c>
      <c r="F163" s="201"/>
      <c r="G163" s="201">
        <v>100</v>
      </c>
      <c r="H163" s="202">
        <f t="shared" si="13"/>
        <v>0</v>
      </c>
      <c r="I163" s="202">
        <f t="shared" si="14"/>
        <v>0</v>
      </c>
      <c r="J163" s="202">
        <f t="shared" si="15"/>
        <v>0</v>
      </c>
      <c r="K163" s="202">
        <f t="shared" si="16"/>
        <v>0</v>
      </c>
      <c r="L163" s="201"/>
    </row>
    <row r="164" spans="1:12">
      <c r="A164" s="201">
        <v>101</v>
      </c>
      <c r="B164" s="202">
        <f t="shared" si="9"/>
        <v>0</v>
      </c>
      <c r="C164" s="202">
        <f t="shared" si="10"/>
        <v>0</v>
      </c>
      <c r="D164" s="202">
        <f t="shared" si="11"/>
        <v>0</v>
      </c>
      <c r="E164" s="202">
        <f t="shared" si="12"/>
        <v>0</v>
      </c>
      <c r="F164" s="201"/>
      <c r="G164" s="201">
        <v>101</v>
      </c>
      <c r="H164" s="202">
        <f t="shared" si="13"/>
        <v>0</v>
      </c>
      <c r="I164" s="202">
        <f t="shared" si="14"/>
        <v>0</v>
      </c>
      <c r="J164" s="202">
        <f t="shared" si="15"/>
        <v>0</v>
      </c>
      <c r="K164" s="202">
        <f t="shared" si="16"/>
        <v>0</v>
      </c>
      <c r="L164" s="201"/>
    </row>
    <row r="165" spans="1:12">
      <c r="A165" s="201">
        <v>102</v>
      </c>
      <c r="B165" s="202">
        <f t="shared" si="9"/>
        <v>0</v>
      </c>
      <c r="C165" s="202">
        <f t="shared" si="10"/>
        <v>0</v>
      </c>
      <c r="D165" s="202">
        <f t="shared" si="11"/>
        <v>0</v>
      </c>
      <c r="E165" s="202">
        <f t="shared" si="12"/>
        <v>0</v>
      </c>
      <c r="F165" s="201"/>
      <c r="G165" s="201">
        <v>102</v>
      </c>
      <c r="H165" s="202">
        <f t="shared" si="13"/>
        <v>0</v>
      </c>
      <c r="I165" s="202">
        <f t="shared" si="14"/>
        <v>0</v>
      </c>
      <c r="J165" s="202">
        <f t="shared" si="15"/>
        <v>0</v>
      </c>
      <c r="K165" s="202">
        <f t="shared" si="16"/>
        <v>0</v>
      </c>
      <c r="L165" s="201"/>
    </row>
    <row r="166" spans="1:12">
      <c r="A166" s="201">
        <v>103</v>
      </c>
      <c r="B166" s="202">
        <f t="shared" si="9"/>
        <v>0</v>
      </c>
      <c r="C166" s="202">
        <f t="shared" si="10"/>
        <v>0</v>
      </c>
      <c r="D166" s="202">
        <f t="shared" si="11"/>
        <v>0</v>
      </c>
      <c r="E166" s="202">
        <f t="shared" si="12"/>
        <v>0</v>
      </c>
      <c r="F166" s="201"/>
      <c r="G166" s="201">
        <v>103</v>
      </c>
      <c r="H166" s="202">
        <f t="shared" si="13"/>
        <v>0</v>
      </c>
      <c r="I166" s="202">
        <f t="shared" si="14"/>
        <v>0</v>
      </c>
      <c r="J166" s="202">
        <f t="shared" si="15"/>
        <v>0</v>
      </c>
      <c r="K166" s="202">
        <f t="shared" si="16"/>
        <v>0</v>
      </c>
      <c r="L166" s="201"/>
    </row>
    <row r="167" spans="1:12">
      <c r="A167" s="201">
        <v>104</v>
      </c>
      <c r="B167" s="202">
        <f t="shared" si="9"/>
        <v>0</v>
      </c>
      <c r="C167" s="202">
        <f t="shared" si="10"/>
        <v>0</v>
      </c>
      <c r="D167" s="202">
        <f t="shared" si="11"/>
        <v>0</v>
      </c>
      <c r="E167" s="202">
        <f t="shared" si="12"/>
        <v>0</v>
      </c>
      <c r="F167" s="201"/>
      <c r="G167" s="201">
        <v>104</v>
      </c>
      <c r="H167" s="202">
        <f t="shared" si="13"/>
        <v>0</v>
      </c>
      <c r="I167" s="202">
        <f t="shared" si="14"/>
        <v>0</v>
      </c>
      <c r="J167" s="202">
        <f t="shared" si="15"/>
        <v>0</v>
      </c>
      <c r="K167" s="202">
        <f t="shared" si="16"/>
        <v>0</v>
      </c>
      <c r="L167" s="201"/>
    </row>
    <row r="168" spans="1:12">
      <c r="A168" s="201">
        <v>105</v>
      </c>
      <c r="B168" s="202">
        <f t="shared" si="9"/>
        <v>0</v>
      </c>
      <c r="C168" s="202">
        <f t="shared" si="10"/>
        <v>0</v>
      </c>
      <c r="D168" s="202">
        <f t="shared" si="11"/>
        <v>0</v>
      </c>
      <c r="E168" s="202">
        <f t="shared" si="12"/>
        <v>0</v>
      </c>
      <c r="F168" s="201"/>
      <c r="G168" s="201">
        <v>105</v>
      </c>
      <c r="H168" s="202">
        <f t="shared" si="13"/>
        <v>0</v>
      </c>
      <c r="I168" s="202">
        <f t="shared" si="14"/>
        <v>0</v>
      </c>
      <c r="J168" s="202">
        <f t="shared" si="15"/>
        <v>0</v>
      </c>
      <c r="K168" s="202">
        <f t="shared" si="16"/>
        <v>0</v>
      </c>
      <c r="L168" s="201"/>
    </row>
    <row r="169" spans="1:12">
      <c r="A169" s="201">
        <v>106</v>
      </c>
      <c r="B169" s="202">
        <f t="shared" si="9"/>
        <v>0</v>
      </c>
      <c r="C169" s="202">
        <f t="shared" si="10"/>
        <v>0</v>
      </c>
      <c r="D169" s="202">
        <f t="shared" si="11"/>
        <v>0</v>
      </c>
      <c r="E169" s="202">
        <f t="shared" si="12"/>
        <v>0</v>
      </c>
      <c r="F169" s="201"/>
      <c r="G169" s="201">
        <v>106</v>
      </c>
      <c r="H169" s="202">
        <f t="shared" si="13"/>
        <v>0</v>
      </c>
      <c r="I169" s="202">
        <f t="shared" si="14"/>
        <v>0</v>
      </c>
      <c r="J169" s="202">
        <f t="shared" si="15"/>
        <v>0</v>
      </c>
      <c r="K169" s="202">
        <f t="shared" si="16"/>
        <v>0</v>
      </c>
      <c r="L169" s="201"/>
    </row>
    <row r="170" spans="1:12">
      <c r="A170" s="201">
        <v>107</v>
      </c>
      <c r="B170" s="202">
        <f t="shared" si="9"/>
        <v>0</v>
      </c>
      <c r="C170" s="202">
        <f t="shared" si="10"/>
        <v>0</v>
      </c>
      <c r="D170" s="202">
        <f t="shared" si="11"/>
        <v>0</v>
      </c>
      <c r="E170" s="202">
        <f t="shared" si="12"/>
        <v>0</v>
      </c>
      <c r="F170" s="201"/>
      <c r="G170" s="201">
        <v>107</v>
      </c>
      <c r="H170" s="202">
        <f t="shared" si="13"/>
        <v>0</v>
      </c>
      <c r="I170" s="202">
        <f t="shared" si="14"/>
        <v>0</v>
      </c>
      <c r="J170" s="202">
        <f t="shared" si="15"/>
        <v>0</v>
      </c>
      <c r="K170" s="202">
        <f t="shared" si="16"/>
        <v>0</v>
      </c>
      <c r="L170" s="201"/>
    </row>
    <row r="171" spans="1:12">
      <c r="A171" s="201">
        <v>108</v>
      </c>
      <c r="B171" s="202">
        <f t="shared" si="9"/>
        <v>0</v>
      </c>
      <c r="C171" s="202">
        <f t="shared" si="10"/>
        <v>0</v>
      </c>
      <c r="D171" s="202">
        <f t="shared" si="11"/>
        <v>0</v>
      </c>
      <c r="E171" s="202">
        <f t="shared" si="12"/>
        <v>0</v>
      </c>
      <c r="F171" s="201">
        <v>9</v>
      </c>
      <c r="G171" s="201">
        <v>108</v>
      </c>
      <c r="H171" s="202">
        <f t="shared" si="13"/>
        <v>0</v>
      </c>
      <c r="I171" s="202">
        <f t="shared" si="14"/>
        <v>0</v>
      </c>
      <c r="J171" s="202">
        <f t="shared" si="15"/>
        <v>0</v>
      </c>
      <c r="K171" s="202">
        <f t="shared" si="16"/>
        <v>0</v>
      </c>
      <c r="L171" s="201">
        <v>9</v>
      </c>
    </row>
    <row r="172" spans="1:12">
      <c r="A172" s="201">
        <v>109</v>
      </c>
      <c r="B172" s="202">
        <f t="shared" si="9"/>
        <v>0</v>
      </c>
      <c r="C172" s="202">
        <f t="shared" si="10"/>
        <v>0</v>
      </c>
      <c r="D172" s="202">
        <f t="shared" si="11"/>
        <v>0</v>
      </c>
      <c r="E172" s="202">
        <f t="shared" si="12"/>
        <v>0</v>
      </c>
      <c r="F172" s="201"/>
      <c r="G172" s="201">
        <v>109</v>
      </c>
      <c r="H172" s="202">
        <f t="shared" si="13"/>
        <v>0</v>
      </c>
      <c r="I172" s="202">
        <f t="shared" si="14"/>
        <v>0</v>
      </c>
      <c r="J172" s="202">
        <f t="shared" si="15"/>
        <v>0</v>
      </c>
      <c r="K172" s="202">
        <f t="shared" si="16"/>
        <v>0</v>
      </c>
      <c r="L172" s="201"/>
    </row>
    <row r="173" spans="1:12">
      <c r="A173" s="201">
        <v>110</v>
      </c>
      <c r="B173" s="202">
        <f t="shared" si="9"/>
        <v>0</v>
      </c>
      <c r="C173" s="202">
        <f t="shared" si="10"/>
        <v>0</v>
      </c>
      <c r="D173" s="202">
        <f t="shared" si="11"/>
        <v>0</v>
      </c>
      <c r="E173" s="202">
        <f t="shared" si="12"/>
        <v>0</v>
      </c>
      <c r="F173" s="201"/>
      <c r="G173" s="201">
        <v>110</v>
      </c>
      <c r="H173" s="202">
        <f t="shared" si="13"/>
        <v>0</v>
      </c>
      <c r="I173" s="202">
        <f t="shared" si="14"/>
        <v>0</v>
      </c>
      <c r="J173" s="202">
        <f t="shared" si="15"/>
        <v>0</v>
      </c>
      <c r="K173" s="202">
        <f t="shared" si="16"/>
        <v>0</v>
      </c>
      <c r="L173" s="201"/>
    </row>
    <row r="174" spans="1:12">
      <c r="A174" s="201">
        <v>111</v>
      </c>
      <c r="B174" s="202">
        <f t="shared" si="9"/>
        <v>0</v>
      </c>
      <c r="C174" s="202">
        <f t="shared" si="10"/>
        <v>0</v>
      </c>
      <c r="D174" s="202">
        <f t="shared" si="11"/>
        <v>0</v>
      </c>
      <c r="E174" s="202">
        <f t="shared" si="12"/>
        <v>0</v>
      </c>
      <c r="F174" s="201"/>
      <c r="G174" s="201">
        <v>111</v>
      </c>
      <c r="H174" s="202">
        <f t="shared" si="13"/>
        <v>0</v>
      </c>
      <c r="I174" s="202">
        <f t="shared" si="14"/>
        <v>0</v>
      </c>
      <c r="J174" s="202">
        <f t="shared" si="15"/>
        <v>0</v>
      </c>
      <c r="K174" s="202">
        <f t="shared" si="16"/>
        <v>0</v>
      </c>
      <c r="L174" s="201"/>
    </row>
    <row r="175" spans="1:12">
      <c r="A175" s="201">
        <v>112</v>
      </c>
      <c r="B175" s="202">
        <f t="shared" si="9"/>
        <v>0</v>
      </c>
      <c r="C175" s="202">
        <f t="shared" si="10"/>
        <v>0</v>
      </c>
      <c r="D175" s="202">
        <f t="shared" si="11"/>
        <v>0</v>
      </c>
      <c r="E175" s="202">
        <f t="shared" si="12"/>
        <v>0</v>
      </c>
      <c r="F175" s="201"/>
      <c r="G175" s="201">
        <v>112</v>
      </c>
      <c r="H175" s="202">
        <f t="shared" si="13"/>
        <v>0</v>
      </c>
      <c r="I175" s="202">
        <f t="shared" si="14"/>
        <v>0</v>
      </c>
      <c r="J175" s="202">
        <f t="shared" si="15"/>
        <v>0</v>
      </c>
      <c r="K175" s="202">
        <f t="shared" si="16"/>
        <v>0</v>
      </c>
      <c r="L175" s="201"/>
    </row>
    <row r="176" spans="1:12">
      <c r="A176" s="201">
        <v>113</v>
      </c>
      <c r="B176" s="202">
        <f t="shared" si="9"/>
        <v>0</v>
      </c>
      <c r="C176" s="202">
        <f t="shared" si="10"/>
        <v>0</v>
      </c>
      <c r="D176" s="202">
        <f t="shared" si="11"/>
        <v>0</v>
      </c>
      <c r="E176" s="202">
        <f t="shared" si="12"/>
        <v>0</v>
      </c>
      <c r="F176" s="201"/>
      <c r="G176" s="201">
        <v>113</v>
      </c>
      <c r="H176" s="202">
        <f t="shared" si="13"/>
        <v>0</v>
      </c>
      <c r="I176" s="202">
        <f t="shared" si="14"/>
        <v>0</v>
      </c>
      <c r="J176" s="202">
        <f t="shared" si="15"/>
        <v>0</v>
      </c>
      <c r="K176" s="202">
        <f t="shared" si="16"/>
        <v>0</v>
      </c>
      <c r="L176" s="201"/>
    </row>
    <row r="177" spans="1:12">
      <c r="A177" s="201">
        <v>114</v>
      </c>
      <c r="B177" s="202">
        <f t="shared" si="9"/>
        <v>0</v>
      </c>
      <c r="C177" s="202">
        <f t="shared" si="10"/>
        <v>0</v>
      </c>
      <c r="D177" s="202">
        <f t="shared" si="11"/>
        <v>0</v>
      </c>
      <c r="E177" s="202">
        <f t="shared" si="12"/>
        <v>0</v>
      </c>
      <c r="F177" s="201"/>
      <c r="G177" s="201">
        <v>114</v>
      </c>
      <c r="H177" s="202">
        <f t="shared" si="13"/>
        <v>0</v>
      </c>
      <c r="I177" s="202">
        <f t="shared" si="14"/>
        <v>0</v>
      </c>
      <c r="J177" s="202">
        <f t="shared" si="15"/>
        <v>0</v>
      </c>
      <c r="K177" s="202">
        <f t="shared" si="16"/>
        <v>0</v>
      </c>
      <c r="L177" s="201"/>
    </row>
    <row r="178" spans="1:12">
      <c r="A178" s="201">
        <v>115</v>
      </c>
      <c r="B178" s="202">
        <f t="shared" si="9"/>
        <v>0</v>
      </c>
      <c r="C178" s="202">
        <f t="shared" si="10"/>
        <v>0</v>
      </c>
      <c r="D178" s="202">
        <f t="shared" si="11"/>
        <v>0</v>
      </c>
      <c r="E178" s="202">
        <f t="shared" si="12"/>
        <v>0</v>
      </c>
      <c r="F178" s="201"/>
      <c r="G178" s="201">
        <v>115</v>
      </c>
      <c r="H178" s="202">
        <f t="shared" si="13"/>
        <v>0</v>
      </c>
      <c r="I178" s="202">
        <f t="shared" si="14"/>
        <v>0</v>
      </c>
      <c r="J178" s="202">
        <f t="shared" si="15"/>
        <v>0</v>
      </c>
      <c r="K178" s="202">
        <f t="shared" si="16"/>
        <v>0</v>
      </c>
      <c r="L178" s="201"/>
    </row>
    <row r="179" spans="1:12">
      <c r="A179" s="201">
        <v>116</v>
      </c>
      <c r="B179" s="202">
        <f t="shared" si="9"/>
        <v>0</v>
      </c>
      <c r="C179" s="202">
        <f t="shared" si="10"/>
        <v>0</v>
      </c>
      <c r="D179" s="202">
        <f t="shared" si="11"/>
        <v>0</v>
      </c>
      <c r="E179" s="202">
        <f t="shared" si="12"/>
        <v>0</v>
      </c>
      <c r="F179" s="201"/>
      <c r="G179" s="201">
        <v>116</v>
      </c>
      <c r="H179" s="202">
        <f t="shared" si="13"/>
        <v>0</v>
      </c>
      <c r="I179" s="202">
        <f t="shared" si="14"/>
        <v>0</v>
      </c>
      <c r="J179" s="202">
        <f t="shared" si="15"/>
        <v>0</v>
      </c>
      <c r="K179" s="202">
        <f t="shared" si="16"/>
        <v>0</v>
      </c>
      <c r="L179" s="201"/>
    </row>
    <row r="180" spans="1:12">
      <c r="A180" s="201">
        <v>117</v>
      </c>
      <c r="B180" s="202">
        <f t="shared" si="9"/>
        <v>0</v>
      </c>
      <c r="C180" s="202">
        <f t="shared" si="10"/>
        <v>0</v>
      </c>
      <c r="D180" s="202">
        <f t="shared" si="11"/>
        <v>0</v>
      </c>
      <c r="E180" s="202">
        <f t="shared" si="12"/>
        <v>0</v>
      </c>
      <c r="F180" s="201"/>
      <c r="G180" s="201">
        <v>117</v>
      </c>
      <c r="H180" s="202">
        <f t="shared" si="13"/>
        <v>0</v>
      </c>
      <c r="I180" s="202">
        <f t="shared" si="14"/>
        <v>0</v>
      </c>
      <c r="J180" s="202">
        <f t="shared" si="15"/>
        <v>0</v>
      </c>
      <c r="K180" s="202">
        <f t="shared" si="16"/>
        <v>0</v>
      </c>
      <c r="L180" s="201"/>
    </row>
    <row r="181" spans="1:12">
      <c r="A181" s="201">
        <v>118</v>
      </c>
      <c r="B181" s="202">
        <f t="shared" si="9"/>
        <v>0</v>
      </c>
      <c r="C181" s="202">
        <f t="shared" si="10"/>
        <v>0</v>
      </c>
      <c r="D181" s="202">
        <f t="shared" si="11"/>
        <v>0</v>
      </c>
      <c r="E181" s="202">
        <f t="shared" si="12"/>
        <v>0</v>
      </c>
      <c r="F181" s="201"/>
      <c r="G181" s="201">
        <v>118</v>
      </c>
      <c r="H181" s="202">
        <f t="shared" si="13"/>
        <v>0</v>
      </c>
      <c r="I181" s="202">
        <f t="shared" si="14"/>
        <v>0</v>
      </c>
      <c r="J181" s="202">
        <f t="shared" si="15"/>
        <v>0</v>
      </c>
      <c r="K181" s="202">
        <f t="shared" si="16"/>
        <v>0</v>
      </c>
      <c r="L181" s="201"/>
    </row>
    <row r="182" spans="1:12">
      <c r="A182" s="201">
        <v>119</v>
      </c>
      <c r="B182" s="202">
        <f t="shared" si="9"/>
        <v>0</v>
      </c>
      <c r="C182" s="202">
        <f t="shared" si="10"/>
        <v>0</v>
      </c>
      <c r="D182" s="202">
        <f t="shared" si="11"/>
        <v>0</v>
      </c>
      <c r="E182" s="202">
        <f t="shared" si="12"/>
        <v>0</v>
      </c>
      <c r="F182" s="201"/>
      <c r="G182" s="201">
        <v>119</v>
      </c>
      <c r="H182" s="202">
        <f t="shared" si="13"/>
        <v>0</v>
      </c>
      <c r="I182" s="202">
        <f t="shared" si="14"/>
        <v>0</v>
      </c>
      <c r="J182" s="202">
        <f t="shared" si="15"/>
        <v>0</v>
      </c>
      <c r="K182" s="202">
        <f t="shared" si="16"/>
        <v>0</v>
      </c>
      <c r="L182" s="201"/>
    </row>
    <row r="183" spans="1:12">
      <c r="A183" s="201">
        <v>120</v>
      </c>
      <c r="B183" s="202">
        <f t="shared" si="9"/>
        <v>0</v>
      </c>
      <c r="C183" s="202">
        <f t="shared" si="10"/>
        <v>0</v>
      </c>
      <c r="D183" s="202">
        <f t="shared" si="11"/>
        <v>0</v>
      </c>
      <c r="E183" s="202">
        <f t="shared" si="12"/>
        <v>0</v>
      </c>
      <c r="F183" s="201">
        <v>10</v>
      </c>
      <c r="G183" s="201">
        <v>120</v>
      </c>
      <c r="H183" s="202">
        <f t="shared" si="13"/>
        <v>0</v>
      </c>
      <c r="I183" s="202">
        <f t="shared" si="14"/>
        <v>0</v>
      </c>
      <c r="J183" s="202">
        <f t="shared" si="15"/>
        <v>0</v>
      </c>
      <c r="K183" s="202">
        <f t="shared" si="16"/>
        <v>0</v>
      </c>
      <c r="L183" s="201">
        <v>10</v>
      </c>
    </row>
    <row r="184" spans="1:12">
      <c r="A184" s="201">
        <v>121</v>
      </c>
      <c r="B184" s="202">
        <f t="shared" si="9"/>
        <v>0</v>
      </c>
      <c r="C184" s="202">
        <f t="shared" si="10"/>
        <v>0</v>
      </c>
      <c r="D184" s="202">
        <f t="shared" si="11"/>
        <v>0</v>
      </c>
      <c r="E184" s="202">
        <f t="shared" si="12"/>
        <v>0</v>
      </c>
      <c r="F184" s="201"/>
      <c r="G184" s="201">
        <v>121</v>
      </c>
      <c r="H184" s="202">
        <f t="shared" si="13"/>
        <v>0</v>
      </c>
      <c r="I184" s="202">
        <f t="shared" si="14"/>
        <v>0</v>
      </c>
      <c r="J184" s="202">
        <f t="shared" si="15"/>
        <v>0</v>
      </c>
      <c r="K184" s="202">
        <f t="shared" si="16"/>
        <v>0</v>
      </c>
      <c r="L184" s="201"/>
    </row>
    <row r="185" spans="1:12">
      <c r="A185" s="201">
        <v>122</v>
      </c>
      <c r="B185" s="202">
        <f t="shared" si="9"/>
        <v>0</v>
      </c>
      <c r="C185" s="202">
        <f t="shared" si="10"/>
        <v>0</v>
      </c>
      <c r="D185" s="202">
        <f t="shared" si="11"/>
        <v>0</v>
      </c>
      <c r="E185" s="202">
        <f t="shared" si="12"/>
        <v>0</v>
      </c>
      <c r="F185" s="201"/>
      <c r="G185" s="201">
        <v>122</v>
      </c>
      <c r="H185" s="202">
        <f t="shared" si="13"/>
        <v>0</v>
      </c>
      <c r="I185" s="202">
        <f t="shared" si="14"/>
        <v>0</v>
      </c>
      <c r="J185" s="202">
        <f t="shared" si="15"/>
        <v>0</v>
      </c>
      <c r="K185" s="202">
        <f t="shared" si="16"/>
        <v>0</v>
      </c>
      <c r="L185" s="201"/>
    </row>
    <row r="186" spans="1:12">
      <c r="A186" s="201">
        <v>123</v>
      </c>
      <c r="B186" s="202">
        <f t="shared" si="9"/>
        <v>0</v>
      </c>
      <c r="C186" s="202">
        <f t="shared" si="10"/>
        <v>0</v>
      </c>
      <c r="D186" s="202">
        <f t="shared" si="11"/>
        <v>0</v>
      </c>
      <c r="E186" s="202">
        <f t="shared" si="12"/>
        <v>0</v>
      </c>
      <c r="F186" s="201"/>
      <c r="G186" s="201">
        <v>123</v>
      </c>
      <c r="H186" s="202">
        <f t="shared" si="13"/>
        <v>0</v>
      </c>
      <c r="I186" s="202">
        <f t="shared" si="14"/>
        <v>0</v>
      </c>
      <c r="J186" s="202">
        <f t="shared" si="15"/>
        <v>0</v>
      </c>
      <c r="K186" s="202">
        <f t="shared" si="16"/>
        <v>0</v>
      </c>
      <c r="L186" s="201"/>
    </row>
    <row r="187" spans="1:12">
      <c r="A187" s="201">
        <v>124</v>
      </c>
      <c r="B187" s="202">
        <f t="shared" si="9"/>
        <v>0</v>
      </c>
      <c r="C187" s="202">
        <f t="shared" si="10"/>
        <v>0</v>
      </c>
      <c r="D187" s="202">
        <f t="shared" si="11"/>
        <v>0</v>
      </c>
      <c r="E187" s="202">
        <f t="shared" si="12"/>
        <v>0</v>
      </c>
      <c r="F187" s="201"/>
      <c r="G187" s="201">
        <v>124</v>
      </c>
      <c r="H187" s="202">
        <f t="shared" si="13"/>
        <v>0</v>
      </c>
      <c r="I187" s="202">
        <f t="shared" si="14"/>
        <v>0</v>
      </c>
      <c r="J187" s="202">
        <f t="shared" si="15"/>
        <v>0</v>
      </c>
      <c r="K187" s="202">
        <f t="shared" si="16"/>
        <v>0</v>
      </c>
      <c r="L187" s="201"/>
    </row>
    <row r="188" spans="1:12">
      <c r="A188" s="201">
        <v>125</v>
      </c>
      <c r="B188" s="202">
        <f t="shared" si="9"/>
        <v>0</v>
      </c>
      <c r="C188" s="202">
        <f t="shared" si="10"/>
        <v>0</v>
      </c>
      <c r="D188" s="202">
        <f t="shared" si="11"/>
        <v>0</v>
      </c>
      <c r="E188" s="202">
        <f t="shared" si="12"/>
        <v>0</v>
      </c>
      <c r="F188" s="201"/>
      <c r="G188" s="201">
        <v>125</v>
      </c>
      <c r="H188" s="202">
        <f t="shared" si="13"/>
        <v>0</v>
      </c>
      <c r="I188" s="202">
        <f t="shared" si="14"/>
        <v>0</v>
      </c>
      <c r="J188" s="202">
        <f t="shared" si="15"/>
        <v>0</v>
      </c>
      <c r="K188" s="202">
        <f t="shared" si="16"/>
        <v>0</v>
      </c>
      <c r="L188" s="201"/>
    </row>
    <row r="189" spans="1:12">
      <c r="A189" s="201">
        <v>126</v>
      </c>
      <c r="B189" s="202">
        <f t="shared" si="9"/>
        <v>0</v>
      </c>
      <c r="C189" s="202">
        <f t="shared" si="10"/>
        <v>0</v>
      </c>
      <c r="D189" s="202">
        <f t="shared" si="11"/>
        <v>0</v>
      </c>
      <c r="E189" s="202">
        <f t="shared" si="12"/>
        <v>0</v>
      </c>
      <c r="F189" s="201"/>
      <c r="G189" s="201">
        <v>126</v>
      </c>
      <c r="H189" s="202">
        <f t="shared" si="13"/>
        <v>0</v>
      </c>
      <c r="I189" s="202">
        <f t="shared" si="14"/>
        <v>0</v>
      </c>
      <c r="J189" s="202">
        <f t="shared" si="15"/>
        <v>0</v>
      </c>
      <c r="K189" s="202">
        <f t="shared" si="16"/>
        <v>0</v>
      </c>
      <c r="L189" s="201"/>
    </row>
    <row r="190" spans="1:12">
      <c r="A190" s="201">
        <v>127</v>
      </c>
      <c r="B190" s="202">
        <f t="shared" si="9"/>
        <v>0</v>
      </c>
      <c r="C190" s="202">
        <f t="shared" si="10"/>
        <v>0</v>
      </c>
      <c r="D190" s="202">
        <f t="shared" si="11"/>
        <v>0</v>
      </c>
      <c r="E190" s="202">
        <f t="shared" si="12"/>
        <v>0</v>
      </c>
      <c r="F190" s="201"/>
      <c r="G190" s="201">
        <v>127</v>
      </c>
      <c r="H190" s="202">
        <f t="shared" si="13"/>
        <v>0</v>
      </c>
      <c r="I190" s="202">
        <f t="shared" si="14"/>
        <v>0</v>
      </c>
      <c r="J190" s="202">
        <f t="shared" si="15"/>
        <v>0</v>
      </c>
      <c r="K190" s="202">
        <f t="shared" si="16"/>
        <v>0</v>
      </c>
      <c r="L190" s="201"/>
    </row>
    <row r="191" spans="1:12">
      <c r="A191" s="201">
        <v>128</v>
      </c>
      <c r="B191" s="202">
        <f t="shared" si="9"/>
        <v>0</v>
      </c>
      <c r="C191" s="202">
        <f t="shared" si="10"/>
        <v>0</v>
      </c>
      <c r="D191" s="202">
        <f t="shared" si="11"/>
        <v>0</v>
      </c>
      <c r="E191" s="202">
        <f t="shared" si="12"/>
        <v>0</v>
      </c>
      <c r="F191" s="201"/>
      <c r="G191" s="201">
        <v>128</v>
      </c>
      <c r="H191" s="202">
        <f t="shared" si="13"/>
        <v>0</v>
      </c>
      <c r="I191" s="202">
        <f t="shared" si="14"/>
        <v>0</v>
      </c>
      <c r="J191" s="202">
        <f t="shared" si="15"/>
        <v>0</v>
      </c>
      <c r="K191" s="202">
        <f t="shared" si="16"/>
        <v>0</v>
      </c>
      <c r="L191" s="201"/>
    </row>
    <row r="192" spans="1:12">
      <c r="A192" s="201">
        <v>129</v>
      </c>
      <c r="B192" s="202">
        <f t="shared" ref="B192:B255" si="17">IF(A192&gt;12*$C$9,0,IF($C$5&gt;1500000,$D$12,$C$12))</f>
        <v>0</v>
      </c>
      <c r="C192" s="202">
        <f t="shared" ref="C192:C255" si="18">IF(A192&gt;12*$C$9,0,E191*$C$7/12)</f>
        <v>0</v>
      </c>
      <c r="D192" s="202">
        <f t="shared" ref="D192:D255" si="19">IF(A192&gt;12*$C$9,0,B192-C192)</f>
        <v>0</v>
      </c>
      <c r="E192" s="202">
        <f t="shared" ref="E192:E255" si="20">IF(A192&gt;12*$C$9,0,E191-D192)</f>
        <v>0</v>
      </c>
      <c r="F192" s="201"/>
      <c r="G192" s="201">
        <v>129</v>
      </c>
      <c r="H192" s="202">
        <f t="shared" ref="H192:H255" si="21">IF(G192&gt;12*$C$9,0,IF($C$5&gt;1500000,$E$12,0))</f>
        <v>0</v>
      </c>
      <c r="I192" s="202">
        <f t="shared" ref="I192:I255" si="22">IF(G192&gt;12*$C$9,0,K191*$C$7/12)</f>
        <v>0</v>
      </c>
      <c r="J192" s="202">
        <f t="shared" ref="J192:J255" si="23">IF(G192&gt;12*$C$9,0,H192-I192)</f>
        <v>0</v>
      </c>
      <c r="K192" s="202">
        <f t="shared" ref="K192:K255" si="24">IF(G192&gt;12*$C$9,0,K191-J192)</f>
        <v>0</v>
      </c>
      <c r="L192" s="201"/>
    </row>
    <row r="193" spans="1:12">
      <c r="A193" s="201">
        <v>130</v>
      </c>
      <c r="B193" s="202">
        <f t="shared" si="17"/>
        <v>0</v>
      </c>
      <c r="C193" s="202">
        <f t="shared" si="18"/>
        <v>0</v>
      </c>
      <c r="D193" s="202">
        <f t="shared" si="19"/>
        <v>0</v>
      </c>
      <c r="E193" s="202">
        <f t="shared" si="20"/>
        <v>0</v>
      </c>
      <c r="F193" s="201"/>
      <c r="G193" s="201">
        <v>130</v>
      </c>
      <c r="H193" s="202">
        <f t="shared" si="21"/>
        <v>0</v>
      </c>
      <c r="I193" s="202">
        <f t="shared" si="22"/>
        <v>0</v>
      </c>
      <c r="J193" s="202">
        <f t="shared" si="23"/>
        <v>0</v>
      </c>
      <c r="K193" s="202">
        <f t="shared" si="24"/>
        <v>0</v>
      </c>
      <c r="L193" s="201"/>
    </row>
    <row r="194" spans="1:12">
      <c r="A194" s="201">
        <v>131</v>
      </c>
      <c r="B194" s="202">
        <f t="shared" si="17"/>
        <v>0</v>
      </c>
      <c r="C194" s="202">
        <f t="shared" si="18"/>
        <v>0</v>
      </c>
      <c r="D194" s="202">
        <f t="shared" si="19"/>
        <v>0</v>
      </c>
      <c r="E194" s="202">
        <f t="shared" si="20"/>
        <v>0</v>
      </c>
      <c r="F194" s="201"/>
      <c r="G194" s="201">
        <v>131</v>
      </c>
      <c r="H194" s="202">
        <f t="shared" si="21"/>
        <v>0</v>
      </c>
      <c r="I194" s="202">
        <f t="shared" si="22"/>
        <v>0</v>
      </c>
      <c r="J194" s="202">
        <f t="shared" si="23"/>
        <v>0</v>
      </c>
      <c r="K194" s="202">
        <f t="shared" si="24"/>
        <v>0</v>
      </c>
      <c r="L194" s="201"/>
    </row>
    <row r="195" spans="1:12">
      <c r="A195" s="201">
        <v>132</v>
      </c>
      <c r="B195" s="202">
        <f t="shared" si="17"/>
        <v>0</v>
      </c>
      <c r="C195" s="202">
        <f t="shared" si="18"/>
        <v>0</v>
      </c>
      <c r="D195" s="202">
        <f t="shared" si="19"/>
        <v>0</v>
      </c>
      <c r="E195" s="202">
        <f t="shared" si="20"/>
        <v>0</v>
      </c>
      <c r="F195" s="201">
        <v>11</v>
      </c>
      <c r="G195" s="201">
        <v>132</v>
      </c>
      <c r="H195" s="202">
        <f t="shared" si="21"/>
        <v>0</v>
      </c>
      <c r="I195" s="202">
        <f t="shared" si="22"/>
        <v>0</v>
      </c>
      <c r="J195" s="202">
        <f t="shared" si="23"/>
        <v>0</v>
      </c>
      <c r="K195" s="202">
        <f t="shared" si="24"/>
        <v>0</v>
      </c>
      <c r="L195" s="201">
        <v>11</v>
      </c>
    </row>
    <row r="196" spans="1:12">
      <c r="A196" s="201">
        <v>133</v>
      </c>
      <c r="B196" s="202">
        <f t="shared" si="17"/>
        <v>0</v>
      </c>
      <c r="C196" s="202">
        <f t="shared" si="18"/>
        <v>0</v>
      </c>
      <c r="D196" s="202">
        <f t="shared" si="19"/>
        <v>0</v>
      </c>
      <c r="E196" s="202">
        <f t="shared" si="20"/>
        <v>0</v>
      </c>
      <c r="F196" s="201"/>
      <c r="G196" s="201">
        <v>133</v>
      </c>
      <c r="H196" s="202">
        <f t="shared" si="21"/>
        <v>0</v>
      </c>
      <c r="I196" s="202">
        <f t="shared" si="22"/>
        <v>0</v>
      </c>
      <c r="J196" s="202">
        <f t="shared" si="23"/>
        <v>0</v>
      </c>
      <c r="K196" s="202">
        <f t="shared" si="24"/>
        <v>0</v>
      </c>
      <c r="L196" s="201"/>
    </row>
    <row r="197" spans="1:12">
      <c r="A197" s="201">
        <v>134</v>
      </c>
      <c r="B197" s="202">
        <f t="shared" si="17"/>
        <v>0</v>
      </c>
      <c r="C197" s="202">
        <f t="shared" si="18"/>
        <v>0</v>
      </c>
      <c r="D197" s="202">
        <f t="shared" si="19"/>
        <v>0</v>
      </c>
      <c r="E197" s="202">
        <f t="shared" si="20"/>
        <v>0</v>
      </c>
      <c r="F197" s="201"/>
      <c r="G197" s="201">
        <v>134</v>
      </c>
      <c r="H197" s="202">
        <f t="shared" si="21"/>
        <v>0</v>
      </c>
      <c r="I197" s="202">
        <f t="shared" si="22"/>
        <v>0</v>
      </c>
      <c r="J197" s="202">
        <f t="shared" si="23"/>
        <v>0</v>
      </c>
      <c r="K197" s="202">
        <f t="shared" si="24"/>
        <v>0</v>
      </c>
      <c r="L197" s="201"/>
    </row>
    <row r="198" spans="1:12">
      <c r="A198" s="201">
        <v>135</v>
      </c>
      <c r="B198" s="202">
        <f t="shared" si="17"/>
        <v>0</v>
      </c>
      <c r="C198" s="202">
        <f t="shared" si="18"/>
        <v>0</v>
      </c>
      <c r="D198" s="202">
        <f t="shared" si="19"/>
        <v>0</v>
      </c>
      <c r="E198" s="202">
        <f t="shared" si="20"/>
        <v>0</v>
      </c>
      <c r="F198" s="201"/>
      <c r="G198" s="201">
        <v>135</v>
      </c>
      <c r="H198" s="202">
        <f t="shared" si="21"/>
        <v>0</v>
      </c>
      <c r="I198" s="202">
        <f t="shared" si="22"/>
        <v>0</v>
      </c>
      <c r="J198" s="202">
        <f t="shared" si="23"/>
        <v>0</v>
      </c>
      <c r="K198" s="202">
        <f t="shared" si="24"/>
        <v>0</v>
      </c>
      <c r="L198" s="201"/>
    </row>
    <row r="199" spans="1:12">
      <c r="A199" s="201">
        <v>136</v>
      </c>
      <c r="B199" s="202">
        <f t="shared" si="17"/>
        <v>0</v>
      </c>
      <c r="C199" s="202">
        <f t="shared" si="18"/>
        <v>0</v>
      </c>
      <c r="D199" s="202">
        <f t="shared" si="19"/>
        <v>0</v>
      </c>
      <c r="E199" s="202">
        <f t="shared" si="20"/>
        <v>0</v>
      </c>
      <c r="F199" s="201"/>
      <c r="G199" s="201">
        <v>136</v>
      </c>
      <c r="H199" s="202">
        <f t="shared" si="21"/>
        <v>0</v>
      </c>
      <c r="I199" s="202">
        <f t="shared" si="22"/>
        <v>0</v>
      </c>
      <c r="J199" s="202">
        <f t="shared" si="23"/>
        <v>0</v>
      </c>
      <c r="K199" s="202">
        <f t="shared" si="24"/>
        <v>0</v>
      </c>
      <c r="L199" s="201"/>
    </row>
    <row r="200" spans="1:12">
      <c r="A200" s="201">
        <v>137</v>
      </c>
      <c r="B200" s="202">
        <f t="shared" si="17"/>
        <v>0</v>
      </c>
      <c r="C200" s="202">
        <f t="shared" si="18"/>
        <v>0</v>
      </c>
      <c r="D200" s="202">
        <f t="shared" si="19"/>
        <v>0</v>
      </c>
      <c r="E200" s="202">
        <f t="shared" si="20"/>
        <v>0</v>
      </c>
      <c r="F200" s="201"/>
      <c r="G200" s="201">
        <v>137</v>
      </c>
      <c r="H200" s="202">
        <f t="shared" si="21"/>
        <v>0</v>
      </c>
      <c r="I200" s="202">
        <f t="shared" si="22"/>
        <v>0</v>
      </c>
      <c r="J200" s="202">
        <f t="shared" si="23"/>
        <v>0</v>
      </c>
      <c r="K200" s="202">
        <f t="shared" si="24"/>
        <v>0</v>
      </c>
      <c r="L200" s="201"/>
    </row>
    <row r="201" spans="1:12">
      <c r="A201" s="201">
        <v>138</v>
      </c>
      <c r="B201" s="202">
        <f t="shared" si="17"/>
        <v>0</v>
      </c>
      <c r="C201" s="202">
        <f t="shared" si="18"/>
        <v>0</v>
      </c>
      <c r="D201" s="202">
        <f t="shared" si="19"/>
        <v>0</v>
      </c>
      <c r="E201" s="202">
        <f t="shared" si="20"/>
        <v>0</v>
      </c>
      <c r="F201" s="201"/>
      <c r="G201" s="201">
        <v>138</v>
      </c>
      <c r="H201" s="202">
        <f t="shared" si="21"/>
        <v>0</v>
      </c>
      <c r="I201" s="202">
        <f t="shared" si="22"/>
        <v>0</v>
      </c>
      <c r="J201" s="202">
        <f t="shared" si="23"/>
        <v>0</v>
      </c>
      <c r="K201" s="202">
        <f t="shared" si="24"/>
        <v>0</v>
      </c>
      <c r="L201" s="201"/>
    </row>
    <row r="202" spans="1:12">
      <c r="A202" s="201">
        <v>139</v>
      </c>
      <c r="B202" s="202">
        <f t="shared" si="17"/>
        <v>0</v>
      </c>
      <c r="C202" s="202">
        <f t="shared" si="18"/>
        <v>0</v>
      </c>
      <c r="D202" s="202">
        <f t="shared" si="19"/>
        <v>0</v>
      </c>
      <c r="E202" s="202">
        <f t="shared" si="20"/>
        <v>0</v>
      </c>
      <c r="F202" s="201"/>
      <c r="G202" s="201">
        <v>139</v>
      </c>
      <c r="H202" s="202">
        <f t="shared" si="21"/>
        <v>0</v>
      </c>
      <c r="I202" s="202">
        <f t="shared" si="22"/>
        <v>0</v>
      </c>
      <c r="J202" s="202">
        <f t="shared" si="23"/>
        <v>0</v>
      </c>
      <c r="K202" s="202">
        <f t="shared" si="24"/>
        <v>0</v>
      </c>
      <c r="L202" s="201"/>
    </row>
    <row r="203" spans="1:12">
      <c r="A203" s="201">
        <v>140</v>
      </c>
      <c r="B203" s="202">
        <f t="shared" si="17"/>
        <v>0</v>
      </c>
      <c r="C203" s="202">
        <f t="shared" si="18"/>
        <v>0</v>
      </c>
      <c r="D203" s="202">
        <f t="shared" si="19"/>
        <v>0</v>
      </c>
      <c r="E203" s="202">
        <f t="shared" si="20"/>
        <v>0</v>
      </c>
      <c r="F203" s="201"/>
      <c r="G203" s="201">
        <v>140</v>
      </c>
      <c r="H203" s="202">
        <f t="shared" si="21"/>
        <v>0</v>
      </c>
      <c r="I203" s="202">
        <f t="shared" si="22"/>
        <v>0</v>
      </c>
      <c r="J203" s="202">
        <f t="shared" si="23"/>
        <v>0</v>
      </c>
      <c r="K203" s="202">
        <f t="shared" si="24"/>
        <v>0</v>
      </c>
      <c r="L203" s="201"/>
    </row>
    <row r="204" spans="1:12">
      <c r="A204" s="201">
        <v>141</v>
      </c>
      <c r="B204" s="202">
        <f t="shared" si="17"/>
        <v>0</v>
      </c>
      <c r="C204" s="202">
        <f t="shared" si="18"/>
        <v>0</v>
      </c>
      <c r="D204" s="202">
        <f t="shared" si="19"/>
        <v>0</v>
      </c>
      <c r="E204" s="202">
        <f t="shared" si="20"/>
        <v>0</v>
      </c>
      <c r="F204" s="201"/>
      <c r="G204" s="201">
        <v>141</v>
      </c>
      <c r="H204" s="202">
        <f t="shared" si="21"/>
        <v>0</v>
      </c>
      <c r="I204" s="202">
        <f t="shared" si="22"/>
        <v>0</v>
      </c>
      <c r="J204" s="202">
        <f t="shared" si="23"/>
        <v>0</v>
      </c>
      <c r="K204" s="202">
        <f t="shared" si="24"/>
        <v>0</v>
      </c>
      <c r="L204" s="201"/>
    </row>
    <row r="205" spans="1:12">
      <c r="A205" s="201">
        <v>142</v>
      </c>
      <c r="B205" s="202">
        <f t="shared" si="17"/>
        <v>0</v>
      </c>
      <c r="C205" s="202">
        <f t="shared" si="18"/>
        <v>0</v>
      </c>
      <c r="D205" s="202">
        <f t="shared" si="19"/>
        <v>0</v>
      </c>
      <c r="E205" s="202">
        <f t="shared" si="20"/>
        <v>0</v>
      </c>
      <c r="F205" s="201"/>
      <c r="G205" s="201">
        <v>142</v>
      </c>
      <c r="H205" s="202">
        <f t="shared" si="21"/>
        <v>0</v>
      </c>
      <c r="I205" s="202">
        <f t="shared" si="22"/>
        <v>0</v>
      </c>
      <c r="J205" s="202">
        <f t="shared" si="23"/>
        <v>0</v>
      </c>
      <c r="K205" s="202">
        <f t="shared" si="24"/>
        <v>0</v>
      </c>
      <c r="L205" s="201"/>
    </row>
    <row r="206" spans="1:12">
      <c r="A206" s="201">
        <v>143</v>
      </c>
      <c r="B206" s="202">
        <f t="shared" si="17"/>
        <v>0</v>
      </c>
      <c r="C206" s="202">
        <f t="shared" si="18"/>
        <v>0</v>
      </c>
      <c r="D206" s="202">
        <f t="shared" si="19"/>
        <v>0</v>
      </c>
      <c r="E206" s="202">
        <f t="shared" si="20"/>
        <v>0</v>
      </c>
      <c r="F206" s="201"/>
      <c r="G206" s="201">
        <v>143</v>
      </c>
      <c r="H206" s="202">
        <f t="shared" si="21"/>
        <v>0</v>
      </c>
      <c r="I206" s="202">
        <f t="shared" si="22"/>
        <v>0</v>
      </c>
      <c r="J206" s="202">
        <f t="shared" si="23"/>
        <v>0</v>
      </c>
      <c r="K206" s="202">
        <f t="shared" si="24"/>
        <v>0</v>
      </c>
      <c r="L206" s="201"/>
    </row>
    <row r="207" spans="1:12">
      <c r="A207" s="203">
        <v>144</v>
      </c>
      <c r="B207" s="202">
        <f t="shared" si="17"/>
        <v>0</v>
      </c>
      <c r="C207" s="202">
        <f t="shared" si="18"/>
        <v>0</v>
      </c>
      <c r="D207" s="202">
        <f t="shared" si="19"/>
        <v>0</v>
      </c>
      <c r="E207" s="202">
        <f t="shared" si="20"/>
        <v>0</v>
      </c>
      <c r="F207" s="203">
        <v>12</v>
      </c>
      <c r="G207" s="203">
        <v>144</v>
      </c>
      <c r="H207" s="202">
        <f t="shared" si="21"/>
        <v>0</v>
      </c>
      <c r="I207" s="202">
        <f t="shared" si="22"/>
        <v>0</v>
      </c>
      <c r="J207" s="202">
        <f t="shared" si="23"/>
        <v>0</v>
      </c>
      <c r="K207" s="202">
        <f t="shared" si="24"/>
        <v>0</v>
      </c>
      <c r="L207" s="203">
        <v>12</v>
      </c>
    </row>
    <row r="208" spans="1:12">
      <c r="A208" s="201">
        <v>145</v>
      </c>
      <c r="B208" s="202">
        <f t="shared" si="17"/>
        <v>0</v>
      </c>
      <c r="C208" s="202">
        <f t="shared" si="18"/>
        <v>0</v>
      </c>
      <c r="D208" s="202">
        <f t="shared" si="19"/>
        <v>0</v>
      </c>
      <c r="E208" s="202">
        <f t="shared" si="20"/>
        <v>0</v>
      </c>
      <c r="F208" s="201"/>
      <c r="G208" s="201">
        <v>145</v>
      </c>
      <c r="H208" s="202">
        <f t="shared" si="21"/>
        <v>0</v>
      </c>
      <c r="I208" s="202">
        <f t="shared" si="22"/>
        <v>0</v>
      </c>
      <c r="J208" s="202">
        <f t="shared" si="23"/>
        <v>0</v>
      </c>
      <c r="K208" s="202">
        <f t="shared" si="24"/>
        <v>0</v>
      </c>
      <c r="L208" s="201"/>
    </row>
    <row r="209" spans="1:12" s="181" customFormat="1">
      <c r="A209" s="201">
        <v>146</v>
      </c>
      <c r="B209" s="202">
        <f t="shared" si="17"/>
        <v>0</v>
      </c>
      <c r="C209" s="202">
        <f t="shared" si="18"/>
        <v>0</v>
      </c>
      <c r="D209" s="202">
        <f t="shared" si="19"/>
        <v>0</v>
      </c>
      <c r="E209" s="202">
        <f t="shared" si="20"/>
        <v>0</v>
      </c>
      <c r="F209" s="201"/>
      <c r="G209" s="201">
        <v>146</v>
      </c>
      <c r="H209" s="202">
        <f t="shared" si="21"/>
        <v>0</v>
      </c>
      <c r="I209" s="202">
        <f t="shared" si="22"/>
        <v>0</v>
      </c>
      <c r="J209" s="202">
        <f t="shared" si="23"/>
        <v>0</v>
      </c>
      <c r="K209" s="202">
        <f t="shared" si="24"/>
        <v>0</v>
      </c>
      <c r="L209" s="201"/>
    </row>
    <row r="210" spans="1:12">
      <c r="A210" s="201">
        <v>147</v>
      </c>
      <c r="B210" s="202">
        <f t="shared" si="17"/>
        <v>0</v>
      </c>
      <c r="C210" s="202">
        <f t="shared" si="18"/>
        <v>0</v>
      </c>
      <c r="D210" s="202">
        <f t="shared" si="19"/>
        <v>0</v>
      </c>
      <c r="E210" s="202">
        <f t="shared" si="20"/>
        <v>0</v>
      </c>
      <c r="F210" s="201"/>
      <c r="G210" s="201">
        <v>147</v>
      </c>
      <c r="H210" s="202">
        <f t="shared" si="21"/>
        <v>0</v>
      </c>
      <c r="I210" s="202">
        <f t="shared" si="22"/>
        <v>0</v>
      </c>
      <c r="J210" s="202">
        <f t="shared" si="23"/>
        <v>0</v>
      </c>
      <c r="K210" s="202">
        <f t="shared" si="24"/>
        <v>0</v>
      </c>
      <c r="L210" s="201"/>
    </row>
    <row r="211" spans="1:12">
      <c r="A211" s="201">
        <v>148</v>
      </c>
      <c r="B211" s="202">
        <f t="shared" si="17"/>
        <v>0</v>
      </c>
      <c r="C211" s="202">
        <f t="shared" si="18"/>
        <v>0</v>
      </c>
      <c r="D211" s="202">
        <f t="shared" si="19"/>
        <v>0</v>
      </c>
      <c r="E211" s="202">
        <f t="shared" si="20"/>
        <v>0</v>
      </c>
      <c r="F211" s="201"/>
      <c r="G211" s="201">
        <v>148</v>
      </c>
      <c r="H211" s="202">
        <f t="shared" si="21"/>
        <v>0</v>
      </c>
      <c r="I211" s="202">
        <f t="shared" si="22"/>
        <v>0</v>
      </c>
      <c r="J211" s="202">
        <f t="shared" si="23"/>
        <v>0</v>
      </c>
      <c r="K211" s="202">
        <f t="shared" si="24"/>
        <v>0</v>
      </c>
      <c r="L211" s="201"/>
    </row>
    <row r="212" spans="1:12">
      <c r="A212" s="201">
        <v>149</v>
      </c>
      <c r="B212" s="202">
        <f t="shared" si="17"/>
        <v>0</v>
      </c>
      <c r="C212" s="202">
        <f t="shared" si="18"/>
        <v>0</v>
      </c>
      <c r="D212" s="202">
        <f t="shared" si="19"/>
        <v>0</v>
      </c>
      <c r="E212" s="202">
        <f t="shared" si="20"/>
        <v>0</v>
      </c>
      <c r="F212" s="201"/>
      <c r="G212" s="201">
        <v>149</v>
      </c>
      <c r="H212" s="202">
        <f t="shared" si="21"/>
        <v>0</v>
      </c>
      <c r="I212" s="202">
        <f t="shared" si="22"/>
        <v>0</v>
      </c>
      <c r="J212" s="202">
        <f t="shared" si="23"/>
        <v>0</v>
      </c>
      <c r="K212" s="202">
        <f t="shared" si="24"/>
        <v>0</v>
      </c>
      <c r="L212" s="201"/>
    </row>
    <row r="213" spans="1:12">
      <c r="A213" s="201">
        <v>150</v>
      </c>
      <c r="B213" s="202">
        <f t="shared" si="17"/>
        <v>0</v>
      </c>
      <c r="C213" s="202">
        <f t="shared" si="18"/>
        <v>0</v>
      </c>
      <c r="D213" s="202">
        <f t="shared" si="19"/>
        <v>0</v>
      </c>
      <c r="E213" s="202">
        <f t="shared" si="20"/>
        <v>0</v>
      </c>
      <c r="F213" s="201"/>
      <c r="G213" s="201">
        <v>150</v>
      </c>
      <c r="H213" s="202">
        <f t="shared" si="21"/>
        <v>0</v>
      </c>
      <c r="I213" s="202">
        <f t="shared" si="22"/>
        <v>0</v>
      </c>
      <c r="J213" s="202">
        <f t="shared" si="23"/>
        <v>0</v>
      </c>
      <c r="K213" s="202">
        <f t="shared" si="24"/>
        <v>0</v>
      </c>
      <c r="L213" s="201"/>
    </row>
    <row r="214" spans="1:12">
      <c r="A214" s="201">
        <v>151</v>
      </c>
      <c r="B214" s="202">
        <f t="shared" si="17"/>
        <v>0</v>
      </c>
      <c r="C214" s="202">
        <f t="shared" si="18"/>
        <v>0</v>
      </c>
      <c r="D214" s="202">
        <f t="shared" si="19"/>
        <v>0</v>
      </c>
      <c r="E214" s="202">
        <f t="shared" si="20"/>
        <v>0</v>
      </c>
      <c r="F214" s="201"/>
      <c r="G214" s="201">
        <v>151</v>
      </c>
      <c r="H214" s="202">
        <f t="shared" si="21"/>
        <v>0</v>
      </c>
      <c r="I214" s="202">
        <f t="shared" si="22"/>
        <v>0</v>
      </c>
      <c r="J214" s="202">
        <f t="shared" si="23"/>
        <v>0</v>
      </c>
      <c r="K214" s="202">
        <f t="shared" si="24"/>
        <v>0</v>
      </c>
      <c r="L214" s="201"/>
    </row>
    <row r="215" spans="1:12">
      <c r="A215" s="201">
        <v>152</v>
      </c>
      <c r="B215" s="202">
        <f t="shared" si="17"/>
        <v>0</v>
      </c>
      <c r="C215" s="202">
        <f t="shared" si="18"/>
        <v>0</v>
      </c>
      <c r="D215" s="202">
        <f t="shared" si="19"/>
        <v>0</v>
      </c>
      <c r="E215" s="202">
        <f t="shared" si="20"/>
        <v>0</v>
      </c>
      <c r="F215" s="201"/>
      <c r="G215" s="201">
        <v>152</v>
      </c>
      <c r="H215" s="202">
        <f t="shared" si="21"/>
        <v>0</v>
      </c>
      <c r="I215" s="202">
        <f t="shared" si="22"/>
        <v>0</v>
      </c>
      <c r="J215" s="202">
        <f t="shared" si="23"/>
        <v>0</v>
      </c>
      <c r="K215" s="202">
        <f t="shared" si="24"/>
        <v>0</v>
      </c>
      <c r="L215" s="201"/>
    </row>
    <row r="216" spans="1:12">
      <c r="A216" s="201">
        <v>153</v>
      </c>
      <c r="B216" s="202">
        <f t="shared" si="17"/>
        <v>0</v>
      </c>
      <c r="C216" s="202">
        <f t="shared" si="18"/>
        <v>0</v>
      </c>
      <c r="D216" s="202">
        <f t="shared" si="19"/>
        <v>0</v>
      </c>
      <c r="E216" s="202">
        <f t="shared" si="20"/>
        <v>0</v>
      </c>
      <c r="F216" s="201"/>
      <c r="G216" s="201">
        <v>153</v>
      </c>
      <c r="H216" s="202">
        <f t="shared" si="21"/>
        <v>0</v>
      </c>
      <c r="I216" s="202">
        <f t="shared" si="22"/>
        <v>0</v>
      </c>
      <c r="J216" s="202">
        <f t="shared" si="23"/>
        <v>0</v>
      </c>
      <c r="K216" s="202">
        <f t="shared" si="24"/>
        <v>0</v>
      </c>
      <c r="L216" s="201"/>
    </row>
    <row r="217" spans="1:12">
      <c r="A217" s="201">
        <v>154</v>
      </c>
      <c r="B217" s="202">
        <f t="shared" si="17"/>
        <v>0</v>
      </c>
      <c r="C217" s="202">
        <f t="shared" si="18"/>
        <v>0</v>
      </c>
      <c r="D217" s="202">
        <f t="shared" si="19"/>
        <v>0</v>
      </c>
      <c r="E217" s="202">
        <f t="shared" si="20"/>
        <v>0</v>
      </c>
      <c r="F217" s="201"/>
      <c r="G217" s="201">
        <v>154</v>
      </c>
      <c r="H217" s="202">
        <f t="shared" si="21"/>
        <v>0</v>
      </c>
      <c r="I217" s="202">
        <f t="shared" si="22"/>
        <v>0</v>
      </c>
      <c r="J217" s="202">
        <f t="shared" si="23"/>
        <v>0</v>
      </c>
      <c r="K217" s="202">
        <f t="shared" si="24"/>
        <v>0</v>
      </c>
      <c r="L217" s="201"/>
    </row>
    <row r="218" spans="1:12">
      <c r="A218" s="201">
        <v>155</v>
      </c>
      <c r="B218" s="202">
        <f t="shared" si="17"/>
        <v>0</v>
      </c>
      <c r="C218" s="202">
        <f t="shared" si="18"/>
        <v>0</v>
      </c>
      <c r="D218" s="202">
        <f t="shared" si="19"/>
        <v>0</v>
      </c>
      <c r="E218" s="202">
        <f t="shared" si="20"/>
        <v>0</v>
      </c>
      <c r="F218" s="201"/>
      <c r="G218" s="201">
        <v>155</v>
      </c>
      <c r="H218" s="202">
        <f t="shared" si="21"/>
        <v>0</v>
      </c>
      <c r="I218" s="202">
        <f t="shared" si="22"/>
        <v>0</v>
      </c>
      <c r="J218" s="202">
        <f t="shared" si="23"/>
        <v>0</v>
      </c>
      <c r="K218" s="202">
        <f t="shared" si="24"/>
        <v>0</v>
      </c>
      <c r="L218" s="201"/>
    </row>
    <row r="219" spans="1:12">
      <c r="A219" s="203">
        <v>156</v>
      </c>
      <c r="B219" s="202">
        <f t="shared" si="17"/>
        <v>0</v>
      </c>
      <c r="C219" s="202">
        <f t="shared" si="18"/>
        <v>0</v>
      </c>
      <c r="D219" s="202">
        <f t="shared" si="19"/>
        <v>0</v>
      </c>
      <c r="E219" s="202">
        <f t="shared" si="20"/>
        <v>0</v>
      </c>
      <c r="F219" s="203">
        <v>13</v>
      </c>
      <c r="G219" s="203">
        <v>156</v>
      </c>
      <c r="H219" s="202">
        <f t="shared" si="21"/>
        <v>0</v>
      </c>
      <c r="I219" s="202">
        <f t="shared" si="22"/>
        <v>0</v>
      </c>
      <c r="J219" s="202">
        <f t="shared" si="23"/>
        <v>0</v>
      </c>
      <c r="K219" s="202">
        <f t="shared" si="24"/>
        <v>0</v>
      </c>
      <c r="L219" s="203">
        <v>13</v>
      </c>
    </row>
    <row r="220" spans="1:12">
      <c r="A220" s="201">
        <v>157</v>
      </c>
      <c r="B220" s="202">
        <f t="shared" si="17"/>
        <v>0</v>
      </c>
      <c r="C220" s="202">
        <f t="shared" si="18"/>
        <v>0</v>
      </c>
      <c r="D220" s="202">
        <f t="shared" si="19"/>
        <v>0</v>
      </c>
      <c r="E220" s="202">
        <f t="shared" si="20"/>
        <v>0</v>
      </c>
      <c r="F220" s="201"/>
      <c r="G220" s="201">
        <v>157</v>
      </c>
      <c r="H220" s="202">
        <f t="shared" si="21"/>
        <v>0</v>
      </c>
      <c r="I220" s="202">
        <f t="shared" si="22"/>
        <v>0</v>
      </c>
      <c r="J220" s="202">
        <f t="shared" si="23"/>
        <v>0</v>
      </c>
      <c r="K220" s="202">
        <f t="shared" si="24"/>
        <v>0</v>
      </c>
      <c r="L220" s="201"/>
    </row>
    <row r="221" spans="1:12" s="181" customFormat="1">
      <c r="A221" s="201">
        <v>158</v>
      </c>
      <c r="B221" s="202">
        <f t="shared" si="17"/>
        <v>0</v>
      </c>
      <c r="C221" s="202">
        <f t="shared" si="18"/>
        <v>0</v>
      </c>
      <c r="D221" s="202">
        <f t="shared" si="19"/>
        <v>0</v>
      </c>
      <c r="E221" s="202">
        <f t="shared" si="20"/>
        <v>0</v>
      </c>
      <c r="F221" s="201"/>
      <c r="G221" s="201">
        <v>158</v>
      </c>
      <c r="H221" s="202">
        <f t="shared" si="21"/>
        <v>0</v>
      </c>
      <c r="I221" s="202">
        <f t="shared" si="22"/>
        <v>0</v>
      </c>
      <c r="J221" s="202">
        <f t="shared" si="23"/>
        <v>0</v>
      </c>
      <c r="K221" s="202">
        <f t="shared" si="24"/>
        <v>0</v>
      </c>
      <c r="L221" s="201"/>
    </row>
    <row r="222" spans="1:12">
      <c r="A222" s="201">
        <v>159</v>
      </c>
      <c r="B222" s="202">
        <f t="shared" si="17"/>
        <v>0</v>
      </c>
      <c r="C222" s="202">
        <f t="shared" si="18"/>
        <v>0</v>
      </c>
      <c r="D222" s="202">
        <f t="shared" si="19"/>
        <v>0</v>
      </c>
      <c r="E222" s="202">
        <f t="shared" si="20"/>
        <v>0</v>
      </c>
      <c r="F222" s="201"/>
      <c r="G222" s="201">
        <v>159</v>
      </c>
      <c r="H222" s="202">
        <f t="shared" si="21"/>
        <v>0</v>
      </c>
      <c r="I222" s="202">
        <f t="shared" si="22"/>
        <v>0</v>
      </c>
      <c r="J222" s="202">
        <f t="shared" si="23"/>
        <v>0</v>
      </c>
      <c r="K222" s="202">
        <f t="shared" si="24"/>
        <v>0</v>
      </c>
      <c r="L222" s="201"/>
    </row>
    <row r="223" spans="1:12">
      <c r="A223" s="201">
        <v>160</v>
      </c>
      <c r="B223" s="202">
        <f t="shared" si="17"/>
        <v>0</v>
      </c>
      <c r="C223" s="202">
        <f t="shared" si="18"/>
        <v>0</v>
      </c>
      <c r="D223" s="202">
        <f t="shared" si="19"/>
        <v>0</v>
      </c>
      <c r="E223" s="202">
        <f t="shared" si="20"/>
        <v>0</v>
      </c>
      <c r="F223" s="201"/>
      <c r="G223" s="201">
        <v>160</v>
      </c>
      <c r="H223" s="202">
        <f t="shared" si="21"/>
        <v>0</v>
      </c>
      <c r="I223" s="202">
        <f t="shared" si="22"/>
        <v>0</v>
      </c>
      <c r="J223" s="202">
        <f t="shared" si="23"/>
        <v>0</v>
      </c>
      <c r="K223" s="202">
        <f t="shared" si="24"/>
        <v>0</v>
      </c>
      <c r="L223" s="201"/>
    </row>
    <row r="224" spans="1:12">
      <c r="A224" s="201">
        <v>161</v>
      </c>
      <c r="B224" s="202">
        <f t="shared" si="17"/>
        <v>0</v>
      </c>
      <c r="C224" s="202">
        <f t="shared" si="18"/>
        <v>0</v>
      </c>
      <c r="D224" s="202">
        <f t="shared" si="19"/>
        <v>0</v>
      </c>
      <c r="E224" s="202">
        <f t="shared" si="20"/>
        <v>0</v>
      </c>
      <c r="F224" s="201"/>
      <c r="G224" s="201">
        <v>161</v>
      </c>
      <c r="H224" s="202">
        <f t="shared" si="21"/>
        <v>0</v>
      </c>
      <c r="I224" s="202">
        <f t="shared" si="22"/>
        <v>0</v>
      </c>
      <c r="J224" s="202">
        <f t="shared" si="23"/>
        <v>0</v>
      </c>
      <c r="K224" s="202">
        <f t="shared" si="24"/>
        <v>0</v>
      </c>
      <c r="L224" s="201"/>
    </row>
    <row r="225" spans="1:12">
      <c r="A225" s="201">
        <v>162</v>
      </c>
      <c r="B225" s="202">
        <f t="shared" si="17"/>
        <v>0</v>
      </c>
      <c r="C225" s="202">
        <f t="shared" si="18"/>
        <v>0</v>
      </c>
      <c r="D225" s="202">
        <f t="shared" si="19"/>
        <v>0</v>
      </c>
      <c r="E225" s="202">
        <f t="shared" si="20"/>
        <v>0</v>
      </c>
      <c r="F225" s="201"/>
      <c r="G225" s="201">
        <v>162</v>
      </c>
      <c r="H225" s="202">
        <f t="shared" si="21"/>
        <v>0</v>
      </c>
      <c r="I225" s="202">
        <f t="shared" si="22"/>
        <v>0</v>
      </c>
      <c r="J225" s="202">
        <f t="shared" si="23"/>
        <v>0</v>
      </c>
      <c r="K225" s="202">
        <f t="shared" si="24"/>
        <v>0</v>
      </c>
      <c r="L225" s="201"/>
    </row>
    <row r="226" spans="1:12">
      <c r="A226" s="201">
        <v>163</v>
      </c>
      <c r="B226" s="202">
        <f t="shared" si="17"/>
        <v>0</v>
      </c>
      <c r="C226" s="202">
        <f t="shared" si="18"/>
        <v>0</v>
      </c>
      <c r="D226" s="202">
        <f t="shared" si="19"/>
        <v>0</v>
      </c>
      <c r="E226" s="202">
        <f t="shared" si="20"/>
        <v>0</v>
      </c>
      <c r="F226" s="201"/>
      <c r="G226" s="201">
        <v>163</v>
      </c>
      <c r="H226" s="202">
        <f t="shared" si="21"/>
        <v>0</v>
      </c>
      <c r="I226" s="202">
        <f t="shared" si="22"/>
        <v>0</v>
      </c>
      <c r="J226" s="202">
        <f t="shared" si="23"/>
        <v>0</v>
      </c>
      <c r="K226" s="202">
        <f t="shared" si="24"/>
        <v>0</v>
      </c>
      <c r="L226" s="201"/>
    </row>
    <row r="227" spans="1:12">
      <c r="A227" s="201">
        <v>164</v>
      </c>
      <c r="B227" s="202">
        <f t="shared" si="17"/>
        <v>0</v>
      </c>
      <c r="C227" s="202">
        <f t="shared" si="18"/>
        <v>0</v>
      </c>
      <c r="D227" s="202">
        <f t="shared" si="19"/>
        <v>0</v>
      </c>
      <c r="E227" s="202">
        <f t="shared" si="20"/>
        <v>0</v>
      </c>
      <c r="F227" s="201"/>
      <c r="G227" s="201">
        <v>164</v>
      </c>
      <c r="H227" s="202">
        <f t="shared" si="21"/>
        <v>0</v>
      </c>
      <c r="I227" s="202">
        <f t="shared" si="22"/>
        <v>0</v>
      </c>
      <c r="J227" s="202">
        <f t="shared" si="23"/>
        <v>0</v>
      </c>
      <c r="K227" s="202">
        <f t="shared" si="24"/>
        <v>0</v>
      </c>
      <c r="L227" s="201"/>
    </row>
    <row r="228" spans="1:12">
      <c r="A228" s="201">
        <v>165</v>
      </c>
      <c r="B228" s="202">
        <f t="shared" si="17"/>
        <v>0</v>
      </c>
      <c r="C228" s="202">
        <f t="shared" si="18"/>
        <v>0</v>
      </c>
      <c r="D228" s="202">
        <f t="shared" si="19"/>
        <v>0</v>
      </c>
      <c r="E228" s="202">
        <f t="shared" si="20"/>
        <v>0</v>
      </c>
      <c r="F228" s="201"/>
      <c r="G228" s="201">
        <v>165</v>
      </c>
      <c r="H228" s="202">
        <f t="shared" si="21"/>
        <v>0</v>
      </c>
      <c r="I228" s="202">
        <f t="shared" si="22"/>
        <v>0</v>
      </c>
      <c r="J228" s="202">
        <f t="shared" si="23"/>
        <v>0</v>
      </c>
      <c r="K228" s="202">
        <f t="shared" si="24"/>
        <v>0</v>
      </c>
      <c r="L228" s="201"/>
    </row>
    <row r="229" spans="1:12">
      <c r="A229" s="201">
        <v>166</v>
      </c>
      <c r="B229" s="202">
        <f t="shared" si="17"/>
        <v>0</v>
      </c>
      <c r="C229" s="202">
        <f t="shared" si="18"/>
        <v>0</v>
      </c>
      <c r="D229" s="202">
        <f t="shared" si="19"/>
        <v>0</v>
      </c>
      <c r="E229" s="202">
        <f t="shared" si="20"/>
        <v>0</v>
      </c>
      <c r="F229" s="201"/>
      <c r="G229" s="201">
        <v>166</v>
      </c>
      <c r="H229" s="202">
        <f t="shared" si="21"/>
        <v>0</v>
      </c>
      <c r="I229" s="202">
        <f t="shared" si="22"/>
        <v>0</v>
      </c>
      <c r="J229" s="202">
        <f t="shared" si="23"/>
        <v>0</v>
      </c>
      <c r="K229" s="202">
        <f t="shared" si="24"/>
        <v>0</v>
      </c>
      <c r="L229" s="201"/>
    </row>
    <row r="230" spans="1:12">
      <c r="A230" s="201">
        <v>167</v>
      </c>
      <c r="B230" s="202">
        <f t="shared" si="17"/>
        <v>0</v>
      </c>
      <c r="C230" s="202">
        <f t="shared" si="18"/>
        <v>0</v>
      </c>
      <c r="D230" s="202">
        <f t="shared" si="19"/>
        <v>0</v>
      </c>
      <c r="E230" s="202">
        <f t="shared" si="20"/>
        <v>0</v>
      </c>
      <c r="F230" s="201"/>
      <c r="G230" s="201">
        <v>167</v>
      </c>
      <c r="H230" s="202">
        <f t="shared" si="21"/>
        <v>0</v>
      </c>
      <c r="I230" s="202">
        <f t="shared" si="22"/>
        <v>0</v>
      </c>
      <c r="J230" s="202">
        <f t="shared" si="23"/>
        <v>0</v>
      </c>
      <c r="K230" s="202">
        <f t="shared" si="24"/>
        <v>0</v>
      </c>
      <c r="L230" s="201"/>
    </row>
    <row r="231" spans="1:12">
      <c r="A231" s="203">
        <v>168</v>
      </c>
      <c r="B231" s="202">
        <f t="shared" si="17"/>
        <v>0</v>
      </c>
      <c r="C231" s="202">
        <f t="shared" si="18"/>
        <v>0</v>
      </c>
      <c r="D231" s="202">
        <f t="shared" si="19"/>
        <v>0</v>
      </c>
      <c r="E231" s="202">
        <f t="shared" si="20"/>
        <v>0</v>
      </c>
      <c r="F231" s="203">
        <v>14</v>
      </c>
      <c r="G231" s="203">
        <v>168</v>
      </c>
      <c r="H231" s="202">
        <f t="shared" si="21"/>
        <v>0</v>
      </c>
      <c r="I231" s="202">
        <f t="shared" si="22"/>
        <v>0</v>
      </c>
      <c r="J231" s="202">
        <f t="shared" si="23"/>
        <v>0</v>
      </c>
      <c r="K231" s="202">
        <f t="shared" si="24"/>
        <v>0</v>
      </c>
      <c r="L231" s="203">
        <v>14</v>
      </c>
    </row>
    <row r="232" spans="1:12">
      <c r="A232" s="201">
        <v>169</v>
      </c>
      <c r="B232" s="202">
        <f t="shared" si="17"/>
        <v>0</v>
      </c>
      <c r="C232" s="202">
        <f t="shared" si="18"/>
        <v>0</v>
      </c>
      <c r="D232" s="202">
        <f t="shared" si="19"/>
        <v>0</v>
      </c>
      <c r="E232" s="202">
        <f t="shared" si="20"/>
        <v>0</v>
      </c>
      <c r="F232" s="201"/>
      <c r="G232" s="201">
        <v>169</v>
      </c>
      <c r="H232" s="202">
        <f t="shared" si="21"/>
        <v>0</v>
      </c>
      <c r="I232" s="202">
        <f t="shared" si="22"/>
        <v>0</v>
      </c>
      <c r="J232" s="202">
        <f t="shared" si="23"/>
        <v>0</v>
      </c>
      <c r="K232" s="202">
        <f t="shared" si="24"/>
        <v>0</v>
      </c>
      <c r="L232" s="201"/>
    </row>
    <row r="233" spans="1:12" s="181" customFormat="1">
      <c r="A233" s="201">
        <v>170</v>
      </c>
      <c r="B233" s="202">
        <f t="shared" si="17"/>
        <v>0</v>
      </c>
      <c r="C233" s="202">
        <f t="shared" si="18"/>
        <v>0</v>
      </c>
      <c r="D233" s="202">
        <f t="shared" si="19"/>
        <v>0</v>
      </c>
      <c r="E233" s="202">
        <f t="shared" si="20"/>
        <v>0</v>
      </c>
      <c r="F233" s="201"/>
      <c r="G233" s="201">
        <v>170</v>
      </c>
      <c r="H233" s="202">
        <f t="shared" si="21"/>
        <v>0</v>
      </c>
      <c r="I233" s="202">
        <f t="shared" si="22"/>
        <v>0</v>
      </c>
      <c r="J233" s="202">
        <f t="shared" si="23"/>
        <v>0</v>
      </c>
      <c r="K233" s="202">
        <f t="shared" si="24"/>
        <v>0</v>
      </c>
      <c r="L233" s="201"/>
    </row>
    <row r="234" spans="1:12">
      <c r="A234" s="201">
        <v>171</v>
      </c>
      <c r="B234" s="202">
        <f t="shared" si="17"/>
        <v>0</v>
      </c>
      <c r="C234" s="202">
        <f t="shared" si="18"/>
        <v>0</v>
      </c>
      <c r="D234" s="202">
        <f t="shared" si="19"/>
        <v>0</v>
      </c>
      <c r="E234" s="202">
        <f t="shared" si="20"/>
        <v>0</v>
      </c>
      <c r="F234" s="201"/>
      <c r="G234" s="201">
        <v>171</v>
      </c>
      <c r="H234" s="202">
        <f t="shared" si="21"/>
        <v>0</v>
      </c>
      <c r="I234" s="202">
        <f t="shared" si="22"/>
        <v>0</v>
      </c>
      <c r="J234" s="202">
        <f t="shared" si="23"/>
        <v>0</v>
      </c>
      <c r="K234" s="202">
        <f t="shared" si="24"/>
        <v>0</v>
      </c>
      <c r="L234" s="201"/>
    </row>
    <row r="235" spans="1:12">
      <c r="A235" s="201">
        <v>172</v>
      </c>
      <c r="B235" s="202">
        <f t="shared" si="17"/>
        <v>0</v>
      </c>
      <c r="C235" s="202">
        <f t="shared" si="18"/>
        <v>0</v>
      </c>
      <c r="D235" s="202">
        <f t="shared" si="19"/>
        <v>0</v>
      </c>
      <c r="E235" s="202">
        <f t="shared" si="20"/>
        <v>0</v>
      </c>
      <c r="F235" s="201"/>
      <c r="G235" s="201">
        <v>172</v>
      </c>
      <c r="H235" s="202">
        <f t="shared" si="21"/>
        <v>0</v>
      </c>
      <c r="I235" s="202">
        <f t="shared" si="22"/>
        <v>0</v>
      </c>
      <c r="J235" s="202">
        <f t="shared" si="23"/>
        <v>0</v>
      </c>
      <c r="K235" s="202">
        <f t="shared" si="24"/>
        <v>0</v>
      </c>
      <c r="L235" s="201"/>
    </row>
    <row r="236" spans="1:12">
      <c r="A236" s="201">
        <v>173</v>
      </c>
      <c r="B236" s="202">
        <f t="shared" si="17"/>
        <v>0</v>
      </c>
      <c r="C236" s="202">
        <f t="shared" si="18"/>
        <v>0</v>
      </c>
      <c r="D236" s="202">
        <f t="shared" si="19"/>
        <v>0</v>
      </c>
      <c r="E236" s="202">
        <f t="shared" si="20"/>
        <v>0</v>
      </c>
      <c r="F236" s="201"/>
      <c r="G236" s="201">
        <v>173</v>
      </c>
      <c r="H236" s="202">
        <f t="shared" si="21"/>
        <v>0</v>
      </c>
      <c r="I236" s="202">
        <f t="shared" si="22"/>
        <v>0</v>
      </c>
      <c r="J236" s="202">
        <f t="shared" si="23"/>
        <v>0</v>
      </c>
      <c r="K236" s="202">
        <f t="shared" si="24"/>
        <v>0</v>
      </c>
      <c r="L236" s="201"/>
    </row>
    <row r="237" spans="1:12">
      <c r="A237" s="201">
        <v>174</v>
      </c>
      <c r="B237" s="202">
        <f t="shared" si="17"/>
        <v>0</v>
      </c>
      <c r="C237" s="202">
        <f t="shared" si="18"/>
        <v>0</v>
      </c>
      <c r="D237" s="202">
        <f t="shared" si="19"/>
        <v>0</v>
      </c>
      <c r="E237" s="202">
        <f t="shared" si="20"/>
        <v>0</v>
      </c>
      <c r="F237" s="201"/>
      <c r="G237" s="201">
        <v>174</v>
      </c>
      <c r="H237" s="202">
        <f t="shared" si="21"/>
        <v>0</v>
      </c>
      <c r="I237" s="202">
        <f t="shared" si="22"/>
        <v>0</v>
      </c>
      <c r="J237" s="202">
        <f t="shared" si="23"/>
        <v>0</v>
      </c>
      <c r="K237" s="202">
        <f t="shared" si="24"/>
        <v>0</v>
      </c>
      <c r="L237" s="201"/>
    </row>
    <row r="238" spans="1:12">
      <c r="A238" s="201">
        <v>175</v>
      </c>
      <c r="B238" s="202">
        <f t="shared" si="17"/>
        <v>0</v>
      </c>
      <c r="C238" s="202">
        <f t="shared" si="18"/>
        <v>0</v>
      </c>
      <c r="D238" s="202">
        <f t="shared" si="19"/>
        <v>0</v>
      </c>
      <c r="E238" s="202">
        <f t="shared" si="20"/>
        <v>0</v>
      </c>
      <c r="F238" s="201"/>
      <c r="G238" s="201">
        <v>175</v>
      </c>
      <c r="H238" s="202">
        <f t="shared" si="21"/>
        <v>0</v>
      </c>
      <c r="I238" s="202">
        <f t="shared" si="22"/>
        <v>0</v>
      </c>
      <c r="J238" s="202">
        <f t="shared" si="23"/>
        <v>0</v>
      </c>
      <c r="K238" s="202">
        <f t="shared" si="24"/>
        <v>0</v>
      </c>
      <c r="L238" s="201"/>
    </row>
    <row r="239" spans="1:12">
      <c r="A239" s="201">
        <v>176</v>
      </c>
      <c r="B239" s="202">
        <f t="shared" si="17"/>
        <v>0</v>
      </c>
      <c r="C239" s="202">
        <f t="shared" si="18"/>
        <v>0</v>
      </c>
      <c r="D239" s="202">
        <f t="shared" si="19"/>
        <v>0</v>
      </c>
      <c r="E239" s="202">
        <f t="shared" si="20"/>
        <v>0</v>
      </c>
      <c r="F239" s="201"/>
      <c r="G239" s="201">
        <v>176</v>
      </c>
      <c r="H239" s="202">
        <f t="shared" si="21"/>
        <v>0</v>
      </c>
      <c r="I239" s="202">
        <f t="shared" si="22"/>
        <v>0</v>
      </c>
      <c r="J239" s="202">
        <f t="shared" si="23"/>
        <v>0</v>
      </c>
      <c r="K239" s="202">
        <f t="shared" si="24"/>
        <v>0</v>
      </c>
      <c r="L239" s="201"/>
    </row>
    <row r="240" spans="1:12">
      <c r="A240" s="201">
        <v>177</v>
      </c>
      <c r="B240" s="202">
        <f t="shared" si="17"/>
        <v>0</v>
      </c>
      <c r="C240" s="202">
        <f t="shared" si="18"/>
        <v>0</v>
      </c>
      <c r="D240" s="202">
        <f t="shared" si="19"/>
        <v>0</v>
      </c>
      <c r="E240" s="202">
        <f t="shared" si="20"/>
        <v>0</v>
      </c>
      <c r="F240" s="201"/>
      <c r="G240" s="201">
        <v>177</v>
      </c>
      <c r="H240" s="202">
        <f t="shared" si="21"/>
        <v>0</v>
      </c>
      <c r="I240" s="202">
        <f t="shared" si="22"/>
        <v>0</v>
      </c>
      <c r="J240" s="202">
        <f t="shared" si="23"/>
        <v>0</v>
      </c>
      <c r="K240" s="202">
        <f t="shared" si="24"/>
        <v>0</v>
      </c>
      <c r="L240" s="201"/>
    </row>
    <row r="241" spans="1:12">
      <c r="A241" s="201">
        <v>178</v>
      </c>
      <c r="B241" s="202">
        <f t="shared" si="17"/>
        <v>0</v>
      </c>
      <c r="C241" s="202">
        <f t="shared" si="18"/>
        <v>0</v>
      </c>
      <c r="D241" s="202">
        <f t="shared" si="19"/>
        <v>0</v>
      </c>
      <c r="E241" s="202">
        <f t="shared" si="20"/>
        <v>0</v>
      </c>
      <c r="F241" s="201"/>
      <c r="G241" s="201">
        <v>178</v>
      </c>
      <c r="H241" s="202">
        <f t="shared" si="21"/>
        <v>0</v>
      </c>
      <c r="I241" s="202">
        <f t="shared" si="22"/>
        <v>0</v>
      </c>
      <c r="J241" s="202">
        <f t="shared" si="23"/>
        <v>0</v>
      </c>
      <c r="K241" s="202">
        <f t="shared" si="24"/>
        <v>0</v>
      </c>
      <c r="L241" s="201"/>
    </row>
    <row r="242" spans="1:12">
      <c r="A242" s="201">
        <v>179</v>
      </c>
      <c r="B242" s="202">
        <f t="shared" si="17"/>
        <v>0</v>
      </c>
      <c r="C242" s="202">
        <f t="shared" si="18"/>
        <v>0</v>
      </c>
      <c r="D242" s="202">
        <f t="shared" si="19"/>
        <v>0</v>
      </c>
      <c r="E242" s="202">
        <f t="shared" si="20"/>
        <v>0</v>
      </c>
      <c r="F242" s="201"/>
      <c r="G242" s="201">
        <v>179</v>
      </c>
      <c r="H242" s="202">
        <f t="shared" si="21"/>
        <v>0</v>
      </c>
      <c r="I242" s="202">
        <f t="shared" si="22"/>
        <v>0</v>
      </c>
      <c r="J242" s="202">
        <f t="shared" si="23"/>
        <v>0</v>
      </c>
      <c r="K242" s="202">
        <f t="shared" si="24"/>
        <v>0</v>
      </c>
      <c r="L242" s="201"/>
    </row>
    <row r="243" spans="1:12">
      <c r="A243" s="203">
        <v>180</v>
      </c>
      <c r="B243" s="202">
        <f t="shared" si="17"/>
        <v>0</v>
      </c>
      <c r="C243" s="202">
        <f t="shared" si="18"/>
        <v>0</v>
      </c>
      <c r="D243" s="202">
        <f t="shared" si="19"/>
        <v>0</v>
      </c>
      <c r="E243" s="202">
        <f t="shared" si="20"/>
        <v>0</v>
      </c>
      <c r="F243" s="203">
        <v>15</v>
      </c>
      <c r="G243" s="203">
        <v>180</v>
      </c>
      <c r="H243" s="202">
        <f t="shared" si="21"/>
        <v>0</v>
      </c>
      <c r="I243" s="202">
        <f t="shared" si="22"/>
        <v>0</v>
      </c>
      <c r="J243" s="202">
        <f t="shared" si="23"/>
        <v>0</v>
      </c>
      <c r="K243" s="202">
        <f t="shared" si="24"/>
        <v>0</v>
      </c>
      <c r="L243" s="203">
        <v>15</v>
      </c>
    </row>
    <row r="244" spans="1:12">
      <c r="A244" s="201">
        <v>181</v>
      </c>
      <c r="B244" s="202">
        <f t="shared" si="17"/>
        <v>0</v>
      </c>
      <c r="C244" s="202">
        <f t="shared" si="18"/>
        <v>0</v>
      </c>
      <c r="D244" s="202">
        <f t="shared" si="19"/>
        <v>0</v>
      </c>
      <c r="E244" s="202">
        <f t="shared" si="20"/>
        <v>0</v>
      </c>
      <c r="F244" s="201"/>
      <c r="G244" s="201">
        <v>181</v>
      </c>
      <c r="H244" s="202">
        <f t="shared" si="21"/>
        <v>0</v>
      </c>
      <c r="I244" s="202">
        <f t="shared" si="22"/>
        <v>0</v>
      </c>
      <c r="J244" s="202">
        <f t="shared" si="23"/>
        <v>0</v>
      </c>
      <c r="K244" s="202">
        <f t="shared" si="24"/>
        <v>0</v>
      </c>
      <c r="L244" s="201"/>
    </row>
    <row r="245" spans="1:12" s="181" customFormat="1">
      <c r="A245" s="203">
        <v>182</v>
      </c>
      <c r="B245" s="202">
        <f t="shared" si="17"/>
        <v>0</v>
      </c>
      <c r="C245" s="202">
        <f t="shared" si="18"/>
        <v>0</v>
      </c>
      <c r="D245" s="202">
        <f t="shared" si="19"/>
        <v>0</v>
      </c>
      <c r="E245" s="202">
        <f t="shared" si="20"/>
        <v>0</v>
      </c>
      <c r="F245" s="201"/>
      <c r="G245" s="203">
        <v>182</v>
      </c>
      <c r="H245" s="202">
        <f t="shared" si="21"/>
        <v>0</v>
      </c>
      <c r="I245" s="202">
        <f t="shared" si="22"/>
        <v>0</v>
      </c>
      <c r="J245" s="202">
        <f t="shared" si="23"/>
        <v>0</v>
      </c>
      <c r="K245" s="202">
        <f t="shared" si="24"/>
        <v>0</v>
      </c>
      <c r="L245" s="201"/>
    </row>
    <row r="246" spans="1:12">
      <c r="A246" s="203">
        <v>183</v>
      </c>
      <c r="B246" s="202">
        <f t="shared" si="17"/>
        <v>0</v>
      </c>
      <c r="C246" s="202">
        <f t="shared" si="18"/>
        <v>0</v>
      </c>
      <c r="D246" s="202">
        <f t="shared" si="19"/>
        <v>0</v>
      </c>
      <c r="E246" s="202">
        <f t="shared" si="20"/>
        <v>0</v>
      </c>
      <c r="F246" s="201"/>
      <c r="G246" s="203">
        <v>183</v>
      </c>
      <c r="H246" s="202">
        <f t="shared" si="21"/>
        <v>0</v>
      </c>
      <c r="I246" s="202">
        <f t="shared" si="22"/>
        <v>0</v>
      </c>
      <c r="J246" s="202">
        <f t="shared" si="23"/>
        <v>0</v>
      </c>
      <c r="K246" s="202">
        <f t="shared" si="24"/>
        <v>0</v>
      </c>
      <c r="L246" s="201"/>
    </row>
    <row r="247" spans="1:12">
      <c r="A247" s="203">
        <v>184</v>
      </c>
      <c r="B247" s="202">
        <f t="shared" si="17"/>
        <v>0</v>
      </c>
      <c r="C247" s="202">
        <f t="shared" si="18"/>
        <v>0</v>
      </c>
      <c r="D247" s="202">
        <f t="shared" si="19"/>
        <v>0</v>
      </c>
      <c r="E247" s="202">
        <f t="shared" si="20"/>
        <v>0</v>
      </c>
      <c r="F247" s="201"/>
      <c r="G247" s="203">
        <v>184</v>
      </c>
      <c r="H247" s="202">
        <f t="shared" si="21"/>
        <v>0</v>
      </c>
      <c r="I247" s="202">
        <f t="shared" si="22"/>
        <v>0</v>
      </c>
      <c r="J247" s="202">
        <f t="shared" si="23"/>
        <v>0</v>
      </c>
      <c r="K247" s="202">
        <f t="shared" si="24"/>
        <v>0</v>
      </c>
      <c r="L247" s="201"/>
    </row>
    <row r="248" spans="1:12">
      <c r="A248" s="203">
        <v>185</v>
      </c>
      <c r="B248" s="202">
        <f t="shared" si="17"/>
        <v>0</v>
      </c>
      <c r="C248" s="202">
        <f t="shared" si="18"/>
        <v>0</v>
      </c>
      <c r="D248" s="202">
        <f t="shared" si="19"/>
        <v>0</v>
      </c>
      <c r="E248" s="202">
        <f t="shared" si="20"/>
        <v>0</v>
      </c>
      <c r="F248" s="201"/>
      <c r="G248" s="203">
        <v>185</v>
      </c>
      <c r="H248" s="202">
        <f t="shared" si="21"/>
        <v>0</v>
      </c>
      <c r="I248" s="202">
        <f t="shared" si="22"/>
        <v>0</v>
      </c>
      <c r="J248" s="202">
        <f t="shared" si="23"/>
        <v>0</v>
      </c>
      <c r="K248" s="202">
        <f t="shared" si="24"/>
        <v>0</v>
      </c>
      <c r="L248" s="201"/>
    </row>
    <row r="249" spans="1:12">
      <c r="A249" s="203">
        <v>186</v>
      </c>
      <c r="B249" s="202">
        <f t="shared" si="17"/>
        <v>0</v>
      </c>
      <c r="C249" s="202">
        <f t="shared" si="18"/>
        <v>0</v>
      </c>
      <c r="D249" s="202">
        <f t="shared" si="19"/>
        <v>0</v>
      </c>
      <c r="E249" s="202">
        <f t="shared" si="20"/>
        <v>0</v>
      </c>
      <c r="F249" s="201"/>
      <c r="G249" s="203">
        <v>186</v>
      </c>
      <c r="H249" s="202">
        <f t="shared" si="21"/>
        <v>0</v>
      </c>
      <c r="I249" s="202">
        <f t="shared" si="22"/>
        <v>0</v>
      </c>
      <c r="J249" s="202">
        <f t="shared" si="23"/>
        <v>0</v>
      </c>
      <c r="K249" s="202">
        <f t="shared" si="24"/>
        <v>0</v>
      </c>
      <c r="L249" s="201"/>
    </row>
    <row r="250" spans="1:12">
      <c r="A250" s="203">
        <v>187</v>
      </c>
      <c r="B250" s="202">
        <f t="shared" si="17"/>
        <v>0</v>
      </c>
      <c r="C250" s="202">
        <f t="shared" si="18"/>
        <v>0</v>
      </c>
      <c r="D250" s="202">
        <f t="shared" si="19"/>
        <v>0</v>
      </c>
      <c r="E250" s="202">
        <f t="shared" si="20"/>
        <v>0</v>
      </c>
      <c r="F250" s="201"/>
      <c r="G250" s="203">
        <v>187</v>
      </c>
      <c r="H250" s="202">
        <f t="shared" si="21"/>
        <v>0</v>
      </c>
      <c r="I250" s="202">
        <f t="shared" si="22"/>
        <v>0</v>
      </c>
      <c r="J250" s="202">
        <f t="shared" si="23"/>
        <v>0</v>
      </c>
      <c r="K250" s="202">
        <f t="shared" si="24"/>
        <v>0</v>
      </c>
      <c r="L250" s="201"/>
    </row>
    <row r="251" spans="1:12">
      <c r="A251" s="203">
        <v>188</v>
      </c>
      <c r="B251" s="202">
        <f t="shared" si="17"/>
        <v>0</v>
      </c>
      <c r="C251" s="202">
        <f t="shared" si="18"/>
        <v>0</v>
      </c>
      <c r="D251" s="202">
        <f t="shared" si="19"/>
        <v>0</v>
      </c>
      <c r="E251" s="202">
        <f t="shared" si="20"/>
        <v>0</v>
      </c>
      <c r="F251" s="201"/>
      <c r="G251" s="203">
        <v>188</v>
      </c>
      <c r="H251" s="202">
        <f t="shared" si="21"/>
        <v>0</v>
      </c>
      <c r="I251" s="202">
        <f t="shared" si="22"/>
        <v>0</v>
      </c>
      <c r="J251" s="202">
        <f t="shared" si="23"/>
        <v>0</v>
      </c>
      <c r="K251" s="202">
        <f t="shared" si="24"/>
        <v>0</v>
      </c>
      <c r="L251" s="201"/>
    </row>
    <row r="252" spans="1:12">
      <c r="A252" s="203">
        <v>189</v>
      </c>
      <c r="B252" s="202">
        <f t="shared" si="17"/>
        <v>0</v>
      </c>
      <c r="C252" s="202">
        <f t="shared" si="18"/>
        <v>0</v>
      </c>
      <c r="D252" s="202">
        <f t="shared" si="19"/>
        <v>0</v>
      </c>
      <c r="E252" s="202">
        <f t="shared" si="20"/>
        <v>0</v>
      </c>
      <c r="F252" s="201"/>
      <c r="G252" s="203">
        <v>189</v>
      </c>
      <c r="H252" s="202">
        <f t="shared" si="21"/>
        <v>0</v>
      </c>
      <c r="I252" s="202">
        <f t="shared" si="22"/>
        <v>0</v>
      </c>
      <c r="J252" s="202">
        <f t="shared" si="23"/>
        <v>0</v>
      </c>
      <c r="K252" s="202">
        <f t="shared" si="24"/>
        <v>0</v>
      </c>
      <c r="L252" s="201"/>
    </row>
    <row r="253" spans="1:12">
      <c r="A253" s="203">
        <v>190</v>
      </c>
      <c r="B253" s="202">
        <f t="shared" si="17"/>
        <v>0</v>
      </c>
      <c r="C253" s="202">
        <f t="shared" si="18"/>
        <v>0</v>
      </c>
      <c r="D253" s="202">
        <f t="shared" si="19"/>
        <v>0</v>
      </c>
      <c r="E253" s="202">
        <f t="shared" si="20"/>
        <v>0</v>
      </c>
      <c r="F253" s="201"/>
      <c r="G253" s="203">
        <v>190</v>
      </c>
      <c r="H253" s="202">
        <f t="shared" si="21"/>
        <v>0</v>
      </c>
      <c r="I253" s="202">
        <f t="shared" si="22"/>
        <v>0</v>
      </c>
      <c r="J253" s="202">
        <f t="shared" si="23"/>
        <v>0</v>
      </c>
      <c r="K253" s="202">
        <f t="shared" si="24"/>
        <v>0</v>
      </c>
      <c r="L253" s="201"/>
    </row>
    <row r="254" spans="1:12">
      <c r="A254" s="203">
        <v>191</v>
      </c>
      <c r="B254" s="202">
        <f t="shared" si="17"/>
        <v>0</v>
      </c>
      <c r="C254" s="202">
        <f t="shared" si="18"/>
        <v>0</v>
      </c>
      <c r="D254" s="202">
        <f t="shared" si="19"/>
        <v>0</v>
      </c>
      <c r="E254" s="202">
        <f t="shared" si="20"/>
        <v>0</v>
      </c>
      <c r="F254" s="201"/>
      <c r="G254" s="203">
        <v>191</v>
      </c>
      <c r="H254" s="202">
        <f t="shared" si="21"/>
        <v>0</v>
      </c>
      <c r="I254" s="202">
        <f t="shared" si="22"/>
        <v>0</v>
      </c>
      <c r="J254" s="202">
        <f t="shared" si="23"/>
        <v>0</v>
      </c>
      <c r="K254" s="202">
        <f t="shared" si="24"/>
        <v>0</v>
      </c>
      <c r="L254" s="201"/>
    </row>
    <row r="255" spans="1:12">
      <c r="A255" s="203">
        <v>192</v>
      </c>
      <c r="B255" s="202">
        <f t="shared" si="17"/>
        <v>0</v>
      </c>
      <c r="C255" s="202">
        <f t="shared" si="18"/>
        <v>0</v>
      </c>
      <c r="D255" s="202">
        <f t="shared" si="19"/>
        <v>0</v>
      </c>
      <c r="E255" s="202">
        <f t="shared" si="20"/>
        <v>0</v>
      </c>
      <c r="F255" s="201">
        <v>16</v>
      </c>
      <c r="G255" s="203">
        <v>192</v>
      </c>
      <c r="H255" s="202">
        <f t="shared" si="21"/>
        <v>0</v>
      </c>
      <c r="I255" s="202">
        <f t="shared" si="22"/>
        <v>0</v>
      </c>
      <c r="J255" s="202">
        <f t="shared" si="23"/>
        <v>0</v>
      </c>
      <c r="K255" s="202">
        <f t="shared" si="24"/>
        <v>0</v>
      </c>
      <c r="L255" s="201">
        <v>16</v>
      </c>
    </row>
    <row r="256" spans="1:12">
      <c r="A256" s="203">
        <v>193</v>
      </c>
      <c r="B256" s="202">
        <f t="shared" ref="B256:B319" si="25">IF(A256&gt;12*$C$9,0,IF($C$5&gt;1500000,$D$12,$C$12))</f>
        <v>0</v>
      </c>
      <c r="C256" s="202">
        <f t="shared" ref="C256:C319" si="26">IF(A256&gt;12*$C$9,0,E255*$C$7/12)</f>
        <v>0</v>
      </c>
      <c r="D256" s="202">
        <f t="shared" ref="D256:D319" si="27">IF(A256&gt;12*$C$9,0,B256-C256)</f>
        <v>0</v>
      </c>
      <c r="E256" s="202">
        <f t="shared" ref="E256:E319" si="28">IF(A256&gt;12*$C$9,0,E255-D256)</f>
        <v>0</v>
      </c>
      <c r="F256" s="201"/>
      <c r="G256" s="203">
        <v>193</v>
      </c>
      <c r="H256" s="202">
        <f t="shared" ref="H256:H319" si="29">IF(G256&gt;12*$C$9,0,IF($C$5&gt;1500000,$E$12,0))</f>
        <v>0</v>
      </c>
      <c r="I256" s="202">
        <f t="shared" ref="I256:I319" si="30">IF(G256&gt;12*$C$9,0,K255*$C$7/12)</f>
        <v>0</v>
      </c>
      <c r="J256" s="202">
        <f t="shared" ref="J256:J319" si="31">IF(G256&gt;12*$C$9,0,H256-I256)</f>
        <v>0</v>
      </c>
      <c r="K256" s="202">
        <f t="shared" ref="K256:K319" si="32">IF(G256&gt;12*$C$9,0,K255-J256)</f>
        <v>0</v>
      </c>
      <c r="L256" s="201"/>
    </row>
    <row r="257" spans="1:12">
      <c r="A257" s="203">
        <v>194</v>
      </c>
      <c r="B257" s="202">
        <f t="shared" si="25"/>
        <v>0</v>
      </c>
      <c r="C257" s="202">
        <f t="shared" si="26"/>
        <v>0</v>
      </c>
      <c r="D257" s="202">
        <f t="shared" si="27"/>
        <v>0</v>
      </c>
      <c r="E257" s="202">
        <f t="shared" si="28"/>
        <v>0</v>
      </c>
      <c r="F257" s="201"/>
      <c r="G257" s="203">
        <v>194</v>
      </c>
      <c r="H257" s="202">
        <f t="shared" si="29"/>
        <v>0</v>
      </c>
      <c r="I257" s="202">
        <f t="shared" si="30"/>
        <v>0</v>
      </c>
      <c r="J257" s="202">
        <f t="shared" si="31"/>
        <v>0</v>
      </c>
      <c r="K257" s="202">
        <f t="shared" si="32"/>
        <v>0</v>
      </c>
      <c r="L257" s="201"/>
    </row>
    <row r="258" spans="1:12">
      <c r="A258" s="203">
        <v>195</v>
      </c>
      <c r="B258" s="202">
        <f t="shared" si="25"/>
        <v>0</v>
      </c>
      <c r="C258" s="202">
        <f t="shared" si="26"/>
        <v>0</v>
      </c>
      <c r="D258" s="202">
        <f t="shared" si="27"/>
        <v>0</v>
      </c>
      <c r="E258" s="202">
        <f t="shared" si="28"/>
        <v>0</v>
      </c>
      <c r="F258" s="201"/>
      <c r="G258" s="203">
        <v>195</v>
      </c>
      <c r="H258" s="202">
        <f t="shared" si="29"/>
        <v>0</v>
      </c>
      <c r="I258" s="202">
        <f t="shared" si="30"/>
        <v>0</v>
      </c>
      <c r="J258" s="202">
        <f t="shared" si="31"/>
        <v>0</v>
      </c>
      <c r="K258" s="202">
        <f t="shared" si="32"/>
        <v>0</v>
      </c>
      <c r="L258" s="201"/>
    </row>
    <row r="259" spans="1:12">
      <c r="A259" s="203">
        <v>196</v>
      </c>
      <c r="B259" s="202">
        <f t="shared" si="25"/>
        <v>0</v>
      </c>
      <c r="C259" s="202">
        <f t="shared" si="26"/>
        <v>0</v>
      </c>
      <c r="D259" s="202">
        <f t="shared" si="27"/>
        <v>0</v>
      </c>
      <c r="E259" s="202">
        <f t="shared" si="28"/>
        <v>0</v>
      </c>
      <c r="F259" s="201"/>
      <c r="G259" s="203">
        <v>196</v>
      </c>
      <c r="H259" s="202">
        <f t="shared" si="29"/>
        <v>0</v>
      </c>
      <c r="I259" s="202">
        <f t="shared" si="30"/>
        <v>0</v>
      </c>
      <c r="J259" s="202">
        <f t="shared" si="31"/>
        <v>0</v>
      </c>
      <c r="K259" s="202">
        <f t="shared" si="32"/>
        <v>0</v>
      </c>
      <c r="L259" s="201"/>
    </row>
    <row r="260" spans="1:12">
      <c r="A260" s="203">
        <v>197</v>
      </c>
      <c r="B260" s="202">
        <f t="shared" si="25"/>
        <v>0</v>
      </c>
      <c r="C260" s="202">
        <f t="shared" si="26"/>
        <v>0</v>
      </c>
      <c r="D260" s="202">
        <f t="shared" si="27"/>
        <v>0</v>
      </c>
      <c r="E260" s="202">
        <f t="shared" si="28"/>
        <v>0</v>
      </c>
      <c r="F260" s="201"/>
      <c r="G260" s="203">
        <v>197</v>
      </c>
      <c r="H260" s="202">
        <f t="shared" si="29"/>
        <v>0</v>
      </c>
      <c r="I260" s="202">
        <f t="shared" si="30"/>
        <v>0</v>
      </c>
      <c r="J260" s="202">
        <f t="shared" si="31"/>
        <v>0</v>
      </c>
      <c r="K260" s="202">
        <f t="shared" si="32"/>
        <v>0</v>
      </c>
      <c r="L260" s="201"/>
    </row>
    <row r="261" spans="1:12">
      <c r="A261" s="203">
        <v>198</v>
      </c>
      <c r="B261" s="202">
        <f t="shared" si="25"/>
        <v>0</v>
      </c>
      <c r="C261" s="202">
        <f t="shared" si="26"/>
        <v>0</v>
      </c>
      <c r="D261" s="202">
        <f t="shared" si="27"/>
        <v>0</v>
      </c>
      <c r="E261" s="202">
        <f t="shared" si="28"/>
        <v>0</v>
      </c>
      <c r="F261" s="201"/>
      <c r="G261" s="203">
        <v>198</v>
      </c>
      <c r="H261" s="202">
        <f t="shared" si="29"/>
        <v>0</v>
      </c>
      <c r="I261" s="202">
        <f t="shared" si="30"/>
        <v>0</v>
      </c>
      <c r="J261" s="202">
        <f t="shared" si="31"/>
        <v>0</v>
      </c>
      <c r="K261" s="202">
        <f t="shared" si="32"/>
        <v>0</v>
      </c>
      <c r="L261" s="201"/>
    </row>
    <row r="262" spans="1:12">
      <c r="A262" s="203">
        <v>199</v>
      </c>
      <c r="B262" s="202">
        <f t="shared" si="25"/>
        <v>0</v>
      </c>
      <c r="C262" s="202">
        <f t="shared" si="26"/>
        <v>0</v>
      </c>
      <c r="D262" s="202">
        <f t="shared" si="27"/>
        <v>0</v>
      </c>
      <c r="E262" s="202">
        <f t="shared" si="28"/>
        <v>0</v>
      </c>
      <c r="F262" s="201"/>
      <c r="G262" s="203">
        <v>199</v>
      </c>
      <c r="H262" s="202">
        <f t="shared" si="29"/>
        <v>0</v>
      </c>
      <c r="I262" s="202">
        <f t="shared" si="30"/>
        <v>0</v>
      </c>
      <c r="J262" s="202">
        <f t="shared" si="31"/>
        <v>0</v>
      </c>
      <c r="K262" s="202">
        <f t="shared" si="32"/>
        <v>0</v>
      </c>
      <c r="L262" s="201"/>
    </row>
    <row r="263" spans="1:12">
      <c r="A263" s="203">
        <v>200</v>
      </c>
      <c r="B263" s="202">
        <f t="shared" si="25"/>
        <v>0</v>
      </c>
      <c r="C263" s="202">
        <f t="shared" si="26"/>
        <v>0</v>
      </c>
      <c r="D263" s="202">
        <f t="shared" si="27"/>
        <v>0</v>
      </c>
      <c r="E263" s="202">
        <f t="shared" si="28"/>
        <v>0</v>
      </c>
      <c r="F263" s="201"/>
      <c r="G263" s="203">
        <v>200</v>
      </c>
      <c r="H263" s="202">
        <f t="shared" si="29"/>
        <v>0</v>
      </c>
      <c r="I263" s="202">
        <f t="shared" si="30"/>
        <v>0</v>
      </c>
      <c r="J263" s="202">
        <f t="shared" si="31"/>
        <v>0</v>
      </c>
      <c r="K263" s="202">
        <f t="shared" si="32"/>
        <v>0</v>
      </c>
      <c r="L263" s="201"/>
    </row>
    <row r="264" spans="1:12">
      <c r="A264" s="203">
        <v>201</v>
      </c>
      <c r="B264" s="202">
        <f t="shared" si="25"/>
        <v>0</v>
      </c>
      <c r="C264" s="202">
        <f t="shared" si="26"/>
        <v>0</v>
      </c>
      <c r="D264" s="202">
        <f t="shared" si="27"/>
        <v>0</v>
      </c>
      <c r="E264" s="202">
        <f t="shared" si="28"/>
        <v>0</v>
      </c>
      <c r="F264" s="201"/>
      <c r="G264" s="203">
        <v>201</v>
      </c>
      <c r="H264" s="202">
        <f t="shared" si="29"/>
        <v>0</v>
      </c>
      <c r="I264" s="202">
        <f t="shared" si="30"/>
        <v>0</v>
      </c>
      <c r="J264" s="202">
        <f t="shared" si="31"/>
        <v>0</v>
      </c>
      <c r="K264" s="202">
        <f t="shared" si="32"/>
        <v>0</v>
      </c>
      <c r="L264" s="201"/>
    </row>
    <row r="265" spans="1:12">
      <c r="A265" s="203">
        <v>202</v>
      </c>
      <c r="B265" s="202">
        <f t="shared" si="25"/>
        <v>0</v>
      </c>
      <c r="C265" s="202">
        <f t="shared" si="26"/>
        <v>0</v>
      </c>
      <c r="D265" s="202">
        <f t="shared" si="27"/>
        <v>0</v>
      </c>
      <c r="E265" s="202">
        <f t="shared" si="28"/>
        <v>0</v>
      </c>
      <c r="F265" s="201"/>
      <c r="G265" s="203">
        <v>202</v>
      </c>
      <c r="H265" s="202">
        <f t="shared" si="29"/>
        <v>0</v>
      </c>
      <c r="I265" s="202">
        <f t="shared" si="30"/>
        <v>0</v>
      </c>
      <c r="J265" s="202">
        <f t="shared" si="31"/>
        <v>0</v>
      </c>
      <c r="K265" s="202">
        <f t="shared" si="32"/>
        <v>0</v>
      </c>
      <c r="L265" s="201"/>
    </row>
    <row r="266" spans="1:12">
      <c r="A266" s="203">
        <v>203</v>
      </c>
      <c r="B266" s="202">
        <f t="shared" si="25"/>
        <v>0</v>
      </c>
      <c r="C266" s="202">
        <f t="shared" si="26"/>
        <v>0</v>
      </c>
      <c r="D266" s="202">
        <f t="shared" si="27"/>
        <v>0</v>
      </c>
      <c r="E266" s="202">
        <f t="shared" si="28"/>
        <v>0</v>
      </c>
      <c r="F266" s="201"/>
      <c r="G266" s="203">
        <v>203</v>
      </c>
      <c r="H266" s="202">
        <f t="shared" si="29"/>
        <v>0</v>
      </c>
      <c r="I266" s="202">
        <f t="shared" si="30"/>
        <v>0</v>
      </c>
      <c r="J266" s="202">
        <f t="shared" si="31"/>
        <v>0</v>
      </c>
      <c r="K266" s="202">
        <f t="shared" si="32"/>
        <v>0</v>
      </c>
      <c r="L266" s="201"/>
    </row>
    <row r="267" spans="1:12">
      <c r="A267" s="203">
        <v>204</v>
      </c>
      <c r="B267" s="202">
        <f t="shared" si="25"/>
        <v>0</v>
      </c>
      <c r="C267" s="202">
        <f t="shared" si="26"/>
        <v>0</v>
      </c>
      <c r="D267" s="202">
        <f t="shared" si="27"/>
        <v>0</v>
      </c>
      <c r="E267" s="202">
        <f t="shared" si="28"/>
        <v>0</v>
      </c>
      <c r="F267" s="201">
        <v>17</v>
      </c>
      <c r="G267" s="203">
        <v>204</v>
      </c>
      <c r="H267" s="202">
        <f t="shared" si="29"/>
        <v>0</v>
      </c>
      <c r="I267" s="202">
        <f t="shared" si="30"/>
        <v>0</v>
      </c>
      <c r="J267" s="202">
        <f t="shared" si="31"/>
        <v>0</v>
      </c>
      <c r="K267" s="202">
        <f t="shared" si="32"/>
        <v>0</v>
      </c>
      <c r="L267" s="201">
        <v>17</v>
      </c>
    </row>
    <row r="268" spans="1:12">
      <c r="A268" s="203">
        <v>205</v>
      </c>
      <c r="B268" s="202">
        <f t="shared" si="25"/>
        <v>0</v>
      </c>
      <c r="C268" s="202">
        <f t="shared" si="26"/>
        <v>0</v>
      </c>
      <c r="D268" s="202">
        <f t="shared" si="27"/>
        <v>0</v>
      </c>
      <c r="E268" s="202">
        <f t="shared" si="28"/>
        <v>0</v>
      </c>
      <c r="F268" s="201"/>
      <c r="G268" s="203">
        <v>205</v>
      </c>
      <c r="H268" s="202">
        <f t="shared" si="29"/>
        <v>0</v>
      </c>
      <c r="I268" s="202">
        <f t="shared" si="30"/>
        <v>0</v>
      </c>
      <c r="J268" s="202">
        <f t="shared" si="31"/>
        <v>0</v>
      </c>
      <c r="K268" s="202">
        <f t="shared" si="32"/>
        <v>0</v>
      </c>
      <c r="L268" s="201"/>
    </row>
    <row r="269" spans="1:12">
      <c r="A269" s="203">
        <v>206</v>
      </c>
      <c r="B269" s="202">
        <f t="shared" si="25"/>
        <v>0</v>
      </c>
      <c r="C269" s="202">
        <f t="shared" si="26"/>
        <v>0</v>
      </c>
      <c r="D269" s="202">
        <f t="shared" si="27"/>
        <v>0</v>
      </c>
      <c r="E269" s="202">
        <f t="shared" si="28"/>
        <v>0</v>
      </c>
      <c r="F269" s="201"/>
      <c r="G269" s="203">
        <v>206</v>
      </c>
      <c r="H269" s="202">
        <f t="shared" si="29"/>
        <v>0</v>
      </c>
      <c r="I269" s="202">
        <f t="shared" si="30"/>
        <v>0</v>
      </c>
      <c r="J269" s="202">
        <f t="shared" si="31"/>
        <v>0</v>
      </c>
      <c r="K269" s="202">
        <f t="shared" si="32"/>
        <v>0</v>
      </c>
      <c r="L269" s="201"/>
    </row>
    <row r="270" spans="1:12">
      <c r="A270" s="203">
        <v>207</v>
      </c>
      <c r="B270" s="202">
        <f t="shared" si="25"/>
        <v>0</v>
      </c>
      <c r="C270" s="202">
        <f t="shared" si="26"/>
        <v>0</v>
      </c>
      <c r="D270" s="202">
        <f t="shared" si="27"/>
        <v>0</v>
      </c>
      <c r="E270" s="202">
        <f t="shared" si="28"/>
        <v>0</v>
      </c>
      <c r="F270" s="201"/>
      <c r="G270" s="203">
        <v>207</v>
      </c>
      <c r="H270" s="202">
        <f t="shared" si="29"/>
        <v>0</v>
      </c>
      <c r="I270" s="202">
        <f t="shared" si="30"/>
        <v>0</v>
      </c>
      <c r="J270" s="202">
        <f t="shared" si="31"/>
        <v>0</v>
      </c>
      <c r="K270" s="202">
        <f t="shared" si="32"/>
        <v>0</v>
      </c>
      <c r="L270" s="201"/>
    </row>
    <row r="271" spans="1:12">
      <c r="A271" s="203">
        <v>208</v>
      </c>
      <c r="B271" s="202">
        <f t="shared" si="25"/>
        <v>0</v>
      </c>
      <c r="C271" s="202">
        <f t="shared" si="26"/>
        <v>0</v>
      </c>
      <c r="D271" s="202">
        <f t="shared" si="27"/>
        <v>0</v>
      </c>
      <c r="E271" s="202">
        <f t="shared" si="28"/>
        <v>0</v>
      </c>
      <c r="F271" s="201"/>
      <c r="G271" s="203">
        <v>208</v>
      </c>
      <c r="H271" s="202">
        <f t="shared" si="29"/>
        <v>0</v>
      </c>
      <c r="I271" s="202">
        <f t="shared" si="30"/>
        <v>0</v>
      </c>
      <c r="J271" s="202">
        <f t="shared" si="31"/>
        <v>0</v>
      </c>
      <c r="K271" s="202">
        <f t="shared" si="32"/>
        <v>0</v>
      </c>
      <c r="L271" s="201"/>
    </row>
    <row r="272" spans="1:12">
      <c r="A272" s="203">
        <v>209</v>
      </c>
      <c r="B272" s="202">
        <f t="shared" si="25"/>
        <v>0</v>
      </c>
      <c r="C272" s="202">
        <f t="shared" si="26"/>
        <v>0</v>
      </c>
      <c r="D272" s="202">
        <f t="shared" si="27"/>
        <v>0</v>
      </c>
      <c r="E272" s="202">
        <f t="shared" si="28"/>
        <v>0</v>
      </c>
      <c r="F272" s="201"/>
      <c r="G272" s="203">
        <v>209</v>
      </c>
      <c r="H272" s="202">
        <f t="shared" si="29"/>
        <v>0</v>
      </c>
      <c r="I272" s="202">
        <f t="shared" si="30"/>
        <v>0</v>
      </c>
      <c r="J272" s="202">
        <f t="shared" si="31"/>
        <v>0</v>
      </c>
      <c r="K272" s="202">
        <f t="shared" si="32"/>
        <v>0</v>
      </c>
      <c r="L272" s="201"/>
    </row>
    <row r="273" spans="1:12">
      <c r="A273" s="203">
        <v>210</v>
      </c>
      <c r="B273" s="202">
        <f t="shared" si="25"/>
        <v>0</v>
      </c>
      <c r="C273" s="202">
        <f t="shared" si="26"/>
        <v>0</v>
      </c>
      <c r="D273" s="202">
        <f t="shared" si="27"/>
        <v>0</v>
      </c>
      <c r="E273" s="202">
        <f t="shared" si="28"/>
        <v>0</v>
      </c>
      <c r="F273" s="201"/>
      <c r="G273" s="203">
        <v>210</v>
      </c>
      <c r="H273" s="202">
        <f t="shared" si="29"/>
        <v>0</v>
      </c>
      <c r="I273" s="202">
        <f t="shared" si="30"/>
        <v>0</v>
      </c>
      <c r="J273" s="202">
        <f t="shared" si="31"/>
        <v>0</v>
      </c>
      <c r="K273" s="202">
        <f t="shared" si="32"/>
        <v>0</v>
      </c>
      <c r="L273" s="201"/>
    </row>
    <row r="274" spans="1:12">
      <c r="A274" s="203">
        <v>211</v>
      </c>
      <c r="B274" s="202">
        <f t="shared" si="25"/>
        <v>0</v>
      </c>
      <c r="C274" s="202">
        <f t="shared" si="26"/>
        <v>0</v>
      </c>
      <c r="D274" s="202">
        <f t="shared" si="27"/>
        <v>0</v>
      </c>
      <c r="E274" s="202">
        <f t="shared" si="28"/>
        <v>0</v>
      </c>
      <c r="F274" s="201"/>
      <c r="G274" s="203">
        <v>211</v>
      </c>
      <c r="H274" s="202">
        <f t="shared" si="29"/>
        <v>0</v>
      </c>
      <c r="I274" s="202">
        <f t="shared" si="30"/>
        <v>0</v>
      </c>
      <c r="J274" s="202">
        <f t="shared" si="31"/>
        <v>0</v>
      </c>
      <c r="K274" s="202">
        <f t="shared" si="32"/>
        <v>0</v>
      </c>
      <c r="L274" s="201"/>
    </row>
    <row r="275" spans="1:12">
      <c r="A275" s="203">
        <v>212</v>
      </c>
      <c r="B275" s="202">
        <f t="shared" si="25"/>
        <v>0</v>
      </c>
      <c r="C275" s="202">
        <f t="shared" si="26"/>
        <v>0</v>
      </c>
      <c r="D275" s="202">
        <f t="shared" si="27"/>
        <v>0</v>
      </c>
      <c r="E275" s="202">
        <f t="shared" si="28"/>
        <v>0</v>
      </c>
      <c r="F275" s="201"/>
      <c r="G275" s="203">
        <v>212</v>
      </c>
      <c r="H275" s="202">
        <f t="shared" si="29"/>
        <v>0</v>
      </c>
      <c r="I275" s="202">
        <f t="shared" si="30"/>
        <v>0</v>
      </c>
      <c r="J275" s="202">
        <f t="shared" si="31"/>
        <v>0</v>
      </c>
      <c r="K275" s="202">
        <f t="shared" si="32"/>
        <v>0</v>
      </c>
      <c r="L275" s="201"/>
    </row>
    <row r="276" spans="1:12">
      <c r="A276" s="203">
        <v>213</v>
      </c>
      <c r="B276" s="202">
        <f t="shared" si="25"/>
        <v>0</v>
      </c>
      <c r="C276" s="202">
        <f t="shared" si="26"/>
        <v>0</v>
      </c>
      <c r="D276" s="202">
        <f t="shared" si="27"/>
        <v>0</v>
      </c>
      <c r="E276" s="202">
        <f t="shared" si="28"/>
        <v>0</v>
      </c>
      <c r="F276" s="201"/>
      <c r="G276" s="203">
        <v>213</v>
      </c>
      <c r="H276" s="202">
        <f t="shared" si="29"/>
        <v>0</v>
      </c>
      <c r="I276" s="202">
        <f t="shared" si="30"/>
        <v>0</v>
      </c>
      <c r="J276" s="202">
        <f t="shared" si="31"/>
        <v>0</v>
      </c>
      <c r="K276" s="202">
        <f t="shared" si="32"/>
        <v>0</v>
      </c>
      <c r="L276" s="201"/>
    </row>
    <row r="277" spans="1:12">
      <c r="A277" s="203">
        <v>214</v>
      </c>
      <c r="B277" s="202">
        <f t="shared" si="25"/>
        <v>0</v>
      </c>
      <c r="C277" s="202">
        <f t="shared" si="26"/>
        <v>0</v>
      </c>
      <c r="D277" s="202">
        <f t="shared" si="27"/>
        <v>0</v>
      </c>
      <c r="E277" s="202">
        <f t="shared" si="28"/>
        <v>0</v>
      </c>
      <c r="F277" s="201"/>
      <c r="G277" s="203">
        <v>214</v>
      </c>
      <c r="H277" s="202">
        <f t="shared" si="29"/>
        <v>0</v>
      </c>
      <c r="I277" s="202">
        <f t="shared" si="30"/>
        <v>0</v>
      </c>
      <c r="J277" s="202">
        <f t="shared" si="31"/>
        <v>0</v>
      </c>
      <c r="K277" s="202">
        <f t="shared" si="32"/>
        <v>0</v>
      </c>
      <c r="L277" s="201"/>
    </row>
    <row r="278" spans="1:12">
      <c r="A278" s="203">
        <v>215</v>
      </c>
      <c r="B278" s="202">
        <f t="shared" si="25"/>
        <v>0</v>
      </c>
      <c r="C278" s="202">
        <f t="shared" si="26"/>
        <v>0</v>
      </c>
      <c r="D278" s="202">
        <f t="shared" si="27"/>
        <v>0</v>
      </c>
      <c r="E278" s="202">
        <f t="shared" si="28"/>
        <v>0</v>
      </c>
      <c r="F278" s="201"/>
      <c r="G278" s="203">
        <v>215</v>
      </c>
      <c r="H278" s="202">
        <f t="shared" si="29"/>
        <v>0</v>
      </c>
      <c r="I278" s="202">
        <f t="shared" si="30"/>
        <v>0</v>
      </c>
      <c r="J278" s="202">
        <f t="shared" si="31"/>
        <v>0</v>
      </c>
      <c r="K278" s="202">
        <f t="shared" si="32"/>
        <v>0</v>
      </c>
      <c r="L278" s="201"/>
    </row>
    <row r="279" spans="1:12">
      <c r="A279" s="203">
        <v>216</v>
      </c>
      <c r="B279" s="202">
        <f t="shared" si="25"/>
        <v>0</v>
      </c>
      <c r="C279" s="202">
        <f t="shared" si="26"/>
        <v>0</v>
      </c>
      <c r="D279" s="202">
        <f t="shared" si="27"/>
        <v>0</v>
      </c>
      <c r="E279" s="202">
        <f t="shared" si="28"/>
        <v>0</v>
      </c>
      <c r="F279" s="201">
        <v>18</v>
      </c>
      <c r="G279" s="203">
        <v>216</v>
      </c>
      <c r="H279" s="202">
        <f t="shared" si="29"/>
        <v>0</v>
      </c>
      <c r="I279" s="202">
        <f t="shared" si="30"/>
        <v>0</v>
      </c>
      <c r="J279" s="202">
        <f t="shared" si="31"/>
        <v>0</v>
      </c>
      <c r="K279" s="202">
        <f t="shared" si="32"/>
        <v>0</v>
      </c>
      <c r="L279" s="201">
        <v>18</v>
      </c>
    </row>
    <row r="280" spans="1:12">
      <c r="A280" s="203">
        <v>217</v>
      </c>
      <c r="B280" s="202">
        <f t="shared" si="25"/>
        <v>0</v>
      </c>
      <c r="C280" s="202">
        <f t="shared" si="26"/>
        <v>0</v>
      </c>
      <c r="D280" s="202">
        <f t="shared" si="27"/>
        <v>0</v>
      </c>
      <c r="E280" s="202">
        <f t="shared" si="28"/>
        <v>0</v>
      </c>
      <c r="F280" s="201"/>
      <c r="G280" s="203">
        <v>217</v>
      </c>
      <c r="H280" s="202">
        <f t="shared" si="29"/>
        <v>0</v>
      </c>
      <c r="I280" s="202">
        <f t="shared" si="30"/>
        <v>0</v>
      </c>
      <c r="J280" s="202">
        <f t="shared" si="31"/>
        <v>0</v>
      </c>
      <c r="K280" s="202">
        <f t="shared" si="32"/>
        <v>0</v>
      </c>
      <c r="L280" s="201"/>
    </row>
    <row r="281" spans="1:12">
      <c r="A281" s="203">
        <v>218</v>
      </c>
      <c r="B281" s="202">
        <f t="shared" si="25"/>
        <v>0</v>
      </c>
      <c r="C281" s="202">
        <f t="shared" si="26"/>
        <v>0</v>
      </c>
      <c r="D281" s="202">
        <f t="shared" si="27"/>
        <v>0</v>
      </c>
      <c r="E281" s="202">
        <f t="shared" si="28"/>
        <v>0</v>
      </c>
      <c r="F281" s="201"/>
      <c r="G281" s="203">
        <v>218</v>
      </c>
      <c r="H281" s="202">
        <f t="shared" si="29"/>
        <v>0</v>
      </c>
      <c r="I281" s="202">
        <f t="shared" si="30"/>
        <v>0</v>
      </c>
      <c r="J281" s="202">
        <f t="shared" si="31"/>
        <v>0</v>
      </c>
      <c r="K281" s="202">
        <f t="shared" si="32"/>
        <v>0</v>
      </c>
      <c r="L281" s="201"/>
    </row>
    <row r="282" spans="1:12">
      <c r="A282" s="203">
        <v>219</v>
      </c>
      <c r="B282" s="202">
        <f t="shared" si="25"/>
        <v>0</v>
      </c>
      <c r="C282" s="202">
        <f t="shared" si="26"/>
        <v>0</v>
      </c>
      <c r="D282" s="202">
        <f t="shared" si="27"/>
        <v>0</v>
      </c>
      <c r="E282" s="202">
        <f t="shared" si="28"/>
        <v>0</v>
      </c>
      <c r="F282" s="201"/>
      <c r="G282" s="203">
        <v>219</v>
      </c>
      <c r="H282" s="202">
        <f t="shared" si="29"/>
        <v>0</v>
      </c>
      <c r="I282" s="202">
        <f t="shared" si="30"/>
        <v>0</v>
      </c>
      <c r="J282" s="202">
        <f t="shared" si="31"/>
        <v>0</v>
      </c>
      <c r="K282" s="202">
        <f t="shared" si="32"/>
        <v>0</v>
      </c>
      <c r="L282" s="201"/>
    </row>
    <row r="283" spans="1:12">
      <c r="A283" s="203">
        <v>220</v>
      </c>
      <c r="B283" s="202">
        <f t="shared" si="25"/>
        <v>0</v>
      </c>
      <c r="C283" s="202">
        <f t="shared" si="26"/>
        <v>0</v>
      </c>
      <c r="D283" s="202">
        <f t="shared" si="27"/>
        <v>0</v>
      </c>
      <c r="E283" s="202">
        <f t="shared" si="28"/>
        <v>0</v>
      </c>
      <c r="F283" s="201"/>
      <c r="G283" s="203">
        <v>220</v>
      </c>
      <c r="H283" s="202">
        <f t="shared" si="29"/>
        <v>0</v>
      </c>
      <c r="I283" s="202">
        <f t="shared" si="30"/>
        <v>0</v>
      </c>
      <c r="J283" s="202">
        <f t="shared" si="31"/>
        <v>0</v>
      </c>
      <c r="K283" s="202">
        <f t="shared" si="32"/>
        <v>0</v>
      </c>
      <c r="L283" s="201"/>
    </row>
    <row r="284" spans="1:12">
      <c r="A284" s="203">
        <v>221</v>
      </c>
      <c r="B284" s="202">
        <f t="shared" si="25"/>
        <v>0</v>
      </c>
      <c r="C284" s="202">
        <f t="shared" si="26"/>
        <v>0</v>
      </c>
      <c r="D284" s="202">
        <f t="shared" si="27"/>
        <v>0</v>
      </c>
      <c r="E284" s="202">
        <f t="shared" si="28"/>
        <v>0</v>
      </c>
      <c r="F284" s="201"/>
      <c r="G284" s="203">
        <v>221</v>
      </c>
      <c r="H284" s="202">
        <f t="shared" si="29"/>
        <v>0</v>
      </c>
      <c r="I284" s="202">
        <f t="shared" si="30"/>
        <v>0</v>
      </c>
      <c r="J284" s="202">
        <f t="shared" si="31"/>
        <v>0</v>
      </c>
      <c r="K284" s="202">
        <f t="shared" si="32"/>
        <v>0</v>
      </c>
      <c r="L284" s="201"/>
    </row>
    <row r="285" spans="1:12">
      <c r="A285" s="203">
        <v>222</v>
      </c>
      <c r="B285" s="202">
        <f t="shared" si="25"/>
        <v>0</v>
      </c>
      <c r="C285" s="202">
        <f t="shared" si="26"/>
        <v>0</v>
      </c>
      <c r="D285" s="202">
        <f t="shared" si="27"/>
        <v>0</v>
      </c>
      <c r="E285" s="202">
        <f t="shared" si="28"/>
        <v>0</v>
      </c>
      <c r="F285" s="201"/>
      <c r="G285" s="203">
        <v>222</v>
      </c>
      <c r="H285" s="202">
        <f t="shared" si="29"/>
        <v>0</v>
      </c>
      <c r="I285" s="202">
        <f t="shared" si="30"/>
        <v>0</v>
      </c>
      <c r="J285" s="202">
        <f t="shared" si="31"/>
        <v>0</v>
      </c>
      <c r="K285" s="202">
        <f t="shared" si="32"/>
        <v>0</v>
      </c>
      <c r="L285" s="201"/>
    </row>
    <row r="286" spans="1:12">
      <c r="A286" s="203">
        <v>223</v>
      </c>
      <c r="B286" s="202">
        <f t="shared" si="25"/>
        <v>0</v>
      </c>
      <c r="C286" s="202">
        <f t="shared" si="26"/>
        <v>0</v>
      </c>
      <c r="D286" s="202">
        <f t="shared" si="27"/>
        <v>0</v>
      </c>
      <c r="E286" s="202">
        <f t="shared" si="28"/>
        <v>0</v>
      </c>
      <c r="F286" s="201"/>
      <c r="G286" s="203">
        <v>223</v>
      </c>
      <c r="H286" s="202">
        <f t="shared" si="29"/>
        <v>0</v>
      </c>
      <c r="I286" s="202">
        <f t="shared" si="30"/>
        <v>0</v>
      </c>
      <c r="J286" s="202">
        <f t="shared" si="31"/>
        <v>0</v>
      </c>
      <c r="K286" s="202">
        <f t="shared" si="32"/>
        <v>0</v>
      </c>
      <c r="L286" s="201"/>
    </row>
    <row r="287" spans="1:12">
      <c r="A287" s="203">
        <v>224</v>
      </c>
      <c r="B287" s="202">
        <f t="shared" si="25"/>
        <v>0</v>
      </c>
      <c r="C287" s="202">
        <f t="shared" si="26"/>
        <v>0</v>
      </c>
      <c r="D287" s="202">
        <f t="shared" si="27"/>
        <v>0</v>
      </c>
      <c r="E287" s="202">
        <f t="shared" si="28"/>
        <v>0</v>
      </c>
      <c r="F287" s="201"/>
      <c r="G287" s="203">
        <v>224</v>
      </c>
      <c r="H287" s="202">
        <f t="shared" si="29"/>
        <v>0</v>
      </c>
      <c r="I287" s="202">
        <f t="shared" si="30"/>
        <v>0</v>
      </c>
      <c r="J287" s="202">
        <f t="shared" si="31"/>
        <v>0</v>
      </c>
      <c r="K287" s="202">
        <f t="shared" si="32"/>
        <v>0</v>
      </c>
      <c r="L287" s="201"/>
    </row>
    <row r="288" spans="1:12">
      <c r="A288" s="203">
        <v>225</v>
      </c>
      <c r="B288" s="202">
        <f t="shared" si="25"/>
        <v>0</v>
      </c>
      <c r="C288" s="202">
        <f t="shared" si="26"/>
        <v>0</v>
      </c>
      <c r="D288" s="202">
        <f t="shared" si="27"/>
        <v>0</v>
      </c>
      <c r="E288" s="202">
        <f t="shared" si="28"/>
        <v>0</v>
      </c>
      <c r="F288" s="201"/>
      <c r="G288" s="203">
        <v>225</v>
      </c>
      <c r="H288" s="202">
        <f t="shared" si="29"/>
        <v>0</v>
      </c>
      <c r="I288" s="202">
        <f t="shared" si="30"/>
        <v>0</v>
      </c>
      <c r="J288" s="202">
        <f t="shared" si="31"/>
        <v>0</v>
      </c>
      <c r="K288" s="202">
        <f t="shared" si="32"/>
        <v>0</v>
      </c>
      <c r="L288" s="201"/>
    </row>
    <row r="289" spans="1:12">
      <c r="A289" s="203">
        <v>226</v>
      </c>
      <c r="B289" s="202">
        <f t="shared" si="25"/>
        <v>0</v>
      </c>
      <c r="C289" s="202">
        <f t="shared" si="26"/>
        <v>0</v>
      </c>
      <c r="D289" s="202">
        <f t="shared" si="27"/>
        <v>0</v>
      </c>
      <c r="E289" s="202">
        <f t="shared" si="28"/>
        <v>0</v>
      </c>
      <c r="F289" s="201"/>
      <c r="G289" s="203">
        <v>226</v>
      </c>
      <c r="H289" s="202">
        <f t="shared" si="29"/>
        <v>0</v>
      </c>
      <c r="I289" s="202">
        <f t="shared" si="30"/>
        <v>0</v>
      </c>
      <c r="J289" s="202">
        <f t="shared" si="31"/>
        <v>0</v>
      </c>
      <c r="K289" s="202">
        <f t="shared" si="32"/>
        <v>0</v>
      </c>
      <c r="L289" s="201"/>
    </row>
    <row r="290" spans="1:12">
      <c r="A290" s="203">
        <v>227</v>
      </c>
      <c r="B290" s="202">
        <f t="shared" si="25"/>
        <v>0</v>
      </c>
      <c r="C290" s="202">
        <f t="shared" si="26"/>
        <v>0</v>
      </c>
      <c r="D290" s="202">
        <f t="shared" si="27"/>
        <v>0</v>
      </c>
      <c r="E290" s="202">
        <f t="shared" si="28"/>
        <v>0</v>
      </c>
      <c r="F290" s="201"/>
      <c r="G290" s="203">
        <v>227</v>
      </c>
      <c r="H290" s="202">
        <f t="shared" si="29"/>
        <v>0</v>
      </c>
      <c r="I290" s="202">
        <f t="shared" si="30"/>
        <v>0</v>
      </c>
      <c r="J290" s="202">
        <f t="shared" si="31"/>
        <v>0</v>
      </c>
      <c r="K290" s="202">
        <f t="shared" si="32"/>
        <v>0</v>
      </c>
      <c r="L290" s="201"/>
    </row>
    <row r="291" spans="1:12">
      <c r="A291" s="203">
        <v>228</v>
      </c>
      <c r="B291" s="202">
        <f t="shared" si="25"/>
        <v>0</v>
      </c>
      <c r="C291" s="202">
        <f t="shared" si="26"/>
        <v>0</v>
      </c>
      <c r="D291" s="202">
        <f t="shared" si="27"/>
        <v>0</v>
      </c>
      <c r="E291" s="202">
        <f t="shared" si="28"/>
        <v>0</v>
      </c>
      <c r="F291" s="201">
        <v>19</v>
      </c>
      <c r="G291" s="203">
        <v>228</v>
      </c>
      <c r="H291" s="202">
        <f t="shared" si="29"/>
        <v>0</v>
      </c>
      <c r="I291" s="202">
        <f t="shared" si="30"/>
        <v>0</v>
      </c>
      <c r="J291" s="202">
        <f t="shared" si="31"/>
        <v>0</v>
      </c>
      <c r="K291" s="202">
        <f t="shared" si="32"/>
        <v>0</v>
      </c>
      <c r="L291" s="201">
        <v>19</v>
      </c>
    </row>
    <row r="292" spans="1:12">
      <c r="A292" s="203">
        <v>229</v>
      </c>
      <c r="B292" s="202">
        <f t="shared" si="25"/>
        <v>0</v>
      </c>
      <c r="C292" s="202">
        <f t="shared" si="26"/>
        <v>0</v>
      </c>
      <c r="D292" s="202">
        <f t="shared" si="27"/>
        <v>0</v>
      </c>
      <c r="E292" s="202">
        <f t="shared" si="28"/>
        <v>0</v>
      </c>
      <c r="F292" s="201"/>
      <c r="G292" s="203">
        <v>229</v>
      </c>
      <c r="H292" s="202">
        <f t="shared" si="29"/>
        <v>0</v>
      </c>
      <c r="I292" s="202">
        <f t="shared" si="30"/>
        <v>0</v>
      </c>
      <c r="J292" s="202">
        <f t="shared" si="31"/>
        <v>0</v>
      </c>
      <c r="K292" s="202">
        <f t="shared" si="32"/>
        <v>0</v>
      </c>
      <c r="L292" s="201"/>
    </row>
    <row r="293" spans="1:12">
      <c r="A293" s="203">
        <v>230</v>
      </c>
      <c r="B293" s="202">
        <f t="shared" si="25"/>
        <v>0</v>
      </c>
      <c r="C293" s="202">
        <f t="shared" si="26"/>
        <v>0</v>
      </c>
      <c r="D293" s="202">
        <f t="shared" si="27"/>
        <v>0</v>
      </c>
      <c r="E293" s="202">
        <f t="shared" si="28"/>
        <v>0</v>
      </c>
      <c r="F293" s="201"/>
      <c r="G293" s="203">
        <v>230</v>
      </c>
      <c r="H293" s="202">
        <f t="shared" si="29"/>
        <v>0</v>
      </c>
      <c r="I293" s="202">
        <f t="shared" si="30"/>
        <v>0</v>
      </c>
      <c r="J293" s="202">
        <f t="shared" si="31"/>
        <v>0</v>
      </c>
      <c r="K293" s="202">
        <f t="shared" si="32"/>
        <v>0</v>
      </c>
      <c r="L293" s="201"/>
    </row>
    <row r="294" spans="1:12">
      <c r="A294" s="203">
        <v>231</v>
      </c>
      <c r="B294" s="202">
        <f t="shared" si="25"/>
        <v>0</v>
      </c>
      <c r="C294" s="202">
        <f t="shared" si="26"/>
        <v>0</v>
      </c>
      <c r="D294" s="202">
        <f t="shared" si="27"/>
        <v>0</v>
      </c>
      <c r="E294" s="202">
        <f t="shared" si="28"/>
        <v>0</v>
      </c>
      <c r="F294" s="201"/>
      <c r="G294" s="203">
        <v>231</v>
      </c>
      <c r="H294" s="202">
        <f t="shared" si="29"/>
        <v>0</v>
      </c>
      <c r="I294" s="202">
        <f t="shared" si="30"/>
        <v>0</v>
      </c>
      <c r="J294" s="202">
        <f t="shared" si="31"/>
        <v>0</v>
      </c>
      <c r="K294" s="202">
        <f t="shared" si="32"/>
        <v>0</v>
      </c>
      <c r="L294" s="201"/>
    </row>
    <row r="295" spans="1:12">
      <c r="A295" s="203">
        <v>232</v>
      </c>
      <c r="B295" s="202">
        <f t="shared" si="25"/>
        <v>0</v>
      </c>
      <c r="C295" s="202">
        <f t="shared" si="26"/>
        <v>0</v>
      </c>
      <c r="D295" s="202">
        <f t="shared" si="27"/>
        <v>0</v>
      </c>
      <c r="E295" s="202">
        <f t="shared" si="28"/>
        <v>0</v>
      </c>
      <c r="F295" s="201"/>
      <c r="G295" s="203">
        <v>232</v>
      </c>
      <c r="H295" s="202">
        <f t="shared" si="29"/>
        <v>0</v>
      </c>
      <c r="I295" s="202">
        <f t="shared" si="30"/>
        <v>0</v>
      </c>
      <c r="J295" s="202">
        <f t="shared" si="31"/>
        <v>0</v>
      </c>
      <c r="K295" s="202">
        <f t="shared" si="32"/>
        <v>0</v>
      </c>
      <c r="L295" s="201"/>
    </row>
    <row r="296" spans="1:12">
      <c r="A296" s="203">
        <v>233</v>
      </c>
      <c r="B296" s="202">
        <f t="shared" si="25"/>
        <v>0</v>
      </c>
      <c r="C296" s="202">
        <f t="shared" si="26"/>
        <v>0</v>
      </c>
      <c r="D296" s="202">
        <f t="shared" si="27"/>
        <v>0</v>
      </c>
      <c r="E296" s="202">
        <f t="shared" si="28"/>
        <v>0</v>
      </c>
      <c r="F296" s="201"/>
      <c r="G296" s="203">
        <v>233</v>
      </c>
      <c r="H296" s="202">
        <f t="shared" si="29"/>
        <v>0</v>
      </c>
      <c r="I296" s="202">
        <f t="shared" si="30"/>
        <v>0</v>
      </c>
      <c r="J296" s="202">
        <f t="shared" si="31"/>
        <v>0</v>
      </c>
      <c r="K296" s="202">
        <f t="shared" si="32"/>
        <v>0</v>
      </c>
      <c r="L296" s="201"/>
    </row>
    <row r="297" spans="1:12">
      <c r="A297" s="203">
        <v>234</v>
      </c>
      <c r="B297" s="202">
        <f t="shared" si="25"/>
        <v>0</v>
      </c>
      <c r="C297" s="202">
        <f t="shared" si="26"/>
        <v>0</v>
      </c>
      <c r="D297" s="202">
        <f t="shared" si="27"/>
        <v>0</v>
      </c>
      <c r="E297" s="202">
        <f t="shared" si="28"/>
        <v>0</v>
      </c>
      <c r="F297" s="201"/>
      <c r="G297" s="203">
        <v>234</v>
      </c>
      <c r="H297" s="202">
        <f t="shared" si="29"/>
        <v>0</v>
      </c>
      <c r="I297" s="202">
        <f t="shared" si="30"/>
        <v>0</v>
      </c>
      <c r="J297" s="202">
        <f t="shared" si="31"/>
        <v>0</v>
      </c>
      <c r="K297" s="202">
        <f t="shared" si="32"/>
        <v>0</v>
      </c>
      <c r="L297" s="201"/>
    </row>
    <row r="298" spans="1:12">
      <c r="A298" s="203">
        <v>235</v>
      </c>
      <c r="B298" s="202">
        <f t="shared" si="25"/>
        <v>0</v>
      </c>
      <c r="C298" s="202">
        <f t="shared" si="26"/>
        <v>0</v>
      </c>
      <c r="D298" s="202">
        <f t="shared" si="27"/>
        <v>0</v>
      </c>
      <c r="E298" s="202">
        <f t="shared" si="28"/>
        <v>0</v>
      </c>
      <c r="F298" s="201"/>
      <c r="G298" s="203">
        <v>235</v>
      </c>
      <c r="H298" s="202">
        <f t="shared" si="29"/>
        <v>0</v>
      </c>
      <c r="I298" s="202">
        <f t="shared" si="30"/>
        <v>0</v>
      </c>
      <c r="J298" s="202">
        <f t="shared" si="31"/>
        <v>0</v>
      </c>
      <c r="K298" s="202">
        <f t="shared" si="32"/>
        <v>0</v>
      </c>
      <c r="L298" s="201"/>
    </row>
    <row r="299" spans="1:12">
      <c r="A299" s="203">
        <v>236</v>
      </c>
      <c r="B299" s="202">
        <f t="shared" si="25"/>
        <v>0</v>
      </c>
      <c r="C299" s="202">
        <f t="shared" si="26"/>
        <v>0</v>
      </c>
      <c r="D299" s="202">
        <f t="shared" si="27"/>
        <v>0</v>
      </c>
      <c r="E299" s="202">
        <f t="shared" si="28"/>
        <v>0</v>
      </c>
      <c r="F299" s="201"/>
      <c r="G299" s="203">
        <v>236</v>
      </c>
      <c r="H299" s="202">
        <f t="shared" si="29"/>
        <v>0</v>
      </c>
      <c r="I299" s="202">
        <f t="shared" si="30"/>
        <v>0</v>
      </c>
      <c r="J299" s="202">
        <f t="shared" si="31"/>
        <v>0</v>
      </c>
      <c r="K299" s="202">
        <f t="shared" si="32"/>
        <v>0</v>
      </c>
      <c r="L299" s="201"/>
    </row>
    <row r="300" spans="1:12">
      <c r="A300" s="203">
        <v>237</v>
      </c>
      <c r="B300" s="202">
        <f t="shared" si="25"/>
        <v>0</v>
      </c>
      <c r="C300" s="202">
        <f t="shared" si="26"/>
        <v>0</v>
      </c>
      <c r="D300" s="202">
        <f t="shared" si="27"/>
        <v>0</v>
      </c>
      <c r="E300" s="202">
        <f t="shared" si="28"/>
        <v>0</v>
      </c>
      <c r="F300" s="201"/>
      <c r="G300" s="203">
        <v>237</v>
      </c>
      <c r="H300" s="202">
        <f t="shared" si="29"/>
        <v>0</v>
      </c>
      <c r="I300" s="202">
        <f t="shared" si="30"/>
        <v>0</v>
      </c>
      <c r="J300" s="202">
        <f t="shared" si="31"/>
        <v>0</v>
      </c>
      <c r="K300" s="202">
        <f t="shared" si="32"/>
        <v>0</v>
      </c>
      <c r="L300" s="201"/>
    </row>
    <row r="301" spans="1:12">
      <c r="A301" s="203">
        <v>238</v>
      </c>
      <c r="B301" s="202">
        <f t="shared" si="25"/>
        <v>0</v>
      </c>
      <c r="C301" s="202">
        <f t="shared" si="26"/>
        <v>0</v>
      </c>
      <c r="D301" s="202">
        <f t="shared" si="27"/>
        <v>0</v>
      </c>
      <c r="E301" s="202">
        <f t="shared" si="28"/>
        <v>0</v>
      </c>
      <c r="F301" s="201"/>
      <c r="G301" s="203">
        <v>238</v>
      </c>
      <c r="H301" s="202">
        <f t="shared" si="29"/>
        <v>0</v>
      </c>
      <c r="I301" s="202">
        <f t="shared" si="30"/>
        <v>0</v>
      </c>
      <c r="J301" s="202">
        <f t="shared" si="31"/>
        <v>0</v>
      </c>
      <c r="K301" s="202">
        <f t="shared" si="32"/>
        <v>0</v>
      </c>
      <c r="L301" s="201"/>
    </row>
    <row r="302" spans="1:12">
      <c r="A302" s="203">
        <v>239</v>
      </c>
      <c r="B302" s="202">
        <f t="shared" si="25"/>
        <v>0</v>
      </c>
      <c r="C302" s="202">
        <f t="shared" si="26"/>
        <v>0</v>
      </c>
      <c r="D302" s="202">
        <f t="shared" si="27"/>
        <v>0</v>
      </c>
      <c r="E302" s="202">
        <f t="shared" si="28"/>
        <v>0</v>
      </c>
      <c r="F302" s="201"/>
      <c r="G302" s="203">
        <v>239</v>
      </c>
      <c r="H302" s="202">
        <f t="shared" si="29"/>
        <v>0</v>
      </c>
      <c r="I302" s="202">
        <f t="shared" si="30"/>
        <v>0</v>
      </c>
      <c r="J302" s="202">
        <f t="shared" si="31"/>
        <v>0</v>
      </c>
      <c r="K302" s="202">
        <f t="shared" si="32"/>
        <v>0</v>
      </c>
      <c r="L302" s="201"/>
    </row>
    <row r="303" spans="1:12">
      <c r="A303" s="203">
        <v>240</v>
      </c>
      <c r="B303" s="202">
        <f t="shared" si="25"/>
        <v>0</v>
      </c>
      <c r="C303" s="202">
        <f t="shared" si="26"/>
        <v>0</v>
      </c>
      <c r="D303" s="202">
        <f t="shared" si="27"/>
        <v>0</v>
      </c>
      <c r="E303" s="202">
        <f t="shared" si="28"/>
        <v>0</v>
      </c>
      <c r="F303" s="201">
        <v>20</v>
      </c>
      <c r="G303" s="203">
        <v>240</v>
      </c>
      <c r="H303" s="202">
        <f t="shared" si="29"/>
        <v>0</v>
      </c>
      <c r="I303" s="202">
        <f t="shared" si="30"/>
        <v>0</v>
      </c>
      <c r="J303" s="202">
        <f t="shared" si="31"/>
        <v>0</v>
      </c>
      <c r="K303" s="202">
        <f t="shared" si="32"/>
        <v>0</v>
      </c>
      <c r="L303" s="201">
        <v>20</v>
      </c>
    </row>
    <row r="304" spans="1:12">
      <c r="A304" s="203">
        <v>241</v>
      </c>
      <c r="B304" s="202">
        <f t="shared" si="25"/>
        <v>0</v>
      </c>
      <c r="C304" s="202">
        <f t="shared" si="26"/>
        <v>0</v>
      </c>
      <c r="D304" s="202">
        <f t="shared" si="27"/>
        <v>0</v>
      </c>
      <c r="E304" s="202">
        <f t="shared" si="28"/>
        <v>0</v>
      </c>
      <c r="F304" s="201"/>
      <c r="G304" s="203">
        <v>241</v>
      </c>
      <c r="H304" s="202">
        <f t="shared" si="29"/>
        <v>0</v>
      </c>
      <c r="I304" s="202">
        <f t="shared" si="30"/>
        <v>0</v>
      </c>
      <c r="J304" s="202">
        <f t="shared" si="31"/>
        <v>0</v>
      </c>
      <c r="K304" s="202">
        <f t="shared" si="32"/>
        <v>0</v>
      </c>
      <c r="L304" s="201"/>
    </row>
    <row r="305" spans="1:12">
      <c r="A305" s="203">
        <v>242</v>
      </c>
      <c r="B305" s="202">
        <f t="shared" si="25"/>
        <v>0</v>
      </c>
      <c r="C305" s="202">
        <f t="shared" si="26"/>
        <v>0</v>
      </c>
      <c r="D305" s="202">
        <f t="shared" si="27"/>
        <v>0</v>
      </c>
      <c r="E305" s="202">
        <f t="shared" si="28"/>
        <v>0</v>
      </c>
      <c r="F305" s="201"/>
      <c r="G305" s="203">
        <v>242</v>
      </c>
      <c r="H305" s="202">
        <f t="shared" si="29"/>
        <v>0</v>
      </c>
      <c r="I305" s="202">
        <f t="shared" si="30"/>
        <v>0</v>
      </c>
      <c r="J305" s="202">
        <f t="shared" si="31"/>
        <v>0</v>
      </c>
      <c r="K305" s="202">
        <f t="shared" si="32"/>
        <v>0</v>
      </c>
      <c r="L305" s="201"/>
    </row>
    <row r="306" spans="1:12">
      <c r="A306" s="203">
        <v>243</v>
      </c>
      <c r="B306" s="202">
        <f t="shared" si="25"/>
        <v>0</v>
      </c>
      <c r="C306" s="202">
        <f t="shared" si="26"/>
        <v>0</v>
      </c>
      <c r="D306" s="202">
        <f t="shared" si="27"/>
        <v>0</v>
      </c>
      <c r="E306" s="202">
        <f t="shared" si="28"/>
        <v>0</v>
      </c>
      <c r="F306" s="201"/>
      <c r="G306" s="203">
        <v>243</v>
      </c>
      <c r="H306" s="202">
        <f t="shared" si="29"/>
        <v>0</v>
      </c>
      <c r="I306" s="202">
        <f t="shared" si="30"/>
        <v>0</v>
      </c>
      <c r="J306" s="202">
        <f t="shared" si="31"/>
        <v>0</v>
      </c>
      <c r="K306" s="202">
        <f t="shared" si="32"/>
        <v>0</v>
      </c>
      <c r="L306" s="201"/>
    </row>
    <row r="307" spans="1:12">
      <c r="A307" s="203">
        <v>244</v>
      </c>
      <c r="B307" s="202">
        <f t="shared" si="25"/>
        <v>0</v>
      </c>
      <c r="C307" s="202">
        <f t="shared" si="26"/>
        <v>0</v>
      </c>
      <c r="D307" s="202">
        <f t="shared" si="27"/>
        <v>0</v>
      </c>
      <c r="E307" s="202">
        <f t="shared" si="28"/>
        <v>0</v>
      </c>
      <c r="F307" s="201"/>
      <c r="G307" s="203">
        <v>244</v>
      </c>
      <c r="H307" s="202">
        <f t="shared" si="29"/>
        <v>0</v>
      </c>
      <c r="I307" s="202">
        <f t="shared" si="30"/>
        <v>0</v>
      </c>
      <c r="J307" s="202">
        <f t="shared" si="31"/>
        <v>0</v>
      </c>
      <c r="K307" s="202">
        <f t="shared" si="32"/>
        <v>0</v>
      </c>
      <c r="L307" s="201"/>
    </row>
    <row r="308" spans="1:12">
      <c r="A308" s="203">
        <v>245</v>
      </c>
      <c r="B308" s="202">
        <f t="shared" si="25"/>
        <v>0</v>
      </c>
      <c r="C308" s="202">
        <f t="shared" si="26"/>
        <v>0</v>
      </c>
      <c r="D308" s="202">
        <f t="shared" si="27"/>
        <v>0</v>
      </c>
      <c r="E308" s="202">
        <f t="shared" si="28"/>
        <v>0</v>
      </c>
      <c r="F308" s="201"/>
      <c r="G308" s="203">
        <v>245</v>
      </c>
      <c r="H308" s="202">
        <f t="shared" si="29"/>
        <v>0</v>
      </c>
      <c r="I308" s="202">
        <f t="shared" si="30"/>
        <v>0</v>
      </c>
      <c r="J308" s="202">
        <f t="shared" si="31"/>
        <v>0</v>
      </c>
      <c r="K308" s="202">
        <f t="shared" si="32"/>
        <v>0</v>
      </c>
      <c r="L308" s="201"/>
    </row>
    <row r="309" spans="1:12">
      <c r="A309" s="203">
        <v>246</v>
      </c>
      <c r="B309" s="202">
        <f t="shared" si="25"/>
        <v>0</v>
      </c>
      <c r="C309" s="202">
        <f t="shared" si="26"/>
        <v>0</v>
      </c>
      <c r="D309" s="202">
        <f t="shared" si="27"/>
        <v>0</v>
      </c>
      <c r="E309" s="202">
        <f t="shared" si="28"/>
        <v>0</v>
      </c>
      <c r="F309" s="201"/>
      <c r="G309" s="203">
        <v>246</v>
      </c>
      <c r="H309" s="202">
        <f t="shared" si="29"/>
        <v>0</v>
      </c>
      <c r="I309" s="202">
        <f t="shared" si="30"/>
        <v>0</v>
      </c>
      <c r="J309" s="202">
        <f t="shared" si="31"/>
        <v>0</v>
      </c>
      <c r="K309" s="202">
        <f t="shared" si="32"/>
        <v>0</v>
      </c>
      <c r="L309" s="201"/>
    </row>
    <row r="310" spans="1:12">
      <c r="A310" s="203">
        <v>247</v>
      </c>
      <c r="B310" s="202">
        <f t="shared" si="25"/>
        <v>0</v>
      </c>
      <c r="C310" s="202">
        <f t="shared" si="26"/>
        <v>0</v>
      </c>
      <c r="D310" s="202">
        <f t="shared" si="27"/>
        <v>0</v>
      </c>
      <c r="E310" s="202">
        <f t="shared" si="28"/>
        <v>0</v>
      </c>
      <c r="F310" s="201"/>
      <c r="G310" s="203">
        <v>247</v>
      </c>
      <c r="H310" s="202">
        <f t="shared" si="29"/>
        <v>0</v>
      </c>
      <c r="I310" s="202">
        <f t="shared" si="30"/>
        <v>0</v>
      </c>
      <c r="J310" s="202">
        <f t="shared" si="31"/>
        <v>0</v>
      </c>
      <c r="K310" s="202">
        <f t="shared" si="32"/>
        <v>0</v>
      </c>
      <c r="L310" s="201"/>
    </row>
    <row r="311" spans="1:12">
      <c r="A311" s="203">
        <v>248</v>
      </c>
      <c r="B311" s="202">
        <f t="shared" si="25"/>
        <v>0</v>
      </c>
      <c r="C311" s="202">
        <f t="shared" si="26"/>
        <v>0</v>
      </c>
      <c r="D311" s="202">
        <f t="shared" si="27"/>
        <v>0</v>
      </c>
      <c r="E311" s="202">
        <f t="shared" si="28"/>
        <v>0</v>
      </c>
      <c r="F311" s="201"/>
      <c r="G311" s="203">
        <v>248</v>
      </c>
      <c r="H311" s="202">
        <f t="shared" si="29"/>
        <v>0</v>
      </c>
      <c r="I311" s="202">
        <f t="shared" si="30"/>
        <v>0</v>
      </c>
      <c r="J311" s="202">
        <f t="shared" si="31"/>
        <v>0</v>
      </c>
      <c r="K311" s="202">
        <f t="shared" si="32"/>
        <v>0</v>
      </c>
      <c r="L311" s="201"/>
    </row>
    <row r="312" spans="1:12">
      <c r="A312" s="203">
        <v>249</v>
      </c>
      <c r="B312" s="202">
        <f t="shared" si="25"/>
        <v>0</v>
      </c>
      <c r="C312" s="202">
        <f t="shared" si="26"/>
        <v>0</v>
      </c>
      <c r="D312" s="202">
        <f t="shared" si="27"/>
        <v>0</v>
      </c>
      <c r="E312" s="202">
        <f t="shared" si="28"/>
        <v>0</v>
      </c>
      <c r="F312" s="201"/>
      <c r="G312" s="203">
        <v>249</v>
      </c>
      <c r="H312" s="202">
        <f t="shared" si="29"/>
        <v>0</v>
      </c>
      <c r="I312" s="202">
        <f t="shared" si="30"/>
        <v>0</v>
      </c>
      <c r="J312" s="202">
        <f t="shared" si="31"/>
        <v>0</v>
      </c>
      <c r="K312" s="202">
        <f t="shared" si="32"/>
        <v>0</v>
      </c>
      <c r="L312" s="201"/>
    </row>
    <row r="313" spans="1:12">
      <c r="A313" s="203">
        <v>250</v>
      </c>
      <c r="B313" s="202">
        <f t="shared" si="25"/>
        <v>0</v>
      </c>
      <c r="C313" s="202">
        <f t="shared" si="26"/>
        <v>0</v>
      </c>
      <c r="D313" s="202">
        <f t="shared" si="27"/>
        <v>0</v>
      </c>
      <c r="E313" s="202">
        <f t="shared" si="28"/>
        <v>0</v>
      </c>
      <c r="F313" s="201"/>
      <c r="G313" s="203">
        <v>250</v>
      </c>
      <c r="H313" s="202">
        <f t="shared" si="29"/>
        <v>0</v>
      </c>
      <c r="I313" s="202">
        <f t="shared" si="30"/>
        <v>0</v>
      </c>
      <c r="J313" s="202">
        <f t="shared" si="31"/>
        <v>0</v>
      </c>
      <c r="K313" s="202">
        <f t="shared" si="32"/>
        <v>0</v>
      </c>
      <c r="L313" s="201"/>
    </row>
    <row r="314" spans="1:12">
      <c r="A314" s="203">
        <v>251</v>
      </c>
      <c r="B314" s="202">
        <f t="shared" si="25"/>
        <v>0</v>
      </c>
      <c r="C314" s="202">
        <f t="shared" si="26"/>
        <v>0</v>
      </c>
      <c r="D314" s="202">
        <f t="shared" si="27"/>
        <v>0</v>
      </c>
      <c r="E314" s="202">
        <f t="shared" si="28"/>
        <v>0</v>
      </c>
      <c r="F314" s="201"/>
      <c r="G314" s="203">
        <v>251</v>
      </c>
      <c r="H314" s="202">
        <f t="shared" si="29"/>
        <v>0</v>
      </c>
      <c r="I314" s="202">
        <f t="shared" si="30"/>
        <v>0</v>
      </c>
      <c r="J314" s="202">
        <f t="shared" si="31"/>
        <v>0</v>
      </c>
      <c r="K314" s="202">
        <f t="shared" si="32"/>
        <v>0</v>
      </c>
      <c r="L314" s="201"/>
    </row>
    <row r="315" spans="1:12">
      <c r="A315" s="203">
        <v>252</v>
      </c>
      <c r="B315" s="202">
        <f t="shared" si="25"/>
        <v>0</v>
      </c>
      <c r="C315" s="202">
        <f t="shared" si="26"/>
        <v>0</v>
      </c>
      <c r="D315" s="202">
        <f t="shared" si="27"/>
        <v>0</v>
      </c>
      <c r="E315" s="202">
        <f t="shared" si="28"/>
        <v>0</v>
      </c>
      <c r="F315" s="201">
        <v>21</v>
      </c>
      <c r="G315" s="203">
        <v>252</v>
      </c>
      <c r="H315" s="202">
        <f t="shared" si="29"/>
        <v>0</v>
      </c>
      <c r="I315" s="202">
        <f t="shared" si="30"/>
        <v>0</v>
      </c>
      <c r="J315" s="202">
        <f t="shared" si="31"/>
        <v>0</v>
      </c>
      <c r="K315" s="202">
        <f t="shared" si="32"/>
        <v>0</v>
      </c>
      <c r="L315" s="201">
        <v>21</v>
      </c>
    </row>
    <row r="316" spans="1:12">
      <c r="A316" s="203">
        <v>253</v>
      </c>
      <c r="B316" s="202">
        <f t="shared" si="25"/>
        <v>0</v>
      </c>
      <c r="C316" s="202">
        <f t="shared" si="26"/>
        <v>0</v>
      </c>
      <c r="D316" s="202">
        <f t="shared" si="27"/>
        <v>0</v>
      </c>
      <c r="E316" s="202">
        <f t="shared" si="28"/>
        <v>0</v>
      </c>
      <c r="F316" s="201"/>
      <c r="G316" s="203">
        <v>253</v>
      </c>
      <c r="H316" s="202">
        <f t="shared" si="29"/>
        <v>0</v>
      </c>
      <c r="I316" s="202">
        <f t="shared" si="30"/>
        <v>0</v>
      </c>
      <c r="J316" s="202">
        <f t="shared" si="31"/>
        <v>0</v>
      </c>
      <c r="K316" s="202">
        <f t="shared" si="32"/>
        <v>0</v>
      </c>
      <c r="L316" s="201"/>
    </row>
    <row r="317" spans="1:12">
      <c r="A317" s="203">
        <v>254</v>
      </c>
      <c r="B317" s="202">
        <f t="shared" si="25"/>
        <v>0</v>
      </c>
      <c r="C317" s="202">
        <f t="shared" si="26"/>
        <v>0</v>
      </c>
      <c r="D317" s="202">
        <f t="shared" si="27"/>
        <v>0</v>
      </c>
      <c r="E317" s="202">
        <f t="shared" si="28"/>
        <v>0</v>
      </c>
      <c r="F317" s="201"/>
      <c r="G317" s="203">
        <v>254</v>
      </c>
      <c r="H317" s="202">
        <f t="shared" si="29"/>
        <v>0</v>
      </c>
      <c r="I317" s="202">
        <f t="shared" si="30"/>
        <v>0</v>
      </c>
      <c r="J317" s="202">
        <f t="shared" si="31"/>
        <v>0</v>
      </c>
      <c r="K317" s="202">
        <f t="shared" si="32"/>
        <v>0</v>
      </c>
      <c r="L317" s="201"/>
    </row>
    <row r="318" spans="1:12">
      <c r="A318" s="203">
        <v>255</v>
      </c>
      <c r="B318" s="202">
        <f t="shared" si="25"/>
        <v>0</v>
      </c>
      <c r="C318" s="202">
        <f t="shared" si="26"/>
        <v>0</v>
      </c>
      <c r="D318" s="202">
        <f t="shared" si="27"/>
        <v>0</v>
      </c>
      <c r="E318" s="202">
        <f t="shared" si="28"/>
        <v>0</v>
      </c>
      <c r="F318" s="201"/>
      <c r="G318" s="203">
        <v>255</v>
      </c>
      <c r="H318" s="202">
        <f t="shared" si="29"/>
        <v>0</v>
      </c>
      <c r="I318" s="202">
        <f t="shared" si="30"/>
        <v>0</v>
      </c>
      <c r="J318" s="202">
        <f t="shared" si="31"/>
        <v>0</v>
      </c>
      <c r="K318" s="202">
        <f t="shared" si="32"/>
        <v>0</v>
      </c>
      <c r="L318" s="201"/>
    </row>
    <row r="319" spans="1:12">
      <c r="A319" s="203">
        <v>256</v>
      </c>
      <c r="B319" s="202">
        <f t="shared" si="25"/>
        <v>0</v>
      </c>
      <c r="C319" s="202">
        <f t="shared" si="26"/>
        <v>0</v>
      </c>
      <c r="D319" s="202">
        <f t="shared" si="27"/>
        <v>0</v>
      </c>
      <c r="E319" s="202">
        <f t="shared" si="28"/>
        <v>0</v>
      </c>
      <c r="F319" s="201"/>
      <c r="G319" s="203">
        <v>256</v>
      </c>
      <c r="H319" s="202">
        <f t="shared" si="29"/>
        <v>0</v>
      </c>
      <c r="I319" s="202">
        <f t="shared" si="30"/>
        <v>0</v>
      </c>
      <c r="J319" s="202">
        <f t="shared" si="31"/>
        <v>0</v>
      </c>
      <c r="K319" s="202">
        <f t="shared" si="32"/>
        <v>0</v>
      </c>
      <c r="L319" s="201"/>
    </row>
    <row r="320" spans="1:12">
      <c r="A320" s="203">
        <v>257</v>
      </c>
      <c r="B320" s="202">
        <f t="shared" ref="B320:B383" si="33">IF(A320&gt;12*$C$9,0,IF($C$5&gt;1500000,$D$12,$C$12))</f>
        <v>0</v>
      </c>
      <c r="C320" s="202">
        <f t="shared" ref="C320:C383" si="34">IF(A320&gt;12*$C$9,0,E319*$C$7/12)</f>
        <v>0</v>
      </c>
      <c r="D320" s="202">
        <f t="shared" ref="D320:D383" si="35">IF(A320&gt;12*$C$9,0,B320-C320)</f>
        <v>0</v>
      </c>
      <c r="E320" s="202">
        <f t="shared" ref="E320:E383" si="36">IF(A320&gt;12*$C$9,0,E319-D320)</f>
        <v>0</v>
      </c>
      <c r="F320" s="201"/>
      <c r="G320" s="203">
        <v>257</v>
      </c>
      <c r="H320" s="202">
        <f t="shared" ref="H320:H383" si="37">IF(G320&gt;12*$C$9,0,IF($C$5&gt;1500000,$E$12,0))</f>
        <v>0</v>
      </c>
      <c r="I320" s="202">
        <f t="shared" ref="I320:I383" si="38">IF(G320&gt;12*$C$9,0,K319*$C$7/12)</f>
        <v>0</v>
      </c>
      <c r="J320" s="202">
        <f t="shared" ref="J320:J383" si="39">IF(G320&gt;12*$C$9,0,H320-I320)</f>
        <v>0</v>
      </c>
      <c r="K320" s="202">
        <f t="shared" ref="K320:K383" si="40">IF(G320&gt;12*$C$9,0,K319-J320)</f>
        <v>0</v>
      </c>
      <c r="L320" s="201"/>
    </row>
    <row r="321" spans="1:12">
      <c r="A321" s="203">
        <v>258</v>
      </c>
      <c r="B321" s="202">
        <f t="shared" si="33"/>
        <v>0</v>
      </c>
      <c r="C321" s="202">
        <f t="shared" si="34"/>
        <v>0</v>
      </c>
      <c r="D321" s="202">
        <f t="shared" si="35"/>
        <v>0</v>
      </c>
      <c r="E321" s="202">
        <f t="shared" si="36"/>
        <v>0</v>
      </c>
      <c r="F321" s="201"/>
      <c r="G321" s="203">
        <v>258</v>
      </c>
      <c r="H321" s="202">
        <f t="shared" si="37"/>
        <v>0</v>
      </c>
      <c r="I321" s="202">
        <f t="shared" si="38"/>
        <v>0</v>
      </c>
      <c r="J321" s="202">
        <f t="shared" si="39"/>
        <v>0</v>
      </c>
      <c r="K321" s="202">
        <f t="shared" si="40"/>
        <v>0</v>
      </c>
      <c r="L321" s="201"/>
    </row>
    <row r="322" spans="1:12">
      <c r="A322" s="203">
        <v>259</v>
      </c>
      <c r="B322" s="202">
        <f t="shared" si="33"/>
        <v>0</v>
      </c>
      <c r="C322" s="202">
        <f t="shared" si="34"/>
        <v>0</v>
      </c>
      <c r="D322" s="202">
        <f t="shared" si="35"/>
        <v>0</v>
      </c>
      <c r="E322" s="202">
        <f t="shared" si="36"/>
        <v>0</v>
      </c>
      <c r="F322" s="201"/>
      <c r="G322" s="203">
        <v>259</v>
      </c>
      <c r="H322" s="202">
        <f t="shared" si="37"/>
        <v>0</v>
      </c>
      <c r="I322" s="202">
        <f t="shared" si="38"/>
        <v>0</v>
      </c>
      <c r="J322" s="202">
        <f t="shared" si="39"/>
        <v>0</v>
      </c>
      <c r="K322" s="202">
        <f t="shared" si="40"/>
        <v>0</v>
      </c>
      <c r="L322" s="201"/>
    </row>
    <row r="323" spans="1:12">
      <c r="A323" s="203">
        <v>260</v>
      </c>
      <c r="B323" s="202">
        <f t="shared" si="33"/>
        <v>0</v>
      </c>
      <c r="C323" s="202">
        <f t="shared" si="34"/>
        <v>0</v>
      </c>
      <c r="D323" s="202">
        <f t="shared" si="35"/>
        <v>0</v>
      </c>
      <c r="E323" s="202">
        <f t="shared" si="36"/>
        <v>0</v>
      </c>
      <c r="F323" s="201"/>
      <c r="G323" s="203">
        <v>260</v>
      </c>
      <c r="H323" s="202">
        <f t="shared" si="37"/>
        <v>0</v>
      </c>
      <c r="I323" s="202">
        <f t="shared" si="38"/>
        <v>0</v>
      </c>
      <c r="J323" s="202">
        <f t="shared" si="39"/>
        <v>0</v>
      </c>
      <c r="K323" s="202">
        <f t="shared" si="40"/>
        <v>0</v>
      </c>
      <c r="L323" s="201"/>
    </row>
    <row r="324" spans="1:12">
      <c r="A324" s="203">
        <v>261</v>
      </c>
      <c r="B324" s="202">
        <f t="shared" si="33"/>
        <v>0</v>
      </c>
      <c r="C324" s="202">
        <f t="shared" si="34"/>
        <v>0</v>
      </c>
      <c r="D324" s="202">
        <f t="shared" si="35"/>
        <v>0</v>
      </c>
      <c r="E324" s="202">
        <f t="shared" si="36"/>
        <v>0</v>
      </c>
      <c r="F324" s="201"/>
      <c r="G324" s="203">
        <v>261</v>
      </c>
      <c r="H324" s="202">
        <f t="shared" si="37"/>
        <v>0</v>
      </c>
      <c r="I324" s="202">
        <f t="shared" si="38"/>
        <v>0</v>
      </c>
      <c r="J324" s="202">
        <f t="shared" si="39"/>
        <v>0</v>
      </c>
      <c r="K324" s="202">
        <f t="shared" si="40"/>
        <v>0</v>
      </c>
      <c r="L324" s="201"/>
    </row>
    <row r="325" spans="1:12">
      <c r="A325" s="203">
        <v>262</v>
      </c>
      <c r="B325" s="202">
        <f t="shared" si="33"/>
        <v>0</v>
      </c>
      <c r="C325" s="202">
        <f t="shared" si="34"/>
        <v>0</v>
      </c>
      <c r="D325" s="202">
        <f t="shared" si="35"/>
        <v>0</v>
      </c>
      <c r="E325" s="202">
        <f t="shared" si="36"/>
        <v>0</v>
      </c>
      <c r="F325" s="201"/>
      <c r="G325" s="203">
        <v>262</v>
      </c>
      <c r="H325" s="202">
        <f t="shared" si="37"/>
        <v>0</v>
      </c>
      <c r="I325" s="202">
        <f t="shared" si="38"/>
        <v>0</v>
      </c>
      <c r="J325" s="202">
        <f t="shared" si="39"/>
        <v>0</v>
      </c>
      <c r="K325" s="202">
        <f t="shared" si="40"/>
        <v>0</v>
      </c>
      <c r="L325" s="201"/>
    </row>
    <row r="326" spans="1:12">
      <c r="A326" s="203">
        <v>263</v>
      </c>
      <c r="B326" s="202">
        <f t="shared" si="33"/>
        <v>0</v>
      </c>
      <c r="C326" s="202">
        <f t="shared" si="34"/>
        <v>0</v>
      </c>
      <c r="D326" s="202">
        <f t="shared" si="35"/>
        <v>0</v>
      </c>
      <c r="E326" s="202">
        <f t="shared" si="36"/>
        <v>0</v>
      </c>
      <c r="F326" s="201"/>
      <c r="G326" s="203">
        <v>263</v>
      </c>
      <c r="H326" s="202">
        <f t="shared" si="37"/>
        <v>0</v>
      </c>
      <c r="I326" s="202">
        <f t="shared" si="38"/>
        <v>0</v>
      </c>
      <c r="J326" s="202">
        <f t="shared" si="39"/>
        <v>0</v>
      </c>
      <c r="K326" s="202">
        <f t="shared" si="40"/>
        <v>0</v>
      </c>
      <c r="L326" s="201"/>
    </row>
    <row r="327" spans="1:12">
      <c r="A327" s="203">
        <v>264</v>
      </c>
      <c r="B327" s="202">
        <f t="shared" si="33"/>
        <v>0</v>
      </c>
      <c r="C327" s="202">
        <f t="shared" si="34"/>
        <v>0</v>
      </c>
      <c r="D327" s="202">
        <f t="shared" si="35"/>
        <v>0</v>
      </c>
      <c r="E327" s="202">
        <f t="shared" si="36"/>
        <v>0</v>
      </c>
      <c r="F327" s="201">
        <v>22</v>
      </c>
      <c r="G327" s="203">
        <v>264</v>
      </c>
      <c r="H327" s="202">
        <f t="shared" si="37"/>
        <v>0</v>
      </c>
      <c r="I327" s="202">
        <f t="shared" si="38"/>
        <v>0</v>
      </c>
      <c r="J327" s="202">
        <f t="shared" si="39"/>
        <v>0</v>
      </c>
      <c r="K327" s="202">
        <f t="shared" si="40"/>
        <v>0</v>
      </c>
      <c r="L327" s="201">
        <v>22</v>
      </c>
    </row>
    <row r="328" spans="1:12">
      <c r="A328" s="203">
        <v>265</v>
      </c>
      <c r="B328" s="202">
        <f t="shared" si="33"/>
        <v>0</v>
      </c>
      <c r="C328" s="202">
        <f t="shared" si="34"/>
        <v>0</v>
      </c>
      <c r="D328" s="202">
        <f t="shared" si="35"/>
        <v>0</v>
      </c>
      <c r="E328" s="202">
        <f t="shared" si="36"/>
        <v>0</v>
      </c>
      <c r="F328" s="201"/>
      <c r="G328" s="203">
        <v>265</v>
      </c>
      <c r="H328" s="202">
        <f t="shared" si="37"/>
        <v>0</v>
      </c>
      <c r="I328" s="202">
        <f t="shared" si="38"/>
        <v>0</v>
      </c>
      <c r="J328" s="202">
        <f t="shared" si="39"/>
        <v>0</v>
      </c>
      <c r="K328" s="202">
        <f t="shared" si="40"/>
        <v>0</v>
      </c>
      <c r="L328" s="201"/>
    </row>
    <row r="329" spans="1:12">
      <c r="A329" s="203">
        <v>266</v>
      </c>
      <c r="B329" s="202">
        <f t="shared" si="33"/>
        <v>0</v>
      </c>
      <c r="C329" s="202">
        <f t="shared" si="34"/>
        <v>0</v>
      </c>
      <c r="D329" s="202">
        <f t="shared" si="35"/>
        <v>0</v>
      </c>
      <c r="E329" s="202">
        <f t="shared" si="36"/>
        <v>0</v>
      </c>
      <c r="F329" s="201"/>
      <c r="G329" s="203">
        <v>266</v>
      </c>
      <c r="H329" s="202">
        <f t="shared" si="37"/>
        <v>0</v>
      </c>
      <c r="I329" s="202">
        <f t="shared" si="38"/>
        <v>0</v>
      </c>
      <c r="J329" s="202">
        <f t="shared" si="39"/>
        <v>0</v>
      </c>
      <c r="K329" s="202">
        <f t="shared" si="40"/>
        <v>0</v>
      </c>
      <c r="L329" s="201"/>
    </row>
    <row r="330" spans="1:12">
      <c r="A330" s="203">
        <v>267</v>
      </c>
      <c r="B330" s="202">
        <f t="shared" si="33"/>
        <v>0</v>
      </c>
      <c r="C330" s="202">
        <f t="shared" si="34"/>
        <v>0</v>
      </c>
      <c r="D330" s="202">
        <f t="shared" si="35"/>
        <v>0</v>
      </c>
      <c r="E330" s="202">
        <f t="shared" si="36"/>
        <v>0</v>
      </c>
      <c r="F330" s="201"/>
      <c r="G330" s="203">
        <v>267</v>
      </c>
      <c r="H330" s="202">
        <f t="shared" si="37"/>
        <v>0</v>
      </c>
      <c r="I330" s="202">
        <f t="shared" si="38"/>
        <v>0</v>
      </c>
      <c r="J330" s="202">
        <f t="shared" si="39"/>
        <v>0</v>
      </c>
      <c r="K330" s="202">
        <f t="shared" si="40"/>
        <v>0</v>
      </c>
      <c r="L330" s="201"/>
    </row>
    <row r="331" spans="1:12">
      <c r="A331" s="203">
        <v>268</v>
      </c>
      <c r="B331" s="202">
        <f t="shared" si="33"/>
        <v>0</v>
      </c>
      <c r="C331" s="202">
        <f t="shared" si="34"/>
        <v>0</v>
      </c>
      <c r="D331" s="202">
        <f t="shared" si="35"/>
        <v>0</v>
      </c>
      <c r="E331" s="202">
        <f t="shared" si="36"/>
        <v>0</v>
      </c>
      <c r="F331" s="201"/>
      <c r="G331" s="203">
        <v>268</v>
      </c>
      <c r="H331" s="202">
        <f t="shared" si="37"/>
        <v>0</v>
      </c>
      <c r="I331" s="202">
        <f t="shared" si="38"/>
        <v>0</v>
      </c>
      <c r="J331" s="202">
        <f t="shared" si="39"/>
        <v>0</v>
      </c>
      <c r="K331" s="202">
        <f t="shared" si="40"/>
        <v>0</v>
      </c>
      <c r="L331" s="201"/>
    </row>
    <row r="332" spans="1:12">
      <c r="A332" s="203">
        <v>269</v>
      </c>
      <c r="B332" s="202">
        <f t="shared" si="33"/>
        <v>0</v>
      </c>
      <c r="C332" s="202">
        <f t="shared" si="34"/>
        <v>0</v>
      </c>
      <c r="D332" s="202">
        <f t="shared" si="35"/>
        <v>0</v>
      </c>
      <c r="E332" s="202">
        <f t="shared" si="36"/>
        <v>0</v>
      </c>
      <c r="F332" s="201"/>
      <c r="G332" s="203">
        <v>269</v>
      </c>
      <c r="H332" s="202">
        <f t="shared" si="37"/>
        <v>0</v>
      </c>
      <c r="I332" s="202">
        <f t="shared" si="38"/>
        <v>0</v>
      </c>
      <c r="J332" s="202">
        <f t="shared" si="39"/>
        <v>0</v>
      </c>
      <c r="K332" s="202">
        <f t="shared" si="40"/>
        <v>0</v>
      </c>
      <c r="L332" s="201"/>
    </row>
    <row r="333" spans="1:12">
      <c r="A333" s="203">
        <v>270</v>
      </c>
      <c r="B333" s="202">
        <f t="shared" si="33"/>
        <v>0</v>
      </c>
      <c r="C333" s="202">
        <f t="shared" si="34"/>
        <v>0</v>
      </c>
      <c r="D333" s="202">
        <f t="shared" si="35"/>
        <v>0</v>
      </c>
      <c r="E333" s="202">
        <f t="shared" si="36"/>
        <v>0</v>
      </c>
      <c r="F333" s="201"/>
      <c r="G333" s="203">
        <v>270</v>
      </c>
      <c r="H333" s="202">
        <f t="shared" si="37"/>
        <v>0</v>
      </c>
      <c r="I333" s="202">
        <f t="shared" si="38"/>
        <v>0</v>
      </c>
      <c r="J333" s="202">
        <f t="shared" si="39"/>
        <v>0</v>
      </c>
      <c r="K333" s="202">
        <f t="shared" si="40"/>
        <v>0</v>
      </c>
      <c r="L333" s="201"/>
    </row>
    <row r="334" spans="1:12">
      <c r="A334" s="203">
        <v>271</v>
      </c>
      <c r="B334" s="202">
        <f t="shared" si="33"/>
        <v>0</v>
      </c>
      <c r="C334" s="202">
        <f t="shared" si="34"/>
        <v>0</v>
      </c>
      <c r="D334" s="202">
        <f t="shared" si="35"/>
        <v>0</v>
      </c>
      <c r="E334" s="202">
        <f t="shared" si="36"/>
        <v>0</v>
      </c>
      <c r="F334" s="201"/>
      <c r="G334" s="203">
        <v>271</v>
      </c>
      <c r="H334" s="202">
        <f t="shared" si="37"/>
        <v>0</v>
      </c>
      <c r="I334" s="202">
        <f t="shared" si="38"/>
        <v>0</v>
      </c>
      <c r="J334" s="202">
        <f t="shared" si="39"/>
        <v>0</v>
      </c>
      <c r="K334" s="202">
        <f t="shared" si="40"/>
        <v>0</v>
      </c>
      <c r="L334" s="201"/>
    </row>
    <row r="335" spans="1:12">
      <c r="A335" s="203">
        <v>272</v>
      </c>
      <c r="B335" s="202">
        <f t="shared" si="33"/>
        <v>0</v>
      </c>
      <c r="C335" s="202">
        <f t="shared" si="34"/>
        <v>0</v>
      </c>
      <c r="D335" s="202">
        <f t="shared" si="35"/>
        <v>0</v>
      </c>
      <c r="E335" s="202">
        <f t="shared" si="36"/>
        <v>0</v>
      </c>
      <c r="F335" s="201"/>
      <c r="G335" s="203">
        <v>272</v>
      </c>
      <c r="H335" s="202">
        <f t="shared" si="37"/>
        <v>0</v>
      </c>
      <c r="I335" s="202">
        <f t="shared" si="38"/>
        <v>0</v>
      </c>
      <c r="J335" s="202">
        <f t="shared" si="39"/>
        <v>0</v>
      </c>
      <c r="K335" s="202">
        <f t="shared" si="40"/>
        <v>0</v>
      </c>
      <c r="L335" s="201"/>
    </row>
    <row r="336" spans="1:12">
      <c r="A336" s="203">
        <v>273</v>
      </c>
      <c r="B336" s="202">
        <f t="shared" si="33"/>
        <v>0</v>
      </c>
      <c r="C336" s="202">
        <f t="shared" si="34"/>
        <v>0</v>
      </c>
      <c r="D336" s="202">
        <f t="shared" si="35"/>
        <v>0</v>
      </c>
      <c r="E336" s="202">
        <f t="shared" si="36"/>
        <v>0</v>
      </c>
      <c r="F336" s="201"/>
      <c r="G336" s="203">
        <v>273</v>
      </c>
      <c r="H336" s="202">
        <f t="shared" si="37"/>
        <v>0</v>
      </c>
      <c r="I336" s="202">
        <f t="shared" si="38"/>
        <v>0</v>
      </c>
      <c r="J336" s="202">
        <f t="shared" si="39"/>
        <v>0</v>
      </c>
      <c r="K336" s="202">
        <f t="shared" si="40"/>
        <v>0</v>
      </c>
      <c r="L336" s="201"/>
    </row>
    <row r="337" spans="1:12">
      <c r="A337" s="203">
        <v>274</v>
      </c>
      <c r="B337" s="202">
        <f t="shared" si="33"/>
        <v>0</v>
      </c>
      <c r="C337" s="202">
        <f t="shared" si="34"/>
        <v>0</v>
      </c>
      <c r="D337" s="202">
        <f t="shared" si="35"/>
        <v>0</v>
      </c>
      <c r="E337" s="202">
        <f t="shared" si="36"/>
        <v>0</v>
      </c>
      <c r="F337" s="201"/>
      <c r="G337" s="203">
        <v>274</v>
      </c>
      <c r="H337" s="202">
        <f t="shared" si="37"/>
        <v>0</v>
      </c>
      <c r="I337" s="202">
        <f t="shared" si="38"/>
        <v>0</v>
      </c>
      <c r="J337" s="202">
        <f t="shared" si="39"/>
        <v>0</v>
      </c>
      <c r="K337" s="202">
        <f t="shared" si="40"/>
        <v>0</v>
      </c>
      <c r="L337" s="201"/>
    </row>
    <row r="338" spans="1:12">
      <c r="A338" s="203">
        <v>275</v>
      </c>
      <c r="B338" s="202">
        <f t="shared" si="33"/>
        <v>0</v>
      </c>
      <c r="C338" s="202">
        <f t="shared" si="34"/>
        <v>0</v>
      </c>
      <c r="D338" s="202">
        <f t="shared" si="35"/>
        <v>0</v>
      </c>
      <c r="E338" s="202">
        <f t="shared" si="36"/>
        <v>0</v>
      </c>
      <c r="F338" s="201"/>
      <c r="G338" s="203">
        <v>275</v>
      </c>
      <c r="H338" s="202">
        <f t="shared" si="37"/>
        <v>0</v>
      </c>
      <c r="I338" s="202">
        <f t="shared" si="38"/>
        <v>0</v>
      </c>
      <c r="J338" s="202">
        <f t="shared" si="39"/>
        <v>0</v>
      </c>
      <c r="K338" s="202">
        <f t="shared" si="40"/>
        <v>0</v>
      </c>
      <c r="L338" s="201"/>
    </row>
    <row r="339" spans="1:12">
      <c r="A339" s="203">
        <v>276</v>
      </c>
      <c r="B339" s="202">
        <f t="shared" si="33"/>
        <v>0</v>
      </c>
      <c r="C339" s="202">
        <f t="shared" si="34"/>
        <v>0</v>
      </c>
      <c r="D339" s="202">
        <f t="shared" si="35"/>
        <v>0</v>
      </c>
      <c r="E339" s="202">
        <f t="shared" si="36"/>
        <v>0</v>
      </c>
      <c r="F339" s="201">
        <v>23</v>
      </c>
      <c r="G339" s="203">
        <v>276</v>
      </c>
      <c r="H339" s="202">
        <f t="shared" si="37"/>
        <v>0</v>
      </c>
      <c r="I339" s="202">
        <f t="shared" si="38"/>
        <v>0</v>
      </c>
      <c r="J339" s="202">
        <f t="shared" si="39"/>
        <v>0</v>
      </c>
      <c r="K339" s="202">
        <f t="shared" si="40"/>
        <v>0</v>
      </c>
      <c r="L339" s="201">
        <v>23</v>
      </c>
    </row>
    <row r="340" spans="1:12">
      <c r="A340" s="203">
        <v>277</v>
      </c>
      <c r="B340" s="202">
        <f t="shared" si="33"/>
        <v>0</v>
      </c>
      <c r="C340" s="202">
        <f t="shared" si="34"/>
        <v>0</v>
      </c>
      <c r="D340" s="202">
        <f t="shared" si="35"/>
        <v>0</v>
      </c>
      <c r="E340" s="202">
        <f t="shared" si="36"/>
        <v>0</v>
      </c>
      <c r="F340" s="201"/>
      <c r="G340" s="203">
        <v>277</v>
      </c>
      <c r="H340" s="202">
        <f t="shared" si="37"/>
        <v>0</v>
      </c>
      <c r="I340" s="202">
        <f t="shared" si="38"/>
        <v>0</v>
      </c>
      <c r="J340" s="202">
        <f t="shared" si="39"/>
        <v>0</v>
      </c>
      <c r="K340" s="202">
        <f t="shared" si="40"/>
        <v>0</v>
      </c>
      <c r="L340" s="201"/>
    </row>
    <row r="341" spans="1:12">
      <c r="A341" s="203">
        <v>278</v>
      </c>
      <c r="B341" s="202">
        <f t="shared" si="33"/>
        <v>0</v>
      </c>
      <c r="C341" s="202">
        <f t="shared" si="34"/>
        <v>0</v>
      </c>
      <c r="D341" s="202">
        <f t="shared" si="35"/>
        <v>0</v>
      </c>
      <c r="E341" s="202">
        <f t="shared" si="36"/>
        <v>0</v>
      </c>
      <c r="F341" s="201"/>
      <c r="G341" s="203">
        <v>278</v>
      </c>
      <c r="H341" s="202">
        <f t="shared" si="37"/>
        <v>0</v>
      </c>
      <c r="I341" s="202">
        <f t="shared" si="38"/>
        <v>0</v>
      </c>
      <c r="J341" s="202">
        <f t="shared" si="39"/>
        <v>0</v>
      </c>
      <c r="K341" s="202">
        <f t="shared" si="40"/>
        <v>0</v>
      </c>
      <c r="L341" s="201"/>
    </row>
    <row r="342" spans="1:12">
      <c r="A342" s="203">
        <v>279</v>
      </c>
      <c r="B342" s="202">
        <f t="shared" si="33"/>
        <v>0</v>
      </c>
      <c r="C342" s="202">
        <f t="shared" si="34"/>
        <v>0</v>
      </c>
      <c r="D342" s="202">
        <f t="shared" si="35"/>
        <v>0</v>
      </c>
      <c r="E342" s="202">
        <f t="shared" si="36"/>
        <v>0</v>
      </c>
      <c r="F342" s="201"/>
      <c r="G342" s="203">
        <v>279</v>
      </c>
      <c r="H342" s="202">
        <f t="shared" si="37"/>
        <v>0</v>
      </c>
      <c r="I342" s="202">
        <f t="shared" si="38"/>
        <v>0</v>
      </c>
      <c r="J342" s="202">
        <f t="shared" si="39"/>
        <v>0</v>
      </c>
      <c r="K342" s="202">
        <f t="shared" si="40"/>
        <v>0</v>
      </c>
      <c r="L342" s="201"/>
    </row>
    <row r="343" spans="1:12">
      <c r="A343" s="203">
        <v>280</v>
      </c>
      <c r="B343" s="202">
        <f t="shared" si="33"/>
        <v>0</v>
      </c>
      <c r="C343" s="202">
        <f t="shared" si="34"/>
        <v>0</v>
      </c>
      <c r="D343" s="202">
        <f t="shared" si="35"/>
        <v>0</v>
      </c>
      <c r="E343" s="202">
        <f t="shared" si="36"/>
        <v>0</v>
      </c>
      <c r="F343" s="201"/>
      <c r="G343" s="203">
        <v>280</v>
      </c>
      <c r="H343" s="202">
        <f t="shared" si="37"/>
        <v>0</v>
      </c>
      <c r="I343" s="202">
        <f t="shared" si="38"/>
        <v>0</v>
      </c>
      <c r="J343" s="202">
        <f t="shared" si="39"/>
        <v>0</v>
      </c>
      <c r="K343" s="202">
        <f t="shared" si="40"/>
        <v>0</v>
      </c>
      <c r="L343" s="201"/>
    </row>
    <row r="344" spans="1:12">
      <c r="A344" s="203">
        <v>281</v>
      </c>
      <c r="B344" s="202">
        <f t="shared" si="33"/>
        <v>0</v>
      </c>
      <c r="C344" s="202">
        <f t="shared" si="34"/>
        <v>0</v>
      </c>
      <c r="D344" s="202">
        <f t="shared" si="35"/>
        <v>0</v>
      </c>
      <c r="E344" s="202">
        <f t="shared" si="36"/>
        <v>0</v>
      </c>
      <c r="F344" s="201"/>
      <c r="G344" s="203">
        <v>281</v>
      </c>
      <c r="H344" s="202">
        <f t="shared" si="37"/>
        <v>0</v>
      </c>
      <c r="I344" s="202">
        <f t="shared" si="38"/>
        <v>0</v>
      </c>
      <c r="J344" s="202">
        <f t="shared" si="39"/>
        <v>0</v>
      </c>
      <c r="K344" s="202">
        <f t="shared" si="40"/>
        <v>0</v>
      </c>
      <c r="L344" s="201"/>
    </row>
    <row r="345" spans="1:12">
      <c r="A345" s="203">
        <v>282</v>
      </c>
      <c r="B345" s="202">
        <f t="shared" si="33"/>
        <v>0</v>
      </c>
      <c r="C345" s="202">
        <f t="shared" si="34"/>
        <v>0</v>
      </c>
      <c r="D345" s="202">
        <f t="shared" si="35"/>
        <v>0</v>
      </c>
      <c r="E345" s="202">
        <f t="shared" si="36"/>
        <v>0</v>
      </c>
      <c r="F345" s="201"/>
      <c r="G345" s="203">
        <v>282</v>
      </c>
      <c r="H345" s="202">
        <f t="shared" si="37"/>
        <v>0</v>
      </c>
      <c r="I345" s="202">
        <f t="shared" si="38"/>
        <v>0</v>
      </c>
      <c r="J345" s="202">
        <f t="shared" si="39"/>
        <v>0</v>
      </c>
      <c r="K345" s="202">
        <f t="shared" si="40"/>
        <v>0</v>
      </c>
      <c r="L345" s="201"/>
    </row>
    <row r="346" spans="1:12">
      <c r="A346" s="203">
        <v>283</v>
      </c>
      <c r="B346" s="202">
        <f t="shared" si="33"/>
        <v>0</v>
      </c>
      <c r="C346" s="202">
        <f t="shared" si="34"/>
        <v>0</v>
      </c>
      <c r="D346" s="202">
        <f t="shared" si="35"/>
        <v>0</v>
      </c>
      <c r="E346" s="202">
        <f t="shared" si="36"/>
        <v>0</v>
      </c>
      <c r="F346" s="201"/>
      <c r="G346" s="203">
        <v>283</v>
      </c>
      <c r="H346" s="202">
        <f t="shared" si="37"/>
        <v>0</v>
      </c>
      <c r="I346" s="202">
        <f t="shared" si="38"/>
        <v>0</v>
      </c>
      <c r="J346" s="202">
        <f t="shared" si="39"/>
        <v>0</v>
      </c>
      <c r="K346" s="202">
        <f t="shared" si="40"/>
        <v>0</v>
      </c>
      <c r="L346" s="201"/>
    </row>
    <row r="347" spans="1:12">
      <c r="A347" s="203">
        <v>284</v>
      </c>
      <c r="B347" s="202">
        <f t="shared" si="33"/>
        <v>0</v>
      </c>
      <c r="C347" s="202">
        <f t="shared" si="34"/>
        <v>0</v>
      </c>
      <c r="D347" s="202">
        <f t="shared" si="35"/>
        <v>0</v>
      </c>
      <c r="E347" s="202">
        <f t="shared" si="36"/>
        <v>0</v>
      </c>
      <c r="F347" s="201"/>
      <c r="G347" s="203">
        <v>284</v>
      </c>
      <c r="H347" s="202">
        <f t="shared" si="37"/>
        <v>0</v>
      </c>
      <c r="I347" s="202">
        <f t="shared" si="38"/>
        <v>0</v>
      </c>
      <c r="J347" s="202">
        <f t="shared" si="39"/>
        <v>0</v>
      </c>
      <c r="K347" s="202">
        <f t="shared" si="40"/>
        <v>0</v>
      </c>
      <c r="L347" s="201"/>
    </row>
    <row r="348" spans="1:12">
      <c r="A348" s="203">
        <v>285</v>
      </c>
      <c r="B348" s="202">
        <f t="shared" si="33"/>
        <v>0</v>
      </c>
      <c r="C348" s="202">
        <f t="shared" si="34"/>
        <v>0</v>
      </c>
      <c r="D348" s="202">
        <f t="shared" si="35"/>
        <v>0</v>
      </c>
      <c r="E348" s="202">
        <f t="shared" si="36"/>
        <v>0</v>
      </c>
      <c r="F348" s="201"/>
      <c r="G348" s="203">
        <v>285</v>
      </c>
      <c r="H348" s="202">
        <f t="shared" si="37"/>
        <v>0</v>
      </c>
      <c r="I348" s="202">
        <f t="shared" si="38"/>
        <v>0</v>
      </c>
      <c r="J348" s="202">
        <f t="shared" si="39"/>
        <v>0</v>
      </c>
      <c r="K348" s="202">
        <f t="shared" si="40"/>
        <v>0</v>
      </c>
      <c r="L348" s="201"/>
    </row>
    <row r="349" spans="1:12">
      <c r="A349" s="203">
        <v>286</v>
      </c>
      <c r="B349" s="202">
        <f t="shared" si="33"/>
        <v>0</v>
      </c>
      <c r="C349" s="202">
        <f t="shared" si="34"/>
        <v>0</v>
      </c>
      <c r="D349" s="202">
        <f t="shared" si="35"/>
        <v>0</v>
      </c>
      <c r="E349" s="202">
        <f t="shared" si="36"/>
        <v>0</v>
      </c>
      <c r="F349" s="201"/>
      <c r="G349" s="203">
        <v>286</v>
      </c>
      <c r="H349" s="202">
        <f t="shared" si="37"/>
        <v>0</v>
      </c>
      <c r="I349" s="202">
        <f t="shared" si="38"/>
        <v>0</v>
      </c>
      <c r="J349" s="202">
        <f t="shared" si="39"/>
        <v>0</v>
      </c>
      <c r="K349" s="202">
        <f t="shared" si="40"/>
        <v>0</v>
      </c>
      <c r="L349" s="201"/>
    </row>
    <row r="350" spans="1:12">
      <c r="A350" s="203">
        <v>287</v>
      </c>
      <c r="B350" s="202">
        <f t="shared" si="33"/>
        <v>0</v>
      </c>
      <c r="C350" s="202">
        <f t="shared" si="34"/>
        <v>0</v>
      </c>
      <c r="D350" s="202">
        <f t="shared" si="35"/>
        <v>0</v>
      </c>
      <c r="E350" s="202">
        <f t="shared" si="36"/>
        <v>0</v>
      </c>
      <c r="F350" s="201"/>
      <c r="G350" s="203">
        <v>287</v>
      </c>
      <c r="H350" s="202">
        <f t="shared" si="37"/>
        <v>0</v>
      </c>
      <c r="I350" s="202">
        <f t="shared" si="38"/>
        <v>0</v>
      </c>
      <c r="J350" s="202">
        <f t="shared" si="39"/>
        <v>0</v>
      </c>
      <c r="K350" s="202">
        <f t="shared" si="40"/>
        <v>0</v>
      </c>
      <c r="L350" s="201"/>
    </row>
    <row r="351" spans="1:12">
      <c r="A351" s="203">
        <v>288</v>
      </c>
      <c r="B351" s="202">
        <f t="shared" si="33"/>
        <v>0</v>
      </c>
      <c r="C351" s="202">
        <f t="shared" si="34"/>
        <v>0</v>
      </c>
      <c r="D351" s="202">
        <f t="shared" si="35"/>
        <v>0</v>
      </c>
      <c r="E351" s="202">
        <f t="shared" si="36"/>
        <v>0</v>
      </c>
      <c r="F351" s="201">
        <v>24</v>
      </c>
      <c r="G351" s="203">
        <v>288</v>
      </c>
      <c r="H351" s="202">
        <f t="shared" si="37"/>
        <v>0</v>
      </c>
      <c r="I351" s="202">
        <f t="shared" si="38"/>
        <v>0</v>
      </c>
      <c r="J351" s="202">
        <f t="shared" si="39"/>
        <v>0</v>
      </c>
      <c r="K351" s="202">
        <f t="shared" si="40"/>
        <v>0</v>
      </c>
      <c r="L351" s="201">
        <v>24</v>
      </c>
    </row>
    <row r="352" spans="1:12">
      <c r="A352" s="203">
        <v>289</v>
      </c>
      <c r="B352" s="202">
        <f t="shared" si="33"/>
        <v>0</v>
      </c>
      <c r="C352" s="202">
        <f t="shared" si="34"/>
        <v>0</v>
      </c>
      <c r="D352" s="202">
        <f t="shared" si="35"/>
        <v>0</v>
      </c>
      <c r="E352" s="202">
        <f t="shared" si="36"/>
        <v>0</v>
      </c>
      <c r="F352" s="201"/>
      <c r="G352" s="203">
        <v>289</v>
      </c>
      <c r="H352" s="202">
        <f t="shared" si="37"/>
        <v>0</v>
      </c>
      <c r="I352" s="202">
        <f t="shared" si="38"/>
        <v>0</v>
      </c>
      <c r="J352" s="202">
        <f t="shared" si="39"/>
        <v>0</v>
      </c>
      <c r="K352" s="202">
        <f t="shared" si="40"/>
        <v>0</v>
      </c>
      <c r="L352" s="201"/>
    </row>
    <row r="353" spans="1:12">
      <c r="A353" s="203">
        <v>290</v>
      </c>
      <c r="B353" s="202">
        <f t="shared" si="33"/>
        <v>0</v>
      </c>
      <c r="C353" s="202">
        <f t="shared" si="34"/>
        <v>0</v>
      </c>
      <c r="D353" s="202">
        <f t="shared" si="35"/>
        <v>0</v>
      </c>
      <c r="E353" s="202">
        <f t="shared" si="36"/>
        <v>0</v>
      </c>
      <c r="F353" s="201"/>
      <c r="G353" s="203">
        <v>290</v>
      </c>
      <c r="H353" s="202">
        <f t="shared" si="37"/>
        <v>0</v>
      </c>
      <c r="I353" s="202">
        <f t="shared" si="38"/>
        <v>0</v>
      </c>
      <c r="J353" s="202">
        <f t="shared" si="39"/>
        <v>0</v>
      </c>
      <c r="K353" s="202">
        <f t="shared" si="40"/>
        <v>0</v>
      </c>
      <c r="L353" s="201"/>
    </row>
    <row r="354" spans="1:12">
      <c r="A354" s="203">
        <v>291</v>
      </c>
      <c r="B354" s="202">
        <f t="shared" si="33"/>
        <v>0</v>
      </c>
      <c r="C354" s="202">
        <f t="shared" si="34"/>
        <v>0</v>
      </c>
      <c r="D354" s="202">
        <f t="shared" si="35"/>
        <v>0</v>
      </c>
      <c r="E354" s="202">
        <f t="shared" si="36"/>
        <v>0</v>
      </c>
      <c r="F354" s="201"/>
      <c r="G354" s="203">
        <v>291</v>
      </c>
      <c r="H354" s="202">
        <f t="shared" si="37"/>
        <v>0</v>
      </c>
      <c r="I354" s="202">
        <f t="shared" si="38"/>
        <v>0</v>
      </c>
      <c r="J354" s="202">
        <f t="shared" si="39"/>
        <v>0</v>
      </c>
      <c r="K354" s="202">
        <f t="shared" si="40"/>
        <v>0</v>
      </c>
      <c r="L354" s="201"/>
    </row>
    <row r="355" spans="1:12">
      <c r="A355" s="203">
        <v>292</v>
      </c>
      <c r="B355" s="202">
        <f t="shared" si="33"/>
        <v>0</v>
      </c>
      <c r="C355" s="202">
        <f t="shared" si="34"/>
        <v>0</v>
      </c>
      <c r="D355" s="202">
        <f t="shared" si="35"/>
        <v>0</v>
      </c>
      <c r="E355" s="202">
        <f t="shared" si="36"/>
        <v>0</v>
      </c>
      <c r="F355" s="201"/>
      <c r="G355" s="203">
        <v>292</v>
      </c>
      <c r="H355" s="202">
        <f t="shared" si="37"/>
        <v>0</v>
      </c>
      <c r="I355" s="202">
        <f t="shared" si="38"/>
        <v>0</v>
      </c>
      <c r="J355" s="202">
        <f t="shared" si="39"/>
        <v>0</v>
      </c>
      <c r="K355" s="202">
        <f t="shared" si="40"/>
        <v>0</v>
      </c>
      <c r="L355" s="201"/>
    </row>
    <row r="356" spans="1:12">
      <c r="A356" s="203">
        <v>293</v>
      </c>
      <c r="B356" s="202">
        <f t="shared" si="33"/>
        <v>0</v>
      </c>
      <c r="C356" s="202">
        <f t="shared" si="34"/>
        <v>0</v>
      </c>
      <c r="D356" s="202">
        <f t="shared" si="35"/>
        <v>0</v>
      </c>
      <c r="E356" s="202">
        <f t="shared" si="36"/>
        <v>0</v>
      </c>
      <c r="F356" s="201"/>
      <c r="G356" s="203">
        <v>293</v>
      </c>
      <c r="H356" s="202">
        <f t="shared" si="37"/>
        <v>0</v>
      </c>
      <c r="I356" s="202">
        <f t="shared" si="38"/>
        <v>0</v>
      </c>
      <c r="J356" s="202">
        <f t="shared" si="39"/>
        <v>0</v>
      </c>
      <c r="K356" s="202">
        <f t="shared" si="40"/>
        <v>0</v>
      </c>
      <c r="L356" s="201"/>
    </row>
    <row r="357" spans="1:12">
      <c r="A357" s="203">
        <v>294</v>
      </c>
      <c r="B357" s="202">
        <f t="shared" si="33"/>
        <v>0</v>
      </c>
      <c r="C357" s="202">
        <f t="shared" si="34"/>
        <v>0</v>
      </c>
      <c r="D357" s="202">
        <f t="shared" si="35"/>
        <v>0</v>
      </c>
      <c r="E357" s="202">
        <f t="shared" si="36"/>
        <v>0</v>
      </c>
      <c r="F357" s="201"/>
      <c r="G357" s="203">
        <v>294</v>
      </c>
      <c r="H357" s="202">
        <f t="shared" si="37"/>
        <v>0</v>
      </c>
      <c r="I357" s="202">
        <f t="shared" si="38"/>
        <v>0</v>
      </c>
      <c r="J357" s="202">
        <f t="shared" si="39"/>
        <v>0</v>
      </c>
      <c r="K357" s="202">
        <f t="shared" si="40"/>
        <v>0</v>
      </c>
      <c r="L357" s="201"/>
    </row>
    <row r="358" spans="1:12">
      <c r="A358" s="203">
        <v>295</v>
      </c>
      <c r="B358" s="202">
        <f t="shared" si="33"/>
        <v>0</v>
      </c>
      <c r="C358" s="202">
        <f t="shared" si="34"/>
        <v>0</v>
      </c>
      <c r="D358" s="202">
        <f t="shared" si="35"/>
        <v>0</v>
      </c>
      <c r="E358" s="202">
        <f t="shared" si="36"/>
        <v>0</v>
      </c>
      <c r="F358" s="201"/>
      <c r="G358" s="203">
        <v>295</v>
      </c>
      <c r="H358" s="202">
        <f t="shared" si="37"/>
        <v>0</v>
      </c>
      <c r="I358" s="202">
        <f t="shared" si="38"/>
        <v>0</v>
      </c>
      <c r="J358" s="202">
        <f t="shared" si="39"/>
        <v>0</v>
      </c>
      <c r="K358" s="202">
        <f t="shared" si="40"/>
        <v>0</v>
      </c>
      <c r="L358" s="201"/>
    </row>
    <row r="359" spans="1:12">
      <c r="A359" s="203">
        <v>296</v>
      </c>
      <c r="B359" s="202">
        <f t="shared" si="33"/>
        <v>0</v>
      </c>
      <c r="C359" s="202">
        <f t="shared" si="34"/>
        <v>0</v>
      </c>
      <c r="D359" s="202">
        <f t="shared" si="35"/>
        <v>0</v>
      </c>
      <c r="E359" s="202">
        <f t="shared" si="36"/>
        <v>0</v>
      </c>
      <c r="F359" s="201"/>
      <c r="G359" s="203">
        <v>296</v>
      </c>
      <c r="H359" s="202">
        <f t="shared" si="37"/>
        <v>0</v>
      </c>
      <c r="I359" s="202">
        <f t="shared" si="38"/>
        <v>0</v>
      </c>
      <c r="J359" s="202">
        <f t="shared" si="39"/>
        <v>0</v>
      </c>
      <c r="K359" s="202">
        <f t="shared" si="40"/>
        <v>0</v>
      </c>
      <c r="L359" s="201"/>
    </row>
    <row r="360" spans="1:12">
      <c r="A360" s="203">
        <v>297</v>
      </c>
      <c r="B360" s="202">
        <f t="shared" si="33"/>
        <v>0</v>
      </c>
      <c r="C360" s="202">
        <f t="shared" si="34"/>
        <v>0</v>
      </c>
      <c r="D360" s="202">
        <f t="shared" si="35"/>
        <v>0</v>
      </c>
      <c r="E360" s="202">
        <f t="shared" si="36"/>
        <v>0</v>
      </c>
      <c r="F360" s="201"/>
      <c r="G360" s="203">
        <v>297</v>
      </c>
      <c r="H360" s="202">
        <f t="shared" si="37"/>
        <v>0</v>
      </c>
      <c r="I360" s="202">
        <f t="shared" si="38"/>
        <v>0</v>
      </c>
      <c r="J360" s="202">
        <f t="shared" si="39"/>
        <v>0</v>
      </c>
      <c r="K360" s="202">
        <f t="shared" si="40"/>
        <v>0</v>
      </c>
      <c r="L360" s="201"/>
    </row>
    <row r="361" spans="1:12">
      <c r="A361" s="203">
        <v>298</v>
      </c>
      <c r="B361" s="202">
        <f t="shared" si="33"/>
        <v>0</v>
      </c>
      <c r="C361" s="202">
        <f t="shared" si="34"/>
        <v>0</v>
      </c>
      <c r="D361" s="202">
        <f t="shared" si="35"/>
        <v>0</v>
      </c>
      <c r="E361" s="202">
        <f t="shared" si="36"/>
        <v>0</v>
      </c>
      <c r="F361" s="201"/>
      <c r="G361" s="203">
        <v>298</v>
      </c>
      <c r="H361" s="202">
        <f t="shared" si="37"/>
        <v>0</v>
      </c>
      <c r="I361" s="202">
        <f t="shared" si="38"/>
        <v>0</v>
      </c>
      <c r="J361" s="202">
        <f t="shared" si="39"/>
        <v>0</v>
      </c>
      <c r="K361" s="202">
        <f t="shared" si="40"/>
        <v>0</v>
      </c>
      <c r="L361" s="201"/>
    </row>
    <row r="362" spans="1:12">
      <c r="A362" s="203">
        <v>299</v>
      </c>
      <c r="B362" s="202">
        <f t="shared" si="33"/>
        <v>0</v>
      </c>
      <c r="C362" s="202">
        <f t="shared" si="34"/>
        <v>0</v>
      </c>
      <c r="D362" s="202">
        <f t="shared" si="35"/>
        <v>0</v>
      </c>
      <c r="E362" s="202">
        <f t="shared" si="36"/>
        <v>0</v>
      </c>
      <c r="F362" s="201"/>
      <c r="G362" s="203">
        <v>299</v>
      </c>
      <c r="H362" s="202">
        <f t="shared" si="37"/>
        <v>0</v>
      </c>
      <c r="I362" s="202">
        <f t="shared" si="38"/>
        <v>0</v>
      </c>
      <c r="J362" s="202">
        <f t="shared" si="39"/>
        <v>0</v>
      </c>
      <c r="K362" s="202">
        <f t="shared" si="40"/>
        <v>0</v>
      </c>
      <c r="L362" s="201"/>
    </row>
    <row r="363" spans="1:12">
      <c r="A363" s="203">
        <v>300</v>
      </c>
      <c r="B363" s="202">
        <f t="shared" si="33"/>
        <v>0</v>
      </c>
      <c r="C363" s="202">
        <f t="shared" si="34"/>
        <v>0</v>
      </c>
      <c r="D363" s="202">
        <f t="shared" si="35"/>
        <v>0</v>
      </c>
      <c r="E363" s="202">
        <f t="shared" si="36"/>
        <v>0</v>
      </c>
      <c r="F363" s="201">
        <v>25</v>
      </c>
      <c r="G363" s="203">
        <v>300</v>
      </c>
      <c r="H363" s="202">
        <f t="shared" si="37"/>
        <v>0</v>
      </c>
      <c r="I363" s="202">
        <f t="shared" si="38"/>
        <v>0</v>
      </c>
      <c r="J363" s="202">
        <f t="shared" si="39"/>
        <v>0</v>
      </c>
      <c r="K363" s="202">
        <f t="shared" si="40"/>
        <v>0</v>
      </c>
      <c r="L363" s="201">
        <v>25</v>
      </c>
    </row>
    <row r="364" spans="1:12">
      <c r="A364" s="203">
        <v>301</v>
      </c>
      <c r="B364" s="202">
        <f t="shared" si="33"/>
        <v>0</v>
      </c>
      <c r="C364" s="202">
        <f t="shared" si="34"/>
        <v>0</v>
      </c>
      <c r="D364" s="202">
        <f t="shared" si="35"/>
        <v>0</v>
      </c>
      <c r="E364" s="202">
        <f t="shared" si="36"/>
        <v>0</v>
      </c>
      <c r="F364" s="201"/>
      <c r="G364" s="203">
        <v>301</v>
      </c>
      <c r="H364" s="202">
        <f t="shared" si="37"/>
        <v>0</v>
      </c>
      <c r="I364" s="202">
        <f t="shared" si="38"/>
        <v>0</v>
      </c>
      <c r="J364" s="202">
        <f t="shared" si="39"/>
        <v>0</v>
      </c>
      <c r="K364" s="202">
        <f t="shared" si="40"/>
        <v>0</v>
      </c>
      <c r="L364" s="201"/>
    </row>
    <row r="365" spans="1:12">
      <c r="A365" s="203">
        <v>302</v>
      </c>
      <c r="B365" s="202">
        <f t="shared" si="33"/>
        <v>0</v>
      </c>
      <c r="C365" s="202">
        <f t="shared" si="34"/>
        <v>0</v>
      </c>
      <c r="D365" s="202">
        <f t="shared" si="35"/>
        <v>0</v>
      </c>
      <c r="E365" s="202">
        <f t="shared" si="36"/>
        <v>0</v>
      </c>
      <c r="F365" s="201"/>
      <c r="G365" s="203">
        <v>302</v>
      </c>
      <c r="H365" s="202">
        <f t="shared" si="37"/>
        <v>0</v>
      </c>
      <c r="I365" s="202">
        <f t="shared" si="38"/>
        <v>0</v>
      </c>
      <c r="J365" s="202">
        <f t="shared" si="39"/>
        <v>0</v>
      </c>
      <c r="K365" s="202">
        <f t="shared" si="40"/>
        <v>0</v>
      </c>
      <c r="L365" s="201"/>
    </row>
    <row r="366" spans="1:12">
      <c r="A366" s="203">
        <v>303</v>
      </c>
      <c r="B366" s="202">
        <f t="shared" si="33"/>
        <v>0</v>
      </c>
      <c r="C366" s="202">
        <f t="shared" si="34"/>
        <v>0</v>
      </c>
      <c r="D366" s="202">
        <f t="shared" si="35"/>
        <v>0</v>
      </c>
      <c r="E366" s="202">
        <f t="shared" si="36"/>
        <v>0</v>
      </c>
      <c r="F366" s="201"/>
      <c r="G366" s="203">
        <v>303</v>
      </c>
      <c r="H366" s="202">
        <f t="shared" si="37"/>
        <v>0</v>
      </c>
      <c r="I366" s="202">
        <f t="shared" si="38"/>
        <v>0</v>
      </c>
      <c r="J366" s="202">
        <f t="shared" si="39"/>
        <v>0</v>
      </c>
      <c r="K366" s="202">
        <f t="shared" si="40"/>
        <v>0</v>
      </c>
      <c r="L366" s="201"/>
    </row>
    <row r="367" spans="1:12">
      <c r="A367" s="203">
        <v>304</v>
      </c>
      <c r="B367" s="202">
        <f t="shared" si="33"/>
        <v>0</v>
      </c>
      <c r="C367" s="202">
        <f t="shared" si="34"/>
        <v>0</v>
      </c>
      <c r="D367" s="202">
        <f t="shared" si="35"/>
        <v>0</v>
      </c>
      <c r="E367" s="202">
        <f t="shared" si="36"/>
        <v>0</v>
      </c>
      <c r="F367" s="201"/>
      <c r="G367" s="203">
        <v>304</v>
      </c>
      <c r="H367" s="202">
        <f t="shared" si="37"/>
        <v>0</v>
      </c>
      <c r="I367" s="202">
        <f t="shared" si="38"/>
        <v>0</v>
      </c>
      <c r="J367" s="202">
        <f t="shared" si="39"/>
        <v>0</v>
      </c>
      <c r="K367" s="202">
        <f t="shared" si="40"/>
        <v>0</v>
      </c>
      <c r="L367" s="201"/>
    </row>
    <row r="368" spans="1:12">
      <c r="A368" s="203">
        <v>305</v>
      </c>
      <c r="B368" s="202">
        <f t="shared" si="33"/>
        <v>0</v>
      </c>
      <c r="C368" s="202">
        <f t="shared" si="34"/>
        <v>0</v>
      </c>
      <c r="D368" s="202">
        <f t="shared" si="35"/>
        <v>0</v>
      </c>
      <c r="E368" s="202">
        <f t="shared" si="36"/>
        <v>0</v>
      </c>
      <c r="F368" s="201"/>
      <c r="G368" s="203">
        <v>305</v>
      </c>
      <c r="H368" s="202">
        <f t="shared" si="37"/>
        <v>0</v>
      </c>
      <c r="I368" s="202">
        <f t="shared" si="38"/>
        <v>0</v>
      </c>
      <c r="J368" s="202">
        <f t="shared" si="39"/>
        <v>0</v>
      </c>
      <c r="K368" s="202">
        <f t="shared" si="40"/>
        <v>0</v>
      </c>
      <c r="L368" s="201"/>
    </row>
    <row r="369" spans="1:12">
      <c r="A369" s="203">
        <v>306</v>
      </c>
      <c r="B369" s="202">
        <f t="shared" si="33"/>
        <v>0</v>
      </c>
      <c r="C369" s="202">
        <f t="shared" si="34"/>
        <v>0</v>
      </c>
      <c r="D369" s="202">
        <f t="shared" si="35"/>
        <v>0</v>
      </c>
      <c r="E369" s="202">
        <f t="shared" si="36"/>
        <v>0</v>
      </c>
      <c r="F369" s="201"/>
      <c r="G369" s="203">
        <v>306</v>
      </c>
      <c r="H369" s="202">
        <f t="shared" si="37"/>
        <v>0</v>
      </c>
      <c r="I369" s="202">
        <f t="shared" si="38"/>
        <v>0</v>
      </c>
      <c r="J369" s="202">
        <f t="shared" si="39"/>
        <v>0</v>
      </c>
      <c r="K369" s="202">
        <f t="shared" si="40"/>
        <v>0</v>
      </c>
      <c r="L369" s="201"/>
    </row>
    <row r="370" spans="1:12">
      <c r="A370" s="203">
        <v>307</v>
      </c>
      <c r="B370" s="202">
        <f t="shared" si="33"/>
        <v>0</v>
      </c>
      <c r="C370" s="202">
        <f t="shared" si="34"/>
        <v>0</v>
      </c>
      <c r="D370" s="202">
        <f t="shared" si="35"/>
        <v>0</v>
      </c>
      <c r="E370" s="202">
        <f t="shared" si="36"/>
        <v>0</v>
      </c>
      <c r="F370" s="201"/>
      <c r="G370" s="203">
        <v>307</v>
      </c>
      <c r="H370" s="202">
        <f t="shared" si="37"/>
        <v>0</v>
      </c>
      <c r="I370" s="202">
        <f t="shared" si="38"/>
        <v>0</v>
      </c>
      <c r="J370" s="202">
        <f t="shared" si="39"/>
        <v>0</v>
      </c>
      <c r="K370" s="202">
        <f t="shared" si="40"/>
        <v>0</v>
      </c>
      <c r="L370" s="201"/>
    </row>
    <row r="371" spans="1:12">
      <c r="A371" s="203">
        <v>308</v>
      </c>
      <c r="B371" s="202">
        <f t="shared" si="33"/>
        <v>0</v>
      </c>
      <c r="C371" s="202">
        <f t="shared" si="34"/>
        <v>0</v>
      </c>
      <c r="D371" s="202">
        <f t="shared" si="35"/>
        <v>0</v>
      </c>
      <c r="E371" s="202">
        <f t="shared" si="36"/>
        <v>0</v>
      </c>
      <c r="F371" s="201"/>
      <c r="G371" s="203">
        <v>308</v>
      </c>
      <c r="H371" s="202">
        <f t="shared" si="37"/>
        <v>0</v>
      </c>
      <c r="I371" s="202">
        <f t="shared" si="38"/>
        <v>0</v>
      </c>
      <c r="J371" s="202">
        <f t="shared" si="39"/>
        <v>0</v>
      </c>
      <c r="K371" s="202">
        <f t="shared" si="40"/>
        <v>0</v>
      </c>
      <c r="L371" s="201"/>
    </row>
    <row r="372" spans="1:12">
      <c r="A372" s="203">
        <v>309</v>
      </c>
      <c r="B372" s="202">
        <f t="shared" si="33"/>
        <v>0</v>
      </c>
      <c r="C372" s="202">
        <f t="shared" si="34"/>
        <v>0</v>
      </c>
      <c r="D372" s="202">
        <f t="shared" si="35"/>
        <v>0</v>
      </c>
      <c r="E372" s="202">
        <f t="shared" si="36"/>
        <v>0</v>
      </c>
      <c r="F372" s="201"/>
      <c r="G372" s="203">
        <v>309</v>
      </c>
      <c r="H372" s="202">
        <f t="shared" si="37"/>
        <v>0</v>
      </c>
      <c r="I372" s="202">
        <f t="shared" si="38"/>
        <v>0</v>
      </c>
      <c r="J372" s="202">
        <f t="shared" si="39"/>
        <v>0</v>
      </c>
      <c r="K372" s="202">
        <f t="shared" si="40"/>
        <v>0</v>
      </c>
      <c r="L372" s="201"/>
    </row>
    <row r="373" spans="1:12">
      <c r="A373" s="203">
        <v>310</v>
      </c>
      <c r="B373" s="202">
        <f t="shared" si="33"/>
        <v>0</v>
      </c>
      <c r="C373" s="202">
        <f t="shared" si="34"/>
        <v>0</v>
      </c>
      <c r="D373" s="202">
        <f t="shared" si="35"/>
        <v>0</v>
      </c>
      <c r="E373" s="202">
        <f t="shared" si="36"/>
        <v>0</v>
      </c>
      <c r="F373" s="201"/>
      <c r="G373" s="203">
        <v>310</v>
      </c>
      <c r="H373" s="202">
        <f t="shared" si="37"/>
        <v>0</v>
      </c>
      <c r="I373" s="202">
        <f t="shared" si="38"/>
        <v>0</v>
      </c>
      <c r="J373" s="202">
        <f t="shared" si="39"/>
        <v>0</v>
      </c>
      <c r="K373" s="202">
        <f t="shared" si="40"/>
        <v>0</v>
      </c>
      <c r="L373" s="201"/>
    </row>
    <row r="374" spans="1:12">
      <c r="A374" s="203">
        <v>311</v>
      </c>
      <c r="B374" s="202">
        <f t="shared" si="33"/>
        <v>0</v>
      </c>
      <c r="C374" s="202">
        <f t="shared" si="34"/>
        <v>0</v>
      </c>
      <c r="D374" s="202">
        <f t="shared" si="35"/>
        <v>0</v>
      </c>
      <c r="E374" s="202">
        <f t="shared" si="36"/>
        <v>0</v>
      </c>
      <c r="F374" s="201"/>
      <c r="G374" s="203">
        <v>311</v>
      </c>
      <c r="H374" s="202">
        <f t="shared" si="37"/>
        <v>0</v>
      </c>
      <c r="I374" s="202">
        <f t="shared" si="38"/>
        <v>0</v>
      </c>
      <c r="J374" s="202">
        <f t="shared" si="39"/>
        <v>0</v>
      </c>
      <c r="K374" s="202">
        <f t="shared" si="40"/>
        <v>0</v>
      </c>
      <c r="L374" s="201"/>
    </row>
    <row r="375" spans="1:12">
      <c r="A375" s="203">
        <v>312</v>
      </c>
      <c r="B375" s="202">
        <f t="shared" si="33"/>
        <v>0</v>
      </c>
      <c r="C375" s="202">
        <f t="shared" si="34"/>
        <v>0</v>
      </c>
      <c r="D375" s="202">
        <f t="shared" si="35"/>
        <v>0</v>
      </c>
      <c r="E375" s="202">
        <f t="shared" si="36"/>
        <v>0</v>
      </c>
      <c r="F375" s="201">
        <v>26</v>
      </c>
      <c r="G375" s="203">
        <v>312</v>
      </c>
      <c r="H375" s="202">
        <f t="shared" si="37"/>
        <v>0</v>
      </c>
      <c r="I375" s="202">
        <f t="shared" si="38"/>
        <v>0</v>
      </c>
      <c r="J375" s="202">
        <f t="shared" si="39"/>
        <v>0</v>
      </c>
      <c r="K375" s="202">
        <f t="shared" si="40"/>
        <v>0</v>
      </c>
      <c r="L375" s="201">
        <v>26</v>
      </c>
    </row>
    <row r="376" spans="1:12">
      <c r="A376" s="203">
        <v>313</v>
      </c>
      <c r="B376" s="202">
        <f t="shared" si="33"/>
        <v>0</v>
      </c>
      <c r="C376" s="202">
        <f t="shared" si="34"/>
        <v>0</v>
      </c>
      <c r="D376" s="202">
        <f t="shared" si="35"/>
        <v>0</v>
      </c>
      <c r="E376" s="202">
        <f t="shared" si="36"/>
        <v>0</v>
      </c>
      <c r="F376" s="201"/>
      <c r="G376" s="203">
        <v>313</v>
      </c>
      <c r="H376" s="202">
        <f t="shared" si="37"/>
        <v>0</v>
      </c>
      <c r="I376" s="202">
        <f t="shared" si="38"/>
        <v>0</v>
      </c>
      <c r="J376" s="202">
        <f t="shared" si="39"/>
        <v>0</v>
      </c>
      <c r="K376" s="202">
        <f t="shared" si="40"/>
        <v>0</v>
      </c>
      <c r="L376" s="201"/>
    </row>
    <row r="377" spans="1:12">
      <c r="A377" s="203">
        <v>314</v>
      </c>
      <c r="B377" s="202">
        <f t="shared" si="33"/>
        <v>0</v>
      </c>
      <c r="C377" s="202">
        <f t="shared" si="34"/>
        <v>0</v>
      </c>
      <c r="D377" s="202">
        <f t="shared" si="35"/>
        <v>0</v>
      </c>
      <c r="E377" s="202">
        <f t="shared" si="36"/>
        <v>0</v>
      </c>
      <c r="F377" s="201"/>
      <c r="G377" s="203">
        <v>314</v>
      </c>
      <c r="H377" s="202">
        <f t="shared" si="37"/>
        <v>0</v>
      </c>
      <c r="I377" s="202">
        <f t="shared" si="38"/>
        <v>0</v>
      </c>
      <c r="J377" s="202">
        <f t="shared" si="39"/>
        <v>0</v>
      </c>
      <c r="K377" s="202">
        <f t="shared" si="40"/>
        <v>0</v>
      </c>
      <c r="L377" s="201"/>
    </row>
    <row r="378" spans="1:12">
      <c r="A378" s="203">
        <v>315</v>
      </c>
      <c r="B378" s="202">
        <f t="shared" si="33"/>
        <v>0</v>
      </c>
      <c r="C378" s="202">
        <f t="shared" si="34"/>
        <v>0</v>
      </c>
      <c r="D378" s="202">
        <f t="shared" si="35"/>
        <v>0</v>
      </c>
      <c r="E378" s="202">
        <f t="shared" si="36"/>
        <v>0</v>
      </c>
      <c r="F378" s="201"/>
      <c r="G378" s="203">
        <v>315</v>
      </c>
      <c r="H378" s="202">
        <f t="shared" si="37"/>
        <v>0</v>
      </c>
      <c r="I378" s="202">
        <f t="shared" si="38"/>
        <v>0</v>
      </c>
      <c r="J378" s="202">
        <f t="shared" si="39"/>
        <v>0</v>
      </c>
      <c r="K378" s="202">
        <f t="shared" si="40"/>
        <v>0</v>
      </c>
      <c r="L378" s="201"/>
    </row>
    <row r="379" spans="1:12">
      <c r="A379" s="203">
        <v>316</v>
      </c>
      <c r="B379" s="202">
        <f t="shared" si="33"/>
        <v>0</v>
      </c>
      <c r="C379" s="202">
        <f t="shared" si="34"/>
        <v>0</v>
      </c>
      <c r="D379" s="202">
        <f t="shared" si="35"/>
        <v>0</v>
      </c>
      <c r="E379" s="202">
        <f t="shared" si="36"/>
        <v>0</v>
      </c>
      <c r="F379" s="201"/>
      <c r="G379" s="203">
        <v>316</v>
      </c>
      <c r="H379" s="202">
        <f t="shared" si="37"/>
        <v>0</v>
      </c>
      <c r="I379" s="202">
        <f t="shared" si="38"/>
        <v>0</v>
      </c>
      <c r="J379" s="202">
        <f t="shared" si="39"/>
        <v>0</v>
      </c>
      <c r="K379" s="202">
        <f t="shared" si="40"/>
        <v>0</v>
      </c>
      <c r="L379" s="201"/>
    </row>
    <row r="380" spans="1:12">
      <c r="A380" s="203">
        <v>317</v>
      </c>
      <c r="B380" s="202">
        <f t="shared" si="33"/>
        <v>0</v>
      </c>
      <c r="C380" s="202">
        <f t="shared" si="34"/>
        <v>0</v>
      </c>
      <c r="D380" s="202">
        <f t="shared" si="35"/>
        <v>0</v>
      </c>
      <c r="E380" s="202">
        <f t="shared" si="36"/>
        <v>0</v>
      </c>
      <c r="F380" s="201"/>
      <c r="G380" s="203">
        <v>317</v>
      </c>
      <c r="H380" s="202">
        <f t="shared" si="37"/>
        <v>0</v>
      </c>
      <c r="I380" s="202">
        <f t="shared" si="38"/>
        <v>0</v>
      </c>
      <c r="J380" s="202">
        <f t="shared" si="39"/>
        <v>0</v>
      </c>
      <c r="K380" s="202">
        <f t="shared" si="40"/>
        <v>0</v>
      </c>
      <c r="L380" s="201"/>
    </row>
    <row r="381" spans="1:12">
      <c r="A381" s="203">
        <v>318</v>
      </c>
      <c r="B381" s="202">
        <f t="shared" si="33"/>
        <v>0</v>
      </c>
      <c r="C381" s="202">
        <f t="shared" si="34"/>
        <v>0</v>
      </c>
      <c r="D381" s="202">
        <f t="shared" si="35"/>
        <v>0</v>
      </c>
      <c r="E381" s="202">
        <f t="shared" si="36"/>
        <v>0</v>
      </c>
      <c r="F381" s="201"/>
      <c r="G381" s="203">
        <v>318</v>
      </c>
      <c r="H381" s="202">
        <f t="shared" si="37"/>
        <v>0</v>
      </c>
      <c r="I381" s="202">
        <f t="shared" si="38"/>
        <v>0</v>
      </c>
      <c r="J381" s="202">
        <f t="shared" si="39"/>
        <v>0</v>
      </c>
      <c r="K381" s="202">
        <f t="shared" si="40"/>
        <v>0</v>
      </c>
      <c r="L381" s="201"/>
    </row>
    <row r="382" spans="1:12">
      <c r="A382" s="203">
        <v>319</v>
      </c>
      <c r="B382" s="202">
        <f t="shared" si="33"/>
        <v>0</v>
      </c>
      <c r="C382" s="202">
        <f t="shared" si="34"/>
        <v>0</v>
      </c>
      <c r="D382" s="202">
        <f t="shared" si="35"/>
        <v>0</v>
      </c>
      <c r="E382" s="202">
        <f t="shared" si="36"/>
        <v>0</v>
      </c>
      <c r="F382" s="201"/>
      <c r="G382" s="203">
        <v>319</v>
      </c>
      <c r="H382" s="202">
        <f t="shared" si="37"/>
        <v>0</v>
      </c>
      <c r="I382" s="202">
        <f t="shared" si="38"/>
        <v>0</v>
      </c>
      <c r="J382" s="202">
        <f t="shared" si="39"/>
        <v>0</v>
      </c>
      <c r="K382" s="202">
        <f t="shared" si="40"/>
        <v>0</v>
      </c>
      <c r="L382" s="201"/>
    </row>
    <row r="383" spans="1:12">
      <c r="A383" s="203">
        <v>320</v>
      </c>
      <c r="B383" s="202">
        <f t="shared" si="33"/>
        <v>0</v>
      </c>
      <c r="C383" s="202">
        <f t="shared" si="34"/>
        <v>0</v>
      </c>
      <c r="D383" s="202">
        <f t="shared" si="35"/>
        <v>0</v>
      </c>
      <c r="E383" s="202">
        <f t="shared" si="36"/>
        <v>0</v>
      </c>
      <c r="F383" s="201"/>
      <c r="G383" s="203">
        <v>320</v>
      </c>
      <c r="H383" s="202">
        <f t="shared" si="37"/>
        <v>0</v>
      </c>
      <c r="I383" s="202">
        <f t="shared" si="38"/>
        <v>0</v>
      </c>
      <c r="J383" s="202">
        <f t="shared" si="39"/>
        <v>0</v>
      </c>
      <c r="K383" s="202">
        <f t="shared" si="40"/>
        <v>0</v>
      </c>
      <c r="L383" s="201"/>
    </row>
    <row r="384" spans="1:12">
      <c r="A384" s="203">
        <v>321</v>
      </c>
      <c r="B384" s="202">
        <f t="shared" ref="B384:B447" si="41">IF(A384&gt;12*$C$9,0,IF($C$5&gt;1500000,$D$12,$C$12))</f>
        <v>0</v>
      </c>
      <c r="C384" s="202">
        <f t="shared" ref="C384:C447" si="42">IF(A384&gt;12*$C$9,0,E383*$C$7/12)</f>
        <v>0</v>
      </c>
      <c r="D384" s="202">
        <f t="shared" ref="D384:D447" si="43">IF(A384&gt;12*$C$9,0,B384-C384)</f>
        <v>0</v>
      </c>
      <c r="E384" s="202">
        <f t="shared" ref="E384:E447" si="44">IF(A384&gt;12*$C$9,0,E383-D384)</f>
        <v>0</v>
      </c>
      <c r="F384" s="201"/>
      <c r="G384" s="203">
        <v>321</v>
      </c>
      <c r="H384" s="202">
        <f t="shared" ref="H384:H447" si="45">IF(G384&gt;12*$C$9,0,IF($C$5&gt;1500000,$E$12,0))</f>
        <v>0</v>
      </c>
      <c r="I384" s="202">
        <f t="shared" ref="I384:I447" si="46">IF(G384&gt;12*$C$9,0,K383*$C$7/12)</f>
        <v>0</v>
      </c>
      <c r="J384" s="202">
        <f t="shared" ref="J384:J447" si="47">IF(G384&gt;12*$C$9,0,H384-I384)</f>
        <v>0</v>
      </c>
      <c r="K384" s="202">
        <f t="shared" ref="K384:K447" si="48">IF(G384&gt;12*$C$9,0,K383-J384)</f>
        <v>0</v>
      </c>
      <c r="L384" s="201"/>
    </row>
    <row r="385" spans="1:12">
      <c r="A385" s="203">
        <v>322</v>
      </c>
      <c r="B385" s="202">
        <f t="shared" si="41"/>
        <v>0</v>
      </c>
      <c r="C385" s="202">
        <f t="shared" si="42"/>
        <v>0</v>
      </c>
      <c r="D385" s="202">
        <f t="shared" si="43"/>
        <v>0</v>
      </c>
      <c r="E385" s="202">
        <f t="shared" si="44"/>
        <v>0</v>
      </c>
      <c r="F385" s="201"/>
      <c r="G385" s="203">
        <v>322</v>
      </c>
      <c r="H385" s="202">
        <f t="shared" si="45"/>
        <v>0</v>
      </c>
      <c r="I385" s="202">
        <f t="shared" si="46"/>
        <v>0</v>
      </c>
      <c r="J385" s="202">
        <f t="shared" si="47"/>
        <v>0</v>
      </c>
      <c r="K385" s="202">
        <f t="shared" si="48"/>
        <v>0</v>
      </c>
      <c r="L385" s="201"/>
    </row>
    <row r="386" spans="1:12">
      <c r="A386" s="203">
        <v>323</v>
      </c>
      <c r="B386" s="202">
        <f t="shared" si="41"/>
        <v>0</v>
      </c>
      <c r="C386" s="202">
        <f t="shared" si="42"/>
        <v>0</v>
      </c>
      <c r="D386" s="202">
        <f t="shared" si="43"/>
        <v>0</v>
      </c>
      <c r="E386" s="202">
        <f t="shared" si="44"/>
        <v>0</v>
      </c>
      <c r="F386" s="201"/>
      <c r="G386" s="203">
        <v>323</v>
      </c>
      <c r="H386" s="202">
        <f t="shared" si="45"/>
        <v>0</v>
      </c>
      <c r="I386" s="202">
        <f t="shared" si="46"/>
        <v>0</v>
      </c>
      <c r="J386" s="202">
        <f t="shared" si="47"/>
        <v>0</v>
      </c>
      <c r="K386" s="202">
        <f t="shared" si="48"/>
        <v>0</v>
      </c>
      <c r="L386" s="201"/>
    </row>
    <row r="387" spans="1:12">
      <c r="A387" s="203">
        <v>324</v>
      </c>
      <c r="B387" s="202">
        <f t="shared" si="41"/>
        <v>0</v>
      </c>
      <c r="C387" s="202">
        <f t="shared" si="42"/>
        <v>0</v>
      </c>
      <c r="D387" s="202">
        <f t="shared" si="43"/>
        <v>0</v>
      </c>
      <c r="E387" s="202">
        <f t="shared" si="44"/>
        <v>0</v>
      </c>
      <c r="F387" s="201">
        <v>27</v>
      </c>
      <c r="G387" s="203">
        <v>324</v>
      </c>
      <c r="H387" s="202">
        <f t="shared" si="45"/>
        <v>0</v>
      </c>
      <c r="I387" s="202">
        <f t="shared" si="46"/>
        <v>0</v>
      </c>
      <c r="J387" s="202">
        <f t="shared" si="47"/>
        <v>0</v>
      </c>
      <c r="K387" s="202">
        <f t="shared" si="48"/>
        <v>0</v>
      </c>
      <c r="L387" s="201">
        <v>27</v>
      </c>
    </row>
    <row r="388" spans="1:12">
      <c r="A388" s="203">
        <v>325</v>
      </c>
      <c r="B388" s="202">
        <f t="shared" si="41"/>
        <v>0</v>
      </c>
      <c r="C388" s="202">
        <f t="shared" si="42"/>
        <v>0</v>
      </c>
      <c r="D388" s="202">
        <f t="shared" si="43"/>
        <v>0</v>
      </c>
      <c r="E388" s="202">
        <f t="shared" si="44"/>
        <v>0</v>
      </c>
      <c r="F388" s="201"/>
      <c r="G388" s="203">
        <v>325</v>
      </c>
      <c r="H388" s="202">
        <f t="shared" si="45"/>
        <v>0</v>
      </c>
      <c r="I388" s="202">
        <f t="shared" si="46"/>
        <v>0</v>
      </c>
      <c r="J388" s="202">
        <f t="shared" si="47"/>
        <v>0</v>
      </c>
      <c r="K388" s="202">
        <f t="shared" si="48"/>
        <v>0</v>
      </c>
      <c r="L388" s="201"/>
    </row>
    <row r="389" spans="1:12">
      <c r="A389" s="203">
        <v>326</v>
      </c>
      <c r="B389" s="202">
        <f t="shared" si="41"/>
        <v>0</v>
      </c>
      <c r="C389" s="202">
        <f t="shared" si="42"/>
        <v>0</v>
      </c>
      <c r="D389" s="202">
        <f t="shared" si="43"/>
        <v>0</v>
      </c>
      <c r="E389" s="202">
        <f t="shared" si="44"/>
        <v>0</v>
      </c>
      <c r="F389" s="201"/>
      <c r="G389" s="203">
        <v>326</v>
      </c>
      <c r="H389" s="202">
        <f t="shared" si="45"/>
        <v>0</v>
      </c>
      <c r="I389" s="202">
        <f t="shared" si="46"/>
        <v>0</v>
      </c>
      <c r="J389" s="202">
        <f t="shared" si="47"/>
        <v>0</v>
      </c>
      <c r="K389" s="202">
        <f t="shared" si="48"/>
        <v>0</v>
      </c>
      <c r="L389" s="201"/>
    </row>
    <row r="390" spans="1:12">
      <c r="A390" s="203">
        <v>327</v>
      </c>
      <c r="B390" s="202">
        <f t="shared" si="41"/>
        <v>0</v>
      </c>
      <c r="C390" s="202">
        <f t="shared" si="42"/>
        <v>0</v>
      </c>
      <c r="D390" s="202">
        <f t="shared" si="43"/>
        <v>0</v>
      </c>
      <c r="E390" s="202">
        <f t="shared" si="44"/>
        <v>0</v>
      </c>
      <c r="F390" s="201"/>
      <c r="G390" s="203">
        <v>327</v>
      </c>
      <c r="H390" s="202">
        <f t="shared" si="45"/>
        <v>0</v>
      </c>
      <c r="I390" s="202">
        <f t="shared" si="46"/>
        <v>0</v>
      </c>
      <c r="J390" s="202">
        <f t="shared" si="47"/>
        <v>0</v>
      </c>
      <c r="K390" s="202">
        <f t="shared" si="48"/>
        <v>0</v>
      </c>
      <c r="L390" s="201"/>
    </row>
    <row r="391" spans="1:12">
      <c r="A391" s="203">
        <v>328</v>
      </c>
      <c r="B391" s="202">
        <f t="shared" si="41"/>
        <v>0</v>
      </c>
      <c r="C391" s="202">
        <f t="shared" si="42"/>
        <v>0</v>
      </c>
      <c r="D391" s="202">
        <f t="shared" si="43"/>
        <v>0</v>
      </c>
      <c r="E391" s="202">
        <f t="shared" si="44"/>
        <v>0</v>
      </c>
      <c r="F391" s="201"/>
      <c r="G391" s="203">
        <v>328</v>
      </c>
      <c r="H391" s="202">
        <f t="shared" si="45"/>
        <v>0</v>
      </c>
      <c r="I391" s="202">
        <f t="shared" si="46"/>
        <v>0</v>
      </c>
      <c r="J391" s="202">
        <f t="shared" si="47"/>
        <v>0</v>
      </c>
      <c r="K391" s="202">
        <f t="shared" si="48"/>
        <v>0</v>
      </c>
      <c r="L391" s="201"/>
    </row>
    <row r="392" spans="1:12">
      <c r="A392" s="203">
        <v>329</v>
      </c>
      <c r="B392" s="202">
        <f t="shared" si="41"/>
        <v>0</v>
      </c>
      <c r="C392" s="202">
        <f t="shared" si="42"/>
        <v>0</v>
      </c>
      <c r="D392" s="202">
        <f t="shared" si="43"/>
        <v>0</v>
      </c>
      <c r="E392" s="202">
        <f t="shared" si="44"/>
        <v>0</v>
      </c>
      <c r="F392" s="201"/>
      <c r="G392" s="203">
        <v>329</v>
      </c>
      <c r="H392" s="202">
        <f t="shared" si="45"/>
        <v>0</v>
      </c>
      <c r="I392" s="202">
        <f t="shared" si="46"/>
        <v>0</v>
      </c>
      <c r="J392" s="202">
        <f t="shared" si="47"/>
        <v>0</v>
      </c>
      <c r="K392" s="202">
        <f t="shared" si="48"/>
        <v>0</v>
      </c>
      <c r="L392" s="201"/>
    </row>
    <row r="393" spans="1:12">
      <c r="A393" s="203">
        <v>330</v>
      </c>
      <c r="B393" s="202">
        <f t="shared" si="41"/>
        <v>0</v>
      </c>
      <c r="C393" s="202">
        <f t="shared" si="42"/>
        <v>0</v>
      </c>
      <c r="D393" s="202">
        <f t="shared" si="43"/>
        <v>0</v>
      </c>
      <c r="E393" s="202">
        <f t="shared" si="44"/>
        <v>0</v>
      </c>
      <c r="F393" s="201"/>
      <c r="G393" s="203">
        <v>330</v>
      </c>
      <c r="H393" s="202">
        <f t="shared" si="45"/>
        <v>0</v>
      </c>
      <c r="I393" s="202">
        <f t="shared" si="46"/>
        <v>0</v>
      </c>
      <c r="J393" s="202">
        <f t="shared" si="47"/>
        <v>0</v>
      </c>
      <c r="K393" s="202">
        <f t="shared" si="48"/>
        <v>0</v>
      </c>
      <c r="L393" s="201"/>
    </row>
    <row r="394" spans="1:12">
      <c r="A394" s="203">
        <v>331</v>
      </c>
      <c r="B394" s="202">
        <f t="shared" si="41"/>
        <v>0</v>
      </c>
      <c r="C394" s="202">
        <f t="shared" si="42"/>
        <v>0</v>
      </c>
      <c r="D394" s="202">
        <f t="shared" si="43"/>
        <v>0</v>
      </c>
      <c r="E394" s="202">
        <f t="shared" si="44"/>
        <v>0</v>
      </c>
      <c r="F394" s="201"/>
      <c r="G394" s="203">
        <v>331</v>
      </c>
      <c r="H394" s="202">
        <f t="shared" si="45"/>
        <v>0</v>
      </c>
      <c r="I394" s="202">
        <f t="shared" si="46"/>
        <v>0</v>
      </c>
      <c r="J394" s="202">
        <f t="shared" si="47"/>
        <v>0</v>
      </c>
      <c r="K394" s="202">
        <f t="shared" si="48"/>
        <v>0</v>
      </c>
      <c r="L394" s="201"/>
    </row>
    <row r="395" spans="1:12">
      <c r="A395" s="203">
        <v>332</v>
      </c>
      <c r="B395" s="202">
        <f t="shared" si="41"/>
        <v>0</v>
      </c>
      <c r="C395" s="202">
        <f t="shared" si="42"/>
        <v>0</v>
      </c>
      <c r="D395" s="202">
        <f t="shared" si="43"/>
        <v>0</v>
      </c>
      <c r="E395" s="202">
        <f t="shared" si="44"/>
        <v>0</v>
      </c>
      <c r="F395" s="201"/>
      <c r="G395" s="203">
        <v>332</v>
      </c>
      <c r="H395" s="202">
        <f t="shared" si="45"/>
        <v>0</v>
      </c>
      <c r="I395" s="202">
        <f t="shared" si="46"/>
        <v>0</v>
      </c>
      <c r="J395" s="202">
        <f t="shared" si="47"/>
        <v>0</v>
      </c>
      <c r="K395" s="202">
        <f t="shared" si="48"/>
        <v>0</v>
      </c>
      <c r="L395" s="201"/>
    </row>
    <row r="396" spans="1:12">
      <c r="A396" s="203">
        <v>333</v>
      </c>
      <c r="B396" s="202">
        <f t="shared" si="41"/>
        <v>0</v>
      </c>
      <c r="C396" s="202">
        <f t="shared" si="42"/>
        <v>0</v>
      </c>
      <c r="D396" s="202">
        <f t="shared" si="43"/>
        <v>0</v>
      </c>
      <c r="E396" s="202">
        <f t="shared" si="44"/>
        <v>0</v>
      </c>
      <c r="F396" s="201"/>
      <c r="G396" s="203">
        <v>333</v>
      </c>
      <c r="H396" s="202">
        <f t="shared" si="45"/>
        <v>0</v>
      </c>
      <c r="I396" s="202">
        <f t="shared" si="46"/>
        <v>0</v>
      </c>
      <c r="J396" s="202">
        <f t="shared" si="47"/>
        <v>0</v>
      </c>
      <c r="K396" s="202">
        <f t="shared" si="48"/>
        <v>0</v>
      </c>
      <c r="L396" s="201"/>
    </row>
    <row r="397" spans="1:12">
      <c r="A397" s="203">
        <v>334</v>
      </c>
      <c r="B397" s="202">
        <f t="shared" si="41"/>
        <v>0</v>
      </c>
      <c r="C397" s="202">
        <f t="shared" si="42"/>
        <v>0</v>
      </c>
      <c r="D397" s="202">
        <f t="shared" si="43"/>
        <v>0</v>
      </c>
      <c r="E397" s="202">
        <f t="shared" si="44"/>
        <v>0</v>
      </c>
      <c r="F397" s="201"/>
      <c r="G397" s="203">
        <v>334</v>
      </c>
      <c r="H397" s="202">
        <f t="shared" si="45"/>
        <v>0</v>
      </c>
      <c r="I397" s="202">
        <f t="shared" si="46"/>
        <v>0</v>
      </c>
      <c r="J397" s="202">
        <f t="shared" si="47"/>
        <v>0</v>
      </c>
      <c r="K397" s="202">
        <f t="shared" si="48"/>
        <v>0</v>
      </c>
      <c r="L397" s="201"/>
    </row>
    <row r="398" spans="1:12">
      <c r="A398" s="203">
        <v>335</v>
      </c>
      <c r="B398" s="202">
        <f t="shared" si="41"/>
        <v>0</v>
      </c>
      <c r="C398" s="202">
        <f t="shared" si="42"/>
        <v>0</v>
      </c>
      <c r="D398" s="202">
        <f t="shared" si="43"/>
        <v>0</v>
      </c>
      <c r="E398" s="202">
        <f t="shared" si="44"/>
        <v>0</v>
      </c>
      <c r="F398" s="201"/>
      <c r="G398" s="203">
        <v>335</v>
      </c>
      <c r="H398" s="202">
        <f t="shared" si="45"/>
        <v>0</v>
      </c>
      <c r="I398" s="202">
        <f t="shared" si="46"/>
        <v>0</v>
      </c>
      <c r="J398" s="202">
        <f t="shared" si="47"/>
        <v>0</v>
      </c>
      <c r="K398" s="202">
        <f t="shared" si="48"/>
        <v>0</v>
      </c>
      <c r="L398" s="201"/>
    </row>
    <row r="399" spans="1:12">
      <c r="A399" s="203">
        <v>336</v>
      </c>
      <c r="B399" s="202">
        <f t="shared" si="41"/>
        <v>0</v>
      </c>
      <c r="C399" s="202">
        <f t="shared" si="42"/>
        <v>0</v>
      </c>
      <c r="D399" s="202">
        <f t="shared" si="43"/>
        <v>0</v>
      </c>
      <c r="E399" s="202">
        <f t="shared" si="44"/>
        <v>0</v>
      </c>
      <c r="F399" s="201">
        <v>28</v>
      </c>
      <c r="G399" s="203">
        <v>336</v>
      </c>
      <c r="H399" s="202">
        <f t="shared" si="45"/>
        <v>0</v>
      </c>
      <c r="I399" s="202">
        <f t="shared" si="46"/>
        <v>0</v>
      </c>
      <c r="J399" s="202">
        <f t="shared" si="47"/>
        <v>0</v>
      </c>
      <c r="K399" s="202">
        <f t="shared" si="48"/>
        <v>0</v>
      </c>
      <c r="L399" s="201">
        <v>28</v>
      </c>
    </row>
    <row r="400" spans="1:12">
      <c r="A400" s="203">
        <v>337</v>
      </c>
      <c r="B400" s="202">
        <f t="shared" si="41"/>
        <v>0</v>
      </c>
      <c r="C400" s="202">
        <f t="shared" si="42"/>
        <v>0</v>
      </c>
      <c r="D400" s="202">
        <f t="shared" si="43"/>
        <v>0</v>
      </c>
      <c r="E400" s="202">
        <f t="shared" si="44"/>
        <v>0</v>
      </c>
      <c r="F400" s="201"/>
      <c r="G400" s="203">
        <v>337</v>
      </c>
      <c r="H400" s="202">
        <f t="shared" si="45"/>
        <v>0</v>
      </c>
      <c r="I400" s="202">
        <f t="shared" si="46"/>
        <v>0</v>
      </c>
      <c r="J400" s="202">
        <f t="shared" si="47"/>
        <v>0</v>
      </c>
      <c r="K400" s="202">
        <f t="shared" si="48"/>
        <v>0</v>
      </c>
      <c r="L400" s="201"/>
    </row>
    <row r="401" spans="1:12">
      <c r="A401" s="203">
        <v>338</v>
      </c>
      <c r="B401" s="202">
        <f t="shared" si="41"/>
        <v>0</v>
      </c>
      <c r="C401" s="202">
        <f t="shared" si="42"/>
        <v>0</v>
      </c>
      <c r="D401" s="202">
        <f t="shared" si="43"/>
        <v>0</v>
      </c>
      <c r="E401" s="202">
        <f t="shared" si="44"/>
        <v>0</v>
      </c>
      <c r="F401" s="201"/>
      <c r="G401" s="203">
        <v>338</v>
      </c>
      <c r="H401" s="202">
        <f t="shared" si="45"/>
        <v>0</v>
      </c>
      <c r="I401" s="202">
        <f t="shared" si="46"/>
        <v>0</v>
      </c>
      <c r="J401" s="202">
        <f t="shared" si="47"/>
        <v>0</v>
      </c>
      <c r="K401" s="202">
        <f t="shared" si="48"/>
        <v>0</v>
      </c>
      <c r="L401" s="201"/>
    </row>
    <row r="402" spans="1:12">
      <c r="A402" s="203">
        <v>339</v>
      </c>
      <c r="B402" s="202">
        <f t="shared" si="41"/>
        <v>0</v>
      </c>
      <c r="C402" s="202">
        <f t="shared" si="42"/>
        <v>0</v>
      </c>
      <c r="D402" s="202">
        <f t="shared" si="43"/>
        <v>0</v>
      </c>
      <c r="E402" s="202">
        <f t="shared" si="44"/>
        <v>0</v>
      </c>
      <c r="F402" s="201"/>
      <c r="G402" s="203">
        <v>339</v>
      </c>
      <c r="H402" s="202">
        <f t="shared" si="45"/>
        <v>0</v>
      </c>
      <c r="I402" s="202">
        <f t="shared" si="46"/>
        <v>0</v>
      </c>
      <c r="J402" s="202">
        <f t="shared" si="47"/>
        <v>0</v>
      </c>
      <c r="K402" s="202">
        <f t="shared" si="48"/>
        <v>0</v>
      </c>
      <c r="L402" s="201"/>
    </row>
    <row r="403" spans="1:12">
      <c r="A403" s="203">
        <v>340</v>
      </c>
      <c r="B403" s="202">
        <f t="shared" si="41"/>
        <v>0</v>
      </c>
      <c r="C403" s="202">
        <f t="shared" si="42"/>
        <v>0</v>
      </c>
      <c r="D403" s="202">
        <f t="shared" si="43"/>
        <v>0</v>
      </c>
      <c r="E403" s="202">
        <f t="shared" si="44"/>
        <v>0</v>
      </c>
      <c r="F403" s="201"/>
      <c r="G403" s="203">
        <v>340</v>
      </c>
      <c r="H403" s="202">
        <f t="shared" si="45"/>
        <v>0</v>
      </c>
      <c r="I403" s="202">
        <f t="shared" si="46"/>
        <v>0</v>
      </c>
      <c r="J403" s="202">
        <f t="shared" si="47"/>
        <v>0</v>
      </c>
      <c r="K403" s="202">
        <f t="shared" si="48"/>
        <v>0</v>
      </c>
      <c r="L403" s="201"/>
    </row>
    <row r="404" spans="1:12">
      <c r="A404" s="203">
        <v>341</v>
      </c>
      <c r="B404" s="202">
        <f t="shared" si="41"/>
        <v>0</v>
      </c>
      <c r="C404" s="202">
        <f t="shared" si="42"/>
        <v>0</v>
      </c>
      <c r="D404" s="202">
        <f t="shared" si="43"/>
        <v>0</v>
      </c>
      <c r="E404" s="202">
        <f t="shared" si="44"/>
        <v>0</v>
      </c>
      <c r="F404" s="201"/>
      <c r="G404" s="203">
        <v>341</v>
      </c>
      <c r="H404" s="202">
        <f t="shared" si="45"/>
        <v>0</v>
      </c>
      <c r="I404" s="202">
        <f t="shared" si="46"/>
        <v>0</v>
      </c>
      <c r="J404" s="202">
        <f t="shared" si="47"/>
        <v>0</v>
      </c>
      <c r="K404" s="202">
        <f t="shared" si="48"/>
        <v>0</v>
      </c>
      <c r="L404" s="201"/>
    </row>
    <row r="405" spans="1:12">
      <c r="A405" s="203">
        <v>342</v>
      </c>
      <c r="B405" s="202">
        <f t="shared" si="41"/>
        <v>0</v>
      </c>
      <c r="C405" s="202">
        <f t="shared" si="42"/>
        <v>0</v>
      </c>
      <c r="D405" s="202">
        <f t="shared" si="43"/>
        <v>0</v>
      </c>
      <c r="E405" s="202">
        <f t="shared" si="44"/>
        <v>0</v>
      </c>
      <c r="F405" s="201"/>
      <c r="G405" s="203">
        <v>342</v>
      </c>
      <c r="H405" s="202">
        <f t="shared" si="45"/>
        <v>0</v>
      </c>
      <c r="I405" s="202">
        <f t="shared" si="46"/>
        <v>0</v>
      </c>
      <c r="J405" s="202">
        <f t="shared" si="47"/>
        <v>0</v>
      </c>
      <c r="K405" s="202">
        <f t="shared" si="48"/>
        <v>0</v>
      </c>
      <c r="L405" s="201"/>
    </row>
    <row r="406" spans="1:12">
      <c r="A406" s="203">
        <v>343</v>
      </c>
      <c r="B406" s="202">
        <f t="shared" si="41"/>
        <v>0</v>
      </c>
      <c r="C406" s="202">
        <f t="shared" si="42"/>
        <v>0</v>
      </c>
      <c r="D406" s="202">
        <f t="shared" si="43"/>
        <v>0</v>
      </c>
      <c r="E406" s="202">
        <f t="shared" si="44"/>
        <v>0</v>
      </c>
      <c r="F406" s="201"/>
      <c r="G406" s="203">
        <v>343</v>
      </c>
      <c r="H406" s="202">
        <f t="shared" si="45"/>
        <v>0</v>
      </c>
      <c r="I406" s="202">
        <f t="shared" si="46"/>
        <v>0</v>
      </c>
      <c r="J406" s="202">
        <f t="shared" si="47"/>
        <v>0</v>
      </c>
      <c r="K406" s="202">
        <f t="shared" si="48"/>
        <v>0</v>
      </c>
      <c r="L406" s="201"/>
    </row>
    <row r="407" spans="1:12">
      <c r="A407" s="203">
        <v>344</v>
      </c>
      <c r="B407" s="202">
        <f t="shared" si="41"/>
        <v>0</v>
      </c>
      <c r="C407" s="202">
        <f t="shared" si="42"/>
        <v>0</v>
      </c>
      <c r="D407" s="202">
        <f t="shared" si="43"/>
        <v>0</v>
      </c>
      <c r="E407" s="202">
        <f t="shared" si="44"/>
        <v>0</v>
      </c>
      <c r="F407" s="201"/>
      <c r="G407" s="203">
        <v>344</v>
      </c>
      <c r="H407" s="202">
        <f t="shared" si="45"/>
        <v>0</v>
      </c>
      <c r="I407" s="202">
        <f t="shared" si="46"/>
        <v>0</v>
      </c>
      <c r="J407" s="202">
        <f t="shared" si="47"/>
        <v>0</v>
      </c>
      <c r="K407" s="202">
        <f t="shared" si="48"/>
        <v>0</v>
      </c>
      <c r="L407" s="201"/>
    </row>
    <row r="408" spans="1:12">
      <c r="A408" s="203">
        <v>345</v>
      </c>
      <c r="B408" s="202">
        <f t="shared" si="41"/>
        <v>0</v>
      </c>
      <c r="C408" s="202">
        <f t="shared" si="42"/>
        <v>0</v>
      </c>
      <c r="D408" s="202">
        <f t="shared" si="43"/>
        <v>0</v>
      </c>
      <c r="E408" s="202">
        <f t="shared" si="44"/>
        <v>0</v>
      </c>
      <c r="F408" s="201"/>
      <c r="G408" s="203">
        <v>345</v>
      </c>
      <c r="H408" s="202">
        <f t="shared" si="45"/>
        <v>0</v>
      </c>
      <c r="I408" s="202">
        <f t="shared" si="46"/>
        <v>0</v>
      </c>
      <c r="J408" s="202">
        <f t="shared" si="47"/>
        <v>0</v>
      </c>
      <c r="K408" s="202">
        <f t="shared" si="48"/>
        <v>0</v>
      </c>
      <c r="L408" s="201"/>
    </row>
    <row r="409" spans="1:12">
      <c r="A409" s="203">
        <v>346</v>
      </c>
      <c r="B409" s="202">
        <f t="shared" si="41"/>
        <v>0</v>
      </c>
      <c r="C409" s="202">
        <f t="shared" si="42"/>
        <v>0</v>
      </c>
      <c r="D409" s="202">
        <f t="shared" si="43"/>
        <v>0</v>
      </c>
      <c r="E409" s="202">
        <f t="shared" si="44"/>
        <v>0</v>
      </c>
      <c r="F409" s="201"/>
      <c r="G409" s="203">
        <v>346</v>
      </c>
      <c r="H409" s="202">
        <f t="shared" si="45"/>
        <v>0</v>
      </c>
      <c r="I409" s="202">
        <f t="shared" si="46"/>
        <v>0</v>
      </c>
      <c r="J409" s="202">
        <f t="shared" si="47"/>
        <v>0</v>
      </c>
      <c r="K409" s="202">
        <f t="shared" si="48"/>
        <v>0</v>
      </c>
      <c r="L409" s="201"/>
    </row>
    <row r="410" spans="1:12">
      <c r="A410" s="203">
        <v>347</v>
      </c>
      <c r="B410" s="202">
        <f t="shared" si="41"/>
        <v>0</v>
      </c>
      <c r="C410" s="202">
        <f t="shared" si="42"/>
        <v>0</v>
      </c>
      <c r="D410" s="202">
        <f t="shared" si="43"/>
        <v>0</v>
      </c>
      <c r="E410" s="202">
        <f t="shared" si="44"/>
        <v>0</v>
      </c>
      <c r="F410" s="201"/>
      <c r="G410" s="203">
        <v>347</v>
      </c>
      <c r="H410" s="202">
        <f t="shared" si="45"/>
        <v>0</v>
      </c>
      <c r="I410" s="202">
        <f t="shared" si="46"/>
        <v>0</v>
      </c>
      <c r="J410" s="202">
        <f t="shared" si="47"/>
        <v>0</v>
      </c>
      <c r="K410" s="202">
        <f t="shared" si="48"/>
        <v>0</v>
      </c>
      <c r="L410" s="201"/>
    </row>
    <row r="411" spans="1:12">
      <c r="A411" s="203">
        <v>348</v>
      </c>
      <c r="B411" s="202">
        <f t="shared" si="41"/>
        <v>0</v>
      </c>
      <c r="C411" s="202">
        <f t="shared" si="42"/>
        <v>0</v>
      </c>
      <c r="D411" s="202">
        <f t="shared" si="43"/>
        <v>0</v>
      </c>
      <c r="E411" s="202">
        <f t="shared" si="44"/>
        <v>0</v>
      </c>
      <c r="F411" s="201">
        <v>29</v>
      </c>
      <c r="G411" s="203">
        <v>348</v>
      </c>
      <c r="H411" s="202">
        <f t="shared" si="45"/>
        <v>0</v>
      </c>
      <c r="I411" s="202">
        <f t="shared" si="46"/>
        <v>0</v>
      </c>
      <c r="J411" s="202">
        <f t="shared" si="47"/>
        <v>0</v>
      </c>
      <c r="K411" s="202">
        <f t="shared" si="48"/>
        <v>0</v>
      </c>
      <c r="L411" s="201">
        <v>29</v>
      </c>
    </row>
    <row r="412" spans="1:12">
      <c r="A412" s="203">
        <v>349</v>
      </c>
      <c r="B412" s="202">
        <f t="shared" si="41"/>
        <v>0</v>
      </c>
      <c r="C412" s="202">
        <f t="shared" si="42"/>
        <v>0</v>
      </c>
      <c r="D412" s="202">
        <f t="shared" si="43"/>
        <v>0</v>
      </c>
      <c r="E412" s="202">
        <f t="shared" si="44"/>
        <v>0</v>
      </c>
      <c r="F412" s="201"/>
      <c r="G412" s="203">
        <v>349</v>
      </c>
      <c r="H412" s="202">
        <f t="shared" si="45"/>
        <v>0</v>
      </c>
      <c r="I412" s="202">
        <f t="shared" si="46"/>
        <v>0</v>
      </c>
      <c r="J412" s="202">
        <f t="shared" si="47"/>
        <v>0</v>
      </c>
      <c r="K412" s="202">
        <f t="shared" si="48"/>
        <v>0</v>
      </c>
      <c r="L412" s="201"/>
    </row>
    <row r="413" spans="1:12">
      <c r="A413" s="203">
        <v>350</v>
      </c>
      <c r="B413" s="202">
        <f t="shared" si="41"/>
        <v>0</v>
      </c>
      <c r="C413" s="202">
        <f t="shared" si="42"/>
        <v>0</v>
      </c>
      <c r="D413" s="202">
        <f t="shared" si="43"/>
        <v>0</v>
      </c>
      <c r="E413" s="202">
        <f t="shared" si="44"/>
        <v>0</v>
      </c>
      <c r="F413" s="201"/>
      <c r="G413" s="203">
        <v>350</v>
      </c>
      <c r="H413" s="202">
        <f t="shared" si="45"/>
        <v>0</v>
      </c>
      <c r="I413" s="202">
        <f t="shared" si="46"/>
        <v>0</v>
      </c>
      <c r="J413" s="202">
        <f t="shared" si="47"/>
        <v>0</v>
      </c>
      <c r="K413" s="202">
        <f t="shared" si="48"/>
        <v>0</v>
      </c>
      <c r="L413" s="201"/>
    </row>
    <row r="414" spans="1:12">
      <c r="A414" s="203">
        <v>351</v>
      </c>
      <c r="B414" s="202">
        <f t="shared" si="41"/>
        <v>0</v>
      </c>
      <c r="C414" s="202">
        <f t="shared" si="42"/>
        <v>0</v>
      </c>
      <c r="D414" s="202">
        <f t="shared" si="43"/>
        <v>0</v>
      </c>
      <c r="E414" s="202">
        <f t="shared" si="44"/>
        <v>0</v>
      </c>
      <c r="F414" s="201"/>
      <c r="G414" s="203">
        <v>351</v>
      </c>
      <c r="H414" s="202">
        <f t="shared" si="45"/>
        <v>0</v>
      </c>
      <c r="I414" s="202">
        <f t="shared" si="46"/>
        <v>0</v>
      </c>
      <c r="J414" s="202">
        <f t="shared" si="47"/>
        <v>0</v>
      </c>
      <c r="K414" s="202">
        <f t="shared" si="48"/>
        <v>0</v>
      </c>
      <c r="L414" s="201"/>
    </row>
    <row r="415" spans="1:12">
      <c r="A415" s="203">
        <v>352</v>
      </c>
      <c r="B415" s="202">
        <f t="shared" si="41"/>
        <v>0</v>
      </c>
      <c r="C415" s="202">
        <f t="shared" si="42"/>
        <v>0</v>
      </c>
      <c r="D415" s="202">
        <f t="shared" si="43"/>
        <v>0</v>
      </c>
      <c r="E415" s="202">
        <f t="shared" si="44"/>
        <v>0</v>
      </c>
      <c r="F415" s="201"/>
      <c r="G415" s="203">
        <v>352</v>
      </c>
      <c r="H415" s="202">
        <f t="shared" si="45"/>
        <v>0</v>
      </c>
      <c r="I415" s="202">
        <f t="shared" si="46"/>
        <v>0</v>
      </c>
      <c r="J415" s="202">
        <f t="shared" si="47"/>
        <v>0</v>
      </c>
      <c r="K415" s="202">
        <f t="shared" si="48"/>
        <v>0</v>
      </c>
      <c r="L415" s="201"/>
    </row>
    <row r="416" spans="1:12">
      <c r="A416" s="203">
        <v>353</v>
      </c>
      <c r="B416" s="202">
        <f t="shared" si="41"/>
        <v>0</v>
      </c>
      <c r="C416" s="202">
        <f t="shared" si="42"/>
        <v>0</v>
      </c>
      <c r="D416" s="202">
        <f t="shared" si="43"/>
        <v>0</v>
      </c>
      <c r="E416" s="202">
        <f t="shared" si="44"/>
        <v>0</v>
      </c>
      <c r="F416" s="201"/>
      <c r="G416" s="203">
        <v>353</v>
      </c>
      <c r="H416" s="202">
        <f t="shared" si="45"/>
        <v>0</v>
      </c>
      <c r="I416" s="202">
        <f t="shared" si="46"/>
        <v>0</v>
      </c>
      <c r="J416" s="202">
        <f t="shared" si="47"/>
        <v>0</v>
      </c>
      <c r="K416" s="202">
        <f t="shared" si="48"/>
        <v>0</v>
      </c>
      <c r="L416" s="201"/>
    </row>
    <row r="417" spans="1:12">
      <c r="A417" s="203">
        <v>354</v>
      </c>
      <c r="B417" s="202">
        <f t="shared" si="41"/>
        <v>0</v>
      </c>
      <c r="C417" s="202">
        <f t="shared" si="42"/>
        <v>0</v>
      </c>
      <c r="D417" s="202">
        <f t="shared" si="43"/>
        <v>0</v>
      </c>
      <c r="E417" s="202">
        <f t="shared" si="44"/>
        <v>0</v>
      </c>
      <c r="F417" s="201"/>
      <c r="G417" s="203">
        <v>354</v>
      </c>
      <c r="H417" s="202">
        <f t="shared" si="45"/>
        <v>0</v>
      </c>
      <c r="I417" s="202">
        <f t="shared" si="46"/>
        <v>0</v>
      </c>
      <c r="J417" s="202">
        <f t="shared" si="47"/>
        <v>0</v>
      </c>
      <c r="K417" s="202">
        <f t="shared" si="48"/>
        <v>0</v>
      </c>
      <c r="L417" s="201"/>
    </row>
    <row r="418" spans="1:12">
      <c r="A418" s="203">
        <v>355</v>
      </c>
      <c r="B418" s="202">
        <f t="shared" si="41"/>
        <v>0</v>
      </c>
      <c r="C418" s="202">
        <f t="shared" si="42"/>
        <v>0</v>
      </c>
      <c r="D418" s="202">
        <f t="shared" si="43"/>
        <v>0</v>
      </c>
      <c r="E418" s="202">
        <f t="shared" si="44"/>
        <v>0</v>
      </c>
      <c r="F418" s="201"/>
      <c r="G418" s="203">
        <v>355</v>
      </c>
      <c r="H418" s="202">
        <f t="shared" si="45"/>
        <v>0</v>
      </c>
      <c r="I418" s="202">
        <f t="shared" si="46"/>
        <v>0</v>
      </c>
      <c r="J418" s="202">
        <f t="shared" si="47"/>
        <v>0</v>
      </c>
      <c r="K418" s="202">
        <f t="shared" si="48"/>
        <v>0</v>
      </c>
      <c r="L418" s="201"/>
    </row>
    <row r="419" spans="1:12">
      <c r="A419" s="203">
        <v>356</v>
      </c>
      <c r="B419" s="202">
        <f t="shared" si="41"/>
        <v>0</v>
      </c>
      <c r="C419" s="202">
        <f t="shared" si="42"/>
        <v>0</v>
      </c>
      <c r="D419" s="202">
        <f t="shared" si="43"/>
        <v>0</v>
      </c>
      <c r="E419" s="202">
        <f t="shared" si="44"/>
        <v>0</v>
      </c>
      <c r="F419" s="201"/>
      <c r="G419" s="203">
        <v>356</v>
      </c>
      <c r="H419" s="202">
        <f t="shared" si="45"/>
        <v>0</v>
      </c>
      <c r="I419" s="202">
        <f t="shared" si="46"/>
        <v>0</v>
      </c>
      <c r="J419" s="202">
        <f t="shared" si="47"/>
        <v>0</v>
      </c>
      <c r="K419" s="202">
        <f t="shared" si="48"/>
        <v>0</v>
      </c>
      <c r="L419" s="201"/>
    </row>
    <row r="420" spans="1:12">
      <c r="A420" s="203">
        <v>357</v>
      </c>
      <c r="B420" s="202">
        <f t="shared" si="41"/>
        <v>0</v>
      </c>
      <c r="C420" s="202">
        <f t="shared" si="42"/>
        <v>0</v>
      </c>
      <c r="D420" s="202">
        <f t="shared" si="43"/>
        <v>0</v>
      </c>
      <c r="E420" s="202">
        <f t="shared" si="44"/>
        <v>0</v>
      </c>
      <c r="F420" s="201"/>
      <c r="G420" s="203">
        <v>357</v>
      </c>
      <c r="H420" s="202">
        <f t="shared" si="45"/>
        <v>0</v>
      </c>
      <c r="I420" s="202">
        <f t="shared" si="46"/>
        <v>0</v>
      </c>
      <c r="J420" s="202">
        <f t="shared" si="47"/>
        <v>0</v>
      </c>
      <c r="K420" s="202">
        <f t="shared" si="48"/>
        <v>0</v>
      </c>
      <c r="L420" s="201"/>
    </row>
    <row r="421" spans="1:12">
      <c r="A421" s="203">
        <v>358</v>
      </c>
      <c r="B421" s="202">
        <f t="shared" si="41"/>
        <v>0</v>
      </c>
      <c r="C421" s="202">
        <f t="shared" si="42"/>
        <v>0</v>
      </c>
      <c r="D421" s="202">
        <f t="shared" si="43"/>
        <v>0</v>
      </c>
      <c r="E421" s="202">
        <f t="shared" si="44"/>
        <v>0</v>
      </c>
      <c r="F421" s="201"/>
      <c r="G421" s="203">
        <v>358</v>
      </c>
      <c r="H421" s="202">
        <f t="shared" si="45"/>
        <v>0</v>
      </c>
      <c r="I421" s="202">
        <f t="shared" si="46"/>
        <v>0</v>
      </c>
      <c r="J421" s="202">
        <f t="shared" si="47"/>
        <v>0</v>
      </c>
      <c r="K421" s="202">
        <f t="shared" si="48"/>
        <v>0</v>
      </c>
      <c r="L421" s="201"/>
    </row>
    <row r="422" spans="1:12">
      <c r="A422" s="203">
        <v>359</v>
      </c>
      <c r="B422" s="202">
        <f t="shared" si="41"/>
        <v>0</v>
      </c>
      <c r="C422" s="202">
        <f t="shared" si="42"/>
        <v>0</v>
      </c>
      <c r="D422" s="202">
        <f t="shared" si="43"/>
        <v>0</v>
      </c>
      <c r="E422" s="202">
        <f t="shared" si="44"/>
        <v>0</v>
      </c>
      <c r="F422" s="201"/>
      <c r="G422" s="203">
        <v>359</v>
      </c>
      <c r="H422" s="202">
        <f t="shared" si="45"/>
        <v>0</v>
      </c>
      <c r="I422" s="202">
        <f t="shared" si="46"/>
        <v>0</v>
      </c>
      <c r="J422" s="202">
        <f t="shared" si="47"/>
        <v>0</v>
      </c>
      <c r="K422" s="202">
        <f t="shared" si="48"/>
        <v>0</v>
      </c>
      <c r="L422" s="201"/>
    </row>
    <row r="423" spans="1:12">
      <c r="A423" s="203">
        <v>360</v>
      </c>
      <c r="B423" s="202">
        <f t="shared" si="41"/>
        <v>0</v>
      </c>
      <c r="C423" s="202">
        <f t="shared" si="42"/>
        <v>0</v>
      </c>
      <c r="D423" s="202">
        <f t="shared" si="43"/>
        <v>0</v>
      </c>
      <c r="E423" s="202">
        <f t="shared" si="44"/>
        <v>0</v>
      </c>
      <c r="F423" s="201">
        <v>30</v>
      </c>
      <c r="G423" s="203">
        <v>360</v>
      </c>
      <c r="H423" s="202">
        <f t="shared" si="45"/>
        <v>0</v>
      </c>
      <c r="I423" s="202">
        <f t="shared" si="46"/>
        <v>0</v>
      </c>
      <c r="J423" s="202">
        <f t="shared" si="47"/>
        <v>0</v>
      </c>
      <c r="K423" s="202">
        <f t="shared" si="48"/>
        <v>0</v>
      </c>
      <c r="L423" s="201">
        <v>30</v>
      </c>
    </row>
    <row r="424" spans="1:12">
      <c r="A424" s="203">
        <v>361</v>
      </c>
      <c r="B424" s="202">
        <f t="shared" si="41"/>
        <v>0</v>
      </c>
      <c r="C424" s="202">
        <f t="shared" si="42"/>
        <v>0</v>
      </c>
      <c r="D424" s="202">
        <f t="shared" si="43"/>
        <v>0</v>
      </c>
      <c r="E424" s="202">
        <f t="shared" si="44"/>
        <v>0</v>
      </c>
      <c r="F424" s="201"/>
      <c r="G424" s="203">
        <v>361</v>
      </c>
      <c r="H424" s="202">
        <f t="shared" si="45"/>
        <v>0</v>
      </c>
      <c r="I424" s="202">
        <f t="shared" si="46"/>
        <v>0</v>
      </c>
      <c r="J424" s="202">
        <f t="shared" si="47"/>
        <v>0</v>
      </c>
      <c r="K424" s="202">
        <f t="shared" si="48"/>
        <v>0</v>
      </c>
      <c r="L424" s="201"/>
    </row>
    <row r="425" spans="1:12">
      <c r="A425" s="203">
        <v>362</v>
      </c>
      <c r="B425" s="202">
        <f t="shared" si="41"/>
        <v>0</v>
      </c>
      <c r="C425" s="202">
        <f t="shared" si="42"/>
        <v>0</v>
      </c>
      <c r="D425" s="202">
        <f t="shared" si="43"/>
        <v>0</v>
      </c>
      <c r="E425" s="202">
        <f t="shared" si="44"/>
        <v>0</v>
      </c>
      <c r="F425" s="201"/>
      <c r="G425" s="203">
        <v>362</v>
      </c>
      <c r="H425" s="202">
        <f t="shared" si="45"/>
        <v>0</v>
      </c>
      <c r="I425" s="202">
        <f t="shared" si="46"/>
        <v>0</v>
      </c>
      <c r="J425" s="202">
        <f t="shared" si="47"/>
        <v>0</v>
      </c>
      <c r="K425" s="202">
        <f t="shared" si="48"/>
        <v>0</v>
      </c>
      <c r="L425" s="201"/>
    </row>
    <row r="426" spans="1:12">
      <c r="A426" s="203">
        <v>363</v>
      </c>
      <c r="B426" s="202">
        <f t="shared" si="41"/>
        <v>0</v>
      </c>
      <c r="C426" s="202">
        <f t="shared" si="42"/>
        <v>0</v>
      </c>
      <c r="D426" s="202">
        <f t="shared" si="43"/>
        <v>0</v>
      </c>
      <c r="E426" s="202">
        <f t="shared" si="44"/>
        <v>0</v>
      </c>
      <c r="F426" s="201"/>
      <c r="G426" s="203">
        <v>363</v>
      </c>
      <c r="H426" s="202">
        <f t="shared" si="45"/>
        <v>0</v>
      </c>
      <c r="I426" s="202">
        <f t="shared" si="46"/>
        <v>0</v>
      </c>
      <c r="J426" s="202">
        <f t="shared" si="47"/>
        <v>0</v>
      </c>
      <c r="K426" s="202">
        <f t="shared" si="48"/>
        <v>0</v>
      </c>
      <c r="L426" s="201"/>
    </row>
    <row r="427" spans="1:12">
      <c r="A427" s="203">
        <v>364</v>
      </c>
      <c r="B427" s="202">
        <f t="shared" si="41"/>
        <v>0</v>
      </c>
      <c r="C427" s="202">
        <f t="shared" si="42"/>
        <v>0</v>
      </c>
      <c r="D427" s="202">
        <f t="shared" si="43"/>
        <v>0</v>
      </c>
      <c r="E427" s="202">
        <f t="shared" si="44"/>
        <v>0</v>
      </c>
      <c r="F427" s="201"/>
      <c r="G427" s="203">
        <v>364</v>
      </c>
      <c r="H427" s="202">
        <f t="shared" si="45"/>
        <v>0</v>
      </c>
      <c r="I427" s="202">
        <f t="shared" si="46"/>
        <v>0</v>
      </c>
      <c r="J427" s="202">
        <f t="shared" si="47"/>
        <v>0</v>
      </c>
      <c r="K427" s="202">
        <f t="shared" si="48"/>
        <v>0</v>
      </c>
      <c r="L427" s="201"/>
    </row>
    <row r="428" spans="1:12">
      <c r="A428" s="203">
        <v>365</v>
      </c>
      <c r="B428" s="202">
        <f t="shared" si="41"/>
        <v>0</v>
      </c>
      <c r="C428" s="202">
        <f t="shared" si="42"/>
        <v>0</v>
      </c>
      <c r="D428" s="202">
        <f t="shared" si="43"/>
        <v>0</v>
      </c>
      <c r="E428" s="202">
        <f t="shared" si="44"/>
        <v>0</v>
      </c>
      <c r="F428" s="201"/>
      <c r="G428" s="203">
        <v>365</v>
      </c>
      <c r="H428" s="202">
        <f t="shared" si="45"/>
        <v>0</v>
      </c>
      <c r="I428" s="202">
        <f t="shared" si="46"/>
        <v>0</v>
      </c>
      <c r="J428" s="202">
        <f t="shared" si="47"/>
        <v>0</v>
      </c>
      <c r="K428" s="202">
        <f t="shared" si="48"/>
        <v>0</v>
      </c>
      <c r="L428" s="201"/>
    </row>
    <row r="429" spans="1:12">
      <c r="A429" s="203">
        <v>366</v>
      </c>
      <c r="B429" s="202">
        <f t="shared" si="41"/>
        <v>0</v>
      </c>
      <c r="C429" s="202">
        <f t="shared" si="42"/>
        <v>0</v>
      </c>
      <c r="D429" s="202">
        <f t="shared" si="43"/>
        <v>0</v>
      </c>
      <c r="E429" s="202">
        <f t="shared" si="44"/>
        <v>0</v>
      </c>
      <c r="F429" s="201"/>
      <c r="G429" s="203">
        <v>366</v>
      </c>
      <c r="H429" s="202">
        <f t="shared" si="45"/>
        <v>0</v>
      </c>
      <c r="I429" s="202">
        <f t="shared" si="46"/>
        <v>0</v>
      </c>
      <c r="J429" s="202">
        <f t="shared" si="47"/>
        <v>0</v>
      </c>
      <c r="K429" s="202">
        <f t="shared" si="48"/>
        <v>0</v>
      </c>
      <c r="L429" s="201"/>
    </row>
    <row r="430" spans="1:12">
      <c r="A430" s="203">
        <v>367</v>
      </c>
      <c r="B430" s="202">
        <f t="shared" si="41"/>
        <v>0</v>
      </c>
      <c r="C430" s="202">
        <f t="shared" si="42"/>
        <v>0</v>
      </c>
      <c r="D430" s="202">
        <f t="shared" si="43"/>
        <v>0</v>
      </c>
      <c r="E430" s="202">
        <f t="shared" si="44"/>
        <v>0</v>
      </c>
      <c r="F430" s="201"/>
      <c r="G430" s="203">
        <v>367</v>
      </c>
      <c r="H430" s="202">
        <f t="shared" si="45"/>
        <v>0</v>
      </c>
      <c r="I430" s="202">
        <f t="shared" si="46"/>
        <v>0</v>
      </c>
      <c r="J430" s="202">
        <f t="shared" si="47"/>
        <v>0</v>
      </c>
      <c r="K430" s="202">
        <f t="shared" si="48"/>
        <v>0</v>
      </c>
      <c r="L430" s="201"/>
    </row>
    <row r="431" spans="1:12">
      <c r="A431" s="203">
        <v>368</v>
      </c>
      <c r="B431" s="202">
        <f t="shared" si="41"/>
        <v>0</v>
      </c>
      <c r="C431" s="202">
        <f t="shared" si="42"/>
        <v>0</v>
      </c>
      <c r="D431" s="202">
        <f t="shared" si="43"/>
        <v>0</v>
      </c>
      <c r="E431" s="202">
        <f t="shared" si="44"/>
        <v>0</v>
      </c>
      <c r="F431" s="201"/>
      <c r="G431" s="203">
        <v>368</v>
      </c>
      <c r="H431" s="202">
        <f t="shared" si="45"/>
        <v>0</v>
      </c>
      <c r="I431" s="202">
        <f t="shared" si="46"/>
        <v>0</v>
      </c>
      <c r="J431" s="202">
        <f t="shared" si="47"/>
        <v>0</v>
      </c>
      <c r="K431" s="202">
        <f t="shared" si="48"/>
        <v>0</v>
      </c>
      <c r="L431" s="201"/>
    </row>
    <row r="432" spans="1:12">
      <c r="A432" s="203">
        <v>369</v>
      </c>
      <c r="B432" s="202">
        <f t="shared" si="41"/>
        <v>0</v>
      </c>
      <c r="C432" s="202">
        <f t="shared" si="42"/>
        <v>0</v>
      </c>
      <c r="D432" s="202">
        <f t="shared" si="43"/>
        <v>0</v>
      </c>
      <c r="E432" s="202">
        <f t="shared" si="44"/>
        <v>0</v>
      </c>
      <c r="F432" s="201"/>
      <c r="G432" s="203">
        <v>369</v>
      </c>
      <c r="H432" s="202">
        <f t="shared" si="45"/>
        <v>0</v>
      </c>
      <c r="I432" s="202">
        <f t="shared" si="46"/>
        <v>0</v>
      </c>
      <c r="J432" s="202">
        <f t="shared" si="47"/>
        <v>0</v>
      </c>
      <c r="K432" s="202">
        <f t="shared" si="48"/>
        <v>0</v>
      </c>
      <c r="L432" s="201"/>
    </row>
    <row r="433" spans="1:12">
      <c r="A433" s="203">
        <v>370</v>
      </c>
      <c r="B433" s="202">
        <f t="shared" si="41"/>
        <v>0</v>
      </c>
      <c r="C433" s="202">
        <f t="shared" si="42"/>
        <v>0</v>
      </c>
      <c r="D433" s="202">
        <f t="shared" si="43"/>
        <v>0</v>
      </c>
      <c r="E433" s="202">
        <f t="shared" si="44"/>
        <v>0</v>
      </c>
      <c r="F433" s="201"/>
      <c r="G433" s="203">
        <v>370</v>
      </c>
      <c r="H433" s="202">
        <f t="shared" si="45"/>
        <v>0</v>
      </c>
      <c r="I433" s="202">
        <f t="shared" si="46"/>
        <v>0</v>
      </c>
      <c r="J433" s="202">
        <f t="shared" si="47"/>
        <v>0</v>
      </c>
      <c r="K433" s="202">
        <f t="shared" si="48"/>
        <v>0</v>
      </c>
      <c r="L433" s="201"/>
    </row>
    <row r="434" spans="1:12">
      <c r="A434" s="203">
        <v>371</v>
      </c>
      <c r="B434" s="202">
        <f t="shared" si="41"/>
        <v>0</v>
      </c>
      <c r="C434" s="202">
        <f t="shared" si="42"/>
        <v>0</v>
      </c>
      <c r="D434" s="202">
        <f t="shared" si="43"/>
        <v>0</v>
      </c>
      <c r="E434" s="202">
        <f t="shared" si="44"/>
        <v>0</v>
      </c>
      <c r="F434" s="201"/>
      <c r="G434" s="203">
        <v>371</v>
      </c>
      <c r="H434" s="202">
        <f t="shared" si="45"/>
        <v>0</v>
      </c>
      <c r="I434" s="202">
        <f t="shared" si="46"/>
        <v>0</v>
      </c>
      <c r="J434" s="202">
        <f t="shared" si="47"/>
        <v>0</v>
      </c>
      <c r="K434" s="202">
        <f t="shared" si="48"/>
        <v>0</v>
      </c>
      <c r="L434" s="201"/>
    </row>
    <row r="435" spans="1:12">
      <c r="A435" s="203">
        <v>372</v>
      </c>
      <c r="B435" s="202">
        <f t="shared" si="41"/>
        <v>0</v>
      </c>
      <c r="C435" s="202">
        <f t="shared" si="42"/>
        <v>0</v>
      </c>
      <c r="D435" s="202">
        <f t="shared" si="43"/>
        <v>0</v>
      </c>
      <c r="E435" s="202">
        <f t="shared" si="44"/>
        <v>0</v>
      </c>
      <c r="F435" s="201">
        <v>31</v>
      </c>
      <c r="G435" s="203">
        <v>372</v>
      </c>
      <c r="H435" s="202">
        <f t="shared" si="45"/>
        <v>0</v>
      </c>
      <c r="I435" s="202">
        <f t="shared" si="46"/>
        <v>0</v>
      </c>
      <c r="J435" s="202">
        <f t="shared" si="47"/>
        <v>0</v>
      </c>
      <c r="K435" s="202">
        <f t="shared" si="48"/>
        <v>0</v>
      </c>
      <c r="L435" s="201">
        <v>31</v>
      </c>
    </row>
    <row r="436" spans="1:12">
      <c r="A436" s="203">
        <v>373</v>
      </c>
      <c r="B436" s="202">
        <f t="shared" si="41"/>
        <v>0</v>
      </c>
      <c r="C436" s="202">
        <f t="shared" si="42"/>
        <v>0</v>
      </c>
      <c r="D436" s="202">
        <f t="shared" si="43"/>
        <v>0</v>
      </c>
      <c r="E436" s="202">
        <f t="shared" si="44"/>
        <v>0</v>
      </c>
      <c r="F436" s="201"/>
      <c r="G436" s="203">
        <v>373</v>
      </c>
      <c r="H436" s="202">
        <f t="shared" si="45"/>
        <v>0</v>
      </c>
      <c r="I436" s="202">
        <f t="shared" si="46"/>
        <v>0</v>
      </c>
      <c r="J436" s="202">
        <f t="shared" si="47"/>
        <v>0</v>
      </c>
      <c r="K436" s="202">
        <f t="shared" si="48"/>
        <v>0</v>
      </c>
      <c r="L436" s="201"/>
    </row>
    <row r="437" spans="1:12">
      <c r="A437" s="203">
        <v>374</v>
      </c>
      <c r="B437" s="202">
        <f t="shared" si="41"/>
        <v>0</v>
      </c>
      <c r="C437" s="202">
        <f t="shared" si="42"/>
        <v>0</v>
      </c>
      <c r="D437" s="202">
        <f t="shared" si="43"/>
        <v>0</v>
      </c>
      <c r="E437" s="202">
        <f t="shared" si="44"/>
        <v>0</v>
      </c>
      <c r="F437" s="201"/>
      <c r="G437" s="203">
        <v>374</v>
      </c>
      <c r="H437" s="202">
        <f t="shared" si="45"/>
        <v>0</v>
      </c>
      <c r="I437" s="202">
        <f t="shared" si="46"/>
        <v>0</v>
      </c>
      <c r="J437" s="202">
        <f t="shared" si="47"/>
        <v>0</v>
      </c>
      <c r="K437" s="202">
        <f t="shared" si="48"/>
        <v>0</v>
      </c>
      <c r="L437" s="201"/>
    </row>
    <row r="438" spans="1:12">
      <c r="A438" s="203">
        <v>375</v>
      </c>
      <c r="B438" s="202">
        <f t="shared" si="41"/>
        <v>0</v>
      </c>
      <c r="C438" s="202">
        <f t="shared" si="42"/>
        <v>0</v>
      </c>
      <c r="D438" s="202">
        <f t="shared" si="43"/>
        <v>0</v>
      </c>
      <c r="E438" s="202">
        <f t="shared" si="44"/>
        <v>0</v>
      </c>
      <c r="F438" s="201"/>
      <c r="G438" s="203">
        <v>375</v>
      </c>
      <c r="H438" s="202">
        <f t="shared" si="45"/>
        <v>0</v>
      </c>
      <c r="I438" s="202">
        <f t="shared" si="46"/>
        <v>0</v>
      </c>
      <c r="J438" s="202">
        <f t="shared" si="47"/>
        <v>0</v>
      </c>
      <c r="K438" s="202">
        <f t="shared" si="48"/>
        <v>0</v>
      </c>
      <c r="L438" s="201"/>
    </row>
    <row r="439" spans="1:12">
      <c r="A439" s="203">
        <v>376</v>
      </c>
      <c r="B439" s="202">
        <f t="shared" si="41"/>
        <v>0</v>
      </c>
      <c r="C439" s="202">
        <f t="shared" si="42"/>
        <v>0</v>
      </c>
      <c r="D439" s="202">
        <f t="shared" si="43"/>
        <v>0</v>
      </c>
      <c r="E439" s="202">
        <f t="shared" si="44"/>
        <v>0</v>
      </c>
      <c r="F439" s="201"/>
      <c r="G439" s="203">
        <v>376</v>
      </c>
      <c r="H439" s="202">
        <f t="shared" si="45"/>
        <v>0</v>
      </c>
      <c r="I439" s="202">
        <f t="shared" si="46"/>
        <v>0</v>
      </c>
      <c r="J439" s="202">
        <f t="shared" si="47"/>
        <v>0</v>
      </c>
      <c r="K439" s="202">
        <f t="shared" si="48"/>
        <v>0</v>
      </c>
      <c r="L439" s="201"/>
    </row>
    <row r="440" spans="1:12">
      <c r="A440" s="203">
        <v>377</v>
      </c>
      <c r="B440" s="202">
        <f t="shared" si="41"/>
        <v>0</v>
      </c>
      <c r="C440" s="202">
        <f t="shared" si="42"/>
        <v>0</v>
      </c>
      <c r="D440" s="202">
        <f t="shared" si="43"/>
        <v>0</v>
      </c>
      <c r="E440" s="202">
        <f t="shared" si="44"/>
        <v>0</v>
      </c>
      <c r="F440" s="201"/>
      <c r="G440" s="203">
        <v>377</v>
      </c>
      <c r="H440" s="202">
        <f t="shared" si="45"/>
        <v>0</v>
      </c>
      <c r="I440" s="202">
        <f t="shared" si="46"/>
        <v>0</v>
      </c>
      <c r="J440" s="202">
        <f t="shared" si="47"/>
        <v>0</v>
      </c>
      <c r="K440" s="202">
        <f t="shared" si="48"/>
        <v>0</v>
      </c>
      <c r="L440" s="201"/>
    </row>
    <row r="441" spans="1:12">
      <c r="A441" s="203">
        <v>378</v>
      </c>
      <c r="B441" s="202">
        <f t="shared" si="41"/>
        <v>0</v>
      </c>
      <c r="C441" s="202">
        <f t="shared" si="42"/>
        <v>0</v>
      </c>
      <c r="D441" s="202">
        <f t="shared" si="43"/>
        <v>0</v>
      </c>
      <c r="E441" s="202">
        <f t="shared" si="44"/>
        <v>0</v>
      </c>
      <c r="F441" s="201"/>
      <c r="G441" s="203">
        <v>378</v>
      </c>
      <c r="H441" s="202">
        <f t="shared" si="45"/>
        <v>0</v>
      </c>
      <c r="I441" s="202">
        <f t="shared" si="46"/>
        <v>0</v>
      </c>
      <c r="J441" s="202">
        <f t="shared" si="47"/>
        <v>0</v>
      </c>
      <c r="K441" s="202">
        <f t="shared" si="48"/>
        <v>0</v>
      </c>
      <c r="L441" s="201"/>
    </row>
    <row r="442" spans="1:12">
      <c r="A442" s="203">
        <v>379</v>
      </c>
      <c r="B442" s="202">
        <f t="shared" si="41"/>
        <v>0</v>
      </c>
      <c r="C442" s="202">
        <f t="shared" si="42"/>
        <v>0</v>
      </c>
      <c r="D442" s="202">
        <f t="shared" si="43"/>
        <v>0</v>
      </c>
      <c r="E442" s="202">
        <f t="shared" si="44"/>
        <v>0</v>
      </c>
      <c r="F442" s="201"/>
      <c r="G442" s="203">
        <v>379</v>
      </c>
      <c r="H442" s="202">
        <f t="shared" si="45"/>
        <v>0</v>
      </c>
      <c r="I442" s="202">
        <f t="shared" si="46"/>
        <v>0</v>
      </c>
      <c r="J442" s="202">
        <f t="shared" si="47"/>
        <v>0</v>
      </c>
      <c r="K442" s="202">
        <f t="shared" si="48"/>
        <v>0</v>
      </c>
      <c r="L442" s="201"/>
    </row>
    <row r="443" spans="1:12">
      <c r="A443" s="203">
        <v>380</v>
      </c>
      <c r="B443" s="202">
        <f t="shared" si="41"/>
        <v>0</v>
      </c>
      <c r="C443" s="202">
        <f t="shared" si="42"/>
        <v>0</v>
      </c>
      <c r="D443" s="202">
        <f t="shared" si="43"/>
        <v>0</v>
      </c>
      <c r="E443" s="202">
        <f t="shared" si="44"/>
        <v>0</v>
      </c>
      <c r="F443" s="201"/>
      <c r="G443" s="203">
        <v>380</v>
      </c>
      <c r="H443" s="202">
        <f t="shared" si="45"/>
        <v>0</v>
      </c>
      <c r="I443" s="202">
        <f t="shared" si="46"/>
        <v>0</v>
      </c>
      <c r="J443" s="202">
        <f t="shared" si="47"/>
        <v>0</v>
      </c>
      <c r="K443" s="202">
        <f t="shared" si="48"/>
        <v>0</v>
      </c>
      <c r="L443" s="201"/>
    </row>
    <row r="444" spans="1:12">
      <c r="A444" s="203">
        <v>381</v>
      </c>
      <c r="B444" s="202">
        <f t="shared" si="41"/>
        <v>0</v>
      </c>
      <c r="C444" s="202">
        <f t="shared" si="42"/>
        <v>0</v>
      </c>
      <c r="D444" s="202">
        <f t="shared" si="43"/>
        <v>0</v>
      </c>
      <c r="E444" s="202">
        <f t="shared" si="44"/>
        <v>0</v>
      </c>
      <c r="F444" s="201"/>
      <c r="G444" s="203">
        <v>381</v>
      </c>
      <c r="H444" s="202">
        <f t="shared" si="45"/>
        <v>0</v>
      </c>
      <c r="I444" s="202">
        <f t="shared" si="46"/>
        <v>0</v>
      </c>
      <c r="J444" s="202">
        <f t="shared" si="47"/>
        <v>0</v>
      </c>
      <c r="K444" s="202">
        <f t="shared" si="48"/>
        <v>0</v>
      </c>
      <c r="L444" s="201"/>
    </row>
    <row r="445" spans="1:12">
      <c r="A445" s="203">
        <v>382</v>
      </c>
      <c r="B445" s="202">
        <f t="shared" si="41"/>
        <v>0</v>
      </c>
      <c r="C445" s="202">
        <f t="shared" si="42"/>
        <v>0</v>
      </c>
      <c r="D445" s="202">
        <f t="shared" si="43"/>
        <v>0</v>
      </c>
      <c r="E445" s="202">
        <f t="shared" si="44"/>
        <v>0</v>
      </c>
      <c r="F445" s="201"/>
      <c r="G445" s="203">
        <v>382</v>
      </c>
      <c r="H445" s="202">
        <f t="shared" si="45"/>
        <v>0</v>
      </c>
      <c r="I445" s="202">
        <f t="shared" si="46"/>
        <v>0</v>
      </c>
      <c r="J445" s="202">
        <f t="shared" si="47"/>
        <v>0</v>
      </c>
      <c r="K445" s="202">
        <f t="shared" si="48"/>
        <v>0</v>
      </c>
      <c r="L445" s="201"/>
    </row>
    <row r="446" spans="1:12">
      <c r="A446" s="203">
        <v>383</v>
      </c>
      <c r="B446" s="202">
        <f t="shared" si="41"/>
        <v>0</v>
      </c>
      <c r="C446" s="202">
        <f t="shared" si="42"/>
        <v>0</v>
      </c>
      <c r="D446" s="202">
        <f t="shared" si="43"/>
        <v>0</v>
      </c>
      <c r="E446" s="202">
        <f t="shared" si="44"/>
        <v>0</v>
      </c>
      <c r="F446" s="201"/>
      <c r="G446" s="203">
        <v>383</v>
      </c>
      <c r="H446" s="202">
        <f t="shared" si="45"/>
        <v>0</v>
      </c>
      <c r="I446" s="202">
        <f t="shared" si="46"/>
        <v>0</v>
      </c>
      <c r="J446" s="202">
        <f t="shared" si="47"/>
        <v>0</v>
      </c>
      <c r="K446" s="202">
        <f t="shared" si="48"/>
        <v>0</v>
      </c>
      <c r="L446" s="201"/>
    </row>
    <row r="447" spans="1:12">
      <c r="A447" s="203">
        <v>384</v>
      </c>
      <c r="B447" s="202">
        <f t="shared" si="41"/>
        <v>0</v>
      </c>
      <c r="C447" s="202">
        <f t="shared" si="42"/>
        <v>0</v>
      </c>
      <c r="D447" s="202">
        <f t="shared" si="43"/>
        <v>0</v>
      </c>
      <c r="E447" s="202">
        <f t="shared" si="44"/>
        <v>0</v>
      </c>
      <c r="F447" s="201">
        <v>32</v>
      </c>
      <c r="G447" s="203">
        <v>384</v>
      </c>
      <c r="H447" s="202">
        <f t="shared" si="45"/>
        <v>0</v>
      </c>
      <c r="I447" s="202">
        <f t="shared" si="46"/>
        <v>0</v>
      </c>
      <c r="J447" s="202">
        <f t="shared" si="47"/>
        <v>0</v>
      </c>
      <c r="K447" s="202">
        <f t="shared" si="48"/>
        <v>0</v>
      </c>
      <c r="L447" s="201">
        <v>32</v>
      </c>
    </row>
    <row r="448" spans="1:12">
      <c r="A448" s="203">
        <v>385</v>
      </c>
      <c r="B448" s="202">
        <f t="shared" ref="B448:B511" si="49">IF(A448&gt;12*$C$9,0,IF($C$5&gt;1500000,$D$12,$C$12))</f>
        <v>0</v>
      </c>
      <c r="C448" s="202">
        <f t="shared" ref="C448:C511" si="50">IF(A448&gt;12*$C$9,0,E447*$C$7/12)</f>
        <v>0</v>
      </c>
      <c r="D448" s="202">
        <f t="shared" ref="D448:D511" si="51">IF(A448&gt;12*$C$9,0,B448-C448)</f>
        <v>0</v>
      </c>
      <c r="E448" s="202">
        <f t="shared" ref="E448:E511" si="52">IF(A448&gt;12*$C$9,0,E447-D448)</f>
        <v>0</v>
      </c>
      <c r="F448" s="201"/>
      <c r="G448" s="203">
        <v>385</v>
      </c>
      <c r="H448" s="202">
        <f t="shared" ref="H448:H511" si="53">IF(G448&gt;12*$C$9,0,IF($C$5&gt;1500000,$E$12,0))</f>
        <v>0</v>
      </c>
      <c r="I448" s="202">
        <f t="shared" ref="I448:I511" si="54">IF(G448&gt;12*$C$9,0,K447*$C$7/12)</f>
        <v>0</v>
      </c>
      <c r="J448" s="202">
        <f t="shared" ref="J448:J511" si="55">IF(G448&gt;12*$C$9,0,H448-I448)</f>
        <v>0</v>
      </c>
      <c r="K448" s="202">
        <f t="shared" ref="K448:K511" si="56">IF(G448&gt;12*$C$9,0,K447-J448)</f>
        <v>0</v>
      </c>
      <c r="L448" s="201"/>
    </row>
    <row r="449" spans="1:12">
      <c r="A449" s="203">
        <v>386</v>
      </c>
      <c r="B449" s="202">
        <f t="shared" si="49"/>
        <v>0</v>
      </c>
      <c r="C449" s="202">
        <f t="shared" si="50"/>
        <v>0</v>
      </c>
      <c r="D449" s="202">
        <f t="shared" si="51"/>
        <v>0</v>
      </c>
      <c r="E449" s="202">
        <f t="shared" si="52"/>
        <v>0</v>
      </c>
      <c r="F449" s="201"/>
      <c r="G449" s="203">
        <v>386</v>
      </c>
      <c r="H449" s="202">
        <f t="shared" si="53"/>
        <v>0</v>
      </c>
      <c r="I449" s="202">
        <f t="shared" si="54"/>
        <v>0</v>
      </c>
      <c r="J449" s="202">
        <f t="shared" si="55"/>
        <v>0</v>
      </c>
      <c r="K449" s="202">
        <f t="shared" si="56"/>
        <v>0</v>
      </c>
      <c r="L449" s="201"/>
    </row>
    <row r="450" spans="1:12">
      <c r="A450" s="203">
        <v>387</v>
      </c>
      <c r="B450" s="202">
        <f t="shared" si="49"/>
        <v>0</v>
      </c>
      <c r="C450" s="202">
        <f t="shared" si="50"/>
        <v>0</v>
      </c>
      <c r="D450" s="202">
        <f t="shared" si="51"/>
        <v>0</v>
      </c>
      <c r="E450" s="202">
        <f t="shared" si="52"/>
        <v>0</v>
      </c>
      <c r="F450" s="201"/>
      <c r="G450" s="203">
        <v>387</v>
      </c>
      <c r="H450" s="202">
        <f t="shared" si="53"/>
        <v>0</v>
      </c>
      <c r="I450" s="202">
        <f t="shared" si="54"/>
        <v>0</v>
      </c>
      <c r="J450" s="202">
        <f t="shared" si="55"/>
        <v>0</v>
      </c>
      <c r="K450" s="202">
        <f t="shared" si="56"/>
        <v>0</v>
      </c>
      <c r="L450" s="201"/>
    </row>
    <row r="451" spans="1:12">
      <c r="A451" s="203">
        <v>388</v>
      </c>
      <c r="B451" s="202">
        <f t="shared" si="49"/>
        <v>0</v>
      </c>
      <c r="C451" s="202">
        <f t="shared" si="50"/>
        <v>0</v>
      </c>
      <c r="D451" s="202">
        <f t="shared" si="51"/>
        <v>0</v>
      </c>
      <c r="E451" s="202">
        <f t="shared" si="52"/>
        <v>0</v>
      </c>
      <c r="F451" s="201"/>
      <c r="G451" s="203">
        <v>388</v>
      </c>
      <c r="H451" s="202">
        <f t="shared" si="53"/>
        <v>0</v>
      </c>
      <c r="I451" s="202">
        <f t="shared" si="54"/>
        <v>0</v>
      </c>
      <c r="J451" s="202">
        <f t="shared" si="55"/>
        <v>0</v>
      </c>
      <c r="K451" s="202">
        <f t="shared" si="56"/>
        <v>0</v>
      </c>
      <c r="L451" s="201"/>
    </row>
    <row r="452" spans="1:12">
      <c r="A452" s="203">
        <v>389</v>
      </c>
      <c r="B452" s="202">
        <f t="shared" si="49"/>
        <v>0</v>
      </c>
      <c r="C452" s="202">
        <f t="shared" si="50"/>
        <v>0</v>
      </c>
      <c r="D452" s="202">
        <f t="shared" si="51"/>
        <v>0</v>
      </c>
      <c r="E452" s="202">
        <f t="shared" si="52"/>
        <v>0</v>
      </c>
      <c r="F452" s="201"/>
      <c r="G452" s="203">
        <v>389</v>
      </c>
      <c r="H452" s="202">
        <f t="shared" si="53"/>
        <v>0</v>
      </c>
      <c r="I452" s="202">
        <f t="shared" si="54"/>
        <v>0</v>
      </c>
      <c r="J452" s="202">
        <f t="shared" si="55"/>
        <v>0</v>
      </c>
      <c r="K452" s="202">
        <f t="shared" si="56"/>
        <v>0</v>
      </c>
      <c r="L452" s="201"/>
    </row>
    <row r="453" spans="1:12">
      <c r="A453" s="203">
        <v>390</v>
      </c>
      <c r="B453" s="202">
        <f t="shared" si="49"/>
        <v>0</v>
      </c>
      <c r="C453" s="202">
        <f t="shared" si="50"/>
        <v>0</v>
      </c>
      <c r="D453" s="202">
        <f t="shared" si="51"/>
        <v>0</v>
      </c>
      <c r="E453" s="202">
        <f t="shared" si="52"/>
        <v>0</v>
      </c>
      <c r="F453" s="201"/>
      <c r="G453" s="203">
        <v>390</v>
      </c>
      <c r="H453" s="202">
        <f t="shared" si="53"/>
        <v>0</v>
      </c>
      <c r="I453" s="202">
        <f t="shared" si="54"/>
        <v>0</v>
      </c>
      <c r="J453" s="202">
        <f t="shared" si="55"/>
        <v>0</v>
      </c>
      <c r="K453" s="202">
        <f t="shared" si="56"/>
        <v>0</v>
      </c>
      <c r="L453" s="201"/>
    </row>
    <row r="454" spans="1:12">
      <c r="A454" s="203">
        <v>391</v>
      </c>
      <c r="B454" s="202">
        <f t="shared" si="49"/>
        <v>0</v>
      </c>
      <c r="C454" s="202">
        <f t="shared" si="50"/>
        <v>0</v>
      </c>
      <c r="D454" s="202">
        <f t="shared" si="51"/>
        <v>0</v>
      </c>
      <c r="E454" s="202">
        <f t="shared" si="52"/>
        <v>0</v>
      </c>
      <c r="F454" s="201"/>
      <c r="G454" s="203">
        <v>391</v>
      </c>
      <c r="H454" s="202">
        <f t="shared" si="53"/>
        <v>0</v>
      </c>
      <c r="I454" s="202">
        <f t="shared" si="54"/>
        <v>0</v>
      </c>
      <c r="J454" s="202">
        <f t="shared" si="55"/>
        <v>0</v>
      </c>
      <c r="K454" s="202">
        <f t="shared" si="56"/>
        <v>0</v>
      </c>
      <c r="L454" s="201"/>
    </row>
    <row r="455" spans="1:12">
      <c r="A455" s="203">
        <v>392</v>
      </c>
      <c r="B455" s="202">
        <f t="shared" si="49"/>
        <v>0</v>
      </c>
      <c r="C455" s="202">
        <f t="shared" si="50"/>
        <v>0</v>
      </c>
      <c r="D455" s="202">
        <f t="shared" si="51"/>
        <v>0</v>
      </c>
      <c r="E455" s="202">
        <f t="shared" si="52"/>
        <v>0</v>
      </c>
      <c r="F455" s="201"/>
      <c r="G455" s="203">
        <v>392</v>
      </c>
      <c r="H455" s="202">
        <f t="shared" si="53"/>
        <v>0</v>
      </c>
      <c r="I455" s="202">
        <f t="shared" si="54"/>
        <v>0</v>
      </c>
      <c r="J455" s="202">
        <f t="shared" si="55"/>
        <v>0</v>
      </c>
      <c r="K455" s="202">
        <f t="shared" si="56"/>
        <v>0</v>
      </c>
      <c r="L455" s="201"/>
    </row>
    <row r="456" spans="1:12">
      <c r="A456" s="203">
        <v>393</v>
      </c>
      <c r="B456" s="202">
        <f t="shared" si="49"/>
        <v>0</v>
      </c>
      <c r="C456" s="202">
        <f t="shared" si="50"/>
        <v>0</v>
      </c>
      <c r="D456" s="202">
        <f t="shared" si="51"/>
        <v>0</v>
      </c>
      <c r="E456" s="202">
        <f t="shared" si="52"/>
        <v>0</v>
      </c>
      <c r="F456" s="201"/>
      <c r="G456" s="203">
        <v>393</v>
      </c>
      <c r="H456" s="202">
        <f t="shared" si="53"/>
        <v>0</v>
      </c>
      <c r="I456" s="202">
        <f t="shared" si="54"/>
        <v>0</v>
      </c>
      <c r="J456" s="202">
        <f t="shared" si="55"/>
        <v>0</v>
      </c>
      <c r="K456" s="202">
        <f t="shared" si="56"/>
        <v>0</v>
      </c>
      <c r="L456" s="201"/>
    </row>
    <row r="457" spans="1:12">
      <c r="A457" s="203">
        <v>394</v>
      </c>
      <c r="B457" s="202">
        <f t="shared" si="49"/>
        <v>0</v>
      </c>
      <c r="C457" s="202">
        <f t="shared" si="50"/>
        <v>0</v>
      </c>
      <c r="D457" s="202">
        <f t="shared" si="51"/>
        <v>0</v>
      </c>
      <c r="E457" s="202">
        <f t="shared" si="52"/>
        <v>0</v>
      </c>
      <c r="F457" s="201"/>
      <c r="G457" s="203">
        <v>394</v>
      </c>
      <c r="H457" s="202">
        <f t="shared" si="53"/>
        <v>0</v>
      </c>
      <c r="I457" s="202">
        <f t="shared" si="54"/>
        <v>0</v>
      </c>
      <c r="J457" s="202">
        <f t="shared" si="55"/>
        <v>0</v>
      </c>
      <c r="K457" s="202">
        <f t="shared" si="56"/>
        <v>0</v>
      </c>
      <c r="L457" s="201"/>
    </row>
    <row r="458" spans="1:12">
      <c r="A458" s="203">
        <v>395</v>
      </c>
      <c r="B458" s="202">
        <f t="shared" si="49"/>
        <v>0</v>
      </c>
      <c r="C458" s="202">
        <f t="shared" si="50"/>
        <v>0</v>
      </c>
      <c r="D458" s="202">
        <f t="shared" si="51"/>
        <v>0</v>
      </c>
      <c r="E458" s="202">
        <f t="shared" si="52"/>
        <v>0</v>
      </c>
      <c r="F458" s="201"/>
      <c r="G458" s="203">
        <v>395</v>
      </c>
      <c r="H458" s="202">
        <f t="shared" si="53"/>
        <v>0</v>
      </c>
      <c r="I458" s="202">
        <f t="shared" si="54"/>
        <v>0</v>
      </c>
      <c r="J458" s="202">
        <f t="shared" si="55"/>
        <v>0</v>
      </c>
      <c r="K458" s="202">
        <f t="shared" si="56"/>
        <v>0</v>
      </c>
      <c r="L458" s="201"/>
    </row>
    <row r="459" spans="1:12">
      <c r="A459" s="203">
        <v>396</v>
      </c>
      <c r="B459" s="202">
        <f t="shared" si="49"/>
        <v>0</v>
      </c>
      <c r="C459" s="202">
        <f t="shared" si="50"/>
        <v>0</v>
      </c>
      <c r="D459" s="202">
        <f t="shared" si="51"/>
        <v>0</v>
      </c>
      <c r="E459" s="202">
        <f t="shared" si="52"/>
        <v>0</v>
      </c>
      <c r="F459" s="201">
        <v>33</v>
      </c>
      <c r="G459" s="203">
        <v>396</v>
      </c>
      <c r="H459" s="202">
        <f t="shared" si="53"/>
        <v>0</v>
      </c>
      <c r="I459" s="202">
        <f t="shared" si="54"/>
        <v>0</v>
      </c>
      <c r="J459" s="202">
        <f t="shared" si="55"/>
        <v>0</v>
      </c>
      <c r="K459" s="202">
        <f t="shared" si="56"/>
        <v>0</v>
      </c>
      <c r="L459" s="201">
        <v>33</v>
      </c>
    </row>
    <row r="460" spans="1:12">
      <c r="A460" s="203">
        <v>397</v>
      </c>
      <c r="B460" s="202">
        <f t="shared" si="49"/>
        <v>0</v>
      </c>
      <c r="C460" s="202">
        <f t="shared" si="50"/>
        <v>0</v>
      </c>
      <c r="D460" s="202">
        <f t="shared" si="51"/>
        <v>0</v>
      </c>
      <c r="E460" s="202">
        <f t="shared" si="52"/>
        <v>0</v>
      </c>
      <c r="F460" s="201"/>
      <c r="G460" s="203">
        <v>397</v>
      </c>
      <c r="H460" s="202">
        <f t="shared" si="53"/>
        <v>0</v>
      </c>
      <c r="I460" s="202">
        <f t="shared" si="54"/>
        <v>0</v>
      </c>
      <c r="J460" s="202">
        <f t="shared" si="55"/>
        <v>0</v>
      </c>
      <c r="K460" s="202">
        <f t="shared" si="56"/>
        <v>0</v>
      </c>
      <c r="L460" s="201"/>
    </row>
    <row r="461" spans="1:12">
      <c r="A461" s="203">
        <v>398</v>
      </c>
      <c r="B461" s="202">
        <f t="shared" si="49"/>
        <v>0</v>
      </c>
      <c r="C461" s="202">
        <f t="shared" si="50"/>
        <v>0</v>
      </c>
      <c r="D461" s="202">
        <f t="shared" si="51"/>
        <v>0</v>
      </c>
      <c r="E461" s="202">
        <f t="shared" si="52"/>
        <v>0</v>
      </c>
      <c r="F461" s="201"/>
      <c r="G461" s="203">
        <v>398</v>
      </c>
      <c r="H461" s="202">
        <f t="shared" si="53"/>
        <v>0</v>
      </c>
      <c r="I461" s="202">
        <f t="shared" si="54"/>
        <v>0</v>
      </c>
      <c r="J461" s="202">
        <f t="shared" si="55"/>
        <v>0</v>
      </c>
      <c r="K461" s="202">
        <f t="shared" si="56"/>
        <v>0</v>
      </c>
      <c r="L461" s="201"/>
    </row>
    <row r="462" spans="1:12">
      <c r="A462" s="203">
        <v>399</v>
      </c>
      <c r="B462" s="202">
        <f t="shared" si="49"/>
        <v>0</v>
      </c>
      <c r="C462" s="202">
        <f t="shared" si="50"/>
        <v>0</v>
      </c>
      <c r="D462" s="202">
        <f t="shared" si="51"/>
        <v>0</v>
      </c>
      <c r="E462" s="202">
        <f t="shared" si="52"/>
        <v>0</v>
      </c>
      <c r="F462" s="201"/>
      <c r="G462" s="203">
        <v>399</v>
      </c>
      <c r="H462" s="202">
        <f t="shared" si="53"/>
        <v>0</v>
      </c>
      <c r="I462" s="202">
        <f t="shared" si="54"/>
        <v>0</v>
      </c>
      <c r="J462" s="202">
        <f t="shared" si="55"/>
        <v>0</v>
      </c>
      <c r="K462" s="202">
        <f t="shared" si="56"/>
        <v>0</v>
      </c>
      <c r="L462" s="201"/>
    </row>
    <row r="463" spans="1:12">
      <c r="A463" s="203">
        <v>400</v>
      </c>
      <c r="B463" s="202">
        <f t="shared" si="49"/>
        <v>0</v>
      </c>
      <c r="C463" s="202">
        <f t="shared" si="50"/>
        <v>0</v>
      </c>
      <c r="D463" s="202">
        <f t="shared" si="51"/>
        <v>0</v>
      </c>
      <c r="E463" s="202">
        <f t="shared" si="52"/>
        <v>0</v>
      </c>
      <c r="F463" s="201"/>
      <c r="G463" s="203">
        <v>400</v>
      </c>
      <c r="H463" s="202">
        <f t="shared" si="53"/>
        <v>0</v>
      </c>
      <c r="I463" s="202">
        <f t="shared" si="54"/>
        <v>0</v>
      </c>
      <c r="J463" s="202">
        <f t="shared" si="55"/>
        <v>0</v>
      </c>
      <c r="K463" s="202">
        <f t="shared" si="56"/>
        <v>0</v>
      </c>
      <c r="L463" s="201"/>
    </row>
    <row r="464" spans="1:12">
      <c r="A464" s="203">
        <v>401</v>
      </c>
      <c r="B464" s="202">
        <f t="shared" si="49"/>
        <v>0</v>
      </c>
      <c r="C464" s="202">
        <f t="shared" si="50"/>
        <v>0</v>
      </c>
      <c r="D464" s="202">
        <f t="shared" si="51"/>
        <v>0</v>
      </c>
      <c r="E464" s="202">
        <f t="shared" si="52"/>
        <v>0</v>
      </c>
      <c r="F464" s="201"/>
      <c r="G464" s="203">
        <v>401</v>
      </c>
      <c r="H464" s="202">
        <f t="shared" si="53"/>
        <v>0</v>
      </c>
      <c r="I464" s="202">
        <f t="shared" si="54"/>
        <v>0</v>
      </c>
      <c r="J464" s="202">
        <f t="shared" si="55"/>
        <v>0</v>
      </c>
      <c r="K464" s="202">
        <f t="shared" si="56"/>
        <v>0</v>
      </c>
      <c r="L464" s="201"/>
    </row>
    <row r="465" spans="1:12">
      <c r="A465" s="203">
        <v>402</v>
      </c>
      <c r="B465" s="202">
        <f t="shared" si="49"/>
        <v>0</v>
      </c>
      <c r="C465" s="202">
        <f t="shared" si="50"/>
        <v>0</v>
      </c>
      <c r="D465" s="202">
        <f t="shared" si="51"/>
        <v>0</v>
      </c>
      <c r="E465" s="202">
        <f t="shared" si="52"/>
        <v>0</v>
      </c>
      <c r="F465" s="201"/>
      <c r="G465" s="203">
        <v>402</v>
      </c>
      <c r="H465" s="202">
        <f t="shared" si="53"/>
        <v>0</v>
      </c>
      <c r="I465" s="202">
        <f t="shared" si="54"/>
        <v>0</v>
      </c>
      <c r="J465" s="202">
        <f t="shared" si="55"/>
        <v>0</v>
      </c>
      <c r="K465" s="202">
        <f t="shared" si="56"/>
        <v>0</v>
      </c>
      <c r="L465" s="201"/>
    </row>
    <row r="466" spans="1:12">
      <c r="A466" s="203">
        <v>403</v>
      </c>
      <c r="B466" s="202">
        <f t="shared" si="49"/>
        <v>0</v>
      </c>
      <c r="C466" s="202">
        <f t="shared" si="50"/>
        <v>0</v>
      </c>
      <c r="D466" s="202">
        <f t="shared" si="51"/>
        <v>0</v>
      </c>
      <c r="E466" s="202">
        <f t="shared" si="52"/>
        <v>0</v>
      </c>
      <c r="F466" s="201"/>
      <c r="G466" s="203">
        <v>403</v>
      </c>
      <c r="H466" s="202">
        <f t="shared" si="53"/>
        <v>0</v>
      </c>
      <c r="I466" s="202">
        <f t="shared" si="54"/>
        <v>0</v>
      </c>
      <c r="J466" s="202">
        <f t="shared" si="55"/>
        <v>0</v>
      </c>
      <c r="K466" s="202">
        <f t="shared" si="56"/>
        <v>0</v>
      </c>
      <c r="L466" s="201"/>
    </row>
    <row r="467" spans="1:12">
      <c r="A467" s="203">
        <v>404</v>
      </c>
      <c r="B467" s="202">
        <f t="shared" si="49"/>
        <v>0</v>
      </c>
      <c r="C467" s="202">
        <f t="shared" si="50"/>
        <v>0</v>
      </c>
      <c r="D467" s="202">
        <f t="shared" si="51"/>
        <v>0</v>
      </c>
      <c r="E467" s="202">
        <f t="shared" si="52"/>
        <v>0</v>
      </c>
      <c r="F467" s="201"/>
      <c r="G467" s="203">
        <v>404</v>
      </c>
      <c r="H467" s="202">
        <f t="shared" si="53"/>
        <v>0</v>
      </c>
      <c r="I467" s="202">
        <f t="shared" si="54"/>
        <v>0</v>
      </c>
      <c r="J467" s="202">
        <f t="shared" si="55"/>
        <v>0</v>
      </c>
      <c r="K467" s="202">
        <f t="shared" si="56"/>
        <v>0</v>
      </c>
      <c r="L467" s="201"/>
    </row>
    <row r="468" spans="1:12">
      <c r="A468" s="203">
        <v>405</v>
      </c>
      <c r="B468" s="202">
        <f t="shared" si="49"/>
        <v>0</v>
      </c>
      <c r="C468" s="202">
        <f t="shared" si="50"/>
        <v>0</v>
      </c>
      <c r="D468" s="202">
        <f t="shared" si="51"/>
        <v>0</v>
      </c>
      <c r="E468" s="202">
        <f t="shared" si="52"/>
        <v>0</v>
      </c>
      <c r="F468" s="201"/>
      <c r="G468" s="203">
        <v>405</v>
      </c>
      <c r="H468" s="202">
        <f t="shared" si="53"/>
        <v>0</v>
      </c>
      <c r="I468" s="202">
        <f t="shared" si="54"/>
        <v>0</v>
      </c>
      <c r="J468" s="202">
        <f t="shared" si="55"/>
        <v>0</v>
      </c>
      <c r="K468" s="202">
        <f t="shared" si="56"/>
        <v>0</v>
      </c>
      <c r="L468" s="201"/>
    </row>
    <row r="469" spans="1:12">
      <c r="A469" s="203">
        <v>406</v>
      </c>
      <c r="B469" s="202">
        <f t="shared" si="49"/>
        <v>0</v>
      </c>
      <c r="C469" s="202">
        <f t="shared" si="50"/>
        <v>0</v>
      </c>
      <c r="D469" s="202">
        <f t="shared" si="51"/>
        <v>0</v>
      </c>
      <c r="E469" s="202">
        <f t="shared" si="52"/>
        <v>0</v>
      </c>
      <c r="F469" s="201"/>
      <c r="G469" s="203">
        <v>406</v>
      </c>
      <c r="H469" s="202">
        <f t="shared" si="53"/>
        <v>0</v>
      </c>
      <c r="I469" s="202">
        <f t="shared" si="54"/>
        <v>0</v>
      </c>
      <c r="J469" s="202">
        <f t="shared" si="55"/>
        <v>0</v>
      </c>
      <c r="K469" s="202">
        <f t="shared" si="56"/>
        <v>0</v>
      </c>
      <c r="L469" s="201"/>
    </row>
    <row r="470" spans="1:12">
      <c r="A470" s="203">
        <v>407</v>
      </c>
      <c r="B470" s="202">
        <f t="shared" si="49"/>
        <v>0</v>
      </c>
      <c r="C470" s="202">
        <f t="shared" si="50"/>
        <v>0</v>
      </c>
      <c r="D470" s="202">
        <f t="shared" si="51"/>
        <v>0</v>
      </c>
      <c r="E470" s="202">
        <f t="shared" si="52"/>
        <v>0</v>
      </c>
      <c r="F470" s="201"/>
      <c r="G470" s="203">
        <v>407</v>
      </c>
      <c r="H470" s="202">
        <f t="shared" si="53"/>
        <v>0</v>
      </c>
      <c r="I470" s="202">
        <f t="shared" si="54"/>
        <v>0</v>
      </c>
      <c r="J470" s="202">
        <f t="shared" si="55"/>
        <v>0</v>
      </c>
      <c r="K470" s="202">
        <f t="shared" si="56"/>
        <v>0</v>
      </c>
      <c r="L470" s="201"/>
    </row>
    <row r="471" spans="1:12">
      <c r="A471" s="203">
        <v>408</v>
      </c>
      <c r="B471" s="202">
        <f t="shared" si="49"/>
        <v>0</v>
      </c>
      <c r="C471" s="202">
        <f t="shared" si="50"/>
        <v>0</v>
      </c>
      <c r="D471" s="202">
        <f t="shared" si="51"/>
        <v>0</v>
      </c>
      <c r="E471" s="202">
        <f t="shared" si="52"/>
        <v>0</v>
      </c>
      <c r="F471" s="201">
        <v>34</v>
      </c>
      <c r="G471" s="203">
        <v>408</v>
      </c>
      <c r="H471" s="202">
        <f t="shared" si="53"/>
        <v>0</v>
      </c>
      <c r="I471" s="202">
        <f t="shared" si="54"/>
        <v>0</v>
      </c>
      <c r="J471" s="202">
        <f t="shared" si="55"/>
        <v>0</v>
      </c>
      <c r="K471" s="202">
        <f t="shared" si="56"/>
        <v>0</v>
      </c>
      <c r="L471" s="201">
        <v>34</v>
      </c>
    </row>
    <row r="472" spans="1:12">
      <c r="A472" s="203">
        <v>409</v>
      </c>
      <c r="B472" s="202">
        <f t="shared" si="49"/>
        <v>0</v>
      </c>
      <c r="C472" s="202">
        <f t="shared" si="50"/>
        <v>0</v>
      </c>
      <c r="D472" s="202">
        <f t="shared" si="51"/>
        <v>0</v>
      </c>
      <c r="E472" s="202">
        <f t="shared" si="52"/>
        <v>0</v>
      </c>
      <c r="F472" s="201"/>
      <c r="G472" s="203">
        <v>409</v>
      </c>
      <c r="H472" s="202">
        <f t="shared" si="53"/>
        <v>0</v>
      </c>
      <c r="I472" s="202">
        <f t="shared" si="54"/>
        <v>0</v>
      </c>
      <c r="J472" s="202">
        <f t="shared" si="55"/>
        <v>0</v>
      </c>
      <c r="K472" s="202">
        <f t="shared" si="56"/>
        <v>0</v>
      </c>
      <c r="L472" s="201"/>
    </row>
    <row r="473" spans="1:12">
      <c r="A473" s="203">
        <v>410</v>
      </c>
      <c r="B473" s="202">
        <f t="shared" si="49"/>
        <v>0</v>
      </c>
      <c r="C473" s="202">
        <f t="shared" si="50"/>
        <v>0</v>
      </c>
      <c r="D473" s="202">
        <f t="shared" si="51"/>
        <v>0</v>
      </c>
      <c r="E473" s="202">
        <f t="shared" si="52"/>
        <v>0</v>
      </c>
      <c r="F473" s="201"/>
      <c r="G473" s="203">
        <v>410</v>
      </c>
      <c r="H473" s="202">
        <f t="shared" si="53"/>
        <v>0</v>
      </c>
      <c r="I473" s="202">
        <f t="shared" si="54"/>
        <v>0</v>
      </c>
      <c r="J473" s="202">
        <f t="shared" si="55"/>
        <v>0</v>
      </c>
      <c r="K473" s="202">
        <f t="shared" si="56"/>
        <v>0</v>
      </c>
      <c r="L473" s="201"/>
    </row>
    <row r="474" spans="1:12">
      <c r="A474" s="203">
        <v>411</v>
      </c>
      <c r="B474" s="202">
        <f t="shared" si="49"/>
        <v>0</v>
      </c>
      <c r="C474" s="202">
        <f t="shared" si="50"/>
        <v>0</v>
      </c>
      <c r="D474" s="202">
        <f t="shared" si="51"/>
        <v>0</v>
      </c>
      <c r="E474" s="202">
        <f t="shared" si="52"/>
        <v>0</v>
      </c>
      <c r="F474" s="201"/>
      <c r="G474" s="203">
        <v>411</v>
      </c>
      <c r="H474" s="202">
        <f t="shared" si="53"/>
        <v>0</v>
      </c>
      <c r="I474" s="202">
        <f t="shared" si="54"/>
        <v>0</v>
      </c>
      <c r="J474" s="202">
        <f t="shared" si="55"/>
        <v>0</v>
      </c>
      <c r="K474" s="202">
        <f t="shared" si="56"/>
        <v>0</v>
      </c>
      <c r="L474" s="201"/>
    </row>
    <row r="475" spans="1:12">
      <c r="A475" s="203">
        <v>412</v>
      </c>
      <c r="B475" s="202">
        <f t="shared" si="49"/>
        <v>0</v>
      </c>
      <c r="C475" s="202">
        <f t="shared" si="50"/>
        <v>0</v>
      </c>
      <c r="D475" s="202">
        <f t="shared" si="51"/>
        <v>0</v>
      </c>
      <c r="E475" s="202">
        <f t="shared" si="52"/>
        <v>0</v>
      </c>
      <c r="F475" s="201"/>
      <c r="G475" s="203">
        <v>412</v>
      </c>
      <c r="H475" s="202">
        <f t="shared" si="53"/>
        <v>0</v>
      </c>
      <c r="I475" s="202">
        <f t="shared" si="54"/>
        <v>0</v>
      </c>
      <c r="J475" s="202">
        <f t="shared" si="55"/>
        <v>0</v>
      </c>
      <c r="K475" s="202">
        <f t="shared" si="56"/>
        <v>0</v>
      </c>
      <c r="L475" s="201"/>
    </row>
    <row r="476" spans="1:12">
      <c r="A476" s="203">
        <v>413</v>
      </c>
      <c r="B476" s="202">
        <f t="shared" si="49"/>
        <v>0</v>
      </c>
      <c r="C476" s="202">
        <f t="shared" si="50"/>
        <v>0</v>
      </c>
      <c r="D476" s="202">
        <f t="shared" si="51"/>
        <v>0</v>
      </c>
      <c r="E476" s="202">
        <f t="shared" si="52"/>
        <v>0</v>
      </c>
      <c r="F476" s="201"/>
      <c r="G476" s="203">
        <v>413</v>
      </c>
      <c r="H476" s="202">
        <f t="shared" si="53"/>
        <v>0</v>
      </c>
      <c r="I476" s="202">
        <f t="shared" si="54"/>
        <v>0</v>
      </c>
      <c r="J476" s="202">
        <f t="shared" si="55"/>
        <v>0</v>
      </c>
      <c r="K476" s="202">
        <f t="shared" si="56"/>
        <v>0</v>
      </c>
      <c r="L476" s="201"/>
    </row>
    <row r="477" spans="1:12">
      <c r="A477" s="203">
        <v>414</v>
      </c>
      <c r="B477" s="202">
        <f t="shared" si="49"/>
        <v>0</v>
      </c>
      <c r="C477" s="202">
        <f t="shared" si="50"/>
        <v>0</v>
      </c>
      <c r="D477" s="202">
        <f t="shared" si="51"/>
        <v>0</v>
      </c>
      <c r="E477" s="202">
        <f t="shared" si="52"/>
        <v>0</v>
      </c>
      <c r="F477" s="201"/>
      <c r="G477" s="203">
        <v>414</v>
      </c>
      <c r="H477" s="202">
        <f t="shared" si="53"/>
        <v>0</v>
      </c>
      <c r="I477" s="202">
        <f t="shared" si="54"/>
        <v>0</v>
      </c>
      <c r="J477" s="202">
        <f t="shared" si="55"/>
        <v>0</v>
      </c>
      <c r="K477" s="202">
        <f t="shared" si="56"/>
        <v>0</v>
      </c>
      <c r="L477" s="201"/>
    </row>
    <row r="478" spans="1:12">
      <c r="A478" s="203">
        <v>415</v>
      </c>
      <c r="B478" s="202">
        <f t="shared" si="49"/>
        <v>0</v>
      </c>
      <c r="C478" s="202">
        <f t="shared" si="50"/>
        <v>0</v>
      </c>
      <c r="D478" s="202">
        <f t="shared" si="51"/>
        <v>0</v>
      </c>
      <c r="E478" s="202">
        <f t="shared" si="52"/>
        <v>0</v>
      </c>
      <c r="F478" s="201"/>
      <c r="G478" s="203">
        <v>415</v>
      </c>
      <c r="H478" s="202">
        <f t="shared" si="53"/>
        <v>0</v>
      </c>
      <c r="I478" s="202">
        <f t="shared" si="54"/>
        <v>0</v>
      </c>
      <c r="J478" s="202">
        <f t="shared" si="55"/>
        <v>0</v>
      </c>
      <c r="K478" s="202">
        <f t="shared" si="56"/>
        <v>0</v>
      </c>
      <c r="L478" s="201"/>
    </row>
    <row r="479" spans="1:12">
      <c r="A479" s="203">
        <v>416</v>
      </c>
      <c r="B479" s="202">
        <f t="shared" si="49"/>
        <v>0</v>
      </c>
      <c r="C479" s="202">
        <f t="shared" si="50"/>
        <v>0</v>
      </c>
      <c r="D479" s="202">
        <f t="shared" si="51"/>
        <v>0</v>
      </c>
      <c r="E479" s="202">
        <f t="shared" si="52"/>
        <v>0</v>
      </c>
      <c r="F479" s="201"/>
      <c r="G479" s="203">
        <v>416</v>
      </c>
      <c r="H479" s="202">
        <f t="shared" si="53"/>
        <v>0</v>
      </c>
      <c r="I479" s="202">
        <f t="shared" si="54"/>
        <v>0</v>
      </c>
      <c r="J479" s="202">
        <f t="shared" si="55"/>
        <v>0</v>
      </c>
      <c r="K479" s="202">
        <f t="shared" si="56"/>
        <v>0</v>
      </c>
      <c r="L479" s="201"/>
    </row>
    <row r="480" spans="1:12">
      <c r="A480" s="203">
        <v>417</v>
      </c>
      <c r="B480" s="202">
        <f t="shared" si="49"/>
        <v>0</v>
      </c>
      <c r="C480" s="202">
        <f t="shared" si="50"/>
        <v>0</v>
      </c>
      <c r="D480" s="202">
        <f t="shared" si="51"/>
        <v>0</v>
      </c>
      <c r="E480" s="202">
        <f t="shared" si="52"/>
        <v>0</v>
      </c>
      <c r="F480" s="201"/>
      <c r="G480" s="203">
        <v>417</v>
      </c>
      <c r="H480" s="202">
        <f t="shared" si="53"/>
        <v>0</v>
      </c>
      <c r="I480" s="202">
        <f t="shared" si="54"/>
        <v>0</v>
      </c>
      <c r="J480" s="202">
        <f t="shared" si="55"/>
        <v>0</v>
      </c>
      <c r="K480" s="202">
        <f t="shared" si="56"/>
        <v>0</v>
      </c>
      <c r="L480" s="201"/>
    </row>
    <row r="481" spans="1:12">
      <c r="A481" s="203">
        <v>418</v>
      </c>
      <c r="B481" s="202">
        <f t="shared" si="49"/>
        <v>0</v>
      </c>
      <c r="C481" s="202">
        <f t="shared" si="50"/>
        <v>0</v>
      </c>
      <c r="D481" s="202">
        <f t="shared" si="51"/>
        <v>0</v>
      </c>
      <c r="E481" s="202">
        <f t="shared" si="52"/>
        <v>0</v>
      </c>
      <c r="F481" s="201"/>
      <c r="G481" s="203">
        <v>418</v>
      </c>
      <c r="H481" s="202">
        <f t="shared" si="53"/>
        <v>0</v>
      </c>
      <c r="I481" s="202">
        <f t="shared" si="54"/>
        <v>0</v>
      </c>
      <c r="J481" s="202">
        <f t="shared" si="55"/>
        <v>0</v>
      </c>
      <c r="K481" s="202">
        <f t="shared" si="56"/>
        <v>0</v>
      </c>
      <c r="L481" s="201"/>
    </row>
    <row r="482" spans="1:12">
      <c r="A482" s="203">
        <v>419</v>
      </c>
      <c r="B482" s="202">
        <f t="shared" si="49"/>
        <v>0</v>
      </c>
      <c r="C482" s="202">
        <f t="shared" si="50"/>
        <v>0</v>
      </c>
      <c r="D482" s="202">
        <f t="shared" si="51"/>
        <v>0</v>
      </c>
      <c r="E482" s="202">
        <f t="shared" si="52"/>
        <v>0</v>
      </c>
      <c r="F482" s="201"/>
      <c r="G482" s="203">
        <v>419</v>
      </c>
      <c r="H482" s="202">
        <f t="shared" si="53"/>
        <v>0</v>
      </c>
      <c r="I482" s="202">
        <f t="shared" si="54"/>
        <v>0</v>
      </c>
      <c r="J482" s="202">
        <f t="shared" si="55"/>
        <v>0</v>
      </c>
      <c r="K482" s="202">
        <f t="shared" si="56"/>
        <v>0</v>
      </c>
      <c r="L482" s="201"/>
    </row>
    <row r="483" spans="1:12">
      <c r="A483" s="203">
        <v>420</v>
      </c>
      <c r="B483" s="202">
        <f t="shared" si="49"/>
        <v>0</v>
      </c>
      <c r="C483" s="202">
        <f t="shared" si="50"/>
        <v>0</v>
      </c>
      <c r="D483" s="202">
        <f t="shared" si="51"/>
        <v>0</v>
      </c>
      <c r="E483" s="202">
        <f t="shared" si="52"/>
        <v>0</v>
      </c>
      <c r="F483" s="201">
        <v>35</v>
      </c>
      <c r="G483" s="203">
        <v>420</v>
      </c>
      <c r="H483" s="202">
        <f t="shared" si="53"/>
        <v>0</v>
      </c>
      <c r="I483" s="202">
        <f t="shared" si="54"/>
        <v>0</v>
      </c>
      <c r="J483" s="202">
        <f t="shared" si="55"/>
        <v>0</v>
      </c>
      <c r="K483" s="202">
        <f t="shared" si="56"/>
        <v>0</v>
      </c>
      <c r="L483" s="201">
        <v>35</v>
      </c>
    </row>
    <row r="484" spans="1:12">
      <c r="A484" s="203">
        <v>421</v>
      </c>
      <c r="B484" s="202">
        <f t="shared" si="49"/>
        <v>0</v>
      </c>
      <c r="C484" s="202">
        <f t="shared" si="50"/>
        <v>0</v>
      </c>
      <c r="D484" s="202">
        <f t="shared" si="51"/>
        <v>0</v>
      </c>
      <c r="E484" s="202">
        <f t="shared" si="52"/>
        <v>0</v>
      </c>
      <c r="F484" s="201"/>
      <c r="G484" s="203">
        <v>421</v>
      </c>
      <c r="H484" s="202">
        <f t="shared" si="53"/>
        <v>0</v>
      </c>
      <c r="I484" s="202">
        <f t="shared" si="54"/>
        <v>0</v>
      </c>
      <c r="J484" s="202">
        <f t="shared" si="55"/>
        <v>0</v>
      </c>
      <c r="K484" s="202">
        <f t="shared" si="56"/>
        <v>0</v>
      </c>
      <c r="L484" s="201"/>
    </row>
    <row r="485" spans="1:12">
      <c r="A485" s="203">
        <v>422</v>
      </c>
      <c r="B485" s="202">
        <f t="shared" si="49"/>
        <v>0</v>
      </c>
      <c r="C485" s="202">
        <f t="shared" si="50"/>
        <v>0</v>
      </c>
      <c r="D485" s="202">
        <f t="shared" si="51"/>
        <v>0</v>
      </c>
      <c r="E485" s="202">
        <f t="shared" si="52"/>
        <v>0</v>
      </c>
      <c r="F485" s="201"/>
      <c r="G485" s="203">
        <v>422</v>
      </c>
      <c r="H485" s="202">
        <f t="shared" si="53"/>
        <v>0</v>
      </c>
      <c r="I485" s="202">
        <f t="shared" si="54"/>
        <v>0</v>
      </c>
      <c r="J485" s="202">
        <f t="shared" si="55"/>
        <v>0</v>
      </c>
      <c r="K485" s="202">
        <f t="shared" si="56"/>
        <v>0</v>
      </c>
      <c r="L485" s="201"/>
    </row>
    <row r="486" spans="1:12">
      <c r="A486" s="203">
        <v>423</v>
      </c>
      <c r="B486" s="202">
        <f t="shared" si="49"/>
        <v>0</v>
      </c>
      <c r="C486" s="202">
        <f t="shared" si="50"/>
        <v>0</v>
      </c>
      <c r="D486" s="202">
        <f t="shared" si="51"/>
        <v>0</v>
      </c>
      <c r="E486" s="202">
        <f t="shared" si="52"/>
        <v>0</v>
      </c>
      <c r="F486" s="201"/>
      <c r="G486" s="203">
        <v>423</v>
      </c>
      <c r="H486" s="202">
        <f t="shared" si="53"/>
        <v>0</v>
      </c>
      <c r="I486" s="202">
        <f t="shared" si="54"/>
        <v>0</v>
      </c>
      <c r="J486" s="202">
        <f t="shared" si="55"/>
        <v>0</v>
      </c>
      <c r="K486" s="202">
        <f t="shared" si="56"/>
        <v>0</v>
      </c>
      <c r="L486" s="201"/>
    </row>
    <row r="487" spans="1:12">
      <c r="A487" s="203">
        <v>424</v>
      </c>
      <c r="B487" s="202">
        <f t="shared" si="49"/>
        <v>0</v>
      </c>
      <c r="C487" s="202">
        <f t="shared" si="50"/>
        <v>0</v>
      </c>
      <c r="D487" s="202">
        <f t="shared" si="51"/>
        <v>0</v>
      </c>
      <c r="E487" s="202">
        <f t="shared" si="52"/>
        <v>0</v>
      </c>
      <c r="F487" s="201"/>
      <c r="G487" s="203">
        <v>424</v>
      </c>
      <c r="H487" s="202">
        <f t="shared" si="53"/>
        <v>0</v>
      </c>
      <c r="I487" s="202">
        <f t="shared" si="54"/>
        <v>0</v>
      </c>
      <c r="J487" s="202">
        <f t="shared" si="55"/>
        <v>0</v>
      </c>
      <c r="K487" s="202">
        <f t="shared" si="56"/>
        <v>0</v>
      </c>
      <c r="L487" s="201"/>
    </row>
    <row r="488" spans="1:12">
      <c r="A488" s="203">
        <v>425</v>
      </c>
      <c r="B488" s="202">
        <f t="shared" si="49"/>
        <v>0</v>
      </c>
      <c r="C488" s="202">
        <f t="shared" si="50"/>
        <v>0</v>
      </c>
      <c r="D488" s="202">
        <f t="shared" si="51"/>
        <v>0</v>
      </c>
      <c r="E488" s="202">
        <f t="shared" si="52"/>
        <v>0</v>
      </c>
      <c r="F488" s="201"/>
      <c r="G488" s="203">
        <v>425</v>
      </c>
      <c r="H488" s="202">
        <f t="shared" si="53"/>
        <v>0</v>
      </c>
      <c r="I488" s="202">
        <f t="shared" si="54"/>
        <v>0</v>
      </c>
      <c r="J488" s="202">
        <f t="shared" si="55"/>
        <v>0</v>
      </c>
      <c r="K488" s="202">
        <f t="shared" si="56"/>
        <v>0</v>
      </c>
      <c r="L488" s="201"/>
    </row>
    <row r="489" spans="1:12">
      <c r="A489" s="203">
        <v>426</v>
      </c>
      <c r="B489" s="202">
        <f t="shared" si="49"/>
        <v>0</v>
      </c>
      <c r="C489" s="202">
        <f t="shared" si="50"/>
        <v>0</v>
      </c>
      <c r="D489" s="202">
        <f t="shared" si="51"/>
        <v>0</v>
      </c>
      <c r="E489" s="202">
        <f t="shared" si="52"/>
        <v>0</v>
      </c>
      <c r="F489" s="201"/>
      <c r="G489" s="203">
        <v>426</v>
      </c>
      <c r="H489" s="202">
        <f t="shared" si="53"/>
        <v>0</v>
      </c>
      <c r="I489" s="202">
        <f t="shared" si="54"/>
        <v>0</v>
      </c>
      <c r="J489" s="202">
        <f t="shared" si="55"/>
        <v>0</v>
      </c>
      <c r="K489" s="202">
        <f t="shared" si="56"/>
        <v>0</v>
      </c>
      <c r="L489" s="201"/>
    </row>
    <row r="490" spans="1:12">
      <c r="A490" s="203">
        <v>427</v>
      </c>
      <c r="B490" s="202">
        <f t="shared" si="49"/>
        <v>0</v>
      </c>
      <c r="C490" s="202">
        <f t="shared" si="50"/>
        <v>0</v>
      </c>
      <c r="D490" s="202">
        <f t="shared" si="51"/>
        <v>0</v>
      </c>
      <c r="E490" s="202">
        <f t="shared" si="52"/>
        <v>0</v>
      </c>
      <c r="F490" s="201"/>
      <c r="G490" s="203">
        <v>427</v>
      </c>
      <c r="H490" s="202">
        <f t="shared" si="53"/>
        <v>0</v>
      </c>
      <c r="I490" s="202">
        <f t="shared" si="54"/>
        <v>0</v>
      </c>
      <c r="J490" s="202">
        <f t="shared" si="55"/>
        <v>0</v>
      </c>
      <c r="K490" s="202">
        <f t="shared" si="56"/>
        <v>0</v>
      </c>
      <c r="L490" s="201"/>
    </row>
    <row r="491" spans="1:12">
      <c r="A491" s="203">
        <v>428</v>
      </c>
      <c r="B491" s="202">
        <f t="shared" si="49"/>
        <v>0</v>
      </c>
      <c r="C491" s="202">
        <f t="shared" si="50"/>
        <v>0</v>
      </c>
      <c r="D491" s="202">
        <f t="shared" si="51"/>
        <v>0</v>
      </c>
      <c r="E491" s="202">
        <f t="shared" si="52"/>
        <v>0</v>
      </c>
      <c r="F491" s="201"/>
      <c r="G491" s="203">
        <v>428</v>
      </c>
      <c r="H491" s="202">
        <f t="shared" si="53"/>
        <v>0</v>
      </c>
      <c r="I491" s="202">
        <f t="shared" si="54"/>
        <v>0</v>
      </c>
      <c r="J491" s="202">
        <f t="shared" si="55"/>
        <v>0</v>
      </c>
      <c r="K491" s="202">
        <f t="shared" si="56"/>
        <v>0</v>
      </c>
      <c r="L491" s="201"/>
    </row>
    <row r="492" spans="1:12">
      <c r="A492" s="203">
        <v>429</v>
      </c>
      <c r="B492" s="202">
        <f t="shared" si="49"/>
        <v>0</v>
      </c>
      <c r="C492" s="202">
        <f t="shared" si="50"/>
        <v>0</v>
      </c>
      <c r="D492" s="202">
        <f t="shared" si="51"/>
        <v>0</v>
      </c>
      <c r="E492" s="202">
        <f t="shared" si="52"/>
        <v>0</v>
      </c>
      <c r="F492" s="201"/>
      <c r="G492" s="203">
        <v>429</v>
      </c>
      <c r="H492" s="202">
        <f t="shared" si="53"/>
        <v>0</v>
      </c>
      <c r="I492" s="202">
        <f t="shared" si="54"/>
        <v>0</v>
      </c>
      <c r="J492" s="202">
        <f t="shared" si="55"/>
        <v>0</v>
      </c>
      <c r="K492" s="202">
        <f t="shared" si="56"/>
        <v>0</v>
      </c>
      <c r="L492" s="201"/>
    </row>
    <row r="493" spans="1:12">
      <c r="A493" s="203">
        <v>430</v>
      </c>
      <c r="B493" s="202">
        <f t="shared" si="49"/>
        <v>0</v>
      </c>
      <c r="C493" s="202">
        <f t="shared" si="50"/>
        <v>0</v>
      </c>
      <c r="D493" s="202">
        <f t="shared" si="51"/>
        <v>0</v>
      </c>
      <c r="E493" s="202">
        <f t="shared" si="52"/>
        <v>0</v>
      </c>
      <c r="F493" s="201"/>
      <c r="G493" s="203">
        <v>430</v>
      </c>
      <c r="H493" s="202">
        <f t="shared" si="53"/>
        <v>0</v>
      </c>
      <c r="I493" s="202">
        <f t="shared" si="54"/>
        <v>0</v>
      </c>
      <c r="J493" s="202">
        <f t="shared" si="55"/>
        <v>0</v>
      </c>
      <c r="K493" s="202">
        <f t="shared" si="56"/>
        <v>0</v>
      </c>
      <c r="L493" s="201"/>
    </row>
    <row r="494" spans="1:12">
      <c r="A494" s="203">
        <v>431</v>
      </c>
      <c r="B494" s="202">
        <f t="shared" si="49"/>
        <v>0</v>
      </c>
      <c r="C494" s="202">
        <f t="shared" si="50"/>
        <v>0</v>
      </c>
      <c r="D494" s="202">
        <f t="shared" si="51"/>
        <v>0</v>
      </c>
      <c r="E494" s="202">
        <f t="shared" si="52"/>
        <v>0</v>
      </c>
      <c r="F494" s="201"/>
      <c r="G494" s="203">
        <v>431</v>
      </c>
      <c r="H494" s="202">
        <f t="shared" si="53"/>
        <v>0</v>
      </c>
      <c r="I494" s="202">
        <f t="shared" si="54"/>
        <v>0</v>
      </c>
      <c r="J494" s="202">
        <f t="shared" si="55"/>
        <v>0</v>
      </c>
      <c r="K494" s="202">
        <f t="shared" si="56"/>
        <v>0</v>
      </c>
      <c r="L494" s="201"/>
    </row>
    <row r="495" spans="1:12">
      <c r="A495" s="203">
        <v>432</v>
      </c>
      <c r="B495" s="202">
        <f t="shared" si="49"/>
        <v>0</v>
      </c>
      <c r="C495" s="202">
        <f t="shared" si="50"/>
        <v>0</v>
      </c>
      <c r="D495" s="202">
        <f t="shared" si="51"/>
        <v>0</v>
      </c>
      <c r="E495" s="202">
        <f t="shared" si="52"/>
        <v>0</v>
      </c>
      <c r="F495" s="201">
        <v>36</v>
      </c>
      <c r="G495" s="203">
        <v>432</v>
      </c>
      <c r="H495" s="202">
        <f t="shared" si="53"/>
        <v>0</v>
      </c>
      <c r="I495" s="202">
        <f t="shared" si="54"/>
        <v>0</v>
      </c>
      <c r="J495" s="202">
        <f t="shared" si="55"/>
        <v>0</v>
      </c>
      <c r="K495" s="202">
        <f t="shared" si="56"/>
        <v>0</v>
      </c>
      <c r="L495" s="201">
        <v>36</v>
      </c>
    </row>
    <row r="496" spans="1:12">
      <c r="A496" s="203">
        <v>433</v>
      </c>
      <c r="B496" s="202">
        <f t="shared" si="49"/>
        <v>0</v>
      </c>
      <c r="C496" s="202">
        <f t="shared" si="50"/>
        <v>0</v>
      </c>
      <c r="D496" s="202">
        <f t="shared" si="51"/>
        <v>0</v>
      </c>
      <c r="E496" s="202">
        <f t="shared" si="52"/>
        <v>0</v>
      </c>
      <c r="F496" s="201"/>
      <c r="G496" s="203">
        <v>433</v>
      </c>
      <c r="H496" s="202">
        <f t="shared" si="53"/>
        <v>0</v>
      </c>
      <c r="I496" s="202">
        <f t="shared" si="54"/>
        <v>0</v>
      </c>
      <c r="J496" s="202">
        <f t="shared" si="55"/>
        <v>0</v>
      </c>
      <c r="K496" s="202">
        <f t="shared" si="56"/>
        <v>0</v>
      </c>
      <c r="L496" s="201"/>
    </row>
    <row r="497" spans="1:12">
      <c r="A497" s="203">
        <v>434</v>
      </c>
      <c r="B497" s="202">
        <f t="shared" si="49"/>
        <v>0</v>
      </c>
      <c r="C497" s="202">
        <f t="shared" si="50"/>
        <v>0</v>
      </c>
      <c r="D497" s="202">
        <f t="shared" si="51"/>
        <v>0</v>
      </c>
      <c r="E497" s="202">
        <f t="shared" si="52"/>
        <v>0</v>
      </c>
      <c r="F497" s="201"/>
      <c r="G497" s="203">
        <v>434</v>
      </c>
      <c r="H497" s="202">
        <f t="shared" si="53"/>
        <v>0</v>
      </c>
      <c r="I497" s="202">
        <f t="shared" si="54"/>
        <v>0</v>
      </c>
      <c r="J497" s="202">
        <f t="shared" si="55"/>
        <v>0</v>
      </c>
      <c r="K497" s="202">
        <f t="shared" si="56"/>
        <v>0</v>
      </c>
      <c r="L497" s="201"/>
    </row>
    <row r="498" spans="1:12">
      <c r="A498" s="203">
        <v>435</v>
      </c>
      <c r="B498" s="202">
        <f t="shared" si="49"/>
        <v>0</v>
      </c>
      <c r="C498" s="202">
        <f t="shared" si="50"/>
        <v>0</v>
      </c>
      <c r="D498" s="202">
        <f t="shared" si="51"/>
        <v>0</v>
      </c>
      <c r="E498" s="202">
        <f t="shared" si="52"/>
        <v>0</v>
      </c>
      <c r="F498" s="201"/>
      <c r="G498" s="203">
        <v>435</v>
      </c>
      <c r="H498" s="202">
        <f t="shared" si="53"/>
        <v>0</v>
      </c>
      <c r="I498" s="202">
        <f t="shared" si="54"/>
        <v>0</v>
      </c>
      <c r="J498" s="202">
        <f t="shared" si="55"/>
        <v>0</v>
      </c>
      <c r="K498" s="202">
        <f t="shared" si="56"/>
        <v>0</v>
      </c>
      <c r="L498" s="201"/>
    </row>
    <row r="499" spans="1:12">
      <c r="A499" s="203">
        <v>436</v>
      </c>
      <c r="B499" s="202">
        <f t="shared" si="49"/>
        <v>0</v>
      </c>
      <c r="C499" s="202">
        <f t="shared" si="50"/>
        <v>0</v>
      </c>
      <c r="D499" s="202">
        <f t="shared" si="51"/>
        <v>0</v>
      </c>
      <c r="E499" s="202">
        <f t="shared" si="52"/>
        <v>0</v>
      </c>
      <c r="F499" s="201"/>
      <c r="G499" s="203">
        <v>436</v>
      </c>
      <c r="H499" s="202">
        <f t="shared" si="53"/>
        <v>0</v>
      </c>
      <c r="I499" s="202">
        <f t="shared" si="54"/>
        <v>0</v>
      </c>
      <c r="J499" s="202">
        <f t="shared" si="55"/>
        <v>0</v>
      </c>
      <c r="K499" s="202">
        <f t="shared" si="56"/>
        <v>0</v>
      </c>
      <c r="L499" s="201"/>
    </row>
    <row r="500" spans="1:12">
      <c r="A500" s="203">
        <v>437</v>
      </c>
      <c r="B500" s="202">
        <f t="shared" si="49"/>
        <v>0</v>
      </c>
      <c r="C500" s="202">
        <f t="shared" si="50"/>
        <v>0</v>
      </c>
      <c r="D500" s="202">
        <f t="shared" si="51"/>
        <v>0</v>
      </c>
      <c r="E500" s="202">
        <f t="shared" si="52"/>
        <v>0</v>
      </c>
      <c r="F500" s="201"/>
      <c r="G500" s="203">
        <v>437</v>
      </c>
      <c r="H500" s="202">
        <f t="shared" si="53"/>
        <v>0</v>
      </c>
      <c r="I500" s="202">
        <f t="shared" si="54"/>
        <v>0</v>
      </c>
      <c r="J500" s="202">
        <f t="shared" si="55"/>
        <v>0</v>
      </c>
      <c r="K500" s="202">
        <f t="shared" si="56"/>
        <v>0</v>
      </c>
      <c r="L500" s="201"/>
    </row>
    <row r="501" spans="1:12">
      <c r="A501" s="203">
        <v>438</v>
      </c>
      <c r="B501" s="202">
        <f t="shared" si="49"/>
        <v>0</v>
      </c>
      <c r="C501" s="202">
        <f t="shared" si="50"/>
        <v>0</v>
      </c>
      <c r="D501" s="202">
        <f t="shared" si="51"/>
        <v>0</v>
      </c>
      <c r="E501" s="202">
        <f t="shared" si="52"/>
        <v>0</v>
      </c>
      <c r="F501" s="201"/>
      <c r="G501" s="203">
        <v>438</v>
      </c>
      <c r="H501" s="202">
        <f t="shared" si="53"/>
        <v>0</v>
      </c>
      <c r="I501" s="202">
        <f t="shared" si="54"/>
        <v>0</v>
      </c>
      <c r="J501" s="202">
        <f t="shared" si="55"/>
        <v>0</v>
      </c>
      <c r="K501" s="202">
        <f t="shared" si="56"/>
        <v>0</v>
      </c>
      <c r="L501" s="201"/>
    </row>
    <row r="502" spans="1:12">
      <c r="A502" s="203">
        <v>439</v>
      </c>
      <c r="B502" s="202">
        <f t="shared" si="49"/>
        <v>0</v>
      </c>
      <c r="C502" s="202">
        <f t="shared" si="50"/>
        <v>0</v>
      </c>
      <c r="D502" s="202">
        <f t="shared" si="51"/>
        <v>0</v>
      </c>
      <c r="E502" s="202">
        <f t="shared" si="52"/>
        <v>0</v>
      </c>
      <c r="F502" s="201"/>
      <c r="G502" s="203">
        <v>439</v>
      </c>
      <c r="H502" s="202">
        <f t="shared" si="53"/>
        <v>0</v>
      </c>
      <c r="I502" s="202">
        <f t="shared" si="54"/>
        <v>0</v>
      </c>
      <c r="J502" s="202">
        <f t="shared" si="55"/>
        <v>0</v>
      </c>
      <c r="K502" s="202">
        <f t="shared" si="56"/>
        <v>0</v>
      </c>
      <c r="L502" s="201"/>
    </row>
    <row r="503" spans="1:12">
      <c r="A503" s="203">
        <v>440</v>
      </c>
      <c r="B503" s="202">
        <f t="shared" si="49"/>
        <v>0</v>
      </c>
      <c r="C503" s="202">
        <f t="shared" si="50"/>
        <v>0</v>
      </c>
      <c r="D503" s="202">
        <f t="shared" si="51"/>
        <v>0</v>
      </c>
      <c r="E503" s="202">
        <f t="shared" si="52"/>
        <v>0</v>
      </c>
      <c r="F503" s="201"/>
      <c r="G503" s="203">
        <v>440</v>
      </c>
      <c r="H503" s="202">
        <f t="shared" si="53"/>
        <v>0</v>
      </c>
      <c r="I503" s="202">
        <f t="shared" si="54"/>
        <v>0</v>
      </c>
      <c r="J503" s="202">
        <f t="shared" si="55"/>
        <v>0</v>
      </c>
      <c r="K503" s="202">
        <f t="shared" si="56"/>
        <v>0</v>
      </c>
      <c r="L503" s="201"/>
    </row>
    <row r="504" spans="1:12">
      <c r="A504" s="203">
        <v>441</v>
      </c>
      <c r="B504" s="202">
        <f t="shared" si="49"/>
        <v>0</v>
      </c>
      <c r="C504" s="202">
        <f t="shared" si="50"/>
        <v>0</v>
      </c>
      <c r="D504" s="202">
        <f t="shared" si="51"/>
        <v>0</v>
      </c>
      <c r="E504" s="202">
        <f t="shared" si="52"/>
        <v>0</v>
      </c>
      <c r="F504" s="201"/>
      <c r="G504" s="203">
        <v>441</v>
      </c>
      <c r="H504" s="202">
        <f t="shared" si="53"/>
        <v>0</v>
      </c>
      <c r="I504" s="202">
        <f t="shared" si="54"/>
        <v>0</v>
      </c>
      <c r="J504" s="202">
        <f t="shared" si="55"/>
        <v>0</v>
      </c>
      <c r="K504" s="202">
        <f t="shared" si="56"/>
        <v>0</v>
      </c>
      <c r="L504" s="201"/>
    </row>
    <row r="505" spans="1:12">
      <c r="A505" s="203">
        <v>442</v>
      </c>
      <c r="B505" s="202">
        <f t="shared" si="49"/>
        <v>0</v>
      </c>
      <c r="C505" s="202">
        <f t="shared" si="50"/>
        <v>0</v>
      </c>
      <c r="D505" s="202">
        <f t="shared" si="51"/>
        <v>0</v>
      </c>
      <c r="E505" s="202">
        <f t="shared" si="52"/>
        <v>0</v>
      </c>
      <c r="F505" s="201"/>
      <c r="G505" s="203">
        <v>442</v>
      </c>
      <c r="H505" s="202">
        <f t="shared" si="53"/>
        <v>0</v>
      </c>
      <c r="I505" s="202">
        <f t="shared" si="54"/>
        <v>0</v>
      </c>
      <c r="J505" s="202">
        <f t="shared" si="55"/>
        <v>0</v>
      </c>
      <c r="K505" s="202">
        <f t="shared" si="56"/>
        <v>0</v>
      </c>
      <c r="L505" s="201"/>
    </row>
    <row r="506" spans="1:12">
      <c r="A506" s="203">
        <v>443</v>
      </c>
      <c r="B506" s="202">
        <f t="shared" si="49"/>
        <v>0</v>
      </c>
      <c r="C506" s="202">
        <f t="shared" si="50"/>
        <v>0</v>
      </c>
      <c r="D506" s="202">
        <f t="shared" si="51"/>
        <v>0</v>
      </c>
      <c r="E506" s="202">
        <f t="shared" si="52"/>
        <v>0</v>
      </c>
      <c r="F506" s="201"/>
      <c r="G506" s="203">
        <v>443</v>
      </c>
      <c r="H506" s="202">
        <f t="shared" si="53"/>
        <v>0</v>
      </c>
      <c r="I506" s="202">
        <f t="shared" si="54"/>
        <v>0</v>
      </c>
      <c r="J506" s="202">
        <f t="shared" si="55"/>
        <v>0</v>
      </c>
      <c r="K506" s="202">
        <f t="shared" si="56"/>
        <v>0</v>
      </c>
      <c r="L506" s="201"/>
    </row>
    <row r="507" spans="1:12">
      <c r="A507" s="203">
        <v>444</v>
      </c>
      <c r="B507" s="202">
        <f t="shared" si="49"/>
        <v>0</v>
      </c>
      <c r="C507" s="202">
        <f t="shared" si="50"/>
        <v>0</v>
      </c>
      <c r="D507" s="202">
        <f t="shared" si="51"/>
        <v>0</v>
      </c>
      <c r="E507" s="202">
        <f t="shared" si="52"/>
        <v>0</v>
      </c>
      <c r="F507" s="201">
        <v>37</v>
      </c>
      <c r="G507" s="203">
        <v>444</v>
      </c>
      <c r="H507" s="202">
        <f t="shared" si="53"/>
        <v>0</v>
      </c>
      <c r="I507" s="202">
        <f t="shared" si="54"/>
        <v>0</v>
      </c>
      <c r="J507" s="202">
        <f t="shared" si="55"/>
        <v>0</v>
      </c>
      <c r="K507" s="202">
        <f t="shared" si="56"/>
        <v>0</v>
      </c>
      <c r="L507" s="201">
        <v>37</v>
      </c>
    </row>
    <row r="508" spans="1:12">
      <c r="A508" s="203">
        <v>445</v>
      </c>
      <c r="B508" s="202">
        <f t="shared" si="49"/>
        <v>0</v>
      </c>
      <c r="C508" s="202">
        <f t="shared" si="50"/>
        <v>0</v>
      </c>
      <c r="D508" s="202">
        <f t="shared" si="51"/>
        <v>0</v>
      </c>
      <c r="E508" s="202">
        <f t="shared" si="52"/>
        <v>0</v>
      </c>
      <c r="F508" s="201"/>
      <c r="G508" s="203">
        <v>445</v>
      </c>
      <c r="H508" s="202">
        <f t="shared" si="53"/>
        <v>0</v>
      </c>
      <c r="I508" s="202">
        <f t="shared" si="54"/>
        <v>0</v>
      </c>
      <c r="J508" s="202">
        <f t="shared" si="55"/>
        <v>0</v>
      </c>
      <c r="K508" s="202">
        <f t="shared" si="56"/>
        <v>0</v>
      </c>
      <c r="L508" s="201"/>
    </row>
    <row r="509" spans="1:12">
      <c r="A509" s="203">
        <v>446</v>
      </c>
      <c r="B509" s="202">
        <f t="shared" si="49"/>
        <v>0</v>
      </c>
      <c r="C509" s="202">
        <f t="shared" si="50"/>
        <v>0</v>
      </c>
      <c r="D509" s="202">
        <f t="shared" si="51"/>
        <v>0</v>
      </c>
      <c r="E509" s="202">
        <f t="shared" si="52"/>
        <v>0</v>
      </c>
      <c r="F509" s="201"/>
      <c r="G509" s="203">
        <v>446</v>
      </c>
      <c r="H509" s="202">
        <f t="shared" si="53"/>
        <v>0</v>
      </c>
      <c r="I509" s="202">
        <f t="shared" si="54"/>
        <v>0</v>
      </c>
      <c r="J509" s="202">
        <f t="shared" si="55"/>
        <v>0</v>
      </c>
      <c r="K509" s="202">
        <f t="shared" si="56"/>
        <v>0</v>
      </c>
      <c r="L509" s="201"/>
    </row>
    <row r="510" spans="1:12">
      <c r="A510" s="203">
        <v>447</v>
      </c>
      <c r="B510" s="202">
        <f t="shared" si="49"/>
        <v>0</v>
      </c>
      <c r="C510" s="202">
        <f t="shared" si="50"/>
        <v>0</v>
      </c>
      <c r="D510" s="202">
        <f t="shared" si="51"/>
        <v>0</v>
      </c>
      <c r="E510" s="202">
        <f t="shared" si="52"/>
        <v>0</v>
      </c>
      <c r="F510" s="201"/>
      <c r="G510" s="203">
        <v>447</v>
      </c>
      <c r="H510" s="202">
        <f t="shared" si="53"/>
        <v>0</v>
      </c>
      <c r="I510" s="202">
        <f t="shared" si="54"/>
        <v>0</v>
      </c>
      <c r="J510" s="202">
        <f t="shared" si="55"/>
        <v>0</v>
      </c>
      <c r="K510" s="202">
        <f t="shared" si="56"/>
        <v>0</v>
      </c>
      <c r="L510" s="201"/>
    </row>
    <row r="511" spans="1:12">
      <c r="A511" s="203">
        <v>448</v>
      </c>
      <c r="B511" s="202">
        <f t="shared" si="49"/>
        <v>0</v>
      </c>
      <c r="C511" s="202">
        <f t="shared" si="50"/>
        <v>0</v>
      </c>
      <c r="D511" s="202">
        <f t="shared" si="51"/>
        <v>0</v>
      </c>
      <c r="E511" s="202">
        <f t="shared" si="52"/>
        <v>0</v>
      </c>
      <c r="F511" s="201"/>
      <c r="G511" s="203">
        <v>448</v>
      </c>
      <c r="H511" s="202">
        <f t="shared" si="53"/>
        <v>0</v>
      </c>
      <c r="I511" s="202">
        <f t="shared" si="54"/>
        <v>0</v>
      </c>
      <c r="J511" s="202">
        <f t="shared" si="55"/>
        <v>0</v>
      </c>
      <c r="K511" s="202">
        <f t="shared" si="56"/>
        <v>0</v>
      </c>
      <c r="L511" s="201"/>
    </row>
    <row r="512" spans="1:12">
      <c r="A512" s="203">
        <v>449</v>
      </c>
      <c r="B512" s="202">
        <f t="shared" ref="B512:B543" si="57">IF(A512&gt;12*$C$9,0,IF($C$5&gt;1500000,$D$12,$C$12))</f>
        <v>0</v>
      </c>
      <c r="C512" s="202">
        <f t="shared" ref="C512:C543" si="58">IF(A512&gt;12*$C$9,0,E511*$C$7/12)</f>
        <v>0</v>
      </c>
      <c r="D512" s="202">
        <f t="shared" ref="D512:D543" si="59">IF(A512&gt;12*$C$9,0,B512-C512)</f>
        <v>0</v>
      </c>
      <c r="E512" s="202">
        <f t="shared" ref="E512:E543" si="60">IF(A512&gt;12*$C$9,0,E511-D512)</f>
        <v>0</v>
      </c>
      <c r="F512" s="201"/>
      <c r="G512" s="203">
        <v>449</v>
      </c>
      <c r="H512" s="202">
        <f t="shared" ref="H512:H543" si="61">IF(G512&gt;12*$C$9,0,IF($C$5&gt;1500000,$E$12,0))</f>
        <v>0</v>
      </c>
      <c r="I512" s="202">
        <f t="shared" ref="I512:I543" si="62">IF(G512&gt;12*$C$9,0,K511*$C$7/12)</f>
        <v>0</v>
      </c>
      <c r="J512" s="202">
        <f t="shared" ref="J512:J543" si="63">IF(G512&gt;12*$C$9,0,H512-I512)</f>
        <v>0</v>
      </c>
      <c r="K512" s="202">
        <f t="shared" ref="K512:K543" si="64">IF(G512&gt;12*$C$9,0,K511-J512)</f>
        <v>0</v>
      </c>
      <c r="L512" s="201"/>
    </row>
    <row r="513" spans="1:12">
      <c r="A513" s="203">
        <v>450</v>
      </c>
      <c r="B513" s="202">
        <f t="shared" si="57"/>
        <v>0</v>
      </c>
      <c r="C513" s="202">
        <f t="shared" si="58"/>
        <v>0</v>
      </c>
      <c r="D513" s="202">
        <f t="shared" si="59"/>
        <v>0</v>
      </c>
      <c r="E513" s="202">
        <f t="shared" si="60"/>
        <v>0</v>
      </c>
      <c r="F513" s="201"/>
      <c r="G513" s="203">
        <v>450</v>
      </c>
      <c r="H513" s="202">
        <f t="shared" si="61"/>
        <v>0</v>
      </c>
      <c r="I513" s="202">
        <f t="shared" si="62"/>
        <v>0</v>
      </c>
      <c r="J513" s="202">
        <f t="shared" si="63"/>
        <v>0</v>
      </c>
      <c r="K513" s="202">
        <f t="shared" si="64"/>
        <v>0</v>
      </c>
      <c r="L513" s="201"/>
    </row>
    <row r="514" spans="1:12">
      <c r="A514" s="203">
        <v>451</v>
      </c>
      <c r="B514" s="202">
        <f t="shared" si="57"/>
        <v>0</v>
      </c>
      <c r="C514" s="202">
        <f t="shared" si="58"/>
        <v>0</v>
      </c>
      <c r="D514" s="202">
        <f t="shared" si="59"/>
        <v>0</v>
      </c>
      <c r="E514" s="202">
        <f t="shared" si="60"/>
        <v>0</v>
      </c>
      <c r="F514" s="201"/>
      <c r="G514" s="203">
        <v>451</v>
      </c>
      <c r="H514" s="202">
        <f t="shared" si="61"/>
        <v>0</v>
      </c>
      <c r="I514" s="202">
        <f t="shared" si="62"/>
        <v>0</v>
      </c>
      <c r="J514" s="202">
        <f t="shared" si="63"/>
        <v>0</v>
      </c>
      <c r="K514" s="202">
        <f t="shared" si="64"/>
        <v>0</v>
      </c>
      <c r="L514" s="201"/>
    </row>
    <row r="515" spans="1:12">
      <c r="A515" s="203">
        <v>452</v>
      </c>
      <c r="B515" s="202">
        <f t="shared" si="57"/>
        <v>0</v>
      </c>
      <c r="C515" s="202">
        <f t="shared" si="58"/>
        <v>0</v>
      </c>
      <c r="D515" s="202">
        <f t="shared" si="59"/>
        <v>0</v>
      </c>
      <c r="E515" s="202">
        <f t="shared" si="60"/>
        <v>0</v>
      </c>
      <c r="F515" s="201"/>
      <c r="G515" s="203">
        <v>452</v>
      </c>
      <c r="H515" s="202">
        <f t="shared" si="61"/>
        <v>0</v>
      </c>
      <c r="I515" s="202">
        <f t="shared" si="62"/>
        <v>0</v>
      </c>
      <c r="J515" s="202">
        <f t="shared" si="63"/>
        <v>0</v>
      </c>
      <c r="K515" s="202">
        <f t="shared" si="64"/>
        <v>0</v>
      </c>
      <c r="L515" s="201"/>
    </row>
    <row r="516" spans="1:12">
      <c r="A516" s="203">
        <v>453</v>
      </c>
      <c r="B516" s="202">
        <f t="shared" si="57"/>
        <v>0</v>
      </c>
      <c r="C516" s="202">
        <f t="shared" si="58"/>
        <v>0</v>
      </c>
      <c r="D516" s="202">
        <f t="shared" si="59"/>
        <v>0</v>
      </c>
      <c r="E516" s="202">
        <f t="shared" si="60"/>
        <v>0</v>
      </c>
      <c r="F516" s="201"/>
      <c r="G516" s="203">
        <v>453</v>
      </c>
      <c r="H516" s="202">
        <f t="shared" si="61"/>
        <v>0</v>
      </c>
      <c r="I516" s="202">
        <f t="shared" si="62"/>
        <v>0</v>
      </c>
      <c r="J516" s="202">
        <f t="shared" si="63"/>
        <v>0</v>
      </c>
      <c r="K516" s="202">
        <f t="shared" si="64"/>
        <v>0</v>
      </c>
      <c r="L516" s="201"/>
    </row>
    <row r="517" spans="1:12">
      <c r="A517" s="203">
        <v>454</v>
      </c>
      <c r="B517" s="202">
        <f t="shared" si="57"/>
        <v>0</v>
      </c>
      <c r="C517" s="202">
        <f t="shared" si="58"/>
        <v>0</v>
      </c>
      <c r="D517" s="202">
        <f t="shared" si="59"/>
        <v>0</v>
      </c>
      <c r="E517" s="202">
        <f t="shared" si="60"/>
        <v>0</v>
      </c>
      <c r="F517" s="201"/>
      <c r="G517" s="203">
        <v>454</v>
      </c>
      <c r="H517" s="202">
        <f t="shared" si="61"/>
        <v>0</v>
      </c>
      <c r="I517" s="202">
        <f t="shared" si="62"/>
        <v>0</v>
      </c>
      <c r="J517" s="202">
        <f t="shared" si="63"/>
        <v>0</v>
      </c>
      <c r="K517" s="202">
        <f t="shared" si="64"/>
        <v>0</v>
      </c>
      <c r="L517" s="201"/>
    </row>
    <row r="518" spans="1:12">
      <c r="A518" s="203">
        <v>455</v>
      </c>
      <c r="B518" s="202">
        <f t="shared" si="57"/>
        <v>0</v>
      </c>
      <c r="C518" s="202">
        <f t="shared" si="58"/>
        <v>0</v>
      </c>
      <c r="D518" s="202">
        <f t="shared" si="59"/>
        <v>0</v>
      </c>
      <c r="E518" s="202">
        <f t="shared" si="60"/>
        <v>0</v>
      </c>
      <c r="F518" s="201"/>
      <c r="G518" s="203">
        <v>455</v>
      </c>
      <c r="H518" s="202">
        <f t="shared" si="61"/>
        <v>0</v>
      </c>
      <c r="I518" s="202">
        <f t="shared" si="62"/>
        <v>0</v>
      </c>
      <c r="J518" s="202">
        <f t="shared" si="63"/>
        <v>0</v>
      </c>
      <c r="K518" s="202">
        <f t="shared" si="64"/>
        <v>0</v>
      </c>
      <c r="L518" s="201"/>
    </row>
    <row r="519" spans="1:12">
      <c r="A519" s="203">
        <v>456</v>
      </c>
      <c r="B519" s="202">
        <f t="shared" si="57"/>
        <v>0</v>
      </c>
      <c r="C519" s="202">
        <f t="shared" si="58"/>
        <v>0</v>
      </c>
      <c r="D519" s="202">
        <f t="shared" si="59"/>
        <v>0</v>
      </c>
      <c r="E519" s="202">
        <f t="shared" si="60"/>
        <v>0</v>
      </c>
      <c r="F519" s="203">
        <v>38</v>
      </c>
      <c r="G519" s="203">
        <v>456</v>
      </c>
      <c r="H519" s="202">
        <f t="shared" si="61"/>
        <v>0</v>
      </c>
      <c r="I519" s="202">
        <f t="shared" si="62"/>
        <v>0</v>
      </c>
      <c r="J519" s="202">
        <f t="shared" si="63"/>
        <v>0</v>
      </c>
      <c r="K519" s="202">
        <f t="shared" si="64"/>
        <v>0</v>
      </c>
      <c r="L519" s="203">
        <v>38</v>
      </c>
    </row>
    <row r="520" spans="1:12">
      <c r="A520" s="203">
        <v>457</v>
      </c>
      <c r="B520" s="202">
        <f t="shared" si="57"/>
        <v>0</v>
      </c>
      <c r="C520" s="202">
        <f t="shared" si="58"/>
        <v>0</v>
      </c>
      <c r="D520" s="202">
        <f t="shared" si="59"/>
        <v>0</v>
      </c>
      <c r="E520" s="202">
        <f t="shared" si="60"/>
        <v>0</v>
      </c>
      <c r="F520" s="201"/>
      <c r="G520" s="203">
        <v>457</v>
      </c>
      <c r="H520" s="202">
        <f t="shared" si="61"/>
        <v>0</v>
      </c>
      <c r="I520" s="202">
        <f t="shared" si="62"/>
        <v>0</v>
      </c>
      <c r="J520" s="202">
        <f t="shared" si="63"/>
        <v>0</v>
      </c>
      <c r="K520" s="202">
        <f t="shared" si="64"/>
        <v>0</v>
      </c>
      <c r="L520" s="201"/>
    </row>
    <row r="521" spans="1:12" s="181" customFormat="1">
      <c r="A521" s="203">
        <v>458</v>
      </c>
      <c r="B521" s="202">
        <f t="shared" si="57"/>
        <v>0</v>
      </c>
      <c r="C521" s="202">
        <f t="shared" si="58"/>
        <v>0</v>
      </c>
      <c r="D521" s="202">
        <f t="shared" si="59"/>
        <v>0</v>
      </c>
      <c r="E521" s="202">
        <f t="shared" si="60"/>
        <v>0</v>
      </c>
      <c r="F521" s="201"/>
      <c r="G521" s="203">
        <v>458</v>
      </c>
      <c r="H521" s="202">
        <f t="shared" si="61"/>
        <v>0</v>
      </c>
      <c r="I521" s="202">
        <f t="shared" si="62"/>
        <v>0</v>
      </c>
      <c r="J521" s="202">
        <f t="shared" si="63"/>
        <v>0</v>
      </c>
      <c r="K521" s="202">
        <f t="shared" si="64"/>
        <v>0</v>
      </c>
      <c r="L521" s="201"/>
    </row>
    <row r="522" spans="1:12">
      <c r="A522" s="203">
        <v>459</v>
      </c>
      <c r="B522" s="202">
        <f t="shared" si="57"/>
        <v>0</v>
      </c>
      <c r="C522" s="202">
        <f t="shared" si="58"/>
        <v>0</v>
      </c>
      <c r="D522" s="202">
        <f t="shared" si="59"/>
        <v>0</v>
      </c>
      <c r="E522" s="202">
        <f t="shared" si="60"/>
        <v>0</v>
      </c>
      <c r="F522" s="201"/>
      <c r="G522" s="203">
        <v>459</v>
      </c>
      <c r="H522" s="202">
        <f t="shared" si="61"/>
        <v>0</v>
      </c>
      <c r="I522" s="202">
        <f t="shared" si="62"/>
        <v>0</v>
      </c>
      <c r="J522" s="202">
        <f t="shared" si="63"/>
        <v>0</v>
      </c>
      <c r="K522" s="202">
        <f t="shared" si="64"/>
        <v>0</v>
      </c>
      <c r="L522" s="201"/>
    </row>
    <row r="523" spans="1:12">
      <c r="A523" s="203">
        <v>460</v>
      </c>
      <c r="B523" s="202">
        <f t="shared" si="57"/>
        <v>0</v>
      </c>
      <c r="C523" s="202">
        <f t="shared" si="58"/>
        <v>0</v>
      </c>
      <c r="D523" s="202">
        <f t="shared" si="59"/>
        <v>0</v>
      </c>
      <c r="E523" s="202">
        <f t="shared" si="60"/>
        <v>0</v>
      </c>
      <c r="F523" s="201"/>
      <c r="G523" s="203">
        <v>460</v>
      </c>
      <c r="H523" s="202">
        <f t="shared" si="61"/>
        <v>0</v>
      </c>
      <c r="I523" s="202">
        <f t="shared" si="62"/>
        <v>0</v>
      </c>
      <c r="J523" s="202">
        <f t="shared" si="63"/>
        <v>0</v>
      </c>
      <c r="K523" s="202">
        <f t="shared" si="64"/>
        <v>0</v>
      </c>
      <c r="L523" s="201"/>
    </row>
    <row r="524" spans="1:12">
      <c r="A524" s="203">
        <v>461</v>
      </c>
      <c r="B524" s="202">
        <f t="shared" si="57"/>
        <v>0</v>
      </c>
      <c r="C524" s="202">
        <f t="shared" si="58"/>
        <v>0</v>
      </c>
      <c r="D524" s="202">
        <f t="shared" si="59"/>
        <v>0</v>
      </c>
      <c r="E524" s="202">
        <f t="shared" si="60"/>
        <v>0</v>
      </c>
      <c r="F524" s="201"/>
      <c r="G524" s="203">
        <v>461</v>
      </c>
      <c r="H524" s="202">
        <f t="shared" si="61"/>
        <v>0</v>
      </c>
      <c r="I524" s="202">
        <f t="shared" si="62"/>
        <v>0</v>
      </c>
      <c r="J524" s="202">
        <f t="shared" si="63"/>
        <v>0</v>
      </c>
      <c r="K524" s="202">
        <f t="shared" si="64"/>
        <v>0</v>
      </c>
      <c r="L524" s="201"/>
    </row>
    <row r="525" spans="1:12">
      <c r="A525" s="203">
        <v>462</v>
      </c>
      <c r="B525" s="202">
        <f t="shared" si="57"/>
        <v>0</v>
      </c>
      <c r="C525" s="202">
        <f t="shared" si="58"/>
        <v>0</v>
      </c>
      <c r="D525" s="202">
        <f t="shared" si="59"/>
        <v>0</v>
      </c>
      <c r="E525" s="202">
        <f t="shared" si="60"/>
        <v>0</v>
      </c>
      <c r="F525" s="201"/>
      <c r="G525" s="203">
        <v>462</v>
      </c>
      <c r="H525" s="202">
        <f t="shared" si="61"/>
        <v>0</v>
      </c>
      <c r="I525" s="202">
        <f t="shared" si="62"/>
        <v>0</v>
      </c>
      <c r="J525" s="202">
        <f t="shared" si="63"/>
        <v>0</v>
      </c>
      <c r="K525" s="202">
        <f t="shared" si="64"/>
        <v>0</v>
      </c>
      <c r="L525" s="201"/>
    </row>
    <row r="526" spans="1:12">
      <c r="A526" s="203">
        <v>463</v>
      </c>
      <c r="B526" s="202">
        <f t="shared" si="57"/>
        <v>0</v>
      </c>
      <c r="C526" s="202">
        <f t="shared" si="58"/>
        <v>0</v>
      </c>
      <c r="D526" s="202">
        <f t="shared" si="59"/>
        <v>0</v>
      </c>
      <c r="E526" s="202">
        <f t="shared" si="60"/>
        <v>0</v>
      </c>
      <c r="F526" s="201"/>
      <c r="G526" s="203">
        <v>463</v>
      </c>
      <c r="H526" s="202">
        <f t="shared" si="61"/>
        <v>0</v>
      </c>
      <c r="I526" s="202">
        <f t="shared" si="62"/>
        <v>0</v>
      </c>
      <c r="J526" s="202">
        <f t="shared" si="63"/>
        <v>0</v>
      </c>
      <c r="K526" s="202">
        <f t="shared" si="64"/>
        <v>0</v>
      </c>
      <c r="L526" s="201"/>
    </row>
    <row r="527" spans="1:12">
      <c r="A527" s="203">
        <v>464</v>
      </c>
      <c r="B527" s="202">
        <f t="shared" si="57"/>
        <v>0</v>
      </c>
      <c r="C527" s="202">
        <f t="shared" si="58"/>
        <v>0</v>
      </c>
      <c r="D527" s="202">
        <f t="shared" si="59"/>
        <v>0</v>
      </c>
      <c r="E527" s="202">
        <f t="shared" si="60"/>
        <v>0</v>
      </c>
      <c r="F527" s="201"/>
      <c r="G527" s="203">
        <v>464</v>
      </c>
      <c r="H527" s="202">
        <f t="shared" si="61"/>
        <v>0</v>
      </c>
      <c r="I527" s="202">
        <f t="shared" si="62"/>
        <v>0</v>
      </c>
      <c r="J527" s="202">
        <f t="shared" si="63"/>
        <v>0</v>
      </c>
      <c r="K527" s="202">
        <f t="shared" si="64"/>
        <v>0</v>
      </c>
      <c r="L527" s="201"/>
    </row>
    <row r="528" spans="1:12">
      <c r="A528" s="203">
        <v>465</v>
      </c>
      <c r="B528" s="202">
        <f t="shared" si="57"/>
        <v>0</v>
      </c>
      <c r="C528" s="202">
        <f t="shared" si="58"/>
        <v>0</v>
      </c>
      <c r="D528" s="202">
        <f t="shared" si="59"/>
        <v>0</v>
      </c>
      <c r="E528" s="202">
        <f t="shared" si="60"/>
        <v>0</v>
      </c>
      <c r="F528" s="201"/>
      <c r="G528" s="203">
        <v>465</v>
      </c>
      <c r="H528" s="202">
        <f t="shared" si="61"/>
        <v>0</v>
      </c>
      <c r="I528" s="202">
        <f t="shared" si="62"/>
        <v>0</v>
      </c>
      <c r="J528" s="202">
        <f t="shared" si="63"/>
        <v>0</v>
      </c>
      <c r="K528" s="202">
        <f t="shared" si="64"/>
        <v>0</v>
      </c>
      <c r="L528" s="201"/>
    </row>
    <row r="529" spans="1:12">
      <c r="A529" s="203">
        <v>466</v>
      </c>
      <c r="B529" s="202">
        <f t="shared" si="57"/>
        <v>0</v>
      </c>
      <c r="C529" s="202">
        <f t="shared" si="58"/>
        <v>0</v>
      </c>
      <c r="D529" s="202">
        <f t="shared" si="59"/>
        <v>0</v>
      </c>
      <c r="E529" s="202">
        <f t="shared" si="60"/>
        <v>0</v>
      </c>
      <c r="F529" s="201"/>
      <c r="G529" s="203">
        <v>466</v>
      </c>
      <c r="H529" s="202">
        <f t="shared" si="61"/>
        <v>0</v>
      </c>
      <c r="I529" s="202">
        <f t="shared" si="62"/>
        <v>0</v>
      </c>
      <c r="J529" s="202">
        <f t="shared" si="63"/>
        <v>0</v>
      </c>
      <c r="K529" s="202">
        <f t="shared" si="64"/>
        <v>0</v>
      </c>
      <c r="L529" s="201"/>
    </row>
    <row r="530" spans="1:12">
      <c r="A530" s="203">
        <v>467</v>
      </c>
      <c r="B530" s="202">
        <f t="shared" si="57"/>
        <v>0</v>
      </c>
      <c r="C530" s="202">
        <f t="shared" si="58"/>
        <v>0</v>
      </c>
      <c r="D530" s="202">
        <f t="shared" si="59"/>
        <v>0</v>
      </c>
      <c r="E530" s="202">
        <f t="shared" si="60"/>
        <v>0</v>
      </c>
      <c r="F530" s="201"/>
      <c r="G530" s="203">
        <v>467</v>
      </c>
      <c r="H530" s="202">
        <f t="shared" si="61"/>
        <v>0</v>
      </c>
      <c r="I530" s="202">
        <f t="shared" si="62"/>
        <v>0</v>
      </c>
      <c r="J530" s="202">
        <f t="shared" si="63"/>
        <v>0</v>
      </c>
      <c r="K530" s="202">
        <f t="shared" si="64"/>
        <v>0</v>
      </c>
      <c r="L530" s="201"/>
    </row>
    <row r="531" spans="1:12">
      <c r="A531" s="203">
        <v>468</v>
      </c>
      <c r="B531" s="202">
        <f t="shared" si="57"/>
        <v>0</v>
      </c>
      <c r="C531" s="202">
        <f t="shared" si="58"/>
        <v>0</v>
      </c>
      <c r="D531" s="202">
        <f t="shared" si="59"/>
        <v>0</v>
      </c>
      <c r="E531" s="202">
        <f t="shared" si="60"/>
        <v>0</v>
      </c>
      <c r="F531" s="201">
        <v>39</v>
      </c>
      <c r="G531" s="203">
        <v>468</v>
      </c>
      <c r="H531" s="202">
        <f t="shared" si="61"/>
        <v>0</v>
      </c>
      <c r="I531" s="202">
        <f t="shared" si="62"/>
        <v>0</v>
      </c>
      <c r="J531" s="202">
        <f t="shared" si="63"/>
        <v>0</v>
      </c>
      <c r="K531" s="202">
        <f t="shared" si="64"/>
        <v>0</v>
      </c>
      <c r="L531" s="201">
        <v>39</v>
      </c>
    </row>
    <row r="532" spans="1:12">
      <c r="A532" s="203">
        <v>469</v>
      </c>
      <c r="B532" s="202">
        <f t="shared" si="57"/>
        <v>0</v>
      </c>
      <c r="C532" s="202">
        <f t="shared" si="58"/>
        <v>0</v>
      </c>
      <c r="D532" s="202">
        <f t="shared" si="59"/>
        <v>0</v>
      </c>
      <c r="E532" s="202">
        <f t="shared" si="60"/>
        <v>0</v>
      </c>
      <c r="F532" s="201"/>
      <c r="G532" s="203">
        <v>469</v>
      </c>
      <c r="H532" s="202">
        <f t="shared" si="61"/>
        <v>0</v>
      </c>
      <c r="I532" s="202">
        <f t="shared" si="62"/>
        <v>0</v>
      </c>
      <c r="J532" s="202">
        <f t="shared" si="63"/>
        <v>0</v>
      </c>
      <c r="K532" s="202">
        <f t="shared" si="64"/>
        <v>0</v>
      </c>
      <c r="L532" s="201"/>
    </row>
    <row r="533" spans="1:12">
      <c r="A533" s="203">
        <v>470</v>
      </c>
      <c r="B533" s="202">
        <f t="shared" si="57"/>
        <v>0</v>
      </c>
      <c r="C533" s="202">
        <f t="shared" si="58"/>
        <v>0</v>
      </c>
      <c r="D533" s="202">
        <f t="shared" si="59"/>
        <v>0</v>
      </c>
      <c r="E533" s="202">
        <f t="shared" si="60"/>
        <v>0</v>
      </c>
      <c r="F533" s="201"/>
      <c r="G533" s="203">
        <v>470</v>
      </c>
      <c r="H533" s="202">
        <f t="shared" si="61"/>
        <v>0</v>
      </c>
      <c r="I533" s="202">
        <f t="shared" si="62"/>
        <v>0</v>
      </c>
      <c r="J533" s="202">
        <f t="shared" si="63"/>
        <v>0</v>
      </c>
      <c r="K533" s="202">
        <f t="shared" si="64"/>
        <v>0</v>
      </c>
      <c r="L533" s="201"/>
    </row>
    <row r="534" spans="1:12">
      <c r="A534" s="203">
        <v>471</v>
      </c>
      <c r="B534" s="202">
        <f t="shared" si="57"/>
        <v>0</v>
      </c>
      <c r="C534" s="202">
        <f t="shared" si="58"/>
        <v>0</v>
      </c>
      <c r="D534" s="202">
        <f t="shared" si="59"/>
        <v>0</v>
      </c>
      <c r="E534" s="202">
        <f t="shared" si="60"/>
        <v>0</v>
      </c>
      <c r="F534" s="201"/>
      <c r="G534" s="203">
        <v>471</v>
      </c>
      <c r="H534" s="202">
        <f t="shared" si="61"/>
        <v>0</v>
      </c>
      <c r="I534" s="202">
        <f t="shared" si="62"/>
        <v>0</v>
      </c>
      <c r="J534" s="202">
        <f t="shared" si="63"/>
        <v>0</v>
      </c>
      <c r="K534" s="202">
        <f t="shared" si="64"/>
        <v>0</v>
      </c>
      <c r="L534" s="201"/>
    </row>
    <row r="535" spans="1:12">
      <c r="A535" s="203">
        <v>472</v>
      </c>
      <c r="B535" s="202">
        <f t="shared" si="57"/>
        <v>0</v>
      </c>
      <c r="C535" s="202">
        <f t="shared" si="58"/>
        <v>0</v>
      </c>
      <c r="D535" s="202">
        <f t="shared" si="59"/>
        <v>0</v>
      </c>
      <c r="E535" s="202">
        <f t="shared" si="60"/>
        <v>0</v>
      </c>
      <c r="F535" s="201"/>
      <c r="G535" s="203">
        <v>472</v>
      </c>
      <c r="H535" s="202">
        <f t="shared" si="61"/>
        <v>0</v>
      </c>
      <c r="I535" s="202">
        <f t="shared" si="62"/>
        <v>0</v>
      </c>
      <c r="J535" s="202">
        <f t="shared" si="63"/>
        <v>0</v>
      </c>
      <c r="K535" s="202">
        <f t="shared" si="64"/>
        <v>0</v>
      </c>
      <c r="L535" s="201"/>
    </row>
    <row r="536" spans="1:12">
      <c r="A536" s="203">
        <v>473</v>
      </c>
      <c r="B536" s="202">
        <f t="shared" si="57"/>
        <v>0</v>
      </c>
      <c r="C536" s="202">
        <f t="shared" si="58"/>
        <v>0</v>
      </c>
      <c r="D536" s="202">
        <f t="shared" si="59"/>
        <v>0</v>
      </c>
      <c r="E536" s="202">
        <f t="shared" si="60"/>
        <v>0</v>
      </c>
      <c r="F536" s="201"/>
      <c r="G536" s="203">
        <v>473</v>
      </c>
      <c r="H536" s="202">
        <f t="shared" si="61"/>
        <v>0</v>
      </c>
      <c r="I536" s="202">
        <f t="shared" si="62"/>
        <v>0</v>
      </c>
      <c r="J536" s="202">
        <f t="shared" si="63"/>
        <v>0</v>
      </c>
      <c r="K536" s="202">
        <f t="shared" si="64"/>
        <v>0</v>
      </c>
      <c r="L536" s="201"/>
    </row>
    <row r="537" spans="1:12">
      <c r="A537" s="203">
        <v>474</v>
      </c>
      <c r="B537" s="202">
        <f t="shared" si="57"/>
        <v>0</v>
      </c>
      <c r="C537" s="202">
        <f t="shared" si="58"/>
        <v>0</v>
      </c>
      <c r="D537" s="202">
        <f t="shared" si="59"/>
        <v>0</v>
      </c>
      <c r="E537" s="202">
        <f t="shared" si="60"/>
        <v>0</v>
      </c>
      <c r="F537" s="201"/>
      <c r="G537" s="203">
        <v>474</v>
      </c>
      <c r="H537" s="202">
        <f t="shared" si="61"/>
        <v>0</v>
      </c>
      <c r="I537" s="202">
        <f t="shared" si="62"/>
        <v>0</v>
      </c>
      <c r="J537" s="202">
        <f t="shared" si="63"/>
        <v>0</v>
      </c>
      <c r="K537" s="202">
        <f t="shared" si="64"/>
        <v>0</v>
      </c>
      <c r="L537" s="201"/>
    </row>
    <row r="538" spans="1:12">
      <c r="A538" s="203">
        <v>475</v>
      </c>
      <c r="B538" s="202">
        <f t="shared" si="57"/>
        <v>0</v>
      </c>
      <c r="C538" s="202">
        <f t="shared" si="58"/>
        <v>0</v>
      </c>
      <c r="D538" s="202">
        <f t="shared" si="59"/>
        <v>0</v>
      </c>
      <c r="E538" s="202">
        <f t="shared" si="60"/>
        <v>0</v>
      </c>
      <c r="F538" s="201"/>
      <c r="G538" s="203">
        <v>475</v>
      </c>
      <c r="H538" s="202">
        <f t="shared" si="61"/>
        <v>0</v>
      </c>
      <c r="I538" s="202">
        <f t="shared" si="62"/>
        <v>0</v>
      </c>
      <c r="J538" s="202">
        <f t="shared" si="63"/>
        <v>0</v>
      </c>
      <c r="K538" s="202">
        <f t="shared" si="64"/>
        <v>0</v>
      </c>
      <c r="L538" s="201"/>
    </row>
    <row r="539" spans="1:12">
      <c r="A539" s="203">
        <v>476</v>
      </c>
      <c r="B539" s="202">
        <f t="shared" si="57"/>
        <v>0</v>
      </c>
      <c r="C539" s="202">
        <f t="shared" si="58"/>
        <v>0</v>
      </c>
      <c r="D539" s="202">
        <f t="shared" si="59"/>
        <v>0</v>
      </c>
      <c r="E539" s="202">
        <f t="shared" si="60"/>
        <v>0</v>
      </c>
      <c r="F539" s="201"/>
      <c r="G539" s="203">
        <v>476</v>
      </c>
      <c r="H539" s="202">
        <f t="shared" si="61"/>
        <v>0</v>
      </c>
      <c r="I539" s="202">
        <f t="shared" si="62"/>
        <v>0</v>
      </c>
      <c r="J539" s="202">
        <f t="shared" si="63"/>
        <v>0</v>
      </c>
      <c r="K539" s="202">
        <f t="shared" si="64"/>
        <v>0</v>
      </c>
      <c r="L539" s="201"/>
    </row>
    <row r="540" spans="1:12">
      <c r="A540" s="203">
        <v>477</v>
      </c>
      <c r="B540" s="202">
        <f t="shared" si="57"/>
        <v>0</v>
      </c>
      <c r="C540" s="202">
        <f t="shared" si="58"/>
        <v>0</v>
      </c>
      <c r="D540" s="202">
        <f t="shared" si="59"/>
        <v>0</v>
      </c>
      <c r="E540" s="202">
        <f t="shared" si="60"/>
        <v>0</v>
      </c>
      <c r="F540" s="201"/>
      <c r="G540" s="203">
        <v>477</v>
      </c>
      <c r="H540" s="202">
        <f t="shared" si="61"/>
        <v>0</v>
      </c>
      <c r="I540" s="202">
        <f t="shared" si="62"/>
        <v>0</v>
      </c>
      <c r="J540" s="202">
        <f t="shared" si="63"/>
        <v>0</v>
      </c>
      <c r="K540" s="202">
        <f t="shared" si="64"/>
        <v>0</v>
      </c>
      <c r="L540" s="201"/>
    </row>
    <row r="541" spans="1:12">
      <c r="A541" s="203">
        <v>478</v>
      </c>
      <c r="B541" s="202">
        <f t="shared" si="57"/>
        <v>0</v>
      </c>
      <c r="C541" s="202">
        <f t="shared" si="58"/>
        <v>0</v>
      </c>
      <c r="D541" s="202">
        <f t="shared" si="59"/>
        <v>0</v>
      </c>
      <c r="E541" s="202">
        <f t="shared" si="60"/>
        <v>0</v>
      </c>
      <c r="F541" s="201"/>
      <c r="G541" s="203">
        <v>478</v>
      </c>
      <c r="H541" s="202">
        <f t="shared" si="61"/>
        <v>0</v>
      </c>
      <c r="I541" s="202">
        <f t="shared" si="62"/>
        <v>0</v>
      </c>
      <c r="J541" s="202">
        <f t="shared" si="63"/>
        <v>0</v>
      </c>
      <c r="K541" s="202">
        <f t="shared" si="64"/>
        <v>0</v>
      </c>
      <c r="L541" s="201"/>
    </row>
    <row r="542" spans="1:12">
      <c r="A542" s="203">
        <v>479</v>
      </c>
      <c r="B542" s="202">
        <f t="shared" si="57"/>
        <v>0</v>
      </c>
      <c r="C542" s="202">
        <f t="shared" si="58"/>
        <v>0</v>
      </c>
      <c r="D542" s="202">
        <f t="shared" si="59"/>
        <v>0</v>
      </c>
      <c r="E542" s="202">
        <f t="shared" si="60"/>
        <v>0</v>
      </c>
      <c r="F542" s="201"/>
      <c r="G542" s="203">
        <v>479</v>
      </c>
      <c r="H542" s="202">
        <f t="shared" si="61"/>
        <v>0</v>
      </c>
      <c r="I542" s="202">
        <f t="shared" si="62"/>
        <v>0</v>
      </c>
      <c r="J542" s="202">
        <f t="shared" si="63"/>
        <v>0</v>
      </c>
      <c r="K542" s="202">
        <f t="shared" si="64"/>
        <v>0</v>
      </c>
      <c r="L542" s="201"/>
    </row>
    <row r="543" spans="1:12">
      <c r="A543" s="203">
        <v>480</v>
      </c>
      <c r="B543" s="202">
        <f t="shared" si="57"/>
        <v>0</v>
      </c>
      <c r="C543" s="202">
        <f t="shared" si="58"/>
        <v>0</v>
      </c>
      <c r="D543" s="202">
        <f t="shared" si="59"/>
        <v>0</v>
      </c>
      <c r="E543" s="202">
        <f t="shared" si="60"/>
        <v>0</v>
      </c>
      <c r="F543" s="201">
        <v>40</v>
      </c>
      <c r="G543" s="203">
        <v>480</v>
      </c>
      <c r="H543" s="202">
        <f t="shared" si="61"/>
        <v>0</v>
      </c>
      <c r="I543" s="202">
        <f t="shared" si="62"/>
        <v>0</v>
      </c>
      <c r="J543" s="202">
        <f t="shared" si="63"/>
        <v>0</v>
      </c>
      <c r="K543" s="202">
        <f t="shared" si="64"/>
        <v>0</v>
      </c>
      <c r="L543" s="201">
        <v>40</v>
      </c>
    </row>
    <row r="544" spans="1:12">
      <c r="A544" s="181"/>
      <c r="G544" s="196"/>
      <c r="H544" s="196"/>
      <c r="I544" s="196"/>
      <c r="J544" s="196"/>
      <c r="K544" s="196"/>
    </row>
    <row r="545" spans="1:11">
      <c r="A545" s="181"/>
      <c r="G545" s="196"/>
      <c r="H545" s="196"/>
      <c r="I545" s="196"/>
      <c r="J545" s="196"/>
      <c r="K545" s="196"/>
    </row>
    <row r="546" spans="1:11">
      <c r="A546" s="181"/>
      <c r="G546" s="196"/>
      <c r="H546" s="196"/>
      <c r="I546" s="196"/>
      <c r="J546" s="196"/>
      <c r="K546" s="196"/>
    </row>
    <row r="547" spans="1:11">
      <c r="A547" s="181"/>
      <c r="G547" s="196"/>
      <c r="H547" s="196"/>
      <c r="I547" s="196"/>
      <c r="J547" s="196"/>
      <c r="K547" s="196"/>
    </row>
    <row r="548" spans="1:11">
      <c r="A548" s="181"/>
      <c r="G548" s="196"/>
      <c r="H548" s="196"/>
      <c r="I548" s="196"/>
      <c r="J548" s="196"/>
      <c r="K548" s="196"/>
    </row>
    <row r="549" spans="1:11">
      <c r="A549" s="181"/>
      <c r="G549" s="196"/>
      <c r="H549" s="196"/>
      <c r="I549" s="196"/>
      <c r="J549" s="196"/>
      <c r="K549" s="196"/>
    </row>
    <row r="550" spans="1:11">
      <c r="A550" s="181"/>
      <c r="G550" s="196"/>
      <c r="H550" s="196"/>
      <c r="I550" s="196"/>
      <c r="J550" s="196"/>
      <c r="K550" s="196"/>
    </row>
    <row r="551" spans="1:11">
      <c r="G551" s="196"/>
      <c r="H551" s="196"/>
      <c r="I551" s="196"/>
      <c r="J551" s="196"/>
      <c r="K551" s="196"/>
    </row>
    <row r="552" spans="1:11">
      <c r="G552" s="196"/>
      <c r="H552" s="196"/>
      <c r="I552" s="196"/>
      <c r="J552" s="196"/>
      <c r="K552" s="196"/>
    </row>
    <row r="553" spans="1:11">
      <c r="G553" s="196"/>
      <c r="H553" s="196"/>
      <c r="I553" s="196"/>
      <c r="J553" s="196"/>
      <c r="K553" s="196"/>
    </row>
    <row r="554" spans="1:11">
      <c r="G554" s="196"/>
      <c r="H554" s="196"/>
      <c r="I554" s="196"/>
      <c r="J554" s="196"/>
      <c r="K554" s="196"/>
    </row>
    <row r="555" spans="1:11">
      <c r="G555" s="196"/>
      <c r="H555" s="196"/>
      <c r="I555" s="196"/>
      <c r="J555" s="196"/>
      <c r="K555" s="196"/>
    </row>
    <row r="556" spans="1:11">
      <c r="G556" s="196"/>
      <c r="H556" s="196"/>
      <c r="I556" s="196"/>
      <c r="J556" s="196"/>
      <c r="K556" s="196"/>
    </row>
    <row r="557" spans="1:11">
      <c r="G557" s="196"/>
      <c r="H557" s="196"/>
      <c r="I557" s="196"/>
      <c r="J557" s="196"/>
      <c r="K557" s="196"/>
    </row>
    <row r="558" spans="1:11">
      <c r="G558" s="196"/>
      <c r="H558" s="196"/>
      <c r="I558" s="196"/>
      <c r="J558" s="196"/>
      <c r="K558" s="196"/>
    </row>
    <row r="559" spans="1:11">
      <c r="G559" s="196"/>
      <c r="H559" s="196"/>
      <c r="I559" s="196"/>
      <c r="J559" s="196"/>
      <c r="K559" s="196"/>
    </row>
    <row r="560" spans="1:11">
      <c r="G560" s="196"/>
      <c r="H560" s="196"/>
      <c r="I560" s="196"/>
      <c r="J560" s="196"/>
      <c r="K560" s="196"/>
    </row>
    <row r="561" spans="7:11">
      <c r="G561" s="196"/>
      <c r="H561" s="196"/>
      <c r="I561" s="196"/>
      <c r="J561" s="196"/>
      <c r="K561" s="196"/>
    </row>
    <row r="562" spans="7:11">
      <c r="G562" s="196"/>
      <c r="H562" s="196"/>
      <c r="I562" s="196"/>
      <c r="J562" s="196"/>
      <c r="K562" s="196"/>
    </row>
    <row r="563" spans="7:11">
      <c r="G563" s="196"/>
      <c r="H563" s="196"/>
      <c r="I563" s="196"/>
      <c r="J563" s="196"/>
      <c r="K563" s="196"/>
    </row>
    <row r="564" spans="7:11">
      <c r="G564" s="196"/>
      <c r="H564" s="196"/>
      <c r="I564" s="196"/>
      <c r="J564" s="196"/>
      <c r="K564" s="196"/>
    </row>
    <row r="565" spans="7:11">
      <c r="G565" s="196"/>
      <c r="H565" s="196"/>
      <c r="I565" s="196"/>
      <c r="J565" s="196"/>
      <c r="K565" s="196"/>
    </row>
    <row r="566" spans="7:11">
      <c r="G566" s="196"/>
      <c r="H566" s="196"/>
      <c r="I566" s="196"/>
      <c r="J566" s="196"/>
      <c r="K566" s="196"/>
    </row>
    <row r="567" spans="7:11">
      <c r="G567" s="196"/>
      <c r="H567" s="196"/>
      <c r="I567" s="196"/>
      <c r="J567" s="196"/>
      <c r="K567" s="196"/>
    </row>
    <row r="568" spans="7:11">
      <c r="G568" s="196"/>
      <c r="H568" s="196"/>
      <c r="I568" s="196"/>
      <c r="J568" s="196"/>
      <c r="K568" s="196"/>
    </row>
    <row r="569" spans="7:11">
      <c r="G569" s="196"/>
      <c r="H569" s="196"/>
      <c r="I569" s="196"/>
      <c r="J569" s="196"/>
      <c r="K569" s="196"/>
    </row>
    <row r="570" spans="7:11">
      <c r="G570" s="196"/>
      <c r="H570" s="196"/>
      <c r="I570" s="196"/>
      <c r="J570" s="196"/>
      <c r="K570" s="196"/>
    </row>
    <row r="571" spans="7:11">
      <c r="G571" s="196"/>
      <c r="H571" s="196"/>
      <c r="I571" s="196"/>
      <c r="J571" s="196"/>
      <c r="K571" s="196"/>
    </row>
    <row r="572" spans="7:11">
      <c r="G572" s="196"/>
      <c r="H572" s="196"/>
      <c r="I572" s="196"/>
      <c r="J572" s="196"/>
      <c r="K572" s="196"/>
    </row>
    <row r="573" spans="7:11">
      <c r="G573" s="196"/>
      <c r="H573" s="196"/>
      <c r="I573" s="196"/>
      <c r="J573" s="196"/>
      <c r="K573" s="196"/>
    </row>
    <row r="574" spans="7:11">
      <c r="G574" s="196"/>
      <c r="H574" s="196"/>
      <c r="I574" s="196"/>
      <c r="J574" s="196"/>
      <c r="K574" s="196"/>
    </row>
    <row r="575" spans="7:11">
      <c r="G575" s="196"/>
      <c r="H575" s="196"/>
      <c r="I575" s="196"/>
      <c r="J575" s="196"/>
      <c r="K575" s="196"/>
    </row>
    <row r="576" spans="7:11">
      <c r="G576" s="196"/>
      <c r="H576" s="196"/>
      <c r="I576" s="196"/>
      <c r="J576" s="196"/>
      <c r="K576" s="196"/>
    </row>
    <row r="577" spans="7:11">
      <c r="G577" s="196"/>
      <c r="H577" s="196"/>
      <c r="I577" s="196"/>
      <c r="J577" s="196"/>
      <c r="K577" s="196"/>
    </row>
    <row r="578" spans="7:11">
      <c r="G578" s="196"/>
      <c r="H578" s="196"/>
      <c r="I578" s="196"/>
      <c r="J578" s="196"/>
      <c r="K578" s="196"/>
    </row>
    <row r="579" spans="7:11">
      <c r="G579" s="196"/>
      <c r="H579" s="196"/>
      <c r="I579" s="196"/>
      <c r="J579" s="196"/>
      <c r="K579" s="196"/>
    </row>
    <row r="580" spans="7:11">
      <c r="G580" s="196"/>
      <c r="H580" s="196"/>
      <c r="I580" s="196"/>
      <c r="J580" s="196"/>
      <c r="K580" s="196"/>
    </row>
    <row r="581" spans="7:11">
      <c r="G581" s="196"/>
      <c r="H581" s="196"/>
      <c r="I581" s="196"/>
      <c r="J581" s="196"/>
      <c r="K581" s="196"/>
    </row>
    <row r="582" spans="7:11">
      <c r="G582" s="196"/>
      <c r="H582" s="196"/>
      <c r="I582" s="196"/>
      <c r="J582" s="196"/>
      <c r="K582" s="196"/>
    </row>
    <row r="583" spans="7:11">
      <c r="G583" s="196"/>
      <c r="H583" s="196"/>
      <c r="I583" s="196"/>
      <c r="J583" s="196"/>
      <c r="K583" s="196"/>
    </row>
    <row r="584" spans="7:11">
      <c r="G584" s="196"/>
      <c r="H584" s="196"/>
      <c r="I584" s="196"/>
      <c r="J584" s="196"/>
      <c r="K584" s="196"/>
    </row>
    <row r="585" spans="7:11">
      <c r="G585" s="196"/>
      <c r="H585" s="196"/>
      <c r="I585" s="196"/>
      <c r="J585" s="196"/>
      <c r="K585" s="196"/>
    </row>
    <row r="586" spans="7:11">
      <c r="G586" s="196"/>
      <c r="H586" s="196"/>
      <c r="I586" s="196"/>
      <c r="J586" s="196"/>
      <c r="K586" s="196"/>
    </row>
    <row r="587" spans="7:11">
      <c r="G587" s="196"/>
      <c r="H587" s="196"/>
      <c r="I587" s="196"/>
      <c r="J587" s="196"/>
      <c r="K587" s="196"/>
    </row>
    <row r="588" spans="7:11">
      <c r="G588" s="196"/>
      <c r="H588" s="196"/>
      <c r="I588" s="196"/>
      <c r="J588" s="196"/>
      <c r="K588" s="196"/>
    </row>
    <row r="589" spans="7:11">
      <c r="G589" s="196"/>
      <c r="H589" s="196"/>
      <c r="I589" s="196"/>
      <c r="J589" s="196"/>
      <c r="K589" s="196"/>
    </row>
    <row r="590" spans="7:11">
      <c r="G590" s="196"/>
      <c r="H590" s="196"/>
      <c r="I590" s="196"/>
      <c r="J590" s="196"/>
      <c r="K590" s="196"/>
    </row>
    <row r="591" spans="7:11">
      <c r="G591" s="196"/>
      <c r="H591" s="196"/>
      <c r="I591" s="196"/>
      <c r="J591" s="196"/>
      <c r="K591" s="196"/>
    </row>
    <row r="592" spans="7:11">
      <c r="G592" s="196"/>
      <c r="H592" s="196"/>
      <c r="I592" s="196"/>
      <c r="J592" s="196"/>
      <c r="K592" s="196"/>
    </row>
    <row r="593" spans="7:11">
      <c r="G593" s="196"/>
      <c r="H593" s="196"/>
      <c r="I593" s="196"/>
      <c r="J593" s="196"/>
      <c r="K593" s="196"/>
    </row>
    <row r="594" spans="7:11">
      <c r="G594" s="196"/>
      <c r="H594" s="196"/>
      <c r="I594" s="196"/>
      <c r="J594" s="196"/>
      <c r="K594" s="196"/>
    </row>
    <row r="595" spans="7:11">
      <c r="G595" s="196"/>
      <c r="H595" s="196"/>
      <c r="I595" s="196"/>
      <c r="J595" s="196"/>
      <c r="K595" s="196"/>
    </row>
    <row r="596" spans="7:11">
      <c r="G596" s="196"/>
      <c r="H596" s="196"/>
      <c r="I596" s="196"/>
      <c r="J596" s="196"/>
      <c r="K596" s="196"/>
    </row>
    <row r="597" spans="7:11">
      <c r="G597" s="196"/>
      <c r="H597" s="196"/>
      <c r="I597" s="196"/>
      <c r="J597" s="196"/>
      <c r="K597" s="196"/>
    </row>
    <row r="598" spans="7:11">
      <c r="G598" s="196"/>
      <c r="H598" s="196"/>
      <c r="I598" s="196"/>
      <c r="J598" s="196"/>
      <c r="K598" s="196"/>
    </row>
    <row r="599" spans="7:11">
      <c r="G599" s="196"/>
      <c r="H599" s="196"/>
      <c r="I599" s="196"/>
      <c r="J599" s="196"/>
      <c r="K599" s="196"/>
    </row>
    <row r="600" spans="7:11">
      <c r="G600" s="196"/>
      <c r="H600" s="196"/>
      <c r="I600" s="196"/>
      <c r="J600" s="196"/>
      <c r="K600" s="196"/>
    </row>
    <row r="601" spans="7:11">
      <c r="G601" s="196"/>
      <c r="H601" s="196"/>
      <c r="I601" s="196"/>
      <c r="J601" s="196"/>
      <c r="K601" s="196"/>
    </row>
    <row r="602" spans="7:11">
      <c r="G602" s="196"/>
      <c r="H602" s="196"/>
      <c r="I602" s="196"/>
      <c r="J602" s="196"/>
      <c r="K602" s="196"/>
    </row>
    <row r="603" spans="7:11">
      <c r="G603" s="196"/>
      <c r="H603" s="196"/>
      <c r="I603" s="196"/>
      <c r="J603" s="196"/>
      <c r="K603" s="196"/>
    </row>
    <row r="604" spans="7:11">
      <c r="G604" s="196"/>
      <c r="H604" s="196"/>
      <c r="I604" s="196"/>
      <c r="J604" s="196"/>
      <c r="K604" s="196"/>
    </row>
    <row r="605" spans="7:11">
      <c r="G605" s="196"/>
      <c r="H605" s="196"/>
      <c r="I605" s="196"/>
      <c r="J605" s="196"/>
      <c r="K605" s="196"/>
    </row>
    <row r="606" spans="7:11">
      <c r="G606" s="196"/>
      <c r="H606" s="196"/>
      <c r="I606" s="196"/>
      <c r="J606" s="196"/>
      <c r="K606" s="196"/>
    </row>
    <row r="607" spans="7:11">
      <c r="G607" s="196"/>
      <c r="H607" s="196"/>
      <c r="I607" s="196"/>
      <c r="J607" s="196"/>
      <c r="K607" s="196"/>
    </row>
    <row r="608" spans="7:11">
      <c r="G608" s="196"/>
      <c r="H608" s="196"/>
      <c r="I608" s="196"/>
      <c r="J608" s="196"/>
      <c r="K608" s="196"/>
    </row>
    <row r="609" spans="7:11">
      <c r="G609" s="196"/>
      <c r="H609" s="196"/>
      <c r="I609" s="196"/>
      <c r="J609" s="196"/>
      <c r="K609" s="196"/>
    </row>
    <row r="610" spans="7:11">
      <c r="G610" s="196"/>
      <c r="H610" s="196"/>
      <c r="I610" s="196"/>
      <c r="J610" s="196"/>
      <c r="K610" s="196"/>
    </row>
    <row r="611" spans="7:11">
      <c r="G611" s="196"/>
      <c r="H611" s="196"/>
      <c r="I611" s="196"/>
      <c r="J611" s="196"/>
      <c r="K611" s="196"/>
    </row>
    <row r="612" spans="7:11">
      <c r="G612" s="196"/>
      <c r="H612" s="196"/>
      <c r="I612" s="196"/>
      <c r="J612" s="196"/>
      <c r="K612" s="196"/>
    </row>
    <row r="613" spans="7:11">
      <c r="G613" s="196"/>
      <c r="H613" s="196"/>
      <c r="I613" s="196"/>
      <c r="J613" s="196"/>
      <c r="K613" s="196"/>
    </row>
    <row r="614" spans="7:11">
      <c r="G614" s="196"/>
      <c r="H614" s="196"/>
      <c r="I614" s="196"/>
      <c r="J614" s="196"/>
      <c r="K614" s="196"/>
    </row>
    <row r="615" spans="7:11">
      <c r="G615" s="196"/>
      <c r="H615" s="196"/>
      <c r="I615" s="196"/>
      <c r="J615" s="196"/>
      <c r="K615" s="196"/>
    </row>
    <row r="616" spans="7:11">
      <c r="G616" s="196"/>
      <c r="H616" s="196"/>
      <c r="I616" s="196"/>
      <c r="J616" s="196"/>
      <c r="K616" s="196"/>
    </row>
    <row r="617" spans="7:11">
      <c r="G617" s="196"/>
      <c r="H617" s="196"/>
      <c r="I617" s="196"/>
      <c r="J617" s="196"/>
      <c r="K617" s="196"/>
    </row>
    <row r="618" spans="7:11">
      <c r="G618" s="196"/>
      <c r="H618" s="196"/>
      <c r="I618" s="196"/>
      <c r="J618" s="196"/>
      <c r="K618" s="196"/>
    </row>
    <row r="619" spans="7:11">
      <c r="G619" s="196"/>
      <c r="H619" s="196"/>
      <c r="I619" s="196"/>
      <c r="J619" s="196"/>
      <c r="K619" s="196"/>
    </row>
    <row r="620" spans="7:11">
      <c r="G620" s="196"/>
      <c r="H620" s="196"/>
      <c r="I620" s="196"/>
      <c r="J620" s="196"/>
      <c r="K620" s="196"/>
    </row>
    <row r="621" spans="7:11">
      <c r="G621" s="196"/>
      <c r="H621" s="196"/>
      <c r="I621" s="196"/>
      <c r="J621" s="196"/>
      <c r="K621" s="196"/>
    </row>
    <row r="622" spans="7:11">
      <c r="G622" s="196"/>
      <c r="H622" s="196"/>
      <c r="I622" s="196"/>
      <c r="J622" s="196"/>
      <c r="K622" s="196"/>
    </row>
    <row r="623" spans="7:11">
      <c r="G623" s="196"/>
      <c r="H623" s="196"/>
      <c r="I623" s="196"/>
      <c r="J623" s="196"/>
      <c r="K623" s="196"/>
    </row>
    <row r="624" spans="7:11">
      <c r="G624" s="196"/>
      <c r="H624" s="196"/>
      <c r="I624" s="196"/>
      <c r="J624" s="196"/>
      <c r="K624" s="196"/>
    </row>
    <row r="625" spans="7:11">
      <c r="G625" s="196"/>
      <c r="H625" s="196"/>
      <c r="I625" s="196"/>
      <c r="J625" s="196"/>
      <c r="K625" s="196"/>
    </row>
    <row r="626" spans="7:11">
      <c r="G626" s="196"/>
      <c r="H626" s="196"/>
      <c r="I626" s="196"/>
      <c r="J626" s="196"/>
      <c r="K626" s="196"/>
    </row>
    <row r="627" spans="7:11">
      <c r="G627" s="196"/>
      <c r="H627" s="196"/>
      <c r="I627" s="196"/>
      <c r="J627" s="196"/>
      <c r="K627" s="196"/>
    </row>
    <row r="628" spans="7:11">
      <c r="G628" s="196"/>
      <c r="H628" s="196"/>
      <c r="I628" s="196"/>
      <c r="J628" s="196"/>
      <c r="K628" s="196"/>
    </row>
    <row r="629" spans="7:11">
      <c r="G629" s="196"/>
      <c r="H629" s="196"/>
      <c r="I629" s="196"/>
      <c r="J629" s="196"/>
      <c r="K629" s="196"/>
    </row>
    <row r="630" spans="7:11">
      <c r="G630" s="196"/>
      <c r="H630" s="196"/>
      <c r="I630" s="196"/>
      <c r="J630" s="196"/>
      <c r="K630" s="196"/>
    </row>
    <row r="631" spans="7:11">
      <c r="G631" s="196"/>
      <c r="H631" s="196"/>
      <c r="I631" s="196"/>
      <c r="J631" s="196"/>
      <c r="K631" s="196"/>
    </row>
    <row r="632" spans="7:11">
      <c r="G632" s="196"/>
      <c r="H632" s="196"/>
      <c r="I632" s="196"/>
      <c r="J632" s="196"/>
      <c r="K632" s="196"/>
    </row>
    <row r="633" spans="7:11">
      <c r="G633" s="196"/>
      <c r="H633" s="196"/>
      <c r="I633" s="196"/>
      <c r="J633" s="196"/>
      <c r="K633" s="196"/>
    </row>
    <row r="634" spans="7:11">
      <c r="G634" s="196"/>
      <c r="H634" s="196"/>
      <c r="I634" s="196"/>
      <c r="J634" s="196"/>
      <c r="K634" s="196"/>
    </row>
    <row r="635" spans="7:11">
      <c r="G635" s="196"/>
      <c r="H635" s="196"/>
      <c r="I635" s="196"/>
      <c r="J635" s="196"/>
      <c r="K635" s="196"/>
    </row>
    <row r="636" spans="7:11">
      <c r="G636" s="196"/>
      <c r="H636" s="196"/>
      <c r="I636" s="196"/>
      <c r="J636" s="196"/>
      <c r="K636" s="196"/>
    </row>
    <row r="637" spans="7:11">
      <c r="G637" s="196"/>
      <c r="H637" s="196"/>
      <c r="I637" s="196"/>
      <c r="J637" s="196"/>
      <c r="K637" s="196"/>
    </row>
    <row r="638" spans="7:11">
      <c r="G638" s="196"/>
      <c r="H638" s="196"/>
      <c r="I638" s="196"/>
      <c r="J638" s="196"/>
      <c r="K638" s="196"/>
    </row>
    <row r="639" spans="7:11">
      <c r="G639" s="196"/>
      <c r="H639" s="196"/>
      <c r="I639" s="196"/>
      <c r="J639" s="196"/>
      <c r="K639" s="196"/>
    </row>
    <row r="640" spans="7:11">
      <c r="G640" s="196"/>
      <c r="H640" s="196"/>
      <c r="I640" s="196"/>
      <c r="J640" s="196"/>
      <c r="K640" s="196"/>
    </row>
    <row r="641" spans="7:11">
      <c r="G641" s="196"/>
      <c r="H641" s="196"/>
      <c r="I641" s="196"/>
      <c r="J641" s="196"/>
      <c r="K641" s="196"/>
    </row>
    <row r="642" spans="7:11">
      <c r="G642" s="196"/>
      <c r="H642" s="196"/>
      <c r="I642" s="196"/>
      <c r="J642" s="196"/>
      <c r="K642" s="196"/>
    </row>
    <row r="643" spans="7:11">
      <c r="G643" s="196"/>
      <c r="H643" s="196"/>
      <c r="I643" s="196"/>
      <c r="J643" s="196"/>
      <c r="K643" s="196"/>
    </row>
    <row r="644" spans="7:11">
      <c r="G644" s="196"/>
      <c r="H644" s="196"/>
      <c r="I644" s="196"/>
      <c r="J644" s="196"/>
      <c r="K644" s="196"/>
    </row>
    <row r="645" spans="7:11">
      <c r="G645" s="196"/>
      <c r="H645" s="196"/>
      <c r="I645" s="196"/>
      <c r="J645" s="196"/>
      <c r="K645" s="196"/>
    </row>
    <row r="646" spans="7:11">
      <c r="G646" s="196"/>
      <c r="H646" s="196"/>
      <c r="I646" s="196"/>
      <c r="J646" s="196"/>
      <c r="K646" s="196"/>
    </row>
    <row r="647" spans="7:11">
      <c r="G647" s="196"/>
      <c r="H647" s="196"/>
      <c r="I647" s="196"/>
      <c r="J647" s="196"/>
      <c r="K647" s="196"/>
    </row>
    <row r="648" spans="7:11">
      <c r="G648" s="196"/>
      <c r="H648" s="196"/>
      <c r="I648" s="196"/>
      <c r="J648" s="196"/>
      <c r="K648" s="196"/>
    </row>
    <row r="649" spans="7:11">
      <c r="G649" s="196"/>
      <c r="H649" s="196"/>
      <c r="I649" s="196"/>
      <c r="J649" s="196"/>
      <c r="K649" s="196"/>
    </row>
    <row r="650" spans="7:11">
      <c r="G650" s="196"/>
      <c r="H650" s="196"/>
      <c r="I650" s="196"/>
      <c r="J650" s="196"/>
      <c r="K650" s="196"/>
    </row>
    <row r="651" spans="7:11">
      <c r="G651" s="196"/>
      <c r="H651" s="196"/>
      <c r="I651" s="196"/>
      <c r="J651" s="196"/>
      <c r="K651" s="196"/>
    </row>
    <row r="652" spans="7:11">
      <c r="G652" s="196"/>
      <c r="H652" s="196"/>
      <c r="I652" s="196"/>
      <c r="J652" s="196"/>
      <c r="K652" s="196"/>
    </row>
    <row r="653" spans="7:11">
      <c r="G653" s="196"/>
      <c r="H653" s="196"/>
      <c r="I653" s="196"/>
      <c r="J653" s="196"/>
      <c r="K653" s="196"/>
    </row>
    <row r="654" spans="7:11">
      <c r="G654" s="196"/>
      <c r="H654" s="196"/>
      <c r="I654" s="196"/>
      <c r="J654" s="196"/>
      <c r="K654" s="196"/>
    </row>
    <row r="655" spans="7:11">
      <c r="G655" s="196"/>
      <c r="H655" s="196"/>
      <c r="I655" s="196"/>
      <c r="J655" s="196"/>
      <c r="K655" s="196"/>
    </row>
    <row r="656" spans="7:11">
      <c r="G656" s="196"/>
      <c r="H656" s="196"/>
      <c r="I656" s="196"/>
      <c r="J656" s="196"/>
      <c r="K656" s="196"/>
    </row>
    <row r="657" spans="7:11">
      <c r="G657" s="196"/>
      <c r="H657" s="196"/>
      <c r="I657" s="196"/>
      <c r="J657" s="196"/>
      <c r="K657" s="196"/>
    </row>
    <row r="658" spans="7:11">
      <c r="G658" s="196"/>
      <c r="H658" s="196"/>
      <c r="I658" s="196"/>
      <c r="J658" s="196"/>
      <c r="K658" s="196"/>
    </row>
    <row r="659" spans="7:11">
      <c r="G659" s="196"/>
      <c r="H659" s="196"/>
      <c r="I659" s="196"/>
      <c r="J659" s="196"/>
      <c r="K659" s="196"/>
    </row>
    <row r="660" spans="7:11">
      <c r="G660" s="196"/>
      <c r="H660" s="196"/>
      <c r="I660" s="196"/>
      <c r="J660" s="196"/>
      <c r="K660" s="196"/>
    </row>
    <row r="661" spans="7:11">
      <c r="G661" s="196"/>
      <c r="H661" s="196"/>
      <c r="I661" s="196"/>
      <c r="J661" s="196"/>
      <c r="K661" s="196"/>
    </row>
    <row r="662" spans="7:11">
      <c r="G662" s="196"/>
      <c r="H662" s="196"/>
      <c r="I662" s="196"/>
      <c r="J662" s="196"/>
      <c r="K662" s="196"/>
    </row>
    <row r="663" spans="7:11">
      <c r="G663" s="196"/>
      <c r="H663" s="196"/>
      <c r="I663" s="196"/>
      <c r="J663" s="196"/>
      <c r="K663" s="196"/>
    </row>
    <row r="664" spans="7:11">
      <c r="G664" s="196"/>
      <c r="H664" s="196"/>
      <c r="I664" s="196"/>
      <c r="J664" s="196"/>
      <c r="K664" s="196"/>
    </row>
    <row r="665" spans="7:11">
      <c r="G665" s="196"/>
      <c r="H665" s="196"/>
      <c r="I665" s="196"/>
      <c r="J665" s="196"/>
      <c r="K665" s="196"/>
    </row>
    <row r="666" spans="7:11">
      <c r="G666" s="196"/>
      <c r="H666" s="196"/>
      <c r="I666" s="196"/>
      <c r="J666" s="196"/>
      <c r="K666" s="196"/>
    </row>
    <row r="667" spans="7:11">
      <c r="G667" s="196"/>
      <c r="H667" s="196"/>
      <c r="I667" s="196"/>
      <c r="J667" s="196"/>
      <c r="K667" s="196"/>
    </row>
    <row r="668" spans="7:11">
      <c r="G668" s="196"/>
      <c r="H668" s="196"/>
      <c r="I668" s="196"/>
      <c r="J668" s="196"/>
      <c r="K668" s="196"/>
    </row>
    <row r="669" spans="7:11">
      <c r="G669" s="196"/>
      <c r="H669" s="196"/>
      <c r="I669" s="196"/>
      <c r="J669" s="196"/>
      <c r="K669" s="196"/>
    </row>
    <row r="670" spans="7:11">
      <c r="G670" s="196"/>
      <c r="H670" s="196"/>
      <c r="I670" s="196"/>
      <c r="J670" s="196"/>
      <c r="K670" s="196"/>
    </row>
    <row r="671" spans="7:11">
      <c r="G671" s="196"/>
      <c r="H671" s="196"/>
      <c r="I671" s="196"/>
      <c r="J671" s="196"/>
      <c r="K671" s="196"/>
    </row>
    <row r="672" spans="7:11">
      <c r="G672" s="196"/>
      <c r="H672" s="196"/>
      <c r="I672" s="196"/>
      <c r="J672" s="196"/>
      <c r="K672" s="196"/>
    </row>
    <row r="673" spans="7:11">
      <c r="G673" s="196"/>
      <c r="H673" s="196"/>
      <c r="I673" s="196"/>
      <c r="J673" s="196"/>
      <c r="K673" s="196"/>
    </row>
    <row r="674" spans="7:11">
      <c r="G674" s="196"/>
      <c r="H674" s="196"/>
      <c r="I674" s="196"/>
      <c r="J674" s="196"/>
      <c r="K674" s="196"/>
    </row>
    <row r="675" spans="7:11">
      <c r="G675" s="196"/>
      <c r="H675" s="196"/>
      <c r="I675" s="196"/>
      <c r="J675" s="196"/>
      <c r="K675" s="196"/>
    </row>
    <row r="676" spans="7:11">
      <c r="G676" s="196"/>
      <c r="H676" s="196"/>
      <c r="I676" s="196"/>
      <c r="J676" s="196"/>
      <c r="K676" s="196"/>
    </row>
    <row r="677" spans="7:11">
      <c r="G677" s="196"/>
      <c r="H677" s="196"/>
      <c r="I677" s="196"/>
      <c r="J677" s="196"/>
      <c r="K677" s="196"/>
    </row>
    <row r="678" spans="7:11">
      <c r="G678" s="196"/>
      <c r="H678" s="196"/>
      <c r="I678" s="196"/>
      <c r="J678" s="196"/>
      <c r="K678" s="196"/>
    </row>
    <row r="679" spans="7:11">
      <c r="G679" s="196"/>
      <c r="H679" s="196"/>
      <c r="I679" s="196"/>
      <c r="J679" s="196"/>
      <c r="K679" s="196"/>
    </row>
    <row r="680" spans="7:11">
      <c r="G680" s="196"/>
      <c r="H680" s="196"/>
      <c r="I680" s="196"/>
      <c r="J680" s="196"/>
      <c r="K680" s="196"/>
    </row>
    <row r="681" spans="7:11">
      <c r="G681" s="196"/>
      <c r="H681" s="196"/>
      <c r="I681" s="196"/>
      <c r="J681" s="196"/>
      <c r="K681" s="196"/>
    </row>
    <row r="682" spans="7:11">
      <c r="G682" s="196"/>
      <c r="H682" s="196"/>
      <c r="I682" s="196"/>
      <c r="J682" s="196"/>
      <c r="K682" s="196"/>
    </row>
    <row r="683" spans="7:11">
      <c r="G683" s="196"/>
      <c r="H683" s="196"/>
      <c r="I683" s="196"/>
      <c r="J683" s="196"/>
      <c r="K683" s="196"/>
    </row>
    <row r="684" spans="7:11">
      <c r="G684" s="196"/>
      <c r="H684" s="196"/>
      <c r="I684" s="196"/>
      <c r="J684" s="196"/>
      <c r="K684" s="196"/>
    </row>
    <row r="685" spans="7:11">
      <c r="G685" s="196"/>
      <c r="H685" s="196"/>
      <c r="I685" s="196"/>
      <c r="J685" s="196"/>
      <c r="K685" s="196"/>
    </row>
    <row r="686" spans="7:11">
      <c r="G686" s="196"/>
      <c r="H686" s="196"/>
      <c r="I686" s="196"/>
      <c r="J686" s="196"/>
      <c r="K686" s="196"/>
    </row>
    <row r="687" spans="7:11">
      <c r="G687" s="196"/>
      <c r="H687" s="196"/>
      <c r="I687" s="196"/>
      <c r="J687" s="196"/>
      <c r="K687" s="196"/>
    </row>
    <row r="688" spans="7:11">
      <c r="G688" s="196"/>
      <c r="H688" s="196"/>
      <c r="I688" s="196"/>
      <c r="J688" s="196"/>
      <c r="K688" s="196"/>
    </row>
    <row r="689" spans="7:11">
      <c r="G689" s="196"/>
      <c r="H689" s="196"/>
      <c r="I689" s="196"/>
      <c r="J689" s="196"/>
      <c r="K689" s="196"/>
    </row>
    <row r="690" spans="7:11">
      <c r="G690" s="196"/>
      <c r="H690" s="196"/>
      <c r="I690" s="196"/>
      <c r="J690" s="196"/>
      <c r="K690" s="196"/>
    </row>
    <row r="691" spans="7:11">
      <c r="G691" s="196"/>
      <c r="H691" s="196"/>
      <c r="I691" s="196"/>
      <c r="J691" s="196"/>
      <c r="K691" s="196"/>
    </row>
    <row r="692" spans="7:11">
      <c r="G692" s="196"/>
      <c r="H692" s="196"/>
      <c r="I692" s="196"/>
      <c r="J692" s="196"/>
      <c r="K692" s="196"/>
    </row>
    <row r="693" spans="7:11">
      <c r="G693" s="196"/>
      <c r="H693" s="196"/>
      <c r="I693" s="196"/>
      <c r="J693" s="196"/>
      <c r="K693" s="196"/>
    </row>
    <row r="694" spans="7:11">
      <c r="G694" s="196"/>
      <c r="H694" s="196"/>
      <c r="I694" s="196"/>
      <c r="J694" s="196"/>
      <c r="K694" s="196"/>
    </row>
    <row r="695" spans="7:11">
      <c r="G695" s="196"/>
      <c r="H695" s="196"/>
      <c r="I695" s="196"/>
      <c r="J695" s="196"/>
      <c r="K695" s="196"/>
    </row>
    <row r="696" spans="7:11">
      <c r="G696" s="196"/>
      <c r="H696" s="196"/>
      <c r="I696" s="196"/>
      <c r="J696" s="196"/>
      <c r="K696" s="196"/>
    </row>
    <row r="697" spans="7:11">
      <c r="G697" s="196"/>
      <c r="H697" s="196"/>
      <c r="I697" s="196"/>
      <c r="J697" s="196"/>
      <c r="K697" s="196"/>
    </row>
    <row r="698" spans="7:11">
      <c r="G698" s="196"/>
      <c r="H698" s="196"/>
      <c r="I698" s="196"/>
      <c r="J698" s="196"/>
      <c r="K698" s="196"/>
    </row>
    <row r="699" spans="7:11">
      <c r="G699" s="196"/>
      <c r="H699" s="196"/>
      <c r="I699" s="196"/>
      <c r="J699" s="196"/>
      <c r="K699" s="196"/>
    </row>
    <row r="700" spans="7:11">
      <c r="G700" s="196"/>
      <c r="H700" s="196"/>
      <c r="I700" s="196"/>
      <c r="J700" s="196"/>
      <c r="K700" s="196"/>
    </row>
    <row r="701" spans="7:11">
      <c r="G701" s="196"/>
      <c r="H701" s="196"/>
      <c r="I701" s="196"/>
      <c r="J701" s="196"/>
      <c r="K701" s="196"/>
    </row>
    <row r="702" spans="7:11">
      <c r="G702" s="196"/>
      <c r="H702" s="196"/>
      <c r="I702" s="196"/>
      <c r="J702" s="196"/>
      <c r="K702" s="196"/>
    </row>
    <row r="703" spans="7:11">
      <c r="G703" s="196"/>
      <c r="H703" s="196"/>
      <c r="I703" s="196"/>
      <c r="J703" s="196"/>
      <c r="K703" s="196"/>
    </row>
    <row r="704" spans="7:11">
      <c r="G704" s="196"/>
      <c r="H704" s="196"/>
      <c r="I704" s="196"/>
      <c r="J704" s="196"/>
      <c r="K704" s="196"/>
    </row>
    <row r="705" spans="7:11">
      <c r="G705" s="196"/>
      <c r="H705" s="196"/>
      <c r="I705" s="196"/>
      <c r="J705" s="196"/>
      <c r="K705" s="196"/>
    </row>
    <row r="706" spans="7:11">
      <c r="G706" s="196"/>
      <c r="H706" s="196"/>
      <c r="I706" s="196"/>
      <c r="J706" s="196"/>
      <c r="K706" s="196"/>
    </row>
    <row r="707" spans="7:11">
      <c r="G707" s="196"/>
      <c r="H707" s="196"/>
      <c r="I707" s="196"/>
      <c r="J707" s="196"/>
      <c r="K707" s="196"/>
    </row>
    <row r="708" spans="7:11">
      <c r="G708" s="196"/>
      <c r="H708" s="196"/>
      <c r="I708" s="196"/>
      <c r="J708" s="196"/>
      <c r="K708" s="196"/>
    </row>
    <row r="709" spans="7:11">
      <c r="G709" s="196"/>
      <c r="H709" s="196"/>
      <c r="I709" s="196"/>
      <c r="J709" s="196"/>
      <c r="K709" s="196"/>
    </row>
    <row r="710" spans="7:11">
      <c r="G710" s="196"/>
      <c r="H710" s="196"/>
      <c r="I710" s="196"/>
      <c r="J710" s="196"/>
      <c r="K710" s="196"/>
    </row>
    <row r="711" spans="7:11">
      <c r="G711" s="196"/>
      <c r="H711" s="196"/>
      <c r="I711" s="196"/>
      <c r="J711" s="196"/>
      <c r="K711" s="196"/>
    </row>
    <row r="712" spans="7:11">
      <c r="G712" s="196"/>
      <c r="H712" s="196"/>
      <c r="I712" s="196"/>
      <c r="J712" s="196"/>
      <c r="K712" s="196"/>
    </row>
    <row r="713" spans="7:11">
      <c r="G713" s="196"/>
      <c r="H713" s="196"/>
      <c r="I713" s="196"/>
      <c r="J713" s="196"/>
      <c r="K713" s="196"/>
    </row>
    <row r="714" spans="7:11">
      <c r="G714" s="196"/>
      <c r="H714" s="196"/>
      <c r="I714" s="196"/>
      <c r="J714" s="196"/>
      <c r="K714" s="196"/>
    </row>
    <row r="715" spans="7:11">
      <c r="G715" s="196"/>
      <c r="H715" s="196"/>
      <c r="I715" s="196"/>
      <c r="J715" s="196"/>
      <c r="K715" s="196"/>
    </row>
    <row r="716" spans="7:11">
      <c r="G716" s="196"/>
      <c r="H716" s="196"/>
      <c r="I716" s="196"/>
      <c r="J716" s="196"/>
      <c r="K716" s="196"/>
    </row>
    <row r="717" spans="7:11">
      <c r="G717" s="196"/>
      <c r="H717" s="196"/>
      <c r="I717" s="196"/>
      <c r="J717" s="196"/>
      <c r="K717" s="196"/>
    </row>
    <row r="718" spans="7:11">
      <c r="G718" s="196"/>
      <c r="H718" s="196"/>
      <c r="I718" s="196"/>
      <c r="J718" s="196"/>
      <c r="K718" s="196"/>
    </row>
    <row r="719" spans="7:11">
      <c r="G719" s="196"/>
      <c r="H719" s="196"/>
      <c r="I719" s="196"/>
      <c r="J719" s="196"/>
      <c r="K719" s="196"/>
    </row>
    <row r="720" spans="7:11">
      <c r="G720" s="196"/>
      <c r="H720" s="196"/>
      <c r="I720" s="196"/>
      <c r="J720" s="196"/>
      <c r="K720" s="196"/>
    </row>
    <row r="721" spans="7:11">
      <c r="G721" s="196"/>
      <c r="H721" s="196"/>
      <c r="I721" s="196"/>
      <c r="J721" s="196"/>
      <c r="K721" s="196"/>
    </row>
    <row r="722" spans="7:11">
      <c r="G722" s="196"/>
      <c r="H722" s="196"/>
      <c r="I722" s="196"/>
      <c r="J722" s="196"/>
      <c r="K722" s="196"/>
    </row>
    <row r="723" spans="7:11">
      <c r="G723" s="196"/>
      <c r="H723" s="196"/>
      <c r="I723" s="196"/>
      <c r="J723" s="196"/>
      <c r="K723" s="196"/>
    </row>
    <row r="724" spans="7:11">
      <c r="G724" s="196"/>
      <c r="H724" s="196"/>
      <c r="I724" s="196"/>
      <c r="J724" s="196"/>
      <c r="K724" s="196"/>
    </row>
    <row r="725" spans="7:11">
      <c r="G725" s="196"/>
      <c r="H725" s="196"/>
      <c r="I725" s="196"/>
      <c r="J725" s="196"/>
      <c r="K725" s="196"/>
    </row>
    <row r="726" spans="7:11">
      <c r="G726" s="196"/>
      <c r="H726" s="196"/>
      <c r="I726" s="196"/>
      <c r="J726" s="196"/>
      <c r="K726" s="196"/>
    </row>
    <row r="727" spans="7:11">
      <c r="G727" s="196"/>
      <c r="H727" s="196"/>
      <c r="I727" s="196"/>
      <c r="J727" s="196"/>
      <c r="K727" s="196"/>
    </row>
    <row r="728" spans="7:11">
      <c r="G728" s="196"/>
      <c r="H728" s="196"/>
      <c r="I728" s="196"/>
      <c r="J728" s="196"/>
      <c r="K728" s="196"/>
    </row>
    <row r="729" spans="7:11">
      <c r="G729" s="196"/>
      <c r="H729" s="196"/>
      <c r="I729" s="196"/>
      <c r="J729" s="196"/>
      <c r="K729" s="196"/>
    </row>
    <row r="730" spans="7:11">
      <c r="G730" s="196"/>
      <c r="H730" s="196"/>
      <c r="I730" s="196"/>
      <c r="J730" s="196"/>
      <c r="K730" s="196"/>
    </row>
    <row r="731" spans="7:11">
      <c r="G731" s="196"/>
      <c r="H731" s="196"/>
      <c r="I731" s="196"/>
      <c r="J731" s="196"/>
      <c r="K731" s="196"/>
    </row>
    <row r="732" spans="7:11">
      <c r="G732" s="196"/>
      <c r="H732" s="196"/>
      <c r="I732" s="196"/>
      <c r="J732" s="196"/>
      <c r="K732" s="196"/>
    </row>
    <row r="733" spans="7:11">
      <c r="G733" s="196"/>
      <c r="H733" s="196"/>
      <c r="I733" s="196"/>
      <c r="J733" s="196"/>
      <c r="K733" s="196"/>
    </row>
    <row r="734" spans="7:11">
      <c r="G734" s="196"/>
      <c r="H734" s="196"/>
      <c r="I734" s="196"/>
      <c r="J734" s="196"/>
      <c r="K734" s="196"/>
    </row>
    <row r="735" spans="7:11">
      <c r="G735" s="196"/>
      <c r="H735" s="196"/>
      <c r="I735" s="196"/>
      <c r="J735" s="196"/>
      <c r="K735" s="196"/>
    </row>
    <row r="736" spans="7:11">
      <c r="G736" s="196"/>
      <c r="H736" s="196"/>
      <c r="I736" s="196"/>
      <c r="J736" s="196"/>
      <c r="K736" s="196"/>
    </row>
    <row r="737" spans="7:11">
      <c r="G737" s="196"/>
      <c r="H737" s="196"/>
      <c r="I737" s="196"/>
      <c r="J737" s="196"/>
      <c r="K737" s="196"/>
    </row>
    <row r="738" spans="7:11">
      <c r="G738" s="196"/>
      <c r="H738" s="196"/>
      <c r="I738" s="196"/>
      <c r="J738" s="196"/>
      <c r="K738" s="196"/>
    </row>
    <row r="739" spans="7:11">
      <c r="G739" s="196"/>
      <c r="H739" s="196"/>
      <c r="I739" s="196"/>
      <c r="J739" s="196"/>
      <c r="K739" s="196"/>
    </row>
    <row r="740" spans="7:11">
      <c r="G740" s="196"/>
      <c r="H740" s="196"/>
      <c r="I740" s="196"/>
      <c r="J740" s="196"/>
      <c r="K740" s="196"/>
    </row>
    <row r="741" spans="7:11">
      <c r="G741" s="196"/>
      <c r="H741" s="196"/>
      <c r="I741" s="196"/>
      <c r="J741" s="196"/>
      <c r="K741" s="196"/>
    </row>
    <row r="742" spans="7:11">
      <c r="G742" s="196"/>
      <c r="H742" s="196"/>
      <c r="I742" s="196"/>
      <c r="J742" s="196"/>
      <c r="K742" s="196"/>
    </row>
    <row r="743" spans="7:11">
      <c r="G743" s="196"/>
      <c r="H743" s="196"/>
      <c r="I743" s="196"/>
      <c r="J743" s="196"/>
      <c r="K743" s="196"/>
    </row>
    <row r="744" spans="7:11">
      <c r="I744" s="196"/>
      <c r="J744" s="196"/>
      <c r="K744" s="196"/>
    </row>
  </sheetData>
  <sheetProtection password="D64E" sheet="1" objects="1" scenarios="1"/>
  <mergeCells count="48">
    <mergeCell ref="G59:L59"/>
    <mergeCell ref="A3:F3"/>
    <mergeCell ref="A14:F14"/>
    <mergeCell ref="A58:F58"/>
    <mergeCell ref="D20:E20"/>
    <mergeCell ref="D21:E21"/>
    <mergeCell ref="D28:E28"/>
    <mergeCell ref="D29:E29"/>
    <mergeCell ref="A59:F59"/>
    <mergeCell ref="D30:E30"/>
    <mergeCell ref="D31:E31"/>
    <mergeCell ref="D17:E17"/>
    <mergeCell ref="D18:E18"/>
    <mergeCell ref="D19:E19"/>
    <mergeCell ref="D22:E22"/>
    <mergeCell ref="D24:E24"/>
    <mergeCell ref="D34:E34"/>
    <mergeCell ref="D35:E35"/>
    <mergeCell ref="D36:E36"/>
    <mergeCell ref="G58:L58"/>
    <mergeCell ref="D56:E56"/>
    <mergeCell ref="D52:E52"/>
    <mergeCell ref="D53:E53"/>
    <mergeCell ref="D54:E54"/>
    <mergeCell ref="D55:E55"/>
    <mergeCell ref="D48:E48"/>
    <mergeCell ref="D49:E49"/>
    <mergeCell ref="D25:E25"/>
    <mergeCell ref="D26:E26"/>
    <mergeCell ref="D27:E27"/>
    <mergeCell ref="D32:E32"/>
    <mergeCell ref="D33:E33"/>
    <mergeCell ref="A1:F1"/>
    <mergeCell ref="D50:E50"/>
    <mergeCell ref="D51:E51"/>
    <mergeCell ref="D46:E46"/>
    <mergeCell ref="D47:E47"/>
    <mergeCell ref="D44:E44"/>
    <mergeCell ref="D45:E45"/>
    <mergeCell ref="D38:E38"/>
    <mergeCell ref="D39:E39"/>
    <mergeCell ref="D40:E40"/>
    <mergeCell ref="D16:E16"/>
    <mergeCell ref="D42:E42"/>
    <mergeCell ref="D43:E43"/>
    <mergeCell ref="D41:E41"/>
    <mergeCell ref="D37:E37"/>
    <mergeCell ref="D23:E23"/>
  </mergeCells>
  <phoneticPr fontId="7" type="noConversion"/>
  <printOptions horizontalCentered="1"/>
  <pageMargins left="0.75" right="0.75" top="0.9" bottom="0.65" header="0.5" footer="0.25"/>
  <pageSetup fitToHeight="0" orientation="portrait" r:id="rId1"/>
  <headerFooter alignWithMargins="0">
    <oddHeader>&amp;C&amp;11 2011 Office of Affordable Housing Funding Application&amp;10
&amp;"Arial,Bold"&amp;11USDA 538 Guaranteed Loan Calculations</oddHeader>
    <oddFooter>&amp;L&amp;8Georgia Department of Community Affairs&amp;C&amp;8&amp;A&amp;R&amp;8&amp;P of &amp;N</oddFooter>
  </headerFooter>
  <rowBreaks count="10" manualBreakCount="10">
    <brk id="57" max="16383" man="1"/>
    <brk id="111" max="16383" man="1"/>
    <brk id="159" max="16383" man="1"/>
    <brk id="207" max="16383" man="1"/>
    <brk id="255" max="16383" man="1"/>
    <brk id="303" max="16383" man="1"/>
    <brk id="351" max="16383" man="1"/>
    <brk id="399" max="16383" man="1"/>
    <brk id="447" max="16383" man="1"/>
    <brk id="495" max="16383"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dimension ref="A1:Q654"/>
  <sheetViews>
    <sheetView showGridLines="0" workbookViewId="0">
      <selection activeCell="J42" sqref="J42"/>
    </sheetView>
  </sheetViews>
  <sheetFormatPr defaultColWidth="8.88671875" defaultRowHeight="13.2"/>
  <cols>
    <col min="1" max="1" width="7.109375" style="27" customWidth="1"/>
    <col min="2" max="6" width="16.88671875" style="27" customWidth="1"/>
    <col min="7" max="7" width="11.5546875" style="27" customWidth="1"/>
    <col min="8" max="8" width="2.109375" style="80" customWidth="1"/>
    <col min="9" max="9" width="10.44140625" style="27" bestFit="1" customWidth="1"/>
    <col min="10" max="10" width="12.109375" style="27" customWidth="1"/>
    <col min="11" max="11" width="10.88671875" style="27" customWidth="1"/>
    <col min="12" max="16384" width="8.88671875" style="27"/>
  </cols>
  <sheetData>
    <row r="1" spans="1:17" s="164" customFormat="1" ht="16.350000000000001" customHeight="1">
      <c r="A1" s="2526" t="e">
        <f>CONCATENATE("PART III C  - HUD INSURED LOAN","  -  ",#REF!," ",#REF!,", ",#REF!,", ",#REF!," County")</f>
        <v>#REF!</v>
      </c>
      <c r="B1" s="2527"/>
      <c r="C1" s="2527"/>
      <c r="D1" s="2527"/>
      <c r="E1" s="2527"/>
      <c r="F1" s="2528"/>
      <c r="G1" s="162"/>
      <c r="H1" s="162"/>
      <c r="I1" s="162"/>
      <c r="J1" s="162"/>
      <c r="K1" s="162"/>
      <c r="L1" s="162"/>
      <c r="M1" s="162"/>
      <c r="N1" s="162"/>
      <c r="O1" s="162"/>
      <c r="P1" s="162"/>
      <c r="Q1" s="162"/>
    </row>
    <row r="2" spans="1:17">
      <c r="A2" s="13"/>
      <c r="B2" s="181"/>
      <c r="C2" s="181"/>
      <c r="D2" s="181"/>
    </row>
    <row r="3" spans="1:17" ht="15.6" customHeight="1">
      <c r="A3" s="2535" t="s">
        <v>213</v>
      </c>
      <c r="B3" s="2535"/>
      <c r="C3" s="2535"/>
      <c r="D3" s="2535"/>
      <c r="E3" s="2535"/>
      <c r="F3" s="2535"/>
      <c r="G3" s="224"/>
      <c r="H3" s="224"/>
    </row>
    <row r="4" spans="1:17">
      <c r="A4" s="13"/>
      <c r="B4" s="181"/>
      <c r="C4" s="181"/>
      <c r="D4" s="181"/>
    </row>
    <row r="5" spans="1:17" ht="13.35" customHeight="1">
      <c r="A5" s="27" t="s">
        <v>2197</v>
      </c>
      <c r="D5" s="219"/>
      <c r="E5" s="2538" t="s">
        <v>934</v>
      </c>
      <c r="F5" s="2539"/>
      <c r="G5" s="159"/>
    </row>
    <row r="6" spans="1:17">
      <c r="E6" s="2539"/>
      <c r="F6" s="2539"/>
      <c r="G6" s="159"/>
    </row>
    <row r="7" spans="1:17">
      <c r="A7" s="27" t="s">
        <v>2399</v>
      </c>
      <c r="C7" s="27" t="s">
        <v>2400</v>
      </c>
      <c r="D7" s="220"/>
      <c r="E7" s="2539"/>
      <c r="F7" s="2539"/>
      <c r="G7" s="159"/>
    </row>
    <row r="8" spans="1:17">
      <c r="C8" s="27" t="s">
        <v>2401</v>
      </c>
      <c r="D8" s="220"/>
      <c r="E8" s="2539"/>
      <c r="F8" s="2539"/>
      <c r="G8" s="159"/>
    </row>
    <row r="9" spans="1:17">
      <c r="C9" s="27" t="s">
        <v>2402</v>
      </c>
      <c r="D9" s="220"/>
      <c r="E9" s="2539"/>
      <c r="F9" s="2539"/>
      <c r="G9" s="159"/>
    </row>
    <row r="10" spans="1:17">
      <c r="C10" s="27" t="s">
        <v>2415</v>
      </c>
      <c r="D10" s="225">
        <f>D7+D8+D9</f>
        <v>0</v>
      </c>
      <c r="E10" s="2539"/>
      <c r="F10" s="2539"/>
      <c r="G10" s="159"/>
    </row>
    <row r="11" spans="1:17">
      <c r="F11" s="159"/>
      <c r="G11" s="159"/>
    </row>
    <row r="12" spans="1:17">
      <c r="A12" s="27" t="s">
        <v>1674</v>
      </c>
      <c r="D12" s="218"/>
      <c r="E12" s="27" t="s">
        <v>2084</v>
      </c>
      <c r="F12" s="159"/>
      <c r="G12" s="159"/>
    </row>
    <row r="13" spans="1:17">
      <c r="D13" s="191"/>
      <c r="F13" s="159"/>
      <c r="G13" s="159"/>
    </row>
    <row r="14" spans="1:17">
      <c r="A14" s="27" t="s">
        <v>2404</v>
      </c>
      <c r="D14" s="217"/>
      <c r="E14" s="27" t="s">
        <v>2405</v>
      </c>
      <c r="F14" s="226"/>
    </row>
    <row r="15" spans="1:17">
      <c r="D15" s="211"/>
      <c r="F15" s="226"/>
    </row>
    <row r="16" spans="1:17">
      <c r="A16" s="27" t="s">
        <v>2406</v>
      </c>
      <c r="D16" s="217"/>
      <c r="E16" s="27" t="s">
        <v>2405</v>
      </c>
      <c r="F16" s="226"/>
    </row>
    <row r="17" spans="1:10">
      <c r="D17" s="191"/>
      <c r="F17" s="226"/>
    </row>
    <row r="18" spans="1:10">
      <c r="A18" s="27" t="s">
        <v>908</v>
      </c>
      <c r="D18" s="227" t="e">
        <f>PMT(D10/12,D16*12,-D5,0,0)*12</f>
        <v>#NUM!</v>
      </c>
      <c r="E18" s="27" t="s">
        <v>1470</v>
      </c>
      <c r="F18" s="226"/>
    </row>
    <row r="19" spans="1:10">
      <c r="D19" s="191"/>
      <c r="F19" s="226"/>
    </row>
    <row r="20" spans="1:10">
      <c r="A20" s="27" t="s">
        <v>1471</v>
      </c>
      <c r="D20" s="191" t="e">
        <f>D18/12</f>
        <v>#NUM!</v>
      </c>
      <c r="E20" s="27" t="s">
        <v>1470</v>
      </c>
      <c r="F20" s="226"/>
    </row>
    <row r="24" spans="1:10" ht="18" customHeight="1">
      <c r="A24" s="2536" t="s">
        <v>1675</v>
      </c>
      <c r="B24" s="2536"/>
      <c r="C24" s="2536"/>
      <c r="D24" s="2536"/>
      <c r="E24" s="2536"/>
      <c r="F24" s="2536"/>
      <c r="J24" s="228"/>
    </row>
    <row r="25" spans="1:10">
      <c r="C25" s="191"/>
      <c r="J25" s="228"/>
    </row>
    <row r="26" spans="1:10">
      <c r="A26" s="104"/>
      <c r="B26" s="80"/>
      <c r="C26" s="2540" t="s">
        <v>2196</v>
      </c>
      <c r="D26" s="223"/>
      <c r="E26" s="80"/>
      <c r="F26" s="2540" t="s">
        <v>2196</v>
      </c>
      <c r="J26" s="228"/>
    </row>
    <row r="27" spans="1:10">
      <c r="A27" s="229" t="s">
        <v>2416</v>
      </c>
      <c r="B27" s="71" t="s">
        <v>1004</v>
      </c>
      <c r="C27" s="2541"/>
      <c r="D27" s="230" t="s">
        <v>2416</v>
      </c>
      <c r="E27" s="71" t="s">
        <v>1004</v>
      </c>
      <c r="F27" s="2541"/>
      <c r="J27" s="228"/>
    </row>
    <row r="28" spans="1:10">
      <c r="A28" s="231">
        <v>1</v>
      </c>
      <c r="B28" s="252">
        <f>IF(A28&gt;D14,0,E55*$D$12)</f>
        <v>0</v>
      </c>
      <c r="C28" s="252">
        <f>IF(A28&gt;$D$14,0,$D$18+B28)</f>
        <v>0</v>
      </c>
      <c r="D28" s="232">
        <v>21</v>
      </c>
      <c r="E28" s="252">
        <f>IF(D28&gt;$D$14,0,E295*$D$12)</f>
        <v>0</v>
      </c>
      <c r="F28" s="252">
        <f>IF(D28&gt;$D$14,0,$D$18+E28)</f>
        <v>0</v>
      </c>
      <c r="J28" s="228"/>
    </row>
    <row r="29" spans="1:10">
      <c r="A29" s="231">
        <v>2</v>
      </c>
      <c r="B29" s="253">
        <f>IF(A29&gt;D14,0,E67*$D$12)</f>
        <v>0</v>
      </c>
      <c r="C29" s="252">
        <f t="shared" ref="C29:C47" si="0">IF(A29&gt;$D$14,0,$D$18+B29)</f>
        <v>0</v>
      </c>
      <c r="D29" s="232">
        <v>22</v>
      </c>
      <c r="E29" s="252">
        <f>IF(D29&gt;$D$14,0,E307*$D$12)</f>
        <v>0</v>
      </c>
      <c r="F29" s="252">
        <f t="shared" ref="F29:F47" si="1">IF(D29&gt;$D$14,0,$D$18+E29)</f>
        <v>0</v>
      </c>
      <c r="J29" s="228"/>
    </row>
    <row r="30" spans="1:10">
      <c r="A30" s="231">
        <v>3</v>
      </c>
      <c r="B30" s="252">
        <f>IF(A30&gt;D14,0,E79*$D$12)</f>
        <v>0</v>
      </c>
      <c r="C30" s="252">
        <f t="shared" si="0"/>
        <v>0</v>
      </c>
      <c r="D30" s="232">
        <v>23</v>
      </c>
      <c r="E30" s="252">
        <f>IF(D30&gt;$D$14,0,E319*$D$12)</f>
        <v>0</v>
      </c>
      <c r="F30" s="252">
        <f t="shared" si="1"/>
        <v>0</v>
      </c>
      <c r="J30" s="228"/>
    </row>
    <row r="31" spans="1:10">
      <c r="A31" s="231">
        <v>4</v>
      </c>
      <c r="B31" s="252">
        <f>IF(A31&gt;D14,0,E91*$D$12)</f>
        <v>0</v>
      </c>
      <c r="C31" s="252">
        <f t="shared" si="0"/>
        <v>0</v>
      </c>
      <c r="D31" s="232">
        <v>24</v>
      </c>
      <c r="E31" s="252">
        <f>IF(D31&gt;$D$14,0,E331*$D$12)</f>
        <v>0</v>
      </c>
      <c r="F31" s="252">
        <f t="shared" si="1"/>
        <v>0</v>
      </c>
      <c r="J31" s="228"/>
    </row>
    <row r="32" spans="1:10">
      <c r="A32" s="231">
        <v>5</v>
      </c>
      <c r="B32" s="252">
        <f>IF(A32&gt;D14,0,E103*$D$12)</f>
        <v>0</v>
      </c>
      <c r="C32" s="254">
        <f t="shared" si="0"/>
        <v>0</v>
      </c>
      <c r="D32" s="232">
        <v>25</v>
      </c>
      <c r="E32" s="252">
        <f>IF(D32&gt;$D$14,0,E343*$D$12)</f>
        <v>0</v>
      </c>
      <c r="F32" s="254">
        <f t="shared" si="1"/>
        <v>0</v>
      </c>
      <c r="J32" s="228"/>
    </row>
    <row r="33" spans="1:10">
      <c r="A33" s="233">
        <v>6</v>
      </c>
      <c r="B33" s="255">
        <f>IF(A33&gt;D14,0,E115*$D$12)</f>
        <v>0</v>
      </c>
      <c r="C33" s="252">
        <f t="shared" si="0"/>
        <v>0</v>
      </c>
      <c r="D33" s="234">
        <v>26</v>
      </c>
      <c r="E33" s="255">
        <f>IF(D33&gt;$D$14,0,E355*$D$12)</f>
        <v>0</v>
      </c>
      <c r="F33" s="252">
        <f t="shared" si="1"/>
        <v>0</v>
      </c>
      <c r="J33" s="228"/>
    </row>
    <row r="34" spans="1:10">
      <c r="A34" s="235">
        <v>7</v>
      </c>
      <c r="B34" s="256">
        <f>IF(A34&gt;D14,0,E127*$D$12)</f>
        <v>0</v>
      </c>
      <c r="C34" s="252">
        <f t="shared" si="0"/>
        <v>0</v>
      </c>
      <c r="D34" s="232">
        <v>27</v>
      </c>
      <c r="E34" s="256">
        <f>IF(D34&gt;$D$14,0,E367*$D$12)</f>
        <v>0</v>
      </c>
      <c r="F34" s="252">
        <f t="shared" si="1"/>
        <v>0</v>
      </c>
      <c r="J34" s="228"/>
    </row>
    <row r="35" spans="1:10">
      <c r="A35" s="235">
        <v>8</v>
      </c>
      <c r="B35" s="256">
        <f>IF(A35&gt;D14,0,E139*$D$12)</f>
        <v>0</v>
      </c>
      <c r="C35" s="252">
        <f t="shared" si="0"/>
        <v>0</v>
      </c>
      <c r="D35" s="232">
        <v>28</v>
      </c>
      <c r="E35" s="256">
        <f>IF(D35&gt;$D$14,0,E379*$D$12)</f>
        <v>0</v>
      </c>
      <c r="F35" s="252">
        <f t="shared" si="1"/>
        <v>0</v>
      </c>
      <c r="J35" s="228"/>
    </row>
    <row r="36" spans="1:10">
      <c r="A36" s="235">
        <v>9</v>
      </c>
      <c r="B36" s="256">
        <f>IF(A36&gt;D14,0,E151*$D$12)</f>
        <v>0</v>
      </c>
      <c r="C36" s="252">
        <f t="shared" si="0"/>
        <v>0</v>
      </c>
      <c r="D36" s="232">
        <v>29</v>
      </c>
      <c r="E36" s="256">
        <f>IF(D36&gt;$D$14,0,E391*$D$12)</f>
        <v>0</v>
      </c>
      <c r="F36" s="252">
        <f t="shared" si="1"/>
        <v>0</v>
      </c>
      <c r="J36" s="228"/>
    </row>
    <row r="37" spans="1:10">
      <c r="A37" s="236">
        <v>10</v>
      </c>
      <c r="B37" s="254">
        <f>IF(A37&gt;D14,0,E163*$D$12)</f>
        <v>0</v>
      </c>
      <c r="C37" s="254">
        <f t="shared" si="0"/>
        <v>0</v>
      </c>
      <c r="D37" s="237">
        <v>30</v>
      </c>
      <c r="E37" s="254">
        <f>IF(D37&gt;$D$14,0,E403*$D$12)</f>
        <v>0</v>
      </c>
      <c r="F37" s="254">
        <f t="shared" si="1"/>
        <v>0</v>
      </c>
      <c r="J37" s="228"/>
    </row>
    <row r="38" spans="1:10">
      <c r="A38" s="238">
        <v>11</v>
      </c>
      <c r="B38" s="252">
        <f>IF(A38&gt;D14,0,E175*$D$12)</f>
        <v>0</v>
      </c>
      <c r="C38" s="252">
        <f t="shared" si="0"/>
        <v>0</v>
      </c>
      <c r="D38" s="232">
        <v>31</v>
      </c>
      <c r="E38" s="252">
        <f>IF(D38&gt;$D$14,0,E415*$D$12)</f>
        <v>0</v>
      </c>
      <c r="F38" s="252">
        <f t="shared" si="1"/>
        <v>0</v>
      </c>
      <c r="J38" s="228"/>
    </row>
    <row r="39" spans="1:10">
      <c r="A39" s="238">
        <v>12</v>
      </c>
      <c r="B39" s="252">
        <f>IF(A39&gt;D14,0,E187*$D$12)</f>
        <v>0</v>
      </c>
      <c r="C39" s="252">
        <f t="shared" si="0"/>
        <v>0</v>
      </c>
      <c r="D39" s="232">
        <v>32</v>
      </c>
      <c r="E39" s="252">
        <f>IF(D39&gt;$D$14,0,E427*$D$12)</f>
        <v>0</v>
      </c>
      <c r="F39" s="252">
        <f t="shared" si="1"/>
        <v>0</v>
      </c>
      <c r="J39" s="228"/>
    </row>
    <row r="40" spans="1:10">
      <c r="A40" s="238">
        <v>13</v>
      </c>
      <c r="B40" s="252">
        <f>IF(A40&gt;D14,0,E199*$D$12)</f>
        <v>0</v>
      </c>
      <c r="C40" s="252">
        <f t="shared" si="0"/>
        <v>0</v>
      </c>
      <c r="D40" s="232">
        <v>33</v>
      </c>
      <c r="E40" s="252">
        <f>IF(D40&gt;$D$14,0,E439*$D$12)</f>
        <v>0</v>
      </c>
      <c r="F40" s="252">
        <f t="shared" si="1"/>
        <v>0</v>
      </c>
      <c r="J40" s="228"/>
    </row>
    <row r="41" spans="1:10">
      <c r="A41" s="238">
        <v>14</v>
      </c>
      <c r="B41" s="252">
        <f>IF(A41&gt;D14,0,E211*$D$12)</f>
        <v>0</v>
      </c>
      <c r="C41" s="252">
        <f t="shared" si="0"/>
        <v>0</v>
      </c>
      <c r="D41" s="232">
        <v>34</v>
      </c>
      <c r="E41" s="252">
        <f>IF(D41&gt;$D$14,0,E451*$D$12)</f>
        <v>0</v>
      </c>
      <c r="F41" s="252">
        <f t="shared" si="1"/>
        <v>0</v>
      </c>
      <c r="J41" s="228"/>
    </row>
    <row r="42" spans="1:10">
      <c r="A42" s="238">
        <v>15</v>
      </c>
      <c r="B42" s="252">
        <f>IF(A42&gt;D14,0,E223*$D$12)</f>
        <v>0</v>
      </c>
      <c r="C42" s="254">
        <f t="shared" si="0"/>
        <v>0</v>
      </c>
      <c r="D42" s="232">
        <v>35</v>
      </c>
      <c r="E42" s="252">
        <f>IF(D42&gt;$D$14,0,E463*$D$12)</f>
        <v>0</v>
      </c>
      <c r="F42" s="254">
        <f t="shared" si="1"/>
        <v>0</v>
      </c>
      <c r="J42" s="228"/>
    </row>
    <row r="43" spans="1:10">
      <c r="A43" s="239">
        <v>16</v>
      </c>
      <c r="B43" s="255">
        <f>IF(A43&gt;D14,0,E235*$D$12)</f>
        <v>0</v>
      </c>
      <c r="C43" s="252">
        <f t="shared" si="0"/>
        <v>0</v>
      </c>
      <c r="D43" s="234">
        <v>36</v>
      </c>
      <c r="E43" s="255">
        <f>IF(D43&gt;$D$14,0,E475*$D$12)</f>
        <v>0</v>
      </c>
      <c r="F43" s="252">
        <f t="shared" si="1"/>
        <v>0</v>
      </c>
      <c r="J43" s="228"/>
    </row>
    <row r="44" spans="1:10">
      <c r="A44" s="235">
        <v>17</v>
      </c>
      <c r="B44" s="256">
        <f>IF(A44&gt;D14,0,E247*$D$12)</f>
        <v>0</v>
      </c>
      <c r="C44" s="252">
        <f t="shared" si="0"/>
        <v>0</v>
      </c>
      <c r="D44" s="232">
        <v>37</v>
      </c>
      <c r="E44" s="256">
        <f>IF(D44&gt;$D$14,0,E487*$D$12)</f>
        <v>0</v>
      </c>
      <c r="F44" s="252">
        <f t="shared" si="1"/>
        <v>0</v>
      </c>
      <c r="J44" s="228"/>
    </row>
    <row r="45" spans="1:10">
      <c r="A45" s="235">
        <v>18</v>
      </c>
      <c r="B45" s="256">
        <f>IF(A45&gt;D14,0,E259*$D$12)</f>
        <v>0</v>
      </c>
      <c r="C45" s="252">
        <f t="shared" si="0"/>
        <v>0</v>
      </c>
      <c r="D45" s="232">
        <v>38</v>
      </c>
      <c r="E45" s="256">
        <f>IF(D45&gt;$D$14,0,E499*$D$12)</f>
        <v>0</v>
      </c>
      <c r="F45" s="252">
        <f t="shared" si="1"/>
        <v>0</v>
      </c>
      <c r="J45" s="228"/>
    </row>
    <row r="46" spans="1:10">
      <c r="A46" s="235">
        <v>19</v>
      </c>
      <c r="B46" s="256">
        <f>IF(A46&gt;D14,0,E271*$D$12)</f>
        <v>0</v>
      </c>
      <c r="C46" s="252">
        <f t="shared" si="0"/>
        <v>0</v>
      </c>
      <c r="D46" s="232">
        <v>39</v>
      </c>
      <c r="E46" s="256">
        <f>IF(D46&gt;$D$14,0,E511*$D$12)</f>
        <v>0</v>
      </c>
      <c r="F46" s="252">
        <f t="shared" si="1"/>
        <v>0</v>
      </c>
      <c r="J46" s="228"/>
    </row>
    <row r="47" spans="1:10">
      <c r="A47" s="236">
        <v>20</v>
      </c>
      <c r="B47" s="254">
        <f>IF(A47&gt;D14,0,E283*$D$12)</f>
        <v>0</v>
      </c>
      <c r="C47" s="254">
        <f t="shared" si="0"/>
        <v>0</v>
      </c>
      <c r="D47" s="237">
        <v>40</v>
      </c>
      <c r="E47" s="254">
        <f>IF(D47&gt;$D$14,0,E523*$D$12)</f>
        <v>0</v>
      </c>
      <c r="F47" s="254">
        <f t="shared" si="1"/>
        <v>0</v>
      </c>
      <c r="J47" s="228"/>
    </row>
    <row r="48" spans="1:10">
      <c r="C48" s="191"/>
      <c r="J48" s="228"/>
    </row>
    <row r="49" spans="1:10">
      <c r="C49" s="191"/>
      <c r="J49" s="228"/>
    </row>
    <row r="50" spans="1:10" ht="14.1" customHeight="1">
      <c r="A50" s="2533" t="e">
        <f>CONCATENATE(#REF!," ",#REF!,", ",#REF!,", ",#REF!," County")</f>
        <v>#REF!</v>
      </c>
      <c r="B50" s="2533"/>
      <c r="C50" s="2533"/>
      <c r="D50" s="2533"/>
      <c r="E50" s="2533"/>
      <c r="F50" s="2533"/>
      <c r="G50" s="214"/>
      <c r="H50" s="214"/>
    </row>
    <row r="51" spans="1:10" ht="13.8">
      <c r="A51" s="2534" t="s">
        <v>2407</v>
      </c>
      <c r="B51" s="2534"/>
      <c r="C51" s="2534"/>
      <c r="D51" s="2534"/>
      <c r="E51" s="2534"/>
      <c r="F51" s="2534"/>
      <c r="G51" s="240"/>
      <c r="H51" s="240"/>
      <c r="I51" s="240"/>
      <c r="J51" s="240"/>
    </row>
    <row r="52" spans="1:10" ht="5.4" customHeight="1">
      <c r="C52" s="191"/>
      <c r="D52" s="191"/>
      <c r="G52" s="196"/>
      <c r="H52" s="190"/>
      <c r="I52" s="196"/>
    </row>
    <row r="53" spans="1:10">
      <c r="A53" s="194" t="s">
        <v>2408</v>
      </c>
      <c r="B53" s="194" t="s">
        <v>2409</v>
      </c>
      <c r="C53" s="194" t="s">
        <v>1268</v>
      </c>
      <c r="D53" s="194" t="s">
        <v>2410</v>
      </c>
      <c r="E53" s="194" t="s">
        <v>2411</v>
      </c>
      <c r="F53" s="221" t="s">
        <v>2416</v>
      </c>
      <c r="G53" s="241"/>
      <c r="H53" s="241"/>
      <c r="I53" s="241"/>
    </row>
    <row r="54" spans="1:10" ht="3.6" customHeight="1">
      <c r="F54" s="80"/>
      <c r="G54" s="196"/>
      <c r="H54" s="190"/>
      <c r="I54" s="196"/>
    </row>
    <row r="55" spans="1:10">
      <c r="A55" s="27" t="s">
        <v>2412</v>
      </c>
      <c r="E55" s="191">
        <f>D5</f>
        <v>0</v>
      </c>
      <c r="F55" s="80"/>
      <c r="G55" s="196"/>
      <c r="H55" s="190"/>
      <c r="I55" s="196"/>
    </row>
    <row r="56" spans="1:10">
      <c r="A56" s="242">
        <v>1</v>
      </c>
      <c r="B56" s="202">
        <f t="shared" ref="B56:B119" si="2">IF(A56&gt;12*$D$14,0,$D$20)</f>
        <v>0</v>
      </c>
      <c r="C56" s="202">
        <f t="shared" ref="C56:C119" si="3">IF(A56&gt;12*$D$14,0,E55*$D$10/12)</f>
        <v>0</v>
      </c>
      <c r="D56" s="202">
        <f t="shared" ref="D56:D119" si="4">IF(A56&gt;12*$D$14,0,B56-C56)</f>
        <v>0</v>
      </c>
      <c r="E56" s="202">
        <f t="shared" ref="E56:E119" si="5">IF(A56&gt;12*$D$14,0,E55-D56)</f>
        <v>0</v>
      </c>
      <c r="F56" s="201"/>
      <c r="G56" s="243"/>
      <c r="H56" s="210"/>
      <c r="I56" s="196"/>
    </row>
    <row r="57" spans="1:10">
      <c r="A57" s="242">
        <v>2</v>
      </c>
      <c r="B57" s="202">
        <f t="shared" si="2"/>
        <v>0</v>
      </c>
      <c r="C57" s="202">
        <f t="shared" si="3"/>
        <v>0</v>
      </c>
      <c r="D57" s="202">
        <f t="shared" si="4"/>
        <v>0</v>
      </c>
      <c r="E57" s="202">
        <f t="shared" si="5"/>
        <v>0</v>
      </c>
      <c r="F57" s="201"/>
      <c r="G57" s="243"/>
      <c r="H57" s="210"/>
      <c r="I57" s="196"/>
    </row>
    <row r="58" spans="1:10">
      <c r="A58" s="242">
        <v>3</v>
      </c>
      <c r="B58" s="202">
        <f t="shared" si="2"/>
        <v>0</v>
      </c>
      <c r="C58" s="202">
        <f t="shared" si="3"/>
        <v>0</v>
      </c>
      <c r="D58" s="202">
        <f t="shared" si="4"/>
        <v>0</v>
      </c>
      <c r="E58" s="202">
        <f t="shared" si="5"/>
        <v>0</v>
      </c>
      <c r="F58" s="201"/>
      <c r="G58" s="243"/>
      <c r="H58" s="210"/>
      <c r="I58" s="196"/>
    </row>
    <row r="59" spans="1:10">
      <c r="A59" s="242">
        <v>4</v>
      </c>
      <c r="B59" s="202">
        <f t="shared" si="2"/>
        <v>0</v>
      </c>
      <c r="C59" s="202">
        <f t="shared" si="3"/>
        <v>0</v>
      </c>
      <c r="D59" s="202">
        <f t="shared" si="4"/>
        <v>0</v>
      </c>
      <c r="E59" s="202">
        <f t="shared" si="5"/>
        <v>0</v>
      </c>
      <c r="F59" s="201"/>
      <c r="G59" s="243"/>
      <c r="H59" s="210"/>
      <c r="I59" s="196"/>
    </row>
    <row r="60" spans="1:10">
      <c r="A60" s="242">
        <v>5</v>
      </c>
      <c r="B60" s="202">
        <f t="shared" si="2"/>
        <v>0</v>
      </c>
      <c r="C60" s="202">
        <f t="shared" si="3"/>
        <v>0</v>
      </c>
      <c r="D60" s="202">
        <f t="shared" si="4"/>
        <v>0</v>
      </c>
      <c r="E60" s="202">
        <f t="shared" si="5"/>
        <v>0</v>
      </c>
      <c r="F60" s="201"/>
      <c r="G60" s="243"/>
      <c r="H60" s="210"/>
      <c r="I60" s="196"/>
    </row>
    <row r="61" spans="1:10">
      <c r="A61" s="242">
        <v>6</v>
      </c>
      <c r="B61" s="202">
        <f t="shared" si="2"/>
        <v>0</v>
      </c>
      <c r="C61" s="202">
        <f t="shared" si="3"/>
        <v>0</v>
      </c>
      <c r="D61" s="202">
        <f t="shared" si="4"/>
        <v>0</v>
      </c>
      <c r="E61" s="202">
        <f t="shared" si="5"/>
        <v>0</v>
      </c>
      <c r="F61" s="201"/>
      <c r="G61" s="243"/>
      <c r="H61" s="210"/>
      <c r="I61" s="196"/>
    </row>
    <row r="62" spans="1:10">
      <c r="A62" s="242">
        <v>7</v>
      </c>
      <c r="B62" s="202">
        <f t="shared" si="2"/>
        <v>0</v>
      </c>
      <c r="C62" s="202">
        <f t="shared" si="3"/>
        <v>0</v>
      </c>
      <c r="D62" s="202">
        <f t="shared" si="4"/>
        <v>0</v>
      </c>
      <c r="E62" s="202">
        <f t="shared" si="5"/>
        <v>0</v>
      </c>
      <c r="F62" s="201"/>
      <c r="G62" s="243"/>
      <c r="H62" s="210"/>
      <c r="I62" s="196"/>
    </row>
    <row r="63" spans="1:10">
      <c r="A63" s="242">
        <v>8</v>
      </c>
      <c r="B63" s="202">
        <f t="shared" si="2"/>
        <v>0</v>
      </c>
      <c r="C63" s="202">
        <f t="shared" si="3"/>
        <v>0</v>
      </c>
      <c r="D63" s="202">
        <f t="shared" si="4"/>
        <v>0</v>
      </c>
      <c r="E63" s="202">
        <f t="shared" si="5"/>
        <v>0</v>
      </c>
      <c r="F63" s="201"/>
      <c r="G63" s="243"/>
      <c r="H63" s="210"/>
      <c r="I63" s="196"/>
    </row>
    <row r="64" spans="1:10">
      <c r="A64" s="242">
        <v>9</v>
      </c>
      <c r="B64" s="202">
        <f t="shared" si="2"/>
        <v>0</v>
      </c>
      <c r="C64" s="202">
        <f t="shared" si="3"/>
        <v>0</v>
      </c>
      <c r="D64" s="202">
        <f t="shared" si="4"/>
        <v>0</v>
      </c>
      <c r="E64" s="202">
        <f t="shared" si="5"/>
        <v>0</v>
      </c>
      <c r="F64" s="201"/>
      <c r="G64" s="243"/>
      <c r="H64" s="210"/>
      <c r="I64" s="196"/>
    </row>
    <row r="65" spans="1:9">
      <c r="A65" s="242">
        <v>10</v>
      </c>
      <c r="B65" s="202">
        <f t="shared" si="2"/>
        <v>0</v>
      </c>
      <c r="C65" s="202">
        <f t="shared" si="3"/>
        <v>0</v>
      </c>
      <c r="D65" s="202">
        <f t="shared" si="4"/>
        <v>0</v>
      </c>
      <c r="E65" s="202">
        <f t="shared" si="5"/>
        <v>0</v>
      </c>
      <c r="F65" s="201"/>
      <c r="G65" s="196"/>
      <c r="H65" s="190"/>
      <c r="I65" s="196"/>
    </row>
    <row r="66" spans="1:9">
      <c r="A66" s="242">
        <v>11</v>
      </c>
      <c r="B66" s="202">
        <f t="shared" si="2"/>
        <v>0</v>
      </c>
      <c r="C66" s="202">
        <f t="shared" si="3"/>
        <v>0</v>
      </c>
      <c r="D66" s="202">
        <f t="shared" si="4"/>
        <v>0</v>
      </c>
      <c r="E66" s="202">
        <f t="shared" si="5"/>
        <v>0</v>
      </c>
      <c r="F66" s="201"/>
      <c r="G66" s="196"/>
      <c r="H66" s="190"/>
      <c r="I66" s="196"/>
    </row>
    <row r="67" spans="1:9">
      <c r="A67" s="242">
        <v>12</v>
      </c>
      <c r="B67" s="202">
        <f t="shared" si="2"/>
        <v>0</v>
      </c>
      <c r="C67" s="202">
        <f t="shared" si="3"/>
        <v>0</v>
      </c>
      <c r="D67" s="202">
        <f t="shared" si="4"/>
        <v>0</v>
      </c>
      <c r="E67" s="202">
        <f t="shared" si="5"/>
        <v>0</v>
      </c>
      <c r="F67" s="201">
        <v>1</v>
      </c>
      <c r="G67" s="243"/>
      <c r="H67" s="210"/>
      <c r="I67" s="243"/>
    </row>
    <row r="68" spans="1:9">
      <c r="A68" s="242">
        <v>13</v>
      </c>
      <c r="B68" s="202">
        <f t="shared" si="2"/>
        <v>0</v>
      </c>
      <c r="C68" s="202">
        <f t="shared" si="3"/>
        <v>0</v>
      </c>
      <c r="D68" s="202">
        <f t="shared" si="4"/>
        <v>0</v>
      </c>
      <c r="E68" s="202">
        <f t="shared" si="5"/>
        <v>0</v>
      </c>
      <c r="F68" s="201"/>
      <c r="G68" s="196"/>
      <c r="H68" s="190"/>
      <c r="I68" s="243"/>
    </row>
    <row r="69" spans="1:9">
      <c r="A69" s="242">
        <v>14</v>
      </c>
      <c r="B69" s="202">
        <f t="shared" si="2"/>
        <v>0</v>
      </c>
      <c r="C69" s="202">
        <f t="shared" si="3"/>
        <v>0</v>
      </c>
      <c r="D69" s="202">
        <f t="shared" si="4"/>
        <v>0</v>
      </c>
      <c r="E69" s="202">
        <f t="shared" si="5"/>
        <v>0</v>
      </c>
      <c r="F69" s="201"/>
      <c r="G69" s="196"/>
      <c r="H69" s="190"/>
      <c r="I69" s="196"/>
    </row>
    <row r="70" spans="1:9">
      <c r="A70" s="242">
        <v>15</v>
      </c>
      <c r="B70" s="202">
        <f t="shared" si="2"/>
        <v>0</v>
      </c>
      <c r="C70" s="202">
        <f t="shared" si="3"/>
        <v>0</v>
      </c>
      <c r="D70" s="202">
        <f t="shared" si="4"/>
        <v>0</v>
      </c>
      <c r="E70" s="202">
        <f t="shared" si="5"/>
        <v>0</v>
      </c>
      <c r="F70" s="201"/>
      <c r="G70" s="196"/>
      <c r="H70" s="190"/>
      <c r="I70" s="196"/>
    </row>
    <row r="71" spans="1:9">
      <c r="A71" s="242">
        <v>16</v>
      </c>
      <c r="B71" s="202">
        <f t="shared" si="2"/>
        <v>0</v>
      </c>
      <c r="C71" s="202">
        <f t="shared" si="3"/>
        <v>0</v>
      </c>
      <c r="D71" s="202">
        <f t="shared" si="4"/>
        <v>0</v>
      </c>
      <c r="E71" s="202">
        <f t="shared" si="5"/>
        <v>0</v>
      </c>
      <c r="F71" s="201"/>
      <c r="G71" s="196"/>
      <c r="H71" s="190"/>
      <c r="I71" s="196"/>
    </row>
    <row r="72" spans="1:9">
      <c r="A72" s="242">
        <v>17</v>
      </c>
      <c r="B72" s="202">
        <f t="shared" si="2"/>
        <v>0</v>
      </c>
      <c r="C72" s="202">
        <f t="shared" si="3"/>
        <v>0</v>
      </c>
      <c r="D72" s="202">
        <f t="shared" si="4"/>
        <v>0</v>
      </c>
      <c r="E72" s="202">
        <f t="shared" si="5"/>
        <v>0</v>
      </c>
      <c r="F72" s="201"/>
      <c r="G72" s="196"/>
      <c r="H72" s="190"/>
      <c r="I72" s="196"/>
    </row>
    <row r="73" spans="1:9">
      <c r="A73" s="242">
        <v>18</v>
      </c>
      <c r="B73" s="202">
        <f t="shared" si="2"/>
        <v>0</v>
      </c>
      <c r="C73" s="202">
        <f t="shared" si="3"/>
        <v>0</v>
      </c>
      <c r="D73" s="202">
        <f t="shared" si="4"/>
        <v>0</v>
      </c>
      <c r="E73" s="202">
        <f t="shared" si="5"/>
        <v>0</v>
      </c>
      <c r="F73" s="201"/>
      <c r="G73" s="243"/>
      <c r="H73" s="210"/>
      <c r="I73" s="196"/>
    </row>
    <row r="74" spans="1:9">
      <c r="A74" s="242">
        <v>19</v>
      </c>
      <c r="B74" s="202">
        <f t="shared" si="2"/>
        <v>0</v>
      </c>
      <c r="C74" s="202">
        <f t="shared" si="3"/>
        <v>0</v>
      </c>
      <c r="D74" s="202">
        <f t="shared" si="4"/>
        <v>0</v>
      </c>
      <c r="E74" s="202">
        <f t="shared" si="5"/>
        <v>0</v>
      </c>
      <c r="F74" s="201"/>
      <c r="G74" s="243"/>
      <c r="H74" s="210"/>
      <c r="I74" s="196"/>
    </row>
    <row r="75" spans="1:9">
      <c r="A75" s="242">
        <v>20</v>
      </c>
      <c r="B75" s="202">
        <f t="shared" si="2"/>
        <v>0</v>
      </c>
      <c r="C75" s="202">
        <f t="shared" si="3"/>
        <v>0</v>
      </c>
      <c r="D75" s="202">
        <f t="shared" si="4"/>
        <v>0</v>
      </c>
      <c r="E75" s="202">
        <f t="shared" si="5"/>
        <v>0</v>
      </c>
      <c r="F75" s="201"/>
      <c r="G75" s="243"/>
      <c r="H75" s="210"/>
      <c r="I75" s="196"/>
    </row>
    <row r="76" spans="1:9">
      <c r="A76" s="242">
        <v>21</v>
      </c>
      <c r="B76" s="202">
        <f t="shared" si="2"/>
        <v>0</v>
      </c>
      <c r="C76" s="202">
        <f t="shared" si="3"/>
        <v>0</v>
      </c>
      <c r="D76" s="202">
        <f t="shared" si="4"/>
        <v>0</v>
      </c>
      <c r="E76" s="202">
        <f t="shared" si="5"/>
        <v>0</v>
      </c>
      <c r="F76" s="201"/>
      <c r="G76" s="243"/>
      <c r="H76" s="210"/>
      <c r="I76" s="196"/>
    </row>
    <row r="77" spans="1:9">
      <c r="A77" s="242">
        <v>22</v>
      </c>
      <c r="B77" s="202">
        <f t="shared" si="2"/>
        <v>0</v>
      </c>
      <c r="C77" s="202">
        <f t="shared" si="3"/>
        <v>0</v>
      </c>
      <c r="D77" s="202">
        <f t="shared" si="4"/>
        <v>0</v>
      </c>
      <c r="E77" s="202">
        <f t="shared" si="5"/>
        <v>0</v>
      </c>
      <c r="F77" s="201"/>
      <c r="G77" s="196"/>
      <c r="H77" s="190"/>
      <c r="I77" s="196"/>
    </row>
    <row r="78" spans="1:9">
      <c r="A78" s="242">
        <v>23</v>
      </c>
      <c r="B78" s="202">
        <f t="shared" si="2"/>
        <v>0</v>
      </c>
      <c r="C78" s="202">
        <f t="shared" si="3"/>
        <v>0</v>
      </c>
      <c r="D78" s="202">
        <f t="shared" si="4"/>
        <v>0</v>
      </c>
      <c r="E78" s="202">
        <f t="shared" si="5"/>
        <v>0</v>
      </c>
      <c r="F78" s="201"/>
      <c r="G78" s="196"/>
      <c r="H78" s="190"/>
      <c r="I78" s="196"/>
    </row>
    <row r="79" spans="1:9">
      <c r="A79" s="242">
        <v>24</v>
      </c>
      <c r="B79" s="202">
        <f t="shared" si="2"/>
        <v>0</v>
      </c>
      <c r="C79" s="202">
        <f t="shared" si="3"/>
        <v>0</v>
      </c>
      <c r="D79" s="202">
        <f t="shared" si="4"/>
        <v>0</v>
      </c>
      <c r="E79" s="202">
        <f t="shared" si="5"/>
        <v>0</v>
      </c>
      <c r="F79" s="201">
        <v>2</v>
      </c>
      <c r="G79" s="243"/>
      <c r="H79" s="210"/>
      <c r="I79" s="243"/>
    </row>
    <row r="80" spans="1:9">
      <c r="A80" s="242">
        <v>25</v>
      </c>
      <c r="B80" s="202">
        <f t="shared" si="2"/>
        <v>0</v>
      </c>
      <c r="C80" s="202">
        <f t="shared" si="3"/>
        <v>0</v>
      </c>
      <c r="D80" s="202">
        <f t="shared" si="4"/>
        <v>0</v>
      </c>
      <c r="E80" s="202">
        <f t="shared" si="5"/>
        <v>0</v>
      </c>
      <c r="F80" s="201"/>
      <c r="G80" s="196"/>
      <c r="H80" s="190"/>
      <c r="I80" s="243"/>
    </row>
    <row r="81" spans="1:9">
      <c r="A81" s="242">
        <v>26</v>
      </c>
      <c r="B81" s="202">
        <f t="shared" si="2"/>
        <v>0</v>
      </c>
      <c r="C81" s="202">
        <f t="shared" si="3"/>
        <v>0</v>
      </c>
      <c r="D81" s="202">
        <f t="shared" si="4"/>
        <v>0</v>
      </c>
      <c r="E81" s="202">
        <f t="shared" si="5"/>
        <v>0</v>
      </c>
      <c r="F81" s="201"/>
      <c r="G81" s="196"/>
      <c r="H81" s="190"/>
      <c r="I81" s="196"/>
    </row>
    <row r="82" spans="1:9">
      <c r="A82" s="242">
        <v>27</v>
      </c>
      <c r="B82" s="202">
        <f t="shared" si="2"/>
        <v>0</v>
      </c>
      <c r="C82" s="202">
        <f t="shared" si="3"/>
        <v>0</v>
      </c>
      <c r="D82" s="202">
        <f t="shared" si="4"/>
        <v>0</v>
      </c>
      <c r="E82" s="202">
        <f t="shared" si="5"/>
        <v>0</v>
      </c>
      <c r="F82" s="201"/>
      <c r="G82" s="196"/>
      <c r="H82" s="190"/>
      <c r="I82" s="196"/>
    </row>
    <row r="83" spans="1:9">
      <c r="A83" s="242">
        <v>28</v>
      </c>
      <c r="B83" s="202">
        <f t="shared" si="2"/>
        <v>0</v>
      </c>
      <c r="C83" s="202">
        <f t="shared" si="3"/>
        <v>0</v>
      </c>
      <c r="D83" s="202">
        <f t="shared" si="4"/>
        <v>0</v>
      </c>
      <c r="E83" s="202">
        <f t="shared" si="5"/>
        <v>0</v>
      </c>
      <c r="F83" s="201"/>
      <c r="G83" s="196"/>
      <c r="H83" s="190"/>
      <c r="I83" s="196"/>
    </row>
    <row r="84" spans="1:9">
      <c r="A84" s="242">
        <v>29</v>
      </c>
      <c r="B84" s="202">
        <f t="shared" si="2"/>
        <v>0</v>
      </c>
      <c r="C84" s="202">
        <f t="shared" si="3"/>
        <v>0</v>
      </c>
      <c r="D84" s="202">
        <f t="shared" si="4"/>
        <v>0</v>
      </c>
      <c r="E84" s="202">
        <f t="shared" si="5"/>
        <v>0</v>
      </c>
      <c r="F84" s="201"/>
      <c r="G84" s="196"/>
      <c r="H84" s="190"/>
      <c r="I84" s="196"/>
    </row>
    <row r="85" spans="1:9">
      <c r="A85" s="242">
        <v>30</v>
      </c>
      <c r="B85" s="202">
        <f t="shared" si="2"/>
        <v>0</v>
      </c>
      <c r="C85" s="202">
        <f t="shared" si="3"/>
        <v>0</v>
      </c>
      <c r="D85" s="202">
        <f t="shared" si="4"/>
        <v>0</v>
      </c>
      <c r="E85" s="202">
        <f t="shared" si="5"/>
        <v>0</v>
      </c>
      <c r="F85" s="201"/>
      <c r="G85" s="243"/>
      <c r="H85" s="210"/>
      <c r="I85" s="196"/>
    </row>
    <row r="86" spans="1:9">
      <c r="A86" s="242">
        <v>31</v>
      </c>
      <c r="B86" s="202">
        <f t="shared" si="2"/>
        <v>0</v>
      </c>
      <c r="C86" s="202">
        <f t="shared" si="3"/>
        <v>0</v>
      </c>
      <c r="D86" s="202">
        <f t="shared" si="4"/>
        <v>0</v>
      </c>
      <c r="E86" s="202">
        <f t="shared" si="5"/>
        <v>0</v>
      </c>
      <c r="F86" s="201"/>
      <c r="G86" s="196"/>
      <c r="H86" s="190"/>
      <c r="I86" s="196"/>
    </row>
    <row r="87" spans="1:9">
      <c r="A87" s="242">
        <v>32</v>
      </c>
      <c r="B87" s="202">
        <f t="shared" si="2"/>
        <v>0</v>
      </c>
      <c r="C87" s="202">
        <f t="shared" si="3"/>
        <v>0</v>
      </c>
      <c r="D87" s="202">
        <f t="shared" si="4"/>
        <v>0</v>
      </c>
      <c r="E87" s="202">
        <f t="shared" si="5"/>
        <v>0</v>
      </c>
      <c r="F87" s="201"/>
      <c r="G87" s="196"/>
      <c r="H87" s="190"/>
      <c r="I87" s="196"/>
    </row>
    <row r="88" spans="1:9">
      <c r="A88" s="242">
        <v>33</v>
      </c>
      <c r="B88" s="202">
        <f t="shared" si="2"/>
        <v>0</v>
      </c>
      <c r="C88" s="202">
        <f t="shared" si="3"/>
        <v>0</v>
      </c>
      <c r="D88" s="202">
        <f t="shared" si="4"/>
        <v>0</v>
      </c>
      <c r="E88" s="202">
        <f t="shared" si="5"/>
        <v>0</v>
      </c>
      <c r="F88" s="201"/>
      <c r="G88" s="196"/>
      <c r="H88" s="190"/>
      <c r="I88" s="196"/>
    </row>
    <row r="89" spans="1:9">
      <c r="A89" s="242">
        <v>34</v>
      </c>
      <c r="B89" s="202">
        <f t="shared" si="2"/>
        <v>0</v>
      </c>
      <c r="C89" s="202">
        <f t="shared" si="3"/>
        <v>0</v>
      </c>
      <c r="D89" s="202">
        <f t="shared" si="4"/>
        <v>0</v>
      </c>
      <c r="E89" s="202">
        <f t="shared" si="5"/>
        <v>0</v>
      </c>
      <c r="F89" s="201"/>
      <c r="G89" s="196"/>
      <c r="H89" s="190"/>
      <c r="I89" s="196"/>
    </row>
    <row r="90" spans="1:9">
      <c r="A90" s="242">
        <v>35</v>
      </c>
      <c r="B90" s="202">
        <f t="shared" si="2"/>
        <v>0</v>
      </c>
      <c r="C90" s="202">
        <f t="shared" si="3"/>
        <v>0</v>
      </c>
      <c r="D90" s="202">
        <f t="shared" si="4"/>
        <v>0</v>
      </c>
      <c r="E90" s="202">
        <f t="shared" si="5"/>
        <v>0</v>
      </c>
      <c r="F90" s="201"/>
      <c r="G90" s="196"/>
      <c r="H90" s="190"/>
      <c r="I90" s="196"/>
    </row>
    <row r="91" spans="1:9">
      <c r="A91" s="242">
        <v>36</v>
      </c>
      <c r="B91" s="202">
        <f t="shared" si="2"/>
        <v>0</v>
      </c>
      <c r="C91" s="202">
        <f t="shared" si="3"/>
        <v>0</v>
      </c>
      <c r="D91" s="202">
        <f t="shared" si="4"/>
        <v>0</v>
      </c>
      <c r="E91" s="202">
        <f t="shared" si="5"/>
        <v>0</v>
      </c>
      <c r="F91" s="201">
        <v>3</v>
      </c>
      <c r="G91" s="243"/>
      <c r="H91" s="210"/>
      <c r="I91" s="243"/>
    </row>
    <row r="92" spans="1:9">
      <c r="A92" s="242">
        <v>37</v>
      </c>
      <c r="B92" s="202">
        <f t="shared" si="2"/>
        <v>0</v>
      </c>
      <c r="C92" s="202">
        <f t="shared" si="3"/>
        <v>0</v>
      </c>
      <c r="D92" s="202">
        <f t="shared" si="4"/>
        <v>0</v>
      </c>
      <c r="E92" s="202">
        <f t="shared" si="5"/>
        <v>0</v>
      </c>
      <c r="F92" s="201"/>
      <c r="G92" s="196"/>
      <c r="H92" s="190"/>
      <c r="I92" s="243"/>
    </row>
    <row r="93" spans="1:9">
      <c r="A93" s="242">
        <v>38</v>
      </c>
      <c r="B93" s="202">
        <f t="shared" si="2"/>
        <v>0</v>
      </c>
      <c r="C93" s="202">
        <f t="shared" si="3"/>
        <v>0</v>
      </c>
      <c r="D93" s="202">
        <f t="shared" si="4"/>
        <v>0</v>
      </c>
      <c r="E93" s="202">
        <f t="shared" si="5"/>
        <v>0</v>
      </c>
      <c r="F93" s="201"/>
      <c r="G93" s="196"/>
      <c r="H93" s="190"/>
      <c r="I93" s="196"/>
    </row>
    <row r="94" spans="1:9">
      <c r="A94" s="242">
        <v>39</v>
      </c>
      <c r="B94" s="202">
        <f t="shared" si="2"/>
        <v>0</v>
      </c>
      <c r="C94" s="202">
        <f t="shared" si="3"/>
        <v>0</v>
      </c>
      <c r="D94" s="202">
        <f t="shared" si="4"/>
        <v>0</v>
      </c>
      <c r="E94" s="202">
        <f t="shared" si="5"/>
        <v>0</v>
      </c>
      <c r="F94" s="201"/>
      <c r="G94" s="196"/>
      <c r="H94" s="190"/>
      <c r="I94" s="196"/>
    </row>
    <row r="95" spans="1:9">
      <c r="A95" s="242">
        <v>40</v>
      </c>
      <c r="B95" s="202">
        <f t="shared" si="2"/>
        <v>0</v>
      </c>
      <c r="C95" s="202">
        <f t="shared" si="3"/>
        <v>0</v>
      </c>
      <c r="D95" s="202">
        <f t="shared" si="4"/>
        <v>0</v>
      </c>
      <c r="E95" s="202">
        <f t="shared" si="5"/>
        <v>0</v>
      </c>
      <c r="F95" s="201"/>
      <c r="G95" s="196"/>
      <c r="H95" s="190"/>
      <c r="I95" s="196"/>
    </row>
    <row r="96" spans="1:9">
      <c r="A96" s="242">
        <v>41</v>
      </c>
      <c r="B96" s="202">
        <f t="shared" si="2"/>
        <v>0</v>
      </c>
      <c r="C96" s="202">
        <f t="shared" si="3"/>
        <v>0</v>
      </c>
      <c r="D96" s="202">
        <f t="shared" si="4"/>
        <v>0</v>
      </c>
      <c r="E96" s="202">
        <f t="shared" si="5"/>
        <v>0</v>
      </c>
      <c r="F96" s="201"/>
      <c r="G96" s="196"/>
      <c r="H96" s="190"/>
      <c r="I96" s="196"/>
    </row>
    <row r="97" spans="1:9">
      <c r="A97" s="242">
        <v>42</v>
      </c>
      <c r="B97" s="202">
        <f t="shared" si="2"/>
        <v>0</v>
      </c>
      <c r="C97" s="202">
        <f t="shared" si="3"/>
        <v>0</v>
      </c>
      <c r="D97" s="202">
        <f t="shared" si="4"/>
        <v>0</v>
      </c>
      <c r="E97" s="202">
        <f t="shared" si="5"/>
        <v>0</v>
      </c>
      <c r="F97" s="201"/>
      <c r="G97" s="243"/>
      <c r="H97" s="210"/>
      <c r="I97" s="196"/>
    </row>
    <row r="98" spans="1:9">
      <c r="A98" s="242">
        <v>43</v>
      </c>
      <c r="B98" s="202">
        <f t="shared" si="2"/>
        <v>0</v>
      </c>
      <c r="C98" s="202">
        <f t="shared" si="3"/>
        <v>0</v>
      </c>
      <c r="D98" s="202">
        <f t="shared" si="4"/>
        <v>0</v>
      </c>
      <c r="E98" s="202">
        <f t="shared" si="5"/>
        <v>0</v>
      </c>
      <c r="F98" s="201"/>
      <c r="G98" s="196"/>
      <c r="H98" s="190"/>
      <c r="I98" s="196"/>
    </row>
    <row r="99" spans="1:9">
      <c r="A99" s="242">
        <v>44</v>
      </c>
      <c r="B99" s="202">
        <f t="shared" si="2"/>
        <v>0</v>
      </c>
      <c r="C99" s="202">
        <f t="shared" si="3"/>
        <v>0</v>
      </c>
      <c r="D99" s="202">
        <f t="shared" si="4"/>
        <v>0</v>
      </c>
      <c r="E99" s="202">
        <f t="shared" si="5"/>
        <v>0</v>
      </c>
      <c r="F99" s="201"/>
      <c r="G99" s="196"/>
      <c r="H99" s="190"/>
      <c r="I99" s="196"/>
    </row>
    <row r="100" spans="1:9">
      <c r="A100" s="242">
        <v>45</v>
      </c>
      <c r="B100" s="202">
        <f t="shared" si="2"/>
        <v>0</v>
      </c>
      <c r="C100" s="202">
        <f t="shared" si="3"/>
        <v>0</v>
      </c>
      <c r="D100" s="202">
        <f t="shared" si="4"/>
        <v>0</v>
      </c>
      <c r="E100" s="202">
        <f t="shared" si="5"/>
        <v>0</v>
      </c>
      <c r="F100" s="201"/>
      <c r="G100" s="196"/>
      <c r="H100" s="190"/>
      <c r="I100" s="196"/>
    </row>
    <row r="101" spans="1:9">
      <c r="A101" s="242">
        <v>46</v>
      </c>
      <c r="B101" s="202">
        <f t="shared" si="2"/>
        <v>0</v>
      </c>
      <c r="C101" s="202">
        <f t="shared" si="3"/>
        <v>0</v>
      </c>
      <c r="D101" s="202">
        <f t="shared" si="4"/>
        <v>0</v>
      </c>
      <c r="E101" s="202">
        <f t="shared" si="5"/>
        <v>0</v>
      </c>
      <c r="F101" s="201"/>
      <c r="G101" s="196"/>
      <c r="H101" s="190"/>
      <c r="I101" s="196"/>
    </row>
    <row r="102" spans="1:9">
      <c r="A102" s="242">
        <v>47</v>
      </c>
      <c r="B102" s="202">
        <f t="shared" si="2"/>
        <v>0</v>
      </c>
      <c r="C102" s="202">
        <f t="shared" si="3"/>
        <v>0</v>
      </c>
      <c r="D102" s="202">
        <f t="shared" si="4"/>
        <v>0</v>
      </c>
      <c r="E102" s="202">
        <f t="shared" si="5"/>
        <v>0</v>
      </c>
      <c r="F102" s="201"/>
      <c r="G102" s="196"/>
      <c r="H102" s="190"/>
      <c r="I102" s="196"/>
    </row>
    <row r="103" spans="1:9">
      <c r="A103" s="242">
        <v>48</v>
      </c>
      <c r="B103" s="202">
        <f t="shared" si="2"/>
        <v>0</v>
      </c>
      <c r="C103" s="202">
        <f t="shared" si="3"/>
        <v>0</v>
      </c>
      <c r="D103" s="202">
        <f t="shared" si="4"/>
        <v>0</v>
      </c>
      <c r="E103" s="202">
        <f t="shared" si="5"/>
        <v>0</v>
      </c>
      <c r="F103" s="201">
        <v>4</v>
      </c>
      <c r="G103" s="243"/>
      <c r="H103" s="210"/>
      <c r="I103" s="243"/>
    </row>
    <row r="104" spans="1:9">
      <c r="A104" s="242">
        <v>49</v>
      </c>
      <c r="B104" s="202">
        <f t="shared" si="2"/>
        <v>0</v>
      </c>
      <c r="C104" s="202">
        <f t="shared" si="3"/>
        <v>0</v>
      </c>
      <c r="D104" s="202">
        <f t="shared" si="4"/>
        <v>0</v>
      </c>
      <c r="E104" s="202">
        <f t="shared" si="5"/>
        <v>0</v>
      </c>
      <c r="F104" s="201"/>
      <c r="G104" s="196"/>
      <c r="H104" s="190"/>
      <c r="I104" s="243"/>
    </row>
    <row r="105" spans="1:9">
      <c r="A105" s="242">
        <v>50</v>
      </c>
      <c r="B105" s="202">
        <f t="shared" si="2"/>
        <v>0</v>
      </c>
      <c r="C105" s="202">
        <f t="shared" si="3"/>
        <v>0</v>
      </c>
      <c r="D105" s="202">
        <f t="shared" si="4"/>
        <v>0</v>
      </c>
      <c r="E105" s="202">
        <f t="shared" si="5"/>
        <v>0</v>
      </c>
      <c r="F105" s="201"/>
      <c r="G105" s="196"/>
      <c r="H105" s="190"/>
      <c r="I105" s="196"/>
    </row>
    <row r="106" spans="1:9">
      <c r="A106" s="242">
        <v>51</v>
      </c>
      <c r="B106" s="202">
        <f t="shared" si="2"/>
        <v>0</v>
      </c>
      <c r="C106" s="202">
        <f t="shared" si="3"/>
        <v>0</v>
      </c>
      <c r="D106" s="202">
        <f t="shared" si="4"/>
        <v>0</v>
      </c>
      <c r="E106" s="202">
        <f t="shared" si="5"/>
        <v>0</v>
      </c>
      <c r="F106" s="201"/>
      <c r="G106" s="196"/>
      <c r="H106" s="190"/>
      <c r="I106" s="196"/>
    </row>
    <row r="107" spans="1:9">
      <c r="A107" s="242">
        <v>52</v>
      </c>
      <c r="B107" s="202">
        <f t="shared" si="2"/>
        <v>0</v>
      </c>
      <c r="C107" s="202">
        <f t="shared" si="3"/>
        <v>0</v>
      </c>
      <c r="D107" s="202">
        <f t="shared" si="4"/>
        <v>0</v>
      </c>
      <c r="E107" s="202">
        <f t="shared" si="5"/>
        <v>0</v>
      </c>
      <c r="F107" s="201"/>
      <c r="G107" s="196"/>
      <c r="H107" s="190"/>
      <c r="I107" s="196"/>
    </row>
    <row r="108" spans="1:9">
      <c r="A108" s="242">
        <v>53</v>
      </c>
      <c r="B108" s="202">
        <f t="shared" si="2"/>
        <v>0</v>
      </c>
      <c r="C108" s="202">
        <f t="shared" si="3"/>
        <v>0</v>
      </c>
      <c r="D108" s="202">
        <f t="shared" si="4"/>
        <v>0</v>
      </c>
      <c r="E108" s="202">
        <f t="shared" si="5"/>
        <v>0</v>
      </c>
      <c r="F108" s="201"/>
      <c r="G108" s="196"/>
      <c r="H108" s="190"/>
      <c r="I108" s="196"/>
    </row>
    <row r="109" spans="1:9">
      <c r="A109" s="242">
        <v>54</v>
      </c>
      <c r="B109" s="202">
        <f t="shared" si="2"/>
        <v>0</v>
      </c>
      <c r="C109" s="202">
        <f t="shared" si="3"/>
        <v>0</v>
      </c>
      <c r="D109" s="202">
        <f t="shared" si="4"/>
        <v>0</v>
      </c>
      <c r="E109" s="202">
        <f t="shared" si="5"/>
        <v>0</v>
      </c>
      <c r="F109" s="201"/>
      <c r="G109" s="243"/>
      <c r="H109" s="210"/>
      <c r="I109" s="196"/>
    </row>
    <row r="110" spans="1:9">
      <c r="A110" s="242">
        <v>55</v>
      </c>
      <c r="B110" s="202">
        <f t="shared" si="2"/>
        <v>0</v>
      </c>
      <c r="C110" s="202">
        <f t="shared" si="3"/>
        <v>0</v>
      </c>
      <c r="D110" s="202">
        <f t="shared" si="4"/>
        <v>0</v>
      </c>
      <c r="E110" s="202">
        <f t="shared" si="5"/>
        <v>0</v>
      </c>
      <c r="F110" s="201"/>
      <c r="G110" s="196"/>
      <c r="H110" s="190"/>
      <c r="I110" s="196"/>
    </row>
    <row r="111" spans="1:9">
      <c r="A111" s="242">
        <v>56</v>
      </c>
      <c r="B111" s="202">
        <f t="shared" si="2"/>
        <v>0</v>
      </c>
      <c r="C111" s="202">
        <f t="shared" si="3"/>
        <v>0</v>
      </c>
      <c r="D111" s="202">
        <f t="shared" si="4"/>
        <v>0</v>
      </c>
      <c r="E111" s="202">
        <f t="shared" si="5"/>
        <v>0</v>
      </c>
      <c r="F111" s="201"/>
      <c r="G111" s="196"/>
      <c r="H111" s="190"/>
      <c r="I111" s="196"/>
    </row>
    <row r="112" spans="1:9">
      <c r="A112" s="242">
        <v>57</v>
      </c>
      <c r="B112" s="202">
        <f t="shared" si="2"/>
        <v>0</v>
      </c>
      <c r="C112" s="202">
        <f t="shared" si="3"/>
        <v>0</v>
      </c>
      <c r="D112" s="202">
        <f t="shared" si="4"/>
        <v>0</v>
      </c>
      <c r="E112" s="202">
        <f t="shared" si="5"/>
        <v>0</v>
      </c>
      <c r="F112" s="201"/>
      <c r="G112" s="196"/>
      <c r="H112" s="190"/>
      <c r="I112" s="196"/>
    </row>
    <row r="113" spans="1:9">
      <c r="A113" s="242">
        <v>58</v>
      </c>
      <c r="B113" s="202">
        <f t="shared" si="2"/>
        <v>0</v>
      </c>
      <c r="C113" s="202">
        <f t="shared" si="3"/>
        <v>0</v>
      </c>
      <c r="D113" s="202">
        <f t="shared" si="4"/>
        <v>0</v>
      </c>
      <c r="E113" s="202">
        <f t="shared" si="5"/>
        <v>0</v>
      </c>
      <c r="F113" s="201"/>
      <c r="G113" s="196"/>
      <c r="H113" s="190"/>
      <c r="I113" s="196"/>
    </row>
    <row r="114" spans="1:9">
      <c r="A114" s="242">
        <v>59</v>
      </c>
      <c r="B114" s="202">
        <f t="shared" si="2"/>
        <v>0</v>
      </c>
      <c r="C114" s="202">
        <f t="shared" si="3"/>
        <v>0</v>
      </c>
      <c r="D114" s="202">
        <f t="shared" si="4"/>
        <v>0</v>
      </c>
      <c r="E114" s="202">
        <f t="shared" si="5"/>
        <v>0</v>
      </c>
      <c r="F114" s="201"/>
      <c r="G114" s="196"/>
      <c r="H114" s="190"/>
      <c r="I114" s="196"/>
    </row>
    <row r="115" spans="1:9">
      <c r="A115" s="242">
        <v>60</v>
      </c>
      <c r="B115" s="202">
        <f t="shared" si="2"/>
        <v>0</v>
      </c>
      <c r="C115" s="202">
        <f t="shared" si="3"/>
        <v>0</v>
      </c>
      <c r="D115" s="202">
        <f t="shared" si="4"/>
        <v>0</v>
      </c>
      <c r="E115" s="202">
        <f t="shared" si="5"/>
        <v>0</v>
      </c>
      <c r="F115" s="201"/>
      <c r="G115" s="243"/>
      <c r="H115" s="210"/>
      <c r="I115" s="243"/>
    </row>
    <row r="116" spans="1:9">
      <c r="A116" s="242">
        <v>61</v>
      </c>
      <c r="B116" s="202">
        <f t="shared" si="2"/>
        <v>0</v>
      </c>
      <c r="C116" s="202">
        <f t="shared" si="3"/>
        <v>0</v>
      </c>
      <c r="D116" s="202">
        <f t="shared" si="4"/>
        <v>0</v>
      </c>
      <c r="E116" s="202">
        <f t="shared" si="5"/>
        <v>0</v>
      </c>
      <c r="F116" s="201"/>
      <c r="G116" s="196"/>
      <c r="H116" s="190"/>
      <c r="I116" s="243"/>
    </row>
    <row r="117" spans="1:9">
      <c r="A117" s="242">
        <v>62</v>
      </c>
      <c r="B117" s="202">
        <f t="shared" si="2"/>
        <v>0</v>
      </c>
      <c r="C117" s="202">
        <f t="shared" si="3"/>
        <v>0</v>
      </c>
      <c r="D117" s="202">
        <f t="shared" si="4"/>
        <v>0</v>
      </c>
      <c r="E117" s="202">
        <f t="shared" si="5"/>
        <v>0</v>
      </c>
      <c r="F117" s="201">
        <v>5</v>
      </c>
      <c r="G117" s="196"/>
      <c r="H117" s="190"/>
      <c r="I117" s="196"/>
    </row>
    <row r="118" spans="1:9">
      <c r="A118" s="242">
        <v>63</v>
      </c>
      <c r="B118" s="202">
        <f t="shared" si="2"/>
        <v>0</v>
      </c>
      <c r="C118" s="202">
        <f t="shared" si="3"/>
        <v>0</v>
      </c>
      <c r="D118" s="202">
        <f t="shared" si="4"/>
        <v>0</v>
      </c>
      <c r="E118" s="202">
        <f t="shared" si="5"/>
        <v>0</v>
      </c>
      <c r="F118" s="201"/>
      <c r="G118" s="196"/>
      <c r="H118" s="190"/>
      <c r="I118" s="196"/>
    </row>
    <row r="119" spans="1:9">
      <c r="A119" s="242">
        <v>64</v>
      </c>
      <c r="B119" s="202">
        <f t="shared" si="2"/>
        <v>0</v>
      </c>
      <c r="C119" s="202">
        <f t="shared" si="3"/>
        <v>0</v>
      </c>
      <c r="D119" s="202">
        <f t="shared" si="4"/>
        <v>0</v>
      </c>
      <c r="E119" s="202">
        <f t="shared" si="5"/>
        <v>0</v>
      </c>
      <c r="F119" s="201"/>
      <c r="G119" s="196"/>
      <c r="H119" s="190"/>
      <c r="I119" s="196"/>
    </row>
    <row r="120" spans="1:9">
      <c r="A120" s="242">
        <v>65</v>
      </c>
      <c r="B120" s="202">
        <f t="shared" ref="B120:B183" si="6">IF(A120&gt;12*$D$14,0,$D$20)</f>
        <v>0</v>
      </c>
      <c r="C120" s="202">
        <f t="shared" ref="C120:C183" si="7">IF(A120&gt;12*$D$14,0,E119*$D$10/12)</f>
        <v>0</v>
      </c>
      <c r="D120" s="202">
        <f t="shared" ref="D120:D183" si="8">IF(A120&gt;12*$D$14,0,B120-C120)</f>
        <v>0</v>
      </c>
      <c r="E120" s="202">
        <f t="shared" ref="E120:E183" si="9">IF(A120&gt;12*$D$14,0,E119-D120)</f>
        <v>0</v>
      </c>
      <c r="F120" s="201"/>
      <c r="G120" s="196"/>
      <c r="H120" s="190"/>
      <c r="I120" s="196"/>
    </row>
    <row r="121" spans="1:9">
      <c r="A121" s="242">
        <v>66</v>
      </c>
      <c r="B121" s="202">
        <f t="shared" si="6"/>
        <v>0</v>
      </c>
      <c r="C121" s="202">
        <f t="shared" si="7"/>
        <v>0</v>
      </c>
      <c r="D121" s="202">
        <f t="shared" si="8"/>
        <v>0</v>
      </c>
      <c r="E121" s="202">
        <f t="shared" si="9"/>
        <v>0</v>
      </c>
      <c r="F121" s="201"/>
      <c r="G121" s="243"/>
      <c r="H121" s="210"/>
      <c r="I121" s="196"/>
    </row>
    <row r="122" spans="1:9">
      <c r="A122" s="242">
        <v>67</v>
      </c>
      <c r="B122" s="202">
        <f t="shared" si="6"/>
        <v>0</v>
      </c>
      <c r="C122" s="202">
        <f t="shared" si="7"/>
        <v>0</v>
      </c>
      <c r="D122" s="202">
        <f t="shared" si="8"/>
        <v>0</v>
      </c>
      <c r="E122" s="202">
        <f t="shared" si="9"/>
        <v>0</v>
      </c>
      <c r="F122" s="201"/>
      <c r="G122" s="196"/>
      <c r="H122" s="190"/>
      <c r="I122" s="196"/>
    </row>
    <row r="123" spans="1:9">
      <c r="A123" s="242">
        <v>68</v>
      </c>
      <c r="B123" s="202">
        <f t="shared" si="6"/>
        <v>0</v>
      </c>
      <c r="C123" s="202">
        <f t="shared" si="7"/>
        <v>0</v>
      </c>
      <c r="D123" s="202">
        <f t="shared" si="8"/>
        <v>0</v>
      </c>
      <c r="E123" s="202">
        <f t="shared" si="9"/>
        <v>0</v>
      </c>
      <c r="F123" s="201"/>
      <c r="G123" s="196"/>
      <c r="H123" s="190"/>
      <c r="I123" s="196"/>
    </row>
    <row r="124" spans="1:9">
      <c r="A124" s="242">
        <v>69</v>
      </c>
      <c r="B124" s="202">
        <f t="shared" si="6"/>
        <v>0</v>
      </c>
      <c r="C124" s="202">
        <f t="shared" si="7"/>
        <v>0</v>
      </c>
      <c r="D124" s="202">
        <f t="shared" si="8"/>
        <v>0</v>
      </c>
      <c r="E124" s="202">
        <f t="shared" si="9"/>
        <v>0</v>
      </c>
      <c r="F124" s="201"/>
      <c r="G124" s="196"/>
      <c r="H124" s="190"/>
      <c r="I124" s="196"/>
    </row>
    <row r="125" spans="1:9">
      <c r="A125" s="242">
        <v>70</v>
      </c>
      <c r="B125" s="202">
        <f t="shared" si="6"/>
        <v>0</v>
      </c>
      <c r="C125" s="202">
        <f t="shared" si="7"/>
        <v>0</v>
      </c>
      <c r="D125" s="202">
        <f t="shared" si="8"/>
        <v>0</v>
      </c>
      <c r="E125" s="202">
        <f t="shared" si="9"/>
        <v>0</v>
      </c>
      <c r="F125" s="201"/>
      <c r="G125" s="196"/>
      <c r="H125" s="190"/>
      <c r="I125" s="196"/>
    </row>
    <row r="126" spans="1:9">
      <c r="A126" s="242">
        <v>71</v>
      </c>
      <c r="B126" s="202">
        <f t="shared" si="6"/>
        <v>0</v>
      </c>
      <c r="C126" s="202">
        <f t="shared" si="7"/>
        <v>0</v>
      </c>
      <c r="D126" s="202">
        <f t="shared" si="8"/>
        <v>0</v>
      </c>
      <c r="E126" s="202">
        <f t="shared" si="9"/>
        <v>0</v>
      </c>
      <c r="F126" s="201"/>
      <c r="G126" s="196"/>
      <c r="H126" s="190"/>
      <c r="I126" s="196"/>
    </row>
    <row r="127" spans="1:9">
      <c r="A127" s="242">
        <v>72</v>
      </c>
      <c r="B127" s="202">
        <f t="shared" si="6"/>
        <v>0</v>
      </c>
      <c r="C127" s="202">
        <f t="shared" si="7"/>
        <v>0</v>
      </c>
      <c r="D127" s="202">
        <f t="shared" si="8"/>
        <v>0</v>
      </c>
      <c r="E127" s="202">
        <f t="shared" si="9"/>
        <v>0</v>
      </c>
      <c r="F127" s="201"/>
      <c r="G127" s="243"/>
      <c r="H127" s="210"/>
      <c r="I127" s="243"/>
    </row>
    <row r="128" spans="1:9">
      <c r="A128" s="242">
        <v>73</v>
      </c>
      <c r="B128" s="202">
        <f t="shared" si="6"/>
        <v>0</v>
      </c>
      <c r="C128" s="202">
        <f t="shared" si="7"/>
        <v>0</v>
      </c>
      <c r="D128" s="202">
        <f t="shared" si="8"/>
        <v>0</v>
      </c>
      <c r="E128" s="202">
        <f t="shared" si="9"/>
        <v>0</v>
      </c>
      <c r="F128" s="201"/>
      <c r="G128" s="196"/>
      <c r="H128" s="190"/>
      <c r="I128" s="243"/>
    </row>
    <row r="129" spans="1:9">
      <c r="A129" s="242">
        <v>74</v>
      </c>
      <c r="B129" s="202">
        <f t="shared" si="6"/>
        <v>0</v>
      </c>
      <c r="C129" s="202">
        <f t="shared" si="7"/>
        <v>0</v>
      </c>
      <c r="D129" s="202">
        <f t="shared" si="8"/>
        <v>0</v>
      </c>
      <c r="E129" s="202">
        <f t="shared" si="9"/>
        <v>0</v>
      </c>
      <c r="F129" s="201">
        <v>6</v>
      </c>
      <c r="G129" s="196"/>
      <c r="H129" s="190"/>
      <c r="I129" s="196"/>
    </row>
    <row r="130" spans="1:9">
      <c r="A130" s="242">
        <v>75</v>
      </c>
      <c r="B130" s="202">
        <f t="shared" si="6"/>
        <v>0</v>
      </c>
      <c r="C130" s="202">
        <f t="shared" si="7"/>
        <v>0</v>
      </c>
      <c r="D130" s="202">
        <f t="shared" si="8"/>
        <v>0</v>
      </c>
      <c r="E130" s="202">
        <f t="shared" si="9"/>
        <v>0</v>
      </c>
      <c r="F130" s="201"/>
      <c r="G130" s="196"/>
      <c r="H130" s="190"/>
      <c r="I130" s="196"/>
    </row>
    <row r="131" spans="1:9">
      <c r="A131" s="242">
        <v>76</v>
      </c>
      <c r="B131" s="202">
        <f t="shared" si="6"/>
        <v>0</v>
      </c>
      <c r="C131" s="202">
        <f t="shared" si="7"/>
        <v>0</v>
      </c>
      <c r="D131" s="202">
        <f t="shared" si="8"/>
        <v>0</v>
      </c>
      <c r="E131" s="202">
        <f t="shared" si="9"/>
        <v>0</v>
      </c>
      <c r="F131" s="201"/>
      <c r="G131" s="196"/>
      <c r="H131" s="190"/>
      <c r="I131" s="196"/>
    </row>
    <row r="132" spans="1:9">
      <c r="A132" s="242">
        <v>77</v>
      </c>
      <c r="B132" s="202">
        <f t="shared" si="6"/>
        <v>0</v>
      </c>
      <c r="C132" s="202">
        <f t="shared" si="7"/>
        <v>0</v>
      </c>
      <c r="D132" s="202">
        <f t="shared" si="8"/>
        <v>0</v>
      </c>
      <c r="E132" s="202">
        <f t="shared" si="9"/>
        <v>0</v>
      </c>
      <c r="F132" s="201"/>
      <c r="G132" s="196"/>
      <c r="H132" s="190"/>
      <c r="I132" s="196"/>
    </row>
    <row r="133" spans="1:9">
      <c r="A133" s="242">
        <v>78</v>
      </c>
      <c r="B133" s="202">
        <f t="shared" si="6"/>
        <v>0</v>
      </c>
      <c r="C133" s="202">
        <f t="shared" si="7"/>
        <v>0</v>
      </c>
      <c r="D133" s="202">
        <f t="shared" si="8"/>
        <v>0</v>
      </c>
      <c r="E133" s="202">
        <f t="shared" si="9"/>
        <v>0</v>
      </c>
      <c r="F133" s="201"/>
      <c r="G133" s="243"/>
      <c r="H133" s="210"/>
      <c r="I133" s="196"/>
    </row>
    <row r="134" spans="1:9">
      <c r="A134" s="242">
        <v>79</v>
      </c>
      <c r="B134" s="202">
        <f t="shared" si="6"/>
        <v>0</v>
      </c>
      <c r="C134" s="202">
        <f t="shared" si="7"/>
        <v>0</v>
      </c>
      <c r="D134" s="202">
        <f t="shared" si="8"/>
        <v>0</v>
      </c>
      <c r="E134" s="202">
        <f t="shared" si="9"/>
        <v>0</v>
      </c>
      <c r="F134" s="201"/>
      <c r="G134" s="196"/>
      <c r="H134" s="190"/>
      <c r="I134" s="196"/>
    </row>
    <row r="135" spans="1:9">
      <c r="A135" s="242">
        <v>80</v>
      </c>
      <c r="B135" s="202">
        <f t="shared" si="6"/>
        <v>0</v>
      </c>
      <c r="C135" s="202">
        <f t="shared" si="7"/>
        <v>0</v>
      </c>
      <c r="D135" s="202">
        <f t="shared" si="8"/>
        <v>0</v>
      </c>
      <c r="E135" s="202">
        <f t="shared" si="9"/>
        <v>0</v>
      </c>
      <c r="F135" s="201"/>
      <c r="G135" s="196"/>
      <c r="H135" s="190"/>
      <c r="I135" s="196"/>
    </row>
    <row r="136" spans="1:9">
      <c r="A136" s="242">
        <v>81</v>
      </c>
      <c r="B136" s="202">
        <f t="shared" si="6"/>
        <v>0</v>
      </c>
      <c r="C136" s="202">
        <f t="shared" si="7"/>
        <v>0</v>
      </c>
      <c r="D136" s="202">
        <f t="shared" si="8"/>
        <v>0</v>
      </c>
      <c r="E136" s="202">
        <f t="shared" si="9"/>
        <v>0</v>
      </c>
      <c r="F136" s="201"/>
      <c r="G136" s="196"/>
      <c r="H136" s="190"/>
      <c r="I136" s="196"/>
    </row>
    <row r="137" spans="1:9">
      <c r="A137" s="242">
        <v>82</v>
      </c>
      <c r="B137" s="202">
        <f t="shared" si="6"/>
        <v>0</v>
      </c>
      <c r="C137" s="202">
        <f t="shared" si="7"/>
        <v>0</v>
      </c>
      <c r="D137" s="202">
        <f t="shared" si="8"/>
        <v>0</v>
      </c>
      <c r="E137" s="202">
        <f t="shared" si="9"/>
        <v>0</v>
      </c>
      <c r="F137" s="201"/>
      <c r="G137" s="196"/>
      <c r="H137" s="190"/>
      <c r="I137" s="196"/>
    </row>
    <row r="138" spans="1:9">
      <c r="A138" s="242">
        <v>83</v>
      </c>
      <c r="B138" s="202">
        <f t="shared" si="6"/>
        <v>0</v>
      </c>
      <c r="C138" s="202">
        <f t="shared" si="7"/>
        <v>0</v>
      </c>
      <c r="D138" s="202">
        <f t="shared" si="8"/>
        <v>0</v>
      </c>
      <c r="E138" s="202">
        <f t="shared" si="9"/>
        <v>0</v>
      </c>
      <c r="F138" s="201"/>
      <c r="G138" s="196"/>
      <c r="H138" s="190"/>
      <c r="I138" s="196"/>
    </row>
    <row r="139" spans="1:9">
      <c r="A139" s="242">
        <v>84</v>
      </c>
      <c r="B139" s="202">
        <f t="shared" si="6"/>
        <v>0</v>
      </c>
      <c r="C139" s="202">
        <f t="shared" si="7"/>
        <v>0</v>
      </c>
      <c r="D139" s="202">
        <f t="shared" si="8"/>
        <v>0</v>
      </c>
      <c r="E139" s="202">
        <f t="shared" si="9"/>
        <v>0</v>
      </c>
      <c r="F139" s="201">
        <v>7</v>
      </c>
      <c r="G139" s="243"/>
      <c r="H139" s="210"/>
      <c r="I139" s="243"/>
    </row>
    <row r="140" spans="1:9">
      <c r="A140" s="242">
        <v>85</v>
      </c>
      <c r="B140" s="202">
        <f t="shared" si="6"/>
        <v>0</v>
      </c>
      <c r="C140" s="202">
        <f t="shared" si="7"/>
        <v>0</v>
      </c>
      <c r="D140" s="202">
        <f t="shared" si="8"/>
        <v>0</v>
      </c>
      <c r="E140" s="202">
        <f t="shared" si="9"/>
        <v>0</v>
      </c>
      <c r="F140" s="201"/>
      <c r="G140" s="196"/>
      <c r="H140" s="190"/>
      <c r="I140" s="243"/>
    </row>
    <row r="141" spans="1:9">
      <c r="A141" s="242">
        <v>86</v>
      </c>
      <c r="B141" s="202">
        <f t="shared" si="6"/>
        <v>0</v>
      </c>
      <c r="C141" s="202">
        <f t="shared" si="7"/>
        <v>0</v>
      </c>
      <c r="D141" s="202">
        <f t="shared" si="8"/>
        <v>0</v>
      </c>
      <c r="E141" s="202">
        <f t="shared" si="9"/>
        <v>0</v>
      </c>
      <c r="F141" s="201"/>
      <c r="G141" s="196"/>
      <c r="H141" s="190"/>
      <c r="I141" s="196"/>
    </row>
    <row r="142" spans="1:9">
      <c r="A142" s="242">
        <v>87</v>
      </c>
      <c r="B142" s="202">
        <f t="shared" si="6"/>
        <v>0</v>
      </c>
      <c r="C142" s="202">
        <f t="shared" si="7"/>
        <v>0</v>
      </c>
      <c r="D142" s="202">
        <f t="shared" si="8"/>
        <v>0</v>
      </c>
      <c r="E142" s="202">
        <f t="shared" si="9"/>
        <v>0</v>
      </c>
      <c r="F142" s="201"/>
      <c r="G142" s="196"/>
      <c r="H142" s="190"/>
      <c r="I142" s="196"/>
    </row>
    <row r="143" spans="1:9">
      <c r="A143" s="242">
        <v>88</v>
      </c>
      <c r="B143" s="202">
        <f t="shared" si="6"/>
        <v>0</v>
      </c>
      <c r="C143" s="202">
        <f t="shared" si="7"/>
        <v>0</v>
      </c>
      <c r="D143" s="202">
        <f t="shared" si="8"/>
        <v>0</v>
      </c>
      <c r="E143" s="202">
        <f t="shared" si="9"/>
        <v>0</v>
      </c>
      <c r="F143" s="201"/>
      <c r="G143" s="196"/>
      <c r="H143" s="190"/>
      <c r="I143" s="196"/>
    </row>
    <row r="144" spans="1:9">
      <c r="A144" s="242">
        <v>89</v>
      </c>
      <c r="B144" s="202">
        <f t="shared" si="6"/>
        <v>0</v>
      </c>
      <c r="C144" s="202">
        <f t="shared" si="7"/>
        <v>0</v>
      </c>
      <c r="D144" s="202">
        <f t="shared" si="8"/>
        <v>0</v>
      </c>
      <c r="E144" s="202">
        <f t="shared" si="9"/>
        <v>0</v>
      </c>
      <c r="F144" s="201"/>
      <c r="G144" s="196"/>
      <c r="H144" s="190"/>
      <c r="I144" s="196"/>
    </row>
    <row r="145" spans="1:9">
      <c r="A145" s="242">
        <v>90</v>
      </c>
      <c r="B145" s="202">
        <f t="shared" si="6"/>
        <v>0</v>
      </c>
      <c r="C145" s="202">
        <f t="shared" si="7"/>
        <v>0</v>
      </c>
      <c r="D145" s="202">
        <f t="shared" si="8"/>
        <v>0</v>
      </c>
      <c r="E145" s="202">
        <f t="shared" si="9"/>
        <v>0</v>
      </c>
      <c r="F145" s="201"/>
      <c r="G145" s="243"/>
      <c r="H145" s="210"/>
      <c r="I145" s="196"/>
    </row>
    <row r="146" spans="1:9">
      <c r="A146" s="242">
        <v>91</v>
      </c>
      <c r="B146" s="202">
        <f t="shared" si="6"/>
        <v>0</v>
      </c>
      <c r="C146" s="202">
        <f t="shared" si="7"/>
        <v>0</v>
      </c>
      <c r="D146" s="202">
        <f t="shared" si="8"/>
        <v>0</v>
      </c>
      <c r="E146" s="202">
        <f t="shared" si="9"/>
        <v>0</v>
      </c>
      <c r="F146" s="201"/>
      <c r="G146" s="196"/>
      <c r="H146" s="190"/>
      <c r="I146" s="196"/>
    </row>
    <row r="147" spans="1:9">
      <c r="A147" s="242">
        <v>92</v>
      </c>
      <c r="B147" s="202">
        <f t="shared" si="6"/>
        <v>0</v>
      </c>
      <c r="C147" s="202">
        <f t="shared" si="7"/>
        <v>0</v>
      </c>
      <c r="D147" s="202">
        <f t="shared" si="8"/>
        <v>0</v>
      </c>
      <c r="E147" s="202">
        <f t="shared" si="9"/>
        <v>0</v>
      </c>
      <c r="F147" s="201"/>
      <c r="G147" s="196"/>
      <c r="H147" s="190"/>
      <c r="I147" s="196"/>
    </row>
    <row r="148" spans="1:9">
      <c r="A148" s="242">
        <v>93</v>
      </c>
      <c r="B148" s="202">
        <f t="shared" si="6"/>
        <v>0</v>
      </c>
      <c r="C148" s="202">
        <f t="shared" si="7"/>
        <v>0</v>
      </c>
      <c r="D148" s="202">
        <f t="shared" si="8"/>
        <v>0</v>
      </c>
      <c r="E148" s="202">
        <f t="shared" si="9"/>
        <v>0</v>
      </c>
      <c r="F148" s="201"/>
      <c r="G148" s="196"/>
      <c r="H148" s="190"/>
      <c r="I148" s="196"/>
    </row>
    <row r="149" spans="1:9">
      <c r="A149" s="242">
        <v>94</v>
      </c>
      <c r="B149" s="202">
        <f t="shared" si="6"/>
        <v>0</v>
      </c>
      <c r="C149" s="202">
        <f t="shared" si="7"/>
        <v>0</v>
      </c>
      <c r="D149" s="202">
        <f t="shared" si="8"/>
        <v>0</v>
      </c>
      <c r="E149" s="202">
        <f t="shared" si="9"/>
        <v>0</v>
      </c>
      <c r="F149" s="201"/>
      <c r="G149" s="196"/>
      <c r="H149" s="190"/>
      <c r="I149" s="196"/>
    </row>
    <row r="150" spans="1:9">
      <c r="A150" s="242">
        <v>95</v>
      </c>
      <c r="B150" s="202">
        <f t="shared" si="6"/>
        <v>0</v>
      </c>
      <c r="C150" s="202">
        <f t="shared" si="7"/>
        <v>0</v>
      </c>
      <c r="D150" s="202">
        <f t="shared" si="8"/>
        <v>0</v>
      </c>
      <c r="E150" s="202">
        <f t="shared" si="9"/>
        <v>0</v>
      </c>
      <c r="F150" s="201"/>
      <c r="G150" s="196"/>
      <c r="H150" s="190"/>
      <c r="I150" s="196"/>
    </row>
    <row r="151" spans="1:9">
      <c r="A151" s="242">
        <v>96</v>
      </c>
      <c r="B151" s="202">
        <f t="shared" si="6"/>
        <v>0</v>
      </c>
      <c r="C151" s="202">
        <f t="shared" si="7"/>
        <v>0</v>
      </c>
      <c r="D151" s="202">
        <f t="shared" si="8"/>
        <v>0</v>
      </c>
      <c r="E151" s="202">
        <f t="shared" si="9"/>
        <v>0</v>
      </c>
      <c r="F151" s="201">
        <v>8</v>
      </c>
      <c r="G151" s="243"/>
      <c r="H151" s="210"/>
      <c r="I151" s="243"/>
    </row>
    <row r="152" spans="1:9">
      <c r="A152" s="242">
        <v>97</v>
      </c>
      <c r="B152" s="202">
        <f t="shared" si="6"/>
        <v>0</v>
      </c>
      <c r="C152" s="202">
        <f t="shared" si="7"/>
        <v>0</v>
      </c>
      <c r="D152" s="202">
        <f t="shared" si="8"/>
        <v>0</v>
      </c>
      <c r="E152" s="202">
        <f t="shared" si="9"/>
        <v>0</v>
      </c>
      <c r="F152" s="201"/>
      <c r="G152" s="196"/>
      <c r="H152" s="190"/>
      <c r="I152" s="243"/>
    </row>
    <row r="153" spans="1:9">
      <c r="A153" s="242">
        <v>98</v>
      </c>
      <c r="B153" s="202">
        <f t="shared" si="6"/>
        <v>0</v>
      </c>
      <c r="C153" s="202">
        <f t="shared" si="7"/>
        <v>0</v>
      </c>
      <c r="D153" s="202">
        <f t="shared" si="8"/>
        <v>0</v>
      </c>
      <c r="E153" s="202">
        <f t="shared" si="9"/>
        <v>0</v>
      </c>
      <c r="F153" s="201"/>
      <c r="G153" s="196"/>
      <c r="H153" s="190"/>
      <c r="I153" s="196"/>
    </row>
    <row r="154" spans="1:9">
      <c r="A154" s="242">
        <v>99</v>
      </c>
      <c r="B154" s="202">
        <f t="shared" si="6"/>
        <v>0</v>
      </c>
      <c r="C154" s="202">
        <f t="shared" si="7"/>
        <v>0</v>
      </c>
      <c r="D154" s="202">
        <f t="shared" si="8"/>
        <v>0</v>
      </c>
      <c r="E154" s="202">
        <f t="shared" si="9"/>
        <v>0</v>
      </c>
      <c r="F154" s="201"/>
      <c r="G154" s="196"/>
      <c r="H154" s="190"/>
      <c r="I154" s="196"/>
    </row>
    <row r="155" spans="1:9">
      <c r="A155" s="242">
        <v>100</v>
      </c>
      <c r="B155" s="202">
        <f t="shared" si="6"/>
        <v>0</v>
      </c>
      <c r="C155" s="202">
        <f t="shared" si="7"/>
        <v>0</v>
      </c>
      <c r="D155" s="202">
        <f t="shared" si="8"/>
        <v>0</v>
      </c>
      <c r="E155" s="202">
        <f t="shared" si="9"/>
        <v>0</v>
      </c>
      <c r="F155" s="201"/>
      <c r="G155" s="196"/>
      <c r="H155" s="190"/>
      <c r="I155" s="196"/>
    </row>
    <row r="156" spans="1:9">
      <c r="A156" s="242">
        <v>101</v>
      </c>
      <c r="B156" s="202">
        <f t="shared" si="6"/>
        <v>0</v>
      </c>
      <c r="C156" s="202">
        <f t="shared" si="7"/>
        <v>0</v>
      </c>
      <c r="D156" s="202">
        <f t="shared" si="8"/>
        <v>0</v>
      </c>
      <c r="E156" s="202">
        <f t="shared" si="9"/>
        <v>0</v>
      </c>
      <c r="F156" s="201"/>
      <c r="G156" s="196"/>
      <c r="H156" s="190"/>
      <c r="I156" s="196"/>
    </row>
    <row r="157" spans="1:9">
      <c r="A157" s="242">
        <v>102</v>
      </c>
      <c r="B157" s="202">
        <f t="shared" si="6"/>
        <v>0</v>
      </c>
      <c r="C157" s="202">
        <f t="shared" si="7"/>
        <v>0</v>
      </c>
      <c r="D157" s="202">
        <f t="shared" si="8"/>
        <v>0</v>
      </c>
      <c r="E157" s="202">
        <f t="shared" si="9"/>
        <v>0</v>
      </c>
      <c r="F157" s="201"/>
      <c r="G157" s="243"/>
      <c r="H157" s="210"/>
      <c r="I157" s="196"/>
    </row>
    <row r="158" spans="1:9">
      <c r="A158" s="242">
        <v>103</v>
      </c>
      <c r="B158" s="202">
        <f t="shared" si="6"/>
        <v>0</v>
      </c>
      <c r="C158" s="202">
        <f t="shared" si="7"/>
        <v>0</v>
      </c>
      <c r="D158" s="202">
        <f t="shared" si="8"/>
        <v>0</v>
      </c>
      <c r="E158" s="202">
        <f t="shared" si="9"/>
        <v>0</v>
      </c>
      <c r="F158" s="201"/>
      <c r="G158" s="196"/>
      <c r="H158" s="190"/>
      <c r="I158" s="196"/>
    </row>
    <row r="159" spans="1:9">
      <c r="A159" s="242">
        <v>104</v>
      </c>
      <c r="B159" s="202">
        <f t="shared" si="6"/>
        <v>0</v>
      </c>
      <c r="C159" s="202">
        <f t="shared" si="7"/>
        <v>0</v>
      </c>
      <c r="D159" s="202">
        <f t="shared" si="8"/>
        <v>0</v>
      </c>
      <c r="E159" s="202">
        <f t="shared" si="9"/>
        <v>0</v>
      </c>
      <c r="F159" s="201"/>
      <c r="G159" s="196"/>
      <c r="H159" s="190"/>
      <c r="I159" s="196"/>
    </row>
    <row r="160" spans="1:9">
      <c r="A160" s="242">
        <v>105</v>
      </c>
      <c r="B160" s="202">
        <f t="shared" si="6"/>
        <v>0</v>
      </c>
      <c r="C160" s="202">
        <f t="shared" si="7"/>
        <v>0</v>
      </c>
      <c r="D160" s="202">
        <f t="shared" si="8"/>
        <v>0</v>
      </c>
      <c r="E160" s="202">
        <f t="shared" si="9"/>
        <v>0</v>
      </c>
      <c r="F160" s="201"/>
      <c r="G160" s="196"/>
      <c r="H160" s="190"/>
      <c r="I160" s="196"/>
    </row>
    <row r="161" spans="1:9">
      <c r="A161" s="242">
        <v>106</v>
      </c>
      <c r="B161" s="202">
        <f t="shared" si="6"/>
        <v>0</v>
      </c>
      <c r="C161" s="202">
        <f t="shared" si="7"/>
        <v>0</v>
      </c>
      <c r="D161" s="202">
        <f t="shared" si="8"/>
        <v>0</v>
      </c>
      <c r="E161" s="202">
        <f t="shared" si="9"/>
        <v>0</v>
      </c>
      <c r="F161" s="201"/>
      <c r="G161" s="196"/>
      <c r="H161" s="190"/>
      <c r="I161" s="196"/>
    </row>
    <row r="162" spans="1:9">
      <c r="A162" s="242">
        <v>107</v>
      </c>
      <c r="B162" s="202">
        <f t="shared" si="6"/>
        <v>0</v>
      </c>
      <c r="C162" s="202">
        <f t="shared" si="7"/>
        <v>0</v>
      </c>
      <c r="D162" s="202">
        <f t="shared" si="8"/>
        <v>0</v>
      </c>
      <c r="E162" s="202">
        <f t="shared" si="9"/>
        <v>0</v>
      </c>
      <c r="F162" s="201"/>
      <c r="G162" s="196"/>
      <c r="H162" s="190"/>
      <c r="I162" s="196"/>
    </row>
    <row r="163" spans="1:9">
      <c r="A163" s="242">
        <v>108</v>
      </c>
      <c r="B163" s="202">
        <f t="shared" si="6"/>
        <v>0</v>
      </c>
      <c r="C163" s="202">
        <f t="shared" si="7"/>
        <v>0</v>
      </c>
      <c r="D163" s="202">
        <f t="shared" si="8"/>
        <v>0</v>
      </c>
      <c r="E163" s="202">
        <f t="shared" si="9"/>
        <v>0</v>
      </c>
      <c r="F163" s="201">
        <v>9</v>
      </c>
      <c r="G163" s="243"/>
      <c r="H163" s="210"/>
      <c r="I163" s="243"/>
    </row>
    <row r="164" spans="1:9">
      <c r="A164" s="242">
        <v>109</v>
      </c>
      <c r="B164" s="202">
        <f t="shared" si="6"/>
        <v>0</v>
      </c>
      <c r="C164" s="202">
        <f t="shared" si="7"/>
        <v>0</v>
      </c>
      <c r="D164" s="202">
        <f t="shared" si="8"/>
        <v>0</v>
      </c>
      <c r="E164" s="202">
        <f t="shared" si="9"/>
        <v>0</v>
      </c>
      <c r="F164" s="201"/>
      <c r="G164" s="196"/>
      <c r="H164" s="190"/>
      <c r="I164" s="243"/>
    </row>
    <row r="165" spans="1:9">
      <c r="A165" s="242">
        <v>110</v>
      </c>
      <c r="B165" s="202">
        <f t="shared" si="6"/>
        <v>0</v>
      </c>
      <c r="C165" s="202">
        <f t="shared" si="7"/>
        <v>0</v>
      </c>
      <c r="D165" s="202">
        <f t="shared" si="8"/>
        <v>0</v>
      </c>
      <c r="E165" s="202">
        <f t="shared" si="9"/>
        <v>0</v>
      </c>
      <c r="F165" s="201"/>
      <c r="G165" s="196"/>
      <c r="H165" s="190"/>
      <c r="I165" s="196"/>
    </row>
    <row r="166" spans="1:9">
      <c r="A166" s="242">
        <v>111</v>
      </c>
      <c r="B166" s="202">
        <f t="shared" si="6"/>
        <v>0</v>
      </c>
      <c r="C166" s="202">
        <f t="shared" si="7"/>
        <v>0</v>
      </c>
      <c r="D166" s="202">
        <f t="shared" si="8"/>
        <v>0</v>
      </c>
      <c r="E166" s="202">
        <f t="shared" si="9"/>
        <v>0</v>
      </c>
      <c r="F166" s="201"/>
      <c r="G166" s="196"/>
      <c r="H166" s="190"/>
      <c r="I166" s="196"/>
    </row>
    <row r="167" spans="1:9">
      <c r="A167" s="242">
        <v>112</v>
      </c>
      <c r="B167" s="202">
        <f t="shared" si="6"/>
        <v>0</v>
      </c>
      <c r="C167" s="202">
        <f t="shared" si="7"/>
        <v>0</v>
      </c>
      <c r="D167" s="202">
        <f t="shared" si="8"/>
        <v>0</v>
      </c>
      <c r="E167" s="202">
        <f t="shared" si="9"/>
        <v>0</v>
      </c>
      <c r="F167" s="201"/>
      <c r="G167" s="196"/>
      <c r="H167" s="190"/>
      <c r="I167" s="196"/>
    </row>
    <row r="168" spans="1:9">
      <c r="A168" s="242">
        <v>113</v>
      </c>
      <c r="B168" s="202">
        <f t="shared" si="6"/>
        <v>0</v>
      </c>
      <c r="C168" s="202">
        <f t="shared" si="7"/>
        <v>0</v>
      </c>
      <c r="D168" s="202">
        <f t="shared" si="8"/>
        <v>0</v>
      </c>
      <c r="E168" s="202">
        <f t="shared" si="9"/>
        <v>0</v>
      </c>
      <c r="F168" s="201"/>
      <c r="G168" s="196"/>
      <c r="H168" s="190"/>
      <c r="I168" s="196"/>
    </row>
    <row r="169" spans="1:9">
      <c r="A169" s="242">
        <v>114</v>
      </c>
      <c r="B169" s="202">
        <f t="shared" si="6"/>
        <v>0</v>
      </c>
      <c r="C169" s="202">
        <f t="shared" si="7"/>
        <v>0</v>
      </c>
      <c r="D169" s="202">
        <f t="shared" si="8"/>
        <v>0</v>
      </c>
      <c r="E169" s="202">
        <f t="shared" si="9"/>
        <v>0</v>
      </c>
      <c r="F169" s="201"/>
      <c r="G169" s="243"/>
      <c r="H169" s="210"/>
      <c r="I169" s="196"/>
    </row>
    <row r="170" spans="1:9">
      <c r="A170" s="242">
        <v>115</v>
      </c>
      <c r="B170" s="202">
        <f t="shared" si="6"/>
        <v>0</v>
      </c>
      <c r="C170" s="202">
        <f t="shared" si="7"/>
        <v>0</v>
      </c>
      <c r="D170" s="202">
        <f t="shared" si="8"/>
        <v>0</v>
      </c>
      <c r="E170" s="202">
        <f t="shared" si="9"/>
        <v>0</v>
      </c>
      <c r="F170" s="201"/>
      <c r="G170" s="196"/>
      <c r="H170" s="190"/>
      <c r="I170" s="196"/>
    </row>
    <row r="171" spans="1:9">
      <c r="A171" s="242">
        <v>116</v>
      </c>
      <c r="B171" s="202">
        <f t="shared" si="6"/>
        <v>0</v>
      </c>
      <c r="C171" s="202">
        <f t="shared" si="7"/>
        <v>0</v>
      </c>
      <c r="D171" s="202">
        <f t="shared" si="8"/>
        <v>0</v>
      </c>
      <c r="E171" s="202">
        <f t="shared" si="9"/>
        <v>0</v>
      </c>
      <c r="F171" s="201"/>
      <c r="G171" s="196"/>
      <c r="H171" s="190"/>
      <c r="I171" s="196"/>
    </row>
    <row r="172" spans="1:9">
      <c r="A172" s="242">
        <v>117</v>
      </c>
      <c r="B172" s="202">
        <f t="shared" si="6"/>
        <v>0</v>
      </c>
      <c r="C172" s="202">
        <f t="shared" si="7"/>
        <v>0</v>
      </c>
      <c r="D172" s="202">
        <f t="shared" si="8"/>
        <v>0</v>
      </c>
      <c r="E172" s="202">
        <f t="shared" si="9"/>
        <v>0</v>
      </c>
      <c r="F172" s="201"/>
      <c r="G172" s="196"/>
      <c r="H172" s="190"/>
      <c r="I172" s="196"/>
    </row>
    <row r="173" spans="1:9">
      <c r="A173" s="242">
        <v>118</v>
      </c>
      <c r="B173" s="202">
        <f t="shared" si="6"/>
        <v>0</v>
      </c>
      <c r="C173" s="202">
        <f t="shared" si="7"/>
        <v>0</v>
      </c>
      <c r="D173" s="202">
        <f t="shared" si="8"/>
        <v>0</v>
      </c>
      <c r="E173" s="202">
        <f t="shared" si="9"/>
        <v>0</v>
      </c>
      <c r="F173" s="201"/>
      <c r="G173" s="196"/>
      <c r="H173" s="190"/>
      <c r="I173" s="196"/>
    </row>
    <row r="174" spans="1:9">
      <c r="A174" s="242">
        <v>119</v>
      </c>
      <c r="B174" s="202">
        <f t="shared" si="6"/>
        <v>0</v>
      </c>
      <c r="C174" s="202">
        <f t="shared" si="7"/>
        <v>0</v>
      </c>
      <c r="D174" s="202">
        <f t="shared" si="8"/>
        <v>0</v>
      </c>
      <c r="E174" s="202">
        <f t="shared" si="9"/>
        <v>0</v>
      </c>
      <c r="F174" s="201"/>
      <c r="G174" s="196"/>
      <c r="H174" s="190"/>
      <c r="I174" s="196"/>
    </row>
    <row r="175" spans="1:9">
      <c r="A175" s="242">
        <v>120</v>
      </c>
      <c r="B175" s="202">
        <f t="shared" si="6"/>
        <v>0</v>
      </c>
      <c r="C175" s="202">
        <f t="shared" si="7"/>
        <v>0</v>
      </c>
      <c r="D175" s="202">
        <f t="shared" si="8"/>
        <v>0</v>
      </c>
      <c r="E175" s="202">
        <f t="shared" si="9"/>
        <v>0</v>
      </c>
      <c r="F175" s="201">
        <v>10</v>
      </c>
      <c r="G175" s="243"/>
      <c r="H175" s="210"/>
      <c r="I175" s="243"/>
    </row>
    <row r="176" spans="1:9">
      <c r="A176" s="242">
        <v>121</v>
      </c>
      <c r="B176" s="202">
        <f t="shared" si="6"/>
        <v>0</v>
      </c>
      <c r="C176" s="202">
        <f t="shared" si="7"/>
        <v>0</v>
      </c>
      <c r="D176" s="202">
        <f t="shared" si="8"/>
        <v>0</v>
      </c>
      <c r="E176" s="202">
        <f t="shared" si="9"/>
        <v>0</v>
      </c>
      <c r="F176" s="201"/>
      <c r="G176" s="196"/>
      <c r="H176" s="190"/>
      <c r="I176" s="243"/>
    </row>
    <row r="177" spans="1:9">
      <c r="A177" s="242">
        <v>122</v>
      </c>
      <c r="B177" s="202">
        <f t="shared" si="6"/>
        <v>0</v>
      </c>
      <c r="C177" s="202">
        <f t="shared" si="7"/>
        <v>0</v>
      </c>
      <c r="D177" s="202">
        <f t="shared" si="8"/>
        <v>0</v>
      </c>
      <c r="E177" s="202">
        <f t="shared" si="9"/>
        <v>0</v>
      </c>
      <c r="F177" s="201"/>
      <c r="G177" s="196"/>
      <c r="H177" s="190"/>
      <c r="I177" s="196"/>
    </row>
    <row r="178" spans="1:9">
      <c r="A178" s="242">
        <v>123</v>
      </c>
      <c r="B178" s="202">
        <f t="shared" si="6"/>
        <v>0</v>
      </c>
      <c r="C178" s="202">
        <f t="shared" si="7"/>
        <v>0</v>
      </c>
      <c r="D178" s="202">
        <f t="shared" si="8"/>
        <v>0</v>
      </c>
      <c r="E178" s="202">
        <f t="shared" si="9"/>
        <v>0</v>
      </c>
      <c r="F178" s="201"/>
      <c r="G178" s="196"/>
      <c r="H178" s="190"/>
      <c r="I178" s="196"/>
    </row>
    <row r="179" spans="1:9">
      <c r="A179" s="242">
        <v>124</v>
      </c>
      <c r="B179" s="202">
        <f t="shared" si="6"/>
        <v>0</v>
      </c>
      <c r="C179" s="202">
        <f t="shared" si="7"/>
        <v>0</v>
      </c>
      <c r="D179" s="202">
        <f t="shared" si="8"/>
        <v>0</v>
      </c>
      <c r="E179" s="202">
        <f t="shared" si="9"/>
        <v>0</v>
      </c>
      <c r="F179" s="201"/>
      <c r="G179" s="196"/>
      <c r="H179" s="190"/>
      <c r="I179" s="196"/>
    </row>
    <row r="180" spans="1:9">
      <c r="A180" s="242">
        <v>125</v>
      </c>
      <c r="B180" s="202">
        <f t="shared" si="6"/>
        <v>0</v>
      </c>
      <c r="C180" s="202">
        <f t="shared" si="7"/>
        <v>0</v>
      </c>
      <c r="D180" s="202">
        <f t="shared" si="8"/>
        <v>0</v>
      </c>
      <c r="E180" s="202">
        <f t="shared" si="9"/>
        <v>0</v>
      </c>
      <c r="F180" s="201"/>
      <c r="G180" s="196"/>
      <c r="H180" s="190"/>
      <c r="I180" s="196"/>
    </row>
    <row r="181" spans="1:9">
      <c r="A181" s="242">
        <v>126</v>
      </c>
      <c r="B181" s="202">
        <f t="shared" si="6"/>
        <v>0</v>
      </c>
      <c r="C181" s="202">
        <f t="shared" si="7"/>
        <v>0</v>
      </c>
      <c r="D181" s="202">
        <f t="shared" si="8"/>
        <v>0</v>
      </c>
      <c r="E181" s="202">
        <f t="shared" si="9"/>
        <v>0</v>
      </c>
      <c r="F181" s="201"/>
      <c r="G181" s="243"/>
      <c r="H181" s="210"/>
      <c r="I181" s="196"/>
    </row>
    <row r="182" spans="1:9">
      <c r="A182" s="242">
        <v>127</v>
      </c>
      <c r="B182" s="202">
        <f t="shared" si="6"/>
        <v>0</v>
      </c>
      <c r="C182" s="202">
        <f t="shared" si="7"/>
        <v>0</v>
      </c>
      <c r="D182" s="202">
        <f t="shared" si="8"/>
        <v>0</v>
      </c>
      <c r="E182" s="202">
        <f t="shared" si="9"/>
        <v>0</v>
      </c>
      <c r="F182" s="201"/>
      <c r="G182" s="196"/>
      <c r="H182" s="190"/>
      <c r="I182" s="196"/>
    </row>
    <row r="183" spans="1:9">
      <c r="A183" s="242">
        <v>128</v>
      </c>
      <c r="B183" s="202">
        <f t="shared" si="6"/>
        <v>0</v>
      </c>
      <c r="C183" s="202">
        <f t="shared" si="7"/>
        <v>0</v>
      </c>
      <c r="D183" s="202">
        <f t="shared" si="8"/>
        <v>0</v>
      </c>
      <c r="E183" s="202">
        <f t="shared" si="9"/>
        <v>0</v>
      </c>
      <c r="F183" s="201"/>
      <c r="G183" s="196"/>
      <c r="H183" s="190"/>
      <c r="I183" s="196"/>
    </row>
    <row r="184" spans="1:9">
      <c r="A184" s="242">
        <v>129</v>
      </c>
      <c r="B184" s="202">
        <f t="shared" ref="B184:B247" si="10">IF(A184&gt;12*$D$14,0,$D$20)</f>
        <v>0</v>
      </c>
      <c r="C184" s="202">
        <f t="shared" ref="C184:C247" si="11">IF(A184&gt;12*$D$14,0,E183*$D$10/12)</f>
        <v>0</v>
      </c>
      <c r="D184" s="202">
        <f t="shared" ref="D184:D247" si="12">IF(A184&gt;12*$D$14,0,B184-C184)</f>
        <v>0</v>
      </c>
      <c r="E184" s="202">
        <f t="shared" ref="E184:E247" si="13">IF(A184&gt;12*$D$14,0,E183-D184)</f>
        <v>0</v>
      </c>
      <c r="F184" s="201"/>
      <c r="G184" s="196"/>
      <c r="H184" s="190"/>
      <c r="I184" s="196"/>
    </row>
    <row r="185" spans="1:9">
      <c r="A185" s="242">
        <v>130</v>
      </c>
      <c r="B185" s="202">
        <f t="shared" si="10"/>
        <v>0</v>
      </c>
      <c r="C185" s="202">
        <f t="shared" si="11"/>
        <v>0</v>
      </c>
      <c r="D185" s="202">
        <f t="shared" si="12"/>
        <v>0</v>
      </c>
      <c r="E185" s="202">
        <f t="shared" si="13"/>
        <v>0</v>
      </c>
      <c r="F185" s="201"/>
      <c r="G185" s="196"/>
      <c r="H185" s="190"/>
      <c r="I185" s="196"/>
    </row>
    <row r="186" spans="1:9">
      <c r="A186" s="242">
        <v>131</v>
      </c>
      <c r="B186" s="202">
        <f t="shared" si="10"/>
        <v>0</v>
      </c>
      <c r="C186" s="202">
        <f t="shared" si="11"/>
        <v>0</v>
      </c>
      <c r="D186" s="202">
        <f t="shared" si="12"/>
        <v>0</v>
      </c>
      <c r="E186" s="202">
        <f t="shared" si="13"/>
        <v>0</v>
      </c>
      <c r="F186" s="201"/>
      <c r="G186" s="196"/>
      <c r="H186" s="190"/>
      <c r="I186" s="196"/>
    </row>
    <row r="187" spans="1:9">
      <c r="A187" s="242">
        <v>132</v>
      </c>
      <c r="B187" s="202">
        <f t="shared" si="10"/>
        <v>0</v>
      </c>
      <c r="C187" s="202">
        <f t="shared" si="11"/>
        <v>0</v>
      </c>
      <c r="D187" s="202">
        <f t="shared" si="12"/>
        <v>0</v>
      </c>
      <c r="E187" s="202">
        <f t="shared" si="13"/>
        <v>0</v>
      </c>
      <c r="F187" s="201">
        <v>11</v>
      </c>
      <c r="G187" s="243"/>
      <c r="H187" s="210"/>
      <c r="I187" s="243"/>
    </row>
    <row r="188" spans="1:9">
      <c r="A188" s="242">
        <v>133</v>
      </c>
      <c r="B188" s="202">
        <f t="shared" si="10"/>
        <v>0</v>
      </c>
      <c r="C188" s="202">
        <f t="shared" si="11"/>
        <v>0</v>
      </c>
      <c r="D188" s="202">
        <f t="shared" si="12"/>
        <v>0</v>
      </c>
      <c r="E188" s="202">
        <f t="shared" si="13"/>
        <v>0</v>
      </c>
      <c r="F188" s="201"/>
      <c r="G188" s="196"/>
      <c r="H188" s="190"/>
      <c r="I188" s="243"/>
    </row>
    <row r="189" spans="1:9">
      <c r="A189" s="242">
        <v>134</v>
      </c>
      <c r="B189" s="202">
        <f t="shared" si="10"/>
        <v>0</v>
      </c>
      <c r="C189" s="202">
        <f t="shared" si="11"/>
        <v>0</v>
      </c>
      <c r="D189" s="202">
        <f t="shared" si="12"/>
        <v>0</v>
      </c>
      <c r="E189" s="202">
        <f t="shared" si="13"/>
        <v>0</v>
      </c>
      <c r="F189" s="201"/>
      <c r="G189" s="196"/>
      <c r="H189" s="190"/>
      <c r="I189" s="196"/>
    </row>
    <row r="190" spans="1:9">
      <c r="A190" s="242">
        <v>135</v>
      </c>
      <c r="B190" s="202">
        <f t="shared" si="10"/>
        <v>0</v>
      </c>
      <c r="C190" s="202">
        <f t="shared" si="11"/>
        <v>0</v>
      </c>
      <c r="D190" s="202">
        <f t="shared" si="12"/>
        <v>0</v>
      </c>
      <c r="E190" s="202">
        <f t="shared" si="13"/>
        <v>0</v>
      </c>
      <c r="F190" s="201"/>
      <c r="G190" s="196"/>
      <c r="H190" s="190"/>
      <c r="I190" s="196"/>
    </row>
    <row r="191" spans="1:9">
      <c r="A191" s="242">
        <v>136</v>
      </c>
      <c r="B191" s="202">
        <f t="shared" si="10"/>
        <v>0</v>
      </c>
      <c r="C191" s="202">
        <f t="shared" si="11"/>
        <v>0</v>
      </c>
      <c r="D191" s="202">
        <f t="shared" si="12"/>
        <v>0</v>
      </c>
      <c r="E191" s="202">
        <f t="shared" si="13"/>
        <v>0</v>
      </c>
      <c r="F191" s="201"/>
      <c r="G191" s="196"/>
      <c r="H191" s="190"/>
      <c r="I191" s="196"/>
    </row>
    <row r="192" spans="1:9">
      <c r="A192" s="242">
        <v>137</v>
      </c>
      <c r="B192" s="202">
        <f t="shared" si="10"/>
        <v>0</v>
      </c>
      <c r="C192" s="202">
        <f t="shared" si="11"/>
        <v>0</v>
      </c>
      <c r="D192" s="202">
        <f t="shared" si="12"/>
        <v>0</v>
      </c>
      <c r="E192" s="202">
        <f t="shared" si="13"/>
        <v>0</v>
      </c>
      <c r="F192" s="201"/>
      <c r="G192" s="196"/>
      <c r="H192" s="190"/>
      <c r="I192" s="196"/>
    </row>
    <row r="193" spans="1:9">
      <c r="A193" s="242">
        <v>138</v>
      </c>
      <c r="B193" s="202">
        <f t="shared" si="10"/>
        <v>0</v>
      </c>
      <c r="C193" s="202">
        <f t="shared" si="11"/>
        <v>0</v>
      </c>
      <c r="D193" s="202">
        <f t="shared" si="12"/>
        <v>0</v>
      </c>
      <c r="E193" s="202">
        <f t="shared" si="13"/>
        <v>0</v>
      </c>
      <c r="F193" s="201"/>
      <c r="G193" s="243"/>
      <c r="H193" s="210"/>
      <c r="I193" s="196"/>
    </row>
    <row r="194" spans="1:9">
      <c r="A194" s="242">
        <v>139</v>
      </c>
      <c r="B194" s="202">
        <f t="shared" si="10"/>
        <v>0</v>
      </c>
      <c r="C194" s="202">
        <f t="shared" si="11"/>
        <v>0</v>
      </c>
      <c r="D194" s="202">
        <f t="shared" si="12"/>
        <v>0</v>
      </c>
      <c r="E194" s="202">
        <f t="shared" si="13"/>
        <v>0</v>
      </c>
      <c r="F194" s="201"/>
      <c r="G194" s="196"/>
      <c r="H194" s="190"/>
      <c r="I194" s="196"/>
    </row>
    <row r="195" spans="1:9">
      <c r="A195" s="242">
        <v>140</v>
      </c>
      <c r="B195" s="202">
        <f t="shared" si="10"/>
        <v>0</v>
      </c>
      <c r="C195" s="202">
        <f t="shared" si="11"/>
        <v>0</v>
      </c>
      <c r="D195" s="202">
        <f t="shared" si="12"/>
        <v>0</v>
      </c>
      <c r="E195" s="202">
        <f t="shared" si="13"/>
        <v>0</v>
      </c>
      <c r="F195" s="201"/>
      <c r="G195" s="196"/>
      <c r="H195" s="190"/>
      <c r="I195" s="196"/>
    </row>
    <row r="196" spans="1:9">
      <c r="A196" s="242">
        <v>141</v>
      </c>
      <c r="B196" s="202">
        <f t="shared" si="10"/>
        <v>0</v>
      </c>
      <c r="C196" s="202">
        <f t="shared" si="11"/>
        <v>0</v>
      </c>
      <c r="D196" s="202">
        <f t="shared" si="12"/>
        <v>0</v>
      </c>
      <c r="E196" s="202">
        <f t="shared" si="13"/>
        <v>0</v>
      </c>
      <c r="F196" s="201"/>
      <c r="G196" s="196"/>
      <c r="H196" s="190"/>
      <c r="I196" s="196"/>
    </row>
    <row r="197" spans="1:9">
      <c r="A197" s="242">
        <v>142</v>
      </c>
      <c r="B197" s="202">
        <f t="shared" si="10"/>
        <v>0</v>
      </c>
      <c r="C197" s="202">
        <f t="shared" si="11"/>
        <v>0</v>
      </c>
      <c r="D197" s="202">
        <f t="shared" si="12"/>
        <v>0</v>
      </c>
      <c r="E197" s="202">
        <f t="shared" si="13"/>
        <v>0</v>
      </c>
      <c r="F197" s="201"/>
      <c r="G197" s="196"/>
      <c r="H197" s="190"/>
      <c r="I197" s="196"/>
    </row>
    <row r="198" spans="1:9">
      <c r="A198" s="242">
        <v>143</v>
      </c>
      <c r="B198" s="202">
        <f t="shared" si="10"/>
        <v>0</v>
      </c>
      <c r="C198" s="202">
        <f t="shared" si="11"/>
        <v>0</v>
      </c>
      <c r="D198" s="202">
        <f t="shared" si="12"/>
        <v>0</v>
      </c>
      <c r="E198" s="202">
        <f t="shared" si="13"/>
        <v>0</v>
      </c>
      <c r="F198" s="201"/>
      <c r="G198" s="196"/>
      <c r="H198" s="190"/>
      <c r="I198" s="196"/>
    </row>
    <row r="199" spans="1:9">
      <c r="A199" s="244">
        <v>144</v>
      </c>
      <c r="B199" s="202">
        <f t="shared" si="10"/>
        <v>0</v>
      </c>
      <c r="C199" s="202">
        <f t="shared" si="11"/>
        <v>0</v>
      </c>
      <c r="D199" s="202">
        <f t="shared" si="12"/>
        <v>0</v>
      </c>
      <c r="E199" s="202">
        <f t="shared" si="13"/>
        <v>0</v>
      </c>
      <c r="F199" s="203">
        <v>12</v>
      </c>
      <c r="G199" s="243"/>
      <c r="H199" s="210"/>
      <c r="I199" s="243"/>
    </row>
    <row r="200" spans="1:9">
      <c r="A200" s="242">
        <v>145</v>
      </c>
      <c r="B200" s="202">
        <f t="shared" si="10"/>
        <v>0</v>
      </c>
      <c r="C200" s="202">
        <f t="shared" si="11"/>
        <v>0</v>
      </c>
      <c r="D200" s="202">
        <f t="shared" si="12"/>
        <v>0</v>
      </c>
      <c r="E200" s="202">
        <f t="shared" si="13"/>
        <v>0</v>
      </c>
      <c r="F200" s="201"/>
      <c r="G200" s="196"/>
      <c r="H200" s="190"/>
      <c r="I200" s="243"/>
    </row>
    <row r="201" spans="1:9">
      <c r="A201" s="242">
        <v>146</v>
      </c>
      <c r="B201" s="202">
        <f t="shared" si="10"/>
        <v>0</v>
      </c>
      <c r="C201" s="202">
        <f t="shared" si="11"/>
        <v>0</v>
      </c>
      <c r="D201" s="202">
        <f t="shared" si="12"/>
        <v>0</v>
      </c>
      <c r="E201" s="202">
        <f t="shared" si="13"/>
        <v>0</v>
      </c>
      <c r="F201" s="201"/>
      <c r="G201" s="196"/>
      <c r="H201" s="190"/>
      <c r="I201" s="196"/>
    </row>
    <row r="202" spans="1:9">
      <c r="A202" s="242">
        <v>147</v>
      </c>
      <c r="B202" s="202">
        <f t="shared" si="10"/>
        <v>0</v>
      </c>
      <c r="C202" s="202">
        <f t="shared" si="11"/>
        <v>0</v>
      </c>
      <c r="D202" s="202">
        <f t="shared" si="12"/>
        <v>0</v>
      </c>
      <c r="E202" s="202">
        <f t="shared" si="13"/>
        <v>0</v>
      </c>
      <c r="F202" s="201"/>
      <c r="G202" s="196"/>
      <c r="H202" s="190"/>
      <c r="I202" s="196"/>
    </row>
    <row r="203" spans="1:9">
      <c r="A203" s="242">
        <v>148</v>
      </c>
      <c r="B203" s="202">
        <f t="shared" si="10"/>
        <v>0</v>
      </c>
      <c r="C203" s="202">
        <f t="shared" si="11"/>
        <v>0</v>
      </c>
      <c r="D203" s="202">
        <f t="shared" si="12"/>
        <v>0</v>
      </c>
      <c r="E203" s="202">
        <f t="shared" si="13"/>
        <v>0</v>
      </c>
      <c r="F203" s="201"/>
      <c r="G203" s="196"/>
      <c r="H203" s="190"/>
      <c r="I203" s="196"/>
    </row>
    <row r="204" spans="1:9">
      <c r="A204" s="242">
        <v>149</v>
      </c>
      <c r="B204" s="202">
        <f t="shared" si="10"/>
        <v>0</v>
      </c>
      <c r="C204" s="202">
        <f t="shared" si="11"/>
        <v>0</v>
      </c>
      <c r="D204" s="202">
        <f t="shared" si="12"/>
        <v>0</v>
      </c>
      <c r="E204" s="202">
        <f t="shared" si="13"/>
        <v>0</v>
      </c>
      <c r="F204" s="201"/>
      <c r="G204" s="196"/>
      <c r="H204" s="190"/>
      <c r="I204" s="196"/>
    </row>
    <row r="205" spans="1:9">
      <c r="A205" s="242">
        <v>150</v>
      </c>
      <c r="B205" s="202">
        <f t="shared" si="10"/>
        <v>0</v>
      </c>
      <c r="C205" s="202">
        <f t="shared" si="11"/>
        <v>0</v>
      </c>
      <c r="D205" s="202">
        <f t="shared" si="12"/>
        <v>0</v>
      </c>
      <c r="E205" s="202">
        <f t="shared" si="13"/>
        <v>0</v>
      </c>
      <c r="F205" s="201"/>
      <c r="G205" s="243"/>
      <c r="H205" s="210"/>
      <c r="I205" s="196"/>
    </row>
    <row r="206" spans="1:9">
      <c r="A206" s="242">
        <v>151</v>
      </c>
      <c r="B206" s="202">
        <f t="shared" si="10"/>
        <v>0</v>
      </c>
      <c r="C206" s="202">
        <f t="shared" si="11"/>
        <v>0</v>
      </c>
      <c r="D206" s="202">
        <f t="shared" si="12"/>
        <v>0</v>
      </c>
      <c r="E206" s="202">
        <f t="shared" si="13"/>
        <v>0</v>
      </c>
      <c r="F206" s="201"/>
      <c r="G206" s="196"/>
      <c r="H206" s="190"/>
      <c r="I206" s="196"/>
    </row>
    <row r="207" spans="1:9">
      <c r="A207" s="242">
        <v>152</v>
      </c>
      <c r="B207" s="202">
        <f t="shared" si="10"/>
        <v>0</v>
      </c>
      <c r="C207" s="202">
        <f t="shared" si="11"/>
        <v>0</v>
      </c>
      <c r="D207" s="202">
        <f t="shared" si="12"/>
        <v>0</v>
      </c>
      <c r="E207" s="202">
        <f t="shared" si="13"/>
        <v>0</v>
      </c>
      <c r="F207" s="201"/>
      <c r="G207" s="196"/>
      <c r="H207" s="190"/>
      <c r="I207" s="196"/>
    </row>
    <row r="208" spans="1:9">
      <c r="A208" s="242">
        <v>153</v>
      </c>
      <c r="B208" s="202">
        <f t="shared" si="10"/>
        <v>0</v>
      </c>
      <c r="C208" s="202">
        <f t="shared" si="11"/>
        <v>0</v>
      </c>
      <c r="D208" s="202">
        <f t="shared" si="12"/>
        <v>0</v>
      </c>
      <c r="E208" s="202">
        <f t="shared" si="13"/>
        <v>0</v>
      </c>
      <c r="F208" s="201"/>
      <c r="G208" s="196"/>
      <c r="H208" s="190"/>
      <c r="I208" s="196"/>
    </row>
    <row r="209" spans="1:9">
      <c r="A209" s="242">
        <v>154</v>
      </c>
      <c r="B209" s="202">
        <f t="shared" si="10"/>
        <v>0</v>
      </c>
      <c r="C209" s="202">
        <f t="shared" si="11"/>
        <v>0</v>
      </c>
      <c r="D209" s="202">
        <f t="shared" si="12"/>
        <v>0</v>
      </c>
      <c r="E209" s="202">
        <f t="shared" si="13"/>
        <v>0</v>
      </c>
      <c r="F209" s="201"/>
      <c r="G209" s="196"/>
      <c r="H209" s="190"/>
      <c r="I209" s="196"/>
    </row>
    <row r="210" spans="1:9">
      <c r="A210" s="242">
        <v>155</v>
      </c>
      <c r="B210" s="202">
        <f t="shared" si="10"/>
        <v>0</v>
      </c>
      <c r="C210" s="202">
        <f t="shared" si="11"/>
        <v>0</v>
      </c>
      <c r="D210" s="202">
        <f t="shared" si="12"/>
        <v>0</v>
      </c>
      <c r="E210" s="202">
        <f t="shared" si="13"/>
        <v>0</v>
      </c>
      <c r="F210" s="201"/>
      <c r="G210" s="196"/>
      <c r="H210" s="190"/>
      <c r="I210" s="196"/>
    </row>
    <row r="211" spans="1:9">
      <c r="A211" s="244">
        <v>156</v>
      </c>
      <c r="B211" s="202">
        <f t="shared" si="10"/>
        <v>0</v>
      </c>
      <c r="C211" s="202">
        <f t="shared" si="11"/>
        <v>0</v>
      </c>
      <c r="D211" s="202">
        <f t="shared" si="12"/>
        <v>0</v>
      </c>
      <c r="E211" s="202">
        <f t="shared" si="13"/>
        <v>0</v>
      </c>
      <c r="F211" s="203">
        <v>13</v>
      </c>
      <c r="G211" s="243"/>
      <c r="H211" s="210"/>
      <c r="I211" s="243"/>
    </row>
    <row r="212" spans="1:9">
      <c r="A212" s="242">
        <v>157</v>
      </c>
      <c r="B212" s="202">
        <f t="shared" si="10"/>
        <v>0</v>
      </c>
      <c r="C212" s="202">
        <f t="shared" si="11"/>
        <v>0</v>
      </c>
      <c r="D212" s="202">
        <f t="shared" si="12"/>
        <v>0</v>
      </c>
      <c r="E212" s="202">
        <f t="shared" si="13"/>
        <v>0</v>
      </c>
      <c r="F212" s="201"/>
      <c r="G212" s="196"/>
      <c r="H212" s="190"/>
      <c r="I212" s="243"/>
    </row>
    <row r="213" spans="1:9">
      <c r="A213" s="242">
        <v>158</v>
      </c>
      <c r="B213" s="202">
        <f t="shared" si="10"/>
        <v>0</v>
      </c>
      <c r="C213" s="202">
        <f t="shared" si="11"/>
        <v>0</v>
      </c>
      <c r="D213" s="202">
        <f t="shared" si="12"/>
        <v>0</v>
      </c>
      <c r="E213" s="202">
        <f t="shared" si="13"/>
        <v>0</v>
      </c>
      <c r="F213" s="201"/>
      <c r="G213" s="196"/>
      <c r="H213" s="190"/>
      <c r="I213" s="196"/>
    </row>
    <row r="214" spans="1:9">
      <c r="A214" s="242">
        <v>159</v>
      </c>
      <c r="B214" s="202">
        <f t="shared" si="10"/>
        <v>0</v>
      </c>
      <c r="C214" s="202">
        <f t="shared" si="11"/>
        <v>0</v>
      </c>
      <c r="D214" s="202">
        <f t="shared" si="12"/>
        <v>0</v>
      </c>
      <c r="E214" s="202">
        <f t="shared" si="13"/>
        <v>0</v>
      </c>
      <c r="F214" s="201"/>
      <c r="G214" s="196"/>
      <c r="H214" s="190"/>
      <c r="I214" s="196"/>
    </row>
    <row r="215" spans="1:9">
      <c r="A215" s="242">
        <v>160</v>
      </c>
      <c r="B215" s="202">
        <f t="shared" si="10"/>
        <v>0</v>
      </c>
      <c r="C215" s="202">
        <f t="shared" si="11"/>
        <v>0</v>
      </c>
      <c r="D215" s="202">
        <f t="shared" si="12"/>
        <v>0</v>
      </c>
      <c r="E215" s="202">
        <f t="shared" si="13"/>
        <v>0</v>
      </c>
      <c r="F215" s="201"/>
      <c r="G215" s="196"/>
      <c r="H215" s="190"/>
      <c r="I215" s="196"/>
    </row>
    <row r="216" spans="1:9">
      <c r="A216" s="242">
        <v>161</v>
      </c>
      <c r="B216" s="202">
        <f t="shared" si="10"/>
        <v>0</v>
      </c>
      <c r="C216" s="202">
        <f t="shared" si="11"/>
        <v>0</v>
      </c>
      <c r="D216" s="202">
        <f t="shared" si="12"/>
        <v>0</v>
      </c>
      <c r="E216" s="202">
        <f t="shared" si="13"/>
        <v>0</v>
      </c>
      <c r="F216" s="201"/>
      <c r="G216" s="196"/>
      <c r="H216" s="190"/>
      <c r="I216" s="196"/>
    </row>
    <row r="217" spans="1:9">
      <c r="A217" s="242">
        <v>162</v>
      </c>
      <c r="B217" s="202">
        <f t="shared" si="10"/>
        <v>0</v>
      </c>
      <c r="C217" s="202">
        <f t="shared" si="11"/>
        <v>0</v>
      </c>
      <c r="D217" s="202">
        <f t="shared" si="12"/>
        <v>0</v>
      </c>
      <c r="E217" s="202">
        <f t="shared" si="13"/>
        <v>0</v>
      </c>
      <c r="F217" s="201"/>
      <c r="G217" s="243"/>
      <c r="H217" s="210"/>
      <c r="I217" s="196"/>
    </row>
    <row r="218" spans="1:9">
      <c r="A218" s="242">
        <v>163</v>
      </c>
      <c r="B218" s="202">
        <f t="shared" si="10"/>
        <v>0</v>
      </c>
      <c r="C218" s="202">
        <f t="shared" si="11"/>
        <v>0</v>
      </c>
      <c r="D218" s="202">
        <f t="shared" si="12"/>
        <v>0</v>
      </c>
      <c r="E218" s="202">
        <f t="shared" si="13"/>
        <v>0</v>
      </c>
      <c r="F218" s="201"/>
      <c r="G218" s="196"/>
      <c r="H218" s="190"/>
      <c r="I218" s="196"/>
    </row>
    <row r="219" spans="1:9">
      <c r="A219" s="242">
        <v>164</v>
      </c>
      <c r="B219" s="202">
        <f t="shared" si="10"/>
        <v>0</v>
      </c>
      <c r="C219" s="202">
        <f t="shared" si="11"/>
        <v>0</v>
      </c>
      <c r="D219" s="202">
        <f t="shared" si="12"/>
        <v>0</v>
      </c>
      <c r="E219" s="202">
        <f t="shared" si="13"/>
        <v>0</v>
      </c>
      <c r="F219" s="201"/>
      <c r="G219" s="196"/>
      <c r="H219" s="190"/>
      <c r="I219" s="196"/>
    </row>
    <row r="220" spans="1:9">
      <c r="A220" s="242">
        <v>165</v>
      </c>
      <c r="B220" s="202">
        <f t="shared" si="10"/>
        <v>0</v>
      </c>
      <c r="C220" s="202">
        <f t="shared" si="11"/>
        <v>0</v>
      </c>
      <c r="D220" s="202">
        <f t="shared" si="12"/>
        <v>0</v>
      </c>
      <c r="E220" s="202">
        <f t="shared" si="13"/>
        <v>0</v>
      </c>
      <c r="F220" s="201"/>
      <c r="G220" s="196"/>
      <c r="H220" s="190"/>
      <c r="I220" s="196"/>
    </row>
    <row r="221" spans="1:9">
      <c r="A221" s="242">
        <v>166</v>
      </c>
      <c r="B221" s="202">
        <f t="shared" si="10"/>
        <v>0</v>
      </c>
      <c r="C221" s="202">
        <f t="shared" si="11"/>
        <v>0</v>
      </c>
      <c r="D221" s="202">
        <f t="shared" si="12"/>
        <v>0</v>
      </c>
      <c r="E221" s="202">
        <f t="shared" si="13"/>
        <v>0</v>
      </c>
      <c r="F221" s="201"/>
      <c r="G221" s="196"/>
      <c r="H221" s="190"/>
      <c r="I221" s="196"/>
    </row>
    <row r="222" spans="1:9">
      <c r="A222" s="242">
        <v>167</v>
      </c>
      <c r="B222" s="202">
        <f t="shared" si="10"/>
        <v>0</v>
      </c>
      <c r="C222" s="202">
        <f t="shared" si="11"/>
        <v>0</v>
      </c>
      <c r="D222" s="202">
        <f t="shared" si="12"/>
        <v>0</v>
      </c>
      <c r="E222" s="202">
        <f t="shared" si="13"/>
        <v>0</v>
      </c>
      <c r="F222" s="201"/>
      <c r="G222" s="196"/>
      <c r="H222" s="190"/>
      <c r="I222" s="196"/>
    </row>
    <row r="223" spans="1:9">
      <c r="A223" s="244">
        <v>168</v>
      </c>
      <c r="B223" s="202">
        <f t="shared" si="10"/>
        <v>0</v>
      </c>
      <c r="C223" s="202">
        <f t="shared" si="11"/>
        <v>0</v>
      </c>
      <c r="D223" s="202">
        <f t="shared" si="12"/>
        <v>0</v>
      </c>
      <c r="E223" s="202">
        <f t="shared" si="13"/>
        <v>0</v>
      </c>
      <c r="F223" s="203">
        <v>14</v>
      </c>
      <c r="G223" s="243"/>
      <c r="H223" s="210"/>
      <c r="I223" s="243"/>
    </row>
    <row r="224" spans="1:9">
      <c r="A224" s="242">
        <v>169</v>
      </c>
      <c r="B224" s="202">
        <f t="shared" si="10"/>
        <v>0</v>
      </c>
      <c r="C224" s="202">
        <f t="shared" si="11"/>
        <v>0</v>
      </c>
      <c r="D224" s="202">
        <f t="shared" si="12"/>
        <v>0</v>
      </c>
      <c r="E224" s="202">
        <f t="shared" si="13"/>
        <v>0</v>
      </c>
      <c r="F224" s="201"/>
      <c r="G224" s="196"/>
      <c r="H224" s="190"/>
      <c r="I224" s="243"/>
    </row>
    <row r="225" spans="1:9">
      <c r="A225" s="242">
        <v>170</v>
      </c>
      <c r="B225" s="202">
        <f t="shared" si="10"/>
        <v>0</v>
      </c>
      <c r="C225" s="202">
        <f t="shared" si="11"/>
        <v>0</v>
      </c>
      <c r="D225" s="202">
        <f t="shared" si="12"/>
        <v>0</v>
      </c>
      <c r="E225" s="202">
        <f t="shared" si="13"/>
        <v>0</v>
      </c>
      <c r="F225" s="201"/>
      <c r="G225" s="196"/>
      <c r="H225" s="190"/>
      <c r="I225" s="196"/>
    </row>
    <row r="226" spans="1:9">
      <c r="A226" s="242">
        <v>171</v>
      </c>
      <c r="B226" s="202">
        <f t="shared" si="10"/>
        <v>0</v>
      </c>
      <c r="C226" s="202">
        <f t="shared" si="11"/>
        <v>0</v>
      </c>
      <c r="D226" s="202">
        <f t="shared" si="12"/>
        <v>0</v>
      </c>
      <c r="E226" s="202">
        <f t="shared" si="13"/>
        <v>0</v>
      </c>
      <c r="F226" s="201"/>
      <c r="G226" s="196"/>
      <c r="H226" s="190"/>
      <c r="I226" s="196"/>
    </row>
    <row r="227" spans="1:9">
      <c r="A227" s="242">
        <v>172</v>
      </c>
      <c r="B227" s="202">
        <f t="shared" si="10"/>
        <v>0</v>
      </c>
      <c r="C227" s="202">
        <f t="shared" si="11"/>
        <v>0</v>
      </c>
      <c r="D227" s="202">
        <f t="shared" si="12"/>
        <v>0</v>
      </c>
      <c r="E227" s="202">
        <f t="shared" si="13"/>
        <v>0</v>
      </c>
      <c r="F227" s="201"/>
      <c r="G227" s="196"/>
      <c r="H227" s="190"/>
      <c r="I227" s="196"/>
    </row>
    <row r="228" spans="1:9">
      <c r="A228" s="242">
        <v>173</v>
      </c>
      <c r="B228" s="202">
        <f t="shared" si="10"/>
        <v>0</v>
      </c>
      <c r="C228" s="202">
        <f t="shared" si="11"/>
        <v>0</v>
      </c>
      <c r="D228" s="202">
        <f t="shared" si="12"/>
        <v>0</v>
      </c>
      <c r="E228" s="202">
        <f t="shared" si="13"/>
        <v>0</v>
      </c>
      <c r="F228" s="201"/>
      <c r="G228" s="196"/>
      <c r="H228" s="190"/>
      <c r="I228" s="196"/>
    </row>
    <row r="229" spans="1:9">
      <c r="A229" s="242">
        <v>174</v>
      </c>
      <c r="B229" s="202">
        <f t="shared" si="10"/>
        <v>0</v>
      </c>
      <c r="C229" s="202">
        <f t="shared" si="11"/>
        <v>0</v>
      </c>
      <c r="D229" s="202">
        <f t="shared" si="12"/>
        <v>0</v>
      </c>
      <c r="E229" s="202">
        <f t="shared" si="13"/>
        <v>0</v>
      </c>
      <c r="F229" s="201"/>
      <c r="G229" s="243"/>
      <c r="H229" s="210"/>
      <c r="I229" s="196"/>
    </row>
    <row r="230" spans="1:9">
      <c r="A230" s="242">
        <v>175</v>
      </c>
      <c r="B230" s="202">
        <f t="shared" si="10"/>
        <v>0</v>
      </c>
      <c r="C230" s="202">
        <f t="shared" si="11"/>
        <v>0</v>
      </c>
      <c r="D230" s="202">
        <f t="shared" si="12"/>
        <v>0</v>
      </c>
      <c r="E230" s="202">
        <f t="shared" si="13"/>
        <v>0</v>
      </c>
      <c r="F230" s="201"/>
      <c r="G230" s="196"/>
      <c r="H230" s="190"/>
      <c r="I230" s="196"/>
    </row>
    <row r="231" spans="1:9">
      <c r="A231" s="242">
        <v>176</v>
      </c>
      <c r="B231" s="202">
        <f t="shared" si="10"/>
        <v>0</v>
      </c>
      <c r="C231" s="202">
        <f t="shared" si="11"/>
        <v>0</v>
      </c>
      <c r="D231" s="202">
        <f t="shared" si="12"/>
        <v>0</v>
      </c>
      <c r="E231" s="202">
        <f t="shared" si="13"/>
        <v>0</v>
      </c>
      <c r="F231" s="201"/>
      <c r="G231" s="196"/>
      <c r="H231" s="190"/>
      <c r="I231" s="196"/>
    </row>
    <row r="232" spans="1:9">
      <c r="A232" s="242">
        <v>177</v>
      </c>
      <c r="B232" s="202">
        <f t="shared" si="10"/>
        <v>0</v>
      </c>
      <c r="C232" s="202">
        <f t="shared" si="11"/>
        <v>0</v>
      </c>
      <c r="D232" s="202">
        <f t="shared" si="12"/>
        <v>0</v>
      </c>
      <c r="E232" s="202">
        <f t="shared" si="13"/>
        <v>0</v>
      </c>
      <c r="F232" s="201"/>
      <c r="G232" s="196"/>
      <c r="H232" s="190"/>
      <c r="I232" s="196"/>
    </row>
    <row r="233" spans="1:9">
      <c r="A233" s="242">
        <v>178</v>
      </c>
      <c r="B233" s="202">
        <f t="shared" si="10"/>
        <v>0</v>
      </c>
      <c r="C233" s="202">
        <f t="shared" si="11"/>
        <v>0</v>
      </c>
      <c r="D233" s="202">
        <f t="shared" si="12"/>
        <v>0</v>
      </c>
      <c r="E233" s="202">
        <f t="shared" si="13"/>
        <v>0</v>
      </c>
      <c r="F233" s="201"/>
      <c r="G233" s="196"/>
      <c r="H233" s="190"/>
      <c r="I233" s="196"/>
    </row>
    <row r="234" spans="1:9">
      <c r="A234" s="242">
        <v>179</v>
      </c>
      <c r="B234" s="202">
        <f t="shared" si="10"/>
        <v>0</v>
      </c>
      <c r="C234" s="202">
        <f t="shared" si="11"/>
        <v>0</v>
      </c>
      <c r="D234" s="202">
        <f t="shared" si="12"/>
        <v>0</v>
      </c>
      <c r="E234" s="202">
        <f t="shared" si="13"/>
        <v>0</v>
      </c>
      <c r="F234" s="201"/>
      <c r="G234" s="196"/>
      <c r="H234" s="190"/>
      <c r="I234" s="196"/>
    </row>
    <row r="235" spans="1:9">
      <c r="A235" s="244">
        <v>180</v>
      </c>
      <c r="B235" s="202">
        <f t="shared" si="10"/>
        <v>0</v>
      </c>
      <c r="C235" s="202">
        <f t="shared" si="11"/>
        <v>0</v>
      </c>
      <c r="D235" s="202">
        <f t="shared" si="12"/>
        <v>0</v>
      </c>
      <c r="E235" s="202">
        <f t="shared" si="13"/>
        <v>0</v>
      </c>
      <c r="F235" s="203">
        <v>15</v>
      </c>
      <c r="G235" s="243"/>
      <c r="H235" s="210"/>
      <c r="I235" s="243"/>
    </row>
    <row r="236" spans="1:9">
      <c r="A236" s="242">
        <v>181</v>
      </c>
      <c r="B236" s="202">
        <f t="shared" si="10"/>
        <v>0</v>
      </c>
      <c r="C236" s="202">
        <f t="shared" si="11"/>
        <v>0</v>
      </c>
      <c r="D236" s="202">
        <f t="shared" si="12"/>
        <v>0</v>
      </c>
      <c r="E236" s="202">
        <f t="shared" si="13"/>
        <v>0</v>
      </c>
      <c r="F236" s="201"/>
      <c r="G236" s="196"/>
      <c r="H236" s="190"/>
      <c r="I236" s="243"/>
    </row>
    <row r="237" spans="1:9">
      <c r="A237" s="244">
        <v>182</v>
      </c>
      <c r="B237" s="202">
        <f t="shared" si="10"/>
        <v>0</v>
      </c>
      <c r="C237" s="202">
        <f t="shared" si="11"/>
        <v>0</v>
      </c>
      <c r="D237" s="202">
        <f t="shared" si="12"/>
        <v>0</v>
      </c>
      <c r="E237" s="202">
        <f t="shared" si="13"/>
        <v>0</v>
      </c>
      <c r="F237" s="201"/>
      <c r="G237" s="196"/>
      <c r="H237" s="190"/>
      <c r="I237" s="196"/>
    </row>
    <row r="238" spans="1:9">
      <c r="A238" s="244">
        <v>183</v>
      </c>
      <c r="B238" s="202">
        <f t="shared" si="10"/>
        <v>0</v>
      </c>
      <c r="C238" s="202">
        <f t="shared" si="11"/>
        <v>0</v>
      </c>
      <c r="D238" s="202">
        <f t="shared" si="12"/>
        <v>0</v>
      </c>
      <c r="E238" s="202">
        <f t="shared" si="13"/>
        <v>0</v>
      </c>
      <c r="F238" s="201"/>
      <c r="G238" s="196"/>
      <c r="H238" s="190"/>
      <c r="I238" s="196"/>
    </row>
    <row r="239" spans="1:9">
      <c r="A239" s="244">
        <v>184</v>
      </c>
      <c r="B239" s="202">
        <f t="shared" si="10"/>
        <v>0</v>
      </c>
      <c r="C239" s="202">
        <f t="shared" si="11"/>
        <v>0</v>
      </c>
      <c r="D239" s="202">
        <f t="shared" si="12"/>
        <v>0</v>
      </c>
      <c r="E239" s="202">
        <f t="shared" si="13"/>
        <v>0</v>
      </c>
      <c r="F239" s="201"/>
      <c r="G239" s="196"/>
      <c r="H239" s="190"/>
      <c r="I239" s="196"/>
    </row>
    <row r="240" spans="1:9">
      <c r="A240" s="244">
        <v>185</v>
      </c>
      <c r="B240" s="202">
        <f t="shared" si="10"/>
        <v>0</v>
      </c>
      <c r="C240" s="202">
        <f t="shared" si="11"/>
        <v>0</v>
      </c>
      <c r="D240" s="202">
        <f t="shared" si="12"/>
        <v>0</v>
      </c>
      <c r="E240" s="202">
        <f t="shared" si="13"/>
        <v>0</v>
      </c>
      <c r="F240" s="201"/>
      <c r="G240" s="196"/>
      <c r="H240" s="190"/>
      <c r="I240" s="196"/>
    </row>
    <row r="241" spans="1:9">
      <c r="A241" s="244">
        <v>186</v>
      </c>
      <c r="B241" s="202">
        <f t="shared" si="10"/>
        <v>0</v>
      </c>
      <c r="C241" s="202">
        <f t="shared" si="11"/>
        <v>0</v>
      </c>
      <c r="D241" s="202">
        <f t="shared" si="12"/>
        <v>0</v>
      </c>
      <c r="E241" s="202">
        <f t="shared" si="13"/>
        <v>0</v>
      </c>
      <c r="F241" s="201"/>
      <c r="G241" s="243"/>
      <c r="H241" s="210"/>
      <c r="I241" s="196"/>
    </row>
    <row r="242" spans="1:9">
      <c r="A242" s="244">
        <v>187</v>
      </c>
      <c r="B242" s="202">
        <f t="shared" si="10"/>
        <v>0</v>
      </c>
      <c r="C242" s="202">
        <f t="shared" si="11"/>
        <v>0</v>
      </c>
      <c r="D242" s="202">
        <f t="shared" si="12"/>
        <v>0</v>
      </c>
      <c r="E242" s="202">
        <f t="shared" si="13"/>
        <v>0</v>
      </c>
      <c r="F242" s="201"/>
      <c r="G242" s="196"/>
      <c r="H242" s="190"/>
      <c r="I242" s="196"/>
    </row>
    <row r="243" spans="1:9">
      <c r="A243" s="244">
        <v>188</v>
      </c>
      <c r="B243" s="202">
        <f t="shared" si="10"/>
        <v>0</v>
      </c>
      <c r="C243" s="202">
        <f t="shared" si="11"/>
        <v>0</v>
      </c>
      <c r="D243" s="202">
        <f t="shared" si="12"/>
        <v>0</v>
      </c>
      <c r="E243" s="202">
        <f t="shared" si="13"/>
        <v>0</v>
      </c>
      <c r="F243" s="201"/>
      <c r="G243" s="196"/>
      <c r="H243" s="190"/>
      <c r="I243" s="196"/>
    </row>
    <row r="244" spans="1:9">
      <c r="A244" s="244">
        <v>189</v>
      </c>
      <c r="B244" s="202">
        <f t="shared" si="10"/>
        <v>0</v>
      </c>
      <c r="C244" s="202">
        <f t="shared" si="11"/>
        <v>0</v>
      </c>
      <c r="D244" s="202">
        <f t="shared" si="12"/>
        <v>0</v>
      </c>
      <c r="E244" s="202">
        <f t="shared" si="13"/>
        <v>0</v>
      </c>
      <c r="F244" s="201"/>
      <c r="G244" s="196"/>
      <c r="H244" s="190"/>
      <c r="I244" s="196"/>
    </row>
    <row r="245" spans="1:9">
      <c r="A245" s="244">
        <v>190</v>
      </c>
      <c r="B245" s="202">
        <f t="shared" si="10"/>
        <v>0</v>
      </c>
      <c r="C245" s="202">
        <f t="shared" si="11"/>
        <v>0</v>
      </c>
      <c r="D245" s="202">
        <f t="shared" si="12"/>
        <v>0</v>
      </c>
      <c r="E245" s="202">
        <f t="shared" si="13"/>
        <v>0</v>
      </c>
      <c r="F245" s="201"/>
      <c r="G245" s="196"/>
      <c r="H245" s="190"/>
      <c r="I245" s="196"/>
    </row>
    <row r="246" spans="1:9">
      <c r="A246" s="244">
        <v>191</v>
      </c>
      <c r="B246" s="202">
        <f t="shared" si="10"/>
        <v>0</v>
      </c>
      <c r="C246" s="202">
        <f t="shared" si="11"/>
        <v>0</v>
      </c>
      <c r="D246" s="202">
        <f t="shared" si="12"/>
        <v>0</v>
      </c>
      <c r="E246" s="202">
        <f t="shared" si="13"/>
        <v>0</v>
      </c>
      <c r="F246" s="201"/>
      <c r="G246" s="196"/>
      <c r="H246" s="190"/>
      <c r="I246" s="196"/>
    </row>
    <row r="247" spans="1:9">
      <c r="A247" s="244">
        <v>192</v>
      </c>
      <c r="B247" s="202">
        <f t="shared" si="10"/>
        <v>0</v>
      </c>
      <c r="C247" s="202">
        <f t="shared" si="11"/>
        <v>0</v>
      </c>
      <c r="D247" s="202">
        <f t="shared" si="12"/>
        <v>0</v>
      </c>
      <c r="E247" s="202">
        <f t="shared" si="13"/>
        <v>0</v>
      </c>
      <c r="F247" s="201">
        <v>16</v>
      </c>
      <c r="G247" s="243"/>
      <c r="H247" s="210"/>
      <c r="I247" s="243"/>
    </row>
    <row r="248" spans="1:9">
      <c r="A248" s="244">
        <v>193</v>
      </c>
      <c r="B248" s="202">
        <f t="shared" ref="B248:B311" si="14">IF(A248&gt;12*$D$14,0,$D$20)</f>
        <v>0</v>
      </c>
      <c r="C248" s="202">
        <f t="shared" ref="C248:C311" si="15">IF(A248&gt;12*$D$14,0,E247*$D$10/12)</f>
        <v>0</v>
      </c>
      <c r="D248" s="202">
        <f t="shared" ref="D248:D311" si="16">IF(A248&gt;12*$D$14,0,B248-C248)</f>
        <v>0</v>
      </c>
      <c r="E248" s="202">
        <f t="shared" ref="E248:E311" si="17">IF(A248&gt;12*$D$14,0,E247-D248)</f>
        <v>0</v>
      </c>
      <c r="F248" s="201"/>
      <c r="G248" s="196"/>
      <c r="H248" s="190"/>
      <c r="I248" s="243"/>
    </row>
    <row r="249" spans="1:9">
      <c r="A249" s="244">
        <v>194</v>
      </c>
      <c r="B249" s="202">
        <f t="shared" si="14"/>
        <v>0</v>
      </c>
      <c r="C249" s="202">
        <f t="shared" si="15"/>
        <v>0</v>
      </c>
      <c r="D249" s="202">
        <f t="shared" si="16"/>
        <v>0</v>
      </c>
      <c r="E249" s="202">
        <f t="shared" si="17"/>
        <v>0</v>
      </c>
      <c r="F249" s="201"/>
      <c r="G249" s="196"/>
      <c r="H249" s="190"/>
      <c r="I249" s="196"/>
    </row>
    <row r="250" spans="1:9">
      <c r="A250" s="244">
        <v>195</v>
      </c>
      <c r="B250" s="202">
        <f t="shared" si="14"/>
        <v>0</v>
      </c>
      <c r="C250" s="202">
        <f t="shared" si="15"/>
        <v>0</v>
      </c>
      <c r="D250" s="202">
        <f t="shared" si="16"/>
        <v>0</v>
      </c>
      <c r="E250" s="202">
        <f t="shared" si="17"/>
        <v>0</v>
      </c>
      <c r="F250" s="201"/>
      <c r="G250" s="196"/>
      <c r="H250" s="190"/>
      <c r="I250" s="196"/>
    </row>
    <row r="251" spans="1:9">
      <c r="A251" s="244">
        <v>196</v>
      </c>
      <c r="B251" s="202">
        <f t="shared" si="14"/>
        <v>0</v>
      </c>
      <c r="C251" s="202">
        <f t="shared" si="15"/>
        <v>0</v>
      </c>
      <c r="D251" s="202">
        <f t="shared" si="16"/>
        <v>0</v>
      </c>
      <c r="E251" s="202">
        <f t="shared" si="17"/>
        <v>0</v>
      </c>
      <c r="F251" s="201"/>
      <c r="G251" s="196"/>
      <c r="H251" s="190"/>
      <c r="I251" s="196"/>
    </row>
    <row r="252" spans="1:9">
      <c r="A252" s="244">
        <v>197</v>
      </c>
      <c r="B252" s="202">
        <f t="shared" si="14"/>
        <v>0</v>
      </c>
      <c r="C252" s="202">
        <f t="shared" si="15"/>
        <v>0</v>
      </c>
      <c r="D252" s="202">
        <f t="shared" si="16"/>
        <v>0</v>
      </c>
      <c r="E252" s="202">
        <f t="shared" si="17"/>
        <v>0</v>
      </c>
      <c r="F252" s="201"/>
      <c r="G252" s="196"/>
      <c r="H252" s="190"/>
      <c r="I252" s="196"/>
    </row>
    <row r="253" spans="1:9">
      <c r="A253" s="244">
        <v>198</v>
      </c>
      <c r="B253" s="202">
        <f t="shared" si="14"/>
        <v>0</v>
      </c>
      <c r="C253" s="202">
        <f t="shared" si="15"/>
        <v>0</v>
      </c>
      <c r="D253" s="202">
        <f t="shared" si="16"/>
        <v>0</v>
      </c>
      <c r="E253" s="202">
        <f t="shared" si="17"/>
        <v>0</v>
      </c>
      <c r="F253" s="201"/>
      <c r="G253" s="243"/>
      <c r="H253" s="210"/>
      <c r="I253" s="196"/>
    </row>
    <row r="254" spans="1:9">
      <c r="A254" s="244">
        <v>199</v>
      </c>
      <c r="B254" s="202">
        <f t="shared" si="14"/>
        <v>0</v>
      </c>
      <c r="C254" s="202">
        <f t="shared" si="15"/>
        <v>0</v>
      </c>
      <c r="D254" s="202">
        <f t="shared" si="16"/>
        <v>0</v>
      </c>
      <c r="E254" s="202">
        <f t="shared" si="17"/>
        <v>0</v>
      </c>
      <c r="F254" s="201"/>
      <c r="G254" s="196"/>
      <c r="H254" s="190"/>
      <c r="I254" s="196"/>
    </row>
    <row r="255" spans="1:9">
      <c r="A255" s="244">
        <v>200</v>
      </c>
      <c r="B255" s="202">
        <f t="shared" si="14"/>
        <v>0</v>
      </c>
      <c r="C255" s="202">
        <f t="shared" si="15"/>
        <v>0</v>
      </c>
      <c r="D255" s="202">
        <f t="shared" si="16"/>
        <v>0</v>
      </c>
      <c r="E255" s="202">
        <f t="shared" si="17"/>
        <v>0</v>
      </c>
      <c r="F255" s="201"/>
      <c r="G255" s="196"/>
      <c r="H255" s="190"/>
      <c r="I255" s="196"/>
    </row>
    <row r="256" spans="1:9">
      <c r="A256" s="244">
        <v>201</v>
      </c>
      <c r="B256" s="202">
        <f t="shared" si="14"/>
        <v>0</v>
      </c>
      <c r="C256" s="202">
        <f t="shared" si="15"/>
        <v>0</v>
      </c>
      <c r="D256" s="202">
        <f t="shared" si="16"/>
        <v>0</v>
      </c>
      <c r="E256" s="202">
        <f t="shared" si="17"/>
        <v>0</v>
      </c>
      <c r="F256" s="201"/>
      <c r="G256" s="196"/>
      <c r="H256" s="190"/>
      <c r="I256" s="196"/>
    </row>
    <row r="257" spans="1:9">
      <c r="A257" s="244">
        <v>202</v>
      </c>
      <c r="B257" s="202">
        <f t="shared" si="14"/>
        <v>0</v>
      </c>
      <c r="C257" s="202">
        <f t="shared" si="15"/>
        <v>0</v>
      </c>
      <c r="D257" s="202">
        <f t="shared" si="16"/>
        <v>0</v>
      </c>
      <c r="E257" s="202">
        <f t="shared" si="17"/>
        <v>0</v>
      </c>
      <c r="F257" s="201"/>
      <c r="G257" s="196"/>
      <c r="H257" s="190"/>
      <c r="I257" s="196"/>
    </row>
    <row r="258" spans="1:9">
      <c r="A258" s="244">
        <v>203</v>
      </c>
      <c r="B258" s="202">
        <f t="shared" si="14"/>
        <v>0</v>
      </c>
      <c r="C258" s="202">
        <f t="shared" si="15"/>
        <v>0</v>
      </c>
      <c r="D258" s="202">
        <f t="shared" si="16"/>
        <v>0</v>
      </c>
      <c r="E258" s="202">
        <f t="shared" si="17"/>
        <v>0</v>
      </c>
      <c r="F258" s="201"/>
      <c r="G258" s="196"/>
      <c r="H258" s="190"/>
      <c r="I258" s="196"/>
    </row>
    <row r="259" spans="1:9">
      <c r="A259" s="244">
        <v>204</v>
      </c>
      <c r="B259" s="202">
        <f t="shared" si="14"/>
        <v>0</v>
      </c>
      <c r="C259" s="202">
        <f t="shared" si="15"/>
        <v>0</v>
      </c>
      <c r="D259" s="202">
        <f t="shared" si="16"/>
        <v>0</v>
      </c>
      <c r="E259" s="202">
        <f t="shared" si="17"/>
        <v>0</v>
      </c>
      <c r="F259" s="201">
        <v>17</v>
      </c>
      <c r="G259" s="243"/>
      <c r="H259" s="210"/>
      <c r="I259" s="243"/>
    </row>
    <row r="260" spans="1:9">
      <c r="A260" s="244">
        <v>205</v>
      </c>
      <c r="B260" s="202">
        <f t="shared" si="14"/>
        <v>0</v>
      </c>
      <c r="C260" s="202">
        <f t="shared" si="15"/>
        <v>0</v>
      </c>
      <c r="D260" s="202">
        <f t="shared" si="16"/>
        <v>0</v>
      </c>
      <c r="E260" s="202">
        <f t="shared" si="17"/>
        <v>0</v>
      </c>
      <c r="F260" s="201"/>
      <c r="G260" s="196"/>
      <c r="H260" s="190"/>
      <c r="I260" s="243"/>
    </row>
    <row r="261" spans="1:9">
      <c r="A261" s="244">
        <v>206</v>
      </c>
      <c r="B261" s="202">
        <f t="shared" si="14"/>
        <v>0</v>
      </c>
      <c r="C261" s="202">
        <f t="shared" si="15"/>
        <v>0</v>
      </c>
      <c r="D261" s="202">
        <f t="shared" si="16"/>
        <v>0</v>
      </c>
      <c r="E261" s="202">
        <f t="shared" si="17"/>
        <v>0</v>
      </c>
      <c r="F261" s="201"/>
      <c r="G261" s="196"/>
      <c r="H261" s="190"/>
      <c r="I261" s="196"/>
    </row>
    <row r="262" spans="1:9">
      <c r="A262" s="244">
        <v>207</v>
      </c>
      <c r="B262" s="202">
        <f t="shared" si="14"/>
        <v>0</v>
      </c>
      <c r="C262" s="202">
        <f t="shared" si="15"/>
        <v>0</v>
      </c>
      <c r="D262" s="202">
        <f t="shared" si="16"/>
        <v>0</v>
      </c>
      <c r="E262" s="202">
        <f t="shared" si="17"/>
        <v>0</v>
      </c>
      <c r="F262" s="201"/>
      <c r="G262" s="196"/>
      <c r="H262" s="190"/>
      <c r="I262" s="196"/>
    </row>
    <row r="263" spans="1:9">
      <c r="A263" s="244">
        <v>208</v>
      </c>
      <c r="B263" s="202">
        <f t="shared" si="14"/>
        <v>0</v>
      </c>
      <c r="C263" s="202">
        <f t="shared" si="15"/>
        <v>0</v>
      </c>
      <c r="D263" s="202">
        <f t="shared" si="16"/>
        <v>0</v>
      </c>
      <c r="E263" s="202">
        <f t="shared" si="17"/>
        <v>0</v>
      </c>
      <c r="F263" s="201"/>
      <c r="G263" s="196"/>
      <c r="H263" s="190"/>
      <c r="I263" s="196"/>
    </row>
    <row r="264" spans="1:9">
      <c r="A264" s="244">
        <v>209</v>
      </c>
      <c r="B264" s="202">
        <f t="shared" si="14"/>
        <v>0</v>
      </c>
      <c r="C264" s="202">
        <f t="shared" si="15"/>
        <v>0</v>
      </c>
      <c r="D264" s="202">
        <f t="shared" si="16"/>
        <v>0</v>
      </c>
      <c r="E264" s="202">
        <f t="shared" si="17"/>
        <v>0</v>
      </c>
      <c r="F264" s="201"/>
      <c r="G264" s="196"/>
      <c r="H264" s="190"/>
      <c r="I264" s="196"/>
    </row>
    <row r="265" spans="1:9">
      <c r="A265" s="244">
        <v>210</v>
      </c>
      <c r="B265" s="202">
        <f t="shared" si="14"/>
        <v>0</v>
      </c>
      <c r="C265" s="202">
        <f t="shared" si="15"/>
        <v>0</v>
      </c>
      <c r="D265" s="202">
        <f t="shared" si="16"/>
        <v>0</v>
      </c>
      <c r="E265" s="202">
        <f t="shared" si="17"/>
        <v>0</v>
      </c>
      <c r="F265" s="201"/>
      <c r="G265" s="243"/>
      <c r="H265" s="210"/>
      <c r="I265" s="196"/>
    </row>
    <row r="266" spans="1:9">
      <c r="A266" s="244">
        <v>211</v>
      </c>
      <c r="B266" s="202">
        <f t="shared" si="14"/>
        <v>0</v>
      </c>
      <c r="C266" s="202">
        <f t="shared" si="15"/>
        <v>0</v>
      </c>
      <c r="D266" s="202">
        <f t="shared" si="16"/>
        <v>0</v>
      </c>
      <c r="E266" s="202">
        <f t="shared" si="17"/>
        <v>0</v>
      </c>
      <c r="F266" s="201"/>
      <c r="G266" s="196"/>
      <c r="H266" s="190"/>
      <c r="I266" s="196"/>
    </row>
    <row r="267" spans="1:9">
      <c r="A267" s="244">
        <v>212</v>
      </c>
      <c r="B267" s="202">
        <f t="shared" si="14"/>
        <v>0</v>
      </c>
      <c r="C267" s="202">
        <f t="shared" si="15"/>
        <v>0</v>
      </c>
      <c r="D267" s="202">
        <f t="shared" si="16"/>
        <v>0</v>
      </c>
      <c r="E267" s="202">
        <f t="shared" si="17"/>
        <v>0</v>
      </c>
      <c r="F267" s="201"/>
      <c r="G267" s="196"/>
      <c r="H267" s="190"/>
      <c r="I267" s="196"/>
    </row>
    <row r="268" spans="1:9">
      <c r="A268" s="244">
        <v>213</v>
      </c>
      <c r="B268" s="202">
        <f t="shared" si="14"/>
        <v>0</v>
      </c>
      <c r="C268" s="202">
        <f t="shared" si="15"/>
        <v>0</v>
      </c>
      <c r="D268" s="202">
        <f t="shared" si="16"/>
        <v>0</v>
      </c>
      <c r="E268" s="202">
        <f t="shared" si="17"/>
        <v>0</v>
      </c>
      <c r="F268" s="201"/>
      <c r="G268" s="196"/>
      <c r="H268" s="190"/>
      <c r="I268" s="196"/>
    </row>
    <row r="269" spans="1:9">
      <c r="A269" s="244">
        <v>214</v>
      </c>
      <c r="B269" s="202">
        <f t="shared" si="14"/>
        <v>0</v>
      </c>
      <c r="C269" s="202">
        <f t="shared" si="15"/>
        <v>0</v>
      </c>
      <c r="D269" s="202">
        <f t="shared" si="16"/>
        <v>0</v>
      </c>
      <c r="E269" s="202">
        <f t="shared" si="17"/>
        <v>0</v>
      </c>
      <c r="F269" s="201"/>
      <c r="G269" s="196"/>
      <c r="H269" s="190"/>
      <c r="I269" s="196"/>
    </row>
    <row r="270" spans="1:9">
      <c r="A270" s="244">
        <v>215</v>
      </c>
      <c r="B270" s="202">
        <f t="shared" si="14"/>
        <v>0</v>
      </c>
      <c r="C270" s="202">
        <f t="shared" si="15"/>
        <v>0</v>
      </c>
      <c r="D270" s="202">
        <f t="shared" si="16"/>
        <v>0</v>
      </c>
      <c r="E270" s="202">
        <f t="shared" si="17"/>
        <v>0</v>
      </c>
      <c r="F270" s="201"/>
      <c r="G270" s="196"/>
      <c r="H270" s="190"/>
      <c r="I270" s="196"/>
    </row>
    <row r="271" spans="1:9">
      <c r="A271" s="244">
        <v>216</v>
      </c>
      <c r="B271" s="202">
        <f t="shared" si="14"/>
        <v>0</v>
      </c>
      <c r="C271" s="202">
        <f t="shared" si="15"/>
        <v>0</v>
      </c>
      <c r="D271" s="202">
        <f t="shared" si="16"/>
        <v>0</v>
      </c>
      <c r="E271" s="202">
        <f t="shared" si="17"/>
        <v>0</v>
      </c>
      <c r="F271" s="201">
        <v>18</v>
      </c>
      <c r="G271" s="243"/>
      <c r="H271" s="210"/>
      <c r="I271" s="243"/>
    </row>
    <row r="272" spans="1:9">
      <c r="A272" s="244">
        <v>217</v>
      </c>
      <c r="B272" s="202">
        <f t="shared" si="14"/>
        <v>0</v>
      </c>
      <c r="C272" s="202">
        <f t="shared" si="15"/>
        <v>0</v>
      </c>
      <c r="D272" s="202">
        <f t="shared" si="16"/>
        <v>0</v>
      </c>
      <c r="E272" s="202">
        <f t="shared" si="17"/>
        <v>0</v>
      </c>
      <c r="F272" s="201"/>
      <c r="G272" s="196"/>
      <c r="H272" s="190"/>
      <c r="I272" s="243"/>
    </row>
    <row r="273" spans="1:9">
      <c r="A273" s="244">
        <v>218</v>
      </c>
      <c r="B273" s="202">
        <f t="shared" si="14"/>
        <v>0</v>
      </c>
      <c r="C273" s="202">
        <f t="shared" si="15"/>
        <v>0</v>
      </c>
      <c r="D273" s="202">
        <f t="shared" si="16"/>
        <v>0</v>
      </c>
      <c r="E273" s="202">
        <f t="shared" si="17"/>
        <v>0</v>
      </c>
      <c r="F273" s="201"/>
      <c r="G273" s="196"/>
      <c r="H273" s="190"/>
      <c r="I273" s="196"/>
    </row>
    <row r="274" spans="1:9">
      <c r="A274" s="244">
        <v>219</v>
      </c>
      <c r="B274" s="202">
        <f t="shared" si="14"/>
        <v>0</v>
      </c>
      <c r="C274" s="202">
        <f t="shared" si="15"/>
        <v>0</v>
      </c>
      <c r="D274" s="202">
        <f t="shared" si="16"/>
        <v>0</v>
      </c>
      <c r="E274" s="202">
        <f t="shared" si="17"/>
        <v>0</v>
      </c>
      <c r="F274" s="201"/>
      <c r="G274" s="196"/>
      <c r="H274" s="190"/>
      <c r="I274" s="196"/>
    </row>
    <row r="275" spans="1:9">
      <c r="A275" s="244">
        <v>220</v>
      </c>
      <c r="B275" s="202">
        <f t="shared" si="14"/>
        <v>0</v>
      </c>
      <c r="C275" s="202">
        <f t="shared" si="15"/>
        <v>0</v>
      </c>
      <c r="D275" s="202">
        <f t="shared" si="16"/>
        <v>0</v>
      </c>
      <c r="E275" s="202">
        <f t="shared" si="17"/>
        <v>0</v>
      </c>
      <c r="F275" s="201"/>
      <c r="G275" s="196"/>
      <c r="H275" s="190"/>
      <c r="I275" s="196"/>
    </row>
    <row r="276" spans="1:9">
      <c r="A276" s="244">
        <v>221</v>
      </c>
      <c r="B276" s="202">
        <f t="shared" si="14"/>
        <v>0</v>
      </c>
      <c r="C276" s="202">
        <f t="shared" si="15"/>
        <v>0</v>
      </c>
      <c r="D276" s="202">
        <f t="shared" si="16"/>
        <v>0</v>
      </c>
      <c r="E276" s="202">
        <f t="shared" si="17"/>
        <v>0</v>
      </c>
      <c r="F276" s="201"/>
      <c r="G276" s="196"/>
      <c r="H276" s="190"/>
      <c r="I276" s="196"/>
    </row>
    <row r="277" spans="1:9">
      <c r="A277" s="244">
        <v>222</v>
      </c>
      <c r="B277" s="202">
        <f t="shared" si="14"/>
        <v>0</v>
      </c>
      <c r="C277" s="202">
        <f t="shared" si="15"/>
        <v>0</v>
      </c>
      <c r="D277" s="202">
        <f t="shared" si="16"/>
        <v>0</v>
      </c>
      <c r="E277" s="202">
        <f t="shared" si="17"/>
        <v>0</v>
      </c>
      <c r="F277" s="201"/>
      <c r="G277" s="243"/>
      <c r="H277" s="210"/>
      <c r="I277" s="196"/>
    </row>
    <row r="278" spans="1:9">
      <c r="A278" s="244">
        <v>223</v>
      </c>
      <c r="B278" s="202">
        <f t="shared" si="14"/>
        <v>0</v>
      </c>
      <c r="C278" s="202">
        <f t="shared" si="15"/>
        <v>0</v>
      </c>
      <c r="D278" s="202">
        <f t="shared" si="16"/>
        <v>0</v>
      </c>
      <c r="E278" s="202">
        <f t="shared" si="17"/>
        <v>0</v>
      </c>
      <c r="F278" s="201"/>
      <c r="G278" s="196"/>
      <c r="H278" s="190"/>
      <c r="I278" s="196"/>
    </row>
    <row r="279" spans="1:9">
      <c r="A279" s="244">
        <v>224</v>
      </c>
      <c r="B279" s="202">
        <f t="shared" si="14"/>
        <v>0</v>
      </c>
      <c r="C279" s="202">
        <f t="shared" si="15"/>
        <v>0</v>
      </c>
      <c r="D279" s="202">
        <f t="shared" si="16"/>
        <v>0</v>
      </c>
      <c r="E279" s="202">
        <f t="shared" si="17"/>
        <v>0</v>
      </c>
      <c r="F279" s="201"/>
      <c r="G279" s="196"/>
      <c r="H279" s="190"/>
      <c r="I279" s="196"/>
    </row>
    <row r="280" spans="1:9">
      <c r="A280" s="244">
        <v>225</v>
      </c>
      <c r="B280" s="202">
        <f t="shared" si="14"/>
        <v>0</v>
      </c>
      <c r="C280" s="202">
        <f t="shared" si="15"/>
        <v>0</v>
      </c>
      <c r="D280" s="202">
        <f t="shared" si="16"/>
        <v>0</v>
      </c>
      <c r="E280" s="202">
        <f t="shared" si="17"/>
        <v>0</v>
      </c>
      <c r="F280" s="201"/>
      <c r="G280" s="196"/>
      <c r="H280" s="190"/>
      <c r="I280" s="196"/>
    </row>
    <row r="281" spans="1:9">
      <c r="A281" s="244">
        <v>226</v>
      </c>
      <c r="B281" s="202">
        <f t="shared" si="14"/>
        <v>0</v>
      </c>
      <c r="C281" s="202">
        <f t="shared" si="15"/>
        <v>0</v>
      </c>
      <c r="D281" s="202">
        <f t="shared" si="16"/>
        <v>0</v>
      </c>
      <c r="E281" s="202">
        <f t="shared" si="17"/>
        <v>0</v>
      </c>
      <c r="F281" s="201"/>
      <c r="G281" s="196"/>
      <c r="H281" s="190"/>
      <c r="I281" s="196"/>
    </row>
    <row r="282" spans="1:9">
      <c r="A282" s="244">
        <v>227</v>
      </c>
      <c r="B282" s="202">
        <f t="shared" si="14"/>
        <v>0</v>
      </c>
      <c r="C282" s="202">
        <f t="shared" si="15"/>
        <v>0</v>
      </c>
      <c r="D282" s="202">
        <f t="shared" si="16"/>
        <v>0</v>
      </c>
      <c r="E282" s="202">
        <f t="shared" si="17"/>
        <v>0</v>
      </c>
      <c r="F282" s="201"/>
      <c r="G282" s="196"/>
      <c r="H282" s="190"/>
      <c r="I282" s="196"/>
    </row>
    <row r="283" spans="1:9">
      <c r="A283" s="244">
        <v>228</v>
      </c>
      <c r="B283" s="202">
        <f t="shared" si="14"/>
        <v>0</v>
      </c>
      <c r="C283" s="202">
        <f t="shared" si="15"/>
        <v>0</v>
      </c>
      <c r="D283" s="202">
        <f t="shared" si="16"/>
        <v>0</v>
      </c>
      <c r="E283" s="202">
        <f t="shared" si="17"/>
        <v>0</v>
      </c>
      <c r="F283" s="201">
        <v>19</v>
      </c>
      <c r="G283" s="243"/>
      <c r="H283" s="210"/>
      <c r="I283" s="243"/>
    </row>
    <row r="284" spans="1:9">
      <c r="A284" s="244">
        <v>229</v>
      </c>
      <c r="B284" s="202">
        <f t="shared" si="14"/>
        <v>0</v>
      </c>
      <c r="C284" s="202">
        <f t="shared" si="15"/>
        <v>0</v>
      </c>
      <c r="D284" s="202">
        <f t="shared" si="16"/>
        <v>0</v>
      </c>
      <c r="E284" s="202">
        <f t="shared" si="17"/>
        <v>0</v>
      </c>
      <c r="F284" s="201"/>
      <c r="G284" s="196"/>
      <c r="H284" s="190"/>
      <c r="I284" s="243"/>
    </row>
    <row r="285" spans="1:9">
      <c r="A285" s="244">
        <v>230</v>
      </c>
      <c r="B285" s="202">
        <f t="shared" si="14"/>
        <v>0</v>
      </c>
      <c r="C285" s="202">
        <f t="shared" si="15"/>
        <v>0</v>
      </c>
      <c r="D285" s="202">
        <f t="shared" si="16"/>
        <v>0</v>
      </c>
      <c r="E285" s="202">
        <f t="shared" si="17"/>
        <v>0</v>
      </c>
      <c r="F285" s="201"/>
      <c r="G285" s="196"/>
      <c r="H285" s="190"/>
      <c r="I285" s="196"/>
    </row>
    <row r="286" spans="1:9">
      <c r="A286" s="244">
        <v>231</v>
      </c>
      <c r="B286" s="202">
        <f t="shared" si="14"/>
        <v>0</v>
      </c>
      <c r="C286" s="202">
        <f t="shared" si="15"/>
        <v>0</v>
      </c>
      <c r="D286" s="202">
        <f t="shared" si="16"/>
        <v>0</v>
      </c>
      <c r="E286" s="202">
        <f t="shared" si="17"/>
        <v>0</v>
      </c>
      <c r="F286" s="201"/>
      <c r="G286" s="196"/>
      <c r="H286" s="190"/>
      <c r="I286" s="196"/>
    </row>
    <row r="287" spans="1:9">
      <c r="A287" s="244">
        <v>232</v>
      </c>
      <c r="B287" s="202">
        <f t="shared" si="14"/>
        <v>0</v>
      </c>
      <c r="C287" s="202">
        <f t="shared" si="15"/>
        <v>0</v>
      </c>
      <c r="D287" s="202">
        <f t="shared" si="16"/>
        <v>0</v>
      </c>
      <c r="E287" s="202">
        <f t="shared" si="17"/>
        <v>0</v>
      </c>
      <c r="F287" s="201"/>
      <c r="G287" s="196"/>
      <c r="H287" s="190"/>
      <c r="I287" s="196"/>
    </row>
    <row r="288" spans="1:9">
      <c r="A288" s="244">
        <v>233</v>
      </c>
      <c r="B288" s="202">
        <f t="shared" si="14"/>
        <v>0</v>
      </c>
      <c r="C288" s="202">
        <f t="shared" si="15"/>
        <v>0</v>
      </c>
      <c r="D288" s="202">
        <f t="shared" si="16"/>
        <v>0</v>
      </c>
      <c r="E288" s="202">
        <f t="shared" si="17"/>
        <v>0</v>
      </c>
      <c r="F288" s="201"/>
      <c r="G288" s="196"/>
      <c r="H288" s="190"/>
      <c r="I288" s="196"/>
    </row>
    <row r="289" spans="1:9">
      <c r="A289" s="244">
        <v>234</v>
      </c>
      <c r="B289" s="202">
        <f t="shared" si="14"/>
        <v>0</v>
      </c>
      <c r="C289" s="202">
        <f t="shared" si="15"/>
        <v>0</v>
      </c>
      <c r="D289" s="202">
        <f t="shared" si="16"/>
        <v>0</v>
      </c>
      <c r="E289" s="202">
        <f t="shared" si="17"/>
        <v>0</v>
      </c>
      <c r="F289" s="201"/>
      <c r="G289" s="243"/>
      <c r="H289" s="210"/>
      <c r="I289" s="196"/>
    </row>
    <row r="290" spans="1:9">
      <c r="A290" s="244">
        <v>235</v>
      </c>
      <c r="B290" s="202">
        <f t="shared" si="14"/>
        <v>0</v>
      </c>
      <c r="C290" s="202">
        <f t="shared" si="15"/>
        <v>0</v>
      </c>
      <c r="D290" s="202">
        <f t="shared" si="16"/>
        <v>0</v>
      </c>
      <c r="E290" s="202">
        <f t="shared" si="17"/>
        <v>0</v>
      </c>
      <c r="F290" s="201"/>
      <c r="G290" s="196"/>
      <c r="H290" s="190"/>
      <c r="I290" s="196"/>
    </row>
    <row r="291" spans="1:9">
      <c r="A291" s="244">
        <v>236</v>
      </c>
      <c r="B291" s="202">
        <f t="shared" si="14"/>
        <v>0</v>
      </c>
      <c r="C291" s="202">
        <f t="shared" si="15"/>
        <v>0</v>
      </c>
      <c r="D291" s="202">
        <f t="shared" si="16"/>
        <v>0</v>
      </c>
      <c r="E291" s="202">
        <f t="shared" si="17"/>
        <v>0</v>
      </c>
      <c r="F291" s="201"/>
      <c r="G291" s="196"/>
      <c r="H291" s="190"/>
      <c r="I291" s="196"/>
    </row>
    <row r="292" spans="1:9">
      <c r="A292" s="244">
        <v>237</v>
      </c>
      <c r="B292" s="202">
        <f t="shared" si="14"/>
        <v>0</v>
      </c>
      <c r="C292" s="202">
        <f t="shared" si="15"/>
        <v>0</v>
      </c>
      <c r="D292" s="202">
        <f t="shared" si="16"/>
        <v>0</v>
      </c>
      <c r="E292" s="202">
        <f t="shared" si="17"/>
        <v>0</v>
      </c>
      <c r="F292" s="201"/>
      <c r="G292" s="196"/>
      <c r="H292" s="190"/>
      <c r="I292" s="196"/>
    </row>
    <row r="293" spans="1:9">
      <c r="A293" s="244">
        <v>238</v>
      </c>
      <c r="B293" s="202">
        <f t="shared" si="14"/>
        <v>0</v>
      </c>
      <c r="C293" s="202">
        <f t="shared" si="15"/>
        <v>0</v>
      </c>
      <c r="D293" s="202">
        <f t="shared" si="16"/>
        <v>0</v>
      </c>
      <c r="E293" s="202">
        <f t="shared" si="17"/>
        <v>0</v>
      </c>
      <c r="F293" s="201"/>
      <c r="G293" s="196"/>
      <c r="H293" s="190"/>
      <c r="I293" s="196"/>
    </row>
    <row r="294" spans="1:9">
      <c r="A294" s="244">
        <v>239</v>
      </c>
      <c r="B294" s="202">
        <f t="shared" si="14"/>
        <v>0</v>
      </c>
      <c r="C294" s="202">
        <f t="shared" si="15"/>
        <v>0</v>
      </c>
      <c r="D294" s="202">
        <f t="shared" si="16"/>
        <v>0</v>
      </c>
      <c r="E294" s="202">
        <f t="shared" si="17"/>
        <v>0</v>
      </c>
      <c r="F294" s="201"/>
      <c r="G294" s="196"/>
      <c r="H294" s="190"/>
      <c r="I294" s="196"/>
    </row>
    <row r="295" spans="1:9">
      <c r="A295" s="244">
        <v>240</v>
      </c>
      <c r="B295" s="202">
        <f t="shared" si="14"/>
        <v>0</v>
      </c>
      <c r="C295" s="202">
        <f t="shared" si="15"/>
        <v>0</v>
      </c>
      <c r="D295" s="202">
        <f t="shared" si="16"/>
        <v>0</v>
      </c>
      <c r="E295" s="202">
        <f t="shared" si="17"/>
        <v>0</v>
      </c>
      <c r="F295" s="201">
        <v>20</v>
      </c>
      <c r="G295" s="243"/>
      <c r="H295" s="210"/>
      <c r="I295" s="243"/>
    </row>
    <row r="296" spans="1:9">
      <c r="A296" s="244">
        <v>241</v>
      </c>
      <c r="B296" s="202">
        <f t="shared" si="14"/>
        <v>0</v>
      </c>
      <c r="C296" s="202">
        <f t="shared" si="15"/>
        <v>0</v>
      </c>
      <c r="D296" s="202">
        <f t="shared" si="16"/>
        <v>0</v>
      </c>
      <c r="E296" s="202">
        <f t="shared" si="17"/>
        <v>0</v>
      </c>
      <c r="F296" s="201"/>
      <c r="G296" s="196"/>
      <c r="H296" s="190"/>
      <c r="I296" s="243"/>
    </row>
    <row r="297" spans="1:9">
      <c r="A297" s="244">
        <v>242</v>
      </c>
      <c r="B297" s="202">
        <f t="shared" si="14"/>
        <v>0</v>
      </c>
      <c r="C297" s="202">
        <f t="shared" si="15"/>
        <v>0</v>
      </c>
      <c r="D297" s="202">
        <f t="shared" si="16"/>
        <v>0</v>
      </c>
      <c r="E297" s="202">
        <f t="shared" si="17"/>
        <v>0</v>
      </c>
      <c r="F297" s="201"/>
      <c r="G297" s="196"/>
      <c r="H297" s="190"/>
      <c r="I297" s="196"/>
    </row>
    <row r="298" spans="1:9">
      <c r="A298" s="244">
        <v>243</v>
      </c>
      <c r="B298" s="202">
        <f t="shared" si="14"/>
        <v>0</v>
      </c>
      <c r="C298" s="202">
        <f t="shared" si="15"/>
        <v>0</v>
      </c>
      <c r="D298" s="202">
        <f t="shared" si="16"/>
        <v>0</v>
      </c>
      <c r="E298" s="202">
        <f t="shared" si="17"/>
        <v>0</v>
      </c>
      <c r="F298" s="201"/>
      <c r="G298" s="196"/>
      <c r="H298" s="190"/>
      <c r="I298" s="196"/>
    </row>
    <row r="299" spans="1:9">
      <c r="A299" s="244">
        <v>244</v>
      </c>
      <c r="B299" s="202">
        <f t="shared" si="14"/>
        <v>0</v>
      </c>
      <c r="C299" s="202">
        <f t="shared" si="15"/>
        <v>0</v>
      </c>
      <c r="D299" s="202">
        <f t="shared" si="16"/>
        <v>0</v>
      </c>
      <c r="E299" s="202">
        <f t="shared" si="17"/>
        <v>0</v>
      </c>
      <c r="F299" s="201"/>
      <c r="G299" s="196"/>
      <c r="H299" s="190"/>
      <c r="I299" s="196"/>
    </row>
    <row r="300" spans="1:9">
      <c r="A300" s="244">
        <v>245</v>
      </c>
      <c r="B300" s="202">
        <f t="shared" si="14"/>
        <v>0</v>
      </c>
      <c r="C300" s="202">
        <f t="shared" si="15"/>
        <v>0</v>
      </c>
      <c r="D300" s="202">
        <f t="shared" si="16"/>
        <v>0</v>
      </c>
      <c r="E300" s="202">
        <f t="shared" si="17"/>
        <v>0</v>
      </c>
      <c r="F300" s="201"/>
      <c r="G300" s="196"/>
      <c r="H300" s="190"/>
      <c r="I300" s="196"/>
    </row>
    <row r="301" spans="1:9">
      <c r="A301" s="244">
        <v>246</v>
      </c>
      <c r="B301" s="202">
        <f t="shared" si="14"/>
        <v>0</v>
      </c>
      <c r="C301" s="202">
        <f t="shared" si="15"/>
        <v>0</v>
      </c>
      <c r="D301" s="202">
        <f t="shared" si="16"/>
        <v>0</v>
      </c>
      <c r="E301" s="202">
        <f t="shared" si="17"/>
        <v>0</v>
      </c>
      <c r="F301" s="201"/>
      <c r="G301" s="243"/>
      <c r="H301" s="210"/>
      <c r="I301" s="196"/>
    </row>
    <row r="302" spans="1:9">
      <c r="A302" s="244">
        <v>247</v>
      </c>
      <c r="B302" s="202">
        <f t="shared" si="14"/>
        <v>0</v>
      </c>
      <c r="C302" s="202">
        <f t="shared" si="15"/>
        <v>0</v>
      </c>
      <c r="D302" s="202">
        <f t="shared" si="16"/>
        <v>0</v>
      </c>
      <c r="E302" s="202">
        <f t="shared" si="17"/>
        <v>0</v>
      </c>
      <c r="F302" s="201"/>
      <c r="G302" s="196"/>
      <c r="H302" s="190"/>
      <c r="I302" s="196"/>
    </row>
    <row r="303" spans="1:9">
      <c r="A303" s="244">
        <v>248</v>
      </c>
      <c r="B303" s="202">
        <f t="shared" si="14"/>
        <v>0</v>
      </c>
      <c r="C303" s="202">
        <f t="shared" si="15"/>
        <v>0</v>
      </c>
      <c r="D303" s="202">
        <f t="shared" si="16"/>
        <v>0</v>
      </c>
      <c r="E303" s="202">
        <f t="shared" si="17"/>
        <v>0</v>
      </c>
      <c r="F303" s="201"/>
      <c r="G303" s="196"/>
      <c r="H303" s="190"/>
      <c r="I303" s="196"/>
    </row>
    <row r="304" spans="1:9">
      <c r="A304" s="244">
        <v>249</v>
      </c>
      <c r="B304" s="202">
        <f t="shared" si="14"/>
        <v>0</v>
      </c>
      <c r="C304" s="202">
        <f t="shared" si="15"/>
        <v>0</v>
      </c>
      <c r="D304" s="202">
        <f t="shared" si="16"/>
        <v>0</v>
      </c>
      <c r="E304" s="202">
        <f t="shared" si="17"/>
        <v>0</v>
      </c>
      <c r="F304" s="201"/>
      <c r="G304" s="196"/>
      <c r="H304" s="190"/>
      <c r="I304" s="196"/>
    </row>
    <row r="305" spans="1:9">
      <c r="A305" s="244">
        <v>250</v>
      </c>
      <c r="B305" s="202">
        <f t="shared" si="14"/>
        <v>0</v>
      </c>
      <c r="C305" s="202">
        <f t="shared" si="15"/>
        <v>0</v>
      </c>
      <c r="D305" s="202">
        <f t="shared" si="16"/>
        <v>0</v>
      </c>
      <c r="E305" s="202">
        <f t="shared" si="17"/>
        <v>0</v>
      </c>
      <c r="F305" s="201"/>
      <c r="G305" s="196"/>
      <c r="H305" s="190"/>
      <c r="I305" s="196"/>
    </row>
    <row r="306" spans="1:9">
      <c r="A306" s="244">
        <v>251</v>
      </c>
      <c r="B306" s="202">
        <f t="shared" si="14"/>
        <v>0</v>
      </c>
      <c r="C306" s="202">
        <f t="shared" si="15"/>
        <v>0</v>
      </c>
      <c r="D306" s="202">
        <f t="shared" si="16"/>
        <v>0</v>
      </c>
      <c r="E306" s="202">
        <f t="shared" si="17"/>
        <v>0</v>
      </c>
      <c r="F306" s="201"/>
      <c r="G306" s="196"/>
      <c r="H306" s="190"/>
      <c r="I306" s="196"/>
    </row>
    <row r="307" spans="1:9">
      <c r="A307" s="244">
        <v>252</v>
      </c>
      <c r="B307" s="202">
        <f t="shared" si="14"/>
        <v>0</v>
      </c>
      <c r="C307" s="202">
        <f t="shared" si="15"/>
        <v>0</v>
      </c>
      <c r="D307" s="202">
        <f t="shared" si="16"/>
        <v>0</v>
      </c>
      <c r="E307" s="202">
        <f t="shared" si="17"/>
        <v>0</v>
      </c>
      <c r="F307" s="201">
        <v>21</v>
      </c>
      <c r="G307" s="243"/>
      <c r="H307" s="210"/>
      <c r="I307" s="243"/>
    </row>
    <row r="308" spans="1:9">
      <c r="A308" s="244">
        <v>253</v>
      </c>
      <c r="B308" s="202">
        <f t="shared" si="14"/>
        <v>0</v>
      </c>
      <c r="C308" s="202">
        <f t="shared" si="15"/>
        <v>0</v>
      </c>
      <c r="D308" s="202">
        <f t="shared" si="16"/>
        <v>0</v>
      </c>
      <c r="E308" s="202">
        <f t="shared" si="17"/>
        <v>0</v>
      </c>
      <c r="F308" s="201"/>
      <c r="G308" s="196"/>
      <c r="H308" s="190"/>
      <c r="I308" s="243"/>
    </row>
    <row r="309" spans="1:9">
      <c r="A309" s="244">
        <v>254</v>
      </c>
      <c r="B309" s="202">
        <f t="shared" si="14"/>
        <v>0</v>
      </c>
      <c r="C309" s="202">
        <f t="shared" si="15"/>
        <v>0</v>
      </c>
      <c r="D309" s="202">
        <f t="shared" si="16"/>
        <v>0</v>
      </c>
      <c r="E309" s="202">
        <f t="shared" si="17"/>
        <v>0</v>
      </c>
      <c r="F309" s="201"/>
      <c r="G309" s="196"/>
      <c r="H309" s="190"/>
      <c r="I309" s="196"/>
    </row>
    <row r="310" spans="1:9">
      <c r="A310" s="244">
        <v>255</v>
      </c>
      <c r="B310" s="202">
        <f t="shared" si="14"/>
        <v>0</v>
      </c>
      <c r="C310" s="202">
        <f t="shared" si="15"/>
        <v>0</v>
      </c>
      <c r="D310" s="202">
        <f t="shared" si="16"/>
        <v>0</v>
      </c>
      <c r="E310" s="202">
        <f t="shared" si="17"/>
        <v>0</v>
      </c>
      <c r="F310" s="201"/>
      <c r="G310" s="196"/>
      <c r="H310" s="190"/>
      <c r="I310" s="196"/>
    </row>
    <row r="311" spans="1:9">
      <c r="A311" s="244">
        <v>256</v>
      </c>
      <c r="B311" s="202">
        <f t="shared" si="14"/>
        <v>0</v>
      </c>
      <c r="C311" s="202">
        <f t="shared" si="15"/>
        <v>0</v>
      </c>
      <c r="D311" s="202">
        <f t="shared" si="16"/>
        <v>0</v>
      </c>
      <c r="E311" s="202">
        <f t="shared" si="17"/>
        <v>0</v>
      </c>
      <c r="F311" s="201"/>
      <c r="G311" s="196"/>
      <c r="H311" s="190"/>
      <c r="I311" s="196"/>
    </row>
    <row r="312" spans="1:9">
      <c r="A312" s="244">
        <v>257</v>
      </c>
      <c r="B312" s="202">
        <f t="shared" ref="B312:B375" si="18">IF(A312&gt;12*$D$14,0,$D$20)</f>
        <v>0</v>
      </c>
      <c r="C312" s="202">
        <f t="shared" ref="C312:C375" si="19">IF(A312&gt;12*$D$14,0,E311*$D$10/12)</f>
        <v>0</v>
      </c>
      <c r="D312" s="202">
        <f t="shared" ref="D312:D375" si="20">IF(A312&gt;12*$D$14,0,B312-C312)</f>
        <v>0</v>
      </c>
      <c r="E312" s="202">
        <f t="shared" ref="E312:E375" si="21">IF(A312&gt;12*$D$14,0,E311-D312)</f>
        <v>0</v>
      </c>
      <c r="F312" s="201"/>
      <c r="G312" s="196"/>
      <c r="H312" s="190"/>
      <c r="I312" s="196"/>
    </row>
    <row r="313" spans="1:9">
      <c r="A313" s="244">
        <v>258</v>
      </c>
      <c r="B313" s="202">
        <f t="shared" si="18"/>
        <v>0</v>
      </c>
      <c r="C313" s="202">
        <f t="shared" si="19"/>
        <v>0</v>
      </c>
      <c r="D313" s="202">
        <f t="shared" si="20"/>
        <v>0</v>
      </c>
      <c r="E313" s="202">
        <f t="shared" si="21"/>
        <v>0</v>
      </c>
      <c r="F313" s="201"/>
      <c r="G313" s="243"/>
      <c r="H313" s="210"/>
      <c r="I313" s="196"/>
    </row>
    <row r="314" spans="1:9">
      <c r="A314" s="244">
        <v>259</v>
      </c>
      <c r="B314" s="202">
        <f t="shared" si="18"/>
        <v>0</v>
      </c>
      <c r="C314" s="202">
        <f t="shared" si="19"/>
        <v>0</v>
      </c>
      <c r="D314" s="202">
        <f t="shared" si="20"/>
        <v>0</v>
      </c>
      <c r="E314" s="202">
        <f t="shared" si="21"/>
        <v>0</v>
      </c>
      <c r="F314" s="201"/>
      <c r="G314" s="196"/>
      <c r="H314" s="190"/>
      <c r="I314" s="196"/>
    </row>
    <row r="315" spans="1:9">
      <c r="A315" s="244">
        <v>260</v>
      </c>
      <c r="B315" s="202">
        <f t="shared" si="18"/>
        <v>0</v>
      </c>
      <c r="C315" s="202">
        <f t="shared" si="19"/>
        <v>0</v>
      </c>
      <c r="D315" s="202">
        <f t="shared" si="20"/>
        <v>0</v>
      </c>
      <c r="E315" s="202">
        <f t="shared" si="21"/>
        <v>0</v>
      </c>
      <c r="F315" s="201"/>
      <c r="G315" s="196"/>
      <c r="H315" s="190"/>
      <c r="I315" s="196"/>
    </row>
    <row r="316" spans="1:9">
      <c r="A316" s="244">
        <v>261</v>
      </c>
      <c r="B316" s="202">
        <f t="shared" si="18"/>
        <v>0</v>
      </c>
      <c r="C316" s="202">
        <f t="shared" si="19"/>
        <v>0</v>
      </c>
      <c r="D316" s="202">
        <f t="shared" si="20"/>
        <v>0</v>
      </c>
      <c r="E316" s="202">
        <f t="shared" si="21"/>
        <v>0</v>
      </c>
      <c r="F316" s="201"/>
      <c r="G316" s="196"/>
      <c r="H316" s="190"/>
      <c r="I316" s="196"/>
    </row>
    <row r="317" spans="1:9">
      <c r="A317" s="244">
        <v>262</v>
      </c>
      <c r="B317" s="202">
        <f t="shared" si="18"/>
        <v>0</v>
      </c>
      <c r="C317" s="202">
        <f t="shared" si="19"/>
        <v>0</v>
      </c>
      <c r="D317" s="202">
        <f t="shared" si="20"/>
        <v>0</v>
      </c>
      <c r="E317" s="202">
        <f t="shared" si="21"/>
        <v>0</v>
      </c>
      <c r="F317" s="201"/>
      <c r="G317" s="196"/>
      <c r="H317" s="190"/>
      <c r="I317" s="196"/>
    </row>
    <row r="318" spans="1:9">
      <c r="A318" s="244">
        <v>263</v>
      </c>
      <c r="B318" s="202">
        <f t="shared" si="18"/>
        <v>0</v>
      </c>
      <c r="C318" s="202">
        <f t="shared" si="19"/>
        <v>0</v>
      </c>
      <c r="D318" s="202">
        <f t="shared" si="20"/>
        <v>0</v>
      </c>
      <c r="E318" s="202">
        <f t="shared" si="21"/>
        <v>0</v>
      </c>
      <c r="F318" s="201"/>
      <c r="G318" s="196"/>
      <c r="H318" s="190"/>
      <c r="I318" s="196"/>
    </row>
    <row r="319" spans="1:9">
      <c r="A319" s="244">
        <v>264</v>
      </c>
      <c r="B319" s="202">
        <f t="shared" si="18"/>
        <v>0</v>
      </c>
      <c r="C319" s="202">
        <f t="shared" si="19"/>
        <v>0</v>
      </c>
      <c r="D319" s="202">
        <f t="shared" si="20"/>
        <v>0</v>
      </c>
      <c r="E319" s="202">
        <f t="shared" si="21"/>
        <v>0</v>
      </c>
      <c r="F319" s="201">
        <v>22</v>
      </c>
      <c r="G319" s="243"/>
      <c r="H319" s="210"/>
      <c r="I319" s="243"/>
    </row>
    <row r="320" spans="1:9">
      <c r="A320" s="244">
        <v>265</v>
      </c>
      <c r="B320" s="202">
        <f t="shared" si="18"/>
        <v>0</v>
      </c>
      <c r="C320" s="202">
        <f t="shared" si="19"/>
        <v>0</v>
      </c>
      <c r="D320" s="202">
        <f t="shared" si="20"/>
        <v>0</v>
      </c>
      <c r="E320" s="202">
        <f t="shared" si="21"/>
        <v>0</v>
      </c>
      <c r="F320" s="201"/>
      <c r="G320" s="196"/>
      <c r="H320" s="190"/>
      <c r="I320" s="243"/>
    </row>
    <row r="321" spans="1:9">
      <c r="A321" s="244">
        <v>266</v>
      </c>
      <c r="B321" s="202">
        <f t="shared" si="18"/>
        <v>0</v>
      </c>
      <c r="C321" s="202">
        <f t="shared" si="19"/>
        <v>0</v>
      </c>
      <c r="D321" s="202">
        <f t="shared" si="20"/>
        <v>0</v>
      </c>
      <c r="E321" s="202">
        <f t="shared" si="21"/>
        <v>0</v>
      </c>
      <c r="F321" s="201"/>
      <c r="G321" s="196"/>
      <c r="H321" s="190"/>
      <c r="I321" s="196"/>
    </row>
    <row r="322" spans="1:9">
      <c r="A322" s="244">
        <v>267</v>
      </c>
      <c r="B322" s="202">
        <f t="shared" si="18"/>
        <v>0</v>
      </c>
      <c r="C322" s="202">
        <f t="shared" si="19"/>
        <v>0</v>
      </c>
      <c r="D322" s="202">
        <f t="shared" si="20"/>
        <v>0</v>
      </c>
      <c r="E322" s="202">
        <f t="shared" si="21"/>
        <v>0</v>
      </c>
      <c r="F322" s="201"/>
      <c r="G322" s="196"/>
      <c r="H322" s="190"/>
      <c r="I322" s="196"/>
    </row>
    <row r="323" spans="1:9">
      <c r="A323" s="244">
        <v>268</v>
      </c>
      <c r="B323" s="202">
        <f t="shared" si="18"/>
        <v>0</v>
      </c>
      <c r="C323" s="202">
        <f t="shared" si="19"/>
        <v>0</v>
      </c>
      <c r="D323" s="202">
        <f t="shared" si="20"/>
        <v>0</v>
      </c>
      <c r="E323" s="202">
        <f t="shared" si="21"/>
        <v>0</v>
      </c>
      <c r="F323" s="201"/>
      <c r="G323" s="196"/>
      <c r="H323" s="190"/>
      <c r="I323" s="196"/>
    </row>
    <row r="324" spans="1:9">
      <c r="A324" s="244">
        <v>269</v>
      </c>
      <c r="B324" s="202">
        <f t="shared" si="18"/>
        <v>0</v>
      </c>
      <c r="C324" s="202">
        <f t="shared" si="19"/>
        <v>0</v>
      </c>
      <c r="D324" s="202">
        <f t="shared" si="20"/>
        <v>0</v>
      </c>
      <c r="E324" s="202">
        <f t="shared" si="21"/>
        <v>0</v>
      </c>
      <c r="F324" s="201"/>
      <c r="G324" s="196"/>
      <c r="H324" s="190"/>
      <c r="I324" s="196"/>
    </row>
    <row r="325" spans="1:9">
      <c r="A325" s="244">
        <v>270</v>
      </c>
      <c r="B325" s="202">
        <f t="shared" si="18"/>
        <v>0</v>
      </c>
      <c r="C325" s="202">
        <f t="shared" si="19"/>
        <v>0</v>
      </c>
      <c r="D325" s="202">
        <f t="shared" si="20"/>
        <v>0</v>
      </c>
      <c r="E325" s="202">
        <f t="shared" si="21"/>
        <v>0</v>
      </c>
      <c r="F325" s="201"/>
      <c r="G325" s="243"/>
      <c r="H325" s="210"/>
      <c r="I325" s="196"/>
    </row>
    <row r="326" spans="1:9">
      <c r="A326" s="244">
        <v>271</v>
      </c>
      <c r="B326" s="202">
        <f t="shared" si="18"/>
        <v>0</v>
      </c>
      <c r="C326" s="202">
        <f t="shared" si="19"/>
        <v>0</v>
      </c>
      <c r="D326" s="202">
        <f t="shared" si="20"/>
        <v>0</v>
      </c>
      <c r="E326" s="202">
        <f t="shared" si="21"/>
        <v>0</v>
      </c>
      <c r="F326" s="201"/>
      <c r="G326" s="196"/>
      <c r="H326" s="190"/>
      <c r="I326" s="196"/>
    </row>
    <row r="327" spans="1:9">
      <c r="A327" s="244">
        <v>272</v>
      </c>
      <c r="B327" s="202">
        <f t="shared" si="18"/>
        <v>0</v>
      </c>
      <c r="C327" s="202">
        <f t="shared" si="19"/>
        <v>0</v>
      </c>
      <c r="D327" s="202">
        <f t="shared" si="20"/>
        <v>0</v>
      </c>
      <c r="E327" s="202">
        <f t="shared" si="21"/>
        <v>0</v>
      </c>
      <c r="F327" s="201"/>
      <c r="G327" s="196"/>
      <c r="H327" s="190"/>
      <c r="I327" s="196"/>
    </row>
    <row r="328" spans="1:9">
      <c r="A328" s="244">
        <v>273</v>
      </c>
      <c r="B328" s="202">
        <f t="shared" si="18"/>
        <v>0</v>
      </c>
      <c r="C328" s="202">
        <f t="shared" si="19"/>
        <v>0</v>
      </c>
      <c r="D328" s="202">
        <f t="shared" si="20"/>
        <v>0</v>
      </c>
      <c r="E328" s="202">
        <f t="shared" si="21"/>
        <v>0</v>
      </c>
      <c r="F328" s="201"/>
      <c r="G328" s="196"/>
      <c r="H328" s="190"/>
      <c r="I328" s="196"/>
    </row>
    <row r="329" spans="1:9">
      <c r="A329" s="244">
        <v>274</v>
      </c>
      <c r="B329" s="202">
        <f t="shared" si="18"/>
        <v>0</v>
      </c>
      <c r="C329" s="202">
        <f t="shared" si="19"/>
        <v>0</v>
      </c>
      <c r="D329" s="202">
        <f t="shared" si="20"/>
        <v>0</v>
      </c>
      <c r="E329" s="202">
        <f t="shared" si="21"/>
        <v>0</v>
      </c>
      <c r="F329" s="201"/>
      <c r="G329" s="196"/>
      <c r="H329" s="190"/>
      <c r="I329" s="196"/>
    </row>
    <row r="330" spans="1:9">
      <c r="A330" s="244">
        <v>275</v>
      </c>
      <c r="B330" s="202">
        <f t="shared" si="18"/>
        <v>0</v>
      </c>
      <c r="C330" s="202">
        <f t="shared" si="19"/>
        <v>0</v>
      </c>
      <c r="D330" s="202">
        <f t="shared" si="20"/>
        <v>0</v>
      </c>
      <c r="E330" s="202">
        <f t="shared" si="21"/>
        <v>0</v>
      </c>
      <c r="F330" s="201"/>
      <c r="G330" s="196"/>
      <c r="H330" s="190"/>
      <c r="I330" s="196"/>
    </row>
    <row r="331" spans="1:9">
      <c r="A331" s="244">
        <v>276</v>
      </c>
      <c r="B331" s="202">
        <f t="shared" si="18"/>
        <v>0</v>
      </c>
      <c r="C331" s="202">
        <f t="shared" si="19"/>
        <v>0</v>
      </c>
      <c r="D331" s="202">
        <f t="shared" si="20"/>
        <v>0</v>
      </c>
      <c r="E331" s="202">
        <f t="shared" si="21"/>
        <v>0</v>
      </c>
      <c r="F331" s="201">
        <v>23</v>
      </c>
      <c r="G331" s="243"/>
      <c r="H331" s="210"/>
      <c r="I331" s="243"/>
    </row>
    <row r="332" spans="1:9">
      <c r="A332" s="244">
        <v>277</v>
      </c>
      <c r="B332" s="202">
        <f t="shared" si="18"/>
        <v>0</v>
      </c>
      <c r="C332" s="202">
        <f t="shared" si="19"/>
        <v>0</v>
      </c>
      <c r="D332" s="202">
        <f t="shared" si="20"/>
        <v>0</v>
      </c>
      <c r="E332" s="202">
        <f t="shared" si="21"/>
        <v>0</v>
      </c>
      <c r="F332" s="201"/>
      <c r="G332" s="196"/>
      <c r="H332" s="190"/>
      <c r="I332" s="243"/>
    </row>
    <row r="333" spans="1:9">
      <c r="A333" s="244">
        <v>278</v>
      </c>
      <c r="B333" s="202">
        <f t="shared" si="18"/>
        <v>0</v>
      </c>
      <c r="C333" s="202">
        <f t="shared" si="19"/>
        <v>0</v>
      </c>
      <c r="D333" s="202">
        <f t="shared" si="20"/>
        <v>0</v>
      </c>
      <c r="E333" s="202">
        <f t="shared" si="21"/>
        <v>0</v>
      </c>
      <c r="F333" s="201"/>
      <c r="G333" s="196"/>
      <c r="H333" s="190"/>
      <c r="I333" s="196"/>
    </row>
    <row r="334" spans="1:9">
      <c r="A334" s="244">
        <v>279</v>
      </c>
      <c r="B334" s="202">
        <f t="shared" si="18"/>
        <v>0</v>
      </c>
      <c r="C334" s="202">
        <f t="shared" si="19"/>
        <v>0</v>
      </c>
      <c r="D334" s="202">
        <f t="shared" si="20"/>
        <v>0</v>
      </c>
      <c r="E334" s="202">
        <f t="shared" si="21"/>
        <v>0</v>
      </c>
      <c r="F334" s="201"/>
      <c r="G334" s="196"/>
      <c r="H334" s="190"/>
      <c r="I334" s="196"/>
    </row>
    <row r="335" spans="1:9">
      <c r="A335" s="244">
        <v>280</v>
      </c>
      <c r="B335" s="202">
        <f t="shared" si="18"/>
        <v>0</v>
      </c>
      <c r="C335" s="202">
        <f t="shared" si="19"/>
        <v>0</v>
      </c>
      <c r="D335" s="202">
        <f t="shared" si="20"/>
        <v>0</v>
      </c>
      <c r="E335" s="202">
        <f t="shared" si="21"/>
        <v>0</v>
      </c>
      <c r="F335" s="201"/>
      <c r="G335" s="196"/>
      <c r="H335" s="190"/>
      <c r="I335" s="196"/>
    </row>
    <row r="336" spans="1:9">
      <c r="A336" s="244">
        <v>281</v>
      </c>
      <c r="B336" s="202">
        <f t="shared" si="18"/>
        <v>0</v>
      </c>
      <c r="C336" s="202">
        <f t="shared" si="19"/>
        <v>0</v>
      </c>
      <c r="D336" s="202">
        <f t="shared" si="20"/>
        <v>0</v>
      </c>
      <c r="E336" s="202">
        <f t="shared" si="21"/>
        <v>0</v>
      </c>
      <c r="F336" s="201"/>
      <c r="G336" s="196"/>
      <c r="H336" s="190"/>
      <c r="I336" s="196"/>
    </row>
    <row r="337" spans="1:9">
      <c r="A337" s="244">
        <v>282</v>
      </c>
      <c r="B337" s="202">
        <f t="shared" si="18"/>
        <v>0</v>
      </c>
      <c r="C337" s="202">
        <f t="shared" si="19"/>
        <v>0</v>
      </c>
      <c r="D337" s="202">
        <f t="shared" si="20"/>
        <v>0</v>
      </c>
      <c r="E337" s="202">
        <f t="shared" si="21"/>
        <v>0</v>
      </c>
      <c r="F337" s="201"/>
      <c r="G337" s="243"/>
      <c r="H337" s="210"/>
      <c r="I337" s="196"/>
    </row>
    <row r="338" spans="1:9">
      <c r="A338" s="244">
        <v>283</v>
      </c>
      <c r="B338" s="202">
        <f t="shared" si="18"/>
        <v>0</v>
      </c>
      <c r="C338" s="202">
        <f t="shared" si="19"/>
        <v>0</v>
      </c>
      <c r="D338" s="202">
        <f t="shared" si="20"/>
        <v>0</v>
      </c>
      <c r="E338" s="202">
        <f t="shared" si="21"/>
        <v>0</v>
      </c>
      <c r="F338" s="201"/>
      <c r="G338" s="196"/>
      <c r="H338" s="190"/>
      <c r="I338" s="196"/>
    </row>
    <row r="339" spans="1:9">
      <c r="A339" s="244">
        <v>284</v>
      </c>
      <c r="B339" s="202">
        <f t="shared" si="18"/>
        <v>0</v>
      </c>
      <c r="C339" s="202">
        <f t="shared" si="19"/>
        <v>0</v>
      </c>
      <c r="D339" s="202">
        <f t="shared" si="20"/>
        <v>0</v>
      </c>
      <c r="E339" s="202">
        <f t="shared" si="21"/>
        <v>0</v>
      </c>
      <c r="F339" s="201"/>
      <c r="G339" s="196"/>
      <c r="H339" s="190"/>
      <c r="I339" s="196"/>
    </row>
    <row r="340" spans="1:9">
      <c r="A340" s="244">
        <v>285</v>
      </c>
      <c r="B340" s="202">
        <f t="shared" si="18"/>
        <v>0</v>
      </c>
      <c r="C340" s="202">
        <f t="shared" si="19"/>
        <v>0</v>
      </c>
      <c r="D340" s="202">
        <f t="shared" si="20"/>
        <v>0</v>
      </c>
      <c r="E340" s="202">
        <f t="shared" si="21"/>
        <v>0</v>
      </c>
      <c r="F340" s="201"/>
      <c r="G340" s="196"/>
      <c r="H340" s="190"/>
      <c r="I340" s="196"/>
    </row>
    <row r="341" spans="1:9">
      <c r="A341" s="244">
        <v>286</v>
      </c>
      <c r="B341" s="202">
        <f t="shared" si="18"/>
        <v>0</v>
      </c>
      <c r="C341" s="202">
        <f t="shared" si="19"/>
        <v>0</v>
      </c>
      <c r="D341" s="202">
        <f t="shared" si="20"/>
        <v>0</v>
      </c>
      <c r="E341" s="202">
        <f t="shared" si="21"/>
        <v>0</v>
      </c>
      <c r="F341" s="201"/>
      <c r="G341" s="196"/>
      <c r="H341" s="190"/>
      <c r="I341" s="196"/>
    </row>
    <row r="342" spans="1:9">
      <c r="A342" s="244">
        <v>287</v>
      </c>
      <c r="B342" s="202">
        <f t="shared" si="18"/>
        <v>0</v>
      </c>
      <c r="C342" s="202">
        <f t="shared" si="19"/>
        <v>0</v>
      </c>
      <c r="D342" s="202">
        <f t="shared" si="20"/>
        <v>0</v>
      </c>
      <c r="E342" s="202">
        <f t="shared" si="21"/>
        <v>0</v>
      </c>
      <c r="F342" s="201"/>
      <c r="G342" s="196"/>
      <c r="H342" s="190"/>
      <c r="I342" s="196"/>
    </row>
    <row r="343" spans="1:9">
      <c r="A343" s="244">
        <v>288</v>
      </c>
      <c r="B343" s="202">
        <f t="shared" si="18"/>
        <v>0</v>
      </c>
      <c r="C343" s="202">
        <f t="shared" si="19"/>
        <v>0</v>
      </c>
      <c r="D343" s="202">
        <f t="shared" si="20"/>
        <v>0</v>
      </c>
      <c r="E343" s="202">
        <f t="shared" si="21"/>
        <v>0</v>
      </c>
      <c r="F343" s="201">
        <v>24</v>
      </c>
      <c r="G343" s="243"/>
      <c r="H343" s="210"/>
      <c r="I343" s="243"/>
    </row>
    <row r="344" spans="1:9">
      <c r="A344" s="244">
        <v>289</v>
      </c>
      <c r="B344" s="202">
        <f t="shared" si="18"/>
        <v>0</v>
      </c>
      <c r="C344" s="202">
        <f t="shared" si="19"/>
        <v>0</v>
      </c>
      <c r="D344" s="202">
        <f t="shared" si="20"/>
        <v>0</v>
      </c>
      <c r="E344" s="202">
        <f t="shared" si="21"/>
        <v>0</v>
      </c>
      <c r="F344" s="201"/>
      <c r="G344" s="196"/>
      <c r="H344" s="190"/>
      <c r="I344" s="243"/>
    </row>
    <row r="345" spans="1:9">
      <c r="A345" s="244">
        <v>290</v>
      </c>
      <c r="B345" s="202">
        <f t="shared" si="18"/>
        <v>0</v>
      </c>
      <c r="C345" s="202">
        <f t="shared" si="19"/>
        <v>0</v>
      </c>
      <c r="D345" s="202">
        <f t="shared" si="20"/>
        <v>0</v>
      </c>
      <c r="E345" s="202">
        <f t="shared" si="21"/>
        <v>0</v>
      </c>
      <c r="F345" s="201"/>
      <c r="G345" s="196"/>
      <c r="H345" s="190"/>
      <c r="I345" s="196"/>
    </row>
    <row r="346" spans="1:9">
      <c r="A346" s="244">
        <v>291</v>
      </c>
      <c r="B346" s="202">
        <f t="shared" si="18"/>
        <v>0</v>
      </c>
      <c r="C346" s="202">
        <f t="shared" si="19"/>
        <v>0</v>
      </c>
      <c r="D346" s="202">
        <f t="shared" si="20"/>
        <v>0</v>
      </c>
      <c r="E346" s="202">
        <f t="shared" si="21"/>
        <v>0</v>
      </c>
      <c r="F346" s="201"/>
      <c r="G346" s="196"/>
      <c r="H346" s="190"/>
      <c r="I346" s="196"/>
    </row>
    <row r="347" spans="1:9">
      <c r="A347" s="244">
        <v>292</v>
      </c>
      <c r="B347" s="202">
        <f t="shared" si="18"/>
        <v>0</v>
      </c>
      <c r="C347" s="202">
        <f t="shared" si="19"/>
        <v>0</v>
      </c>
      <c r="D347" s="202">
        <f t="shared" si="20"/>
        <v>0</v>
      </c>
      <c r="E347" s="202">
        <f t="shared" si="21"/>
        <v>0</v>
      </c>
      <c r="F347" s="201"/>
      <c r="G347" s="196"/>
      <c r="H347" s="190"/>
      <c r="I347" s="196"/>
    </row>
    <row r="348" spans="1:9">
      <c r="A348" s="244">
        <v>293</v>
      </c>
      <c r="B348" s="202">
        <f t="shared" si="18"/>
        <v>0</v>
      </c>
      <c r="C348" s="202">
        <f t="shared" si="19"/>
        <v>0</v>
      </c>
      <c r="D348" s="202">
        <f t="shared" si="20"/>
        <v>0</v>
      </c>
      <c r="E348" s="202">
        <f t="shared" si="21"/>
        <v>0</v>
      </c>
      <c r="F348" s="201"/>
      <c r="G348" s="196"/>
      <c r="H348" s="190"/>
      <c r="I348" s="196"/>
    </row>
    <row r="349" spans="1:9">
      <c r="A349" s="244">
        <v>294</v>
      </c>
      <c r="B349" s="202">
        <f t="shared" si="18"/>
        <v>0</v>
      </c>
      <c r="C349" s="202">
        <f t="shared" si="19"/>
        <v>0</v>
      </c>
      <c r="D349" s="202">
        <f t="shared" si="20"/>
        <v>0</v>
      </c>
      <c r="E349" s="202">
        <f t="shared" si="21"/>
        <v>0</v>
      </c>
      <c r="F349" s="201"/>
      <c r="G349" s="243"/>
      <c r="H349" s="210"/>
      <c r="I349" s="196"/>
    </row>
    <row r="350" spans="1:9">
      <c r="A350" s="244">
        <v>295</v>
      </c>
      <c r="B350" s="202">
        <f t="shared" si="18"/>
        <v>0</v>
      </c>
      <c r="C350" s="202">
        <f t="shared" si="19"/>
        <v>0</v>
      </c>
      <c r="D350" s="202">
        <f t="shared" si="20"/>
        <v>0</v>
      </c>
      <c r="E350" s="202">
        <f t="shared" si="21"/>
        <v>0</v>
      </c>
      <c r="F350" s="201"/>
      <c r="G350" s="196"/>
      <c r="H350" s="190"/>
      <c r="I350" s="196"/>
    </row>
    <row r="351" spans="1:9">
      <c r="A351" s="244">
        <v>296</v>
      </c>
      <c r="B351" s="202">
        <f t="shared" si="18"/>
        <v>0</v>
      </c>
      <c r="C351" s="202">
        <f t="shared" si="19"/>
        <v>0</v>
      </c>
      <c r="D351" s="202">
        <f t="shared" si="20"/>
        <v>0</v>
      </c>
      <c r="E351" s="202">
        <f t="shared" si="21"/>
        <v>0</v>
      </c>
      <c r="F351" s="201"/>
      <c r="G351" s="196"/>
      <c r="H351" s="190"/>
      <c r="I351" s="196"/>
    </row>
    <row r="352" spans="1:9">
      <c r="A352" s="244">
        <v>297</v>
      </c>
      <c r="B352" s="202">
        <f t="shared" si="18"/>
        <v>0</v>
      </c>
      <c r="C352" s="202">
        <f t="shared" si="19"/>
        <v>0</v>
      </c>
      <c r="D352" s="202">
        <f t="shared" si="20"/>
        <v>0</v>
      </c>
      <c r="E352" s="202">
        <f t="shared" si="21"/>
        <v>0</v>
      </c>
      <c r="F352" s="201"/>
      <c r="G352" s="196"/>
      <c r="H352" s="190"/>
      <c r="I352" s="196"/>
    </row>
    <row r="353" spans="1:9">
      <c r="A353" s="244">
        <v>298</v>
      </c>
      <c r="B353" s="202">
        <f t="shared" si="18"/>
        <v>0</v>
      </c>
      <c r="C353" s="202">
        <f t="shared" si="19"/>
        <v>0</v>
      </c>
      <c r="D353" s="202">
        <f t="shared" si="20"/>
        <v>0</v>
      </c>
      <c r="E353" s="202">
        <f t="shared" si="21"/>
        <v>0</v>
      </c>
      <c r="F353" s="201"/>
      <c r="G353" s="196"/>
      <c r="H353" s="190"/>
      <c r="I353" s="196"/>
    </row>
    <row r="354" spans="1:9">
      <c r="A354" s="244">
        <v>299</v>
      </c>
      <c r="B354" s="202">
        <f t="shared" si="18"/>
        <v>0</v>
      </c>
      <c r="C354" s="202">
        <f t="shared" si="19"/>
        <v>0</v>
      </c>
      <c r="D354" s="202">
        <f t="shared" si="20"/>
        <v>0</v>
      </c>
      <c r="E354" s="202">
        <f t="shared" si="21"/>
        <v>0</v>
      </c>
      <c r="F354" s="201"/>
      <c r="G354" s="196"/>
      <c r="H354" s="190"/>
      <c r="I354" s="196"/>
    </row>
    <row r="355" spans="1:9">
      <c r="A355" s="244">
        <v>300</v>
      </c>
      <c r="B355" s="202">
        <f t="shared" si="18"/>
        <v>0</v>
      </c>
      <c r="C355" s="202">
        <f t="shared" si="19"/>
        <v>0</v>
      </c>
      <c r="D355" s="202">
        <f t="shared" si="20"/>
        <v>0</v>
      </c>
      <c r="E355" s="202">
        <f t="shared" si="21"/>
        <v>0</v>
      </c>
      <c r="F355" s="201">
        <v>25</v>
      </c>
      <c r="G355" s="243"/>
      <c r="H355" s="210"/>
      <c r="I355" s="243"/>
    </row>
    <row r="356" spans="1:9">
      <c r="A356" s="244">
        <v>301</v>
      </c>
      <c r="B356" s="202">
        <f t="shared" si="18"/>
        <v>0</v>
      </c>
      <c r="C356" s="202">
        <f t="shared" si="19"/>
        <v>0</v>
      </c>
      <c r="D356" s="202">
        <f t="shared" si="20"/>
        <v>0</v>
      </c>
      <c r="E356" s="202">
        <f t="shared" si="21"/>
        <v>0</v>
      </c>
      <c r="F356" s="201"/>
      <c r="G356" s="196"/>
      <c r="H356" s="190"/>
      <c r="I356" s="243"/>
    </row>
    <row r="357" spans="1:9">
      <c r="A357" s="244">
        <v>302</v>
      </c>
      <c r="B357" s="202">
        <f t="shared" si="18"/>
        <v>0</v>
      </c>
      <c r="C357" s="202">
        <f t="shared" si="19"/>
        <v>0</v>
      </c>
      <c r="D357" s="202">
        <f t="shared" si="20"/>
        <v>0</v>
      </c>
      <c r="E357" s="202">
        <f t="shared" si="21"/>
        <v>0</v>
      </c>
      <c r="F357" s="201"/>
      <c r="G357" s="196"/>
      <c r="H357" s="190"/>
      <c r="I357" s="196"/>
    </row>
    <row r="358" spans="1:9">
      <c r="A358" s="244">
        <v>303</v>
      </c>
      <c r="B358" s="202">
        <f t="shared" si="18"/>
        <v>0</v>
      </c>
      <c r="C358" s="202">
        <f t="shared" si="19"/>
        <v>0</v>
      </c>
      <c r="D358" s="202">
        <f t="shared" si="20"/>
        <v>0</v>
      </c>
      <c r="E358" s="202">
        <f t="shared" si="21"/>
        <v>0</v>
      </c>
      <c r="F358" s="201"/>
      <c r="G358" s="196"/>
      <c r="H358" s="190"/>
      <c r="I358" s="196"/>
    </row>
    <row r="359" spans="1:9">
      <c r="A359" s="244">
        <v>304</v>
      </c>
      <c r="B359" s="202">
        <f t="shared" si="18"/>
        <v>0</v>
      </c>
      <c r="C359" s="202">
        <f t="shared" si="19"/>
        <v>0</v>
      </c>
      <c r="D359" s="202">
        <f t="shared" si="20"/>
        <v>0</v>
      </c>
      <c r="E359" s="202">
        <f t="shared" si="21"/>
        <v>0</v>
      </c>
      <c r="F359" s="201"/>
      <c r="G359" s="196"/>
      <c r="H359" s="190"/>
      <c r="I359" s="196"/>
    </row>
    <row r="360" spans="1:9">
      <c r="A360" s="244">
        <v>305</v>
      </c>
      <c r="B360" s="202">
        <f t="shared" si="18"/>
        <v>0</v>
      </c>
      <c r="C360" s="202">
        <f t="shared" si="19"/>
        <v>0</v>
      </c>
      <c r="D360" s="202">
        <f t="shared" si="20"/>
        <v>0</v>
      </c>
      <c r="E360" s="202">
        <f t="shared" si="21"/>
        <v>0</v>
      </c>
      <c r="F360" s="201"/>
      <c r="G360" s="196"/>
      <c r="H360" s="190"/>
      <c r="I360" s="196"/>
    </row>
    <row r="361" spans="1:9">
      <c r="A361" s="244">
        <v>306</v>
      </c>
      <c r="B361" s="202">
        <f t="shared" si="18"/>
        <v>0</v>
      </c>
      <c r="C361" s="202">
        <f t="shared" si="19"/>
        <v>0</v>
      </c>
      <c r="D361" s="202">
        <f t="shared" si="20"/>
        <v>0</v>
      </c>
      <c r="E361" s="202">
        <f t="shared" si="21"/>
        <v>0</v>
      </c>
      <c r="F361" s="201"/>
      <c r="G361" s="243"/>
      <c r="H361" s="210"/>
      <c r="I361" s="196"/>
    </row>
    <row r="362" spans="1:9">
      <c r="A362" s="244">
        <v>307</v>
      </c>
      <c r="B362" s="202">
        <f t="shared" si="18"/>
        <v>0</v>
      </c>
      <c r="C362" s="202">
        <f t="shared" si="19"/>
        <v>0</v>
      </c>
      <c r="D362" s="202">
        <f t="shared" si="20"/>
        <v>0</v>
      </c>
      <c r="E362" s="202">
        <f t="shared" si="21"/>
        <v>0</v>
      </c>
      <c r="F362" s="201"/>
      <c r="G362" s="196"/>
      <c r="H362" s="190"/>
      <c r="I362" s="196"/>
    </row>
    <row r="363" spans="1:9">
      <c r="A363" s="244">
        <v>308</v>
      </c>
      <c r="B363" s="202">
        <f t="shared" si="18"/>
        <v>0</v>
      </c>
      <c r="C363" s="202">
        <f t="shared" si="19"/>
        <v>0</v>
      </c>
      <c r="D363" s="202">
        <f t="shared" si="20"/>
        <v>0</v>
      </c>
      <c r="E363" s="202">
        <f t="shared" si="21"/>
        <v>0</v>
      </c>
      <c r="F363" s="201"/>
      <c r="G363" s="196"/>
      <c r="H363" s="190"/>
      <c r="I363" s="196"/>
    </row>
    <row r="364" spans="1:9">
      <c r="A364" s="244">
        <v>309</v>
      </c>
      <c r="B364" s="202">
        <f t="shared" si="18"/>
        <v>0</v>
      </c>
      <c r="C364" s="202">
        <f t="shared" si="19"/>
        <v>0</v>
      </c>
      <c r="D364" s="202">
        <f t="shared" si="20"/>
        <v>0</v>
      </c>
      <c r="E364" s="202">
        <f t="shared" si="21"/>
        <v>0</v>
      </c>
      <c r="F364" s="201"/>
      <c r="G364" s="196"/>
      <c r="H364" s="190"/>
      <c r="I364" s="196"/>
    </row>
    <row r="365" spans="1:9">
      <c r="A365" s="244">
        <v>310</v>
      </c>
      <c r="B365" s="202">
        <f t="shared" si="18"/>
        <v>0</v>
      </c>
      <c r="C365" s="202">
        <f t="shared" si="19"/>
        <v>0</v>
      </c>
      <c r="D365" s="202">
        <f t="shared" si="20"/>
        <v>0</v>
      </c>
      <c r="E365" s="202">
        <f t="shared" si="21"/>
        <v>0</v>
      </c>
      <c r="F365" s="201"/>
      <c r="G365" s="196"/>
      <c r="H365" s="190"/>
      <c r="I365" s="196"/>
    </row>
    <row r="366" spans="1:9">
      <c r="A366" s="244">
        <v>311</v>
      </c>
      <c r="B366" s="202">
        <f t="shared" si="18"/>
        <v>0</v>
      </c>
      <c r="C366" s="202">
        <f t="shared" si="19"/>
        <v>0</v>
      </c>
      <c r="D366" s="202">
        <f t="shared" si="20"/>
        <v>0</v>
      </c>
      <c r="E366" s="202">
        <f t="shared" si="21"/>
        <v>0</v>
      </c>
      <c r="F366" s="201"/>
      <c r="G366" s="196"/>
      <c r="H366" s="190"/>
      <c r="I366" s="196"/>
    </row>
    <row r="367" spans="1:9">
      <c r="A367" s="244">
        <v>312</v>
      </c>
      <c r="B367" s="202">
        <f t="shared" si="18"/>
        <v>0</v>
      </c>
      <c r="C367" s="202">
        <f t="shared" si="19"/>
        <v>0</v>
      </c>
      <c r="D367" s="202">
        <f t="shared" si="20"/>
        <v>0</v>
      </c>
      <c r="E367" s="202">
        <f t="shared" si="21"/>
        <v>0</v>
      </c>
      <c r="F367" s="201">
        <v>26</v>
      </c>
      <c r="G367" s="243"/>
      <c r="H367" s="210"/>
      <c r="I367" s="243"/>
    </row>
    <row r="368" spans="1:9">
      <c r="A368" s="244">
        <v>313</v>
      </c>
      <c r="B368" s="202">
        <f t="shared" si="18"/>
        <v>0</v>
      </c>
      <c r="C368" s="202">
        <f t="shared" si="19"/>
        <v>0</v>
      </c>
      <c r="D368" s="202">
        <f t="shared" si="20"/>
        <v>0</v>
      </c>
      <c r="E368" s="202">
        <f t="shared" si="21"/>
        <v>0</v>
      </c>
      <c r="F368" s="201"/>
      <c r="G368" s="196"/>
      <c r="H368" s="190"/>
      <c r="I368" s="243"/>
    </row>
    <row r="369" spans="1:9">
      <c r="A369" s="244">
        <v>314</v>
      </c>
      <c r="B369" s="202">
        <f t="shared" si="18"/>
        <v>0</v>
      </c>
      <c r="C369" s="202">
        <f t="shared" si="19"/>
        <v>0</v>
      </c>
      <c r="D369" s="202">
        <f t="shared" si="20"/>
        <v>0</v>
      </c>
      <c r="E369" s="202">
        <f t="shared" si="21"/>
        <v>0</v>
      </c>
      <c r="F369" s="201"/>
      <c r="G369" s="196"/>
      <c r="H369" s="190"/>
      <c r="I369" s="196"/>
    </row>
    <row r="370" spans="1:9">
      <c r="A370" s="244">
        <v>315</v>
      </c>
      <c r="B370" s="202">
        <f t="shared" si="18"/>
        <v>0</v>
      </c>
      <c r="C370" s="202">
        <f t="shared" si="19"/>
        <v>0</v>
      </c>
      <c r="D370" s="202">
        <f t="shared" si="20"/>
        <v>0</v>
      </c>
      <c r="E370" s="202">
        <f t="shared" si="21"/>
        <v>0</v>
      </c>
      <c r="F370" s="201"/>
      <c r="G370" s="196"/>
      <c r="H370" s="190"/>
      <c r="I370" s="196"/>
    </row>
    <row r="371" spans="1:9">
      <c r="A371" s="244">
        <v>316</v>
      </c>
      <c r="B371" s="202">
        <f t="shared" si="18"/>
        <v>0</v>
      </c>
      <c r="C371" s="202">
        <f t="shared" si="19"/>
        <v>0</v>
      </c>
      <c r="D371" s="202">
        <f t="shared" si="20"/>
        <v>0</v>
      </c>
      <c r="E371" s="202">
        <f t="shared" si="21"/>
        <v>0</v>
      </c>
      <c r="F371" s="201"/>
      <c r="G371" s="196"/>
      <c r="H371" s="190"/>
      <c r="I371" s="196"/>
    </row>
    <row r="372" spans="1:9">
      <c r="A372" s="244">
        <v>317</v>
      </c>
      <c r="B372" s="202">
        <f t="shared" si="18"/>
        <v>0</v>
      </c>
      <c r="C372" s="202">
        <f t="shared" si="19"/>
        <v>0</v>
      </c>
      <c r="D372" s="202">
        <f t="shared" si="20"/>
        <v>0</v>
      </c>
      <c r="E372" s="202">
        <f t="shared" si="21"/>
        <v>0</v>
      </c>
      <c r="F372" s="201"/>
      <c r="G372" s="196"/>
      <c r="H372" s="190"/>
      <c r="I372" s="196"/>
    </row>
    <row r="373" spans="1:9">
      <c r="A373" s="244">
        <v>318</v>
      </c>
      <c r="B373" s="202">
        <f t="shared" si="18"/>
        <v>0</v>
      </c>
      <c r="C373" s="202">
        <f t="shared" si="19"/>
        <v>0</v>
      </c>
      <c r="D373" s="202">
        <f t="shared" si="20"/>
        <v>0</v>
      </c>
      <c r="E373" s="202">
        <f t="shared" si="21"/>
        <v>0</v>
      </c>
      <c r="F373" s="201"/>
      <c r="G373" s="243"/>
      <c r="H373" s="210"/>
      <c r="I373" s="196"/>
    </row>
    <row r="374" spans="1:9">
      <c r="A374" s="244">
        <v>319</v>
      </c>
      <c r="B374" s="202">
        <f t="shared" si="18"/>
        <v>0</v>
      </c>
      <c r="C374" s="202">
        <f t="shared" si="19"/>
        <v>0</v>
      </c>
      <c r="D374" s="202">
        <f t="shared" si="20"/>
        <v>0</v>
      </c>
      <c r="E374" s="202">
        <f t="shared" si="21"/>
        <v>0</v>
      </c>
      <c r="F374" s="201"/>
      <c r="G374" s="196"/>
      <c r="H374" s="190"/>
      <c r="I374" s="196"/>
    </row>
    <row r="375" spans="1:9">
      <c r="A375" s="244">
        <v>320</v>
      </c>
      <c r="B375" s="202">
        <f t="shared" si="18"/>
        <v>0</v>
      </c>
      <c r="C375" s="202">
        <f t="shared" si="19"/>
        <v>0</v>
      </c>
      <c r="D375" s="202">
        <f t="shared" si="20"/>
        <v>0</v>
      </c>
      <c r="E375" s="202">
        <f t="shared" si="21"/>
        <v>0</v>
      </c>
      <c r="F375" s="201"/>
      <c r="G375" s="196"/>
      <c r="H375" s="190"/>
      <c r="I375" s="196"/>
    </row>
    <row r="376" spans="1:9">
      <c r="A376" s="244">
        <v>321</v>
      </c>
      <c r="B376" s="202">
        <f t="shared" ref="B376:B439" si="22">IF(A376&gt;12*$D$14,0,$D$20)</f>
        <v>0</v>
      </c>
      <c r="C376" s="202">
        <f t="shared" ref="C376:C439" si="23">IF(A376&gt;12*$D$14,0,E375*$D$10/12)</f>
        <v>0</v>
      </c>
      <c r="D376" s="202">
        <f t="shared" ref="D376:D439" si="24">IF(A376&gt;12*$D$14,0,B376-C376)</f>
        <v>0</v>
      </c>
      <c r="E376" s="202">
        <f t="shared" ref="E376:E439" si="25">IF(A376&gt;12*$D$14,0,E375-D376)</f>
        <v>0</v>
      </c>
      <c r="F376" s="201"/>
      <c r="G376" s="196"/>
      <c r="H376" s="190"/>
      <c r="I376" s="196"/>
    </row>
    <row r="377" spans="1:9">
      <c r="A377" s="244">
        <v>322</v>
      </c>
      <c r="B377" s="202">
        <f t="shared" si="22"/>
        <v>0</v>
      </c>
      <c r="C377" s="202">
        <f t="shared" si="23"/>
        <v>0</v>
      </c>
      <c r="D377" s="202">
        <f t="shared" si="24"/>
        <v>0</v>
      </c>
      <c r="E377" s="202">
        <f t="shared" si="25"/>
        <v>0</v>
      </c>
      <c r="F377" s="201"/>
      <c r="G377" s="196"/>
      <c r="H377" s="190"/>
      <c r="I377" s="196"/>
    </row>
    <row r="378" spans="1:9">
      <c r="A378" s="244">
        <v>323</v>
      </c>
      <c r="B378" s="202">
        <f t="shared" si="22"/>
        <v>0</v>
      </c>
      <c r="C378" s="202">
        <f t="shared" si="23"/>
        <v>0</v>
      </c>
      <c r="D378" s="202">
        <f t="shared" si="24"/>
        <v>0</v>
      </c>
      <c r="E378" s="202">
        <f t="shared" si="25"/>
        <v>0</v>
      </c>
      <c r="F378" s="201"/>
      <c r="G378" s="196"/>
      <c r="H378" s="190"/>
      <c r="I378" s="196"/>
    </row>
    <row r="379" spans="1:9">
      <c r="A379" s="244">
        <v>324</v>
      </c>
      <c r="B379" s="202">
        <f t="shared" si="22"/>
        <v>0</v>
      </c>
      <c r="C379" s="202">
        <f t="shared" si="23"/>
        <v>0</v>
      </c>
      <c r="D379" s="202">
        <f t="shared" si="24"/>
        <v>0</v>
      </c>
      <c r="E379" s="202">
        <f t="shared" si="25"/>
        <v>0</v>
      </c>
      <c r="F379" s="201">
        <v>27</v>
      </c>
      <c r="G379" s="243"/>
      <c r="H379" s="210"/>
      <c r="I379" s="243"/>
    </row>
    <row r="380" spans="1:9">
      <c r="A380" s="244">
        <v>325</v>
      </c>
      <c r="B380" s="202">
        <f t="shared" si="22"/>
        <v>0</v>
      </c>
      <c r="C380" s="202">
        <f t="shared" si="23"/>
        <v>0</v>
      </c>
      <c r="D380" s="202">
        <f t="shared" si="24"/>
        <v>0</v>
      </c>
      <c r="E380" s="202">
        <f t="shared" si="25"/>
        <v>0</v>
      </c>
      <c r="F380" s="201"/>
      <c r="G380" s="196"/>
      <c r="H380" s="190"/>
      <c r="I380" s="243"/>
    </row>
    <row r="381" spans="1:9">
      <c r="A381" s="244">
        <v>326</v>
      </c>
      <c r="B381" s="202">
        <f t="shared" si="22"/>
        <v>0</v>
      </c>
      <c r="C381" s="202">
        <f t="shared" si="23"/>
        <v>0</v>
      </c>
      <c r="D381" s="202">
        <f t="shared" si="24"/>
        <v>0</v>
      </c>
      <c r="E381" s="202">
        <f t="shared" si="25"/>
        <v>0</v>
      </c>
      <c r="F381" s="201"/>
      <c r="G381" s="196"/>
      <c r="H381" s="190"/>
      <c r="I381" s="196"/>
    </row>
    <row r="382" spans="1:9">
      <c r="A382" s="244">
        <v>327</v>
      </c>
      <c r="B382" s="202">
        <f t="shared" si="22"/>
        <v>0</v>
      </c>
      <c r="C382" s="202">
        <f t="shared" si="23"/>
        <v>0</v>
      </c>
      <c r="D382" s="202">
        <f t="shared" si="24"/>
        <v>0</v>
      </c>
      <c r="E382" s="202">
        <f t="shared" si="25"/>
        <v>0</v>
      </c>
      <c r="F382" s="201"/>
      <c r="G382" s="196"/>
      <c r="H382" s="190"/>
      <c r="I382" s="196"/>
    </row>
    <row r="383" spans="1:9">
      <c r="A383" s="244">
        <v>328</v>
      </c>
      <c r="B383" s="202">
        <f t="shared" si="22"/>
        <v>0</v>
      </c>
      <c r="C383" s="202">
        <f t="shared" si="23"/>
        <v>0</v>
      </c>
      <c r="D383" s="202">
        <f t="shared" si="24"/>
        <v>0</v>
      </c>
      <c r="E383" s="202">
        <f t="shared" si="25"/>
        <v>0</v>
      </c>
      <c r="F383" s="201"/>
      <c r="G383" s="196"/>
      <c r="H383" s="190"/>
      <c r="I383" s="196"/>
    </row>
    <row r="384" spans="1:9">
      <c r="A384" s="244">
        <v>329</v>
      </c>
      <c r="B384" s="202">
        <f t="shared" si="22"/>
        <v>0</v>
      </c>
      <c r="C384" s="202">
        <f t="shared" si="23"/>
        <v>0</v>
      </c>
      <c r="D384" s="202">
        <f t="shared" si="24"/>
        <v>0</v>
      </c>
      <c r="E384" s="202">
        <f t="shared" si="25"/>
        <v>0</v>
      </c>
      <c r="F384" s="201"/>
      <c r="G384" s="196"/>
      <c r="H384" s="190"/>
      <c r="I384" s="196"/>
    </row>
    <row r="385" spans="1:9">
      <c r="A385" s="244">
        <v>330</v>
      </c>
      <c r="B385" s="202">
        <f t="shared" si="22"/>
        <v>0</v>
      </c>
      <c r="C385" s="202">
        <f t="shared" si="23"/>
        <v>0</v>
      </c>
      <c r="D385" s="202">
        <f t="shared" si="24"/>
        <v>0</v>
      </c>
      <c r="E385" s="202">
        <f t="shared" si="25"/>
        <v>0</v>
      </c>
      <c r="F385" s="201"/>
      <c r="G385" s="243"/>
      <c r="H385" s="210"/>
      <c r="I385" s="196"/>
    </row>
    <row r="386" spans="1:9">
      <c r="A386" s="244">
        <v>331</v>
      </c>
      <c r="B386" s="202">
        <f t="shared" si="22"/>
        <v>0</v>
      </c>
      <c r="C386" s="202">
        <f t="shared" si="23"/>
        <v>0</v>
      </c>
      <c r="D386" s="202">
        <f t="shared" si="24"/>
        <v>0</v>
      </c>
      <c r="E386" s="202">
        <f t="shared" si="25"/>
        <v>0</v>
      </c>
      <c r="F386" s="201"/>
      <c r="G386" s="196"/>
      <c r="H386" s="190"/>
      <c r="I386" s="196"/>
    </row>
    <row r="387" spans="1:9">
      <c r="A387" s="244">
        <v>332</v>
      </c>
      <c r="B387" s="202">
        <f t="shared" si="22"/>
        <v>0</v>
      </c>
      <c r="C387" s="202">
        <f t="shared" si="23"/>
        <v>0</v>
      </c>
      <c r="D387" s="202">
        <f t="shared" si="24"/>
        <v>0</v>
      </c>
      <c r="E387" s="202">
        <f t="shared" si="25"/>
        <v>0</v>
      </c>
      <c r="F387" s="201"/>
      <c r="G387" s="196"/>
      <c r="H387" s="190"/>
      <c r="I387" s="196"/>
    </row>
    <row r="388" spans="1:9">
      <c r="A388" s="244">
        <v>333</v>
      </c>
      <c r="B388" s="202">
        <f t="shared" si="22"/>
        <v>0</v>
      </c>
      <c r="C388" s="202">
        <f t="shared" si="23"/>
        <v>0</v>
      </c>
      <c r="D388" s="202">
        <f t="shared" si="24"/>
        <v>0</v>
      </c>
      <c r="E388" s="202">
        <f t="shared" si="25"/>
        <v>0</v>
      </c>
      <c r="F388" s="201"/>
      <c r="G388" s="196"/>
      <c r="H388" s="190"/>
      <c r="I388" s="196"/>
    </row>
    <row r="389" spans="1:9">
      <c r="A389" s="244">
        <v>334</v>
      </c>
      <c r="B389" s="202">
        <f t="shared" si="22"/>
        <v>0</v>
      </c>
      <c r="C389" s="202">
        <f t="shared" si="23"/>
        <v>0</v>
      </c>
      <c r="D389" s="202">
        <f t="shared" si="24"/>
        <v>0</v>
      </c>
      <c r="E389" s="202">
        <f t="shared" si="25"/>
        <v>0</v>
      </c>
      <c r="F389" s="201"/>
      <c r="G389" s="196"/>
      <c r="H389" s="190"/>
      <c r="I389" s="196"/>
    </row>
    <row r="390" spans="1:9">
      <c r="A390" s="244">
        <v>335</v>
      </c>
      <c r="B390" s="202">
        <f t="shared" si="22"/>
        <v>0</v>
      </c>
      <c r="C390" s="202">
        <f t="shared" si="23"/>
        <v>0</v>
      </c>
      <c r="D390" s="202">
        <f t="shared" si="24"/>
        <v>0</v>
      </c>
      <c r="E390" s="202">
        <f t="shared" si="25"/>
        <v>0</v>
      </c>
      <c r="F390" s="201"/>
      <c r="G390" s="196"/>
      <c r="H390" s="190"/>
      <c r="I390" s="196"/>
    </row>
    <row r="391" spans="1:9">
      <c r="A391" s="244">
        <v>336</v>
      </c>
      <c r="B391" s="202">
        <f t="shared" si="22"/>
        <v>0</v>
      </c>
      <c r="C391" s="202">
        <f t="shared" si="23"/>
        <v>0</v>
      </c>
      <c r="D391" s="202">
        <f t="shared" si="24"/>
        <v>0</v>
      </c>
      <c r="E391" s="202">
        <f t="shared" si="25"/>
        <v>0</v>
      </c>
      <c r="F391" s="201">
        <v>28</v>
      </c>
      <c r="G391" s="243"/>
      <c r="H391" s="210"/>
      <c r="I391" s="243"/>
    </row>
    <row r="392" spans="1:9">
      <c r="A392" s="244">
        <v>337</v>
      </c>
      <c r="B392" s="202">
        <f t="shared" si="22"/>
        <v>0</v>
      </c>
      <c r="C392" s="202">
        <f t="shared" si="23"/>
        <v>0</v>
      </c>
      <c r="D392" s="202">
        <f t="shared" si="24"/>
        <v>0</v>
      </c>
      <c r="E392" s="202">
        <f t="shared" si="25"/>
        <v>0</v>
      </c>
      <c r="F392" s="201"/>
      <c r="G392" s="196"/>
      <c r="H392" s="190"/>
      <c r="I392" s="243"/>
    </row>
    <row r="393" spans="1:9">
      <c r="A393" s="244">
        <v>338</v>
      </c>
      <c r="B393" s="202">
        <f t="shared" si="22"/>
        <v>0</v>
      </c>
      <c r="C393" s="202">
        <f t="shared" si="23"/>
        <v>0</v>
      </c>
      <c r="D393" s="202">
        <f t="shared" si="24"/>
        <v>0</v>
      </c>
      <c r="E393" s="202">
        <f t="shared" si="25"/>
        <v>0</v>
      </c>
      <c r="F393" s="201"/>
      <c r="G393" s="196"/>
      <c r="H393" s="190"/>
      <c r="I393" s="196"/>
    </row>
    <row r="394" spans="1:9">
      <c r="A394" s="244">
        <v>339</v>
      </c>
      <c r="B394" s="202">
        <f t="shared" si="22"/>
        <v>0</v>
      </c>
      <c r="C394" s="202">
        <f t="shared" si="23"/>
        <v>0</v>
      </c>
      <c r="D394" s="202">
        <f t="shared" si="24"/>
        <v>0</v>
      </c>
      <c r="E394" s="202">
        <f t="shared" si="25"/>
        <v>0</v>
      </c>
      <c r="F394" s="201"/>
      <c r="G394" s="196"/>
      <c r="H394" s="190"/>
      <c r="I394" s="196"/>
    </row>
    <row r="395" spans="1:9">
      <c r="A395" s="244">
        <v>340</v>
      </c>
      <c r="B395" s="202">
        <f t="shared" si="22"/>
        <v>0</v>
      </c>
      <c r="C395" s="202">
        <f t="shared" si="23"/>
        <v>0</v>
      </c>
      <c r="D395" s="202">
        <f t="shared" si="24"/>
        <v>0</v>
      </c>
      <c r="E395" s="202">
        <f t="shared" si="25"/>
        <v>0</v>
      </c>
      <c r="F395" s="201"/>
      <c r="G395" s="196"/>
      <c r="H395" s="190"/>
      <c r="I395" s="196"/>
    </row>
    <row r="396" spans="1:9">
      <c r="A396" s="244">
        <v>341</v>
      </c>
      <c r="B396" s="202">
        <f t="shared" si="22"/>
        <v>0</v>
      </c>
      <c r="C396" s="202">
        <f t="shared" si="23"/>
        <v>0</v>
      </c>
      <c r="D396" s="202">
        <f t="shared" si="24"/>
        <v>0</v>
      </c>
      <c r="E396" s="202">
        <f t="shared" si="25"/>
        <v>0</v>
      </c>
      <c r="F396" s="201"/>
      <c r="G396" s="196"/>
      <c r="H396" s="190"/>
      <c r="I396" s="196"/>
    </row>
    <row r="397" spans="1:9">
      <c r="A397" s="244">
        <v>342</v>
      </c>
      <c r="B397" s="202">
        <f t="shared" si="22"/>
        <v>0</v>
      </c>
      <c r="C397" s="202">
        <f t="shared" si="23"/>
        <v>0</v>
      </c>
      <c r="D397" s="202">
        <f t="shared" si="24"/>
        <v>0</v>
      </c>
      <c r="E397" s="202">
        <f t="shared" si="25"/>
        <v>0</v>
      </c>
      <c r="F397" s="201"/>
      <c r="G397" s="243"/>
      <c r="H397" s="210"/>
      <c r="I397" s="196"/>
    </row>
    <row r="398" spans="1:9">
      <c r="A398" s="244">
        <v>343</v>
      </c>
      <c r="B398" s="202">
        <f t="shared" si="22"/>
        <v>0</v>
      </c>
      <c r="C398" s="202">
        <f t="shared" si="23"/>
        <v>0</v>
      </c>
      <c r="D398" s="202">
        <f t="shared" si="24"/>
        <v>0</v>
      </c>
      <c r="E398" s="202">
        <f t="shared" si="25"/>
        <v>0</v>
      </c>
      <c r="F398" s="201"/>
      <c r="G398" s="196"/>
      <c r="H398" s="190"/>
      <c r="I398" s="196"/>
    </row>
    <row r="399" spans="1:9">
      <c r="A399" s="244">
        <v>344</v>
      </c>
      <c r="B399" s="202">
        <f t="shared" si="22"/>
        <v>0</v>
      </c>
      <c r="C399" s="202">
        <f t="shared" si="23"/>
        <v>0</v>
      </c>
      <c r="D399" s="202">
        <f t="shared" si="24"/>
        <v>0</v>
      </c>
      <c r="E399" s="202">
        <f t="shared" si="25"/>
        <v>0</v>
      </c>
      <c r="F399" s="201"/>
      <c r="G399" s="196"/>
      <c r="H399" s="190"/>
      <c r="I399" s="196"/>
    </row>
    <row r="400" spans="1:9">
      <c r="A400" s="244">
        <v>345</v>
      </c>
      <c r="B400" s="202">
        <f t="shared" si="22"/>
        <v>0</v>
      </c>
      <c r="C400" s="202">
        <f t="shared" si="23"/>
        <v>0</v>
      </c>
      <c r="D400" s="202">
        <f t="shared" si="24"/>
        <v>0</v>
      </c>
      <c r="E400" s="202">
        <f t="shared" si="25"/>
        <v>0</v>
      </c>
      <c r="F400" s="201"/>
      <c r="G400" s="196"/>
      <c r="H400" s="190"/>
      <c r="I400" s="196"/>
    </row>
    <row r="401" spans="1:9">
      <c r="A401" s="244">
        <v>346</v>
      </c>
      <c r="B401" s="202">
        <f t="shared" si="22"/>
        <v>0</v>
      </c>
      <c r="C401" s="202">
        <f t="shared" si="23"/>
        <v>0</v>
      </c>
      <c r="D401" s="202">
        <f t="shared" si="24"/>
        <v>0</v>
      </c>
      <c r="E401" s="202">
        <f t="shared" si="25"/>
        <v>0</v>
      </c>
      <c r="F401" s="201"/>
      <c r="G401" s="196"/>
      <c r="H401" s="190"/>
      <c r="I401" s="196"/>
    </row>
    <row r="402" spans="1:9">
      <c r="A402" s="244">
        <v>347</v>
      </c>
      <c r="B402" s="202">
        <f t="shared" si="22"/>
        <v>0</v>
      </c>
      <c r="C402" s="202">
        <f t="shared" si="23"/>
        <v>0</v>
      </c>
      <c r="D402" s="202">
        <f t="shared" si="24"/>
        <v>0</v>
      </c>
      <c r="E402" s="202">
        <f t="shared" si="25"/>
        <v>0</v>
      </c>
      <c r="F402" s="201"/>
      <c r="G402" s="196"/>
      <c r="H402" s="190"/>
      <c r="I402" s="196"/>
    </row>
    <row r="403" spans="1:9">
      <c r="A403" s="244">
        <v>348</v>
      </c>
      <c r="B403" s="202">
        <f t="shared" si="22"/>
        <v>0</v>
      </c>
      <c r="C403" s="202">
        <f t="shared" si="23"/>
        <v>0</v>
      </c>
      <c r="D403" s="202">
        <f t="shared" si="24"/>
        <v>0</v>
      </c>
      <c r="E403" s="202">
        <f t="shared" si="25"/>
        <v>0</v>
      </c>
      <c r="F403" s="201">
        <v>29</v>
      </c>
      <c r="G403" s="243"/>
      <c r="H403" s="210"/>
      <c r="I403" s="243"/>
    </row>
    <row r="404" spans="1:9">
      <c r="A404" s="244">
        <v>349</v>
      </c>
      <c r="B404" s="202">
        <f t="shared" si="22"/>
        <v>0</v>
      </c>
      <c r="C404" s="202">
        <f t="shared" si="23"/>
        <v>0</v>
      </c>
      <c r="D404" s="202">
        <f t="shared" si="24"/>
        <v>0</v>
      </c>
      <c r="E404" s="202">
        <f t="shared" si="25"/>
        <v>0</v>
      </c>
      <c r="F404" s="201"/>
      <c r="G404" s="196"/>
      <c r="H404" s="190"/>
      <c r="I404" s="243"/>
    </row>
    <row r="405" spans="1:9">
      <c r="A405" s="244">
        <v>350</v>
      </c>
      <c r="B405" s="202">
        <f t="shared" si="22"/>
        <v>0</v>
      </c>
      <c r="C405" s="202">
        <f t="shared" si="23"/>
        <v>0</v>
      </c>
      <c r="D405" s="202">
        <f t="shared" si="24"/>
        <v>0</v>
      </c>
      <c r="E405" s="202">
        <f t="shared" si="25"/>
        <v>0</v>
      </c>
      <c r="F405" s="201"/>
      <c r="G405" s="196"/>
      <c r="H405" s="190"/>
      <c r="I405" s="196"/>
    </row>
    <row r="406" spans="1:9">
      <c r="A406" s="244">
        <v>351</v>
      </c>
      <c r="B406" s="202">
        <f t="shared" si="22"/>
        <v>0</v>
      </c>
      <c r="C406" s="202">
        <f t="shared" si="23"/>
        <v>0</v>
      </c>
      <c r="D406" s="202">
        <f t="shared" si="24"/>
        <v>0</v>
      </c>
      <c r="E406" s="202">
        <f t="shared" si="25"/>
        <v>0</v>
      </c>
      <c r="F406" s="201"/>
      <c r="G406" s="196"/>
      <c r="H406" s="190"/>
      <c r="I406" s="196"/>
    </row>
    <row r="407" spans="1:9">
      <c r="A407" s="244">
        <v>352</v>
      </c>
      <c r="B407" s="202">
        <f t="shared" si="22"/>
        <v>0</v>
      </c>
      <c r="C407" s="202">
        <f t="shared" si="23"/>
        <v>0</v>
      </c>
      <c r="D407" s="202">
        <f t="shared" si="24"/>
        <v>0</v>
      </c>
      <c r="E407" s="202">
        <f t="shared" si="25"/>
        <v>0</v>
      </c>
      <c r="F407" s="201"/>
      <c r="G407" s="196"/>
      <c r="H407" s="190"/>
      <c r="I407" s="196"/>
    </row>
    <row r="408" spans="1:9">
      <c r="A408" s="244">
        <v>353</v>
      </c>
      <c r="B408" s="202">
        <f t="shared" si="22"/>
        <v>0</v>
      </c>
      <c r="C408" s="202">
        <f t="shared" si="23"/>
        <v>0</v>
      </c>
      <c r="D408" s="202">
        <f t="shared" si="24"/>
        <v>0</v>
      </c>
      <c r="E408" s="202">
        <f t="shared" si="25"/>
        <v>0</v>
      </c>
      <c r="F408" s="201"/>
      <c r="G408" s="196"/>
      <c r="H408" s="190"/>
      <c r="I408" s="196"/>
    </row>
    <row r="409" spans="1:9">
      <c r="A409" s="244">
        <v>354</v>
      </c>
      <c r="B409" s="202">
        <f t="shared" si="22"/>
        <v>0</v>
      </c>
      <c r="C409" s="202">
        <f t="shared" si="23"/>
        <v>0</v>
      </c>
      <c r="D409" s="202">
        <f t="shared" si="24"/>
        <v>0</v>
      </c>
      <c r="E409" s="202">
        <f t="shared" si="25"/>
        <v>0</v>
      </c>
      <c r="F409" s="201"/>
      <c r="G409" s="243"/>
      <c r="H409" s="210"/>
      <c r="I409" s="196"/>
    </row>
    <row r="410" spans="1:9">
      <c r="A410" s="244">
        <v>355</v>
      </c>
      <c r="B410" s="202">
        <f t="shared" si="22"/>
        <v>0</v>
      </c>
      <c r="C410" s="202">
        <f t="shared" si="23"/>
        <v>0</v>
      </c>
      <c r="D410" s="202">
        <f t="shared" si="24"/>
        <v>0</v>
      </c>
      <c r="E410" s="202">
        <f t="shared" si="25"/>
        <v>0</v>
      </c>
      <c r="F410" s="201"/>
      <c r="G410" s="196"/>
      <c r="H410" s="190"/>
      <c r="I410" s="196"/>
    </row>
    <row r="411" spans="1:9">
      <c r="A411" s="244">
        <v>356</v>
      </c>
      <c r="B411" s="202">
        <f t="shared" si="22"/>
        <v>0</v>
      </c>
      <c r="C411" s="202">
        <f t="shared" si="23"/>
        <v>0</v>
      </c>
      <c r="D411" s="202">
        <f t="shared" si="24"/>
        <v>0</v>
      </c>
      <c r="E411" s="202">
        <f t="shared" si="25"/>
        <v>0</v>
      </c>
      <c r="F411" s="201"/>
      <c r="G411" s="196"/>
      <c r="H411" s="190"/>
      <c r="I411" s="196"/>
    </row>
    <row r="412" spans="1:9">
      <c r="A412" s="244">
        <v>357</v>
      </c>
      <c r="B412" s="202">
        <f t="shared" si="22"/>
        <v>0</v>
      </c>
      <c r="C412" s="202">
        <f t="shared" si="23"/>
        <v>0</v>
      </c>
      <c r="D412" s="202">
        <f t="shared" si="24"/>
        <v>0</v>
      </c>
      <c r="E412" s="202">
        <f t="shared" si="25"/>
        <v>0</v>
      </c>
      <c r="F412" s="201"/>
      <c r="G412" s="196"/>
      <c r="H412" s="190"/>
      <c r="I412" s="196"/>
    </row>
    <row r="413" spans="1:9">
      <c r="A413" s="244">
        <v>358</v>
      </c>
      <c r="B413" s="202">
        <f t="shared" si="22"/>
        <v>0</v>
      </c>
      <c r="C413" s="202">
        <f t="shared" si="23"/>
        <v>0</v>
      </c>
      <c r="D413" s="202">
        <f t="shared" si="24"/>
        <v>0</v>
      </c>
      <c r="E413" s="202">
        <f t="shared" si="25"/>
        <v>0</v>
      </c>
      <c r="F413" s="201"/>
      <c r="G413" s="196"/>
      <c r="H413" s="190"/>
      <c r="I413" s="196"/>
    </row>
    <row r="414" spans="1:9">
      <c r="A414" s="244">
        <v>359</v>
      </c>
      <c r="B414" s="202">
        <f t="shared" si="22"/>
        <v>0</v>
      </c>
      <c r="C414" s="202">
        <f t="shared" si="23"/>
        <v>0</v>
      </c>
      <c r="D414" s="202">
        <f t="shared" si="24"/>
        <v>0</v>
      </c>
      <c r="E414" s="202">
        <f t="shared" si="25"/>
        <v>0</v>
      </c>
      <c r="F414" s="201"/>
      <c r="G414" s="196"/>
      <c r="H414" s="190"/>
      <c r="I414" s="196"/>
    </row>
    <row r="415" spans="1:9">
      <c r="A415" s="244">
        <v>360</v>
      </c>
      <c r="B415" s="202">
        <f t="shared" si="22"/>
        <v>0</v>
      </c>
      <c r="C415" s="202">
        <f t="shared" si="23"/>
        <v>0</v>
      </c>
      <c r="D415" s="202">
        <f t="shared" si="24"/>
        <v>0</v>
      </c>
      <c r="E415" s="202">
        <f t="shared" si="25"/>
        <v>0</v>
      </c>
      <c r="F415" s="201">
        <v>30</v>
      </c>
      <c r="G415" s="243"/>
      <c r="H415" s="210"/>
      <c r="I415" s="243"/>
    </row>
    <row r="416" spans="1:9">
      <c r="A416" s="244">
        <v>361</v>
      </c>
      <c r="B416" s="202">
        <f t="shared" si="22"/>
        <v>0</v>
      </c>
      <c r="C416" s="202">
        <f t="shared" si="23"/>
        <v>0</v>
      </c>
      <c r="D416" s="202">
        <f t="shared" si="24"/>
        <v>0</v>
      </c>
      <c r="E416" s="202">
        <f t="shared" si="25"/>
        <v>0</v>
      </c>
      <c r="F416" s="201"/>
      <c r="G416" s="196"/>
      <c r="H416" s="190"/>
      <c r="I416" s="243"/>
    </row>
    <row r="417" spans="1:9">
      <c r="A417" s="244">
        <v>362</v>
      </c>
      <c r="B417" s="202">
        <f t="shared" si="22"/>
        <v>0</v>
      </c>
      <c r="C417" s="202">
        <f t="shared" si="23"/>
        <v>0</v>
      </c>
      <c r="D417" s="202">
        <f t="shared" si="24"/>
        <v>0</v>
      </c>
      <c r="E417" s="202">
        <f t="shared" si="25"/>
        <v>0</v>
      </c>
      <c r="F417" s="201"/>
      <c r="G417" s="196"/>
      <c r="H417" s="190"/>
      <c r="I417" s="196"/>
    </row>
    <row r="418" spans="1:9">
      <c r="A418" s="244">
        <v>363</v>
      </c>
      <c r="B418" s="202">
        <f t="shared" si="22"/>
        <v>0</v>
      </c>
      <c r="C418" s="202">
        <f t="shared" si="23"/>
        <v>0</v>
      </c>
      <c r="D418" s="202">
        <f t="shared" si="24"/>
        <v>0</v>
      </c>
      <c r="E418" s="202">
        <f t="shared" si="25"/>
        <v>0</v>
      </c>
      <c r="F418" s="201"/>
      <c r="G418" s="196"/>
      <c r="H418" s="190"/>
      <c r="I418" s="196"/>
    </row>
    <row r="419" spans="1:9">
      <c r="A419" s="244">
        <v>364</v>
      </c>
      <c r="B419" s="202">
        <f t="shared" si="22"/>
        <v>0</v>
      </c>
      <c r="C419" s="202">
        <f t="shared" si="23"/>
        <v>0</v>
      </c>
      <c r="D419" s="202">
        <f t="shared" si="24"/>
        <v>0</v>
      </c>
      <c r="E419" s="202">
        <f t="shared" si="25"/>
        <v>0</v>
      </c>
      <c r="F419" s="201"/>
      <c r="G419" s="196"/>
      <c r="H419" s="190"/>
      <c r="I419" s="196"/>
    </row>
    <row r="420" spans="1:9">
      <c r="A420" s="244">
        <v>365</v>
      </c>
      <c r="B420" s="202">
        <f t="shared" si="22"/>
        <v>0</v>
      </c>
      <c r="C420" s="202">
        <f t="shared" si="23"/>
        <v>0</v>
      </c>
      <c r="D420" s="202">
        <f t="shared" si="24"/>
        <v>0</v>
      </c>
      <c r="E420" s="202">
        <f t="shared" si="25"/>
        <v>0</v>
      </c>
      <c r="F420" s="201"/>
      <c r="G420" s="196"/>
      <c r="H420" s="190"/>
      <c r="I420" s="196"/>
    </row>
    <row r="421" spans="1:9">
      <c r="A421" s="244">
        <v>366</v>
      </c>
      <c r="B421" s="202">
        <f t="shared" si="22"/>
        <v>0</v>
      </c>
      <c r="C421" s="202">
        <f t="shared" si="23"/>
        <v>0</v>
      </c>
      <c r="D421" s="202">
        <f t="shared" si="24"/>
        <v>0</v>
      </c>
      <c r="E421" s="202">
        <f t="shared" si="25"/>
        <v>0</v>
      </c>
      <c r="F421" s="201"/>
      <c r="G421" s="243"/>
      <c r="H421" s="210"/>
      <c r="I421" s="196"/>
    </row>
    <row r="422" spans="1:9">
      <c r="A422" s="244">
        <v>367</v>
      </c>
      <c r="B422" s="202">
        <f t="shared" si="22"/>
        <v>0</v>
      </c>
      <c r="C422" s="202">
        <f t="shared" si="23"/>
        <v>0</v>
      </c>
      <c r="D422" s="202">
        <f t="shared" si="24"/>
        <v>0</v>
      </c>
      <c r="E422" s="202">
        <f t="shared" si="25"/>
        <v>0</v>
      </c>
      <c r="F422" s="201"/>
      <c r="G422" s="196"/>
      <c r="H422" s="190"/>
      <c r="I422" s="196"/>
    </row>
    <row r="423" spans="1:9">
      <c r="A423" s="244">
        <v>368</v>
      </c>
      <c r="B423" s="202">
        <f t="shared" si="22"/>
        <v>0</v>
      </c>
      <c r="C423" s="202">
        <f t="shared" si="23"/>
        <v>0</v>
      </c>
      <c r="D423" s="202">
        <f t="shared" si="24"/>
        <v>0</v>
      </c>
      <c r="E423" s="202">
        <f t="shared" si="25"/>
        <v>0</v>
      </c>
      <c r="F423" s="201"/>
      <c r="G423" s="196"/>
      <c r="H423" s="190"/>
      <c r="I423" s="196"/>
    </row>
    <row r="424" spans="1:9">
      <c r="A424" s="244">
        <v>369</v>
      </c>
      <c r="B424" s="202">
        <f t="shared" si="22"/>
        <v>0</v>
      </c>
      <c r="C424" s="202">
        <f t="shared" si="23"/>
        <v>0</v>
      </c>
      <c r="D424" s="202">
        <f t="shared" si="24"/>
        <v>0</v>
      </c>
      <c r="E424" s="202">
        <f t="shared" si="25"/>
        <v>0</v>
      </c>
      <c r="F424" s="201"/>
      <c r="G424" s="196"/>
      <c r="H424" s="190"/>
      <c r="I424" s="196"/>
    </row>
    <row r="425" spans="1:9">
      <c r="A425" s="244">
        <v>370</v>
      </c>
      <c r="B425" s="202">
        <f t="shared" si="22"/>
        <v>0</v>
      </c>
      <c r="C425" s="202">
        <f t="shared" si="23"/>
        <v>0</v>
      </c>
      <c r="D425" s="202">
        <f t="shared" si="24"/>
        <v>0</v>
      </c>
      <c r="E425" s="202">
        <f t="shared" si="25"/>
        <v>0</v>
      </c>
      <c r="F425" s="201"/>
      <c r="G425" s="196"/>
      <c r="H425" s="190"/>
      <c r="I425" s="196"/>
    </row>
    <row r="426" spans="1:9">
      <c r="A426" s="244">
        <v>371</v>
      </c>
      <c r="B426" s="202">
        <f t="shared" si="22"/>
        <v>0</v>
      </c>
      <c r="C426" s="202">
        <f t="shared" si="23"/>
        <v>0</v>
      </c>
      <c r="D426" s="202">
        <f t="shared" si="24"/>
        <v>0</v>
      </c>
      <c r="E426" s="202">
        <f t="shared" si="25"/>
        <v>0</v>
      </c>
      <c r="F426" s="201"/>
      <c r="G426" s="196"/>
      <c r="H426" s="190"/>
      <c r="I426" s="196"/>
    </row>
    <row r="427" spans="1:9">
      <c r="A427" s="244">
        <v>372</v>
      </c>
      <c r="B427" s="202">
        <f t="shared" si="22"/>
        <v>0</v>
      </c>
      <c r="C427" s="202">
        <f t="shared" si="23"/>
        <v>0</v>
      </c>
      <c r="D427" s="202">
        <f t="shared" si="24"/>
        <v>0</v>
      </c>
      <c r="E427" s="202">
        <f t="shared" si="25"/>
        <v>0</v>
      </c>
      <c r="F427" s="201">
        <v>31</v>
      </c>
      <c r="G427" s="243"/>
      <c r="H427" s="210"/>
      <c r="I427" s="243"/>
    </row>
    <row r="428" spans="1:9">
      <c r="A428" s="244">
        <v>373</v>
      </c>
      <c r="B428" s="202">
        <f t="shared" si="22"/>
        <v>0</v>
      </c>
      <c r="C428" s="202">
        <f t="shared" si="23"/>
        <v>0</v>
      </c>
      <c r="D428" s="202">
        <f t="shared" si="24"/>
        <v>0</v>
      </c>
      <c r="E428" s="202">
        <f t="shared" si="25"/>
        <v>0</v>
      </c>
      <c r="F428" s="201"/>
      <c r="G428" s="196"/>
      <c r="H428" s="190"/>
      <c r="I428" s="243"/>
    </row>
    <row r="429" spans="1:9">
      <c r="A429" s="244">
        <v>374</v>
      </c>
      <c r="B429" s="202">
        <f t="shared" si="22"/>
        <v>0</v>
      </c>
      <c r="C429" s="202">
        <f t="shared" si="23"/>
        <v>0</v>
      </c>
      <c r="D429" s="202">
        <f t="shared" si="24"/>
        <v>0</v>
      </c>
      <c r="E429" s="202">
        <f t="shared" si="25"/>
        <v>0</v>
      </c>
      <c r="F429" s="201"/>
      <c r="G429" s="196"/>
      <c r="H429" s="190"/>
      <c r="I429" s="196"/>
    </row>
    <row r="430" spans="1:9">
      <c r="A430" s="244">
        <v>375</v>
      </c>
      <c r="B430" s="202">
        <f t="shared" si="22"/>
        <v>0</v>
      </c>
      <c r="C430" s="202">
        <f t="shared" si="23"/>
        <v>0</v>
      </c>
      <c r="D430" s="202">
        <f t="shared" si="24"/>
        <v>0</v>
      </c>
      <c r="E430" s="202">
        <f t="shared" si="25"/>
        <v>0</v>
      </c>
      <c r="F430" s="201"/>
      <c r="G430" s="196"/>
      <c r="H430" s="190"/>
      <c r="I430" s="196"/>
    </row>
    <row r="431" spans="1:9">
      <c r="A431" s="244">
        <v>376</v>
      </c>
      <c r="B431" s="202">
        <f t="shared" si="22"/>
        <v>0</v>
      </c>
      <c r="C431" s="202">
        <f t="shared" si="23"/>
        <v>0</v>
      </c>
      <c r="D431" s="202">
        <f t="shared" si="24"/>
        <v>0</v>
      </c>
      <c r="E431" s="202">
        <f t="shared" si="25"/>
        <v>0</v>
      </c>
      <c r="F431" s="201"/>
      <c r="G431" s="196"/>
      <c r="H431" s="190"/>
      <c r="I431" s="196"/>
    </row>
    <row r="432" spans="1:9">
      <c r="A432" s="244">
        <v>377</v>
      </c>
      <c r="B432" s="202">
        <f t="shared" si="22"/>
        <v>0</v>
      </c>
      <c r="C432" s="202">
        <f t="shared" si="23"/>
        <v>0</v>
      </c>
      <c r="D432" s="202">
        <f t="shared" si="24"/>
        <v>0</v>
      </c>
      <c r="E432" s="202">
        <f t="shared" si="25"/>
        <v>0</v>
      </c>
      <c r="F432" s="201"/>
      <c r="G432" s="196"/>
      <c r="H432" s="190"/>
      <c r="I432" s="196"/>
    </row>
    <row r="433" spans="1:9">
      <c r="A433" s="244">
        <v>378</v>
      </c>
      <c r="B433" s="202">
        <f t="shared" si="22"/>
        <v>0</v>
      </c>
      <c r="C433" s="202">
        <f t="shared" si="23"/>
        <v>0</v>
      </c>
      <c r="D433" s="202">
        <f t="shared" si="24"/>
        <v>0</v>
      </c>
      <c r="E433" s="202">
        <f t="shared" si="25"/>
        <v>0</v>
      </c>
      <c r="F433" s="201"/>
      <c r="G433" s="243"/>
      <c r="H433" s="210"/>
      <c r="I433" s="196"/>
    </row>
    <row r="434" spans="1:9">
      <c r="A434" s="244">
        <v>379</v>
      </c>
      <c r="B434" s="202">
        <f t="shared" si="22"/>
        <v>0</v>
      </c>
      <c r="C434" s="202">
        <f t="shared" si="23"/>
        <v>0</v>
      </c>
      <c r="D434" s="202">
        <f t="shared" si="24"/>
        <v>0</v>
      </c>
      <c r="E434" s="202">
        <f t="shared" si="25"/>
        <v>0</v>
      </c>
      <c r="F434" s="201"/>
      <c r="G434" s="196"/>
      <c r="H434" s="190"/>
      <c r="I434" s="196"/>
    </row>
    <row r="435" spans="1:9">
      <c r="A435" s="244">
        <v>380</v>
      </c>
      <c r="B435" s="202">
        <f t="shared" si="22"/>
        <v>0</v>
      </c>
      <c r="C435" s="202">
        <f t="shared" si="23"/>
        <v>0</v>
      </c>
      <c r="D435" s="202">
        <f t="shared" si="24"/>
        <v>0</v>
      </c>
      <c r="E435" s="202">
        <f t="shared" si="25"/>
        <v>0</v>
      </c>
      <c r="F435" s="201"/>
      <c r="G435" s="196"/>
      <c r="H435" s="190"/>
      <c r="I435" s="196"/>
    </row>
    <row r="436" spans="1:9">
      <c r="A436" s="244">
        <v>381</v>
      </c>
      <c r="B436" s="202">
        <f t="shared" si="22"/>
        <v>0</v>
      </c>
      <c r="C436" s="202">
        <f t="shared" si="23"/>
        <v>0</v>
      </c>
      <c r="D436" s="202">
        <f t="shared" si="24"/>
        <v>0</v>
      </c>
      <c r="E436" s="202">
        <f t="shared" si="25"/>
        <v>0</v>
      </c>
      <c r="F436" s="201"/>
      <c r="G436" s="196"/>
      <c r="H436" s="190"/>
      <c r="I436" s="196"/>
    </row>
    <row r="437" spans="1:9">
      <c r="A437" s="244">
        <v>382</v>
      </c>
      <c r="B437" s="202">
        <f t="shared" si="22"/>
        <v>0</v>
      </c>
      <c r="C437" s="202">
        <f t="shared" si="23"/>
        <v>0</v>
      </c>
      <c r="D437" s="202">
        <f t="shared" si="24"/>
        <v>0</v>
      </c>
      <c r="E437" s="202">
        <f t="shared" si="25"/>
        <v>0</v>
      </c>
      <c r="F437" s="201"/>
      <c r="G437" s="196"/>
      <c r="H437" s="190"/>
      <c r="I437" s="196"/>
    </row>
    <row r="438" spans="1:9">
      <c r="A438" s="244">
        <v>383</v>
      </c>
      <c r="B438" s="202">
        <f t="shared" si="22"/>
        <v>0</v>
      </c>
      <c r="C438" s="202">
        <f t="shared" si="23"/>
        <v>0</v>
      </c>
      <c r="D438" s="202">
        <f t="shared" si="24"/>
        <v>0</v>
      </c>
      <c r="E438" s="202">
        <f t="shared" si="25"/>
        <v>0</v>
      </c>
      <c r="F438" s="201"/>
      <c r="G438" s="196"/>
      <c r="H438" s="190"/>
      <c r="I438" s="196"/>
    </row>
    <row r="439" spans="1:9">
      <c r="A439" s="244">
        <v>384</v>
      </c>
      <c r="B439" s="202">
        <f t="shared" si="22"/>
        <v>0</v>
      </c>
      <c r="C439" s="202">
        <f t="shared" si="23"/>
        <v>0</v>
      </c>
      <c r="D439" s="202">
        <f t="shared" si="24"/>
        <v>0</v>
      </c>
      <c r="E439" s="202">
        <f t="shared" si="25"/>
        <v>0</v>
      </c>
      <c r="F439" s="201">
        <v>32</v>
      </c>
      <c r="G439" s="243"/>
      <c r="H439" s="210"/>
      <c r="I439" s="243"/>
    </row>
    <row r="440" spans="1:9">
      <c r="A440" s="244">
        <v>385</v>
      </c>
      <c r="B440" s="202">
        <f t="shared" ref="B440:B503" si="26">IF(A440&gt;12*$D$14,0,$D$20)</f>
        <v>0</v>
      </c>
      <c r="C440" s="202">
        <f t="shared" ref="C440:C503" si="27">IF(A440&gt;12*$D$14,0,E439*$D$10/12)</f>
        <v>0</v>
      </c>
      <c r="D440" s="202">
        <f t="shared" ref="D440:D503" si="28">IF(A440&gt;12*$D$14,0,B440-C440)</f>
        <v>0</v>
      </c>
      <c r="E440" s="202">
        <f t="shared" ref="E440:E503" si="29">IF(A440&gt;12*$D$14,0,E439-D440)</f>
        <v>0</v>
      </c>
      <c r="F440" s="201"/>
      <c r="G440" s="196"/>
      <c r="H440" s="190"/>
      <c r="I440" s="243"/>
    </row>
    <row r="441" spans="1:9">
      <c r="A441" s="244">
        <v>386</v>
      </c>
      <c r="B441" s="202">
        <f t="shared" si="26"/>
        <v>0</v>
      </c>
      <c r="C441" s="202">
        <f t="shared" si="27"/>
        <v>0</v>
      </c>
      <c r="D441" s="202">
        <f t="shared" si="28"/>
        <v>0</v>
      </c>
      <c r="E441" s="202">
        <f t="shared" si="29"/>
        <v>0</v>
      </c>
      <c r="F441" s="201"/>
      <c r="G441" s="196"/>
      <c r="H441" s="190"/>
      <c r="I441" s="196"/>
    </row>
    <row r="442" spans="1:9">
      <c r="A442" s="244">
        <v>387</v>
      </c>
      <c r="B442" s="202">
        <f t="shared" si="26"/>
        <v>0</v>
      </c>
      <c r="C442" s="202">
        <f t="shared" si="27"/>
        <v>0</v>
      </c>
      <c r="D442" s="202">
        <f t="shared" si="28"/>
        <v>0</v>
      </c>
      <c r="E442" s="202">
        <f t="shared" si="29"/>
        <v>0</v>
      </c>
      <c r="F442" s="201"/>
      <c r="G442" s="196"/>
      <c r="H442" s="190"/>
      <c r="I442" s="196"/>
    </row>
    <row r="443" spans="1:9">
      <c r="A443" s="244">
        <v>388</v>
      </c>
      <c r="B443" s="202">
        <f t="shared" si="26"/>
        <v>0</v>
      </c>
      <c r="C443" s="202">
        <f t="shared" si="27"/>
        <v>0</v>
      </c>
      <c r="D443" s="202">
        <f t="shared" si="28"/>
        <v>0</v>
      </c>
      <c r="E443" s="202">
        <f t="shared" si="29"/>
        <v>0</v>
      </c>
      <c r="F443" s="201"/>
      <c r="G443" s="196"/>
      <c r="H443" s="190"/>
      <c r="I443" s="196"/>
    </row>
    <row r="444" spans="1:9">
      <c r="A444" s="244">
        <v>389</v>
      </c>
      <c r="B444" s="202">
        <f t="shared" si="26"/>
        <v>0</v>
      </c>
      <c r="C444" s="202">
        <f t="shared" si="27"/>
        <v>0</v>
      </c>
      <c r="D444" s="202">
        <f t="shared" si="28"/>
        <v>0</v>
      </c>
      <c r="E444" s="202">
        <f t="shared" si="29"/>
        <v>0</v>
      </c>
      <c r="F444" s="201"/>
      <c r="G444" s="196"/>
      <c r="H444" s="190"/>
      <c r="I444" s="196"/>
    </row>
    <row r="445" spans="1:9">
      <c r="A445" s="244">
        <v>390</v>
      </c>
      <c r="B445" s="202">
        <f t="shared" si="26"/>
        <v>0</v>
      </c>
      <c r="C445" s="202">
        <f t="shared" si="27"/>
        <v>0</v>
      </c>
      <c r="D445" s="202">
        <f t="shared" si="28"/>
        <v>0</v>
      </c>
      <c r="E445" s="202">
        <f t="shared" si="29"/>
        <v>0</v>
      </c>
      <c r="F445" s="201"/>
      <c r="G445" s="243"/>
      <c r="H445" s="210"/>
      <c r="I445" s="196"/>
    </row>
    <row r="446" spans="1:9">
      <c r="A446" s="244">
        <v>391</v>
      </c>
      <c r="B446" s="202">
        <f t="shared" si="26"/>
        <v>0</v>
      </c>
      <c r="C446" s="202">
        <f t="shared" si="27"/>
        <v>0</v>
      </c>
      <c r="D446" s="202">
        <f t="shared" si="28"/>
        <v>0</v>
      </c>
      <c r="E446" s="202">
        <f t="shared" si="29"/>
        <v>0</v>
      </c>
      <c r="F446" s="201"/>
      <c r="G446" s="196"/>
      <c r="H446" s="190"/>
      <c r="I446" s="196"/>
    </row>
    <row r="447" spans="1:9">
      <c r="A447" s="244">
        <v>392</v>
      </c>
      <c r="B447" s="202">
        <f t="shared" si="26"/>
        <v>0</v>
      </c>
      <c r="C447" s="202">
        <f t="shared" si="27"/>
        <v>0</v>
      </c>
      <c r="D447" s="202">
        <f t="shared" si="28"/>
        <v>0</v>
      </c>
      <c r="E447" s="202">
        <f t="shared" si="29"/>
        <v>0</v>
      </c>
      <c r="F447" s="201"/>
      <c r="G447" s="196"/>
      <c r="H447" s="190"/>
      <c r="I447" s="196"/>
    </row>
    <row r="448" spans="1:9">
      <c r="A448" s="244">
        <v>393</v>
      </c>
      <c r="B448" s="202">
        <f t="shared" si="26"/>
        <v>0</v>
      </c>
      <c r="C448" s="202">
        <f t="shared" si="27"/>
        <v>0</v>
      </c>
      <c r="D448" s="202">
        <f t="shared" si="28"/>
        <v>0</v>
      </c>
      <c r="E448" s="202">
        <f t="shared" si="29"/>
        <v>0</v>
      </c>
      <c r="F448" s="201"/>
      <c r="G448" s="196"/>
      <c r="H448" s="190"/>
      <c r="I448" s="196"/>
    </row>
    <row r="449" spans="1:9">
      <c r="A449" s="244">
        <v>394</v>
      </c>
      <c r="B449" s="202">
        <f t="shared" si="26"/>
        <v>0</v>
      </c>
      <c r="C449" s="202">
        <f t="shared" si="27"/>
        <v>0</v>
      </c>
      <c r="D449" s="202">
        <f t="shared" si="28"/>
        <v>0</v>
      </c>
      <c r="E449" s="202">
        <f t="shared" si="29"/>
        <v>0</v>
      </c>
      <c r="F449" s="201"/>
      <c r="G449" s="196"/>
      <c r="H449" s="190"/>
      <c r="I449" s="196"/>
    </row>
    <row r="450" spans="1:9">
      <c r="A450" s="244">
        <v>395</v>
      </c>
      <c r="B450" s="202">
        <f t="shared" si="26"/>
        <v>0</v>
      </c>
      <c r="C450" s="202">
        <f t="shared" si="27"/>
        <v>0</v>
      </c>
      <c r="D450" s="202">
        <f t="shared" si="28"/>
        <v>0</v>
      </c>
      <c r="E450" s="202">
        <f t="shared" si="29"/>
        <v>0</v>
      </c>
      <c r="F450" s="201"/>
      <c r="G450" s="196"/>
      <c r="H450" s="190"/>
      <c r="I450" s="196"/>
    </row>
    <row r="451" spans="1:9">
      <c r="A451" s="244">
        <v>396</v>
      </c>
      <c r="B451" s="202">
        <f t="shared" si="26"/>
        <v>0</v>
      </c>
      <c r="C451" s="202">
        <f t="shared" si="27"/>
        <v>0</v>
      </c>
      <c r="D451" s="202">
        <f t="shared" si="28"/>
        <v>0</v>
      </c>
      <c r="E451" s="202">
        <f t="shared" si="29"/>
        <v>0</v>
      </c>
      <c r="F451" s="201">
        <v>33</v>
      </c>
      <c r="G451" s="243"/>
      <c r="H451" s="210"/>
      <c r="I451" s="243"/>
    </row>
    <row r="452" spans="1:9">
      <c r="A452" s="244">
        <v>397</v>
      </c>
      <c r="B452" s="202">
        <f t="shared" si="26"/>
        <v>0</v>
      </c>
      <c r="C452" s="202">
        <f t="shared" si="27"/>
        <v>0</v>
      </c>
      <c r="D452" s="202">
        <f t="shared" si="28"/>
        <v>0</v>
      </c>
      <c r="E452" s="202">
        <f t="shared" si="29"/>
        <v>0</v>
      </c>
      <c r="F452" s="201"/>
      <c r="G452" s="196"/>
      <c r="H452" s="190"/>
      <c r="I452" s="243"/>
    </row>
    <row r="453" spans="1:9">
      <c r="A453" s="244">
        <v>398</v>
      </c>
      <c r="B453" s="202">
        <f t="shared" si="26"/>
        <v>0</v>
      </c>
      <c r="C453" s="202">
        <f t="shared" si="27"/>
        <v>0</v>
      </c>
      <c r="D453" s="202">
        <f t="shared" si="28"/>
        <v>0</v>
      </c>
      <c r="E453" s="202">
        <f t="shared" si="29"/>
        <v>0</v>
      </c>
      <c r="F453" s="201"/>
      <c r="G453" s="196"/>
      <c r="H453" s="190"/>
      <c r="I453" s="196"/>
    </row>
    <row r="454" spans="1:9">
      <c r="A454" s="244">
        <v>399</v>
      </c>
      <c r="B454" s="202">
        <f t="shared" si="26"/>
        <v>0</v>
      </c>
      <c r="C454" s="202">
        <f t="shared" si="27"/>
        <v>0</v>
      </c>
      <c r="D454" s="202">
        <f t="shared" si="28"/>
        <v>0</v>
      </c>
      <c r="E454" s="202">
        <f t="shared" si="29"/>
        <v>0</v>
      </c>
      <c r="F454" s="201"/>
      <c r="G454" s="196"/>
      <c r="H454" s="190"/>
      <c r="I454" s="196"/>
    </row>
    <row r="455" spans="1:9">
      <c r="A455" s="244">
        <v>400</v>
      </c>
      <c r="B455" s="202">
        <f t="shared" si="26"/>
        <v>0</v>
      </c>
      <c r="C455" s="202">
        <f t="shared" si="27"/>
        <v>0</v>
      </c>
      <c r="D455" s="202">
        <f t="shared" si="28"/>
        <v>0</v>
      </c>
      <c r="E455" s="202">
        <f t="shared" si="29"/>
        <v>0</v>
      </c>
      <c r="F455" s="201"/>
      <c r="G455" s="196"/>
      <c r="H455" s="190"/>
      <c r="I455" s="196"/>
    </row>
    <row r="456" spans="1:9">
      <c r="A456" s="244">
        <v>401</v>
      </c>
      <c r="B456" s="202">
        <f t="shared" si="26"/>
        <v>0</v>
      </c>
      <c r="C456" s="202">
        <f t="shared" si="27"/>
        <v>0</v>
      </c>
      <c r="D456" s="202">
        <f t="shared" si="28"/>
        <v>0</v>
      </c>
      <c r="E456" s="202">
        <f t="shared" si="29"/>
        <v>0</v>
      </c>
      <c r="F456" s="201"/>
      <c r="G456" s="196"/>
      <c r="H456" s="190"/>
      <c r="I456" s="196"/>
    </row>
    <row r="457" spans="1:9">
      <c r="A457" s="244">
        <v>402</v>
      </c>
      <c r="B457" s="202">
        <f t="shared" si="26"/>
        <v>0</v>
      </c>
      <c r="C457" s="202">
        <f t="shared" si="27"/>
        <v>0</v>
      </c>
      <c r="D457" s="202">
        <f t="shared" si="28"/>
        <v>0</v>
      </c>
      <c r="E457" s="202">
        <f t="shared" si="29"/>
        <v>0</v>
      </c>
      <c r="F457" s="201"/>
      <c r="G457" s="243"/>
      <c r="H457" s="210"/>
      <c r="I457" s="196"/>
    </row>
    <row r="458" spans="1:9">
      <c r="A458" s="244">
        <v>403</v>
      </c>
      <c r="B458" s="202">
        <f t="shared" si="26"/>
        <v>0</v>
      </c>
      <c r="C458" s="202">
        <f t="shared" si="27"/>
        <v>0</v>
      </c>
      <c r="D458" s="202">
        <f t="shared" si="28"/>
        <v>0</v>
      </c>
      <c r="E458" s="202">
        <f t="shared" si="29"/>
        <v>0</v>
      </c>
      <c r="F458" s="201"/>
      <c r="G458" s="196"/>
      <c r="H458" s="190"/>
      <c r="I458" s="196"/>
    </row>
    <row r="459" spans="1:9">
      <c r="A459" s="244">
        <v>404</v>
      </c>
      <c r="B459" s="202">
        <f t="shared" si="26"/>
        <v>0</v>
      </c>
      <c r="C459" s="202">
        <f t="shared" si="27"/>
        <v>0</v>
      </c>
      <c r="D459" s="202">
        <f t="shared" si="28"/>
        <v>0</v>
      </c>
      <c r="E459" s="202">
        <f t="shared" si="29"/>
        <v>0</v>
      </c>
      <c r="F459" s="201"/>
      <c r="G459" s="196"/>
      <c r="H459" s="190"/>
      <c r="I459" s="196"/>
    </row>
    <row r="460" spans="1:9">
      <c r="A460" s="244">
        <v>405</v>
      </c>
      <c r="B460" s="202">
        <f t="shared" si="26"/>
        <v>0</v>
      </c>
      <c r="C460" s="202">
        <f t="shared" si="27"/>
        <v>0</v>
      </c>
      <c r="D460" s="202">
        <f t="shared" si="28"/>
        <v>0</v>
      </c>
      <c r="E460" s="202">
        <f t="shared" si="29"/>
        <v>0</v>
      </c>
      <c r="F460" s="201"/>
      <c r="G460" s="196"/>
      <c r="H460" s="190"/>
      <c r="I460" s="196"/>
    </row>
    <row r="461" spans="1:9">
      <c r="A461" s="244">
        <v>406</v>
      </c>
      <c r="B461" s="202">
        <f t="shared" si="26"/>
        <v>0</v>
      </c>
      <c r="C461" s="202">
        <f t="shared" si="27"/>
        <v>0</v>
      </c>
      <c r="D461" s="202">
        <f t="shared" si="28"/>
        <v>0</v>
      </c>
      <c r="E461" s="202">
        <f t="shared" si="29"/>
        <v>0</v>
      </c>
      <c r="F461" s="201"/>
      <c r="G461" s="196"/>
      <c r="H461" s="190"/>
      <c r="I461" s="196"/>
    </row>
    <row r="462" spans="1:9">
      <c r="A462" s="244">
        <v>407</v>
      </c>
      <c r="B462" s="202">
        <f t="shared" si="26"/>
        <v>0</v>
      </c>
      <c r="C462" s="202">
        <f t="shared" si="27"/>
        <v>0</v>
      </c>
      <c r="D462" s="202">
        <f t="shared" si="28"/>
        <v>0</v>
      </c>
      <c r="E462" s="202">
        <f t="shared" si="29"/>
        <v>0</v>
      </c>
      <c r="F462" s="201"/>
      <c r="G462" s="196"/>
      <c r="H462" s="190"/>
      <c r="I462" s="196"/>
    </row>
    <row r="463" spans="1:9">
      <c r="A463" s="244">
        <v>408</v>
      </c>
      <c r="B463" s="202">
        <f t="shared" si="26"/>
        <v>0</v>
      </c>
      <c r="C463" s="202">
        <f t="shared" si="27"/>
        <v>0</v>
      </c>
      <c r="D463" s="202">
        <f t="shared" si="28"/>
        <v>0</v>
      </c>
      <c r="E463" s="202">
        <f t="shared" si="29"/>
        <v>0</v>
      </c>
      <c r="F463" s="201">
        <v>34</v>
      </c>
      <c r="G463" s="243"/>
      <c r="H463" s="210"/>
      <c r="I463" s="243"/>
    </row>
    <row r="464" spans="1:9">
      <c r="A464" s="244">
        <v>409</v>
      </c>
      <c r="B464" s="202">
        <f t="shared" si="26"/>
        <v>0</v>
      </c>
      <c r="C464" s="202">
        <f t="shared" si="27"/>
        <v>0</v>
      </c>
      <c r="D464" s="202">
        <f t="shared" si="28"/>
        <v>0</v>
      </c>
      <c r="E464" s="202">
        <f t="shared" si="29"/>
        <v>0</v>
      </c>
      <c r="F464" s="201"/>
      <c r="G464" s="196"/>
      <c r="H464" s="190"/>
      <c r="I464" s="243"/>
    </row>
    <row r="465" spans="1:9">
      <c r="A465" s="244">
        <v>410</v>
      </c>
      <c r="B465" s="202">
        <f t="shared" si="26"/>
        <v>0</v>
      </c>
      <c r="C465" s="202">
        <f t="shared" si="27"/>
        <v>0</v>
      </c>
      <c r="D465" s="202">
        <f t="shared" si="28"/>
        <v>0</v>
      </c>
      <c r="E465" s="202">
        <f t="shared" si="29"/>
        <v>0</v>
      </c>
      <c r="F465" s="201"/>
      <c r="G465" s="196"/>
      <c r="H465" s="190"/>
      <c r="I465" s="196"/>
    </row>
    <row r="466" spans="1:9">
      <c r="A466" s="244">
        <v>411</v>
      </c>
      <c r="B466" s="202">
        <f t="shared" si="26"/>
        <v>0</v>
      </c>
      <c r="C466" s="202">
        <f t="shared" si="27"/>
        <v>0</v>
      </c>
      <c r="D466" s="202">
        <f t="shared" si="28"/>
        <v>0</v>
      </c>
      <c r="E466" s="202">
        <f t="shared" si="29"/>
        <v>0</v>
      </c>
      <c r="F466" s="201"/>
      <c r="G466" s="196"/>
      <c r="H466" s="190"/>
      <c r="I466" s="196"/>
    </row>
    <row r="467" spans="1:9">
      <c r="A467" s="244">
        <v>412</v>
      </c>
      <c r="B467" s="202">
        <f t="shared" si="26"/>
        <v>0</v>
      </c>
      <c r="C467" s="202">
        <f t="shared" si="27"/>
        <v>0</v>
      </c>
      <c r="D467" s="202">
        <f t="shared" si="28"/>
        <v>0</v>
      </c>
      <c r="E467" s="202">
        <f t="shared" si="29"/>
        <v>0</v>
      </c>
      <c r="F467" s="201"/>
      <c r="G467" s="196"/>
      <c r="H467" s="190"/>
      <c r="I467" s="196"/>
    </row>
    <row r="468" spans="1:9">
      <c r="A468" s="244">
        <v>413</v>
      </c>
      <c r="B468" s="202">
        <f t="shared" si="26"/>
        <v>0</v>
      </c>
      <c r="C468" s="202">
        <f t="shared" si="27"/>
        <v>0</v>
      </c>
      <c r="D468" s="202">
        <f t="shared" si="28"/>
        <v>0</v>
      </c>
      <c r="E468" s="202">
        <f t="shared" si="29"/>
        <v>0</v>
      </c>
      <c r="F468" s="201"/>
      <c r="G468" s="196"/>
      <c r="H468" s="190"/>
      <c r="I468" s="196"/>
    </row>
    <row r="469" spans="1:9">
      <c r="A469" s="244">
        <v>414</v>
      </c>
      <c r="B469" s="202">
        <f t="shared" si="26"/>
        <v>0</v>
      </c>
      <c r="C469" s="202">
        <f t="shared" si="27"/>
        <v>0</v>
      </c>
      <c r="D469" s="202">
        <f t="shared" si="28"/>
        <v>0</v>
      </c>
      <c r="E469" s="202">
        <f t="shared" si="29"/>
        <v>0</v>
      </c>
      <c r="F469" s="201"/>
      <c r="G469" s="243"/>
      <c r="H469" s="210"/>
      <c r="I469" s="196"/>
    </row>
    <row r="470" spans="1:9">
      <c r="A470" s="244">
        <v>415</v>
      </c>
      <c r="B470" s="202">
        <f t="shared" si="26"/>
        <v>0</v>
      </c>
      <c r="C470" s="202">
        <f t="shared" si="27"/>
        <v>0</v>
      </c>
      <c r="D470" s="202">
        <f t="shared" si="28"/>
        <v>0</v>
      </c>
      <c r="E470" s="202">
        <f t="shared" si="29"/>
        <v>0</v>
      </c>
      <c r="F470" s="201"/>
      <c r="G470" s="196"/>
      <c r="H470" s="190"/>
      <c r="I470" s="196"/>
    </row>
    <row r="471" spans="1:9">
      <c r="A471" s="244">
        <v>416</v>
      </c>
      <c r="B471" s="202">
        <f t="shared" si="26"/>
        <v>0</v>
      </c>
      <c r="C471" s="202">
        <f t="shared" si="27"/>
        <v>0</v>
      </c>
      <c r="D471" s="202">
        <f t="shared" si="28"/>
        <v>0</v>
      </c>
      <c r="E471" s="202">
        <f t="shared" si="29"/>
        <v>0</v>
      </c>
      <c r="F471" s="201"/>
      <c r="G471" s="196"/>
      <c r="H471" s="190"/>
      <c r="I471" s="196"/>
    </row>
    <row r="472" spans="1:9">
      <c r="A472" s="244">
        <v>417</v>
      </c>
      <c r="B472" s="202">
        <f t="shared" si="26"/>
        <v>0</v>
      </c>
      <c r="C472" s="202">
        <f t="shared" si="27"/>
        <v>0</v>
      </c>
      <c r="D472" s="202">
        <f t="shared" si="28"/>
        <v>0</v>
      </c>
      <c r="E472" s="202">
        <f t="shared" si="29"/>
        <v>0</v>
      </c>
      <c r="F472" s="201"/>
      <c r="G472" s="196"/>
      <c r="H472" s="190"/>
      <c r="I472" s="196"/>
    </row>
    <row r="473" spans="1:9">
      <c r="A473" s="244">
        <v>418</v>
      </c>
      <c r="B473" s="202">
        <f t="shared" si="26"/>
        <v>0</v>
      </c>
      <c r="C473" s="202">
        <f t="shared" si="27"/>
        <v>0</v>
      </c>
      <c r="D473" s="202">
        <f t="shared" si="28"/>
        <v>0</v>
      </c>
      <c r="E473" s="202">
        <f t="shared" si="29"/>
        <v>0</v>
      </c>
      <c r="F473" s="201"/>
      <c r="G473" s="196"/>
      <c r="H473" s="190"/>
      <c r="I473" s="196"/>
    </row>
    <row r="474" spans="1:9">
      <c r="A474" s="244">
        <v>419</v>
      </c>
      <c r="B474" s="202">
        <f t="shared" si="26"/>
        <v>0</v>
      </c>
      <c r="C474" s="202">
        <f t="shared" si="27"/>
        <v>0</v>
      </c>
      <c r="D474" s="202">
        <f t="shared" si="28"/>
        <v>0</v>
      </c>
      <c r="E474" s="202">
        <f t="shared" si="29"/>
        <v>0</v>
      </c>
      <c r="F474" s="201"/>
      <c r="G474" s="196"/>
      <c r="H474" s="190"/>
      <c r="I474" s="196"/>
    </row>
    <row r="475" spans="1:9">
      <c r="A475" s="244">
        <v>420</v>
      </c>
      <c r="B475" s="202">
        <f t="shared" si="26"/>
        <v>0</v>
      </c>
      <c r="C475" s="202">
        <f t="shared" si="27"/>
        <v>0</v>
      </c>
      <c r="D475" s="202">
        <f t="shared" si="28"/>
        <v>0</v>
      </c>
      <c r="E475" s="202">
        <f t="shared" si="29"/>
        <v>0</v>
      </c>
      <c r="F475" s="201">
        <v>35</v>
      </c>
      <c r="G475" s="243"/>
      <c r="H475" s="210"/>
      <c r="I475" s="243"/>
    </row>
    <row r="476" spans="1:9">
      <c r="A476" s="244">
        <v>421</v>
      </c>
      <c r="B476" s="202">
        <f t="shared" si="26"/>
        <v>0</v>
      </c>
      <c r="C476" s="202">
        <f t="shared" si="27"/>
        <v>0</v>
      </c>
      <c r="D476" s="202">
        <f t="shared" si="28"/>
        <v>0</v>
      </c>
      <c r="E476" s="202">
        <f t="shared" si="29"/>
        <v>0</v>
      </c>
      <c r="F476" s="201"/>
      <c r="G476" s="196"/>
      <c r="H476" s="190"/>
      <c r="I476" s="243"/>
    </row>
    <row r="477" spans="1:9">
      <c r="A477" s="244">
        <v>422</v>
      </c>
      <c r="B477" s="202">
        <f t="shared" si="26"/>
        <v>0</v>
      </c>
      <c r="C477" s="202">
        <f t="shared" si="27"/>
        <v>0</v>
      </c>
      <c r="D477" s="202">
        <f t="shared" si="28"/>
        <v>0</v>
      </c>
      <c r="E477" s="202">
        <f t="shared" si="29"/>
        <v>0</v>
      </c>
      <c r="F477" s="201"/>
      <c r="G477" s="196"/>
      <c r="H477" s="190"/>
      <c r="I477" s="196"/>
    </row>
    <row r="478" spans="1:9">
      <c r="A478" s="244">
        <v>423</v>
      </c>
      <c r="B478" s="202">
        <f t="shared" si="26"/>
        <v>0</v>
      </c>
      <c r="C478" s="202">
        <f t="shared" si="27"/>
        <v>0</v>
      </c>
      <c r="D478" s="202">
        <f t="shared" si="28"/>
        <v>0</v>
      </c>
      <c r="E478" s="202">
        <f t="shared" si="29"/>
        <v>0</v>
      </c>
      <c r="F478" s="201"/>
      <c r="G478" s="196"/>
      <c r="H478" s="190"/>
      <c r="I478" s="196"/>
    </row>
    <row r="479" spans="1:9">
      <c r="A479" s="244">
        <v>424</v>
      </c>
      <c r="B479" s="202">
        <f t="shared" si="26"/>
        <v>0</v>
      </c>
      <c r="C479" s="202">
        <f t="shared" si="27"/>
        <v>0</v>
      </c>
      <c r="D479" s="202">
        <f t="shared" si="28"/>
        <v>0</v>
      </c>
      <c r="E479" s="202">
        <f t="shared" si="29"/>
        <v>0</v>
      </c>
      <c r="F479" s="201"/>
      <c r="G479" s="196"/>
      <c r="H479" s="190"/>
      <c r="I479" s="196"/>
    </row>
    <row r="480" spans="1:9">
      <c r="A480" s="244">
        <v>425</v>
      </c>
      <c r="B480" s="202">
        <f t="shared" si="26"/>
        <v>0</v>
      </c>
      <c r="C480" s="202">
        <f t="shared" si="27"/>
        <v>0</v>
      </c>
      <c r="D480" s="202">
        <f t="shared" si="28"/>
        <v>0</v>
      </c>
      <c r="E480" s="202">
        <f t="shared" si="29"/>
        <v>0</v>
      </c>
      <c r="F480" s="201"/>
      <c r="G480" s="196"/>
      <c r="H480" s="190"/>
      <c r="I480" s="196"/>
    </row>
    <row r="481" spans="1:9">
      <c r="A481" s="244">
        <v>426</v>
      </c>
      <c r="B481" s="202">
        <f t="shared" si="26"/>
        <v>0</v>
      </c>
      <c r="C481" s="202">
        <f t="shared" si="27"/>
        <v>0</v>
      </c>
      <c r="D481" s="202">
        <f t="shared" si="28"/>
        <v>0</v>
      </c>
      <c r="E481" s="202">
        <f t="shared" si="29"/>
        <v>0</v>
      </c>
      <c r="F481" s="201"/>
      <c r="G481" s="243"/>
      <c r="H481" s="210"/>
      <c r="I481" s="196"/>
    </row>
    <row r="482" spans="1:9">
      <c r="A482" s="244">
        <v>427</v>
      </c>
      <c r="B482" s="202">
        <f t="shared" si="26"/>
        <v>0</v>
      </c>
      <c r="C482" s="202">
        <f t="shared" si="27"/>
        <v>0</v>
      </c>
      <c r="D482" s="202">
        <f t="shared" si="28"/>
        <v>0</v>
      </c>
      <c r="E482" s="202">
        <f t="shared" si="29"/>
        <v>0</v>
      </c>
      <c r="F482" s="201"/>
      <c r="G482" s="196"/>
      <c r="H482" s="190"/>
      <c r="I482" s="196"/>
    </row>
    <row r="483" spans="1:9">
      <c r="A483" s="244">
        <v>428</v>
      </c>
      <c r="B483" s="202">
        <f t="shared" si="26"/>
        <v>0</v>
      </c>
      <c r="C483" s="202">
        <f t="shared" si="27"/>
        <v>0</v>
      </c>
      <c r="D483" s="202">
        <f t="shared" si="28"/>
        <v>0</v>
      </c>
      <c r="E483" s="202">
        <f t="shared" si="29"/>
        <v>0</v>
      </c>
      <c r="F483" s="201"/>
      <c r="G483" s="196"/>
      <c r="H483" s="190"/>
      <c r="I483" s="196"/>
    </row>
    <row r="484" spans="1:9">
      <c r="A484" s="244">
        <v>429</v>
      </c>
      <c r="B484" s="202">
        <f t="shared" si="26"/>
        <v>0</v>
      </c>
      <c r="C484" s="202">
        <f t="shared" si="27"/>
        <v>0</v>
      </c>
      <c r="D484" s="202">
        <f t="shared" si="28"/>
        <v>0</v>
      </c>
      <c r="E484" s="202">
        <f t="shared" si="29"/>
        <v>0</v>
      </c>
      <c r="F484" s="201"/>
      <c r="G484" s="196"/>
      <c r="H484" s="190"/>
      <c r="I484" s="196"/>
    </row>
    <row r="485" spans="1:9">
      <c r="A485" s="244">
        <v>430</v>
      </c>
      <c r="B485" s="202">
        <f t="shared" si="26"/>
        <v>0</v>
      </c>
      <c r="C485" s="202">
        <f t="shared" si="27"/>
        <v>0</v>
      </c>
      <c r="D485" s="202">
        <f t="shared" si="28"/>
        <v>0</v>
      </c>
      <c r="E485" s="202">
        <f t="shared" si="29"/>
        <v>0</v>
      </c>
      <c r="F485" s="201"/>
      <c r="G485" s="196"/>
      <c r="H485" s="190"/>
      <c r="I485" s="196"/>
    </row>
    <row r="486" spans="1:9">
      <c r="A486" s="244">
        <v>431</v>
      </c>
      <c r="B486" s="202">
        <f t="shared" si="26"/>
        <v>0</v>
      </c>
      <c r="C486" s="202">
        <f t="shared" si="27"/>
        <v>0</v>
      </c>
      <c r="D486" s="202">
        <f t="shared" si="28"/>
        <v>0</v>
      </c>
      <c r="E486" s="202">
        <f t="shared" si="29"/>
        <v>0</v>
      </c>
      <c r="F486" s="201"/>
      <c r="G486" s="196"/>
      <c r="H486" s="190"/>
      <c r="I486" s="196"/>
    </row>
    <row r="487" spans="1:9">
      <c r="A487" s="244">
        <v>432</v>
      </c>
      <c r="B487" s="202">
        <f t="shared" si="26"/>
        <v>0</v>
      </c>
      <c r="C487" s="202">
        <f t="shared" si="27"/>
        <v>0</v>
      </c>
      <c r="D487" s="202">
        <f t="shared" si="28"/>
        <v>0</v>
      </c>
      <c r="E487" s="202">
        <f t="shared" si="29"/>
        <v>0</v>
      </c>
      <c r="F487" s="201">
        <v>36</v>
      </c>
      <c r="G487" s="243"/>
      <c r="H487" s="210"/>
      <c r="I487" s="243"/>
    </row>
    <row r="488" spans="1:9">
      <c r="A488" s="244">
        <v>433</v>
      </c>
      <c r="B488" s="202">
        <f t="shared" si="26"/>
        <v>0</v>
      </c>
      <c r="C488" s="202">
        <f t="shared" si="27"/>
        <v>0</v>
      </c>
      <c r="D488" s="202">
        <f t="shared" si="28"/>
        <v>0</v>
      </c>
      <c r="E488" s="202">
        <f t="shared" si="29"/>
        <v>0</v>
      </c>
      <c r="F488" s="201"/>
      <c r="G488" s="196"/>
      <c r="H488" s="190"/>
      <c r="I488" s="243"/>
    </row>
    <row r="489" spans="1:9">
      <c r="A489" s="244">
        <v>434</v>
      </c>
      <c r="B489" s="202">
        <f t="shared" si="26"/>
        <v>0</v>
      </c>
      <c r="C489" s="202">
        <f t="shared" si="27"/>
        <v>0</v>
      </c>
      <c r="D489" s="202">
        <f t="shared" si="28"/>
        <v>0</v>
      </c>
      <c r="E489" s="202">
        <f t="shared" si="29"/>
        <v>0</v>
      </c>
      <c r="F489" s="201"/>
      <c r="G489" s="196"/>
      <c r="H489" s="190"/>
      <c r="I489" s="196"/>
    </row>
    <row r="490" spans="1:9">
      <c r="A490" s="244">
        <v>435</v>
      </c>
      <c r="B490" s="202">
        <f t="shared" si="26"/>
        <v>0</v>
      </c>
      <c r="C490" s="202">
        <f t="shared" si="27"/>
        <v>0</v>
      </c>
      <c r="D490" s="202">
        <f t="shared" si="28"/>
        <v>0</v>
      </c>
      <c r="E490" s="202">
        <f t="shared" si="29"/>
        <v>0</v>
      </c>
      <c r="F490" s="201"/>
      <c r="G490" s="196"/>
      <c r="H490" s="190"/>
      <c r="I490" s="196"/>
    </row>
    <row r="491" spans="1:9">
      <c r="A491" s="244">
        <v>436</v>
      </c>
      <c r="B491" s="202">
        <f t="shared" si="26"/>
        <v>0</v>
      </c>
      <c r="C491" s="202">
        <f t="shared" si="27"/>
        <v>0</v>
      </c>
      <c r="D491" s="202">
        <f t="shared" si="28"/>
        <v>0</v>
      </c>
      <c r="E491" s="202">
        <f t="shared" si="29"/>
        <v>0</v>
      </c>
      <c r="F491" s="201"/>
      <c r="G491" s="196"/>
      <c r="H491" s="190"/>
      <c r="I491" s="196"/>
    </row>
    <row r="492" spans="1:9">
      <c r="A492" s="244">
        <v>437</v>
      </c>
      <c r="B492" s="202">
        <f t="shared" si="26"/>
        <v>0</v>
      </c>
      <c r="C492" s="202">
        <f t="shared" si="27"/>
        <v>0</v>
      </c>
      <c r="D492" s="202">
        <f t="shared" si="28"/>
        <v>0</v>
      </c>
      <c r="E492" s="202">
        <f t="shared" si="29"/>
        <v>0</v>
      </c>
      <c r="F492" s="201"/>
      <c r="G492" s="196"/>
      <c r="H492" s="190"/>
      <c r="I492" s="196"/>
    </row>
    <row r="493" spans="1:9">
      <c r="A493" s="244">
        <v>438</v>
      </c>
      <c r="B493" s="202">
        <f t="shared" si="26"/>
        <v>0</v>
      </c>
      <c r="C493" s="202">
        <f t="shared" si="27"/>
        <v>0</v>
      </c>
      <c r="D493" s="202">
        <f t="shared" si="28"/>
        <v>0</v>
      </c>
      <c r="E493" s="202">
        <f t="shared" si="29"/>
        <v>0</v>
      </c>
      <c r="F493" s="201"/>
      <c r="G493" s="243"/>
      <c r="H493" s="210"/>
      <c r="I493" s="196"/>
    </row>
    <row r="494" spans="1:9">
      <c r="A494" s="244">
        <v>439</v>
      </c>
      <c r="B494" s="202">
        <f t="shared" si="26"/>
        <v>0</v>
      </c>
      <c r="C494" s="202">
        <f t="shared" si="27"/>
        <v>0</v>
      </c>
      <c r="D494" s="202">
        <f t="shared" si="28"/>
        <v>0</v>
      </c>
      <c r="E494" s="202">
        <f t="shared" si="29"/>
        <v>0</v>
      </c>
      <c r="F494" s="201"/>
      <c r="G494" s="196"/>
      <c r="H494" s="190"/>
      <c r="I494" s="196"/>
    </row>
    <row r="495" spans="1:9">
      <c r="A495" s="244">
        <v>440</v>
      </c>
      <c r="B495" s="202">
        <f t="shared" si="26"/>
        <v>0</v>
      </c>
      <c r="C495" s="202">
        <f t="shared" si="27"/>
        <v>0</v>
      </c>
      <c r="D495" s="202">
        <f t="shared" si="28"/>
        <v>0</v>
      </c>
      <c r="E495" s="202">
        <f t="shared" si="29"/>
        <v>0</v>
      </c>
      <c r="F495" s="201"/>
      <c r="G495" s="196"/>
      <c r="H495" s="190"/>
      <c r="I495" s="196"/>
    </row>
    <row r="496" spans="1:9">
      <c r="A496" s="244">
        <v>441</v>
      </c>
      <c r="B496" s="202">
        <f t="shared" si="26"/>
        <v>0</v>
      </c>
      <c r="C496" s="202">
        <f t="shared" si="27"/>
        <v>0</v>
      </c>
      <c r="D496" s="202">
        <f t="shared" si="28"/>
        <v>0</v>
      </c>
      <c r="E496" s="202">
        <f t="shared" si="29"/>
        <v>0</v>
      </c>
      <c r="F496" s="201"/>
      <c r="G496" s="196"/>
      <c r="H496" s="190"/>
      <c r="I496" s="196"/>
    </row>
    <row r="497" spans="1:9">
      <c r="A497" s="244">
        <v>442</v>
      </c>
      <c r="B497" s="202">
        <f t="shared" si="26"/>
        <v>0</v>
      </c>
      <c r="C497" s="202">
        <f t="shared" si="27"/>
        <v>0</v>
      </c>
      <c r="D497" s="202">
        <f t="shared" si="28"/>
        <v>0</v>
      </c>
      <c r="E497" s="202">
        <f t="shared" si="29"/>
        <v>0</v>
      </c>
      <c r="F497" s="201"/>
      <c r="G497" s="196"/>
      <c r="H497" s="190"/>
      <c r="I497" s="196"/>
    </row>
    <row r="498" spans="1:9">
      <c r="A498" s="244">
        <v>443</v>
      </c>
      <c r="B498" s="202">
        <f t="shared" si="26"/>
        <v>0</v>
      </c>
      <c r="C498" s="202">
        <f t="shared" si="27"/>
        <v>0</v>
      </c>
      <c r="D498" s="202">
        <f t="shared" si="28"/>
        <v>0</v>
      </c>
      <c r="E498" s="202">
        <f t="shared" si="29"/>
        <v>0</v>
      </c>
      <c r="F498" s="201"/>
      <c r="G498" s="196"/>
      <c r="H498" s="190"/>
      <c r="I498" s="196"/>
    </row>
    <row r="499" spans="1:9">
      <c r="A499" s="244">
        <v>444</v>
      </c>
      <c r="B499" s="202">
        <f t="shared" si="26"/>
        <v>0</v>
      </c>
      <c r="C499" s="202">
        <f t="shared" si="27"/>
        <v>0</v>
      </c>
      <c r="D499" s="202">
        <f t="shared" si="28"/>
        <v>0</v>
      </c>
      <c r="E499" s="202">
        <f t="shared" si="29"/>
        <v>0</v>
      </c>
      <c r="F499" s="201">
        <v>37</v>
      </c>
      <c r="G499" s="243"/>
      <c r="H499" s="210"/>
      <c r="I499" s="243"/>
    </row>
    <row r="500" spans="1:9">
      <c r="A500" s="244">
        <v>445</v>
      </c>
      <c r="B500" s="202">
        <f t="shared" si="26"/>
        <v>0</v>
      </c>
      <c r="C500" s="202">
        <f t="shared" si="27"/>
        <v>0</v>
      </c>
      <c r="D500" s="202">
        <f t="shared" si="28"/>
        <v>0</v>
      </c>
      <c r="E500" s="202">
        <f t="shared" si="29"/>
        <v>0</v>
      </c>
      <c r="F500" s="201"/>
      <c r="G500" s="196"/>
      <c r="H500" s="190"/>
      <c r="I500" s="243"/>
    </row>
    <row r="501" spans="1:9">
      <c r="A501" s="244">
        <v>446</v>
      </c>
      <c r="B501" s="202">
        <f t="shared" si="26"/>
        <v>0</v>
      </c>
      <c r="C501" s="202">
        <f t="shared" si="27"/>
        <v>0</v>
      </c>
      <c r="D501" s="202">
        <f t="shared" si="28"/>
        <v>0</v>
      </c>
      <c r="E501" s="202">
        <f t="shared" si="29"/>
        <v>0</v>
      </c>
      <c r="F501" s="201"/>
      <c r="G501" s="196"/>
      <c r="H501" s="190"/>
      <c r="I501" s="196"/>
    </row>
    <row r="502" spans="1:9">
      <c r="A502" s="244">
        <v>447</v>
      </c>
      <c r="B502" s="202">
        <f t="shared" si="26"/>
        <v>0</v>
      </c>
      <c r="C502" s="202">
        <f t="shared" si="27"/>
        <v>0</v>
      </c>
      <c r="D502" s="202">
        <f t="shared" si="28"/>
        <v>0</v>
      </c>
      <c r="E502" s="202">
        <f t="shared" si="29"/>
        <v>0</v>
      </c>
      <c r="F502" s="201"/>
      <c r="G502" s="196"/>
      <c r="H502" s="190"/>
      <c r="I502" s="196"/>
    </row>
    <row r="503" spans="1:9">
      <c r="A503" s="244">
        <v>448</v>
      </c>
      <c r="B503" s="202">
        <f t="shared" si="26"/>
        <v>0</v>
      </c>
      <c r="C503" s="202">
        <f t="shared" si="27"/>
        <v>0</v>
      </c>
      <c r="D503" s="202">
        <f t="shared" si="28"/>
        <v>0</v>
      </c>
      <c r="E503" s="202">
        <f t="shared" si="29"/>
        <v>0</v>
      </c>
      <c r="F503" s="201"/>
      <c r="G503" s="196"/>
      <c r="H503" s="190"/>
      <c r="I503" s="196"/>
    </row>
    <row r="504" spans="1:9">
      <c r="A504" s="244">
        <v>449</v>
      </c>
      <c r="B504" s="202">
        <f t="shared" ref="B504:B535" si="30">IF(A504&gt;12*$D$14,0,$D$20)</f>
        <v>0</v>
      </c>
      <c r="C504" s="202">
        <f t="shared" ref="C504:C535" si="31">IF(A504&gt;12*$D$14,0,E503*$D$10/12)</f>
        <v>0</v>
      </c>
      <c r="D504" s="202">
        <f t="shared" ref="D504:D535" si="32">IF(A504&gt;12*$D$14,0,B504-C504)</f>
        <v>0</v>
      </c>
      <c r="E504" s="202">
        <f t="shared" ref="E504:E535" si="33">IF(A504&gt;12*$D$14,0,E503-D504)</f>
        <v>0</v>
      </c>
      <c r="F504" s="201"/>
      <c r="G504" s="196"/>
      <c r="H504" s="190"/>
      <c r="I504" s="196"/>
    </row>
    <row r="505" spans="1:9">
      <c r="A505" s="244">
        <v>450</v>
      </c>
      <c r="B505" s="202">
        <f t="shared" si="30"/>
        <v>0</v>
      </c>
      <c r="C505" s="202">
        <f t="shared" si="31"/>
        <v>0</v>
      </c>
      <c r="D505" s="202">
        <f t="shared" si="32"/>
        <v>0</v>
      </c>
      <c r="E505" s="202">
        <f t="shared" si="33"/>
        <v>0</v>
      </c>
      <c r="F505" s="201"/>
      <c r="G505" s="243"/>
      <c r="H505" s="210"/>
      <c r="I505" s="196"/>
    </row>
    <row r="506" spans="1:9">
      <c r="A506" s="244">
        <v>451</v>
      </c>
      <c r="B506" s="202">
        <f t="shared" si="30"/>
        <v>0</v>
      </c>
      <c r="C506" s="202">
        <f t="shared" si="31"/>
        <v>0</v>
      </c>
      <c r="D506" s="202">
        <f t="shared" si="32"/>
        <v>0</v>
      </c>
      <c r="E506" s="202">
        <f t="shared" si="33"/>
        <v>0</v>
      </c>
      <c r="F506" s="201"/>
      <c r="G506" s="196"/>
      <c r="H506" s="190"/>
      <c r="I506" s="196"/>
    </row>
    <row r="507" spans="1:9">
      <c r="A507" s="244">
        <v>452</v>
      </c>
      <c r="B507" s="202">
        <f t="shared" si="30"/>
        <v>0</v>
      </c>
      <c r="C507" s="202">
        <f t="shared" si="31"/>
        <v>0</v>
      </c>
      <c r="D507" s="202">
        <f t="shared" si="32"/>
        <v>0</v>
      </c>
      <c r="E507" s="202">
        <f t="shared" si="33"/>
        <v>0</v>
      </c>
      <c r="F507" s="201"/>
      <c r="G507" s="196"/>
      <c r="H507" s="190"/>
      <c r="I507" s="196"/>
    </row>
    <row r="508" spans="1:9">
      <c r="A508" s="244">
        <v>453</v>
      </c>
      <c r="B508" s="202">
        <f t="shared" si="30"/>
        <v>0</v>
      </c>
      <c r="C508" s="202">
        <f t="shared" si="31"/>
        <v>0</v>
      </c>
      <c r="D508" s="202">
        <f t="shared" si="32"/>
        <v>0</v>
      </c>
      <c r="E508" s="202">
        <f t="shared" si="33"/>
        <v>0</v>
      </c>
      <c r="F508" s="201"/>
      <c r="G508" s="196"/>
      <c r="H508" s="190"/>
      <c r="I508" s="196"/>
    </row>
    <row r="509" spans="1:9">
      <c r="A509" s="244">
        <v>454</v>
      </c>
      <c r="B509" s="202">
        <f t="shared" si="30"/>
        <v>0</v>
      </c>
      <c r="C509" s="202">
        <f t="shared" si="31"/>
        <v>0</v>
      </c>
      <c r="D509" s="202">
        <f t="shared" si="32"/>
        <v>0</v>
      </c>
      <c r="E509" s="202">
        <f t="shared" si="33"/>
        <v>0</v>
      </c>
      <c r="F509" s="201"/>
      <c r="G509" s="196"/>
      <c r="H509" s="190"/>
      <c r="I509" s="196"/>
    </row>
    <row r="510" spans="1:9">
      <c r="A510" s="244">
        <v>455</v>
      </c>
      <c r="B510" s="202">
        <f t="shared" si="30"/>
        <v>0</v>
      </c>
      <c r="C510" s="202">
        <f t="shared" si="31"/>
        <v>0</v>
      </c>
      <c r="D510" s="202">
        <f t="shared" si="32"/>
        <v>0</v>
      </c>
      <c r="E510" s="202">
        <f t="shared" si="33"/>
        <v>0</v>
      </c>
      <c r="F510" s="201"/>
      <c r="G510" s="196"/>
      <c r="H510" s="190"/>
      <c r="I510" s="196"/>
    </row>
    <row r="511" spans="1:9">
      <c r="A511" s="244">
        <v>456</v>
      </c>
      <c r="B511" s="202">
        <f t="shared" si="30"/>
        <v>0</v>
      </c>
      <c r="C511" s="202">
        <f t="shared" si="31"/>
        <v>0</v>
      </c>
      <c r="D511" s="202">
        <f t="shared" si="32"/>
        <v>0</v>
      </c>
      <c r="E511" s="202">
        <f t="shared" si="33"/>
        <v>0</v>
      </c>
      <c r="F511" s="203">
        <v>38</v>
      </c>
      <c r="G511" s="196"/>
      <c r="H511" s="190"/>
      <c r="I511" s="196"/>
    </row>
    <row r="512" spans="1:9">
      <c r="A512" s="244">
        <v>457</v>
      </c>
      <c r="B512" s="202">
        <f t="shared" si="30"/>
        <v>0</v>
      </c>
      <c r="C512" s="202">
        <f t="shared" si="31"/>
        <v>0</v>
      </c>
      <c r="D512" s="202">
        <f t="shared" si="32"/>
        <v>0</v>
      </c>
      <c r="E512" s="202">
        <f t="shared" si="33"/>
        <v>0</v>
      </c>
      <c r="F512" s="201"/>
      <c r="G512" s="196"/>
      <c r="H512" s="190"/>
      <c r="I512" s="196"/>
    </row>
    <row r="513" spans="1:9">
      <c r="A513" s="244">
        <v>458</v>
      </c>
      <c r="B513" s="202">
        <f t="shared" si="30"/>
        <v>0</v>
      </c>
      <c r="C513" s="202">
        <f t="shared" si="31"/>
        <v>0</v>
      </c>
      <c r="D513" s="202">
        <f t="shared" si="32"/>
        <v>0</v>
      </c>
      <c r="E513" s="202">
        <f t="shared" si="33"/>
        <v>0</v>
      </c>
      <c r="F513" s="201"/>
      <c r="G513" s="196"/>
      <c r="H513" s="190"/>
      <c r="I513" s="196"/>
    </row>
    <row r="514" spans="1:9">
      <c r="A514" s="244">
        <v>459</v>
      </c>
      <c r="B514" s="202">
        <f t="shared" si="30"/>
        <v>0</v>
      </c>
      <c r="C514" s="202">
        <f t="shared" si="31"/>
        <v>0</v>
      </c>
      <c r="D514" s="202">
        <f t="shared" si="32"/>
        <v>0</v>
      </c>
      <c r="E514" s="202">
        <f t="shared" si="33"/>
        <v>0</v>
      </c>
      <c r="F514" s="201"/>
      <c r="G514" s="196"/>
      <c r="H514" s="190"/>
      <c r="I514" s="196"/>
    </row>
    <row r="515" spans="1:9">
      <c r="A515" s="244">
        <v>460</v>
      </c>
      <c r="B515" s="202">
        <f t="shared" si="30"/>
        <v>0</v>
      </c>
      <c r="C515" s="202">
        <f t="shared" si="31"/>
        <v>0</v>
      </c>
      <c r="D515" s="202">
        <f t="shared" si="32"/>
        <v>0</v>
      </c>
      <c r="E515" s="202">
        <f t="shared" si="33"/>
        <v>0</v>
      </c>
      <c r="F515" s="201"/>
      <c r="G515" s="196"/>
      <c r="H515" s="190"/>
      <c r="I515" s="196"/>
    </row>
    <row r="516" spans="1:9">
      <c r="A516" s="244">
        <v>461</v>
      </c>
      <c r="B516" s="202">
        <f t="shared" si="30"/>
        <v>0</v>
      </c>
      <c r="C516" s="202">
        <f t="shared" si="31"/>
        <v>0</v>
      </c>
      <c r="D516" s="202">
        <f t="shared" si="32"/>
        <v>0</v>
      </c>
      <c r="E516" s="202">
        <f t="shared" si="33"/>
        <v>0</v>
      </c>
      <c r="F516" s="201"/>
      <c r="G516" s="196"/>
      <c r="H516" s="190"/>
      <c r="I516" s="196"/>
    </row>
    <row r="517" spans="1:9">
      <c r="A517" s="244">
        <v>462</v>
      </c>
      <c r="B517" s="202">
        <f t="shared" si="30"/>
        <v>0</v>
      </c>
      <c r="C517" s="202">
        <f t="shared" si="31"/>
        <v>0</v>
      </c>
      <c r="D517" s="202">
        <f t="shared" si="32"/>
        <v>0</v>
      </c>
      <c r="E517" s="202">
        <f t="shared" si="33"/>
        <v>0</v>
      </c>
      <c r="F517" s="201"/>
      <c r="G517" s="196"/>
      <c r="H517" s="190"/>
      <c r="I517" s="196"/>
    </row>
    <row r="518" spans="1:9">
      <c r="A518" s="244">
        <v>463</v>
      </c>
      <c r="B518" s="202">
        <f t="shared" si="30"/>
        <v>0</v>
      </c>
      <c r="C518" s="202">
        <f t="shared" si="31"/>
        <v>0</v>
      </c>
      <c r="D518" s="202">
        <f t="shared" si="32"/>
        <v>0</v>
      </c>
      <c r="E518" s="202">
        <f t="shared" si="33"/>
        <v>0</v>
      </c>
      <c r="F518" s="201"/>
      <c r="G518" s="196"/>
      <c r="H518" s="190"/>
      <c r="I518" s="196"/>
    </row>
    <row r="519" spans="1:9">
      <c r="A519" s="244">
        <v>464</v>
      </c>
      <c r="B519" s="202">
        <f t="shared" si="30"/>
        <v>0</v>
      </c>
      <c r="C519" s="202">
        <f t="shared" si="31"/>
        <v>0</v>
      </c>
      <c r="D519" s="202">
        <f t="shared" si="32"/>
        <v>0</v>
      </c>
      <c r="E519" s="202">
        <f t="shared" si="33"/>
        <v>0</v>
      </c>
      <c r="F519" s="201"/>
      <c r="G519" s="196"/>
      <c r="H519" s="190"/>
      <c r="I519" s="196"/>
    </row>
    <row r="520" spans="1:9">
      <c r="A520" s="244">
        <v>465</v>
      </c>
      <c r="B520" s="202">
        <f t="shared" si="30"/>
        <v>0</v>
      </c>
      <c r="C520" s="202">
        <f t="shared" si="31"/>
        <v>0</v>
      </c>
      <c r="D520" s="202">
        <f t="shared" si="32"/>
        <v>0</v>
      </c>
      <c r="E520" s="202">
        <f t="shared" si="33"/>
        <v>0</v>
      </c>
      <c r="F520" s="201"/>
      <c r="G520" s="196"/>
      <c r="H520" s="190"/>
      <c r="I520" s="196"/>
    </row>
    <row r="521" spans="1:9">
      <c r="A521" s="244">
        <v>466</v>
      </c>
      <c r="B521" s="202">
        <f t="shared" si="30"/>
        <v>0</v>
      </c>
      <c r="C521" s="202">
        <f t="shared" si="31"/>
        <v>0</v>
      </c>
      <c r="D521" s="202">
        <f t="shared" si="32"/>
        <v>0</v>
      </c>
      <c r="E521" s="202">
        <f t="shared" si="33"/>
        <v>0</v>
      </c>
      <c r="F521" s="201"/>
      <c r="G521" s="196"/>
      <c r="H521" s="190"/>
      <c r="I521" s="196"/>
    </row>
    <row r="522" spans="1:9">
      <c r="A522" s="244">
        <v>467</v>
      </c>
      <c r="B522" s="202">
        <f t="shared" si="30"/>
        <v>0</v>
      </c>
      <c r="C522" s="202">
        <f t="shared" si="31"/>
        <v>0</v>
      </c>
      <c r="D522" s="202">
        <f t="shared" si="32"/>
        <v>0</v>
      </c>
      <c r="E522" s="202">
        <f t="shared" si="33"/>
        <v>0</v>
      </c>
      <c r="F522" s="201"/>
      <c r="G522" s="196"/>
      <c r="H522" s="190"/>
      <c r="I522" s="196"/>
    </row>
    <row r="523" spans="1:9">
      <c r="A523" s="244">
        <v>468</v>
      </c>
      <c r="B523" s="202">
        <f t="shared" si="30"/>
        <v>0</v>
      </c>
      <c r="C523" s="202">
        <f t="shared" si="31"/>
        <v>0</v>
      </c>
      <c r="D523" s="202">
        <f t="shared" si="32"/>
        <v>0</v>
      </c>
      <c r="E523" s="202">
        <f t="shared" si="33"/>
        <v>0</v>
      </c>
      <c r="F523" s="201">
        <v>39</v>
      </c>
      <c r="G523" s="196"/>
      <c r="H523" s="190"/>
      <c r="I523" s="196"/>
    </row>
    <row r="524" spans="1:9">
      <c r="A524" s="244">
        <v>469</v>
      </c>
      <c r="B524" s="202">
        <f t="shared" si="30"/>
        <v>0</v>
      </c>
      <c r="C524" s="202">
        <f t="shared" si="31"/>
        <v>0</v>
      </c>
      <c r="D524" s="202">
        <f t="shared" si="32"/>
        <v>0</v>
      </c>
      <c r="E524" s="202">
        <f t="shared" si="33"/>
        <v>0</v>
      </c>
      <c r="F524" s="201"/>
      <c r="G524" s="196"/>
      <c r="H524" s="190"/>
      <c r="I524" s="196"/>
    </row>
    <row r="525" spans="1:9">
      <c r="A525" s="244">
        <v>470</v>
      </c>
      <c r="B525" s="202">
        <f t="shared" si="30"/>
        <v>0</v>
      </c>
      <c r="C525" s="202">
        <f t="shared" si="31"/>
        <v>0</v>
      </c>
      <c r="D525" s="202">
        <f t="shared" si="32"/>
        <v>0</v>
      </c>
      <c r="E525" s="202">
        <f t="shared" si="33"/>
        <v>0</v>
      </c>
      <c r="F525" s="201"/>
      <c r="G525" s="196"/>
      <c r="H525" s="190"/>
      <c r="I525" s="196"/>
    </row>
    <row r="526" spans="1:9">
      <c r="A526" s="244">
        <v>471</v>
      </c>
      <c r="B526" s="202">
        <f t="shared" si="30"/>
        <v>0</v>
      </c>
      <c r="C526" s="202">
        <f t="shared" si="31"/>
        <v>0</v>
      </c>
      <c r="D526" s="202">
        <f t="shared" si="32"/>
        <v>0</v>
      </c>
      <c r="E526" s="202">
        <f t="shared" si="33"/>
        <v>0</v>
      </c>
      <c r="F526" s="201"/>
      <c r="G526" s="196"/>
      <c r="H526" s="190"/>
      <c r="I526" s="196"/>
    </row>
    <row r="527" spans="1:9">
      <c r="A527" s="244">
        <v>472</v>
      </c>
      <c r="B527" s="202">
        <f t="shared" si="30"/>
        <v>0</v>
      </c>
      <c r="C527" s="202">
        <f t="shared" si="31"/>
        <v>0</v>
      </c>
      <c r="D527" s="202">
        <f t="shared" si="32"/>
        <v>0</v>
      </c>
      <c r="E527" s="202">
        <f t="shared" si="33"/>
        <v>0</v>
      </c>
      <c r="F527" s="201"/>
      <c r="G527" s="196"/>
      <c r="H527" s="190"/>
      <c r="I527" s="196"/>
    </row>
    <row r="528" spans="1:9">
      <c r="A528" s="244">
        <v>473</v>
      </c>
      <c r="B528" s="202">
        <f t="shared" si="30"/>
        <v>0</v>
      </c>
      <c r="C528" s="202">
        <f t="shared" si="31"/>
        <v>0</v>
      </c>
      <c r="D528" s="202">
        <f t="shared" si="32"/>
        <v>0</v>
      </c>
      <c r="E528" s="202">
        <f t="shared" si="33"/>
        <v>0</v>
      </c>
      <c r="F528" s="201"/>
      <c r="G528" s="196"/>
      <c r="H528" s="190"/>
      <c r="I528" s="196"/>
    </row>
    <row r="529" spans="1:9">
      <c r="A529" s="244">
        <v>474</v>
      </c>
      <c r="B529" s="202">
        <f t="shared" si="30"/>
        <v>0</v>
      </c>
      <c r="C529" s="202">
        <f t="shared" si="31"/>
        <v>0</v>
      </c>
      <c r="D529" s="202">
        <f t="shared" si="32"/>
        <v>0</v>
      </c>
      <c r="E529" s="202">
        <f t="shared" si="33"/>
        <v>0</v>
      </c>
      <c r="F529" s="201"/>
      <c r="G529" s="196"/>
      <c r="H529" s="190"/>
      <c r="I529" s="196"/>
    </row>
    <row r="530" spans="1:9">
      <c r="A530" s="244">
        <v>475</v>
      </c>
      <c r="B530" s="202">
        <f t="shared" si="30"/>
        <v>0</v>
      </c>
      <c r="C530" s="202">
        <f t="shared" si="31"/>
        <v>0</v>
      </c>
      <c r="D530" s="202">
        <f t="shared" si="32"/>
        <v>0</v>
      </c>
      <c r="E530" s="202">
        <f t="shared" si="33"/>
        <v>0</v>
      </c>
      <c r="F530" s="201"/>
      <c r="G530" s="196"/>
      <c r="H530" s="190"/>
      <c r="I530" s="196"/>
    </row>
    <row r="531" spans="1:9">
      <c r="A531" s="244">
        <v>476</v>
      </c>
      <c r="B531" s="202">
        <f t="shared" si="30"/>
        <v>0</v>
      </c>
      <c r="C531" s="202">
        <f t="shared" si="31"/>
        <v>0</v>
      </c>
      <c r="D531" s="202">
        <f t="shared" si="32"/>
        <v>0</v>
      </c>
      <c r="E531" s="202">
        <f t="shared" si="33"/>
        <v>0</v>
      </c>
      <c r="F531" s="201"/>
      <c r="G531" s="196"/>
      <c r="H531" s="190"/>
      <c r="I531" s="196"/>
    </row>
    <row r="532" spans="1:9">
      <c r="A532" s="244">
        <v>477</v>
      </c>
      <c r="B532" s="202">
        <f t="shared" si="30"/>
        <v>0</v>
      </c>
      <c r="C532" s="202">
        <f t="shared" si="31"/>
        <v>0</v>
      </c>
      <c r="D532" s="202">
        <f t="shared" si="32"/>
        <v>0</v>
      </c>
      <c r="E532" s="202">
        <f t="shared" si="33"/>
        <v>0</v>
      </c>
      <c r="F532" s="201"/>
      <c r="G532" s="196"/>
      <c r="H532" s="190"/>
      <c r="I532" s="196"/>
    </row>
    <row r="533" spans="1:9">
      <c r="A533" s="244">
        <v>478</v>
      </c>
      <c r="B533" s="202">
        <f t="shared" si="30"/>
        <v>0</v>
      </c>
      <c r="C533" s="202">
        <f t="shared" si="31"/>
        <v>0</v>
      </c>
      <c r="D533" s="202">
        <f t="shared" si="32"/>
        <v>0</v>
      </c>
      <c r="E533" s="202">
        <f t="shared" si="33"/>
        <v>0</v>
      </c>
      <c r="F533" s="201"/>
      <c r="G533" s="196"/>
      <c r="H533" s="190"/>
      <c r="I533" s="196"/>
    </row>
    <row r="534" spans="1:9">
      <c r="A534" s="244">
        <v>479</v>
      </c>
      <c r="B534" s="202">
        <f t="shared" si="30"/>
        <v>0</v>
      </c>
      <c r="C534" s="202">
        <f t="shared" si="31"/>
        <v>0</v>
      </c>
      <c r="D534" s="202">
        <f t="shared" si="32"/>
        <v>0</v>
      </c>
      <c r="E534" s="202">
        <f t="shared" si="33"/>
        <v>0</v>
      </c>
      <c r="F534" s="201"/>
      <c r="G534" s="196"/>
      <c r="H534" s="190"/>
      <c r="I534" s="196"/>
    </row>
    <row r="535" spans="1:9">
      <c r="A535" s="244">
        <v>480</v>
      </c>
      <c r="B535" s="202">
        <f t="shared" si="30"/>
        <v>0</v>
      </c>
      <c r="C535" s="202">
        <f t="shared" si="31"/>
        <v>0</v>
      </c>
      <c r="D535" s="202">
        <f t="shared" si="32"/>
        <v>0</v>
      </c>
      <c r="E535" s="202">
        <f t="shared" si="33"/>
        <v>0</v>
      </c>
      <c r="F535" s="201">
        <v>40</v>
      </c>
      <c r="G535" s="196"/>
      <c r="H535" s="190"/>
      <c r="I535" s="196"/>
    </row>
    <row r="536" spans="1:9">
      <c r="A536" s="181"/>
      <c r="G536" s="196"/>
      <c r="H536" s="190"/>
      <c r="I536" s="196"/>
    </row>
    <row r="537" spans="1:9">
      <c r="A537" s="181"/>
      <c r="G537" s="196"/>
      <c r="H537" s="190"/>
      <c r="I537" s="196"/>
    </row>
    <row r="538" spans="1:9">
      <c r="A538" s="181"/>
      <c r="G538" s="196"/>
      <c r="H538" s="190"/>
      <c r="I538" s="196"/>
    </row>
    <row r="539" spans="1:9">
      <c r="A539" s="181"/>
      <c r="G539" s="196"/>
      <c r="H539" s="190"/>
      <c r="I539" s="196"/>
    </row>
    <row r="540" spans="1:9">
      <c r="A540" s="181"/>
      <c r="G540" s="196"/>
      <c r="H540" s="190"/>
      <c r="I540" s="196"/>
    </row>
    <row r="541" spans="1:9">
      <c r="A541" s="181"/>
      <c r="G541" s="196"/>
      <c r="H541" s="190"/>
      <c r="I541" s="196"/>
    </row>
    <row r="542" spans="1:9">
      <c r="A542" s="181"/>
      <c r="G542" s="196"/>
      <c r="H542" s="190"/>
      <c r="I542" s="196"/>
    </row>
    <row r="543" spans="1:9">
      <c r="G543" s="196"/>
      <c r="H543" s="190"/>
      <c r="I543" s="196"/>
    </row>
    <row r="544" spans="1:9">
      <c r="G544" s="196"/>
      <c r="H544" s="190"/>
      <c r="I544" s="196"/>
    </row>
    <row r="545" spans="7:9">
      <c r="G545" s="196"/>
      <c r="H545" s="190"/>
      <c r="I545" s="196"/>
    </row>
    <row r="546" spans="7:9">
      <c r="G546" s="196"/>
      <c r="H546" s="190"/>
      <c r="I546" s="196"/>
    </row>
    <row r="547" spans="7:9">
      <c r="G547" s="196"/>
      <c r="H547" s="190"/>
      <c r="I547" s="196"/>
    </row>
    <row r="548" spans="7:9">
      <c r="G548" s="196"/>
      <c r="H548" s="190"/>
      <c r="I548" s="196"/>
    </row>
    <row r="549" spans="7:9">
      <c r="G549" s="196"/>
      <c r="H549" s="190"/>
      <c r="I549" s="196"/>
    </row>
    <row r="550" spans="7:9">
      <c r="G550" s="196"/>
      <c r="H550" s="190"/>
      <c r="I550" s="196"/>
    </row>
    <row r="551" spans="7:9">
      <c r="G551" s="196"/>
      <c r="H551" s="190"/>
      <c r="I551" s="196"/>
    </row>
    <row r="552" spans="7:9">
      <c r="G552" s="196"/>
      <c r="H552" s="190"/>
      <c r="I552" s="196"/>
    </row>
    <row r="553" spans="7:9">
      <c r="G553" s="196"/>
      <c r="H553" s="190"/>
      <c r="I553" s="196"/>
    </row>
    <row r="554" spans="7:9">
      <c r="G554" s="196"/>
      <c r="H554" s="190"/>
      <c r="I554" s="196"/>
    </row>
    <row r="555" spans="7:9">
      <c r="G555" s="196"/>
      <c r="H555" s="190"/>
      <c r="I555" s="196"/>
    </row>
    <row r="556" spans="7:9">
      <c r="G556" s="196"/>
      <c r="H556" s="190"/>
      <c r="I556" s="196"/>
    </row>
    <row r="557" spans="7:9">
      <c r="G557" s="196"/>
      <c r="H557" s="190"/>
      <c r="I557" s="196"/>
    </row>
    <row r="558" spans="7:9">
      <c r="G558" s="196"/>
      <c r="H558" s="190"/>
      <c r="I558" s="196"/>
    </row>
    <row r="559" spans="7:9">
      <c r="G559" s="196"/>
      <c r="H559" s="190"/>
      <c r="I559" s="196"/>
    </row>
    <row r="560" spans="7:9">
      <c r="G560" s="196"/>
      <c r="H560" s="190"/>
      <c r="I560" s="196"/>
    </row>
    <row r="561" spans="7:9">
      <c r="G561" s="196"/>
      <c r="H561" s="190"/>
      <c r="I561" s="196"/>
    </row>
    <row r="562" spans="7:9">
      <c r="G562" s="196"/>
      <c r="H562" s="190"/>
      <c r="I562" s="196"/>
    </row>
    <row r="563" spans="7:9">
      <c r="G563" s="196"/>
      <c r="H563" s="190"/>
      <c r="I563" s="196"/>
    </row>
    <row r="564" spans="7:9">
      <c r="G564" s="196"/>
      <c r="H564" s="190"/>
      <c r="I564" s="196"/>
    </row>
    <row r="565" spans="7:9">
      <c r="G565" s="196"/>
      <c r="H565" s="190"/>
      <c r="I565" s="196"/>
    </row>
    <row r="566" spans="7:9">
      <c r="G566" s="196"/>
      <c r="H566" s="190"/>
      <c r="I566" s="196"/>
    </row>
    <row r="567" spans="7:9">
      <c r="G567" s="196"/>
      <c r="H567" s="190"/>
      <c r="I567" s="196"/>
    </row>
    <row r="568" spans="7:9">
      <c r="G568" s="196"/>
      <c r="H568" s="190"/>
      <c r="I568" s="196"/>
    </row>
    <row r="569" spans="7:9">
      <c r="G569" s="196"/>
      <c r="H569" s="190"/>
      <c r="I569" s="196"/>
    </row>
    <row r="570" spans="7:9">
      <c r="G570" s="196"/>
      <c r="H570" s="190"/>
      <c r="I570" s="196"/>
    </row>
    <row r="571" spans="7:9">
      <c r="G571" s="196"/>
      <c r="H571" s="190"/>
      <c r="I571" s="196"/>
    </row>
    <row r="572" spans="7:9">
      <c r="G572" s="196"/>
      <c r="H572" s="190"/>
      <c r="I572" s="196"/>
    </row>
    <row r="573" spans="7:9">
      <c r="G573" s="196"/>
      <c r="H573" s="190"/>
      <c r="I573" s="196"/>
    </row>
    <row r="574" spans="7:9">
      <c r="G574" s="196"/>
      <c r="H574" s="190"/>
      <c r="I574" s="196"/>
    </row>
    <row r="575" spans="7:9">
      <c r="G575" s="196"/>
      <c r="H575" s="190"/>
      <c r="I575" s="196"/>
    </row>
    <row r="576" spans="7:9">
      <c r="G576" s="196"/>
      <c r="H576" s="190"/>
      <c r="I576" s="196"/>
    </row>
    <row r="577" spans="7:9">
      <c r="G577" s="196"/>
      <c r="H577" s="190"/>
      <c r="I577" s="196"/>
    </row>
    <row r="578" spans="7:9">
      <c r="G578" s="196"/>
      <c r="H578" s="190"/>
      <c r="I578" s="196"/>
    </row>
    <row r="579" spans="7:9">
      <c r="G579" s="196"/>
      <c r="H579" s="190"/>
      <c r="I579" s="196"/>
    </row>
    <row r="580" spans="7:9">
      <c r="G580" s="196"/>
      <c r="H580" s="190"/>
      <c r="I580" s="196"/>
    </row>
    <row r="581" spans="7:9">
      <c r="G581" s="196"/>
      <c r="H581" s="190"/>
      <c r="I581" s="196"/>
    </row>
    <row r="582" spans="7:9">
      <c r="G582" s="196"/>
      <c r="H582" s="190"/>
      <c r="I582" s="196"/>
    </row>
    <row r="583" spans="7:9">
      <c r="G583" s="196"/>
      <c r="H583" s="190"/>
      <c r="I583" s="196"/>
    </row>
    <row r="584" spans="7:9">
      <c r="G584" s="196"/>
      <c r="H584" s="190"/>
      <c r="I584" s="196"/>
    </row>
    <row r="585" spans="7:9">
      <c r="G585" s="196"/>
      <c r="H585" s="190"/>
      <c r="I585" s="196"/>
    </row>
    <row r="586" spans="7:9">
      <c r="G586" s="196"/>
      <c r="H586" s="190"/>
      <c r="I586" s="196"/>
    </row>
    <row r="587" spans="7:9">
      <c r="G587" s="196"/>
      <c r="H587" s="190"/>
      <c r="I587" s="196"/>
    </row>
    <row r="588" spans="7:9">
      <c r="G588" s="196"/>
      <c r="H588" s="190"/>
      <c r="I588" s="196"/>
    </row>
    <row r="589" spans="7:9">
      <c r="G589" s="196"/>
      <c r="H589" s="190"/>
      <c r="I589" s="196"/>
    </row>
    <row r="590" spans="7:9">
      <c r="G590" s="196"/>
      <c r="H590" s="190"/>
      <c r="I590" s="196"/>
    </row>
    <row r="591" spans="7:9">
      <c r="G591" s="196"/>
      <c r="H591" s="190"/>
      <c r="I591" s="196"/>
    </row>
    <row r="592" spans="7:9">
      <c r="G592" s="196"/>
      <c r="H592" s="190"/>
      <c r="I592" s="196"/>
    </row>
    <row r="593" spans="7:9">
      <c r="G593" s="196"/>
      <c r="H593" s="190"/>
      <c r="I593" s="196"/>
    </row>
    <row r="594" spans="7:9">
      <c r="G594" s="196"/>
      <c r="H594" s="190"/>
      <c r="I594" s="196"/>
    </row>
    <row r="595" spans="7:9">
      <c r="G595" s="196"/>
      <c r="H595" s="190"/>
      <c r="I595" s="196"/>
    </row>
    <row r="596" spans="7:9">
      <c r="G596" s="196"/>
      <c r="H596" s="190"/>
      <c r="I596" s="196"/>
    </row>
    <row r="597" spans="7:9">
      <c r="G597" s="196"/>
      <c r="H597" s="190"/>
      <c r="I597" s="196"/>
    </row>
    <row r="598" spans="7:9">
      <c r="G598" s="196"/>
      <c r="H598" s="190"/>
      <c r="I598" s="196"/>
    </row>
    <row r="599" spans="7:9">
      <c r="G599" s="196"/>
      <c r="H599" s="190"/>
      <c r="I599" s="196"/>
    </row>
    <row r="600" spans="7:9">
      <c r="G600" s="196"/>
      <c r="H600" s="190"/>
      <c r="I600" s="196"/>
    </row>
    <row r="601" spans="7:9">
      <c r="G601" s="196"/>
      <c r="H601" s="190"/>
      <c r="I601" s="196"/>
    </row>
    <row r="602" spans="7:9">
      <c r="G602" s="196"/>
      <c r="H602" s="190"/>
      <c r="I602" s="196"/>
    </row>
    <row r="603" spans="7:9">
      <c r="G603" s="196"/>
      <c r="H603" s="190"/>
      <c r="I603" s="196"/>
    </row>
    <row r="604" spans="7:9">
      <c r="G604" s="196"/>
      <c r="H604" s="190"/>
      <c r="I604" s="196"/>
    </row>
    <row r="605" spans="7:9">
      <c r="G605" s="196"/>
      <c r="H605" s="190"/>
      <c r="I605" s="196"/>
    </row>
    <row r="606" spans="7:9">
      <c r="G606" s="196"/>
      <c r="H606" s="190"/>
      <c r="I606" s="196"/>
    </row>
    <row r="607" spans="7:9">
      <c r="G607" s="196"/>
      <c r="H607" s="190"/>
      <c r="I607" s="196"/>
    </row>
    <row r="608" spans="7:9">
      <c r="G608" s="196"/>
      <c r="H608" s="190"/>
      <c r="I608" s="196"/>
    </row>
    <row r="609" spans="7:9">
      <c r="G609" s="196"/>
      <c r="H609" s="190"/>
      <c r="I609" s="196"/>
    </row>
    <row r="610" spans="7:9">
      <c r="G610" s="196"/>
      <c r="H610" s="190"/>
      <c r="I610" s="196"/>
    </row>
    <row r="611" spans="7:9">
      <c r="G611" s="196"/>
      <c r="H611" s="190"/>
      <c r="I611" s="196"/>
    </row>
    <row r="612" spans="7:9">
      <c r="G612" s="196"/>
      <c r="H612" s="190"/>
      <c r="I612" s="196"/>
    </row>
    <row r="613" spans="7:9">
      <c r="G613" s="196"/>
      <c r="H613" s="190"/>
      <c r="I613" s="196"/>
    </row>
    <row r="614" spans="7:9">
      <c r="G614" s="196"/>
      <c r="H614" s="190"/>
      <c r="I614" s="196"/>
    </row>
    <row r="615" spans="7:9">
      <c r="G615" s="196"/>
      <c r="H615" s="190"/>
      <c r="I615" s="196"/>
    </row>
    <row r="616" spans="7:9">
      <c r="G616" s="196"/>
      <c r="H616" s="190"/>
      <c r="I616" s="196"/>
    </row>
    <row r="617" spans="7:9">
      <c r="G617" s="196"/>
      <c r="H617" s="190"/>
      <c r="I617" s="196"/>
    </row>
    <row r="618" spans="7:9">
      <c r="G618" s="196"/>
      <c r="H618" s="190"/>
      <c r="I618" s="196"/>
    </row>
    <row r="619" spans="7:9">
      <c r="G619" s="196"/>
      <c r="H619" s="190"/>
      <c r="I619" s="196"/>
    </row>
    <row r="620" spans="7:9">
      <c r="G620" s="196"/>
      <c r="H620" s="190"/>
      <c r="I620" s="196"/>
    </row>
    <row r="621" spans="7:9">
      <c r="G621" s="196"/>
      <c r="H621" s="190"/>
      <c r="I621" s="196"/>
    </row>
    <row r="622" spans="7:9">
      <c r="G622" s="196"/>
      <c r="H622" s="190"/>
      <c r="I622" s="196"/>
    </row>
    <row r="623" spans="7:9">
      <c r="G623" s="196"/>
      <c r="H623" s="190"/>
      <c r="I623" s="196"/>
    </row>
    <row r="624" spans="7:9">
      <c r="G624" s="196"/>
      <c r="H624" s="190"/>
      <c r="I624" s="196"/>
    </row>
    <row r="625" spans="7:9">
      <c r="G625" s="196"/>
      <c r="H625" s="190"/>
      <c r="I625" s="196"/>
    </row>
    <row r="626" spans="7:9">
      <c r="G626" s="196"/>
      <c r="H626" s="190"/>
      <c r="I626" s="196"/>
    </row>
    <row r="627" spans="7:9">
      <c r="G627" s="196"/>
      <c r="H627" s="190"/>
      <c r="I627" s="196"/>
    </row>
    <row r="628" spans="7:9">
      <c r="G628" s="196"/>
      <c r="H628" s="190"/>
      <c r="I628" s="196"/>
    </row>
    <row r="629" spans="7:9">
      <c r="G629" s="196"/>
      <c r="H629" s="190"/>
      <c r="I629" s="196"/>
    </row>
    <row r="630" spans="7:9">
      <c r="G630" s="196"/>
      <c r="H630" s="190"/>
      <c r="I630" s="196"/>
    </row>
    <row r="631" spans="7:9">
      <c r="G631" s="196"/>
      <c r="H631" s="190"/>
      <c r="I631" s="196"/>
    </row>
    <row r="632" spans="7:9">
      <c r="G632" s="196"/>
      <c r="H632" s="190"/>
      <c r="I632" s="196"/>
    </row>
    <row r="633" spans="7:9">
      <c r="G633" s="196"/>
      <c r="H633" s="190"/>
      <c r="I633" s="196"/>
    </row>
    <row r="634" spans="7:9">
      <c r="G634" s="196"/>
      <c r="H634" s="190"/>
      <c r="I634" s="196"/>
    </row>
    <row r="635" spans="7:9">
      <c r="G635" s="196"/>
      <c r="H635" s="190"/>
      <c r="I635" s="196"/>
    </row>
    <row r="636" spans="7:9">
      <c r="G636" s="196"/>
      <c r="H636" s="190"/>
      <c r="I636" s="196"/>
    </row>
    <row r="637" spans="7:9">
      <c r="G637" s="196"/>
      <c r="H637" s="190"/>
      <c r="I637" s="196"/>
    </row>
    <row r="638" spans="7:9">
      <c r="G638" s="196"/>
      <c r="H638" s="190"/>
      <c r="I638" s="196"/>
    </row>
    <row r="639" spans="7:9">
      <c r="G639" s="196"/>
      <c r="H639" s="190"/>
      <c r="I639" s="196"/>
    </row>
    <row r="640" spans="7:9">
      <c r="G640" s="196"/>
      <c r="H640" s="190"/>
      <c r="I640" s="196"/>
    </row>
    <row r="641" spans="7:9">
      <c r="G641" s="196"/>
      <c r="H641" s="190"/>
      <c r="I641" s="196"/>
    </row>
    <row r="642" spans="7:9">
      <c r="G642" s="196"/>
      <c r="H642" s="190"/>
      <c r="I642" s="196"/>
    </row>
    <row r="643" spans="7:9">
      <c r="G643" s="196"/>
      <c r="H643" s="190"/>
      <c r="I643" s="196"/>
    </row>
    <row r="644" spans="7:9">
      <c r="G644" s="196"/>
      <c r="H644" s="190"/>
      <c r="I644" s="196"/>
    </row>
    <row r="645" spans="7:9">
      <c r="G645" s="196"/>
      <c r="H645" s="190"/>
      <c r="I645" s="196"/>
    </row>
    <row r="646" spans="7:9">
      <c r="G646" s="196"/>
      <c r="H646" s="190"/>
      <c r="I646" s="196"/>
    </row>
    <row r="647" spans="7:9">
      <c r="G647" s="196"/>
      <c r="H647" s="190"/>
      <c r="I647" s="196"/>
    </row>
    <row r="648" spans="7:9">
      <c r="G648" s="196"/>
      <c r="H648" s="190"/>
      <c r="I648" s="196"/>
    </row>
    <row r="649" spans="7:9">
      <c r="G649" s="196"/>
      <c r="H649" s="190"/>
      <c r="I649" s="196"/>
    </row>
    <row r="650" spans="7:9">
      <c r="G650" s="196"/>
      <c r="H650" s="190"/>
      <c r="I650" s="196"/>
    </row>
    <row r="651" spans="7:9">
      <c r="G651" s="196"/>
      <c r="H651" s="190"/>
      <c r="I651" s="196"/>
    </row>
    <row r="652" spans="7:9">
      <c r="G652" s="196"/>
      <c r="H652" s="190"/>
      <c r="I652" s="196"/>
    </row>
    <row r="653" spans="7:9">
      <c r="G653" s="196"/>
      <c r="H653" s="190"/>
      <c r="I653" s="196"/>
    </row>
    <row r="654" spans="7:9">
      <c r="G654" s="196"/>
      <c r="H654" s="190"/>
      <c r="I654" s="196"/>
    </row>
  </sheetData>
  <sheetProtection password="D64E" sheet="1" objects="1" scenarios="1"/>
  <mergeCells count="8">
    <mergeCell ref="A1:F1"/>
    <mergeCell ref="E5:F10"/>
    <mergeCell ref="A3:F3"/>
    <mergeCell ref="A51:F51"/>
    <mergeCell ref="C26:C27"/>
    <mergeCell ref="F26:F27"/>
    <mergeCell ref="A24:F24"/>
    <mergeCell ref="A50:F50"/>
  </mergeCells>
  <phoneticPr fontId="7" type="noConversion"/>
  <printOptions horizontalCentered="1"/>
  <pageMargins left="0.5" right="0.5" top="0.9" bottom="0.65" header="0.5" footer="0.25"/>
  <pageSetup orientation="portrait" r:id="rId1"/>
  <headerFooter alignWithMargins="0">
    <oddHeader>&amp;C2011 Office of Affordable Housing Funding Application
&amp;"Arial,Bold"HUD Insured Mortgage Loan Calculations</oddHeader>
    <oddFooter>&amp;L&amp;8Georgia Department of Community Affairs&amp;C&amp;8&amp;A&amp;R&amp;8page &amp;P of &amp;N</oddFooter>
  </headerFooter>
  <rowBreaks count="10" manualBreakCount="10">
    <brk id="49" max="16383" man="1"/>
    <brk id="103" max="16383" man="1"/>
    <brk id="151" max="16383" man="1"/>
    <brk id="199" max="16383" man="1"/>
    <brk id="247" max="16383" man="1"/>
    <brk id="295" max="16383" man="1"/>
    <brk id="343" max="16383" man="1"/>
    <brk id="391" max="16383" man="1"/>
    <brk id="439" max="16383" man="1"/>
    <brk id="487" max="16383" man="1"/>
  </row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31">
    <pageSetUpPr fitToPage="1"/>
  </sheetPr>
  <dimension ref="A1:AK231"/>
  <sheetViews>
    <sheetView showGridLines="0" topLeftCell="A160" zoomScale="110" zoomScaleNormal="110" workbookViewId="0">
      <selection activeCell="A160" sqref="A1:XFD1048576"/>
    </sheetView>
  </sheetViews>
  <sheetFormatPr defaultColWidth="9.109375" defaultRowHeight="13.8"/>
  <cols>
    <col min="1" max="1" width="2.44140625" style="311" customWidth="1"/>
    <col min="2" max="2" width="5.44140625" style="311" customWidth="1"/>
    <col min="3" max="3" width="18" style="311" customWidth="1"/>
    <col min="4" max="4" width="7.109375" style="311" customWidth="1"/>
    <col min="5" max="5" width="12.5546875" style="311" customWidth="1"/>
    <col min="6" max="6" width="10.44140625" style="311" customWidth="1"/>
    <col min="7" max="8" width="6.44140625" style="311" customWidth="1"/>
    <col min="9" max="9" width="1.88671875" style="311" customWidth="1"/>
    <col min="10" max="11" width="6.44140625" style="311" customWidth="1"/>
    <col min="12" max="12" width="1.88671875" style="311" customWidth="1"/>
    <col min="13" max="14" width="6.44140625" style="311" customWidth="1"/>
    <col min="15" max="15" width="1.88671875" style="311" customWidth="1"/>
    <col min="16" max="17" width="6.44140625" style="311" customWidth="1"/>
    <col min="18" max="18" width="1.88671875" style="311" customWidth="1"/>
    <col min="19" max="20" width="7" style="311" customWidth="1"/>
    <col min="21" max="21" width="5.88671875" style="311" customWidth="1"/>
    <col min="22" max="22" width="13.109375" style="311" customWidth="1"/>
    <col min="23" max="23" width="24.88671875" style="311" customWidth="1"/>
    <col min="24" max="24" width="73.44140625" style="311" customWidth="1"/>
    <col min="25" max="16384" width="9.109375" style="311"/>
  </cols>
  <sheetData>
    <row r="1" spans="1:24" s="293" customFormat="1" ht="13.5" customHeight="1">
      <c r="A1" s="2615" t="str">
        <f>CONCATENATE("PART FOUR -  USES OF FUNDS","  -  ",'Part I-Project Information'!$O$6," ",'Part I-Project Information'!$F$34,", ",'Part I-Project Information'!F38,", ",'Part I-Project Information'!J39," County")</f>
        <v>PART FOUR -  USES OF FUNDS  -  2020-074 Harper Woods II, Columbus, Muscogee County</v>
      </c>
      <c r="B1" s="2616"/>
      <c r="C1" s="2616"/>
      <c r="D1" s="2616"/>
      <c r="E1" s="2616"/>
      <c r="F1" s="2616"/>
      <c r="G1" s="2616"/>
      <c r="H1" s="2616"/>
      <c r="I1" s="2616"/>
      <c r="J1" s="2616"/>
      <c r="K1" s="2616"/>
      <c r="L1" s="2616"/>
      <c r="M1" s="2616"/>
      <c r="N1" s="2616"/>
      <c r="O1" s="2616"/>
      <c r="P1" s="2616"/>
      <c r="Q1" s="2616"/>
      <c r="R1" s="2616"/>
      <c r="S1" s="2616"/>
      <c r="T1" s="2616"/>
      <c r="W1" s="2617" t="str">
        <f>A1</f>
        <v>PART FOUR -  USES OF FUNDS  -  2020-074 Harper Woods II, Columbus, Muscogee County</v>
      </c>
      <c r="X1" s="2617"/>
    </row>
    <row r="2" spans="1:24" ht="2.25" customHeight="1"/>
    <row r="3" spans="1:24" s="293" customFormat="1" ht="4.5" customHeight="1">
      <c r="A3" s="295"/>
      <c r="B3" s="295"/>
      <c r="C3" s="295"/>
      <c r="D3" s="295"/>
      <c r="E3" s="295"/>
      <c r="F3" s="295"/>
      <c r="G3" s="295"/>
      <c r="H3" s="295"/>
      <c r="I3" s="295"/>
      <c r="J3" s="295"/>
      <c r="K3" s="295"/>
      <c r="L3" s="295"/>
      <c r="M3" s="295"/>
      <c r="N3" s="295"/>
      <c r="O3" s="295"/>
      <c r="P3" s="295"/>
      <c r="Q3" s="295"/>
      <c r="R3" s="295"/>
      <c r="S3" s="295"/>
      <c r="T3" s="295"/>
    </row>
    <row r="4" spans="1:24" s="293" customFormat="1" ht="2.1" customHeight="1" thickBot="1">
      <c r="A4" s="471"/>
      <c r="B4" s="471"/>
      <c r="C4" s="471"/>
      <c r="D4" s="473"/>
      <c r="E4" s="473"/>
      <c r="F4" s="473"/>
      <c r="G4" s="473"/>
      <c r="H4" s="473"/>
      <c r="I4" s="295"/>
      <c r="J4" s="471"/>
      <c r="K4" s="471"/>
      <c r="L4" s="471"/>
      <c r="M4" s="471"/>
      <c r="N4" s="471"/>
      <c r="O4" s="471"/>
      <c r="P4" s="471"/>
      <c r="Q4" s="471"/>
      <c r="R4" s="471"/>
      <c r="S4" s="471"/>
      <c r="T4" s="471"/>
    </row>
    <row r="5" spans="1:24" s="293" customFormat="1" ht="19.5" customHeight="1" thickBot="1">
      <c r="A5" s="418" t="s">
        <v>598</v>
      </c>
      <c r="B5" s="418" t="s">
        <v>879</v>
      </c>
      <c r="D5" s="2543" t="str">
        <f>'Part I-Project Information'!$B$6</f>
        <v>May 26, 2020 Version</v>
      </c>
      <c r="E5" s="2543"/>
      <c r="F5" s="2543"/>
      <c r="G5" s="2543"/>
      <c r="H5" s="2543"/>
      <c r="I5" s="473"/>
      <c r="J5" s="2580" t="s">
        <v>266</v>
      </c>
      <c r="K5" s="2581"/>
      <c r="L5" s="343"/>
      <c r="M5" s="2591" t="s">
        <v>479</v>
      </c>
      <c r="N5" s="2592"/>
      <c r="P5" s="2580" t="s">
        <v>267</v>
      </c>
      <c r="Q5" s="2581"/>
      <c r="S5" s="2580" t="s">
        <v>268</v>
      </c>
      <c r="T5" s="2581"/>
      <c r="V5" s="419" t="str">
        <f>B5</f>
        <v>DEVELOPMENT BUDGET</v>
      </c>
    </row>
    <row r="6" spans="1:24" s="293" customFormat="1" ht="19.5" customHeight="1" thickBot="1">
      <c r="D6" s="1494"/>
      <c r="E6" s="1494"/>
      <c r="F6" s="1494"/>
      <c r="G6" s="2595" t="s">
        <v>98</v>
      </c>
      <c r="H6" s="2596"/>
      <c r="J6" s="2582"/>
      <c r="K6" s="2583"/>
      <c r="L6" s="343"/>
      <c r="M6" s="2593"/>
      <c r="N6" s="2594"/>
      <c r="P6" s="2582"/>
      <c r="Q6" s="2583"/>
      <c r="S6" s="2582"/>
      <c r="T6" s="2583"/>
      <c r="V6" s="330" t="s">
        <v>2607</v>
      </c>
      <c r="X6" s="330"/>
    </row>
    <row r="7" spans="1:24" s="293" customFormat="1" ht="12" customHeight="1">
      <c r="B7" s="295" t="s">
        <v>99</v>
      </c>
      <c r="O7" s="471" t="str">
        <f>B7</f>
        <v>PRE-DEVELOPMENT COSTS</v>
      </c>
      <c r="W7" s="293" t="str">
        <f>B7</f>
        <v>PRE-DEVELOPMENT COSTS</v>
      </c>
    </row>
    <row r="8" spans="1:24" s="293" customFormat="1" ht="12.6" customHeight="1">
      <c r="B8" s="293" t="s">
        <v>1953</v>
      </c>
      <c r="G8" s="3753">
        <v>18000</v>
      </c>
      <c r="H8" s="3754"/>
      <c r="J8" s="3753">
        <v>18000</v>
      </c>
      <c r="K8" s="3754"/>
      <c r="L8" s="2368"/>
      <c r="M8" s="3753"/>
      <c r="N8" s="3754"/>
      <c r="P8" s="3753"/>
      <c r="Q8" s="3754"/>
      <c r="S8" s="3753"/>
      <c r="T8" s="3754"/>
      <c r="V8" s="3825"/>
      <c r="W8" s="3826"/>
      <c r="X8" s="3827"/>
    </row>
    <row r="9" spans="1:24" s="293" customFormat="1" ht="12.6" customHeight="1">
      <c r="B9" s="293" t="s">
        <v>448</v>
      </c>
      <c r="G9" s="3762">
        <v>15000</v>
      </c>
      <c r="H9" s="3763"/>
      <c r="J9" s="3762">
        <v>15000</v>
      </c>
      <c r="K9" s="3763"/>
      <c r="L9" s="2368"/>
      <c r="M9" s="3762"/>
      <c r="N9" s="3763"/>
      <c r="P9" s="3762"/>
      <c r="Q9" s="3763"/>
      <c r="S9" s="3762"/>
      <c r="T9" s="3763"/>
      <c r="V9" s="3825"/>
      <c r="W9" s="3826"/>
      <c r="X9" s="3827"/>
    </row>
    <row r="10" spans="1:24" s="293" customFormat="1" ht="12.6" customHeight="1">
      <c r="B10" s="293" t="s">
        <v>477</v>
      </c>
      <c r="G10" s="3762">
        <v>19733</v>
      </c>
      <c r="H10" s="3763"/>
      <c r="J10" s="3762">
        <v>19733</v>
      </c>
      <c r="K10" s="3763"/>
      <c r="L10" s="2368"/>
      <c r="M10" s="3762"/>
      <c r="N10" s="3763"/>
      <c r="P10" s="3762"/>
      <c r="Q10" s="3763"/>
      <c r="S10" s="3762"/>
      <c r="T10" s="3763"/>
      <c r="V10" s="3825"/>
      <c r="W10" s="3826"/>
      <c r="X10" s="3827"/>
    </row>
    <row r="11" spans="1:24" s="293" customFormat="1" ht="12.6" customHeight="1">
      <c r="B11" s="293" t="s">
        <v>478</v>
      </c>
      <c r="G11" s="3762">
        <v>8100</v>
      </c>
      <c r="H11" s="3763"/>
      <c r="J11" s="3762">
        <v>8100</v>
      </c>
      <c r="K11" s="3763"/>
      <c r="L11" s="2368"/>
      <c r="M11" s="3762"/>
      <c r="N11" s="3763"/>
      <c r="P11" s="3762"/>
      <c r="Q11" s="3763"/>
      <c r="S11" s="3762"/>
      <c r="T11" s="3763"/>
      <c r="V11" s="3825"/>
      <c r="W11" s="3826"/>
      <c r="X11" s="3827"/>
    </row>
    <row r="12" spans="1:24" s="293" customFormat="1" ht="12.6" customHeight="1">
      <c r="B12" s="293" t="s">
        <v>2435</v>
      </c>
      <c r="G12" s="3762">
        <v>20000</v>
      </c>
      <c r="H12" s="3763"/>
      <c r="J12" s="3762">
        <v>20000</v>
      </c>
      <c r="K12" s="3763"/>
      <c r="L12" s="2368"/>
      <c r="M12" s="3762"/>
      <c r="N12" s="3763"/>
      <c r="P12" s="3762"/>
      <c r="Q12" s="3763"/>
      <c r="S12" s="3762"/>
      <c r="T12" s="3763"/>
      <c r="V12" s="3825"/>
      <c r="W12" s="3826"/>
      <c r="X12" s="3827"/>
    </row>
    <row r="13" spans="1:24" s="293" customFormat="1" ht="12.6" customHeight="1">
      <c r="B13" s="293" t="s">
        <v>186</v>
      </c>
      <c r="G13" s="3762"/>
      <c r="H13" s="3763"/>
      <c r="J13" s="3762"/>
      <c r="K13" s="3763"/>
      <c r="L13" s="2368"/>
      <c r="M13" s="3762"/>
      <c r="N13" s="3763"/>
      <c r="P13" s="3762"/>
      <c r="Q13" s="3763"/>
      <c r="S13" s="3762"/>
      <c r="T13" s="3763"/>
      <c r="V13" s="3825"/>
      <c r="W13" s="3826"/>
      <c r="X13" s="3827"/>
    </row>
    <row r="14" spans="1:24" s="293" customFormat="1" ht="12.6" customHeight="1">
      <c r="A14" s="370" t="str">
        <f>IF(AND(G14&gt;0,OR(C14="",C14="&lt;Enter detailed description here; use Comments section if needed&gt;")),"X","")</f>
        <v/>
      </c>
      <c r="B14" s="293" t="s">
        <v>723</v>
      </c>
      <c r="C14" s="3828" t="s">
        <v>7070</v>
      </c>
      <c r="D14" s="3828"/>
      <c r="E14" s="3828"/>
      <c r="F14" s="3829"/>
      <c r="G14" s="3762">
        <v>6500</v>
      </c>
      <c r="H14" s="3763"/>
      <c r="J14" s="3762">
        <v>6500</v>
      </c>
      <c r="K14" s="3763"/>
      <c r="L14" s="2368"/>
      <c r="M14" s="3762"/>
      <c r="N14" s="3763"/>
      <c r="P14" s="3762"/>
      <c r="Q14" s="3763"/>
      <c r="S14" s="3762"/>
      <c r="T14" s="3763"/>
      <c r="U14" s="369" t="str">
        <f>IF(AND(G14&gt;0,OR(C14="",C14="&lt;Enter detailed description here; use Comments section if needed&gt;")),"NO DESCRIPTION PROVIDED - please enter detailed description in Other box at left; use Comments section below if needed.","")</f>
        <v/>
      </c>
      <c r="V14" s="3830"/>
      <c r="W14" s="3826"/>
      <c r="X14" s="3827"/>
    </row>
    <row r="15" spans="1:24" s="293" customFormat="1" ht="12.6" customHeight="1">
      <c r="A15" s="370" t="str">
        <f>IF(AND(G15&gt;0,OR(C15="",C15="&lt;Enter detailed description here; use Comments section if needed&gt;")),"X","")</f>
        <v/>
      </c>
      <c r="B15" s="293" t="s">
        <v>723</v>
      </c>
      <c r="C15" s="3828" t="s">
        <v>7144</v>
      </c>
      <c r="D15" s="3828"/>
      <c r="E15" s="3828"/>
      <c r="F15" s="3829"/>
      <c r="G15" s="3762">
        <v>6848</v>
      </c>
      <c r="H15" s="3763"/>
      <c r="J15" s="3762">
        <v>6848</v>
      </c>
      <c r="K15" s="3763"/>
      <c r="L15" s="2368"/>
      <c r="M15" s="3762"/>
      <c r="N15" s="3763"/>
      <c r="P15" s="3762"/>
      <c r="Q15" s="3763"/>
      <c r="S15" s="3762"/>
      <c r="T15" s="3763"/>
      <c r="U15" s="369" t="str">
        <f>IF(AND(G15&gt;0,OR(C15="",C15="&lt;Enter detailed description here; use Comments section if needed&gt;")),"NO DESCRIPTION PROVIDED - please enter detailed description in Other box at left; use Comments section below if needed.","")</f>
        <v/>
      </c>
      <c r="V15" s="3830"/>
      <c r="W15" s="3826"/>
      <c r="X15" s="3827"/>
    </row>
    <row r="16" spans="1:24" s="293" customFormat="1" ht="12.6" customHeight="1" thickBot="1">
      <c r="A16" s="370" t="str">
        <f>IF(AND(G16&gt;0,OR(C16="",C16="&lt;Enter detailed description here; use Comments section if needed&gt;")),"X","")</f>
        <v/>
      </c>
      <c r="B16" s="293" t="s">
        <v>723</v>
      </c>
      <c r="C16" s="3828" t="s">
        <v>7154</v>
      </c>
      <c r="D16" s="3828"/>
      <c r="E16" s="3828"/>
      <c r="F16" s="3829"/>
      <c r="G16" s="3831">
        <v>4400</v>
      </c>
      <c r="H16" s="3832"/>
      <c r="J16" s="3831">
        <v>4400</v>
      </c>
      <c r="K16" s="3832"/>
      <c r="L16" s="2368"/>
      <c r="M16" s="3831"/>
      <c r="N16" s="3832"/>
      <c r="P16" s="3831"/>
      <c r="Q16" s="3832"/>
      <c r="S16" s="3831"/>
      <c r="T16" s="3832"/>
      <c r="U16" s="369" t="str">
        <f>IF(AND(G16&gt;0,OR(C16="",C16="&lt;Enter detailed description here; use Comments section if needed&gt;")),"NO DESCRIPTION PROVIDED - please enter detailed description in Other box at left; use Comments section below if needed.","")</f>
        <v/>
      </c>
      <c r="V16" s="3830"/>
      <c r="W16" s="3833"/>
      <c r="X16" s="3834"/>
    </row>
    <row r="17" spans="2:24" s="293" customFormat="1" ht="12.6" customHeight="1" thickTop="1">
      <c r="F17" s="344" t="s">
        <v>187</v>
      </c>
      <c r="G17" s="2586">
        <f>SUM(G8:H16)</f>
        <v>98581</v>
      </c>
      <c r="H17" s="2587"/>
      <c r="J17" s="2586">
        <f>SUM(J8:K16)</f>
        <v>98581</v>
      </c>
      <c r="K17" s="2612"/>
      <c r="L17" s="2368"/>
      <c r="M17" s="2586">
        <f>SUM(M8:N16)</f>
        <v>0</v>
      </c>
      <c r="N17" s="2587"/>
      <c r="P17" s="2586">
        <f>SUM(P8:Q16)</f>
        <v>0</v>
      </c>
      <c r="Q17" s="2587"/>
      <c r="S17" s="2586">
        <f>SUM(S8:T16)</f>
        <v>0</v>
      </c>
      <c r="T17" s="2587"/>
      <c r="V17" s="3835">
        <f>SUM(V8:V16)</f>
        <v>0</v>
      </c>
      <c r="W17" s="3836"/>
      <c r="X17" s="3837"/>
    </row>
    <row r="18" spans="2:24" s="293" customFormat="1" ht="12" customHeight="1">
      <c r="B18" s="295" t="s">
        <v>2147</v>
      </c>
      <c r="J18" s="343"/>
      <c r="K18" s="343"/>
      <c r="M18" s="343"/>
      <c r="N18" s="343"/>
      <c r="O18" s="345" t="str">
        <f>B18</f>
        <v>ACQUISITION</v>
      </c>
      <c r="P18" s="343"/>
      <c r="Q18" s="343"/>
      <c r="S18" s="343"/>
      <c r="T18" s="343"/>
      <c r="V18" s="1029"/>
      <c r="W18" s="293" t="str">
        <f>B18</f>
        <v>ACQUISITION</v>
      </c>
    </row>
    <row r="19" spans="2:24" s="293" customFormat="1" ht="12.6" customHeight="1">
      <c r="B19" s="293" t="s">
        <v>2148</v>
      </c>
      <c r="E19" s="821" t="s">
        <v>3543</v>
      </c>
      <c r="F19" s="452">
        <f>IF('Part I-Project Information'!$O$37="","",G19/'Part I-Project Information'!$O$37)</f>
        <v>200100.54533060666</v>
      </c>
      <c r="G19" s="3753">
        <v>587095</v>
      </c>
      <c r="H19" s="3754"/>
      <c r="J19" s="346"/>
      <c r="K19" s="343"/>
      <c r="L19" s="346"/>
      <c r="M19" s="346"/>
      <c r="N19" s="343"/>
      <c r="P19" s="346"/>
      <c r="Q19" s="343"/>
      <c r="S19" s="3753">
        <v>587095</v>
      </c>
      <c r="T19" s="3754"/>
      <c r="V19" s="3825"/>
      <c r="W19" s="3826"/>
      <c r="X19" s="3827"/>
    </row>
    <row r="20" spans="2:24" s="293" customFormat="1" ht="12.6" customHeight="1">
      <c r="B20" s="293" t="s">
        <v>1097</v>
      </c>
      <c r="G20" s="3762"/>
      <c r="H20" s="3763"/>
      <c r="J20" s="346"/>
      <c r="K20" s="343"/>
      <c r="L20" s="346"/>
      <c r="M20" s="346"/>
      <c r="N20" s="343"/>
      <c r="P20" s="346"/>
      <c r="Q20" s="343"/>
      <c r="S20" s="3762"/>
      <c r="T20" s="3763"/>
      <c r="V20" s="3825"/>
      <c r="W20" s="3826"/>
      <c r="X20" s="3827"/>
    </row>
    <row r="21" spans="2:24" s="293" customFormat="1" ht="12.6" customHeight="1">
      <c r="B21" s="293" t="s">
        <v>449</v>
      </c>
      <c r="G21" s="3762"/>
      <c r="H21" s="3763"/>
      <c r="J21" s="346"/>
      <c r="K21" s="343"/>
      <c r="L21" s="346"/>
      <c r="M21" s="3753"/>
      <c r="N21" s="3754"/>
      <c r="P21" s="346"/>
      <c r="Q21" s="343"/>
      <c r="S21" s="3762"/>
      <c r="T21" s="3763"/>
      <c r="V21" s="3825"/>
      <c r="W21" s="3826"/>
      <c r="X21" s="3827"/>
    </row>
    <row r="22" spans="2:24" s="293" customFormat="1" ht="12.6" customHeight="1" thickBot="1">
      <c r="B22" s="293" t="s">
        <v>422</v>
      </c>
      <c r="G22" s="3831"/>
      <c r="H22" s="3832"/>
      <c r="J22" s="346"/>
      <c r="K22" s="343"/>
      <c r="L22" s="346"/>
      <c r="M22" s="3831"/>
      <c r="N22" s="3832"/>
      <c r="P22" s="346"/>
      <c r="Q22" s="343"/>
      <c r="S22" s="3831"/>
      <c r="T22" s="3832"/>
      <c r="V22" s="3825"/>
      <c r="W22" s="3833"/>
      <c r="X22" s="3834"/>
    </row>
    <row r="23" spans="2:24" s="293" customFormat="1" ht="12.6" customHeight="1" thickTop="1">
      <c r="F23" s="344" t="s">
        <v>187</v>
      </c>
      <c r="G23" s="2586">
        <f>SUM(G19:H22)</f>
        <v>587095</v>
      </c>
      <c r="H23" s="2587"/>
      <c r="J23" s="346"/>
      <c r="K23" s="343"/>
      <c r="L23" s="346"/>
      <c r="M23" s="2586">
        <f>SUM(M21:N22)</f>
        <v>0</v>
      </c>
      <c r="N23" s="2587"/>
      <c r="P23" s="346"/>
      <c r="Q23" s="343"/>
      <c r="S23" s="2586">
        <f>SUM(S19:T22)</f>
        <v>587095</v>
      </c>
      <c r="T23" s="2587"/>
      <c r="V23" s="3835">
        <f>SUM(V19:V22)</f>
        <v>0</v>
      </c>
      <c r="W23" s="3836"/>
      <c r="X23" s="3837"/>
    </row>
    <row r="24" spans="2:24" s="293" customFormat="1" ht="12" customHeight="1">
      <c r="B24" s="295" t="s">
        <v>1098</v>
      </c>
      <c r="J24" s="346"/>
      <c r="K24" s="343"/>
      <c r="M24" s="346"/>
      <c r="N24" s="343"/>
      <c r="O24" s="345" t="str">
        <f>B24</f>
        <v>LAND IMPROVEMENTS</v>
      </c>
      <c r="P24" s="346"/>
      <c r="Q24" s="343"/>
      <c r="S24" s="346"/>
      <c r="T24" s="343"/>
      <c r="V24" s="1029"/>
      <c r="W24" s="293" t="str">
        <f>B24</f>
        <v>LAND IMPROVEMENTS</v>
      </c>
    </row>
    <row r="25" spans="2:24" s="293" customFormat="1" ht="12.6" customHeight="1">
      <c r="B25" s="293" t="s">
        <v>1099</v>
      </c>
      <c r="E25" s="821" t="s">
        <v>3543</v>
      </c>
      <c r="F25" s="452">
        <f>IF('Part I-Project Information'!$O$37="","",G25/'Part I-Project Information'!$O$37)</f>
        <v>333640.08179959096</v>
      </c>
      <c r="G25" s="3753">
        <v>978900</v>
      </c>
      <c r="H25" s="3754"/>
      <c r="J25" s="3753">
        <v>978900</v>
      </c>
      <c r="K25" s="3754"/>
      <c r="L25" s="2368"/>
      <c r="M25" s="3838"/>
      <c r="N25" s="3839"/>
      <c r="P25" s="3838"/>
      <c r="Q25" s="3839"/>
      <c r="S25" s="3753"/>
      <c r="T25" s="3754"/>
      <c r="V25" s="3825"/>
      <c r="W25" s="3826"/>
      <c r="X25" s="3827"/>
    </row>
    <row r="26" spans="2:24" s="293" customFormat="1" ht="12.6" customHeight="1" thickBot="1">
      <c r="B26" s="293" t="s">
        <v>1100</v>
      </c>
      <c r="G26" s="3831"/>
      <c r="H26" s="3832"/>
      <c r="J26" s="3831"/>
      <c r="K26" s="3832"/>
      <c r="L26" s="347"/>
      <c r="M26" s="2611"/>
      <c r="N26" s="2611"/>
      <c r="P26" s="2611"/>
      <c r="Q26" s="2611"/>
      <c r="S26" s="3831"/>
      <c r="T26" s="3832"/>
      <c r="V26" s="3825"/>
      <c r="W26" s="3833"/>
      <c r="X26" s="3834"/>
    </row>
    <row r="27" spans="2:24" s="293" customFormat="1" ht="12.6" customHeight="1" thickTop="1">
      <c r="F27" s="344" t="s">
        <v>187</v>
      </c>
      <c r="G27" s="2586">
        <f>SUM(G25:H26)</f>
        <v>978900</v>
      </c>
      <c r="H27" s="2587"/>
      <c r="J27" s="2586">
        <f>SUM(J25:K26)</f>
        <v>978900</v>
      </c>
      <c r="K27" s="2587"/>
      <c r="L27" s="346"/>
      <c r="M27" s="2586">
        <f>M25</f>
        <v>0</v>
      </c>
      <c r="N27" s="2587"/>
      <c r="P27" s="2586">
        <f>P25</f>
        <v>0</v>
      </c>
      <c r="Q27" s="2587"/>
      <c r="S27" s="2586">
        <f>SUM(S25:T26)</f>
        <v>0</v>
      </c>
      <c r="T27" s="2587"/>
      <c r="V27" s="3835">
        <f>SUM(V25:V26)</f>
        <v>0</v>
      </c>
      <c r="W27" s="3836"/>
      <c r="X27" s="3837"/>
    </row>
    <row r="28" spans="2:24" s="293" customFormat="1" ht="12" customHeight="1">
      <c r="B28" s="295" t="s">
        <v>1101</v>
      </c>
      <c r="J28" s="346"/>
      <c r="K28" s="343"/>
      <c r="M28" s="346"/>
      <c r="N28" s="343"/>
      <c r="O28" s="345" t="str">
        <f>B28</f>
        <v>STRUCTURES</v>
      </c>
      <c r="P28" s="346"/>
      <c r="Q28" s="343"/>
      <c r="S28" s="346"/>
      <c r="T28" s="343"/>
      <c r="V28" s="1029"/>
      <c r="W28" s="293" t="str">
        <f>B28</f>
        <v>STRUCTURES</v>
      </c>
    </row>
    <row r="29" spans="2:24" s="293" customFormat="1" ht="12.6" customHeight="1">
      <c r="B29" s="293" t="s">
        <v>1102</v>
      </c>
      <c r="G29" s="3753">
        <v>5878505</v>
      </c>
      <c r="H29" s="3754"/>
      <c r="J29" s="3753">
        <v>5878505</v>
      </c>
      <c r="K29" s="3754"/>
      <c r="L29" s="2368"/>
      <c r="M29" s="3753"/>
      <c r="N29" s="3754"/>
      <c r="P29" s="3753"/>
      <c r="Q29" s="3754"/>
      <c r="S29" s="3753"/>
      <c r="T29" s="3754"/>
      <c r="V29" s="3825"/>
      <c r="W29" s="3826"/>
      <c r="X29" s="3827"/>
    </row>
    <row r="30" spans="2:24" s="293" customFormat="1" ht="12.6" customHeight="1">
      <c r="B30" s="293" t="s">
        <v>1103</v>
      </c>
      <c r="G30" s="3762"/>
      <c r="H30" s="3763"/>
      <c r="J30" s="3762"/>
      <c r="K30" s="3763"/>
      <c r="L30" s="2368"/>
      <c r="M30" s="3762"/>
      <c r="N30" s="3763"/>
      <c r="P30" s="3762"/>
      <c r="Q30" s="3763"/>
      <c r="S30" s="3762"/>
      <c r="T30" s="3763"/>
      <c r="V30" s="3825"/>
      <c r="W30" s="3826"/>
      <c r="X30" s="3827"/>
    </row>
    <row r="31" spans="2:24" s="293" customFormat="1" ht="12.6" customHeight="1">
      <c r="B31" s="293" t="s">
        <v>2689</v>
      </c>
      <c r="G31" s="3762"/>
      <c r="H31" s="3763"/>
      <c r="J31" s="3762"/>
      <c r="K31" s="3763"/>
      <c r="L31" s="2368"/>
      <c r="M31" s="3762"/>
      <c r="N31" s="3763"/>
      <c r="P31" s="3762"/>
      <c r="Q31" s="3763"/>
      <c r="S31" s="3762"/>
      <c r="T31" s="3763"/>
      <c r="V31" s="3825"/>
      <c r="W31" s="3826"/>
      <c r="X31" s="3827"/>
    </row>
    <row r="32" spans="2:24" ht="12.6" customHeight="1" thickBot="1">
      <c r="B32" s="293" t="s">
        <v>2688</v>
      </c>
      <c r="G32" s="3831"/>
      <c r="H32" s="3832"/>
      <c r="I32" s="293"/>
      <c r="J32" s="3831"/>
      <c r="K32" s="3832"/>
      <c r="L32" s="2368"/>
      <c r="M32" s="3831"/>
      <c r="N32" s="3832"/>
      <c r="O32" s="293"/>
      <c r="P32" s="3831"/>
      <c r="Q32" s="3832"/>
      <c r="R32" s="293"/>
      <c r="S32" s="3831"/>
      <c r="T32" s="3832"/>
      <c r="V32" s="3825"/>
      <c r="W32" s="3833"/>
      <c r="X32" s="3834"/>
    </row>
    <row r="33" spans="1:24" s="293" customFormat="1" ht="12.6" customHeight="1" thickTop="1">
      <c r="C33" s="2610"/>
      <c r="D33" s="2610"/>
      <c r="E33" s="2364"/>
      <c r="F33" s="344" t="s">
        <v>187</v>
      </c>
      <c r="G33" s="2586">
        <f>SUM(G29:H32)</f>
        <v>5878505</v>
      </c>
      <c r="H33" s="2587"/>
      <c r="J33" s="2586">
        <f>SUM(J29:K32)</f>
        <v>5878505</v>
      </c>
      <c r="K33" s="2587"/>
      <c r="L33" s="2368"/>
      <c r="M33" s="2586">
        <f>SUM(M29:N32)</f>
        <v>0</v>
      </c>
      <c r="N33" s="2587"/>
      <c r="P33" s="2586">
        <f>SUM(P29:Q32)</f>
        <v>0</v>
      </c>
      <c r="Q33" s="2587"/>
      <c r="S33" s="2586">
        <f>SUM(S29:T32)</f>
        <v>0</v>
      </c>
      <c r="T33" s="2587"/>
      <c r="V33" s="3835">
        <f>SUM(V29:V32)</f>
        <v>0</v>
      </c>
      <c r="W33" s="3836"/>
      <c r="X33" s="3837"/>
    </row>
    <row r="34" spans="1:24" s="293" customFormat="1" ht="12" customHeight="1">
      <c r="B34" s="295" t="s">
        <v>2284</v>
      </c>
      <c r="D34" s="2609" t="s">
        <v>3547</v>
      </c>
      <c r="E34" s="2609"/>
      <c r="F34" s="933">
        <f>SUM(F35:F37)</f>
        <v>0.13999989792056908</v>
      </c>
      <c r="G34" s="942" t="str">
        <f>IF(G35&gt;E35,"Proposed Builder Profit exceeds DCA Maximum!!!",IF(G36&gt;E36,"Proposed Builder Overhead exceeds DCA Maximum!!!",IF(G37&gt;E37,"Proposed General Requirements exceeds DCA Maximum!!!",IF(G38&gt;E38,"Proposed Contractor Services amount exceeds DCA Maximum!!!",""))))</f>
        <v/>
      </c>
      <c r="H34" s="311"/>
      <c r="I34" s="311"/>
      <c r="J34" s="346"/>
      <c r="K34" s="343"/>
      <c r="M34" s="346"/>
      <c r="N34" s="343"/>
      <c r="O34" s="345" t="str">
        <f>B34</f>
        <v>CONTRACTOR SERVICES</v>
      </c>
      <c r="P34" s="346"/>
      <c r="Q34" s="343"/>
      <c r="S34" s="346"/>
      <c r="T34" s="343"/>
      <c r="V34" s="1029"/>
      <c r="W34" s="293" t="str">
        <f>B34</f>
        <v>CONTRACTOR SERVICES</v>
      </c>
    </row>
    <row r="35" spans="1:24" s="293" customFormat="1" ht="12.6" customHeight="1">
      <c r="B35" s="293" t="s">
        <v>2285</v>
      </c>
      <c r="D35" s="935">
        <f>'DCA Underwriting Assumptions'!$R$77</f>
        <v>0.06</v>
      </c>
      <c r="E35" s="937">
        <f>D35*(G27+G33)</f>
        <v>411444.3</v>
      </c>
      <c r="F35" s="934">
        <f>IF(($G$27+$G$33)=0,0,G35/($G$27+$G$33))</f>
        <v>5.9999956251672461E-2</v>
      </c>
      <c r="G35" s="3753">
        <v>411444</v>
      </c>
      <c r="H35" s="3754"/>
      <c r="I35" s="311"/>
      <c r="J35" s="3753">
        <v>411444</v>
      </c>
      <c r="K35" s="3754"/>
      <c r="L35" s="2368"/>
      <c r="M35" s="3753"/>
      <c r="N35" s="3754"/>
      <c r="P35" s="3753"/>
      <c r="Q35" s="3754"/>
      <c r="S35" s="3753"/>
      <c r="T35" s="3754"/>
      <c r="V35" s="3825"/>
      <c r="W35" s="3826"/>
      <c r="X35" s="3827"/>
    </row>
    <row r="36" spans="1:24" s="293" customFormat="1" ht="12.6" customHeight="1">
      <c r="B36" s="293" t="s">
        <v>2651</v>
      </c>
      <c r="D36" s="936">
        <f>'DCA Underwriting Assumptions'!$R$78</f>
        <v>0.02</v>
      </c>
      <c r="E36" s="937">
        <f>D36*(G27+G33)</f>
        <v>137148.1</v>
      </c>
      <c r="F36" s="934">
        <f>IF(($G$27+$G$33)=0,0,G36/($G$27+$G$33))</f>
        <v>1.9999985417224152E-2</v>
      </c>
      <c r="G36" s="3762">
        <v>137148</v>
      </c>
      <c r="H36" s="3763"/>
      <c r="I36" s="311"/>
      <c r="J36" s="3762">
        <v>137148</v>
      </c>
      <c r="K36" s="3763"/>
      <c r="L36" s="2368"/>
      <c r="M36" s="3762"/>
      <c r="N36" s="3763"/>
      <c r="P36" s="3762"/>
      <c r="Q36" s="3763"/>
      <c r="S36" s="3762"/>
      <c r="T36" s="3763"/>
      <c r="V36" s="3825"/>
      <c r="W36" s="3826"/>
      <c r="X36" s="3827"/>
    </row>
    <row r="37" spans="1:24" s="293" customFormat="1" ht="12.6" customHeight="1" thickBot="1">
      <c r="B37" s="293" t="s">
        <v>2652</v>
      </c>
      <c r="D37" s="940">
        <f>'DCA Underwriting Assumptions'!$R$79</f>
        <v>0.06</v>
      </c>
      <c r="E37" s="941">
        <f>D37*(G27+G33)</f>
        <v>411444.3</v>
      </c>
      <c r="F37" s="1144">
        <f>IF(($G$27+$G$33)=0,0,G37/($G$27+$G$33))</f>
        <v>5.9999956251672461E-2</v>
      </c>
      <c r="G37" s="3831">
        <v>411444</v>
      </c>
      <c r="H37" s="3832"/>
      <c r="I37" s="311"/>
      <c r="J37" s="3831">
        <v>411444</v>
      </c>
      <c r="K37" s="3832"/>
      <c r="L37" s="2368"/>
      <c r="M37" s="3831"/>
      <c r="N37" s="3832"/>
      <c r="P37" s="3831"/>
      <c r="Q37" s="3832"/>
      <c r="S37" s="3831"/>
      <c r="T37" s="3832"/>
      <c r="V37" s="3825"/>
      <c r="W37" s="3833"/>
      <c r="X37" s="3834"/>
    </row>
    <row r="38" spans="1:24" s="293" customFormat="1" ht="12.6" customHeight="1" thickTop="1">
      <c r="B38" s="172" t="s">
        <v>3548</v>
      </c>
      <c r="D38" s="938">
        <f>SUM(D35:D37)</f>
        <v>0.14000000000000001</v>
      </c>
      <c r="E38" s="939">
        <f>SUM(E35:E37)</f>
        <v>960036.7</v>
      </c>
      <c r="F38" s="921" t="s">
        <v>187</v>
      </c>
      <c r="G38" s="2586">
        <f>SUM(G35:H37)</f>
        <v>960036</v>
      </c>
      <c r="H38" s="2587"/>
      <c r="J38" s="2586">
        <f>SUM(J35:K37)</f>
        <v>960036</v>
      </c>
      <c r="K38" s="2587"/>
      <c r="L38" s="346"/>
      <c r="M38" s="2586">
        <f>SUM(M35:N37)</f>
        <v>0</v>
      </c>
      <c r="N38" s="2587"/>
      <c r="P38" s="2586">
        <f>SUM(P35:Q37)</f>
        <v>0</v>
      </c>
      <c r="Q38" s="2587"/>
      <c r="S38" s="2586">
        <f>SUM(S35:T37)</f>
        <v>0</v>
      </c>
      <c r="T38" s="2587"/>
      <c r="V38" s="3835">
        <f>SUM(V35:V37)</f>
        <v>0</v>
      </c>
      <c r="W38" s="3836"/>
      <c r="X38" s="3837"/>
    </row>
    <row r="39" spans="1:24" s="293" customFormat="1" ht="3" customHeight="1">
      <c r="A39" s="471"/>
      <c r="B39" s="471"/>
      <c r="C39" s="471"/>
      <c r="D39" s="471"/>
      <c r="E39" s="471"/>
      <c r="F39" s="471"/>
      <c r="G39" s="471"/>
      <c r="H39" s="471"/>
      <c r="I39" s="471"/>
      <c r="J39" s="471"/>
      <c r="K39" s="471"/>
      <c r="L39" s="471"/>
      <c r="M39" s="471"/>
      <c r="N39" s="471"/>
      <c r="O39" s="471"/>
      <c r="P39" s="471"/>
      <c r="Q39" s="471"/>
      <c r="R39" s="471"/>
      <c r="S39" s="471"/>
      <c r="T39" s="471"/>
      <c r="V39" s="1029"/>
    </row>
    <row r="40" spans="1:24" s="293" customFormat="1" ht="12" customHeight="1">
      <c r="B40" s="295" t="s">
        <v>2656</v>
      </c>
      <c r="J40" s="346"/>
      <c r="K40" s="343"/>
      <c r="M40" s="346"/>
      <c r="N40" s="343"/>
      <c r="O40" s="345" t="str">
        <f>B40</f>
        <v>OTHER CONSTRUCTION HARD COSTS (Non-GC work scope items done by Owner)</v>
      </c>
      <c r="P40" s="346"/>
      <c r="Q40" s="343"/>
      <c r="S40" s="346"/>
      <c r="T40" s="343"/>
      <c r="V40" s="1029"/>
      <c r="W40" s="293" t="str">
        <f>B40</f>
        <v>OTHER CONSTRUCTION HARD COSTS (Non-GC work scope items done by Owner)</v>
      </c>
    </row>
    <row r="41" spans="1:24" ht="12.6" customHeight="1">
      <c r="B41" s="293" t="s">
        <v>723</v>
      </c>
      <c r="C41" s="3828" t="s">
        <v>3531</v>
      </c>
      <c r="D41" s="3840"/>
      <c r="E41" s="3840"/>
      <c r="F41" s="3841"/>
      <c r="G41" s="3842"/>
      <c r="H41" s="3843"/>
      <c r="I41" s="293"/>
      <c r="J41" s="3842"/>
      <c r="K41" s="3843"/>
      <c r="L41" s="2368"/>
      <c r="M41" s="3842"/>
      <c r="N41" s="3843"/>
      <c r="O41" s="293"/>
      <c r="P41" s="3842"/>
      <c r="Q41" s="3843"/>
      <c r="R41" s="293"/>
      <c r="S41" s="3842"/>
      <c r="T41" s="3843"/>
      <c r="V41" s="3825"/>
      <c r="W41" s="3844"/>
      <c r="X41" s="3845"/>
    </row>
    <row r="42" spans="1:24" s="293" customFormat="1" ht="6" customHeight="1">
      <c r="A42" s="471"/>
      <c r="B42" s="471"/>
      <c r="C42" s="471"/>
      <c r="D42" s="841"/>
      <c r="E42" s="841"/>
      <c r="F42" s="841"/>
      <c r="G42" s="471"/>
      <c r="H42" s="471"/>
      <c r="I42" s="471"/>
      <c r="J42" s="471"/>
      <c r="K42" s="471"/>
      <c r="L42" s="471"/>
      <c r="M42" s="471"/>
      <c r="N42" s="471"/>
      <c r="O42" s="471"/>
      <c r="P42" s="471"/>
      <c r="Q42" s="471"/>
      <c r="R42" s="471"/>
      <c r="S42" s="471"/>
      <c r="T42" s="471"/>
      <c r="V42" s="1029"/>
      <c r="W42" s="3846"/>
      <c r="X42" s="3847"/>
    </row>
    <row r="43" spans="1:24" s="293" customFormat="1" ht="12.6" customHeight="1">
      <c r="B43" s="495" t="s">
        <v>2660</v>
      </c>
      <c r="C43" s="496"/>
      <c r="E43" s="2603" t="s">
        <v>2659</v>
      </c>
      <c r="F43" s="2366">
        <f>B44/'Part VI-Revenues &amp; Expenses'!$P$65</f>
        <v>108575.56944444444</v>
      </c>
      <c r="G43" s="2367" t="s">
        <v>2680</v>
      </c>
      <c r="H43" s="2363"/>
      <c r="I43" s="2363"/>
      <c r="J43" s="2605">
        <f>B44/'Part VI-Revenues &amp; Expenses'!$P$67</f>
        <v>108575.56944444444</v>
      </c>
      <c r="K43" s="2605"/>
      <c r="L43" s="2363"/>
      <c r="M43" s="2606" t="s">
        <v>1375</v>
      </c>
      <c r="N43" s="2606"/>
      <c r="O43" s="2363"/>
      <c r="P43" s="2605">
        <f>B44/'Part I-Project Information'!$P$75</f>
        <v>110.76784980517181</v>
      </c>
      <c r="Q43" s="2605"/>
      <c r="R43" s="2363"/>
      <c r="S43" s="2607" t="s">
        <v>2687</v>
      </c>
      <c r="T43" s="2608"/>
      <c r="V43" s="1029"/>
      <c r="W43" s="3846"/>
      <c r="X43" s="3847"/>
    </row>
    <row r="44" spans="1:24" s="293" customFormat="1" ht="12.6" customHeight="1">
      <c r="B44" s="2599">
        <f>G27+G33+G38+G41</f>
        <v>7817441</v>
      </c>
      <c r="C44" s="2600"/>
      <c r="E44" s="2604"/>
      <c r="F44" s="2365">
        <f>B44/'Part VI-Revenues &amp; Expenses'!$P$168</f>
        <v>114.96236764705883</v>
      </c>
      <c r="G44" s="494" t="s">
        <v>2681</v>
      </c>
      <c r="H44" s="2359"/>
      <c r="I44" s="2359"/>
      <c r="J44" s="2601">
        <f>B44/'Part VI-Revenues &amp; Expenses'!$P$170</f>
        <v>114.96236764705883</v>
      </c>
      <c r="K44" s="2601"/>
      <c r="L44" s="2359"/>
      <c r="M44" s="2602" t="s">
        <v>2686</v>
      </c>
      <c r="N44" s="2602"/>
      <c r="O44" s="2359"/>
      <c r="P44" s="2359"/>
      <c r="Q44" s="2359"/>
      <c r="R44" s="2359"/>
      <c r="S44" s="2359"/>
      <c r="T44" s="336"/>
      <c r="V44" s="1029"/>
      <c r="W44" s="3848"/>
      <c r="X44" s="3849"/>
    </row>
    <row r="45" spans="1:24" s="293" customFormat="1" ht="3" customHeight="1">
      <c r="A45" s="471"/>
      <c r="B45" s="471"/>
      <c r="C45" s="471"/>
      <c r="D45" s="471"/>
      <c r="E45" s="471"/>
      <c r="F45" s="471"/>
      <c r="G45" s="471"/>
      <c r="H45" s="471"/>
      <c r="I45" s="471"/>
      <c r="J45" s="471"/>
      <c r="K45" s="471"/>
      <c r="L45" s="471"/>
      <c r="M45" s="471"/>
      <c r="N45" s="471"/>
      <c r="O45" s="471"/>
      <c r="P45" s="471"/>
      <c r="Q45" s="471"/>
      <c r="R45" s="471"/>
      <c r="S45" s="471"/>
      <c r="T45" s="471"/>
      <c r="V45" s="1029"/>
    </row>
    <row r="46" spans="1:24" s="293" customFormat="1" ht="12" customHeight="1">
      <c r="B46" s="295" t="s">
        <v>1104</v>
      </c>
      <c r="F46" s="1143" t="s">
        <v>3837</v>
      </c>
      <c r="J46" s="346"/>
      <c r="K46" s="343"/>
      <c r="M46" s="346"/>
      <c r="N46" s="343"/>
      <c r="O46" s="345" t="str">
        <f>B46</f>
        <v>CONSTRUCTION CONTINGENCY</v>
      </c>
      <c r="P46" s="346"/>
      <c r="Q46" s="343"/>
      <c r="S46" s="346"/>
      <c r="T46" s="343"/>
      <c r="V46" s="1029"/>
      <c r="W46" s="293" t="str">
        <f>B46</f>
        <v>CONSTRUCTION CONTINGENCY</v>
      </c>
    </row>
    <row r="47" spans="1:24" ht="12.6" customHeight="1">
      <c r="B47" s="293" t="s">
        <v>1914</v>
      </c>
      <c r="D47" s="509" t="s">
        <v>3836</v>
      </c>
      <c r="E47" s="1142">
        <f>IF('Part VI-Revenues &amp; Expenses'!$P$67=0,"",(('Part VI-Revenues &amp; Expenses'!$P$115/'Part VI-Revenues &amp; Expenses'!$P$67)*'Part IV-A-Uses of Funds'!$B$44*'DCA Underwriting Assumptions'!$R$75+(('Part VI-Revenues &amp; Expenses'!$P$118+'Part VI-Revenues &amp; Expenses'!$P$121)/'Part VI-Revenues &amp; Expenses'!$P$67)*'Part IV-A-Uses of Funds'!$B$44*'DCA Underwriting Assumptions'!$R$76))</f>
        <v>390872.05000000005</v>
      </c>
      <c r="F47" s="348">
        <f>G47/B44</f>
        <v>4.9999993604045112E-2</v>
      </c>
      <c r="G47" s="3842">
        <v>390872</v>
      </c>
      <c r="H47" s="3843"/>
      <c r="I47" s="293"/>
      <c r="J47" s="3842">
        <v>390872</v>
      </c>
      <c r="K47" s="3843"/>
      <c r="L47" s="2368"/>
      <c r="M47" s="3842"/>
      <c r="N47" s="3843"/>
      <c r="O47" s="293"/>
      <c r="P47" s="3842"/>
      <c r="Q47" s="3843"/>
      <c r="R47" s="293"/>
      <c r="S47" s="3842"/>
      <c r="T47" s="3843"/>
      <c r="V47" s="3825"/>
      <c r="W47" s="3826"/>
      <c r="X47" s="3827"/>
    </row>
    <row r="48" spans="1:24" s="293" customFormat="1" ht="3" customHeight="1" thickBot="1">
      <c r="A48" s="471"/>
      <c r="B48" s="471"/>
      <c r="C48" s="471"/>
      <c r="D48" s="471"/>
      <c r="E48" s="471"/>
      <c r="F48" s="471"/>
      <c r="G48" s="471"/>
      <c r="H48" s="471"/>
      <c r="I48" s="471"/>
      <c r="J48" s="471"/>
      <c r="K48" s="471"/>
      <c r="L48" s="471"/>
      <c r="M48" s="471"/>
      <c r="N48" s="471"/>
      <c r="O48" s="471"/>
      <c r="P48" s="471"/>
      <c r="Q48" s="471"/>
      <c r="R48" s="471"/>
      <c r="S48" s="471"/>
      <c r="T48" s="471"/>
      <c r="V48" s="1029"/>
    </row>
    <row r="49" spans="1:24" s="293" customFormat="1" ht="18.75" customHeight="1" thickBot="1">
      <c r="A49" s="418" t="s">
        <v>598</v>
      </c>
      <c r="B49" s="418" t="s">
        <v>2745</v>
      </c>
      <c r="H49" s="2356"/>
      <c r="I49" s="2356"/>
      <c r="J49" s="2580" t="s">
        <v>266</v>
      </c>
      <c r="K49" s="2581"/>
      <c r="L49" s="343"/>
      <c r="M49" s="2591" t="s">
        <v>479</v>
      </c>
      <c r="N49" s="2592"/>
      <c r="P49" s="2580" t="s">
        <v>267</v>
      </c>
      <c r="Q49" s="2581"/>
      <c r="S49" s="2580" t="s">
        <v>268</v>
      </c>
      <c r="T49" s="2581"/>
      <c r="V49" s="1029"/>
      <c r="W49" s="419" t="str">
        <f>B49</f>
        <v>DEVELOPMENT BUDGET (cont'd)</v>
      </c>
    </row>
    <row r="50" spans="1:24" s="293" customFormat="1" ht="18.75" customHeight="1" thickBot="1">
      <c r="G50" s="2595" t="s">
        <v>98</v>
      </c>
      <c r="H50" s="2596"/>
      <c r="J50" s="2582"/>
      <c r="K50" s="2583"/>
      <c r="L50" s="343"/>
      <c r="M50" s="2593"/>
      <c r="N50" s="2594"/>
      <c r="P50" s="2582"/>
      <c r="Q50" s="2583"/>
      <c r="S50" s="2582"/>
      <c r="T50" s="2583"/>
      <c r="V50" s="1029"/>
      <c r="W50" s="2557" t="s">
        <v>2607</v>
      </c>
      <c r="X50" s="2557"/>
    </row>
    <row r="51" spans="1:24" s="293" customFormat="1" ht="12" customHeight="1">
      <c r="B51" s="295" t="s">
        <v>704</v>
      </c>
      <c r="J51" s="346"/>
      <c r="K51" s="343"/>
      <c r="M51" s="346"/>
      <c r="N51" s="343"/>
      <c r="O51" s="345" t="str">
        <f>B51</f>
        <v>CONSTRUCTION PERIOD FINANCING</v>
      </c>
      <c r="P51" s="346"/>
      <c r="Q51" s="343"/>
      <c r="S51" s="346"/>
      <c r="T51" s="343"/>
      <c r="V51" s="1029"/>
      <c r="W51" s="293" t="str">
        <f>B51</f>
        <v>CONSTRUCTION PERIOD FINANCING</v>
      </c>
    </row>
    <row r="52" spans="1:24" s="293" customFormat="1" ht="12" customHeight="1">
      <c r="B52" s="293" t="s">
        <v>3549</v>
      </c>
      <c r="G52" s="3753">
        <v>55901</v>
      </c>
      <c r="H52" s="3754"/>
      <c r="J52" s="3753">
        <v>55901</v>
      </c>
      <c r="K52" s="3754"/>
      <c r="L52" s="2368"/>
      <c r="M52" s="3753"/>
      <c r="N52" s="3754"/>
      <c r="P52" s="3753"/>
      <c r="Q52" s="3754"/>
      <c r="S52" s="3753"/>
      <c r="T52" s="3754"/>
      <c r="V52" s="3850"/>
      <c r="W52" s="3826"/>
      <c r="X52" s="3827"/>
    </row>
    <row r="53" spans="1:24" s="293" customFormat="1" ht="12" customHeight="1">
      <c r="B53" s="293" t="s">
        <v>3550</v>
      </c>
      <c r="G53" s="3762">
        <v>328260</v>
      </c>
      <c r="H53" s="3763"/>
      <c r="J53" s="3762">
        <v>228859</v>
      </c>
      <c r="K53" s="3763"/>
      <c r="L53" s="2368"/>
      <c r="M53" s="3762"/>
      <c r="N53" s="3763"/>
      <c r="P53" s="3762"/>
      <c r="Q53" s="3763"/>
      <c r="S53" s="3762">
        <v>99401</v>
      </c>
      <c r="T53" s="3763"/>
      <c r="V53" s="3850"/>
      <c r="W53" s="3826"/>
      <c r="X53" s="3827"/>
    </row>
    <row r="54" spans="1:24" s="293" customFormat="1" ht="12" customHeight="1">
      <c r="B54" s="293" t="s">
        <v>2287</v>
      </c>
      <c r="G54" s="3762">
        <v>6975</v>
      </c>
      <c r="H54" s="3763"/>
      <c r="J54" s="3762">
        <v>6975</v>
      </c>
      <c r="K54" s="3763"/>
      <c r="L54" s="2368"/>
      <c r="M54" s="3762"/>
      <c r="N54" s="3763"/>
      <c r="P54" s="3762"/>
      <c r="Q54" s="3763"/>
      <c r="S54" s="3762"/>
      <c r="T54" s="3763"/>
      <c r="V54" s="3850"/>
      <c r="W54" s="3826"/>
      <c r="X54" s="3827"/>
    </row>
    <row r="55" spans="1:24" s="293" customFormat="1" ht="12" customHeight="1">
      <c r="B55" s="293" t="s">
        <v>2288</v>
      </c>
      <c r="G55" s="3762">
        <v>40944</v>
      </c>
      <c r="H55" s="3763"/>
      <c r="J55" s="3762">
        <v>28546</v>
      </c>
      <c r="K55" s="3763"/>
      <c r="L55" s="2368"/>
      <c r="M55" s="3762"/>
      <c r="N55" s="3763"/>
      <c r="P55" s="3762"/>
      <c r="Q55" s="3763"/>
      <c r="S55" s="3762">
        <v>12398</v>
      </c>
      <c r="T55" s="3763"/>
      <c r="V55" s="3850"/>
      <c r="W55" s="3826"/>
      <c r="X55" s="3827"/>
    </row>
    <row r="56" spans="1:24" s="293" customFormat="1" ht="12" customHeight="1">
      <c r="B56" s="293" t="s">
        <v>2289</v>
      </c>
      <c r="G56" s="3762">
        <v>51000</v>
      </c>
      <c r="H56" s="3763"/>
      <c r="J56" s="3762">
        <v>51000</v>
      </c>
      <c r="K56" s="3763"/>
      <c r="L56" s="2368"/>
      <c r="M56" s="3762"/>
      <c r="N56" s="3763"/>
      <c r="P56" s="3762"/>
      <c r="Q56" s="3763"/>
      <c r="S56" s="3762"/>
      <c r="T56" s="3763"/>
      <c r="V56" s="3850"/>
      <c r="W56" s="3826"/>
      <c r="X56" s="3827"/>
    </row>
    <row r="57" spans="1:24" s="293" customFormat="1" ht="12" customHeight="1">
      <c r="B57" s="293" t="s">
        <v>2610</v>
      </c>
      <c r="G57" s="3762">
        <v>11200</v>
      </c>
      <c r="H57" s="3763"/>
      <c r="J57" s="3762">
        <v>11200</v>
      </c>
      <c r="K57" s="3763"/>
      <c r="L57" s="2368"/>
      <c r="M57" s="3762"/>
      <c r="N57" s="3763"/>
      <c r="P57" s="3762"/>
      <c r="Q57" s="3763"/>
      <c r="S57" s="3762"/>
      <c r="T57" s="3763"/>
      <c r="V57" s="3850"/>
      <c r="W57" s="3826"/>
      <c r="X57" s="3827"/>
    </row>
    <row r="58" spans="1:24" s="293" customFormat="1" ht="12" customHeight="1">
      <c r="B58" s="293" t="s">
        <v>705</v>
      </c>
      <c r="G58" s="3762">
        <v>10000</v>
      </c>
      <c r="H58" s="3763"/>
      <c r="J58" s="3762">
        <v>10000</v>
      </c>
      <c r="K58" s="3763"/>
      <c r="L58" s="2368"/>
      <c r="M58" s="3762"/>
      <c r="N58" s="3763"/>
      <c r="P58" s="3762"/>
      <c r="Q58" s="3763"/>
      <c r="S58" s="3762"/>
      <c r="T58" s="3763"/>
      <c r="V58" s="3850"/>
      <c r="W58" s="3826"/>
      <c r="X58" s="3827"/>
    </row>
    <row r="59" spans="1:24" s="293" customFormat="1" ht="12" customHeight="1">
      <c r="B59" s="293" t="s">
        <v>2290</v>
      </c>
      <c r="G59" s="3762">
        <v>82000</v>
      </c>
      <c r="H59" s="3763"/>
      <c r="J59" s="3762">
        <v>82000</v>
      </c>
      <c r="K59" s="3763"/>
      <c r="L59" s="2368"/>
      <c r="M59" s="3762"/>
      <c r="N59" s="3763"/>
      <c r="P59" s="3762"/>
      <c r="Q59" s="3763"/>
      <c r="S59" s="3762"/>
      <c r="T59" s="3763"/>
      <c r="V59" s="3850"/>
      <c r="W59" s="3826"/>
      <c r="X59" s="3827"/>
    </row>
    <row r="60" spans="1:24" s="293" customFormat="1" ht="12" customHeight="1">
      <c r="B60" s="293" t="s">
        <v>1250</v>
      </c>
      <c r="G60" s="3762">
        <v>79500</v>
      </c>
      <c r="H60" s="3763"/>
      <c r="J60" s="3762">
        <v>3816</v>
      </c>
      <c r="K60" s="3763"/>
      <c r="L60" s="2368"/>
      <c r="M60" s="3762"/>
      <c r="N60" s="3763"/>
      <c r="P60" s="3762"/>
      <c r="Q60" s="3763"/>
      <c r="S60" s="3762">
        <v>75684</v>
      </c>
      <c r="T60" s="3763"/>
      <c r="V60" s="3850"/>
      <c r="W60" s="3826"/>
      <c r="X60" s="3827"/>
    </row>
    <row r="61" spans="1:24" s="293" customFormat="1" ht="12" customHeight="1">
      <c r="B61" s="350" t="s">
        <v>1131</v>
      </c>
      <c r="D61" s="348"/>
      <c r="E61" s="348"/>
      <c r="F61" s="349"/>
      <c r="G61" s="3762"/>
      <c r="H61" s="3763"/>
      <c r="I61" s="311"/>
      <c r="J61" s="3762"/>
      <c r="K61" s="3763"/>
      <c r="L61" s="2368"/>
      <c r="M61" s="3762"/>
      <c r="N61" s="3763"/>
      <c r="P61" s="3762"/>
      <c r="Q61" s="3763"/>
      <c r="S61" s="3762"/>
      <c r="T61" s="3763"/>
      <c r="V61" s="3850"/>
      <c r="W61" s="3826"/>
      <c r="X61" s="3827"/>
    </row>
    <row r="62" spans="1:24" s="293" customFormat="1" ht="12" customHeight="1">
      <c r="A62" s="370" t="str">
        <f>IF(AND(G62&gt;0,OR(C62="",C62="&lt;Enter detailed description here; use Comments section if needed&gt;")),"X","")</f>
        <v/>
      </c>
      <c r="B62" s="293" t="s">
        <v>723</v>
      </c>
      <c r="C62" s="3851" t="s">
        <v>7069</v>
      </c>
      <c r="D62" s="3851"/>
      <c r="E62" s="3851"/>
      <c r="F62" s="3852"/>
      <c r="G62" s="3762">
        <v>9000</v>
      </c>
      <c r="H62" s="3763"/>
      <c r="J62" s="3762">
        <v>9000</v>
      </c>
      <c r="K62" s="3763"/>
      <c r="L62" s="2368"/>
      <c r="M62" s="3762"/>
      <c r="N62" s="3763"/>
      <c r="P62" s="3762"/>
      <c r="Q62" s="3763"/>
      <c r="S62" s="3762"/>
      <c r="T62" s="3763"/>
      <c r="U62" s="369" t="str">
        <f>IF(AND(G62&gt;0,OR(C62="",C62="&lt;Enter detailed description here; use Comments section if needed&gt;")),"NO DESCRIPTION PROVIDED - please enter detailed description in Other box at left; use Comments section below if needed.","")</f>
        <v/>
      </c>
      <c r="V62" s="3850"/>
      <c r="W62" s="3826"/>
      <c r="X62" s="3827"/>
    </row>
    <row r="63" spans="1:24" s="293" customFormat="1" ht="12" customHeight="1" thickBot="1">
      <c r="A63" s="370" t="str">
        <f>IF(AND(G63&gt;0,OR(C63="",C63="&lt;Enter detailed description here; use Comments section if needed&gt;")),"X","")</f>
        <v/>
      </c>
      <c r="B63" s="293" t="s">
        <v>723</v>
      </c>
      <c r="C63" s="3853" t="s">
        <v>7071</v>
      </c>
      <c r="D63" s="3853"/>
      <c r="E63" s="3853"/>
      <c r="F63" s="3854"/>
      <c r="G63" s="3771">
        <v>8855</v>
      </c>
      <c r="H63" s="3772"/>
      <c r="J63" s="3771">
        <v>8855</v>
      </c>
      <c r="K63" s="3772"/>
      <c r="L63" s="2368"/>
      <c r="M63" s="3771"/>
      <c r="N63" s="3772"/>
      <c r="P63" s="3771"/>
      <c r="Q63" s="3772"/>
      <c r="S63" s="3771"/>
      <c r="T63" s="3772"/>
      <c r="U63" s="369" t="str">
        <f>IF(AND(G63&gt;0,OR(C63="",C63="&lt;Enter detailed description here; use Comments section if needed&gt;")),"NO DESCRIPTION PROVIDED - please enter detailed description in Other box at left; use Comments section below if needed.","")</f>
        <v/>
      </c>
      <c r="V63" s="3850"/>
      <c r="W63" s="3833"/>
      <c r="X63" s="3834"/>
    </row>
    <row r="64" spans="1:24" s="293" customFormat="1" ht="12" customHeight="1" thickTop="1">
      <c r="F64" s="344" t="s">
        <v>187</v>
      </c>
      <c r="G64" s="2586">
        <f>SUM(G52:H63)</f>
        <v>683635</v>
      </c>
      <c r="H64" s="2587"/>
      <c r="J64" s="2586">
        <f>SUM(J52:K63)</f>
        <v>496152</v>
      </c>
      <c r="K64" s="2587"/>
      <c r="L64" s="346"/>
      <c r="M64" s="2586">
        <f>SUM(M52:N63)</f>
        <v>0</v>
      </c>
      <c r="N64" s="2587"/>
      <c r="P64" s="2586">
        <f>SUM(P52:Q63)</f>
        <v>0</v>
      </c>
      <c r="Q64" s="2587"/>
      <c r="S64" s="2586">
        <f>SUM(S52:T63)</f>
        <v>187483</v>
      </c>
      <c r="T64" s="2587"/>
      <c r="V64" s="3855">
        <f>SUM(V52:V63)</f>
        <v>0</v>
      </c>
      <c r="W64" s="3836"/>
      <c r="X64" s="3837"/>
    </row>
    <row r="65" spans="1:24" s="293" customFormat="1" ht="12" customHeight="1">
      <c r="B65" s="295" t="s">
        <v>467</v>
      </c>
      <c r="G65" s="343"/>
      <c r="H65" s="343"/>
      <c r="J65" s="343"/>
      <c r="K65" s="343"/>
      <c r="M65" s="343"/>
      <c r="N65" s="343"/>
      <c r="O65" s="345" t="str">
        <f>B65</f>
        <v>PROFESSIONAL SERVICES</v>
      </c>
      <c r="P65" s="343"/>
      <c r="Q65" s="343"/>
      <c r="S65" s="343"/>
      <c r="T65" s="343"/>
      <c r="V65" s="1029"/>
      <c r="W65" s="293" t="str">
        <f>B65</f>
        <v>PROFESSIONAL SERVICES</v>
      </c>
    </row>
    <row r="66" spans="1:24" s="293" customFormat="1" ht="12" customHeight="1">
      <c r="B66" s="293" t="s">
        <v>468</v>
      </c>
      <c r="G66" s="3753">
        <v>155520</v>
      </c>
      <c r="H66" s="3754"/>
      <c r="J66" s="3753">
        <v>155520</v>
      </c>
      <c r="K66" s="3754"/>
      <c r="L66" s="2368"/>
      <c r="M66" s="3753"/>
      <c r="N66" s="3754"/>
      <c r="P66" s="3753"/>
      <c r="Q66" s="3754"/>
      <c r="S66" s="3753"/>
      <c r="T66" s="3754"/>
      <c r="V66" s="3825"/>
      <c r="W66" s="3826"/>
      <c r="X66" s="3827"/>
    </row>
    <row r="67" spans="1:24" s="293" customFormat="1" ht="12" customHeight="1">
      <c r="B67" s="293" t="s">
        <v>469</v>
      </c>
      <c r="G67" s="3762">
        <v>38880</v>
      </c>
      <c r="H67" s="3763"/>
      <c r="J67" s="3762">
        <v>38880</v>
      </c>
      <c r="K67" s="3763"/>
      <c r="L67" s="2368"/>
      <c r="M67" s="3762"/>
      <c r="N67" s="3763"/>
      <c r="P67" s="3762"/>
      <c r="Q67" s="3763"/>
      <c r="S67" s="3762"/>
      <c r="T67" s="3763"/>
      <c r="V67" s="3825"/>
      <c r="W67" s="3826"/>
      <c r="X67" s="3827"/>
    </row>
    <row r="68" spans="1:24" s="293" customFormat="1" ht="12" customHeight="1">
      <c r="B68" s="293" t="s">
        <v>1105</v>
      </c>
      <c r="D68" s="305" t="s">
        <v>3632</v>
      </c>
      <c r="E68" s="1021">
        <f>'DCA Underwriting Assumptions'!R80</f>
        <v>20000</v>
      </c>
      <c r="F68" s="1022" t="str">
        <f>IF(G68&gt;E68,"CHECK!!!","")</f>
        <v/>
      </c>
      <c r="G68" s="3762">
        <v>20000</v>
      </c>
      <c r="H68" s="3763"/>
      <c r="J68" s="3762">
        <v>20000</v>
      </c>
      <c r="K68" s="3763"/>
      <c r="L68" s="2368"/>
      <c r="M68" s="3762"/>
      <c r="N68" s="3763"/>
      <c r="P68" s="3762"/>
      <c r="Q68" s="3763"/>
      <c r="S68" s="3762"/>
      <c r="T68" s="3763"/>
      <c r="V68" s="3825"/>
      <c r="W68" s="3826"/>
      <c r="X68" s="3827"/>
    </row>
    <row r="69" spans="1:24" s="293" customFormat="1" ht="12" customHeight="1">
      <c r="B69" s="293" t="s">
        <v>1106</v>
      </c>
      <c r="G69" s="3762">
        <v>20000</v>
      </c>
      <c r="H69" s="3763"/>
      <c r="J69" s="3762">
        <v>20000</v>
      </c>
      <c r="K69" s="3763"/>
      <c r="L69" s="2368"/>
      <c r="M69" s="3762"/>
      <c r="N69" s="3763"/>
      <c r="P69" s="3762"/>
      <c r="Q69" s="3763"/>
      <c r="S69" s="3762"/>
      <c r="T69" s="3763"/>
      <c r="V69" s="3825"/>
      <c r="W69" s="3826"/>
      <c r="X69" s="3827"/>
    </row>
    <row r="70" spans="1:24" s="293" customFormat="1" ht="12" customHeight="1">
      <c r="B70" s="293" t="s">
        <v>1107</v>
      </c>
      <c r="G70" s="3762">
        <v>12000</v>
      </c>
      <c r="H70" s="3763"/>
      <c r="J70" s="3762">
        <v>12000</v>
      </c>
      <c r="K70" s="3763"/>
      <c r="L70" s="2368"/>
      <c r="M70" s="3762"/>
      <c r="N70" s="3763"/>
      <c r="P70" s="3762"/>
      <c r="Q70" s="3763"/>
      <c r="S70" s="3762"/>
      <c r="T70" s="3763"/>
      <c r="V70" s="3825"/>
      <c r="W70" s="3826"/>
      <c r="X70" s="3827"/>
    </row>
    <row r="71" spans="1:24" s="293" customFormat="1" ht="12" customHeight="1">
      <c r="B71" s="293" t="s">
        <v>1108</v>
      </c>
      <c r="G71" s="3762"/>
      <c r="H71" s="3763"/>
      <c r="J71" s="3762"/>
      <c r="K71" s="3763"/>
      <c r="L71" s="2368"/>
      <c r="M71" s="3762"/>
      <c r="N71" s="3763"/>
      <c r="P71" s="3762"/>
      <c r="Q71" s="3763"/>
      <c r="S71" s="3762"/>
      <c r="T71" s="3763"/>
      <c r="V71" s="3825"/>
      <c r="W71" s="3826"/>
      <c r="X71" s="3827"/>
    </row>
    <row r="72" spans="1:24" s="293" customFormat="1" ht="12" customHeight="1">
      <c r="B72" s="293" t="s">
        <v>470</v>
      </c>
      <c r="G72" s="3762">
        <v>40000</v>
      </c>
      <c r="H72" s="3763"/>
      <c r="J72" s="3762">
        <v>40000</v>
      </c>
      <c r="K72" s="3763"/>
      <c r="L72" s="2368"/>
      <c r="M72" s="3762"/>
      <c r="N72" s="3763"/>
      <c r="P72" s="3762"/>
      <c r="Q72" s="3763"/>
      <c r="S72" s="3762"/>
      <c r="T72" s="3763"/>
      <c r="V72" s="3825"/>
      <c r="W72" s="3826"/>
      <c r="X72" s="3827"/>
    </row>
    <row r="73" spans="1:24" s="293" customFormat="1" ht="12" customHeight="1">
      <c r="B73" s="293" t="s">
        <v>471</v>
      </c>
      <c r="G73" s="3762">
        <v>100000</v>
      </c>
      <c r="H73" s="3763"/>
      <c r="J73" s="3762">
        <v>80000</v>
      </c>
      <c r="K73" s="3763"/>
      <c r="L73" s="2368"/>
      <c r="M73" s="3762"/>
      <c r="N73" s="3763"/>
      <c r="P73" s="3762"/>
      <c r="Q73" s="3763"/>
      <c r="S73" s="3762">
        <v>20000</v>
      </c>
      <c r="T73" s="3763"/>
      <c r="V73" s="3825"/>
      <c r="W73" s="3826"/>
      <c r="X73" s="3827"/>
    </row>
    <row r="74" spans="1:24" s="293" customFormat="1" ht="12" customHeight="1">
      <c r="B74" s="293" t="s">
        <v>2001</v>
      </c>
      <c r="G74" s="3762">
        <v>30000</v>
      </c>
      <c r="H74" s="3763"/>
      <c r="J74" s="3762">
        <v>30000</v>
      </c>
      <c r="K74" s="3763"/>
      <c r="L74" s="2368"/>
      <c r="M74" s="3762"/>
      <c r="N74" s="3763"/>
      <c r="P74" s="3762"/>
      <c r="Q74" s="3763"/>
      <c r="S74" s="3762"/>
      <c r="T74" s="3763"/>
      <c r="V74" s="3825"/>
      <c r="W74" s="3826"/>
      <c r="X74" s="3827"/>
    </row>
    <row r="75" spans="1:24" s="293" customFormat="1" ht="12" customHeight="1">
      <c r="B75" s="293" t="s">
        <v>1251</v>
      </c>
      <c r="G75" s="3762">
        <v>10000</v>
      </c>
      <c r="H75" s="3763"/>
      <c r="J75" s="3762"/>
      <c r="K75" s="3763"/>
      <c r="L75" s="2368"/>
      <c r="M75" s="3762"/>
      <c r="N75" s="3763"/>
      <c r="P75" s="3762"/>
      <c r="Q75" s="3763"/>
      <c r="S75" s="3762">
        <v>10000</v>
      </c>
      <c r="T75" s="3763"/>
      <c r="V75" s="3825"/>
      <c r="W75" s="3826"/>
      <c r="X75" s="3827"/>
    </row>
    <row r="76" spans="1:24" s="293" customFormat="1" ht="12" customHeight="1" thickBot="1">
      <c r="A76" s="370" t="str">
        <f>IF(AND(G76&gt;0,OR(C76="",C76="&lt;Enter detailed description here; use Comments section if needed&gt;")),"X","")</f>
        <v/>
      </c>
      <c r="B76" s="293" t="s">
        <v>723</v>
      </c>
      <c r="C76" s="3828" t="s">
        <v>7171</v>
      </c>
      <c r="D76" s="3828"/>
      <c r="E76" s="3828"/>
      <c r="F76" s="3829"/>
      <c r="G76" s="3771">
        <v>6500</v>
      </c>
      <c r="H76" s="3772"/>
      <c r="J76" s="3771">
        <v>6500</v>
      </c>
      <c r="K76" s="3772"/>
      <c r="L76" s="2368"/>
      <c r="M76" s="3771"/>
      <c r="N76" s="3772"/>
      <c r="P76" s="3771"/>
      <c r="Q76" s="3772"/>
      <c r="S76" s="3771"/>
      <c r="T76" s="3772"/>
      <c r="U76" s="369" t="str">
        <f>IF(AND(G76&gt;0,OR(C76="",C76="&lt;Enter detailed description here; use Comments section if needed&gt;")),"NO DESCRIPTION PROVIDED - please enter detailed description in Other box at left; use Comments section below if needed.","")</f>
        <v/>
      </c>
      <c r="V76" s="3825"/>
      <c r="W76" s="3833"/>
      <c r="X76" s="3834"/>
    </row>
    <row r="77" spans="1:24" s="293" customFormat="1" ht="12" customHeight="1" thickTop="1">
      <c r="F77" s="344" t="s">
        <v>187</v>
      </c>
      <c r="G77" s="2586">
        <f>SUM(G66:H76)</f>
        <v>432900</v>
      </c>
      <c r="H77" s="2587"/>
      <c r="J77" s="2586">
        <f>SUM(J66:K76)</f>
        <v>402900</v>
      </c>
      <c r="K77" s="2587"/>
      <c r="L77" s="346"/>
      <c r="M77" s="2586">
        <f>SUM(M66:N76)</f>
        <v>0</v>
      </c>
      <c r="N77" s="2587"/>
      <c r="P77" s="2586">
        <f>SUM(P66:Q76)</f>
        <v>0</v>
      </c>
      <c r="Q77" s="2587"/>
      <c r="S77" s="2586">
        <f>SUM(S66:T76)</f>
        <v>30000</v>
      </c>
      <c r="T77" s="2587"/>
      <c r="V77" s="3835">
        <f>SUM(V66:V76)</f>
        <v>0</v>
      </c>
      <c r="W77" s="3836"/>
      <c r="X77" s="3837"/>
    </row>
    <row r="78" spans="1:24" ht="12" customHeight="1">
      <c r="A78" s="293"/>
      <c r="B78" s="295" t="s">
        <v>1243</v>
      </c>
      <c r="C78" s="293"/>
      <c r="D78" s="866" t="s">
        <v>3551</v>
      </c>
      <c r="E78" s="943">
        <f>G83/'Part VI-Revenues &amp; Expenses'!$P$67</f>
        <v>2503.4027777777778</v>
      </c>
      <c r="F78" s="293"/>
      <c r="G78" s="293"/>
      <c r="H78" s="293"/>
      <c r="I78" s="293"/>
      <c r="J78" s="346"/>
      <c r="K78" s="346"/>
      <c r="M78" s="346"/>
      <c r="N78" s="346"/>
      <c r="O78" s="345" t="str">
        <f>B78</f>
        <v>LOCAL GOVERNMENT FEES</v>
      </c>
      <c r="P78" s="346"/>
      <c r="Q78" s="346"/>
      <c r="S78" s="346"/>
      <c r="T78" s="346"/>
      <c r="V78" s="1029"/>
      <c r="W78" s="293" t="str">
        <f>B78</f>
        <v>LOCAL GOVERNMENT FEES</v>
      </c>
    </row>
    <row r="79" spans="1:24" s="293" customFormat="1" ht="12" customHeight="1">
      <c r="B79" s="293" t="s">
        <v>1244</v>
      </c>
      <c r="G79" s="3753">
        <v>27395</v>
      </c>
      <c r="H79" s="3754"/>
      <c r="J79" s="3753">
        <v>27395</v>
      </c>
      <c r="K79" s="3754"/>
      <c r="L79" s="2368"/>
      <c r="M79" s="3753"/>
      <c r="N79" s="3754"/>
      <c r="P79" s="3753"/>
      <c r="Q79" s="3754"/>
      <c r="S79" s="3753"/>
      <c r="T79" s="3754"/>
      <c r="V79" s="3825"/>
      <c r="W79" s="3826"/>
      <c r="X79" s="3827"/>
    </row>
    <row r="80" spans="1:24" s="293" customFormat="1" ht="12" customHeight="1">
      <c r="B80" s="293" t="s">
        <v>1245</v>
      </c>
      <c r="G80" s="3762"/>
      <c r="H80" s="3763"/>
      <c r="J80" s="3762"/>
      <c r="K80" s="3763"/>
      <c r="L80" s="2368"/>
      <c r="M80" s="3762"/>
      <c r="N80" s="3763"/>
      <c r="P80" s="3762"/>
      <c r="Q80" s="3763"/>
      <c r="S80" s="3762"/>
      <c r="T80" s="3763"/>
      <c r="V80" s="3825"/>
      <c r="W80" s="3826"/>
      <c r="X80" s="3827"/>
    </row>
    <row r="81" spans="1:24" s="293" customFormat="1" ht="12" customHeight="1">
      <c r="B81" s="293" t="s">
        <v>1246</v>
      </c>
      <c r="D81" s="352" t="s">
        <v>1376</v>
      </c>
      <c r="E81" s="3856" t="s">
        <v>2889</v>
      </c>
      <c r="G81" s="3762">
        <v>116350</v>
      </c>
      <c r="H81" s="3763"/>
      <c r="I81" s="311"/>
      <c r="J81" s="3762">
        <v>116350</v>
      </c>
      <c r="K81" s="3763"/>
      <c r="L81" s="2368"/>
      <c r="M81" s="3762"/>
      <c r="N81" s="3763"/>
      <c r="P81" s="3762"/>
      <c r="Q81" s="3763"/>
      <c r="S81" s="3762"/>
      <c r="T81" s="3763"/>
      <c r="V81" s="3825"/>
      <c r="W81" s="3826"/>
      <c r="X81" s="3827"/>
    </row>
    <row r="82" spans="1:24" s="293" customFormat="1" ht="12" customHeight="1" thickBot="1">
      <c r="B82" s="293" t="s">
        <v>1247</v>
      </c>
      <c r="D82" s="352" t="s">
        <v>1376</v>
      </c>
      <c r="E82" s="3857" t="s">
        <v>2889</v>
      </c>
      <c r="G82" s="3771">
        <v>36500</v>
      </c>
      <c r="H82" s="3772"/>
      <c r="I82" s="311"/>
      <c r="J82" s="3771">
        <v>36500</v>
      </c>
      <c r="K82" s="3772"/>
      <c r="L82" s="2368"/>
      <c r="M82" s="3771"/>
      <c r="N82" s="3772"/>
      <c r="P82" s="3771"/>
      <c r="Q82" s="3772"/>
      <c r="S82" s="3771"/>
      <c r="T82" s="3772"/>
      <c r="V82" s="3825"/>
      <c r="W82" s="3833"/>
      <c r="X82" s="3834"/>
    </row>
    <row r="83" spans="1:24" s="293" customFormat="1" ht="12" customHeight="1" thickTop="1">
      <c r="F83" s="344" t="s">
        <v>187</v>
      </c>
      <c r="G83" s="2586">
        <f>SUM(G79:H82)</f>
        <v>180245</v>
      </c>
      <c r="H83" s="2587"/>
      <c r="J83" s="2586">
        <f>SUM(J79:K82)</f>
        <v>180245</v>
      </c>
      <c r="K83" s="2587"/>
      <c r="L83" s="346"/>
      <c r="M83" s="2586">
        <f>SUM(M79:N82)</f>
        <v>0</v>
      </c>
      <c r="N83" s="2587"/>
      <c r="P83" s="2586">
        <f>SUM(P79:Q82)</f>
        <v>0</v>
      </c>
      <c r="Q83" s="2587"/>
      <c r="S83" s="2586">
        <f>SUM(S79:T82)</f>
        <v>0</v>
      </c>
      <c r="T83" s="2587"/>
      <c r="V83" s="3835">
        <f>SUM(V79:V82)</f>
        <v>0</v>
      </c>
      <c r="W83" s="3836"/>
      <c r="X83" s="3837"/>
    </row>
    <row r="84" spans="1:24" s="293" customFormat="1" ht="12" customHeight="1">
      <c r="B84" s="295" t="s">
        <v>706</v>
      </c>
      <c r="J84" s="346"/>
      <c r="K84" s="346"/>
      <c r="M84" s="346"/>
      <c r="N84" s="346"/>
      <c r="O84" s="345" t="str">
        <f>B84</f>
        <v>PERMANENT FINANCING FEES</v>
      </c>
      <c r="P84" s="346"/>
      <c r="Q84" s="346"/>
      <c r="S84" s="346"/>
      <c r="T84" s="346"/>
      <c r="V84" s="1029"/>
      <c r="W84" s="293" t="str">
        <f>B84</f>
        <v>PERMANENT FINANCING FEES</v>
      </c>
    </row>
    <row r="85" spans="1:24" s="293" customFormat="1" ht="12" customHeight="1">
      <c r="B85" s="293" t="s">
        <v>1248</v>
      </c>
      <c r="G85" s="3753">
        <v>6975</v>
      </c>
      <c r="H85" s="3754"/>
      <c r="J85" s="2590"/>
      <c r="K85" s="2590"/>
      <c r="L85" s="2368"/>
      <c r="M85" s="2590"/>
      <c r="N85" s="2590"/>
      <c r="P85" s="2590"/>
      <c r="Q85" s="2590"/>
      <c r="S85" s="3753">
        <v>6975</v>
      </c>
      <c r="T85" s="3754"/>
      <c r="V85" s="3825"/>
      <c r="W85" s="3826"/>
      <c r="X85" s="3827"/>
    </row>
    <row r="86" spans="1:24" s="293" customFormat="1" ht="12" customHeight="1">
      <c r="B86" s="293" t="s">
        <v>1249</v>
      </c>
      <c r="G86" s="3762">
        <v>40000</v>
      </c>
      <c r="H86" s="3763"/>
      <c r="J86" s="2590"/>
      <c r="K86" s="2590"/>
      <c r="L86" s="2368"/>
      <c r="M86" s="2590"/>
      <c r="N86" s="2590"/>
      <c r="P86" s="2590"/>
      <c r="Q86" s="2590"/>
      <c r="S86" s="3762">
        <v>40000</v>
      </c>
      <c r="T86" s="3763"/>
      <c r="V86" s="3825"/>
      <c r="W86" s="3826"/>
      <c r="X86" s="3827"/>
    </row>
    <row r="87" spans="1:24" s="293" customFormat="1" ht="12" customHeight="1">
      <c r="B87" s="293" t="s">
        <v>1250</v>
      </c>
      <c r="G87" s="3762">
        <v>20143</v>
      </c>
      <c r="H87" s="3763"/>
      <c r="J87" s="2590"/>
      <c r="K87" s="2590"/>
      <c r="L87" s="2368"/>
      <c r="M87" s="2590"/>
      <c r="N87" s="2590"/>
      <c r="P87" s="2590"/>
      <c r="Q87" s="2590"/>
      <c r="S87" s="3762">
        <v>20143</v>
      </c>
      <c r="T87" s="3763"/>
      <c r="V87" s="3825"/>
      <c r="W87" s="3826"/>
      <c r="X87" s="3827"/>
    </row>
    <row r="88" spans="1:24" s="293" customFormat="1" ht="12" customHeight="1">
      <c r="B88" s="293" t="s">
        <v>1252</v>
      </c>
      <c r="G88" s="3762"/>
      <c r="H88" s="3763"/>
      <c r="J88" s="2590"/>
      <c r="K88" s="2590"/>
      <c r="L88" s="2368"/>
      <c r="M88" s="2590"/>
      <c r="N88" s="2590"/>
      <c r="P88" s="2590"/>
      <c r="Q88" s="2590"/>
      <c r="S88" s="3762"/>
      <c r="T88" s="3763"/>
      <c r="V88" s="3825"/>
      <c r="W88" s="3826"/>
      <c r="X88" s="3827"/>
    </row>
    <row r="89" spans="1:24" s="293" customFormat="1" ht="12" customHeight="1">
      <c r="B89" s="293" t="s">
        <v>2240</v>
      </c>
      <c r="G89" s="3762"/>
      <c r="H89" s="3763"/>
      <c r="J89" s="2590"/>
      <c r="K89" s="2590"/>
      <c r="L89" s="2368"/>
      <c r="M89" s="2590"/>
      <c r="N89" s="2590"/>
      <c r="P89" s="2590"/>
      <c r="Q89" s="2590"/>
      <c r="S89" s="3762"/>
      <c r="T89" s="3763"/>
      <c r="V89" s="3825"/>
      <c r="W89" s="3826"/>
      <c r="X89" s="3827"/>
    </row>
    <row r="90" spans="1:24" s="293" customFormat="1" ht="12" customHeight="1" thickBot="1">
      <c r="A90" s="370" t="str">
        <f>IF(AND(G90&gt;0,OR(C90="",C90="&lt;Enter detailed description here; use Comments section if needed&gt;")),"X","")</f>
        <v/>
      </c>
      <c r="B90" s="293" t="s">
        <v>723</v>
      </c>
      <c r="C90" s="3828" t="s">
        <v>7072</v>
      </c>
      <c r="D90" s="3828"/>
      <c r="E90" s="3828"/>
      <c r="F90" s="3829"/>
      <c r="G90" s="3771">
        <v>2790</v>
      </c>
      <c r="H90" s="3772"/>
      <c r="J90" s="2590"/>
      <c r="K90" s="2590"/>
      <c r="L90" s="2368"/>
      <c r="M90" s="2590"/>
      <c r="N90" s="2590"/>
      <c r="P90" s="2590"/>
      <c r="Q90" s="2590"/>
      <c r="S90" s="3771">
        <v>2790</v>
      </c>
      <c r="T90" s="3772"/>
      <c r="U90" s="369" t="str">
        <f>IF(AND(G90&gt;0,OR(C90="",C90="&lt;Enter detailed description here; use Comments section if needed&gt;")),"NO DESCRIPTION PROVIDED - please enter detailed description in Other box at left; use Comments section below if needed.","")</f>
        <v/>
      </c>
      <c r="V90" s="3825"/>
      <c r="W90" s="3833"/>
      <c r="X90" s="3834"/>
    </row>
    <row r="91" spans="1:24" s="293" customFormat="1" ht="12" customHeight="1" thickTop="1">
      <c r="F91" s="344" t="s">
        <v>187</v>
      </c>
      <c r="G91" s="2586">
        <f>SUM(G85:H90)</f>
        <v>69908</v>
      </c>
      <c r="H91" s="2587"/>
      <c r="J91" s="2590"/>
      <c r="K91" s="2590"/>
      <c r="L91" s="346"/>
      <c r="M91" s="2590"/>
      <c r="N91" s="2590"/>
      <c r="P91" s="2590"/>
      <c r="Q91" s="2590"/>
      <c r="S91" s="2586">
        <f>SUM(S85:T90)</f>
        <v>69908</v>
      </c>
      <c r="T91" s="2587"/>
      <c r="V91" s="3835">
        <f>SUM(V85:V90)</f>
        <v>0</v>
      </c>
      <c r="W91" s="3836"/>
      <c r="X91" s="3837"/>
    </row>
    <row r="92" spans="1:24" s="293" customFormat="1" ht="6" customHeight="1" thickBot="1">
      <c r="A92" s="471"/>
      <c r="B92" s="471"/>
      <c r="C92" s="471"/>
      <c r="D92" s="471"/>
      <c r="E92" s="471"/>
      <c r="F92" s="471"/>
      <c r="G92" s="471"/>
      <c r="H92" s="471"/>
      <c r="I92" s="471"/>
      <c r="J92" s="471"/>
      <c r="K92" s="471"/>
      <c r="L92" s="471"/>
      <c r="M92" s="471"/>
      <c r="N92" s="471"/>
      <c r="O92" s="471"/>
      <c r="P92" s="471"/>
      <c r="Q92" s="471"/>
      <c r="R92" s="471"/>
      <c r="S92" s="471"/>
      <c r="T92" s="471"/>
      <c r="V92" s="1029"/>
    </row>
    <row r="93" spans="1:24" s="293" customFormat="1" ht="18" customHeight="1" thickBot="1">
      <c r="A93" s="418" t="s">
        <v>598</v>
      </c>
      <c r="B93" s="418" t="s">
        <v>2744</v>
      </c>
      <c r="H93" s="2356"/>
      <c r="I93" s="2356"/>
      <c r="J93" s="2580" t="s">
        <v>266</v>
      </c>
      <c r="K93" s="2581"/>
      <c r="L93" s="343"/>
      <c r="M93" s="2591" t="s">
        <v>479</v>
      </c>
      <c r="N93" s="2592"/>
      <c r="P93" s="2580" t="s">
        <v>267</v>
      </c>
      <c r="Q93" s="2581"/>
      <c r="S93" s="2580" t="s">
        <v>268</v>
      </c>
      <c r="T93" s="2581"/>
      <c r="V93" s="419" t="str">
        <f>B93</f>
        <v>DEVELOPMENT BUDGET  (cont'd)</v>
      </c>
    </row>
    <row r="94" spans="1:24" s="293" customFormat="1" ht="18" customHeight="1" thickBot="1">
      <c r="G94" s="2595" t="s">
        <v>98</v>
      </c>
      <c r="H94" s="2596"/>
      <c r="J94" s="2582"/>
      <c r="K94" s="2583"/>
      <c r="L94" s="343"/>
      <c r="M94" s="2593"/>
      <c r="N94" s="2594"/>
      <c r="P94" s="2582"/>
      <c r="Q94" s="2583"/>
      <c r="S94" s="2582"/>
      <c r="T94" s="2583"/>
      <c r="V94" s="330" t="s">
        <v>2607</v>
      </c>
      <c r="X94" s="330"/>
    </row>
    <row r="95" spans="1:24" s="293" customFormat="1" ht="13.35" customHeight="1">
      <c r="B95" s="295" t="s">
        <v>707</v>
      </c>
      <c r="J95" s="346"/>
      <c r="K95" s="346"/>
      <c r="M95" s="346"/>
      <c r="N95" s="346"/>
      <c r="O95" s="345" t="str">
        <f>B95</f>
        <v>DCA-RELATED COSTS</v>
      </c>
      <c r="P95" s="346"/>
      <c r="Q95" s="346"/>
      <c r="S95" s="346"/>
      <c r="T95" s="346"/>
      <c r="V95" s="1029"/>
      <c r="W95" s="293" t="str">
        <f>B95</f>
        <v>DCA-RELATED COSTS</v>
      </c>
    </row>
    <row r="96" spans="1:24" s="293" customFormat="1" ht="12.6" customHeight="1">
      <c r="B96" s="293" t="str">
        <f>CONCATENATE("DCA HOME Loan Consent Pre-Application Fee ($",'DCA Underwriting Assumptions'!$Q$81, " FP/JV, $",'DCA Underwriting Assumptions'!$Q$82, " NP)")</f>
        <v>DCA HOME Loan Consent Pre-Application Fee ($1000 FP/JV, $500 NP)</v>
      </c>
      <c r="G96" s="3753">
        <v>1000</v>
      </c>
      <c r="H96" s="3754"/>
      <c r="J96" s="346"/>
      <c r="K96" s="346"/>
      <c r="L96" s="2368"/>
      <c r="M96" s="346"/>
      <c r="N96" s="346"/>
      <c r="P96" s="346"/>
      <c r="Q96" s="346"/>
      <c r="S96" s="3753">
        <v>1000</v>
      </c>
      <c r="T96" s="3754"/>
      <c r="V96" s="3825"/>
      <c r="W96" s="3826"/>
      <c r="X96" s="3827"/>
    </row>
    <row r="97" spans="1:37" s="293" customFormat="1" ht="12.6" customHeight="1">
      <c r="B97" s="293" t="str">
        <f>CONCATENATE("Tax Credit Application Fee ($",'DCA Underwriting Assumptions'!$Q$87, " ForProf/JntVent, $",'DCA Underwriting Assumptions'!$Q$88, " NonProf)")</f>
        <v>Tax Credit Application Fee ($6500 ForProf/JntVent, $5500 NonProf)</v>
      </c>
      <c r="G97" s="3762">
        <v>6500</v>
      </c>
      <c r="H97" s="3763"/>
      <c r="J97" s="346"/>
      <c r="K97" s="346"/>
      <c r="L97" s="353"/>
      <c r="M97" s="346"/>
      <c r="N97" s="346"/>
      <c r="P97" s="346"/>
      <c r="Q97" s="346"/>
      <c r="S97" s="3762">
        <v>6500</v>
      </c>
      <c r="T97" s="3763"/>
      <c r="V97" s="3825"/>
      <c r="W97" s="3826"/>
      <c r="X97" s="3827"/>
    </row>
    <row r="98" spans="1:37" s="293" customFormat="1" ht="12.6" customHeight="1">
      <c r="B98" s="293" t="s">
        <v>3700</v>
      </c>
      <c r="G98" s="3762"/>
      <c r="H98" s="3763"/>
      <c r="J98" s="346"/>
      <c r="K98" s="346"/>
      <c r="L98" s="353"/>
      <c r="M98" s="346"/>
      <c r="N98" s="346"/>
      <c r="O98" s="2356"/>
      <c r="P98" s="346"/>
      <c r="Q98" s="346"/>
      <c r="S98" s="3762"/>
      <c r="T98" s="3763"/>
      <c r="V98" s="3825"/>
      <c r="W98" s="3826"/>
      <c r="X98" s="3827"/>
    </row>
    <row r="99" spans="1:37" s="293" customFormat="1" ht="12.6" customHeight="1">
      <c r="B99" s="293" t="s">
        <v>505</v>
      </c>
      <c r="E99" s="2597">
        <f>ROUNDUP('DCA Underwriting Assumptions'!$Q$92*J184,0)</f>
        <v>67581</v>
      </c>
      <c r="F99" s="2598"/>
      <c r="G99" s="3762">
        <v>67581</v>
      </c>
      <c r="H99" s="3763"/>
      <c r="J99" s="944" t="str">
        <f>IF(E99&gt;G99,"WARNING!  LIHTC Allocation Fee proposed is below minimum required.","")</f>
        <v/>
      </c>
      <c r="K99" s="346"/>
      <c r="L99" s="2368"/>
      <c r="M99" s="346"/>
      <c r="N99" s="346"/>
      <c r="O99" s="2356"/>
      <c r="P99" s="346"/>
      <c r="Q99" s="346"/>
      <c r="S99" s="3762">
        <v>67581</v>
      </c>
      <c r="T99" s="3763"/>
      <c r="V99" s="3825"/>
      <c r="W99" s="3826"/>
      <c r="X99" s="3827"/>
    </row>
    <row r="100" spans="1:37" s="293" customFormat="1" ht="12.6" customHeight="1">
      <c r="B100" s="293" t="s">
        <v>735</v>
      </c>
      <c r="E100" s="2597">
        <f>IF(NOT('Part I-Project Information'!$K$94="Income Averaging"),(('Part VI-Revenues &amp; Expenses'!$P$127+'Part VI-Revenues &amp; Expenses'!$P$140+'Part VI-Revenues &amp; Expenses'!$P$144)*'DCA Underwriting Assumptions'!$Q$96+('Part VI-Revenues &amp; Expenses'!$P$138+'Part VI-Revenues &amp; Expenses'!$P$139+'Part VI-Revenues &amp; Expenses'!$P$142+'Part VI-Revenues &amp; Expenses'!$P$143)*'DCA Underwriting Assumptions'!$Q$99),(('Part VI-Revenues &amp; Expenses'!$P$127+'Part VI-Revenues &amp; Expenses'!$P$140+'Part VI-Revenues &amp; Expenses'!$P$144)*'DCA Underwriting Assumptions'!$Q$97+('Part VI-Revenues &amp; Expenses'!$P$138+'Part VI-Revenues &amp; Expenses'!$P$139+'Part VI-Revenues &amp; Expenses'!$P$142+'Part VI-Revenues &amp; Expenses'!$P$143)*'DCA Underwriting Assumptions'!$Q$99))</f>
        <v>72000</v>
      </c>
      <c r="F100" s="2598"/>
      <c r="G100" s="3762">
        <v>72000</v>
      </c>
      <c r="H100" s="3763"/>
      <c r="J100" s="944" t="str">
        <f>IF(E100&gt;G100,"WARNING!  LIHTC Compliance Fee proposed is below minimum required.","")</f>
        <v/>
      </c>
      <c r="K100" s="270"/>
      <c r="L100" s="270"/>
      <c r="M100" s="270"/>
      <c r="N100" s="270"/>
      <c r="O100" s="270"/>
      <c r="P100" s="270"/>
      <c r="Q100" s="270"/>
      <c r="S100" s="3762">
        <v>72000</v>
      </c>
      <c r="T100" s="3763"/>
      <c r="V100" s="3825"/>
      <c r="W100" s="3826"/>
      <c r="X100" s="3827"/>
    </row>
    <row r="101" spans="1:37" s="293" customFormat="1" ht="12.6" customHeight="1">
      <c r="B101" s="293" t="s">
        <v>3879</v>
      </c>
      <c r="F101" s="1164">
        <f>ROUNDUP('DCA Underwriting Assumptions'!$Q$94,0)</f>
        <v>3000</v>
      </c>
      <c r="G101" s="3762"/>
      <c r="H101" s="3763"/>
      <c r="J101" s="270"/>
      <c r="K101" s="270"/>
      <c r="L101" s="270"/>
      <c r="M101" s="270"/>
      <c r="N101" s="270"/>
      <c r="O101" s="270"/>
      <c r="P101" s="270"/>
      <c r="Q101" s="270"/>
      <c r="S101" s="3762"/>
      <c r="T101" s="3763"/>
      <c r="V101" s="3825"/>
      <c r="W101" s="3826"/>
      <c r="X101" s="3827"/>
    </row>
    <row r="102" spans="1:37" s="293" customFormat="1" ht="12.6" customHeight="1">
      <c r="B102" s="293" t="s">
        <v>3880</v>
      </c>
      <c r="F102" s="1164">
        <f>ROUNDUP('DCA Underwriting Assumptions'!$Q$128,0)</f>
        <v>3000</v>
      </c>
      <c r="G102" s="3762">
        <v>3000</v>
      </c>
      <c r="H102" s="3763"/>
      <c r="J102" s="270"/>
      <c r="K102" s="270"/>
      <c r="L102" s="270"/>
      <c r="M102" s="270"/>
      <c r="N102" s="270"/>
      <c r="O102" s="270"/>
      <c r="P102" s="270"/>
      <c r="Q102" s="270"/>
      <c r="S102" s="3762">
        <v>3000</v>
      </c>
      <c r="T102" s="3763"/>
      <c r="V102" s="3825"/>
      <c r="W102" s="3826"/>
      <c r="X102" s="3827"/>
    </row>
    <row r="103" spans="1:37" s="293" customFormat="1" ht="12.6" customHeight="1">
      <c r="A103" s="370" t="str">
        <f>IF(AND(G103&gt;0,OR(C103="",C103="&lt;Enter detailed description here; use Comments section if needed&gt;")),"X","")</f>
        <v/>
      </c>
      <c r="B103" s="293" t="s">
        <v>723</v>
      </c>
      <c r="C103" s="3851" t="s">
        <v>3531</v>
      </c>
      <c r="D103" s="3851"/>
      <c r="E103" s="3851"/>
      <c r="F103" s="3852"/>
      <c r="G103" s="3762"/>
      <c r="H103" s="3763"/>
      <c r="J103" s="270"/>
      <c r="K103" s="270"/>
      <c r="L103" s="270"/>
      <c r="M103" s="270"/>
      <c r="N103" s="270"/>
      <c r="O103" s="270"/>
      <c r="P103" s="270"/>
      <c r="Q103" s="270"/>
      <c r="S103" s="3762"/>
      <c r="T103" s="3763"/>
      <c r="U103" s="369" t="str">
        <f>IF(AND(G103&gt;0,OR(C103="",C103="&lt;Enter detailed description here; use Comments section if needed&gt;")),"NO DESCRIPTION PROVIDED - please enter detailed description in Other box at left; use Comments section below if needed.","")</f>
        <v/>
      </c>
      <c r="V103" s="3825"/>
      <c r="W103" s="3826"/>
      <c r="X103" s="3827"/>
    </row>
    <row r="104" spans="1:37" s="293" customFormat="1" ht="12.6" customHeight="1" thickBot="1">
      <c r="A104" s="370" t="str">
        <f>IF(AND(G104&gt;0,OR(C104="",C104="&lt;Enter detailed description here; use Comments section if needed&gt;")),"X","")</f>
        <v/>
      </c>
      <c r="B104" s="293" t="s">
        <v>723</v>
      </c>
      <c r="C104" s="3853" t="s">
        <v>3531</v>
      </c>
      <c r="D104" s="3853"/>
      <c r="E104" s="3853"/>
      <c r="F104" s="3854"/>
      <c r="G104" s="3771"/>
      <c r="H104" s="3772"/>
      <c r="J104" s="270"/>
      <c r="K104" s="270"/>
      <c r="L104" s="270"/>
      <c r="M104" s="270"/>
      <c r="N104" s="270"/>
      <c r="O104" s="270"/>
      <c r="P104" s="270"/>
      <c r="Q104" s="270"/>
      <c r="S104" s="3771"/>
      <c r="T104" s="3772"/>
      <c r="U104" s="369" t="str">
        <f>IF(AND(G104&gt;0,OR(C104="",C104="&lt;Enter detailed description here; use Comments section if needed&gt;")),"NO DESCRIPTION PROVIDED - please enter detailed description in Other box at left; use Comments section below if needed.","")</f>
        <v/>
      </c>
      <c r="V104" s="3825"/>
      <c r="W104" s="3833"/>
      <c r="X104" s="3834"/>
    </row>
    <row r="105" spans="1:37" s="293" customFormat="1" ht="12.6" customHeight="1" thickTop="1">
      <c r="F105" s="344" t="s">
        <v>187</v>
      </c>
      <c r="G105" s="2586">
        <f>SUM(G96:H104)</f>
        <v>150081</v>
      </c>
      <c r="H105" s="2587"/>
      <c r="J105" s="346"/>
      <c r="K105" s="346"/>
      <c r="L105" s="2368"/>
      <c r="M105" s="346"/>
      <c r="N105" s="346"/>
      <c r="P105" s="346"/>
      <c r="Q105" s="346"/>
      <c r="S105" s="2586">
        <f>SUM(S96:T104)</f>
        <v>150081</v>
      </c>
      <c r="T105" s="2587"/>
      <c r="V105" s="3835">
        <f>SUM(V96:V104)</f>
        <v>0</v>
      </c>
      <c r="W105" s="3858"/>
      <c r="X105" s="3859"/>
    </row>
    <row r="106" spans="1:37" s="293" customFormat="1" ht="13.35" customHeight="1">
      <c r="B106" s="295" t="s">
        <v>2241</v>
      </c>
      <c r="J106" s="346"/>
      <c r="K106" s="346"/>
      <c r="M106" s="346"/>
      <c r="N106" s="346"/>
      <c r="O106" s="345" t="str">
        <f>B106</f>
        <v>EQUITY COSTS</v>
      </c>
      <c r="P106" s="346"/>
      <c r="Q106" s="346"/>
      <c r="S106" s="346"/>
      <c r="T106" s="346"/>
      <c r="V106" s="1029"/>
      <c r="W106" s="293" t="str">
        <f>B106</f>
        <v>EQUITY COSTS</v>
      </c>
    </row>
    <row r="107" spans="1:37" s="293" customFormat="1" ht="12.6" customHeight="1">
      <c r="B107" s="293" t="s">
        <v>274</v>
      </c>
      <c r="G107" s="3753">
        <v>4663</v>
      </c>
      <c r="H107" s="3754"/>
      <c r="J107" s="2590"/>
      <c r="K107" s="2590"/>
      <c r="L107" s="2368"/>
      <c r="M107" s="2590"/>
      <c r="N107" s="2590"/>
      <c r="O107" s="2356"/>
      <c r="P107" s="2590"/>
      <c r="Q107" s="2590"/>
      <c r="S107" s="3753">
        <v>4663</v>
      </c>
      <c r="T107" s="3754"/>
      <c r="V107" s="3825"/>
      <c r="W107" s="3826"/>
      <c r="X107" s="3827"/>
    </row>
    <row r="108" spans="1:37" s="293" customFormat="1" ht="12.6" customHeight="1">
      <c r="B108" s="293" t="s">
        <v>275</v>
      </c>
      <c r="G108" s="3762">
        <v>5000</v>
      </c>
      <c r="H108" s="3763"/>
      <c r="J108" s="2590"/>
      <c r="K108" s="2590"/>
      <c r="L108" s="2368"/>
      <c r="M108" s="2590"/>
      <c r="N108" s="2590"/>
      <c r="O108" s="2356"/>
      <c r="P108" s="2590"/>
      <c r="Q108" s="2590"/>
      <c r="S108" s="3762">
        <v>5000</v>
      </c>
      <c r="T108" s="3763"/>
      <c r="V108" s="3825"/>
      <c r="W108" s="3826"/>
      <c r="X108" s="3827"/>
    </row>
    <row r="109" spans="1:37" s="293" customFormat="1" ht="12.6" customHeight="1">
      <c r="B109" s="293" t="s">
        <v>2324</v>
      </c>
      <c r="G109" s="3762"/>
      <c r="H109" s="3763"/>
      <c r="J109" s="2590"/>
      <c r="K109" s="2590"/>
      <c r="L109" s="2368"/>
      <c r="M109" s="2590"/>
      <c r="N109" s="2590"/>
      <c r="O109" s="2356"/>
      <c r="P109" s="2590"/>
      <c r="Q109" s="2590"/>
      <c r="S109" s="3762"/>
      <c r="T109" s="3763"/>
      <c r="V109" s="3825"/>
      <c r="W109" s="3826"/>
      <c r="X109" s="3827"/>
    </row>
    <row r="110" spans="1:37" s="293" customFormat="1" ht="12.6" customHeight="1" thickBot="1">
      <c r="A110" s="370" t="str">
        <f>IF(AND(G110&gt;0,OR(C110="",C110="&lt;Enter detailed description here; use Comments section if needed&gt;")),"X","")</f>
        <v/>
      </c>
      <c r="B110" s="293" t="s">
        <v>723</v>
      </c>
      <c r="C110" s="3828" t="s">
        <v>3531</v>
      </c>
      <c r="D110" s="3828"/>
      <c r="E110" s="3828"/>
      <c r="F110" s="3829"/>
      <c r="G110" s="3771"/>
      <c r="H110" s="3772"/>
      <c r="J110" s="2590"/>
      <c r="K110" s="2590"/>
      <c r="L110" s="2368"/>
      <c r="M110" s="2590"/>
      <c r="N110" s="2590"/>
      <c r="O110" s="2356"/>
      <c r="P110" s="2590"/>
      <c r="Q110" s="2590"/>
      <c r="S110" s="3771"/>
      <c r="T110" s="3772"/>
      <c r="U110" s="369" t="str">
        <f>IF(AND(G110&gt;0,OR(C110="",C110="&lt;Enter detailed description here; use Comments section if needed&gt;")),"NO DESCRIPTION PROVIDED - please enter detailed description in Other box at left; use Comments section below if needed.","")</f>
        <v/>
      </c>
      <c r="V110" s="3825"/>
      <c r="W110" s="3833"/>
      <c r="X110" s="3834"/>
    </row>
    <row r="111" spans="1:37" s="293" customFormat="1" ht="12.6" customHeight="1" thickTop="1">
      <c r="F111" s="344" t="s">
        <v>187</v>
      </c>
      <c r="G111" s="2586">
        <f>SUM(G107:H110)</f>
        <v>9663</v>
      </c>
      <c r="H111" s="2587"/>
      <c r="J111" s="2590"/>
      <c r="K111" s="2590"/>
      <c r="L111" s="2368"/>
      <c r="M111" s="2590"/>
      <c r="N111" s="2590"/>
      <c r="O111" s="2356"/>
      <c r="P111" s="2590"/>
      <c r="Q111" s="2590"/>
      <c r="S111" s="2586">
        <f>SUM(S107:T110)</f>
        <v>9663</v>
      </c>
      <c r="T111" s="2587"/>
      <c r="V111" s="3835">
        <f>SUM(V107:V110)</f>
        <v>0</v>
      </c>
      <c r="W111" s="3836"/>
      <c r="X111" s="3837"/>
      <c r="AC111" s="3860" t="s">
        <v>4509</v>
      </c>
      <c r="AD111" s="3860" t="s">
        <v>4510</v>
      </c>
      <c r="AE111" s="3861" t="s">
        <v>4515</v>
      </c>
      <c r="AF111" s="2613" t="s">
        <v>4511</v>
      </c>
    </row>
    <row r="112" spans="1:37" s="293" customFormat="1" ht="13.35" customHeight="1">
      <c r="B112" s="295" t="s">
        <v>276</v>
      </c>
      <c r="D112" s="582" t="s">
        <v>4512</v>
      </c>
      <c r="E112" s="1194" t="str">
        <f>IF(OR('Part I-Project Information'!F11="9% Credit Competitive Round only",'Part I-Project Information'!F11="9% Credit &amp; HOME",'Part I-Project Information'!F11="9% Credit &amp; NHTF",'Part I-Project Information'!F11="9% Credit &amp; NHTF &amp; HOME"),"9%",IF(OR('Part I-Project Information'!F11="4% Credit/TE Bond",'Part I-Project Information'!F11="4% Credit/TE Bond &amp; HOME",'Part I-Project Information'!F11="4% Credit/TE Bond &amp; HOME NOFA",'Part I-Project Information'!F11="4% Credit &amp; NHTF &amp; HOME"),"4%",""))</f>
        <v>9%</v>
      </c>
      <c r="F112" s="172"/>
      <c r="J112" s="346"/>
      <c r="K112" s="343"/>
      <c r="M112" s="346"/>
      <c r="N112" s="343"/>
      <c r="O112" s="345" t="str">
        <f>B112</f>
        <v>DEVELOPER'S FEE</v>
      </c>
      <c r="P112" s="346"/>
      <c r="Q112" s="343"/>
      <c r="S112" s="346"/>
      <c r="T112" s="343"/>
      <c r="V112" s="1029"/>
      <c r="W112" s="293" t="str">
        <f>B112</f>
        <v>DEVELOPER'S FEE</v>
      </c>
      <c r="Y112" s="3862" t="s">
        <v>4497</v>
      </c>
      <c r="Z112" s="1566"/>
      <c r="AA112" s="277" t="s">
        <v>4506</v>
      </c>
      <c r="AB112" s="277" t="s">
        <v>4507</v>
      </c>
      <c r="AC112" s="3863"/>
      <c r="AD112" s="3863"/>
      <c r="AE112" s="3864"/>
      <c r="AF112" s="2614"/>
      <c r="AI112" s="27"/>
      <c r="AK112" s="427"/>
    </row>
    <row r="113" spans="1:37" s="293" customFormat="1" ht="12.6" customHeight="1">
      <c r="B113" s="293" t="s">
        <v>1814</v>
      </c>
      <c r="F113" s="396">
        <f>IF($G$118=0,0,G113/$G$118)</f>
        <v>0</v>
      </c>
      <c r="G113" s="3865"/>
      <c r="H113" s="3865"/>
      <c r="J113" s="3866"/>
      <c r="K113" s="3867"/>
      <c r="L113" s="345"/>
      <c r="M113" s="3866"/>
      <c r="N113" s="3867"/>
      <c r="P113" s="3866"/>
      <c r="Q113" s="3867"/>
      <c r="S113" s="3866"/>
      <c r="T113" s="3867"/>
      <c r="V113" s="3825"/>
      <c r="W113" s="3826"/>
      <c r="X113" s="3827"/>
      <c r="Y113" s="158"/>
      <c r="Z113" s="3868">
        <v>0.09</v>
      </c>
      <c r="AA113" s="3869">
        <f>'DCA Underwriting Assumptions'!$J$104</f>
        <v>1</v>
      </c>
      <c r="AB113" s="3869">
        <f>'DCA Underwriting Assumptions'!$K$104</f>
        <v>50</v>
      </c>
      <c r="AC113" s="3870">
        <f>'DCA Underwriting Assumptions'!$Q$104</f>
        <v>25000</v>
      </c>
      <c r="AD113" s="3870">
        <f>AB113*AC113</f>
        <v>1250000</v>
      </c>
      <c r="AE113" s="3870">
        <f>IF('Part VI-Revenues &amp; Expenses'!$P$67&lt;AA114,'Part VI-Revenues &amp; Expenses'!$P$67*'Part IV-A-Uses of Funds'!AC113,AB113*AC113)</f>
        <v>1250000</v>
      </c>
      <c r="AF113" s="3871">
        <f>SUM(AE113:AE115)</f>
        <v>1680000</v>
      </c>
      <c r="AI113" s="27"/>
    </row>
    <row r="114" spans="1:37" s="293" customFormat="1" ht="12.6" customHeight="1">
      <c r="B114" s="293" t="s">
        <v>3840</v>
      </c>
      <c r="F114" s="3872">
        <v>336000</v>
      </c>
      <c r="V114" s="3825"/>
      <c r="W114" s="3826"/>
      <c r="X114" s="3827"/>
      <c r="Y114" s="158"/>
      <c r="Z114" s="120"/>
      <c r="AA114" s="3873">
        <f>'DCA Underwriting Assumptions'!$J$105</f>
        <v>51</v>
      </c>
      <c r="AB114" s="3873">
        <f>'DCA Underwriting Assumptions'!$K$105</f>
        <v>70</v>
      </c>
      <c r="AC114" s="3874">
        <f>'DCA Underwriting Assumptions'!$Q$105</f>
        <v>20000</v>
      </c>
      <c r="AD114" s="3874">
        <f>(AB114-AB113)*AC114</f>
        <v>400000</v>
      </c>
      <c r="AE114" s="3874">
        <f>IF(AND('Part VI-Revenues &amp; Expenses'!$P$67&gt;AB113,'Part VI-Revenues &amp; Expenses'!$P$67&lt;AA115),('Part VI-Revenues &amp; Expenses'!$P$67-AB113)*'Part IV-A-Uses of Funds'!AC114,IF(AND('Part VI-Revenues &amp; Expenses'!$P$67&gt;AB113,'Part VI-Revenues &amp; Expenses'!$P$67&gt;AB114),(AB114-AB113)*'Part IV-A-Uses of Funds'!AC114,0))</f>
        <v>400000</v>
      </c>
      <c r="AF114" s="3875"/>
      <c r="AI114" s="27"/>
    </row>
    <row r="115" spans="1:37" s="293" customFormat="1" ht="12.6" customHeight="1">
      <c r="B115" s="293" t="s">
        <v>1815</v>
      </c>
      <c r="F115" s="396">
        <f>IF($G$118=0,0,G115/$G$118)</f>
        <v>0</v>
      </c>
      <c r="G115" s="3753"/>
      <c r="H115" s="3754"/>
      <c r="J115" s="3753"/>
      <c r="K115" s="3754"/>
      <c r="L115" s="2368"/>
      <c r="M115" s="3753"/>
      <c r="N115" s="3754"/>
      <c r="P115" s="3753"/>
      <c r="Q115" s="3754"/>
      <c r="S115" s="3753"/>
      <c r="T115" s="3754"/>
      <c r="V115" s="3825"/>
      <c r="W115" s="3826"/>
      <c r="X115" s="3827"/>
      <c r="Y115" s="158"/>
      <c r="Z115" s="120"/>
      <c r="AA115" s="3876">
        <f>'DCA Underwriting Assumptions'!$J$106</f>
        <v>71</v>
      </c>
      <c r="AB115" s="3877"/>
      <c r="AC115" s="3878">
        <f>'DCA Underwriting Assumptions'!$Q$106</f>
        <v>15000</v>
      </c>
      <c r="AD115" s="3878">
        <f>AF121-AD114-AD113</f>
        <v>350000</v>
      </c>
      <c r="AE115" s="3878">
        <f>MIN(AD115,IF('Part VI-Revenues &amp; Expenses'!$P$67&gt;AB114,('Part VI-Revenues &amp; Expenses'!$P$67-AB114)*AC115,0))</f>
        <v>30000</v>
      </c>
      <c r="AF115" s="3879"/>
      <c r="AI115" s="27"/>
    </row>
    <row r="116" spans="1:37" s="293" customFormat="1" ht="12.6" customHeight="1">
      <c r="B116" s="293" t="s">
        <v>3466</v>
      </c>
      <c r="F116" s="396">
        <f>IF($G$118=0,0,G116/$G$118)</f>
        <v>0</v>
      </c>
      <c r="G116" s="3762"/>
      <c r="H116" s="3763"/>
      <c r="J116" s="3762"/>
      <c r="K116" s="3763"/>
      <c r="L116" s="2368"/>
      <c r="M116" s="3762"/>
      <c r="N116" s="3763"/>
      <c r="P116" s="3762"/>
      <c r="Q116" s="3763"/>
      <c r="S116" s="3762"/>
      <c r="T116" s="3763"/>
      <c r="V116" s="3825"/>
      <c r="W116" s="3826"/>
      <c r="X116" s="3827"/>
      <c r="Y116" s="27"/>
      <c r="Z116" s="3868">
        <v>0.04</v>
      </c>
      <c r="AA116" s="3880">
        <f>'DCA Underwriting Assumptions'!$J$107</f>
        <v>1</v>
      </c>
      <c r="AB116" s="3880">
        <f>'DCA Underwriting Assumptions'!$K$107</f>
        <v>100</v>
      </c>
      <c r="AC116" s="3870">
        <f>'DCA Underwriting Assumptions'!$Q$107</f>
        <v>18000</v>
      </c>
      <c r="AD116" s="3870">
        <f>AB116*AC116</f>
        <v>1800000</v>
      </c>
      <c r="AE116" s="3870">
        <f>IF('Part VI-Revenues &amp; Expenses'!$P$67&lt;AA117,'Part VI-Revenues &amp; Expenses'!$P$67*'Part IV-A-Uses of Funds'!AC116,AB116*AC116)</f>
        <v>1296000</v>
      </c>
      <c r="AF116" s="3871">
        <f>SUM(AE116:AE118)</f>
        <v>1296000</v>
      </c>
      <c r="AG116" s="825">
        <f>51*AC116</f>
        <v>918000</v>
      </c>
      <c r="AI116" s="27"/>
    </row>
    <row r="117" spans="1:37" s="293" customFormat="1" ht="12.6" customHeight="1" thickBot="1">
      <c r="B117" s="293" t="s">
        <v>1807</v>
      </c>
      <c r="F117" s="396">
        <f>IF($G$118=0,0,G117/$G$118)</f>
        <v>1</v>
      </c>
      <c r="G117" s="3771">
        <v>1680000</v>
      </c>
      <c r="H117" s="3772"/>
      <c r="J117" s="3771">
        <v>1680000</v>
      </c>
      <c r="K117" s="3772"/>
      <c r="L117" s="2368"/>
      <c r="M117" s="3771"/>
      <c r="N117" s="3772"/>
      <c r="P117" s="3771"/>
      <c r="Q117" s="3772"/>
      <c r="S117" s="3771"/>
      <c r="T117" s="3772"/>
      <c r="V117" s="3825"/>
      <c r="W117" s="3833"/>
      <c r="X117" s="3834"/>
      <c r="Y117" s="27"/>
      <c r="Z117" s="80"/>
      <c r="AA117" s="3873">
        <f>'DCA Underwriting Assumptions'!$J$108</f>
        <v>101</v>
      </c>
      <c r="AB117" s="3873">
        <f>'DCA Underwriting Assumptions'!$K$108</f>
        <v>130</v>
      </c>
      <c r="AC117" s="3874">
        <f>'DCA Underwriting Assumptions'!$Q$108</f>
        <v>15500</v>
      </c>
      <c r="AD117" s="3874">
        <f>(AB117-AB116)*AC117</f>
        <v>465000</v>
      </c>
      <c r="AE117" s="3874">
        <f>IF(AND('Part VI-Revenues &amp; Expenses'!$P$67&gt;AB116,'Part VI-Revenues &amp; Expenses'!$P$67&lt;AA118),('Part VI-Revenues &amp; Expenses'!$P$67-AB116)*'Part IV-A-Uses of Funds'!AC117,IF(AND('Part VI-Revenues &amp; Expenses'!$P$67&gt;AB116,'Part VI-Revenues &amp; Expenses'!$P$67&gt;AB117),(AB117-AB116)*'Part IV-A-Uses of Funds'!AC117,0))</f>
        <v>0</v>
      </c>
      <c r="AF117" s="3875"/>
      <c r="AG117" s="825"/>
      <c r="AI117" s="27"/>
    </row>
    <row r="118" spans="1:37" s="293" customFormat="1" ht="12.6" customHeight="1" thickTop="1">
      <c r="A118" s="1587" t="str">
        <f>IF(G118&gt;E118,"DF over limit!  Round down/Enter nbr.","")</f>
        <v/>
      </c>
      <c r="B118" s="1586"/>
      <c r="D118" s="582" t="s">
        <v>4508</v>
      </c>
      <c r="E118" s="1588">
        <f>IF(E112="9%",AF113,IF(E112="4%",AF116,"Enter app type!"))</f>
        <v>1680000</v>
      </c>
      <c r="F118" s="344" t="s">
        <v>187</v>
      </c>
      <c r="G118" s="2588">
        <f>SUM(G113:H117)</f>
        <v>1680000</v>
      </c>
      <c r="H118" s="2589"/>
      <c r="J118" s="2586">
        <f>SUM(J113:K117)</f>
        <v>1680000</v>
      </c>
      <c r="K118" s="2587"/>
      <c r="L118" s="2368"/>
      <c r="M118" s="2586">
        <f>SUM(M113:N117)</f>
        <v>0</v>
      </c>
      <c r="N118" s="2587"/>
      <c r="P118" s="2586">
        <f>SUM(P113:Q117)</f>
        <v>0</v>
      </c>
      <c r="Q118" s="2587"/>
      <c r="S118" s="2586">
        <f>SUM(S113:T117)</f>
        <v>0</v>
      </c>
      <c r="T118" s="2587"/>
      <c r="V118" s="3835">
        <f>SUM(V113:V117)</f>
        <v>0</v>
      </c>
      <c r="W118" s="3836"/>
      <c r="X118" s="3837"/>
      <c r="Y118" s="27"/>
      <c r="Z118" s="80"/>
      <c r="AA118" s="3876">
        <f>'DCA Underwriting Assumptions'!$J$109</f>
        <v>131</v>
      </c>
      <c r="AB118" s="3877"/>
      <c r="AC118" s="3878">
        <f>'DCA Underwriting Assumptions'!$Q$109</f>
        <v>13000</v>
      </c>
      <c r="AD118" s="3878">
        <f>AF122-AD117-AD116</f>
        <v>1235000</v>
      </c>
      <c r="AE118" s="3878">
        <f>MIN(AD118,IF('Part VI-Revenues &amp; Expenses'!$P$67&gt;AB117,('Part VI-Revenues &amp; Expenses'!$P$67-AB117)*AC118,0))</f>
        <v>0</v>
      </c>
      <c r="AF118" s="3879"/>
      <c r="AG118" s="825"/>
      <c r="AI118" s="27"/>
    </row>
    <row r="119" spans="1:37" s="293" customFormat="1" ht="13.35" customHeight="1">
      <c r="B119" s="295" t="s">
        <v>1282</v>
      </c>
      <c r="J119" s="343"/>
      <c r="K119" s="343"/>
      <c r="M119" s="343"/>
      <c r="N119" s="343"/>
      <c r="O119" s="345" t="str">
        <f>B119</f>
        <v>START-UP AND RESERVES</v>
      </c>
      <c r="P119" s="343"/>
      <c r="Q119" s="343"/>
      <c r="S119" s="343"/>
      <c r="T119" s="343"/>
      <c r="V119" s="1029"/>
      <c r="W119" s="293" t="str">
        <f>B119</f>
        <v>START-UP AND RESERVES</v>
      </c>
      <c r="Y119" s="433"/>
      <c r="Z119" s="1585"/>
      <c r="AB119" s="433"/>
      <c r="AC119" s="27"/>
      <c r="AD119" s="27"/>
      <c r="AF119" s="27"/>
      <c r="AG119" s="27"/>
      <c r="AH119" s="27"/>
      <c r="AI119" s="27"/>
      <c r="AJ119" s="27"/>
      <c r="AK119" s="27"/>
    </row>
    <row r="120" spans="1:37" s="293" customFormat="1" ht="12.6" customHeight="1">
      <c r="B120" s="293" t="s">
        <v>246</v>
      </c>
      <c r="G120" s="3753">
        <v>20000</v>
      </c>
      <c r="H120" s="3754"/>
      <c r="J120" s="354"/>
      <c r="K120" s="354"/>
      <c r="L120" s="354"/>
      <c r="M120" s="354"/>
      <c r="N120" s="354"/>
      <c r="P120" s="354"/>
      <c r="Q120" s="354"/>
      <c r="S120" s="3753">
        <v>20000</v>
      </c>
      <c r="T120" s="3754"/>
      <c r="V120" s="3825"/>
      <c r="W120" s="3826"/>
      <c r="X120" s="3827"/>
      <c r="Y120" s="1566" t="s">
        <v>4499</v>
      </c>
      <c r="Z120" s="1585"/>
      <c r="AB120" s="433"/>
      <c r="AC120" s="27"/>
      <c r="AD120" s="27"/>
      <c r="AF120" s="27"/>
      <c r="AG120" s="27"/>
      <c r="AH120" s="27"/>
      <c r="AI120" s="27"/>
      <c r="AJ120" s="27"/>
      <c r="AK120" s="27"/>
    </row>
    <row r="121" spans="1:37" s="293" customFormat="1" ht="12.6" customHeight="1">
      <c r="B121" s="293" t="s">
        <v>1503</v>
      </c>
      <c r="F121" s="452">
        <f>+'Part VI-Revenues &amp; Expenses'!$Q$227*('DCA Underwriting Assumptions'!$Q$127/12)</f>
        <v>81000</v>
      </c>
      <c r="G121" s="3762">
        <v>81000</v>
      </c>
      <c r="H121" s="3763"/>
      <c r="J121" s="946" t="str">
        <f>IF(E121&gt;G121,"WARNING! Rent-Up Reserves proposed is below minimum - add comment.","")</f>
        <v/>
      </c>
      <c r="K121" s="946"/>
      <c r="L121" s="2368"/>
      <c r="M121" s="920"/>
      <c r="N121" s="920"/>
      <c r="O121" s="2356"/>
      <c r="P121" s="920"/>
      <c r="Q121" s="920"/>
      <c r="R121" s="2356"/>
      <c r="S121" s="3762">
        <v>81000</v>
      </c>
      <c r="T121" s="3763"/>
      <c r="V121" s="3825"/>
      <c r="W121" s="3826"/>
      <c r="X121" s="3827"/>
      <c r="Y121" s="27"/>
      <c r="Z121" s="3881">
        <v>0.09</v>
      </c>
      <c r="AB121" s="1566"/>
      <c r="AD121" s="27"/>
      <c r="AF121" s="3882">
        <f>'DCA Underwriting Assumptions'!$Q$112</f>
        <v>2000000</v>
      </c>
      <c r="AG121" s="27"/>
      <c r="AH121" s="27"/>
      <c r="AI121" s="27"/>
    </row>
    <row r="122" spans="1:37" s="293" customFormat="1" ht="12.6" customHeight="1">
      <c r="B122" s="293" t="s">
        <v>660</v>
      </c>
      <c r="F122" s="452">
        <f>'Part VI-Revenues &amp; Expenses'!$Q$227*('DCA Underwriting Assumptions'!$Q$126/12)+('Part VII-Pro Forma'!$B$25+'Part VII-Pro Forma'!$B$26+'Part VII-Pro Forma'!$B$27+'Part VII-Pro Forma'!$B$28)*'DCA Underwriting Assumptions'!$Q$125/(-12)</f>
        <v>210928.66278608012</v>
      </c>
      <c r="G122" s="3762">
        <v>210929</v>
      </c>
      <c r="H122" s="3763"/>
      <c r="J122" s="946" t="str">
        <f>IF(E122&gt;G122,"WARNING! ODR proposed is below minimum - add comment.","")</f>
        <v/>
      </c>
      <c r="K122" s="353"/>
      <c r="L122" s="353"/>
      <c r="M122" s="353"/>
      <c r="N122" s="353"/>
      <c r="O122" s="2356"/>
      <c r="P122" s="353"/>
      <c r="Q122" s="353"/>
      <c r="R122" s="2356"/>
      <c r="S122" s="3762">
        <v>210929</v>
      </c>
      <c r="T122" s="3763"/>
      <c r="V122" s="3825"/>
      <c r="W122" s="3826"/>
      <c r="X122" s="3827"/>
      <c r="Y122" s="27"/>
      <c r="Z122" s="3881">
        <v>0.04</v>
      </c>
      <c r="AB122" s="1566"/>
      <c r="AD122" s="27"/>
      <c r="AF122" s="3882">
        <f>'DCA Underwriting Assumptions'!$Q$113</f>
        <v>3500000</v>
      </c>
      <c r="AG122" s="27"/>
      <c r="AH122" s="27"/>
      <c r="AI122" s="27"/>
    </row>
    <row r="123" spans="1:37" s="293" customFormat="1" ht="12.6" customHeight="1">
      <c r="B123" s="293" t="s">
        <v>1218</v>
      </c>
      <c r="G123" s="3762"/>
      <c r="H123" s="3763"/>
      <c r="J123" s="354"/>
      <c r="K123" s="354"/>
      <c r="L123" s="354"/>
      <c r="M123" s="354"/>
      <c r="N123" s="354"/>
      <c r="P123" s="354"/>
      <c r="Q123" s="354"/>
      <c r="S123" s="3762"/>
      <c r="T123" s="3763"/>
      <c r="V123" s="3825"/>
      <c r="W123" s="3826"/>
      <c r="X123" s="3827"/>
    </row>
    <row r="124" spans="1:37" s="293" customFormat="1" ht="12.6" customHeight="1">
      <c r="B124" s="293" t="s">
        <v>1219</v>
      </c>
      <c r="E124" s="821" t="s">
        <v>3434</v>
      </c>
      <c r="F124" s="452">
        <f>IF('Part VI-Revenues &amp; Expenses'!$P$67=0,0,G124/'Part VI-Revenues &amp; Expenses'!$P$67)</f>
        <v>555.55555555555554</v>
      </c>
      <c r="G124" s="3762">
        <v>40000</v>
      </c>
      <c r="H124" s="3763"/>
      <c r="J124" s="3753">
        <v>40000</v>
      </c>
      <c r="K124" s="3754"/>
      <c r="L124" s="2368"/>
      <c r="M124" s="3753"/>
      <c r="N124" s="3754"/>
      <c r="P124" s="3753"/>
      <c r="Q124" s="3754"/>
      <c r="S124" s="3762"/>
      <c r="T124" s="3763"/>
      <c r="V124" s="3825"/>
      <c r="W124" s="3826"/>
      <c r="X124" s="3827"/>
    </row>
    <row r="125" spans="1:37" s="293" customFormat="1" ht="12.6" customHeight="1" thickBot="1">
      <c r="A125" s="370" t="str">
        <f>IF(AND(G125&gt;0,OR(C125="",C125="&lt;Enter detailed description here; use Comments section if needed&gt;")),"X","")</f>
        <v/>
      </c>
      <c r="B125" s="293" t="s">
        <v>723</v>
      </c>
      <c r="C125" s="3828" t="s">
        <v>3531</v>
      </c>
      <c r="D125" s="3828"/>
      <c r="E125" s="3828"/>
      <c r="F125" s="3829"/>
      <c r="G125" s="3771"/>
      <c r="H125" s="3772"/>
      <c r="J125" s="3831"/>
      <c r="K125" s="3832"/>
      <c r="L125" s="2368"/>
      <c r="M125" s="3771"/>
      <c r="N125" s="3772"/>
      <c r="P125" s="3771"/>
      <c r="Q125" s="3772"/>
      <c r="S125" s="3771"/>
      <c r="T125" s="3772"/>
      <c r="U125" s="369" t="str">
        <f>IF(AND(G125&gt;0,OR(C125="",C125="&lt;Enter detailed description here; use Comments section if needed&gt;")),"NO DESCRIPTION PROVIDED - please enter detailed description in Other box at left; use Comments section below if needed.","")</f>
        <v/>
      </c>
      <c r="V125" s="3825"/>
      <c r="W125" s="3833"/>
      <c r="X125" s="3834"/>
    </row>
    <row r="126" spans="1:37" s="293" customFormat="1" ht="12.6" customHeight="1" thickTop="1">
      <c r="B126" s="355"/>
      <c r="F126" s="344" t="s">
        <v>187</v>
      </c>
      <c r="G126" s="2586">
        <f>SUM(G120:H125)</f>
        <v>351929</v>
      </c>
      <c r="H126" s="2587"/>
      <c r="J126" s="2586">
        <f>SUM(J124:K125)</f>
        <v>40000</v>
      </c>
      <c r="K126" s="2587"/>
      <c r="L126" s="2368"/>
      <c r="M126" s="2586">
        <f>SUM(M124:N125)</f>
        <v>0</v>
      </c>
      <c r="N126" s="2587"/>
      <c r="P126" s="2586">
        <f>SUM(P124:Q125)</f>
        <v>0</v>
      </c>
      <c r="Q126" s="2587"/>
      <c r="S126" s="2586">
        <f>SUM(S120:T125)</f>
        <v>311929</v>
      </c>
      <c r="T126" s="2587"/>
      <c r="V126" s="3835">
        <f>SUM(V120:V125)</f>
        <v>0</v>
      </c>
      <c r="W126" s="3836"/>
      <c r="X126" s="3837"/>
    </row>
    <row r="127" spans="1:37" s="293" customFormat="1" ht="13.35" customHeight="1">
      <c r="B127" s="295" t="s">
        <v>593</v>
      </c>
      <c r="C127" s="2346"/>
      <c r="H127" s="351"/>
      <c r="I127" s="351"/>
      <c r="J127" s="343"/>
      <c r="K127" s="343"/>
      <c r="M127" s="343"/>
      <c r="N127" s="343"/>
      <c r="O127" s="345" t="str">
        <f>B127</f>
        <v>OTHER COSTS</v>
      </c>
      <c r="P127" s="343"/>
      <c r="Q127" s="343"/>
      <c r="S127" s="343"/>
      <c r="T127" s="343"/>
      <c r="V127" s="1029"/>
      <c r="W127" s="293" t="str">
        <f>B127</f>
        <v>OTHER COSTS</v>
      </c>
    </row>
    <row r="128" spans="1:37" s="293" customFormat="1" ht="12.6" customHeight="1">
      <c r="B128" s="293" t="s">
        <v>594</v>
      </c>
      <c r="C128" s="2346"/>
      <c r="G128" s="3753"/>
      <c r="H128" s="3754"/>
      <c r="J128" s="3753"/>
      <c r="K128" s="3754"/>
      <c r="L128" s="345"/>
      <c r="M128" s="3753"/>
      <c r="N128" s="3754"/>
      <c r="P128" s="3753"/>
      <c r="Q128" s="3754"/>
      <c r="S128" s="3753"/>
      <c r="T128" s="3754"/>
      <c r="V128" s="3825"/>
      <c r="W128" s="3826"/>
      <c r="X128" s="3827"/>
    </row>
    <row r="129" spans="1:24" s="293" customFormat="1" ht="12.6" customHeight="1" thickBot="1">
      <c r="A129" s="370" t="str">
        <f>IF(AND(G129&gt;0,OR(C129="",C129="&lt;Enter detailed description here; use Comments section if needed&gt;")),"X","")</f>
        <v/>
      </c>
      <c r="B129" s="293" t="s">
        <v>723</v>
      </c>
      <c r="C129" s="3828"/>
      <c r="D129" s="3828"/>
      <c r="E129" s="3828"/>
      <c r="F129" s="3829"/>
      <c r="G129" s="3771"/>
      <c r="H129" s="3772"/>
      <c r="J129" s="3771"/>
      <c r="K129" s="3772"/>
      <c r="L129" s="2368"/>
      <c r="M129" s="3771"/>
      <c r="N129" s="3772"/>
      <c r="P129" s="3771"/>
      <c r="Q129" s="3772"/>
      <c r="S129" s="3771"/>
      <c r="T129" s="3772"/>
      <c r="U129" s="369" t="str">
        <f>IF(AND(G129&gt;0,OR(C129="",C129="&lt;Enter detailed description here; use Comments section if needed&gt;")),"NO DESCRIPTION PROVIDED - please enter detailed description in Other box at left; use Comments section below if needed.","")</f>
        <v/>
      </c>
      <c r="V129" s="3825"/>
      <c r="W129" s="3833"/>
      <c r="X129" s="3834"/>
    </row>
    <row r="130" spans="1:24" s="293" customFormat="1" ht="12.6" customHeight="1" thickTop="1">
      <c r="C130" s="2346"/>
      <c r="F130" s="344" t="s">
        <v>187</v>
      </c>
      <c r="G130" s="2586">
        <f>SUM(G128:H129)</f>
        <v>0</v>
      </c>
      <c r="H130" s="2587"/>
      <c r="J130" s="2586">
        <f>SUM(J128:K129)</f>
        <v>0</v>
      </c>
      <c r="K130" s="2587"/>
      <c r="L130" s="2368"/>
      <c r="M130" s="2586">
        <f>SUM(M128:N129)</f>
        <v>0</v>
      </c>
      <c r="N130" s="2587"/>
      <c r="P130" s="2586">
        <f>SUM(P128:Q129)</f>
        <v>0</v>
      </c>
      <c r="Q130" s="2587"/>
      <c r="S130" s="2586">
        <f>SUM(S128:T129)</f>
        <v>0</v>
      </c>
      <c r="T130" s="2587"/>
      <c r="V130" s="3835">
        <f>SUM(V128:V129)</f>
        <v>0</v>
      </c>
      <c r="W130" s="3836"/>
      <c r="X130" s="3837"/>
    </row>
    <row r="131" spans="1:24" s="293" customFormat="1" ht="3" customHeight="1" thickBot="1">
      <c r="C131" s="2346"/>
      <c r="H131" s="351"/>
      <c r="I131" s="351"/>
      <c r="L131" s="2356"/>
      <c r="V131" s="1029"/>
      <c r="W131" s="3883"/>
      <c r="X131" s="3884"/>
    </row>
    <row r="132" spans="1:24" s="293" customFormat="1" ht="14.1" customHeight="1" thickBot="1">
      <c r="B132" s="298" t="s">
        <v>2678</v>
      </c>
      <c r="E132" s="821"/>
      <c r="F132" s="1589"/>
      <c r="G132" s="2584">
        <f>G17+G23+G27+G33+G38+G41+G47+G64+G77+G83+G91+G105+G111+G118+G126+G130</f>
        <v>12452350</v>
      </c>
      <c r="H132" s="2585"/>
      <c r="J132" s="2584">
        <f>J17+J23+J27+J33+J38+J41+J47+J64+J77+J83+J91+J105+J111+J118+J126+J130</f>
        <v>11106191</v>
      </c>
      <c r="K132" s="2585"/>
      <c r="M132" s="2584">
        <f>M17+M23+M27+M33+M38+M41+M47+M64+M77+M83+M91+M105+M111+M118+M126+M130</f>
        <v>0</v>
      </c>
      <c r="N132" s="2585"/>
      <c r="P132" s="2584">
        <f>P17+P23+P27+P33+P38+P41+P47+P64+P77+P83+P91+P105+P111+P118+P126+P130</f>
        <v>0</v>
      </c>
      <c r="Q132" s="2585"/>
      <c r="S132" s="2584">
        <f>S17+S23+S27+S33+S38+S41+S47+S64+S77+S83+S91+S105+S111+S118+S126+S130</f>
        <v>1346159</v>
      </c>
      <c r="T132" s="2585"/>
      <c r="V132" s="3885">
        <f>V17+V23+V27+V33+V38+V41+V47+V64+V77+V83+V91+V105+V111+V118+V126+V130</f>
        <v>0</v>
      </c>
      <c r="W132" s="3886"/>
      <c r="X132" s="3837"/>
    </row>
    <row r="133" spans="1:24" s="293" customFormat="1" ht="3" customHeight="1">
      <c r="C133" s="2346"/>
      <c r="H133" s="351"/>
      <c r="I133" s="351"/>
      <c r="L133" s="2356"/>
      <c r="V133" s="1029"/>
    </row>
    <row r="134" spans="1:24" s="293" customFormat="1" ht="14.1" customHeight="1">
      <c r="B134" s="490" t="s">
        <v>2675</v>
      </c>
      <c r="C134" s="488"/>
      <c r="D134" s="2577">
        <f>IF('Part VI-Revenues &amp; Expenses'!$P$67=0,0,G132/'Part VI-Revenues &amp; Expenses'!$P$67)</f>
        <v>172949.30555555556</v>
      </c>
      <c r="E134" s="2577"/>
      <c r="F134" s="489" t="s">
        <v>2674</v>
      </c>
      <c r="G134" s="2578">
        <f>IF('Part I-Project Information'!$P$75=0,0,G132/'Part I-Project Information'!$P$75)</f>
        <v>176.44137442437125</v>
      </c>
      <c r="H134" s="2579"/>
      <c r="I134" s="356"/>
      <c r="V134" s="1029"/>
    </row>
    <row r="135" spans="1:24" s="293" customFormat="1" ht="3" customHeight="1">
      <c r="I135" s="356"/>
      <c r="L135" s="356"/>
      <c r="V135" s="1029"/>
    </row>
    <row r="136" spans="1:24" s="293" customFormat="1" ht="3.6" customHeight="1" thickBot="1">
      <c r="D136" s="2346"/>
      <c r="E136" s="2346"/>
      <c r="I136" s="351"/>
      <c r="J136" s="351"/>
      <c r="K136" s="357"/>
      <c r="L136" s="2348"/>
      <c r="P136" s="2356"/>
      <c r="V136" s="1029"/>
    </row>
    <row r="137" spans="1:24" s="293" customFormat="1" ht="26.1" customHeight="1">
      <c r="A137" s="418" t="s">
        <v>722</v>
      </c>
      <c r="B137" s="420" t="s">
        <v>1398</v>
      </c>
      <c r="C137" s="841"/>
      <c r="D137" s="2368"/>
      <c r="E137" s="2368"/>
      <c r="F137" s="2368"/>
      <c r="G137" s="2356"/>
      <c r="H137" s="2356"/>
      <c r="I137" s="358"/>
      <c r="J137" s="2580" t="s">
        <v>266</v>
      </c>
      <c r="K137" s="2581"/>
      <c r="M137" s="2580" t="s">
        <v>97</v>
      </c>
      <c r="N137" s="2581"/>
      <c r="P137" s="2580" t="s">
        <v>267</v>
      </c>
      <c r="Q137" s="2581"/>
      <c r="V137" s="1029"/>
      <c r="W137" s="419" t="str">
        <f>B137</f>
        <v>TAX CREDIT CALCULATION - BASIS METHOD</v>
      </c>
    </row>
    <row r="138" spans="1:24" s="293" customFormat="1" ht="15" customHeight="1" thickBot="1">
      <c r="B138" s="298" t="s">
        <v>1996</v>
      </c>
      <c r="D138" s="2368"/>
      <c r="E138" s="2368"/>
      <c r="I138" s="358"/>
      <c r="J138" s="2582"/>
      <c r="K138" s="2583"/>
      <c r="L138" s="841"/>
      <c r="M138" s="2582"/>
      <c r="N138" s="2583"/>
      <c r="P138" s="2582"/>
      <c r="Q138" s="2583"/>
      <c r="V138" s="1029"/>
      <c r="W138" s="293" t="str">
        <f>B138</f>
        <v>Subtractions From Eligible Basis</v>
      </c>
      <c r="X138" s="330"/>
    </row>
    <row r="139" spans="1:24" s="293" customFormat="1" ht="6" customHeight="1">
      <c r="D139" s="2346"/>
      <c r="E139" s="2346"/>
      <c r="I139" s="351"/>
      <c r="J139" s="351"/>
      <c r="K139" s="357"/>
      <c r="L139" s="2348"/>
      <c r="P139" s="2356"/>
      <c r="V139" s="1029"/>
    </row>
    <row r="140" spans="1:24" s="293" customFormat="1" ht="14.1" customHeight="1">
      <c r="B140" s="2346" t="s">
        <v>141</v>
      </c>
      <c r="D140" s="2356"/>
      <c r="E140" s="2356"/>
      <c r="F140" s="2356"/>
      <c r="G140" s="2356"/>
      <c r="H140" s="2356"/>
      <c r="I140" s="358"/>
      <c r="J140" s="3887"/>
      <c r="K140" s="3888"/>
      <c r="P140" s="3887"/>
      <c r="Q140" s="3888"/>
      <c r="V140" s="3825"/>
      <c r="W140" s="3826"/>
      <c r="X140" s="3827"/>
    </row>
    <row r="141" spans="1:24" s="293" customFormat="1" ht="14.1" customHeight="1">
      <c r="B141" s="2356" t="s">
        <v>2102</v>
      </c>
      <c r="D141" s="2356"/>
      <c r="E141" s="2356"/>
      <c r="F141" s="2356"/>
      <c r="G141" s="2356"/>
      <c r="H141" s="2356"/>
      <c r="I141" s="358"/>
      <c r="J141" s="3889"/>
      <c r="K141" s="3890"/>
      <c r="P141" s="3889"/>
      <c r="Q141" s="3890"/>
      <c r="V141" s="3825"/>
      <c r="W141" s="3826"/>
      <c r="X141" s="3827"/>
    </row>
    <row r="142" spans="1:24" s="293" customFormat="1" ht="14.1" customHeight="1">
      <c r="B142" s="2356" t="s">
        <v>1817</v>
      </c>
      <c r="D142" s="2356"/>
      <c r="E142" s="2356"/>
      <c r="I142" s="358"/>
      <c r="J142" s="3889"/>
      <c r="K142" s="3890"/>
      <c r="P142" s="3889"/>
      <c r="Q142" s="3890"/>
      <c r="V142" s="3825"/>
      <c r="W142" s="3826"/>
      <c r="X142" s="3827"/>
    </row>
    <row r="143" spans="1:24" s="293" customFormat="1" ht="14.1" customHeight="1">
      <c r="B143" s="2356" t="s">
        <v>1818</v>
      </c>
      <c r="D143" s="2356"/>
      <c r="E143" s="2356"/>
      <c r="I143" s="358"/>
      <c r="J143" s="3889"/>
      <c r="K143" s="3890"/>
      <c r="P143" s="3889"/>
      <c r="Q143" s="3890"/>
      <c r="V143" s="3825"/>
      <c r="W143" s="3826"/>
      <c r="X143" s="3827"/>
    </row>
    <row r="144" spans="1:24" s="293" customFormat="1" ht="14.1" customHeight="1">
      <c r="B144" s="2356" t="s">
        <v>249</v>
      </c>
      <c r="D144" s="2356"/>
      <c r="E144" s="2356"/>
      <c r="I144" s="358"/>
      <c r="J144" s="3889"/>
      <c r="K144" s="3890"/>
      <c r="P144" s="3889"/>
      <c r="Q144" s="3890"/>
      <c r="V144" s="3825"/>
      <c r="W144" s="3826"/>
      <c r="X144" s="3827"/>
    </row>
    <row r="145" spans="1:24" s="293" customFormat="1" ht="14.1" customHeight="1" thickBot="1">
      <c r="B145" s="2356" t="s">
        <v>1568</v>
      </c>
      <c r="C145" s="3891" t="s">
        <v>2353</v>
      </c>
      <c r="D145" s="3891"/>
      <c r="E145" s="3891"/>
      <c r="F145" s="3891"/>
      <c r="G145" s="3891"/>
      <c r="H145" s="3891"/>
      <c r="I145" s="3892"/>
      <c r="J145" s="3893"/>
      <c r="K145" s="3894"/>
      <c r="P145" s="3893"/>
      <c r="Q145" s="3894"/>
      <c r="V145" s="3825"/>
      <c r="W145" s="3833"/>
      <c r="X145" s="3834"/>
    </row>
    <row r="146" spans="1:24" s="293" customFormat="1" ht="14.1" customHeight="1" thickBot="1">
      <c r="B146" s="303" t="s">
        <v>1819</v>
      </c>
      <c r="C146" s="306"/>
      <c r="J146" s="2485">
        <f>SUM(J140:K145)</f>
        <v>0</v>
      </c>
      <c r="K146" s="2486"/>
      <c r="P146" s="2485">
        <f>SUM(P140:Q145)</f>
        <v>0</v>
      </c>
      <c r="Q146" s="2486"/>
      <c r="V146" s="3835">
        <f>SUM(V140:V145)</f>
        <v>0</v>
      </c>
      <c r="W146" s="3836"/>
      <c r="X146" s="3837"/>
    </row>
    <row r="147" spans="1:24" s="293" customFormat="1" ht="3" customHeight="1">
      <c r="V147" s="1029"/>
    </row>
    <row r="148" spans="1:24" s="293" customFormat="1" ht="15" customHeight="1" thickBot="1">
      <c r="B148" s="295" t="s">
        <v>2281</v>
      </c>
      <c r="V148" s="1029"/>
      <c r="W148" s="293" t="str">
        <f>B148</f>
        <v>Eligible Basis Calculation</v>
      </c>
    </row>
    <row r="149" spans="1:24" s="293" customFormat="1" ht="14.1" customHeight="1">
      <c r="B149" s="293" t="s">
        <v>1746</v>
      </c>
      <c r="J149" s="2618">
        <f>J132</f>
        <v>11106191</v>
      </c>
      <c r="K149" s="2619"/>
      <c r="M149" s="2620">
        <f>M132</f>
        <v>0</v>
      </c>
      <c r="N149" s="2621"/>
      <c r="P149" s="2618">
        <f>P132</f>
        <v>0</v>
      </c>
      <c r="Q149" s="2619"/>
      <c r="R149" s="2544" t="s">
        <v>4229</v>
      </c>
      <c r="S149" s="2545"/>
      <c r="T149" s="2545"/>
      <c r="V149" s="3825"/>
      <c r="W149" s="3826"/>
      <c r="X149" s="3827"/>
    </row>
    <row r="150" spans="1:24" s="293" customFormat="1" ht="14.1" customHeight="1">
      <c r="B150" s="293" t="s">
        <v>2164</v>
      </c>
      <c r="J150" s="2555">
        <f>J146</f>
        <v>0</v>
      </c>
      <c r="K150" s="2556"/>
      <c r="M150" s="2567"/>
      <c r="N150" s="2567"/>
      <c r="P150" s="2555">
        <f>P146</f>
        <v>0</v>
      </c>
      <c r="Q150" s="2556"/>
      <c r="R150" s="2544"/>
      <c r="S150" s="2545"/>
      <c r="T150" s="2545"/>
      <c r="U150" s="1405"/>
      <c r="V150" s="3825"/>
      <c r="W150" s="3826"/>
      <c r="X150" s="3827"/>
    </row>
    <row r="151" spans="1:24" s="293" customFormat="1" ht="14.1" customHeight="1">
      <c r="B151" s="293" t="s">
        <v>2165</v>
      </c>
      <c r="J151" s="2555">
        <f>J149-J150</f>
        <v>11106191</v>
      </c>
      <c r="K151" s="2556"/>
      <c r="M151" s="2555">
        <f>M149</f>
        <v>0</v>
      </c>
      <c r="N151" s="2556"/>
      <c r="P151" s="2555">
        <f>P149-P150</f>
        <v>0</v>
      </c>
      <c r="Q151" s="2556"/>
      <c r="R151" s="2544"/>
      <c r="S151" s="2545"/>
      <c r="T151" s="2545"/>
      <c r="U151" s="1405"/>
      <c r="V151" s="3825"/>
      <c r="W151" s="3826"/>
      <c r="X151" s="3827"/>
    </row>
    <row r="152" spans="1:24" s="293" customFormat="1" ht="14.1" customHeight="1">
      <c r="B152" s="293" t="s">
        <v>1454</v>
      </c>
      <c r="G152" s="2351" t="s">
        <v>1672</v>
      </c>
      <c r="H152" s="3466" t="s">
        <v>1727</v>
      </c>
      <c r="I152" s="3467"/>
      <c r="J152" s="3895">
        <v>1</v>
      </c>
      <c r="K152" s="3896"/>
      <c r="M152" s="2574"/>
      <c r="N152" s="2574"/>
      <c r="P152" s="3895"/>
      <c r="Q152" s="3896"/>
      <c r="R152" s="3897" t="s">
        <v>3521</v>
      </c>
      <c r="S152" s="3898"/>
      <c r="T152" s="3899"/>
      <c r="U152" s="1406"/>
      <c r="V152" s="3825"/>
      <c r="W152" s="3826"/>
      <c r="X152" s="3827"/>
    </row>
    <row r="153" spans="1:24" s="293" customFormat="1" ht="14.1" customHeight="1">
      <c r="B153" s="293" t="s">
        <v>2006</v>
      </c>
      <c r="J153" s="2555">
        <f>J151*J152</f>
        <v>11106191</v>
      </c>
      <c r="K153" s="2556"/>
      <c r="M153" s="2555">
        <f>+M151</f>
        <v>0</v>
      </c>
      <c r="N153" s="2556"/>
      <c r="P153" s="2555">
        <f>P151*P152</f>
        <v>0</v>
      </c>
      <c r="Q153" s="2556"/>
      <c r="R153" s="3900"/>
      <c r="S153" s="3901"/>
      <c r="T153" s="3902"/>
      <c r="U153" s="1406"/>
      <c r="V153" s="3825"/>
      <c r="W153" s="3826"/>
      <c r="X153" s="3827"/>
    </row>
    <row r="154" spans="1:24" s="293" customFormat="1" ht="14.1" customHeight="1">
      <c r="B154" s="293" t="s">
        <v>2475</v>
      </c>
      <c r="J154" s="2575">
        <f>MIN('Part VI-Revenues &amp; Expenses'!$P$63/'Part VI-Revenues &amp; Expenses'!$P$65,'Part VI-Revenues &amp; Expenses'!$P$166/'Part VI-Revenues &amp; Expenses'!$P$168)</f>
        <v>1</v>
      </c>
      <c r="K154" s="2576"/>
      <c r="M154" s="2575">
        <f>MIN('Part VI-Revenues &amp; Expenses'!$P$63/'Part VI-Revenues &amp; Expenses'!$P$65,'Part VI-Revenues &amp; Expenses'!$P$166/'Part VI-Revenues &amp; Expenses'!$P$168)</f>
        <v>1</v>
      </c>
      <c r="N154" s="2576"/>
      <c r="P154" s="2575">
        <f>MIN('Part VI-Revenues &amp; Expenses'!$P$63/'Part VI-Revenues &amp; Expenses'!$P$65,'Part VI-Revenues &amp; Expenses'!$P$166/'Part VI-Revenues &amp; Expenses'!$P$168)</f>
        <v>1</v>
      </c>
      <c r="Q154" s="2576"/>
      <c r="R154" s="3903"/>
      <c r="S154" s="3904"/>
      <c r="T154" s="3905"/>
      <c r="V154" s="3825"/>
      <c r="W154" s="3826"/>
      <c r="X154" s="3827"/>
    </row>
    <row r="155" spans="1:24" s="293" customFormat="1" ht="14.1" customHeight="1">
      <c r="B155" s="293" t="s">
        <v>1997</v>
      </c>
      <c r="J155" s="2555">
        <f>J153*J154</f>
        <v>11106191</v>
      </c>
      <c r="K155" s="2556"/>
      <c r="M155" s="2555">
        <f>M153*M154</f>
        <v>0</v>
      </c>
      <c r="N155" s="2556"/>
      <c r="P155" s="2555">
        <f>P153*P154</f>
        <v>0</v>
      </c>
      <c r="Q155" s="2556"/>
      <c r="V155" s="3825"/>
      <c r="W155" s="3826"/>
      <c r="X155" s="3827"/>
    </row>
    <row r="156" spans="1:24" s="293" customFormat="1" ht="14.1" customHeight="1">
      <c r="B156" s="293" t="s">
        <v>1998</v>
      </c>
      <c r="J156" s="3895">
        <v>0.09</v>
      </c>
      <c r="K156" s="3896"/>
      <c r="M156" s="3895"/>
      <c r="N156" s="3896"/>
      <c r="P156" s="3895"/>
      <c r="Q156" s="3896"/>
      <c r="V156" s="3825"/>
      <c r="W156" s="3826"/>
      <c r="X156" s="3827"/>
    </row>
    <row r="157" spans="1:24" s="293" customFormat="1" ht="14.1" customHeight="1" thickBot="1">
      <c r="B157" s="293" t="s">
        <v>2476</v>
      </c>
      <c r="J157" s="2558">
        <f>J155*J156</f>
        <v>999557.19</v>
      </c>
      <c r="K157" s="2559"/>
      <c r="M157" s="2558">
        <f>M155*M156</f>
        <v>0</v>
      </c>
      <c r="N157" s="2559"/>
      <c r="P157" s="2558">
        <f>P155*P156</f>
        <v>0</v>
      </c>
      <c r="Q157" s="2559"/>
      <c r="V157" s="3906"/>
      <c r="W157" s="3833"/>
      <c r="X157" s="3834"/>
    </row>
    <row r="158" spans="1:24" s="293" customFormat="1" ht="14.1" customHeight="1" thickBot="1">
      <c r="B158" s="295" t="s">
        <v>1396</v>
      </c>
      <c r="J158" s="2485">
        <f>ROUNDDOWN(J157+M157+P157,0)</f>
        <v>999557</v>
      </c>
      <c r="K158" s="2563"/>
      <c r="L158" s="2563"/>
      <c r="M158" s="2563"/>
      <c r="N158" s="2563"/>
      <c r="O158" s="2563"/>
      <c r="P158" s="2563"/>
      <c r="Q158" s="2486"/>
      <c r="V158" s="3835"/>
      <c r="W158" s="3858"/>
      <c r="X158" s="3859"/>
    </row>
    <row r="159" spans="1:24" s="293" customFormat="1" ht="6" customHeight="1">
      <c r="B159" s="359"/>
      <c r="L159" s="360"/>
      <c r="M159" s="360"/>
      <c r="N159" s="360"/>
      <c r="O159" s="360"/>
      <c r="V159" s="1029"/>
    </row>
    <row r="160" spans="1:24" s="293" customFormat="1" ht="14.1" customHeight="1">
      <c r="A160" s="419" t="s">
        <v>724</v>
      </c>
      <c r="B160" s="419" t="s">
        <v>1399</v>
      </c>
      <c r="H160" s="351"/>
      <c r="I160" s="351"/>
      <c r="L160" s="2356"/>
      <c r="M160" s="467"/>
      <c r="N160" s="2356"/>
      <c r="O160" s="2356"/>
      <c r="P160" s="2356"/>
      <c r="Q160" s="2356"/>
      <c r="R160" s="2356"/>
      <c r="S160" s="2356"/>
      <c r="T160" s="2356"/>
      <c r="V160" s="1029"/>
    </row>
    <row r="161" spans="2:24" s="168" customFormat="1" ht="3" customHeight="1">
      <c r="H161" s="3907"/>
      <c r="I161" s="3907"/>
      <c r="M161" s="535"/>
      <c r="O161" s="3908"/>
      <c r="P161" s="3908"/>
      <c r="Q161" s="3908"/>
      <c r="R161" s="3908"/>
      <c r="S161" s="3908"/>
      <c r="T161" s="3908"/>
      <c r="U161" s="3908"/>
      <c r="V161" s="3908"/>
    </row>
    <row r="162" spans="2:24" s="168" customFormat="1" ht="14.1" customHeight="1">
      <c r="B162" s="3909" t="s">
        <v>4524</v>
      </c>
      <c r="H162" s="3907"/>
      <c r="I162" s="3907"/>
      <c r="M162" s="535"/>
      <c r="O162" s="3910"/>
      <c r="P162" s="3910"/>
      <c r="Q162" s="3910"/>
      <c r="R162" s="3910"/>
      <c r="S162" s="3910"/>
      <c r="T162" s="3910"/>
      <c r="U162" s="3910"/>
      <c r="V162" s="3910"/>
    </row>
    <row r="163" spans="2:24" s="168" customFormat="1" ht="15" customHeight="1">
      <c r="B163" s="168" t="s">
        <v>4526</v>
      </c>
      <c r="J163" s="3911">
        <f>G132</f>
        <v>12452350</v>
      </c>
      <c r="K163" s="3912"/>
      <c r="L163" s="3913"/>
      <c r="V163" s="3914"/>
      <c r="W163" s="3915"/>
    </row>
    <row r="164" spans="2:24" s="168" customFormat="1" ht="13.5" customHeight="1">
      <c r="B164" s="168" t="s">
        <v>4528</v>
      </c>
      <c r="J164" s="3911">
        <f>'Part IV-A-Uses of Funds'!$G$83+'Part IV-A-Uses of Funds'!$G$105+SUM('Part IV-A-Uses of Funds'!$G$121:$H$123)</f>
        <v>622255</v>
      </c>
      <c r="K164" s="3912"/>
      <c r="L164" s="3913"/>
      <c r="V164" s="3914"/>
      <c r="W164" s="3915"/>
    </row>
    <row r="165" spans="2:24" s="168" customFormat="1" ht="13.5" customHeight="1">
      <c r="B165" s="3916" t="s">
        <v>4527</v>
      </c>
      <c r="J165" s="3911">
        <f>J163-J164</f>
        <v>11830095</v>
      </c>
      <c r="K165" s="3912"/>
      <c r="L165" s="3913"/>
      <c r="M165" s="2542" t="str">
        <f>IF(J165&lt;=J166, "","Exceeds Project Cost Limit!   Needs Cost Limit waiver.")</f>
        <v/>
      </c>
      <c r="N165" s="2542"/>
      <c r="O165" s="2542"/>
      <c r="P165" s="2542"/>
      <c r="Q165" s="2542"/>
      <c r="R165" s="2542"/>
      <c r="S165" s="2542"/>
      <c r="T165" s="2542"/>
      <c r="V165" s="3914"/>
      <c r="W165" s="3915"/>
    </row>
    <row r="166" spans="2:24" s="168" customFormat="1" ht="13.5" customHeight="1">
      <c r="B166" s="3917" t="s">
        <v>2679</v>
      </c>
      <c r="C166" s="3916"/>
      <c r="D166" s="3916"/>
      <c r="J166" s="3911">
        <f>'Part VIII-Threshold Criteria'!$P$63</f>
        <v>15291752.399999999</v>
      </c>
      <c r="K166" s="3912"/>
      <c r="L166" s="3913"/>
      <c r="V166" s="3914"/>
      <c r="W166" s="3915"/>
    </row>
    <row r="167" spans="2:24" s="168" customFormat="1" ht="3" customHeight="1">
      <c r="B167" s="3917"/>
      <c r="C167" s="3916"/>
      <c r="D167" s="3916"/>
      <c r="J167" s="3918"/>
      <c r="K167" s="3918"/>
      <c r="L167" s="3918"/>
      <c r="V167" s="3914"/>
      <c r="W167" s="3915"/>
    </row>
    <row r="168" spans="2:24" s="293" customFormat="1" ht="15" customHeight="1" thickBot="1">
      <c r="B168" s="295" t="s">
        <v>170</v>
      </c>
      <c r="O168" s="2356"/>
      <c r="P168" s="2356"/>
      <c r="Q168" s="2356"/>
      <c r="R168" s="2356"/>
      <c r="S168" s="2356"/>
      <c r="T168" s="2356"/>
      <c r="V168" s="1029"/>
      <c r="W168" s="419" t="str">
        <f>B160</f>
        <v>TAX CREDIT CALCULATION - GAP METHOD</v>
      </c>
    </row>
    <row r="169" spans="2:24" s="293" customFormat="1" ht="15" customHeight="1">
      <c r="B169" s="168" t="s">
        <v>4529</v>
      </c>
      <c r="J169" s="3919">
        <f>MIN(J163,J166+J164)</f>
        <v>12452350</v>
      </c>
      <c r="K169" s="3920"/>
      <c r="L169" s="3921"/>
      <c r="M169" s="2549" t="s">
        <v>4552</v>
      </c>
      <c r="N169" s="2550"/>
      <c r="O169" s="2550"/>
      <c r="P169" s="2550"/>
      <c r="Q169" s="2550"/>
      <c r="R169" s="2551"/>
      <c r="S169" s="2549" t="s">
        <v>3499</v>
      </c>
      <c r="T169" s="2551"/>
      <c r="V169" s="3825"/>
      <c r="W169" s="3826"/>
      <c r="X169" s="3827"/>
    </row>
    <row r="170" spans="2:24" s="293" customFormat="1" ht="14.1" customHeight="1">
      <c r="B170" s="293" t="s">
        <v>258</v>
      </c>
      <c r="J170" s="2555">
        <f>'Part III-Sources of Funds'!$I$58-'Part III-Sources of Funds'!$I$42-'Part III-Sources of Funds'!$I$43-'Part III-Sources of Funds'!$I$49-'Part III-Sources of Funds'!$I$50</f>
        <v>1555000</v>
      </c>
      <c r="K170" s="2567"/>
      <c r="L170" s="2568"/>
      <c r="M170" s="2552"/>
      <c r="N170" s="2553"/>
      <c r="O170" s="2553"/>
      <c r="P170" s="2553"/>
      <c r="Q170" s="2553"/>
      <c r="R170" s="2554"/>
      <c r="S170" s="2552"/>
      <c r="T170" s="2554"/>
      <c r="V170" s="3825"/>
      <c r="W170" s="3826"/>
      <c r="X170" s="3827"/>
    </row>
    <row r="171" spans="2:24" s="293" customFormat="1" ht="14.1" customHeight="1">
      <c r="B171" s="293" t="s">
        <v>2176</v>
      </c>
      <c r="J171" s="2555">
        <f>+J169-J170</f>
        <v>10897350</v>
      </c>
      <c r="K171" s="2567"/>
      <c r="L171" s="2568"/>
      <c r="M171" s="2552"/>
      <c r="N171" s="2553"/>
      <c r="O171" s="2553"/>
      <c r="P171" s="2553"/>
      <c r="Q171" s="2553"/>
      <c r="R171" s="2554"/>
      <c r="S171" s="2552"/>
      <c r="T171" s="2554"/>
      <c r="V171" s="3825"/>
      <c r="W171" s="3826"/>
      <c r="X171" s="3827"/>
    </row>
    <row r="172" spans="2:24" s="293" customFormat="1" ht="14.1" customHeight="1" thickBot="1">
      <c r="B172" s="293" t="s">
        <v>1260</v>
      </c>
      <c r="J172" s="2573" t="str">
        <f>"/ 10"</f>
        <v>/ 10</v>
      </c>
      <c r="K172" s="2573"/>
      <c r="L172" s="2573"/>
      <c r="M172" s="2569" t="s">
        <v>2661</v>
      </c>
      <c r="N172" s="2570"/>
      <c r="O172" s="2571">
        <f>'Part III-Sources of Funds'!$I$42</f>
        <v>0</v>
      </c>
      <c r="P172" s="2571"/>
      <c r="Q172" s="2571"/>
      <c r="R172" s="2572"/>
      <c r="S172" s="406" t="s">
        <v>1623</v>
      </c>
      <c r="T172" s="3922" t="s">
        <v>2889</v>
      </c>
      <c r="V172" s="3825"/>
      <c r="W172" s="3826"/>
      <c r="X172" s="3827"/>
    </row>
    <row r="173" spans="2:24" s="293" customFormat="1" ht="14.1" customHeight="1">
      <c r="B173" s="293" t="s">
        <v>1261</v>
      </c>
      <c r="J173" s="2555">
        <f>J171/10</f>
        <v>1089735</v>
      </c>
      <c r="K173" s="2567"/>
      <c r="L173" s="2556"/>
      <c r="M173" s="2356"/>
      <c r="N173" s="464"/>
      <c r="O173" s="464"/>
      <c r="P173" s="464"/>
      <c r="Q173" s="464"/>
      <c r="R173" s="464"/>
      <c r="V173" s="1029"/>
      <c r="W173" s="3826"/>
      <c r="X173" s="3827"/>
    </row>
    <row r="174" spans="2:24" s="293" customFormat="1" ht="14.1" customHeight="1">
      <c r="M174" s="311"/>
      <c r="N174" s="2432" t="s">
        <v>1262</v>
      </c>
      <c r="O174" s="2432"/>
      <c r="Q174" s="2432" t="s">
        <v>1754</v>
      </c>
      <c r="R174" s="2432"/>
      <c r="V174" s="3825"/>
      <c r="W174" s="3826"/>
      <c r="X174" s="3827"/>
    </row>
    <row r="175" spans="2:24" s="293" customFormat="1" ht="14.1" customHeight="1" thickBot="1">
      <c r="B175" s="293" t="s">
        <v>1453</v>
      </c>
      <c r="J175" s="2560">
        <f>N175+Q175</f>
        <v>1.29</v>
      </c>
      <c r="K175" s="2561"/>
      <c r="L175" s="2562"/>
      <c r="M175" s="2351" t="s">
        <v>1263</v>
      </c>
      <c r="N175" s="3923">
        <v>0.85</v>
      </c>
      <c r="O175" s="3924"/>
      <c r="P175" s="2351" t="s">
        <v>595</v>
      </c>
      <c r="Q175" s="3923">
        <v>0.44</v>
      </c>
      <c r="R175" s="3924"/>
      <c r="V175" s="3825"/>
      <c r="W175" s="3826"/>
      <c r="X175" s="3827"/>
    </row>
    <row r="176" spans="2:24" s="293" customFormat="1" ht="14.1" customHeight="1" thickBot="1">
      <c r="B176" s="295" t="s">
        <v>1397</v>
      </c>
      <c r="J176" s="2485">
        <f>ROUNDDOWN(IF(J175=0,"",J173/J175),0)</f>
        <v>844755</v>
      </c>
      <c r="K176" s="2563"/>
      <c r="L176" s="2486"/>
      <c r="M176" s="311"/>
      <c r="N176" s="2356"/>
      <c r="O176" s="2356"/>
      <c r="V176" s="3825"/>
      <c r="W176" s="3826"/>
      <c r="X176" s="3827"/>
    </row>
    <row r="177" spans="1:24" s="293" customFormat="1" ht="6" customHeight="1">
      <c r="J177" s="361"/>
      <c r="K177" s="361"/>
      <c r="L177" s="361"/>
      <c r="M177" s="311"/>
      <c r="N177" s="2357"/>
      <c r="O177" s="2357"/>
      <c r="V177" s="1029"/>
      <c r="W177" s="3826"/>
      <c r="X177" s="3827"/>
    </row>
    <row r="178" spans="1:24" s="293" customFormat="1" ht="14.1" customHeight="1">
      <c r="A178" s="419" t="s">
        <v>1748</v>
      </c>
      <c r="B178" s="419" t="s">
        <v>4525</v>
      </c>
      <c r="H178" s="351"/>
      <c r="I178" s="351"/>
      <c r="L178" s="2356"/>
      <c r="M178" s="467"/>
      <c r="N178" s="2356"/>
      <c r="O178" s="2356"/>
      <c r="P178" s="2356"/>
      <c r="Q178" s="2356"/>
      <c r="R178" s="2356"/>
      <c r="S178" s="2356"/>
      <c r="T178" s="2356"/>
      <c r="V178" s="1029"/>
    </row>
    <row r="179" spans="1:24" s="168" customFormat="1" ht="3" customHeight="1">
      <c r="H179" s="3907"/>
      <c r="I179" s="3907"/>
      <c r="M179" s="535"/>
      <c r="O179" s="3908"/>
      <c r="P179" s="3908"/>
      <c r="Q179" s="3908"/>
      <c r="R179" s="3908"/>
      <c r="S179" s="3908"/>
      <c r="T179" s="3908"/>
      <c r="U179" s="3908"/>
      <c r="V179" s="3908"/>
    </row>
    <row r="180" spans="1:24" s="293" customFormat="1" ht="16.350000000000001" customHeight="1">
      <c r="B180" s="295" t="s">
        <v>4803</v>
      </c>
      <c r="J180" s="2564">
        <f>ROUNDDOWN(IF(OR(AND('Part I-Project Information'!$F$11 ="4% Credit/TE Bond",'Part I-Project Information'!$I$185 = "Yes"),AND('Part I-Project Information'!$F$11 ="4% Credit/TE Bond &amp; HOME",'Part I-Project Information'!$I$185 = "Yes"),AND('Part I-Project Information'!$F$11 ="4% Credit/TE Bond &amp; HOME NOFA",'Part I-Project Information'!$I$185 = "Yes")),+MIN(J158,J176,'Part I-Project Information'!$O$185),IF(OR('Part I-Project Information'!$F$11 ="4% Credit/TE Bond",'Part I-Project Information'!$F$11 ="4% Credit/TE Bond &amp; HOME",'Part I-Project Information'!$F$11 ="4% Credit/TE Bond &amp; HOME NOFA"),+MIN(J158,J176),IF(AND('Part I-Project Information'!$H$105="Flexible",'Part I-Project Information'!$I$185 = "Yes"),+MIN(J158,J176,'Part I-Project Information'!$O$185,'DCA Underwriting Assumptions'!$R$6),IF(AND('Part I-Project Information'!$H$105="Rural",'Part I-Project Information'!$I$185 = "Yes"),+MIN(J158,J176,'Part I-Project Information'!$O$185,'DCA Underwriting Assumptions'!$R$7),IF('Part I-Project Information'!$H$105="Flexible",+MIN(J158,J176,'DCA Underwriting Assumptions'!$R$6),IF('Part I-Project Information'!$H$105="Rural",+MIN(J158,J176,'DCA Underwriting Assumptions'!$R$7),+MIN(J158,J176,'DCA Underwriting Assumptions'!$R$6))))))),0)</f>
        <v>844755</v>
      </c>
      <c r="K180" s="2565"/>
      <c r="L180" s="2566"/>
      <c r="M180" s="311"/>
      <c r="N180" s="2357"/>
      <c r="O180" s="2357"/>
      <c r="V180" s="3825"/>
      <c r="W180" s="3826"/>
      <c r="X180" s="3827"/>
    </row>
    <row r="181" spans="1:24" s="293" customFormat="1" ht="3" customHeight="1">
      <c r="J181" s="361"/>
      <c r="K181" s="361"/>
      <c r="L181" s="361"/>
      <c r="M181" s="311"/>
      <c r="N181" s="2357"/>
      <c r="O181" s="2357"/>
      <c r="V181" s="1029"/>
      <c r="W181" s="3883"/>
      <c r="X181" s="3884"/>
    </row>
    <row r="182" spans="1:24" s="293" customFormat="1" ht="16.350000000000001" customHeight="1">
      <c r="B182" s="295" t="s">
        <v>4804</v>
      </c>
      <c r="J182" s="3925">
        <v>844755</v>
      </c>
      <c r="K182" s="3926"/>
      <c r="L182" s="3927"/>
      <c r="M182" s="362" t="str">
        <f>IF(J180=0,"",IF(J182&gt;J180,"ALLOCATION CANNOT EXCEED MAXIMUM - REVISE REQUEST (Try Round Down)!",""))</f>
        <v/>
      </c>
      <c r="N182" s="2357"/>
      <c r="O182" s="2357"/>
      <c r="V182" s="3825"/>
      <c r="W182" s="3826"/>
      <c r="X182" s="3827"/>
    </row>
    <row r="183" spans="1:24" s="293" customFormat="1" ht="3" customHeight="1">
      <c r="J183" s="361"/>
      <c r="K183" s="361"/>
      <c r="L183" s="361"/>
      <c r="M183" s="311"/>
      <c r="N183" s="2357"/>
      <c r="O183" s="2357"/>
      <c r="V183" s="1029"/>
      <c r="W183" s="3883"/>
      <c r="X183" s="3884"/>
    </row>
    <row r="184" spans="1:24" s="293" customFormat="1" ht="16.350000000000001" customHeight="1">
      <c r="A184" s="419"/>
      <c r="B184" s="419" t="s">
        <v>4805</v>
      </c>
      <c r="D184" s="311"/>
      <c r="E184" s="311"/>
      <c r="F184" s="2348"/>
      <c r="J184" s="2546">
        <f>IF(J182="",0,+MIN(J180,J182))</f>
        <v>844755</v>
      </c>
      <c r="K184" s="2547"/>
      <c r="L184" s="2548"/>
      <c r="N184" s="3928"/>
      <c r="O184" s="3928"/>
      <c r="P184" s="3928"/>
      <c r="Q184" s="3928"/>
      <c r="R184" s="3928"/>
      <c r="S184" s="3928"/>
      <c r="T184" s="3928"/>
      <c r="V184" s="3825"/>
      <c r="W184" s="3826"/>
      <c r="X184" s="3827"/>
    </row>
    <row r="185" spans="1:24" ht="3" customHeight="1"/>
    <row r="186" spans="1:24" ht="6" customHeight="1"/>
    <row r="187" spans="1:24" ht="12" customHeight="1">
      <c r="A187" s="295" t="s">
        <v>1750</v>
      </c>
      <c r="B187" s="319" t="s">
        <v>555</v>
      </c>
      <c r="N187" s="295" t="s">
        <v>516</v>
      </c>
      <c r="O187" s="295" t="s">
        <v>77</v>
      </c>
    </row>
    <row r="188" spans="1:24" ht="381.75" customHeight="1">
      <c r="A188" s="3823" t="s">
        <v>7184</v>
      </c>
      <c r="B188" s="3823"/>
      <c r="C188" s="3823"/>
      <c r="D188" s="3823"/>
      <c r="E188" s="3823"/>
      <c r="F188" s="3823"/>
      <c r="G188" s="3823"/>
      <c r="H188" s="3823"/>
      <c r="I188" s="3823"/>
      <c r="J188" s="3823"/>
      <c r="K188" s="3823"/>
      <c r="L188" s="3823"/>
      <c r="M188" s="3823"/>
      <c r="N188" s="3929"/>
      <c r="O188" s="3929"/>
      <c r="P188" s="3929"/>
      <c r="Q188" s="3929"/>
      <c r="R188" s="3929"/>
      <c r="S188" s="3929"/>
      <c r="T188" s="3929"/>
      <c r="V188" s="924"/>
      <c r="W188" s="2490" t="s">
        <v>2614</v>
      </c>
      <c r="X188" s="2490"/>
    </row>
    <row r="189" spans="1:24" ht="11.25" customHeight="1"/>
    <row r="190" spans="1:24" ht="12" customHeight="1"/>
    <row r="191" spans="1:24" ht="12" customHeight="1"/>
    <row r="192" spans="1:24" ht="14.4" customHeight="1"/>
    <row r="193" spans="1:1" s="293" customFormat="1" ht="14.4" customHeight="1"/>
    <row r="194" spans="1:1" s="293" customFormat="1" ht="14.4" customHeight="1"/>
    <row r="195" spans="1:1" s="293" customFormat="1" ht="14.4" customHeight="1"/>
    <row r="196" spans="1:1" ht="14.4" customHeight="1"/>
    <row r="197" spans="1:1" s="293" customFormat="1" ht="14.4" customHeight="1">
      <c r="A197" s="298"/>
    </row>
    <row r="198" spans="1:1" ht="14.4" customHeight="1"/>
    <row r="199" spans="1:1" s="293" customFormat="1" ht="14.4" customHeight="1"/>
    <row r="200" spans="1:1" s="293" customFormat="1" ht="14.4" customHeight="1">
      <c r="A200" s="298"/>
    </row>
    <row r="201" spans="1:1" s="293" customFormat="1" ht="14.4" customHeight="1">
      <c r="A201" s="471"/>
    </row>
    <row r="202" spans="1:1" s="293" customFormat="1" ht="14.4" customHeight="1"/>
    <row r="203" spans="1:1" s="293" customFormat="1" ht="14.4" customHeight="1">
      <c r="A203" s="331"/>
    </row>
    <row r="204" spans="1:1" s="293" customFormat="1" ht="14.4" customHeight="1">
      <c r="A204" s="331"/>
    </row>
    <row r="205" spans="1:1" s="293" customFormat="1" ht="14.4" customHeight="1">
      <c r="A205" s="331"/>
    </row>
    <row r="206" spans="1:1" s="293" customFormat="1" ht="14.4" customHeight="1"/>
    <row r="207" spans="1:1" s="293" customFormat="1" ht="14.4" customHeight="1"/>
    <row r="208" spans="1:1" ht="14.4" customHeight="1"/>
    <row r="209" ht="14.4" customHeight="1"/>
    <row r="210" ht="14.4" customHeight="1"/>
    <row r="211" ht="14.4" customHeight="1"/>
    <row r="212" ht="14.4" customHeight="1"/>
    <row r="213" ht="14.4" customHeight="1"/>
    <row r="214" ht="14.4" customHeight="1"/>
    <row r="215" ht="14.4" customHeight="1"/>
    <row r="216" s="293" customFormat="1" ht="14.4" customHeight="1"/>
    <row r="217" ht="14.4" customHeight="1"/>
    <row r="218" ht="14.4" customHeight="1"/>
    <row r="219" ht="14.4" customHeight="1"/>
    <row r="220" ht="14.4" customHeight="1"/>
    <row r="221" ht="14.4" customHeight="1"/>
    <row r="222" ht="14.4" customHeight="1"/>
    <row r="223" ht="14.4" customHeight="1"/>
    <row r="224" ht="14.4" customHeight="1"/>
    <row r="225" ht="14.4" customHeight="1"/>
    <row r="226" ht="14.4" customHeight="1"/>
    <row r="227" ht="14.4" customHeight="1"/>
    <row r="228" ht="14.4" customHeight="1"/>
    <row r="229" ht="14.4" customHeight="1"/>
    <row r="230" ht="14.4" customHeight="1"/>
    <row r="231" ht="14.4" customHeight="1"/>
  </sheetData>
  <sheetProtection algorithmName="SHA-512" hashValue="3pHuEz0bVG6JeLMxoYfCzlkJ+y57BG+2lEmlg4zW9d12i/h7gZCQ0VJCRml222ZN78IsXoYvoDqVwtRei8t17Q==" saltValue="nFY64J/MW6Ll4R9eB9RFmw==" spinCount="100000" sheet="1" objects="1" scenarios="1" selectLockedCells="1" selectUnlockedCells="1"/>
  <mergeCells count="687">
    <mergeCell ref="O161:V161"/>
    <mergeCell ref="J163:L163"/>
    <mergeCell ref="J164:L164"/>
    <mergeCell ref="J165:L165"/>
    <mergeCell ref="J166:L166"/>
    <mergeCell ref="O179:V179"/>
    <mergeCell ref="AC111:AC112"/>
    <mergeCell ref="AD111:AD112"/>
    <mergeCell ref="AE111:AE112"/>
    <mergeCell ref="P145:Q145"/>
    <mergeCell ref="J146:K146"/>
    <mergeCell ref="W141:X141"/>
    <mergeCell ref="W142:X142"/>
    <mergeCell ref="W143:X143"/>
    <mergeCell ref="J149:K149"/>
    <mergeCell ref="M149:N149"/>
    <mergeCell ref="P149:Q149"/>
    <mergeCell ref="J158:Q158"/>
    <mergeCell ref="W156:X156"/>
    <mergeCell ref="W157:X157"/>
    <mergeCell ref="J150:K150"/>
    <mergeCell ref="M150:N150"/>
    <mergeCell ref="P150:Q150"/>
    <mergeCell ref="J151:K151"/>
    <mergeCell ref="AF111:AF112"/>
    <mergeCell ref="AF113:AF115"/>
    <mergeCell ref="AF116:AF118"/>
    <mergeCell ref="A1:T1"/>
    <mergeCell ref="W1:X1"/>
    <mergeCell ref="J5:K6"/>
    <mergeCell ref="M5:N6"/>
    <mergeCell ref="P5:Q6"/>
    <mergeCell ref="S5:T6"/>
    <mergeCell ref="G6:H6"/>
    <mergeCell ref="S9:T9"/>
    <mergeCell ref="G11:H11"/>
    <mergeCell ref="J11:K11"/>
    <mergeCell ref="M11:N11"/>
    <mergeCell ref="P11:Q11"/>
    <mergeCell ref="S11:T11"/>
    <mergeCell ref="W11:X11"/>
    <mergeCell ref="W10:X10"/>
    <mergeCell ref="W9:X9"/>
    <mergeCell ref="W8:X8"/>
    <mergeCell ref="G10:H10"/>
    <mergeCell ref="J10:K10"/>
    <mergeCell ref="M10:N10"/>
    <mergeCell ref="P10:Q10"/>
    <mergeCell ref="S10:T10"/>
    <mergeCell ref="G8:H8"/>
    <mergeCell ref="J8:K8"/>
    <mergeCell ref="M8:N8"/>
    <mergeCell ref="P8:Q8"/>
    <mergeCell ref="S8:T8"/>
    <mergeCell ref="G9:H9"/>
    <mergeCell ref="J9:K9"/>
    <mergeCell ref="M9:N9"/>
    <mergeCell ref="P9:Q9"/>
    <mergeCell ref="G12:H12"/>
    <mergeCell ref="J12:K12"/>
    <mergeCell ref="M12:N12"/>
    <mergeCell ref="P12:Q12"/>
    <mergeCell ref="S12:T12"/>
    <mergeCell ref="S14:T14"/>
    <mergeCell ref="C15:F15"/>
    <mergeCell ref="G15:H15"/>
    <mergeCell ref="J15:K15"/>
    <mergeCell ref="M15:N15"/>
    <mergeCell ref="P15:Q15"/>
    <mergeCell ref="S15:T15"/>
    <mergeCell ref="G13:H13"/>
    <mergeCell ref="J13:K13"/>
    <mergeCell ref="M13:N13"/>
    <mergeCell ref="P13:Q13"/>
    <mergeCell ref="S13:T13"/>
    <mergeCell ref="C14:F14"/>
    <mergeCell ref="G14:H14"/>
    <mergeCell ref="J14:K14"/>
    <mergeCell ref="M14:N14"/>
    <mergeCell ref="P14:Q14"/>
    <mergeCell ref="G17:H17"/>
    <mergeCell ref="J17:K17"/>
    <mergeCell ref="M17:N17"/>
    <mergeCell ref="P17:Q17"/>
    <mergeCell ref="S17:T17"/>
    <mergeCell ref="G19:H19"/>
    <mergeCell ref="S19:T19"/>
    <mergeCell ref="C16:F16"/>
    <mergeCell ref="G16:H16"/>
    <mergeCell ref="J16:K16"/>
    <mergeCell ref="M16:N16"/>
    <mergeCell ref="P16:Q16"/>
    <mergeCell ref="S16:T16"/>
    <mergeCell ref="M23:N23"/>
    <mergeCell ref="S23:T23"/>
    <mergeCell ref="G25:H25"/>
    <mergeCell ref="J25:K25"/>
    <mergeCell ref="M25:N25"/>
    <mergeCell ref="P25:Q25"/>
    <mergeCell ref="S25:T25"/>
    <mergeCell ref="G20:H20"/>
    <mergeCell ref="S20:T20"/>
    <mergeCell ref="G21:H21"/>
    <mergeCell ref="M21:N21"/>
    <mergeCell ref="S21:T21"/>
    <mergeCell ref="G22:H22"/>
    <mergeCell ref="M22:N22"/>
    <mergeCell ref="S22:T22"/>
    <mergeCell ref="G23:H23"/>
    <mergeCell ref="S27:T27"/>
    <mergeCell ref="G29:H29"/>
    <mergeCell ref="J29:K29"/>
    <mergeCell ref="M29:N29"/>
    <mergeCell ref="P29:Q29"/>
    <mergeCell ref="S29:T29"/>
    <mergeCell ref="G26:H26"/>
    <mergeCell ref="J26:K26"/>
    <mergeCell ref="M26:N26"/>
    <mergeCell ref="P26:Q26"/>
    <mergeCell ref="S26:T26"/>
    <mergeCell ref="G27:H27"/>
    <mergeCell ref="J27:K27"/>
    <mergeCell ref="M27:N27"/>
    <mergeCell ref="P27:Q27"/>
    <mergeCell ref="S31:T31"/>
    <mergeCell ref="G32:H32"/>
    <mergeCell ref="J32:K32"/>
    <mergeCell ref="M32:N32"/>
    <mergeCell ref="P32:Q32"/>
    <mergeCell ref="S32:T32"/>
    <mergeCell ref="G30:H30"/>
    <mergeCell ref="J30:K30"/>
    <mergeCell ref="M30:N30"/>
    <mergeCell ref="P30:Q30"/>
    <mergeCell ref="S30:T30"/>
    <mergeCell ref="G31:H31"/>
    <mergeCell ref="J31:K31"/>
    <mergeCell ref="M31:N31"/>
    <mergeCell ref="P31:Q31"/>
    <mergeCell ref="D34:E34"/>
    <mergeCell ref="G35:H35"/>
    <mergeCell ref="J35:K35"/>
    <mergeCell ref="M35:N35"/>
    <mergeCell ref="P35:Q35"/>
    <mergeCell ref="S35:T35"/>
    <mergeCell ref="C33:D33"/>
    <mergeCell ref="G33:H33"/>
    <mergeCell ref="J33:K33"/>
    <mergeCell ref="M33:N33"/>
    <mergeCell ref="P33:Q33"/>
    <mergeCell ref="S33:T33"/>
    <mergeCell ref="S41:T41"/>
    <mergeCell ref="S37:T37"/>
    <mergeCell ref="G38:H38"/>
    <mergeCell ref="J38:K38"/>
    <mergeCell ref="M38:N38"/>
    <mergeCell ref="P38:Q38"/>
    <mergeCell ref="S38:T38"/>
    <mergeCell ref="G36:H36"/>
    <mergeCell ref="J36:K36"/>
    <mergeCell ref="M36:N36"/>
    <mergeCell ref="P36:Q36"/>
    <mergeCell ref="S36:T36"/>
    <mergeCell ref="G37:H37"/>
    <mergeCell ref="J37:K37"/>
    <mergeCell ref="M37:N37"/>
    <mergeCell ref="P37:Q37"/>
    <mergeCell ref="P47:Q47"/>
    <mergeCell ref="S47:T47"/>
    <mergeCell ref="W47:X47"/>
    <mergeCell ref="J49:K50"/>
    <mergeCell ref="M49:N50"/>
    <mergeCell ref="P49:Q50"/>
    <mergeCell ref="S49:T50"/>
    <mergeCell ref="B44:C44"/>
    <mergeCell ref="J44:K44"/>
    <mergeCell ref="M44:N44"/>
    <mergeCell ref="G47:H47"/>
    <mergeCell ref="J47:K47"/>
    <mergeCell ref="M47:N47"/>
    <mergeCell ref="W41:X44"/>
    <mergeCell ref="E43:E44"/>
    <mergeCell ref="J43:K43"/>
    <mergeCell ref="M43:N43"/>
    <mergeCell ref="P43:Q43"/>
    <mergeCell ref="S43:T43"/>
    <mergeCell ref="C41:F41"/>
    <mergeCell ref="G41:H41"/>
    <mergeCell ref="J41:K41"/>
    <mergeCell ref="M41:N41"/>
    <mergeCell ref="P41:Q41"/>
    <mergeCell ref="G54:H54"/>
    <mergeCell ref="J54:K54"/>
    <mergeCell ref="M54:N54"/>
    <mergeCell ref="P54:Q54"/>
    <mergeCell ref="S54:T54"/>
    <mergeCell ref="G50:H50"/>
    <mergeCell ref="G55:H55"/>
    <mergeCell ref="J55:K55"/>
    <mergeCell ref="M55:N55"/>
    <mergeCell ref="P55:Q55"/>
    <mergeCell ref="S55:T55"/>
    <mergeCell ref="G52:H52"/>
    <mergeCell ref="J52:K52"/>
    <mergeCell ref="M52:N52"/>
    <mergeCell ref="P52:Q52"/>
    <mergeCell ref="S52:T52"/>
    <mergeCell ref="G53:H53"/>
    <mergeCell ref="J53:K53"/>
    <mergeCell ref="M53:N53"/>
    <mergeCell ref="P53:Q53"/>
    <mergeCell ref="S53:T53"/>
    <mergeCell ref="J56:K56"/>
    <mergeCell ref="M56:N56"/>
    <mergeCell ref="P56:Q56"/>
    <mergeCell ref="S56:T56"/>
    <mergeCell ref="G57:H57"/>
    <mergeCell ref="J57:K57"/>
    <mergeCell ref="M57:N57"/>
    <mergeCell ref="P57:Q57"/>
    <mergeCell ref="S57:T57"/>
    <mergeCell ref="G56:H56"/>
    <mergeCell ref="G58:H58"/>
    <mergeCell ref="J58:K58"/>
    <mergeCell ref="M58:N58"/>
    <mergeCell ref="P58:Q58"/>
    <mergeCell ref="S58:T58"/>
    <mergeCell ref="G59:H59"/>
    <mergeCell ref="J59:K59"/>
    <mergeCell ref="M59:N59"/>
    <mergeCell ref="P59:Q59"/>
    <mergeCell ref="S59:T59"/>
    <mergeCell ref="G60:H60"/>
    <mergeCell ref="J60:K60"/>
    <mergeCell ref="M60:N60"/>
    <mergeCell ref="P60:Q60"/>
    <mergeCell ref="S60:T60"/>
    <mergeCell ref="S62:T62"/>
    <mergeCell ref="C63:F63"/>
    <mergeCell ref="G63:H63"/>
    <mergeCell ref="J63:K63"/>
    <mergeCell ref="M63:N63"/>
    <mergeCell ref="P63:Q63"/>
    <mergeCell ref="S63:T63"/>
    <mergeCell ref="G61:H61"/>
    <mergeCell ref="J61:K61"/>
    <mergeCell ref="M61:N61"/>
    <mergeCell ref="P61:Q61"/>
    <mergeCell ref="S61:T61"/>
    <mergeCell ref="C62:F62"/>
    <mergeCell ref="G62:H62"/>
    <mergeCell ref="J62:K62"/>
    <mergeCell ref="M62:N62"/>
    <mergeCell ref="P62:Q62"/>
    <mergeCell ref="G70:H70"/>
    <mergeCell ref="J70:K70"/>
    <mergeCell ref="M70:N70"/>
    <mergeCell ref="P70:Q70"/>
    <mergeCell ref="S70:T70"/>
    <mergeCell ref="G71:H71"/>
    <mergeCell ref="J71:K71"/>
    <mergeCell ref="M71:N71"/>
    <mergeCell ref="G64:H64"/>
    <mergeCell ref="J64:K64"/>
    <mergeCell ref="M64:N64"/>
    <mergeCell ref="P64:Q64"/>
    <mergeCell ref="S64:T64"/>
    <mergeCell ref="G66:H66"/>
    <mergeCell ref="J66:K66"/>
    <mergeCell ref="M66:N66"/>
    <mergeCell ref="P66:Q66"/>
    <mergeCell ref="S66:T66"/>
    <mergeCell ref="S68:T68"/>
    <mergeCell ref="G69:H69"/>
    <mergeCell ref="J69:K69"/>
    <mergeCell ref="M69:N69"/>
    <mergeCell ref="P69:Q69"/>
    <mergeCell ref="S69:T69"/>
    <mergeCell ref="G67:H67"/>
    <mergeCell ref="J67:K67"/>
    <mergeCell ref="M67:N67"/>
    <mergeCell ref="P67:Q67"/>
    <mergeCell ref="S67:T67"/>
    <mergeCell ref="G68:H68"/>
    <mergeCell ref="J68:K68"/>
    <mergeCell ref="M68:N68"/>
    <mergeCell ref="P68:Q68"/>
    <mergeCell ref="P71:Q71"/>
    <mergeCell ref="S71:T71"/>
    <mergeCell ref="G72:H72"/>
    <mergeCell ref="J72:K72"/>
    <mergeCell ref="M72:N72"/>
    <mergeCell ref="P72:Q72"/>
    <mergeCell ref="S72:T72"/>
    <mergeCell ref="G73:H73"/>
    <mergeCell ref="J73:K73"/>
    <mergeCell ref="M73:N73"/>
    <mergeCell ref="P73:Q73"/>
    <mergeCell ref="S73:T73"/>
    <mergeCell ref="C76:F76"/>
    <mergeCell ref="G76:H76"/>
    <mergeCell ref="J76:K76"/>
    <mergeCell ref="M76:N76"/>
    <mergeCell ref="P76:Q76"/>
    <mergeCell ref="S76:T76"/>
    <mergeCell ref="G74:H74"/>
    <mergeCell ref="J74:K74"/>
    <mergeCell ref="M74:N74"/>
    <mergeCell ref="P74:Q74"/>
    <mergeCell ref="S74:T74"/>
    <mergeCell ref="G75:H75"/>
    <mergeCell ref="J75:K75"/>
    <mergeCell ref="M75:N75"/>
    <mergeCell ref="P75:Q75"/>
    <mergeCell ref="S75:T75"/>
    <mergeCell ref="G83:H83"/>
    <mergeCell ref="J83:K83"/>
    <mergeCell ref="M83:N83"/>
    <mergeCell ref="P83:Q83"/>
    <mergeCell ref="S83:T83"/>
    <mergeCell ref="G77:H77"/>
    <mergeCell ref="J77:K77"/>
    <mergeCell ref="M77:N77"/>
    <mergeCell ref="P77:Q77"/>
    <mergeCell ref="S77:T77"/>
    <mergeCell ref="G79:H79"/>
    <mergeCell ref="J79:K79"/>
    <mergeCell ref="M79:N79"/>
    <mergeCell ref="P79:Q79"/>
    <mergeCell ref="S79:T79"/>
    <mergeCell ref="S81:T81"/>
    <mergeCell ref="G82:H82"/>
    <mergeCell ref="J82:K82"/>
    <mergeCell ref="M82:N82"/>
    <mergeCell ref="P82:Q82"/>
    <mergeCell ref="S82:T82"/>
    <mergeCell ref="G80:H80"/>
    <mergeCell ref="J80:K80"/>
    <mergeCell ref="M80:N80"/>
    <mergeCell ref="P80:Q80"/>
    <mergeCell ref="S80:T80"/>
    <mergeCell ref="G81:H81"/>
    <mergeCell ref="J81:K81"/>
    <mergeCell ref="M81:N81"/>
    <mergeCell ref="P81:Q81"/>
    <mergeCell ref="G88:H88"/>
    <mergeCell ref="J88:K88"/>
    <mergeCell ref="M88:N88"/>
    <mergeCell ref="P88:Q88"/>
    <mergeCell ref="S88:T88"/>
    <mergeCell ref="P86:Q86"/>
    <mergeCell ref="S86:T86"/>
    <mergeCell ref="G87:H87"/>
    <mergeCell ref="J87:K87"/>
    <mergeCell ref="M87:N87"/>
    <mergeCell ref="P87:Q87"/>
    <mergeCell ref="G86:H86"/>
    <mergeCell ref="J86:K86"/>
    <mergeCell ref="M86:N86"/>
    <mergeCell ref="G85:H85"/>
    <mergeCell ref="J85:K85"/>
    <mergeCell ref="M85:N85"/>
    <mergeCell ref="P85:Q85"/>
    <mergeCell ref="S85:T85"/>
    <mergeCell ref="S87:T87"/>
    <mergeCell ref="G89:H89"/>
    <mergeCell ref="J89:K89"/>
    <mergeCell ref="M89:N89"/>
    <mergeCell ref="P89:Q89"/>
    <mergeCell ref="S89:T89"/>
    <mergeCell ref="S90:T90"/>
    <mergeCell ref="G91:H91"/>
    <mergeCell ref="J91:K91"/>
    <mergeCell ref="M91:N91"/>
    <mergeCell ref="P91:Q91"/>
    <mergeCell ref="S91:T91"/>
    <mergeCell ref="C103:F103"/>
    <mergeCell ref="C104:F104"/>
    <mergeCell ref="W103:X103"/>
    <mergeCell ref="W104:X104"/>
    <mergeCell ref="C90:F90"/>
    <mergeCell ref="G90:H90"/>
    <mergeCell ref="J90:K90"/>
    <mergeCell ref="M90:N90"/>
    <mergeCell ref="P90:Q90"/>
    <mergeCell ref="J93:K94"/>
    <mergeCell ref="M93:N94"/>
    <mergeCell ref="P93:Q94"/>
    <mergeCell ref="S93:T94"/>
    <mergeCell ref="G94:H94"/>
    <mergeCell ref="E99:F99"/>
    <mergeCell ref="G99:H99"/>
    <mergeCell ref="S99:T99"/>
    <mergeCell ref="W97:X97"/>
    <mergeCell ref="W98:X98"/>
    <mergeCell ref="W99:X99"/>
    <mergeCell ref="W100:X100"/>
    <mergeCell ref="W101:X101"/>
    <mergeCell ref="W102:X102"/>
    <mergeCell ref="E100:F100"/>
    <mergeCell ref="G100:H100"/>
    <mergeCell ref="S100:T100"/>
    <mergeCell ref="G96:H96"/>
    <mergeCell ref="S96:T96"/>
    <mergeCell ref="G97:H97"/>
    <mergeCell ref="S97:T97"/>
    <mergeCell ref="G98:H98"/>
    <mergeCell ref="S98:T98"/>
    <mergeCell ref="G107:H107"/>
    <mergeCell ref="J107:K107"/>
    <mergeCell ref="M107:N107"/>
    <mergeCell ref="P107:Q107"/>
    <mergeCell ref="S107:T107"/>
    <mergeCell ref="S102:T102"/>
    <mergeCell ref="G103:H103"/>
    <mergeCell ref="S103:T103"/>
    <mergeCell ref="G104:H104"/>
    <mergeCell ref="S104:T104"/>
    <mergeCell ref="G101:H101"/>
    <mergeCell ref="S101:T101"/>
    <mergeCell ref="G102:H102"/>
    <mergeCell ref="G105:H105"/>
    <mergeCell ref="S105:T105"/>
    <mergeCell ref="G108:H108"/>
    <mergeCell ref="J108:K108"/>
    <mergeCell ref="M108:N108"/>
    <mergeCell ref="P108:Q108"/>
    <mergeCell ref="S108:T108"/>
    <mergeCell ref="G109:H109"/>
    <mergeCell ref="J109:K109"/>
    <mergeCell ref="M109:N109"/>
    <mergeCell ref="P109:Q109"/>
    <mergeCell ref="G113:H113"/>
    <mergeCell ref="J113:K113"/>
    <mergeCell ref="M113:N113"/>
    <mergeCell ref="S109:T109"/>
    <mergeCell ref="C110:F110"/>
    <mergeCell ref="G110:H110"/>
    <mergeCell ref="J110:K110"/>
    <mergeCell ref="M110:N110"/>
    <mergeCell ref="P110:Q110"/>
    <mergeCell ref="S110:T110"/>
    <mergeCell ref="G111:H111"/>
    <mergeCell ref="J111:K111"/>
    <mergeCell ref="M111:N111"/>
    <mergeCell ref="P111:Q111"/>
    <mergeCell ref="S111:T111"/>
    <mergeCell ref="P113:Q113"/>
    <mergeCell ref="S113:T113"/>
    <mergeCell ref="G117:H117"/>
    <mergeCell ref="J117:K117"/>
    <mergeCell ref="M117:N117"/>
    <mergeCell ref="P117:Q117"/>
    <mergeCell ref="S117:T117"/>
    <mergeCell ref="C125:F125"/>
    <mergeCell ref="G125:H125"/>
    <mergeCell ref="J125:K125"/>
    <mergeCell ref="M125:N125"/>
    <mergeCell ref="P125:Q125"/>
    <mergeCell ref="S125:T125"/>
    <mergeCell ref="G121:H121"/>
    <mergeCell ref="S121:T121"/>
    <mergeCell ref="G122:H122"/>
    <mergeCell ref="S122:T122"/>
    <mergeCell ref="G123:H123"/>
    <mergeCell ref="S123:T123"/>
    <mergeCell ref="G124:H124"/>
    <mergeCell ref="J124:K124"/>
    <mergeCell ref="M124:N124"/>
    <mergeCell ref="P126:Q126"/>
    <mergeCell ref="S126:T126"/>
    <mergeCell ref="G126:H126"/>
    <mergeCell ref="J126:K126"/>
    <mergeCell ref="M126:N126"/>
    <mergeCell ref="G115:H115"/>
    <mergeCell ref="J115:K115"/>
    <mergeCell ref="M115:N115"/>
    <mergeCell ref="P115:Q115"/>
    <mergeCell ref="S115:T115"/>
    <mergeCell ref="G116:H116"/>
    <mergeCell ref="J116:K116"/>
    <mergeCell ref="S120:T120"/>
    <mergeCell ref="P124:Q124"/>
    <mergeCell ref="S124:T124"/>
    <mergeCell ref="G120:H120"/>
    <mergeCell ref="M116:N116"/>
    <mergeCell ref="P116:Q116"/>
    <mergeCell ref="G118:H118"/>
    <mergeCell ref="J118:K118"/>
    <mergeCell ref="M118:N118"/>
    <mergeCell ref="P118:Q118"/>
    <mergeCell ref="S118:T118"/>
    <mergeCell ref="S116:T116"/>
    <mergeCell ref="S129:T129"/>
    <mergeCell ref="G130:H130"/>
    <mergeCell ref="J130:K130"/>
    <mergeCell ref="M130:N130"/>
    <mergeCell ref="G128:H128"/>
    <mergeCell ref="J128:K128"/>
    <mergeCell ref="M128:N128"/>
    <mergeCell ref="P128:Q128"/>
    <mergeCell ref="S128:T128"/>
    <mergeCell ref="P130:Q130"/>
    <mergeCell ref="S130:T130"/>
    <mergeCell ref="G132:H132"/>
    <mergeCell ref="J132:K132"/>
    <mergeCell ref="M132:N132"/>
    <mergeCell ref="P132:Q132"/>
    <mergeCell ref="S132:T132"/>
    <mergeCell ref="W129:X129"/>
    <mergeCell ref="W146:X146"/>
    <mergeCell ref="W140:X140"/>
    <mergeCell ref="W130:X130"/>
    <mergeCell ref="W132:X132"/>
    <mergeCell ref="J142:K142"/>
    <mergeCell ref="P142:Q142"/>
    <mergeCell ref="J143:K143"/>
    <mergeCell ref="P143:Q143"/>
    <mergeCell ref="J144:K144"/>
    <mergeCell ref="P144:Q144"/>
    <mergeCell ref="P146:Q146"/>
    <mergeCell ref="C145:I145"/>
    <mergeCell ref="J145:K145"/>
    <mergeCell ref="C129:F129"/>
    <mergeCell ref="G129:H129"/>
    <mergeCell ref="J129:K129"/>
    <mergeCell ref="M129:N129"/>
    <mergeCell ref="P129:Q129"/>
    <mergeCell ref="D134:E134"/>
    <mergeCell ref="G134:H134"/>
    <mergeCell ref="J137:K138"/>
    <mergeCell ref="M137:N138"/>
    <mergeCell ref="P137:Q138"/>
    <mergeCell ref="J140:K140"/>
    <mergeCell ref="P140:Q140"/>
    <mergeCell ref="J141:K141"/>
    <mergeCell ref="P141:Q141"/>
    <mergeCell ref="M151:N151"/>
    <mergeCell ref="P151:Q151"/>
    <mergeCell ref="P156:Q156"/>
    <mergeCell ref="J153:K153"/>
    <mergeCell ref="M153:N153"/>
    <mergeCell ref="P153:Q153"/>
    <mergeCell ref="H152:I152"/>
    <mergeCell ref="J152:K152"/>
    <mergeCell ref="M152:N152"/>
    <mergeCell ref="P152:Q152"/>
    <mergeCell ref="J154:K154"/>
    <mergeCell ref="M154:N154"/>
    <mergeCell ref="P154:Q154"/>
    <mergeCell ref="J157:K157"/>
    <mergeCell ref="M157:N157"/>
    <mergeCell ref="P157:Q157"/>
    <mergeCell ref="M155:N155"/>
    <mergeCell ref="P155:Q155"/>
    <mergeCell ref="J156:K156"/>
    <mergeCell ref="M156:N156"/>
    <mergeCell ref="W188:X188"/>
    <mergeCell ref="Q174:R174"/>
    <mergeCell ref="J175:L175"/>
    <mergeCell ref="N175:O175"/>
    <mergeCell ref="Q175:R175"/>
    <mergeCell ref="J176:L176"/>
    <mergeCell ref="J180:L180"/>
    <mergeCell ref="S169:T171"/>
    <mergeCell ref="J169:L169"/>
    <mergeCell ref="J170:L170"/>
    <mergeCell ref="J171:L171"/>
    <mergeCell ref="M172:N172"/>
    <mergeCell ref="O172:R172"/>
    <mergeCell ref="J172:L172"/>
    <mergeCell ref="J173:L173"/>
    <mergeCell ref="N174:O174"/>
    <mergeCell ref="J182:L182"/>
    <mergeCell ref="J184:L184"/>
    <mergeCell ref="N188:T188"/>
    <mergeCell ref="A188:M188"/>
    <mergeCell ref="W184:X184"/>
    <mergeCell ref="W180:X180"/>
    <mergeCell ref="W182:X182"/>
    <mergeCell ref="W15:X15"/>
    <mergeCell ref="W14:X14"/>
    <mergeCell ref="W13:X13"/>
    <mergeCell ref="W35:X35"/>
    <mergeCell ref="W36:X36"/>
    <mergeCell ref="W37:X37"/>
    <mergeCell ref="W38:X38"/>
    <mergeCell ref="W52:X52"/>
    <mergeCell ref="M169:R171"/>
    <mergeCell ref="J155:K155"/>
    <mergeCell ref="W53:X53"/>
    <mergeCell ref="W54:X54"/>
    <mergeCell ref="W55:X55"/>
    <mergeCell ref="W56:X56"/>
    <mergeCell ref="W57:X57"/>
    <mergeCell ref="W50:X50"/>
    <mergeCell ref="W58:X58"/>
    <mergeCell ref="W59:X59"/>
    <mergeCell ref="W12:X12"/>
    <mergeCell ref="W22:X22"/>
    <mergeCell ref="W23:X23"/>
    <mergeCell ref="W29:X29"/>
    <mergeCell ref="W30:X30"/>
    <mergeCell ref="W31:X31"/>
    <mergeCell ref="W32:X32"/>
    <mergeCell ref="W33:X33"/>
    <mergeCell ref="W25:X25"/>
    <mergeCell ref="W26:X26"/>
    <mergeCell ref="W27:X27"/>
    <mergeCell ref="W16:X16"/>
    <mergeCell ref="W17:X17"/>
    <mergeCell ref="W19:X19"/>
    <mergeCell ref="W20:X20"/>
    <mergeCell ref="W21:X21"/>
    <mergeCell ref="W128:X128"/>
    <mergeCell ref="W86:X86"/>
    <mergeCell ref="W113:X113"/>
    <mergeCell ref="W115:X115"/>
    <mergeCell ref="W116:X116"/>
    <mergeCell ref="W117:X117"/>
    <mergeCell ref="W114:X114"/>
    <mergeCell ref="W60:X60"/>
    <mergeCell ref="W66:X66"/>
    <mergeCell ref="W61:X61"/>
    <mergeCell ref="W62:X62"/>
    <mergeCell ref="W63:X63"/>
    <mergeCell ref="W64:X64"/>
    <mergeCell ref="W67:X67"/>
    <mergeCell ref="W118:X118"/>
    <mergeCell ref="W122:X122"/>
    <mergeCell ref="W123:X123"/>
    <mergeCell ref="W107:X107"/>
    <mergeCell ref="W108:X108"/>
    <mergeCell ref="W109:X109"/>
    <mergeCell ref="W110:X110"/>
    <mergeCell ref="W111:X111"/>
    <mergeCell ref="W79:X79"/>
    <mergeCell ref="W80:X80"/>
    <mergeCell ref="W82:X82"/>
    <mergeCell ref="W125:X125"/>
    <mergeCell ref="W126:X126"/>
    <mergeCell ref="W120:X120"/>
    <mergeCell ref="W121:X121"/>
    <mergeCell ref="W83:X83"/>
    <mergeCell ref="W87:X87"/>
    <mergeCell ref="W88:X88"/>
    <mergeCell ref="W89:X89"/>
    <mergeCell ref="W90:X90"/>
    <mergeCell ref="W91:X91"/>
    <mergeCell ref="W124:X124"/>
    <mergeCell ref="W173:X173"/>
    <mergeCell ref="W174:X174"/>
    <mergeCell ref="W175:X175"/>
    <mergeCell ref="W176:X176"/>
    <mergeCell ref="W177:X177"/>
    <mergeCell ref="W153:X153"/>
    <mergeCell ref="W154:X154"/>
    <mergeCell ref="W155:X155"/>
    <mergeCell ref="W158:X158"/>
    <mergeCell ref="W170:X170"/>
    <mergeCell ref="W169:X169"/>
    <mergeCell ref="W172:X172"/>
    <mergeCell ref="W171:X171"/>
    <mergeCell ref="M165:T165"/>
    <mergeCell ref="W144:X144"/>
    <mergeCell ref="W145:X145"/>
    <mergeCell ref="W105:X105"/>
    <mergeCell ref="D5:H5"/>
    <mergeCell ref="R149:T151"/>
    <mergeCell ref="R152:T154"/>
    <mergeCell ref="W149:X149"/>
    <mergeCell ref="W150:X150"/>
    <mergeCell ref="W151:X151"/>
    <mergeCell ref="W152:X152"/>
    <mergeCell ref="W68:X68"/>
    <mergeCell ref="W69:X69"/>
    <mergeCell ref="W70:X70"/>
    <mergeCell ref="W71:X71"/>
    <mergeCell ref="W72:X72"/>
    <mergeCell ref="W73:X73"/>
    <mergeCell ref="W74:X74"/>
    <mergeCell ref="W96:X96"/>
    <mergeCell ref="W75:X75"/>
    <mergeCell ref="W76:X76"/>
    <mergeCell ref="W77:X77"/>
    <mergeCell ref="W85:X85"/>
    <mergeCell ref="W81:X81"/>
  </mergeCells>
  <conditionalFormatting sqref="J184:L184">
    <cfRule type="cellIs" dxfId="181" priority="8" stopIfTrue="1" operator="greaterThan">
      <formula>$J$180</formula>
    </cfRule>
  </conditionalFormatting>
  <conditionalFormatting sqref="G34">
    <cfRule type="cellIs" priority="9" stopIfTrue="1" operator="equal">
      <formula>"""Exceeds the limit! Re-check amounts."""</formula>
    </cfRule>
  </conditionalFormatting>
  <conditionalFormatting sqref="J35:K35 M35:N35 P35:Q35">
    <cfRule type="cellIs" dxfId="180" priority="7" operator="greaterThan">
      <formula>$G$35</formula>
    </cfRule>
  </conditionalFormatting>
  <conditionalFormatting sqref="J36:K37 M36:N37 P36:Q37">
    <cfRule type="cellIs" dxfId="179" priority="6" operator="greaterThan">
      <formula>$G$37</formula>
    </cfRule>
  </conditionalFormatting>
  <conditionalFormatting sqref="G35">
    <cfRule type="cellIs" dxfId="178" priority="10" stopIfTrue="1" operator="greaterThan">
      <formula>$E35</formula>
    </cfRule>
  </conditionalFormatting>
  <conditionalFormatting sqref="G36">
    <cfRule type="cellIs" dxfId="177" priority="11" stopIfTrue="1" operator="greaterThan">
      <formula>$E$36</formula>
    </cfRule>
  </conditionalFormatting>
  <conditionalFormatting sqref="G37">
    <cfRule type="cellIs" dxfId="176" priority="12" operator="greaterThan">
      <formula>$E$37</formula>
    </cfRule>
  </conditionalFormatting>
  <conditionalFormatting sqref="M165:T165">
    <cfRule type="cellIs" dxfId="175" priority="1" operator="equal">
      <formula>"Exceeds Project Cost Limit!   Needs Cost Limit waiver."</formula>
    </cfRule>
    <cfRule type="cellIs" dxfId="174" priority="5" operator="equal">
      <formula>"QAP Cost Limit TDC exceeds Project Cost Limit!"</formula>
    </cfRule>
  </conditionalFormatting>
  <conditionalFormatting sqref="O161:V162">
    <cfRule type="cellIs" dxfId="173" priority="4" operator="equal">
      <formula>"QAP Cost Limit TDC exceeds Project Cost Limit!"</formula>
    </cfRule>
  </conditionalFormatting>
  <conditionalFormatting sqref="O179:V179">
    <cfRule type="cellIs" dxfId="172" priority="2" operator="equal">
      <formula>"QAP Cost Limit TDC exceeds Project Cost Limit!"</formula>
    </cfRule>
  </conditionalFormatting>
  <dataValidations count="4">
    <dataValidation type="list" allowBlank="1" showInputMessage="1" showErrorMessage="1" sqref="E81:E82" xr:uid="{00000000-0002-0000-0600-000000000000}">
      <formula1>"Yes, No"</formula1>
    </dataValidation>
    <dataValidation type="list" allowBlank="1" showInputMessage="1" showErrorMessage="1" sqref="H152" xr:uid="{00000000-0002-0000-0600-000001000000}">
      <formula1>"&lt;&lt;Select&gt;&gt;,DDA/QCT, State Boost"</formula1>
    </dataValidation>
    <dataValidation type="list" operator="greaterThanOrEqual" allowBlank="1" showInputMessage="1" showErrorMessage="1" sqref="T172" xr:uid="{00000000-0002-0000-0600-000002000000}">
      <formula1>"Yes, No"</formula1>
    </dataValidation>
    <dataValidation type="list" allowBlank="1" showInputMessage="1" showErrorMessage="1" sqref="R152:T154" xr:uid="{00000000-0002-0000-0600-000003000000}">
      <formula1>"&lt;&lt; Select &gt;&gt;, Multifamily Rural projects w/out DCA HOME, Multifamily projects in areas qualifying for 2+ Stable Communities pts, Extraordinary circumstances furthering policies of this QAP "</formula1>
    </dataValidation>
  </dataValidations>
  <printOptions horizontalCentered="1"/>
  <pageMargins left="0.3" right="0.3" top="0.5" bottom="0.5" header="0.25" footer="0.25"/>
  <pageSetup scale="10" fitToHeight="0" orientation="landscape" r:id="rId1"/>
  <headerFooter alignWithMargins="0">
    <oddHeader>&amp;LGeorgia Department of Community Affairs&amp;C&amp;11 2020 Funding Application&amp;RHousing Finance and Development Division</oddHeader>
    <oddFooter>&amp;L&amp;G&amp;9 &amp;F&amp;C&amp;9&amp;A&amp;R&amp;9&amp;P of &amp;N</oddFooter>
  </headerFooter>
  <rowBreaks count="4" manualBreakCount="4">
    <brk id="48" max="16383" man="1"/>
    <brk id="91" max="16383" man="1"/>
    <brk id="135" max="16383" man="1"/>
    <brk id="176" max="16383" man="1"/>
  </rowBreaks>
  <legacyDrawingHF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32">
    <pageSetUpPr fitToPage="1"/>
  </sheetPr>
  <dimension ref="A1:N92"/>
  <sheetViews>
    <sheetView showGridLines="0" topLeftCell="A4" zoomScaleNormal="100" workbookViewId="0">
      <selection activeCell="A4" sqref="A1:XFD1048576"/>
    </sheetView>
  </sheetViews>
  <sheetFormatPr defaultColWidth="9.109375" defaultRowHeight="13.2"/>
  <cols>
    <col min="1" max="1" width="7.109375" style="1259" customWidth="1"/>
    <col min="2" max="2" width="12.88671875" style="1259" customWidth="1"/>
    <col min="3" max="3" width="7.88671875" style="1259" customWidth="1"/>
    <col min="4" max="4" width="12.88671875" style="1259" customWidth="1"/>
    <col min="5" max="5" width="0.88671875" style="1259" customWidth="1"/>
    <col min="6" max="6" width="46.88671875" style="1259" customWidth="1"/>
    <col min="7" max="7" width="0.88671875" style="1259" customWidth="1"/>
    <col min="8" max="8" width="46.88671875" style="1259" customWidth="1"/>
    <col min="9" max="16384" width="9.109375" style="1259"/>
  </cols>
  <sheetData>
    <row r="1" spans="1:14" ht="15.6">
      <c r="A1" s="2631" t="str">
        <f>CONCATENATE("PART FOUR (b) -  OTHER COSTS","  -  ",'Part I-Project Information'!$O$6," - ",'Part I-Project Information'!$F$34,"  -  ",'Part I-Project Information'!$F$38,"  -  ",'Part I-Project Information'!$J$39,",  ","County")</f>
        <v>PART FOUR (b) -  OTHER COSTS  -  2020-074 - Harper Woods II  -  Columbus  -  Muscogee,  County</v>
      </c>
      <c r="B1" s="2632"/>
      <c r="C1" s="2632"/>
      <c r="D1" s="2632"/>
      <c r="E1" s="2632"/>
      <c r="F1" s="2632"/>
      <c r="G1" s="2632"/>
      <c r="H1" s="2632"/>
      <c r="I1" s="900"/>
      <c r="J1" s="900"/>
      <c r="K1" s="900"/>
      <c r="L1" s="900"/>
      <c r="M1" s="900"/>
      <c r="N1" s="900"/>
    </row>
    <row r="2" spans="1:14" ht="9" customHeight="1"/>
    <row r="3" spans="1:14" ht="57" customHeight="1">
      <c r="A3" s="3930" t="s">
        <v>3533</v>
      </c>
      <c r="B3" s="3931"/>
      <c r="C3" s="3931"/>
      <c r="D3" s="3931"/>
      <c r="E3" s="3931"/>
      <c r="F3" s="3931"/>
      <c r="G3" s="3931"/>
      <c r="H3" s="3932"/>
    </row>
    <row r="4" spans="1:14" ht="6" customHeight="1"/>
    <row r="5" spans="1:14" ht="38.25" customHeight="1">
      <c r="A5" s="2633" t="s">
        <v>3623</v>
      </c>
      <c r="B5" s="2633"/>
      <c r="C5" s="2633"/>
      <c r="D5" s="2633"/>
      <c r="F5" s="901" t="s">
        <v>3524</v>
      </c>
      <c r="G5" s="537"/>
      <c r="H5" s="901" t="s">
        <v>3525</v>
      </c>
    </row>
    <row r="6" spans="1:14" ht="6.75" customHeight="1">
      <c r="A6" s="537"/>
      <c r="B6" s="537"/>
      <c r="C6" s="537"/>
      <c r="D6" s="537"/>
    </row>
    <row r="7" spans="1:14" s="3933" customFormat="1" ht="4.5" customHeight="1">
      <c r="A7" s="902"/>
      <c r="B7" s="902"/>
      <c r="C7" s="902"/>
      <c r="D7" s="902"/>
      <c r="E7" s="902"/>
      <c r="F7" s="902"/>
      <c r="G7" s="902"/>
    </row>
    <row r="8" spans="1:14" s="3933" customFormat="1">
      <c r="A8" s="911" t="s">
        <v>99</v>
      </c>
      <c r="B8" s="903"/>
      <c r="C8" s="903"/>
      <c r="D8" s="903"/>
      <c r="E8" s="903"/>
      <c r="F8" s="903"/>
      <c r="G8" s="903"/>
      <c r="H8" s="903"/>
    </row>
    <row r="9" spans="1:14" s="3933" customFormat="1" ht="41.25" customHeight="1">
      <c r="A9" s="2628" t="str">
        <f>'Part IV-A-Uses of Funds'!$C$14</f>
        <v xml:space="preserve">3rd Party Cost Review </v>
      </c>
      <c r="B9" s="2629"/>
      <c r="C9" s="2629"/>
      <c r="D9" s="2630"/>
      <c r="F9" s="3934" t="s">
        <v>7172</v>
      </c>
      <c r="G9" s="903"/>
      <c r="H9" s="3934" t="s">
        <v>7073</v>
      </c>
    </row>
    <row r="10" spans="1:14" s="3933" customFormat="1" ht="41.25" customHeight="1">
      <c r="A10" s="2625"/>
      <c r="B10" s="2626"/>
      <c r="C10" s="2626"/>
      <c r="D10" s="2627"/>
      <c r="F10" s="3935"/>
      <c r="G10" s="903"/>
      <c r="H10" s="3935"/>
    </row>
    <row r="11" spans="1:14" s="3933" customFormat="1" ht="4.5" customHeight="1">
      <c r="F11" s="3935"/>
      <c r="G11" s="903"/>
      <c r="H11" s="3935"/>
    </row>
    <row r="12" spans="1:14" s="3933" customFormat="1" ht="15" customHeight="1">
      <c r="A12" s="910" t="s">
        <v>3527</v>
      </c>
      <c r="B12" s="909">
        <f>'Part IV-A-Uses of Funds'!$G$14</f>
        <v>6500</v>
      </c>
      <c r="C12" s="910" t="s">
        <v>1746</v>
      </c>
      <c r="D12" s="909">
        <f>'Part IV-A-Uses of Funds'!$J$14+'Part IV-A-Uses of Funds'!$M$14+'Part IV-A-Uses of Funds'!$P$14</f>
        <v>6500</v>
      </c>
      <c r="F12" s="3935"/>
      <c r="G12" s="903"/>
      <c r="H12" s="3935"/>
    </row>
    <row r="13" spans="1:14" s="3933" customFormat="1" ht="6" customHeight="1">
      <c r="A13" s="903"/>
      <c r="B13" s="904"/>
      <c r="C13" s="903"/>
      <c r="D13" s="903"/>
      <c r="F13" s="3935"/>
      <c r="G13" s="905"/>
      <c r="H13" s="3935"/>
    </row>
    <row r="14" spans="1:14" s="3933" customFormat="1" ht="41.25" customHeight="1">
      <c r="A14" s="2628" t="str">
        <f>'Part IV-A-Uses of Funds'!$C$15</f>
        <v>City of Columbus Review Fee</v>
      </c>
      <c r="B14" s="2629"/>
      <c r="C14" s="2629"/>
      <c r="D14" s="2630"/>
      <c r="F14" s="3935" t="s">
        <v>7155</v>
      </c>
      <c r="G14" s="903"/>
      <c r="H14" s="3935" t="s">
        <v>7074</v>
      </c>
    </row>
    <row r="15" spans="1:14" s="3933" customFormat="1" ht="41.25" customHeight="1">
      <c r="A15" s="2625"/>
      <c r="B15" s="2626"/>
      <c r="C15" s="2626"/>
      <c r="D15" s="2627"/>
      <c r="F15" s="3935"/>
      <c r="G15" s="903"/>
      <c r="H15" s="3935"/>
    </row>
    <row r="16" spans="1:14" s="3933" customFormat="1" ht="4.5" customHeight="1">
      <c r="F16" s="3935"/>
      <c r="G16" s="903"/>
      <c r="H16" s="3935"/>
    </row>
    <row r="17" spans="1:8" s="3933" customFormat="1" ht="15" customHeight="1">
      <c r="A17" s="910" t="s">
        <v>3527</v>
      </c>
      <c r="B17" s="909">
        <f>'Part IV-A-Uses of Funds'!$G$15</f>
        <v>6848</v>
      </c>
      <c r="C17" s="910" t="s">
        <v>1746</v>
      </c>
      <c r="D17" s="909">
        <f>'Part IV-A-Uses of Funds'!$J$15+'Part IV-A-Uses of Funds'!$M$15+'Part IV-A-Uses of Funds'!$P$15</f>
        <v>6848</v>
      </c>
      <c r="F17" s="3935"/>
      <c r="G17" s="903"/>
      <c r="H17" s="3935"/>
    </row>
    <row r="18" spans="1:8" s="3933" customFormat="1" ht="6" customHeight="1">
      <c r="A18" s="903"/>
      <c r="B18" s="904"/>
      <c r="C18" s="903"/>
      <c r="D18" s="903"/>
      <c r="F18" s="3935"/>
      <c r="G18" s="905"/>
      <c r="H18" s="3935"/>
    </row>
    <row r="19" spans="1:8" s="3933" customFormat="1" ht="41.25" customHeight="1">
      <c r="A19" s="2628" t="str">
        <f>'Part IV-A-Uses of Funds'!$C$16</f>
        <v>Asbestos and Lead Based Paint abatement and disposal</v>
      </c>
      <c r="B19" s="2629"/>
      <c r="C19" s="2629"/>
      <c r="D19" s="2630"/>
      <c r="F19" s="3935" t="s">
        <v>7182</v>
      </c>
      <c r="G19" s="903"/>
      <c r="H19" s="3935" t="s">
        <v>7183</v>
      </c>
    </row>
    <row r="20" spans="1:8" s="3933" customFormat="1" ht="41.25" customHeight="1">
      <c r="A20" s="2625"/>
      <c r="B20" s="2626"/>
      <c r="C20" s="2626"/>
      <c r="D20" s="2627"/>
      <c r="F20" s="3935"/>
      <c r="G20" s="903"/>
      <c r="H20" s="3935"/>
    </row>
    <row r="21" spans="1:8" s="3933" customFormat="1" ht="4.5" customHeight="1">
      <c r="F21" s="3935"/>
      <c r="G21" s="903"/>
      <c r="H21" s="3935"/>
    </row>
    <row r="22" spans="1:8" s="3933" customFormat="1" ht="15" customHeight="1">
      <c r="A22" s="910" t="s">
        <v>3527</v>
      </c>
      <c r="B22" s="909">
        <f>'Part IV-A-Uses of Funds'!$G$16</f>
        <v>4400</v>
      </c>
      <c r="C22" s="910" t="s">
        <v>1746</v>
      </c>
      <c r="D22" s="909">
        <f>'Part IV-A-Uses of Funds'!$J$16+'Part IV-A-Uses of Funds'!$M$16+'Part IV-A-Uses of Funds'!$P$16</f>
        <v>4400</v>
      </c>
      <c r="F22" s="3935"/>
      <c r="G22" s="903"/>
      <c r="H22" s="3935"/>
    </row>
    <row r="23" spans="1:8" s="3933" customFormat="1" ht="6" customHeight="1">
      <c r="A23" s="903"/>
      <c r="B23" s="904"/>
      <c r="C23" s="903"/>
      <c r="D23" s="903"/>
      <c r="F23" s="3936"/>
      <c r="G23" s="905"/>
      <c r="H23" s="3936"/>
    </row>
    <row r="24" spans="1:8" s="3933" customFormat="1">
      <c r="A24" s="911" t="s">
        <v>3526</v>
      </c>
      <c r="B24" s="903"/>
      <c r="C24" s="903"/>
      <c r="D24" s="903"/>
      <c r="E24" s="903"/>
      <c r="F24" s="903"/>
      <c r="G24" s="903"/>
    </row>
    <row r="25" spans="1:8" s="3933" customFormat="1" ht="41.25" customHeight="1">
      <c r="A25" s="2628" t="str">
        <f>'Part IV-A-Uses of Funds'!$C$41</f>
        <v>&lt;&lt; Enter description here; provide detail &amp; justification in tab Part IV-b &gt;&gt;</v>
      </c>
      <c r="B25" s="2629"/>
      <c r="C25" s="2629"/>
      <c r="D25" s="2630"/>
      <c r="E25" s="903"/>
      <c r="F25" s="3937"/>
      <c r="G25" s="903"/>
      <c r="H25" s="3937"/>
    </row>
    <row r="26" spans="1:8" s="3933" customFormat="1" ht="41.25" customHeight="1">
      <c r="A26" s="2625"/>
      <c r="B26" s="2626"/>
      <c r="C26" s="2626"/>
      <c r="D26" s="2627"/>
      <c r="E26" s="903"/>
      <c r="F26" s="3938"/>
      <c r="G26" s="903"/>
      <c r="H26" s="3938"/>
    </row>
    <row r="27" spans="1:8" s="3933" customFormat="1" ht="4.5" customHeight="1">
      <c r="A27" s="903"/>
      <c r="B27" s="903"/>
      <c r="C27" s="903"/>
      <c r="D27" s="903"/>
      <c r="E27" s="903"/>
      <c r="F27" s="3938"/>
      <c r="G27" s="903"/>
      <c r="H27" s="3938"/>
    </row>
    <row r="28" spans="1:8" s="3933" customFormat="1" ht="10.199999999999999">
      <c r="A28" s="910" t="s">
        <v>3527</v>
      </c>
      <c r="B28" s="909">
        <f>'Part IV-A-Uses of Funds'!$G$41</f>
        <v>0</v>
      </c>
      <c r="C28" s="910" t="s">
        <v>1746</v>
      </c>
      <c r="D28" s="909">
        <f>'Part IV-A-Uses of Funds'!$J$41+'Part IV-A-Uses of Funds'!$M$41+'Part IV-A-Uses of Funds'!$P$41</f>
        <v>0</v>
      </c>
      <c r="E28" s="903"/>
      <c r="F28" s="3938"/>
      <c r="G28" s="903"/>
      <c r="H28" s="3938"/>
    </row>
    <row r="29" spans="1:8" s="3933" customFormat="1" ht="6" customHeight="1">
      <c r="A29" s="903"/>
      <c r="B29" s="904"/>
      <c r="C29" s="903"/>
      <c r="D29" s="903"/>
      <c r="E29" s="903"/>
      <c r="F29" s="3939"/>
      <c r="G29" s="905"/>
      <c r="H29" s="3939"/>
    </row>
    <row r="30" spans="1:8" s="3933" customFormat="1">
      <c r="A30" s="911" t="s">
        <v>704</v>
      </c>
      <c r="B30" s="903"/>
      <c r="C30" s="903"/>
      <c r="D30" s="903"/>
      <c r="E30" s="903"/>
      <c r="F30" s="903"/>
      <c r="G30" s="903"/>
    </row>
    <row r="31" spans="1:8" s="3933" customFormat="1" ht="41.25" customHeight="1">
      <c r="A31" s="2622" t="str">
        <f>'Part IV-A-Uses of Funds'!$C$62</f>
        <v xml:space="preserve">Bank Miscellaneous Fees </v>
      </c>
      <c r="B31" s="2623"/>
      <c r="C31" s="2623"/>
      <c r="D31" s="2624"/>
      <c r="E31" s="903"/>
      <c r="F31" s="3934" t="s">
        <v>7075</v>
      </c>
      <c r="G31" s="903"/>
      <c r="H31" s="3934" t="s">
        <v>7073</v>
      </c>
    </row>
    <row r="32" spans="1:8" s="3933" customFormat="1" ht="41.25" customHeight="1">
      <c r="A32" s="2625"/>
      <c r="B32" s="2626"/>
      <c r="C32" s="2626"/>
      <c r="D32" s="2627"/>
      <c r="E32" s="903"/>
      <c r="F32" s="3935"/>
      <c r="G32" s="903"/>
      <c r="H32" s="3935"/>
    </row>
    <row r="33" spans="1:8" s="3933" customFormat="1" ht="4.5" customHeight="1">
      <c r="A33" s="903"/>
      <c r="B33" s="903"/>
      <c r="C33" s="903"/>
      <c r="D33" s="903"/>
      <c r="E33" s="903"/>
      <c r="F33" s="3935"/>
      <c r="G33" s="903"/>
      <c r="H33" s="3935"/>
    </row>
    <row r="34" spans="1:8" s="3933" customFormat="1" ht="14.25" customHeight="1">
      <c r="A34" s="910" t="s">
        <v>3527</v>
      </c>
      <c r="B34" s="909">
        <f>'Part IV-A-Uses of Funds'!$G$62</f>
        <v>9000</v>
      </c>
      <c r="C34" s="910" t="s">
        <v>1746</v>
      </c>
      <c r="D34" s="909">
        <f>'Part IV-A-Uses of Funds'!$J$62+'Part IV-A-Uses of Funds'!$M$62+'Part IV-A-Uses of Funds'!$P$62</f>
        <v>9000</v>
      </c>
      <c r="E34" s="903"/>
      <c r="F34" s="3935"/>
      <c r="G34" s="903"/>
      <c r="H34" s="3935"/>
    </row>
    <row r="35" spans="1:8" s="3933" customFormat="1" ht="6" customHeight="1">
      <c r="D35" s="903"/>
      <c r="E35" s="903"/>
      <c r="F35" s="3935"/>
      <c r="G35" s="905"/>
      <c r="H35" s="3935"/>
    </row>
    <row r="36" spans="1:8" s="3933" customFormat="1" ht="41.25" customHeight="1">
      <c r="A36" s="2622" t="str">
        <f>'Part IV-A-Uses of Funds'!$C$63</f>
        <v>City of Columbus Construction Period Interest</v>
      </c>
      <c r="B36" s="2623"/>
      <c r="C36" s="2623"/>
      <c r="D36" s="2624"/>
      <c r="E36" s="903"/>
      <c r="F36" s="3935" t="s">
        <v>7076</v>
      </c>
      <c r="G36" s="903"/>
      <c r="H36" s="3935" t="s">
        <v>7077</v>
      </c>
    </row>
    <row r="37" spans="1:8" s="3933" customFormat="1" ht="41.25" customHeight="1">
      <c r="A37" s="2625"/>
      <c r="B37" s="2626"/>
      <c r="C37" s="2626"/>
      <c r="D37" s="2627"/>
      <c r="E37" s="903"/>
      <c r="F37" s="3935"/>
      <c r="G37" s="903"/>
      <c r="H37" s="3935"/>
    </row>
    <row r="38" spans="1:8" s="3933" customFormat="1" ht="4.5" customHeight="1">
      <c r="A38" s="903"/>
      <c r="B38" s="903"/>
      <c r="C38" s="903"/>
      <c r="D38" s="903"/>
      <c r="E38" s="903"/>
      <c r="F38" s="3935"/>
      <c r="G38" s="903"/>
      <c r="H38" s="3935"/>
    </row>
    <row r="39" spans="1:8" s="3933" customFormat="1" ht="14.25" customHeight="1">
      <c r="A39" s="910" t="s">
        <v>3527</v>
      </c>
      <c r="B39" s="909">
        <f>'Part IV-A-Uses of Funds'!$G$63</f>
        <v>8855</v>
      </c>
      <c r="C39" s="910" t="s">
        <v>1746</v>
      </c>
      <c r="D39" s="909">
        <f>'Part IV-A-Uses of Funds'!$J$63+'Part IV-A-Uses of Funds'!$M$63+'Part IV-A-Uses of Funds'!$P$63</f>
        <v>8855</v>
      </c>
      <c r="E39" s="903"/>
      <c r="F39" s="3935"/>
      <c r="G39" s="903"/>
      <c r="H39" s="3935"/>
    </row>
    <row r="40" spans="1:8" s="3933" customFormat="1" ht="6" customHeight="1">
      <c r="D40" s="903"/>
      <c r="E40" s="903"/>
      <c r="F40" s="3936"/>
      <c r="G40" s="905"/>
      <c r="H40" s="3936"/>
    </row>
    <row r="41" spans="1:8" s="3933" customFormat="1">
      <c r="A41" s="911" t="s">
        <v>467</v>
      </c>
      <c r="B41" s="903"/>
      <c r="C41" s="903"/>
      <c r="D41" s="903"/>
      <c r="E41" s="907"/>
      <c r="F41" s="907"/>
      <c r="G41" s="903"/>
    </row>
    <row r="42" spans="1:8" s="3933" customFormat="1" ht="41.25" customHeight="1">
      <c r="A42" s="2622" t="str">
        <f>'Part IV-A-Uses of Funds'!$C$76</f>
        <v xml:space="preserve">Landscape </v>
      </c>
      <c r="B42" s="2623"/>
      <c r="C42" s="2623"/>
      <c r="D42" s="2624"/>
      <c r="F42" s="3937" t="s">
        <v>7078</v>
      </c>
      <c r="G42" s="903"/>
      <c r="H42" s="3937" t="s">
        <v>7079</v>
      </c>
    </row>
    <row r="43" spans="1:8" s="3933" customFormat="1" ht="41.25" customHeight="1">
      <c r="A43" s="2625"/>
      <c r="B43" s="2626"/>
      <c r="C43" s="2626"/>
      <c r="D43" s="2627"/>
      <c r="E43" s="903"/>
      <c r="F43" s="3938"/>
      <c r="G43" s="903"/>
      <c r="H43" s="3938"/>
    </row>
    <row r="44" spans="1:8" s="3933" customFormat="1" ht="4.5" customHeight="1">
      <c r="A44" s="903"/>
      <c r="B44" s="903"/>
      <c r="C44" s="903"/>
      <c r="D44" s="903"/>
      <c r="E44" s="903"/>
      <c r="F44" s="3938"/>
      <c r="G44" s="903"/>
      <c r="H44" s="3938"/>
    </row>
    <row r="45" spans="1:8" s="3933" customFormat="1" ht="13.5" customHeight="1">
      <c r="A45" s="910" t="s">
        <v>3527</v>
      </c>
      <c r="B45" s="909">
        <f>'Part IV-A-Uses of Funds'!$G$76</f>
        <v>6500</v>
      </c>
      <c r="C45" s="910" t="s">
        <v>1746</v>
      </c>
      <c r="D45" s="909">
        <f>'Part IV-A-Uses of Funds'!$J$76+'Part IV-A-Uses of Funds'!$M$76+'Part IV-A-Uses of Funds'!$P$76</f>
        <v>6500</v>
      </c>
      <c r="E45" s="903"/>
      <c r="F45" s="3938"/>
      <c r="G45" s="903"/>
      <c r="H45" s="3938"/>
    </row>
    <row r="46" spans="1:8" s="3933" customFormat="1" ht="6" customHeight="1">
      <c r="A46" s="903"/>
      <c r="B46" s="904"/>
      <c r="C46" s="903"/>
      <c r="D46" s="903"/>
      <c r="E46" s="903"/>
      <c r="F46" s="3939"/>
      <c r="G46" s="905"/>
      <c r="H46" s="3939"/>
    </row>
    <row r="47" spans="1:8" s="3933" customFormat="1">
      <c r="A47" s="911" t="s">
        <v>706</v>
      </c>
      <c r="B47" s="903"/>
      <c r="C47" s="903"/>
      <c r="D47" s="903"/>
      <c r="E47" s="903"/>
      <c r="F47" s="903"/>
      <c r="G47" s="903"/>
    </row>
    <row r="48" spans="1:8" s="3933" customFormat="1" ht="41.25" customHeight="1">
      <c r="A48" s="2622" t="str">
        <f>'Part IV-A-Uses of Funds'!$C$90</f>
        <v>Intangible Taxes</v>
      </c>
      <c r="B48" s="2623"/>
      <c r="C48" s="2623"/>
      <c r="D48" s="2624"/>
      <c r="F48" s="3937" t="s">
        <v>7157</v>
      </c>
      <c r="G48" s="903"/>
    </row>
    <row r="49" spans="1:7" s="3933" customFormat="1" ht="41.25" customHeight="1">
      <c r="A49" s="2625"/>
      <c r="B49" s="2626"/>
      <c r="C49" s="2626"/>
      <c r="D49" s="2627"/>
      <c r="E49" s="903"/>
      <c r="F49" s="3938"/>
      <c r="G49" s="903"/>
    </row>
    <row r="50" spans="1:7" s="3933" customFormat="1" ht="3" customHeight="1">
      <c r="A50" s="903"/>
      <c r="B50" s="903"/>
      <c r="C50" s="903"/>
      <c r="D50" s="903"/>
      <c r="E50" s="903"/>
      <c r="F50" s="3938"/>
      <c r="G50" s="903"/>
    </row>
    <row r="51" spans="1:7" s="3933" customFormat="1" ht="13.5" customHeight="1">
      <c r="A51" s="910" t="s">
        <v>3527</v>
      </c>
      <c r="B51" s="909">
        <f>'Part IV-A-Uses of Funds'!$G$90</f>
        <v>2790</v>
      </c>
      <c r="C51" s="906"/>
      <c r="D51" s="906"/>
      <c r="E51" s="903"/>
      <c r="F51" s="3938"/>
      <c r="G51" s="903"/>
    </row>
    <row r="52" spans="1:7" s="3933" customFormat="1" ht="3.75" customHeight="1">
      <c r="A52" s="903"/>
      <c r="B52" s="903"/>
      <c r="C52" s="903"/>
      <c r="D52" s="903"/>
      <c r="E52" s="903"/>
      <c r="F52" s="3939"/>
      <c r="G52" s="905"/>
    </row>
    <row r="53" spans="1:7" s="3933" customFormat="1">
      <c r="A53" s="911" t="s">
        <v>3528</v>
      </c>
      <c r="B53" s="903"/>
      <c r="C53" s="903"/>
      <c r="D53" s="903"/>
      <c r="E53" s="903"/>
      <c r="F53" s="903"/>
      <c r="G53" s="903"/>
    </row>
    <row r="54" spans="1:7" s="3933" customFormat="1" ht="41.25" customHeight="1">
      <c r="A54" s="2622" t="str">
        <f>'Part IV-A-Uses of Funds'!$C$103</f>
        <v>&lt;&lt; Enter description here; provide detail &amp; justification in tab Part IV-b &gt;&gt;</v>
      </c>
      <c r="B54" s="2623"/>
      <c r="C54" s="2623"/>
      <c r="D54" s="2624"/>
      <c r="F54" s="3934"/>
      <c r="G54" s="903"/>
    </row>
    <row r="55" spans="1:7" s="3933" customFormat="1" ht="41.25" customHeight="1">
      <c r="A55" s="2625"/>
      <c r="B55" s="2626"/>
      <c r="C55" s="2626"/>
      <c r="D55" s="2627"/>
      <c r="E55" s="903"/>
      <c r="F55" s="3935"/>
      <c r="G55" s="903"/>
    </row>
    <row r="56" spans="1:7" s="3933" customFormat="1" ht="3" customHeight="1">
      <c r="A56" s="903"/>
      <c r="B56" s="903"/>
      <c r="C56" s="903"/>
      <c r="D56" s="903"/>
      <c r="E56" s="903"/>
      <c r="F56" s="3935"/>
      <c r="G56" s="903"/>
    </row>
    <row r="57" spans="1:7" s="3933" customFormat="1" ht="10.199999999999999">
      <c r="A57" s="910" t="s">
        <v>3527</v>
      </c>
      <c r="B57" s="909">
        <f>'Part IV-A-Uses of Funds'!$G$103</f>
        <v>0</v>
      </c>
      <c r="C57" s="906"/>
      <c r="D57" s="906"/>
      <c r="E57" s="903"/>
      <c r="F57" s="3935"/>
      <c r="G57" s="903"/>
    </row>
    <row r="58" spans="1:7" s="3933" customFormat="1" ht="3.75" customHeight="1">
      <c r="A58" s="902"/>
      <c r="B58" s="902"/>
      <c r="C58" s="902"/>
      <c r="D58" s="902"/>
      <c r="E58" s="902"/>
      <c r="F58" s="3935"/>
      <c r="G58" s="905"/>
    </row>
    <row r="59" spans="1:7" s="3933" customFormat="1" ht="41.25" customHeight="1">
      <c r="A59" s="2622" t="str">
        <f>'Part IV-A-Uses of Funds'!$C$104</f>
        <v>&lt;&lt; Enter description here; provide detail &amp; justification in tab Part IV-b &gt;&gt;</v>
      </c>
      <c r="B59" s="2623"/>
      <c r="C59" s="2623"/>
      <c r="D59" s="2624"/>
      <c r="F59" s="3935"/>
      <c r="G59" s="903"/>
    </row>
    <row r="60" spans="1:7" s="3933" customFormat="1" ht="41.25" customHeight="1">
      <c r="A60" s="2625"/>
      <c r="B60" s="2626"/>
      <c r="C60" s="2626"/>
      <c r="D60" s="2627"/>
      <c r="E60" s="903"/>
      <c r="F60" s="3935"/>
      <c r="G60" s="903"/>
    </row>
    <row r="61" spans="1:7" s="3933" customFormat="1" ht="3" customHeight="1">
      <c r="A61" s="903"/>
      <c r="B61" s="903"/>
      <c r="C61" s="903"/>
      <c r="D61" s="903"/>
      <c r="E61" s="903"/>
      <c r="F61" s="3935"/>
      <c r="G61" s="903"/>
    </row>
    <row r="62" spans="1:7" s="3933" customFormat="1" ht="10.199999999999999">
      <c r="A62" s="910" t="s">
        <v>3527</v>
      </c>
      <c r="B62" s="909">
        <f>'Part IV-A-Uses of Funds'!$G$104</f>
        <v>0</v>
      </c>
      <c r="C62" s="906"/>
      <c r="D62" s="906"/>
      <c r="E62" s="903"/>
      <c r="F62" s="3935"/>
      <c r="G62" s="903"/>
    </row>
    <row r="63" spans="1:7" s="3933" customFormat="1" ht="3.75" customHeight="1">
      <c r="A63" s="902"/>
      <c r="B63" s="902"/>
      <c r="C63" s="902"/>
      <c r="D63" s="902"/>
      <c r="E63" s="902"/>
      <c r="F63" s="3936"/>
      <c r="G63" s="905"/>
    </row>
    <row r="64" spans="1:7" s="3933" customFormat="1">
      <c r="A64" s="911" t="s">
        <v>3529</v>
      </c>
      <c r="B64" s="903"/>
      <c r="C64" s="903"/>
      <c r="D64" s="903"/>
      <c r="E64" s="903"/>
      <c r="F64" s="903"/>
      <c r="G64" s="903"/>
    </row>
    <row r="65" spans="1:8" s="3933" customFormat="1" ht="41.25" customHeight="1">
      <c r="A65" s="2622" t="str">
        <f>'Part IV-A-Uses of Funds'!$C$110</f>
        <v>&lt;&lt; Enter description here; provide detail &amp; justification in tab Part IV-b &gt;&gt;</v>
      </c>
      <c r="B65" s="2623"/>
      <c r="C65" s="2623"/>
      <c r="D65" s="2624"/>
      <c r="F65" s="3937"/>
      <c r="G65" s="903"/>
    </row>
    <row r="66" spans="1:8" s="3933" customFormat="1" ht="41.25" customHeight="1">
      <c r="A66" s="2625"/>
      <c r="B66" s="2626"/>
      <c r="C66" s="2626"/>
      <c r="D66" s="2627"/>
      <c r="E66" s="903"/>
      <c r="F66" s="3938"/>
      <c r="G66" s="903"/>
    </row>
    <row r="67" spans="1:8" s="3933" customFormat="1" ht="3" customHeight="1">
      <c r="A67" s="903"/>
      <c r="B67" s="903"/>
      <c r="C67" s="903"/>
      <c r="D67" s="903"/>
      <c r="E67" s="903"/>
      <c r="F67" s="3938"/>
      <c r="G67" s="903"/>
    </row>
    <row r="68" spans="1:8" s="3933" customFormat="1" ht="10.199999999999999">
      <c r="A68" s="910" t="s">
        <v>3527</v>
      </c>
      <c r="B68" s="909">
        <f>'Part IV-A-Uses of Funds'!$G$110</f>
        <v>0</v>
      </c>
      <c r="C68" s="906"/>
      <c r="D68" s="906"/>
      <c r="E68" s="903"/>
      <c r="F68" s="3938"/>
      <c r="G68" s="903"/>
    </row>
    <row r="69" spans="1:8" s="3933" customFormat="1" ht="3.75" customHeight="1">
      <c r="A69" s="903"/>
      <c r="B69" s="904"/>
      <c r="C69" s="903"/>
      <c r="D69" s="903"/>
      <c r="E69" s="903"/>
      <c r="F69" s="3939"/>
      <c r="G69" s="905"/>
    </row>
    <row r="70" spans="1:8" s="3933" customFormat="1">
      <c r="A70" s="911" t="s">
        <v>1282</v>
      </c>
      <c r="B70" s="903"/>
      <c r="C70" s="903"/>
      <c r="D70" s="903"/>
      <c r="E70" s="903"/>
      <c r="F70" s="903"/>
      <c r="G70" s="903"/>
    </row>
    <row r="71" spans="1:8" s="3933" customFormat="1" ht="41.25" customHeight="1">
      <c r="A71" s="2622" t="str">
        <f>'Part IV-A-Uses of Funds'!$C$125</f>
        <v>&lt;&lt; Enter description here; provide detail &amp; justification in tab Part IV-b &gt;&gt;</v>
      </c>
      <c r="B71" s="2623"/>
      <c r="C71" s="2623"/>
      <c r="D71" s="2624"/>
      <c r="F71" s="3937"/>
      <c r="G71" s="903"/>
      <c r="H71" s="3937"/>
    </row>
    <row r="72" spans="1:8" s="3933" customFormat="1" ht="41.25" customHeight="1">
      <c r="A72" s="2625"/>
      <c r="B72" s="2626"/>
      <c r="C72" s="2626"/>
      <c r="D72" s="2627"/>
      <c r="E72" s="903"/>
      <c r="F72" s="3938"/>
      <c r="G72" s="903"/>
      <c r="H72" s="3938"/>
    </row>
    <row r="73" spans="1:8" s="3933" customFormat="1" ht="4.5" customHeight="1">
      <c r="A73" s="903"/>
      <c r="B73" s="903"/>
      <c r="C73" s="903"/>
      <c r="D73" s="903"/>
      <c r="E73" s="903"/>
      <c r="F73" s="3938"/>
      <c r="G73" s="903"/>
      <c r="H73" s="3938"/>
    </row>
    <row r="74" spans="1:8" s="3933" customFormat="1" ht="12.75" customHeight="1">
      <c r="A74" s="910" t="s">
        <v>3527</v>
      </c>
      <c r="B74" s="909">
        <f>'Part IV-A-Uses of Funds'!$G$125</f>
        <v>0</v>
      </c>
      <c r="C74" s="910" t="s">
        <v>1746</v>
      </c>
      <c r="D74" s="909">
        <f>'Part IV-A-Uses of Funds'!$J$125+'Part IV-A-Uses of Funds'!$M$125+'Part IV-A-Uses of Funds'!$P$125</f>
        <v>0</v>
      </c>
      <c r="E74" s="903"/>
      <c r="F74" s="3938"/>
      <c r="G74" s="903"/>
      <c r="H74" s="3938"/>
    </row>
    <row r="75" spans="1:8" s="3933" customFormat="1" ht="6" customHeight="1">
      <c r="A75" s="903"/>
      <c r="B75" s="904"/>
      <c r="C75" s="903"/>
      <c r="D75" s="903"/>
      <c r="E75" s="903"/>
      <c r="F75" s="3939"/>
      <c r="G75" s="905"/>
      <c r="H75" s="3939"/>
    </row>
    <row r="76" spans="1:8" s="3933" customFormat="1">
      <c r="A76" s="911" t="s">
        <v>3530</v>
      </c>
      <c r="B76" s="904"/>
      <c r="C76" s="903"/>
      <c r="D76" s="903"/>
      <c r="E76" s="903"/>
      <c r="F76" s="903"/>
      <c r="G76" s="905"/>
    </row>
    <row r="77" spans="1:8" s="3933" customFormat="1" ht="41.25" customHeight="1">
      <c r="A77" s="2622">
        <f>'Part IV-A-Uses of Funds'!$C$129</f>
        <v>0</v>
      </c>
      <c r="B77" s="2623"/>
      <c r="C77" s="2623"/>
      <c r="D77" s="2624"/>
      <c r="F77" s="3937"/>
      <c r="G77" s="903"/>
      <c r="H77" s="3937"/>
    </row>
    <row r="78" spans="1:8" s="3933" customFormat="1" ht="41.25" customHeight="1">
      <c r="A78" s="2625"/>
      <c r="B78" s="2626"/>
      <c r="C78" s="2626"/>
      <c r="D78" s="2627"/>
      <c r="E78" s="903"/>
      <c r="F78" s="3938"/>
      <c r="G78" s="903"/>
      <c r="H78" s="3938"/>
    </row>
    <row r="79" spans="1:8" s="3933" customFormat="1" ht="4.5" customHeight="1">
      <c r="A79" s="903"/>
      <c r="B79" s="903"/>
      <c r="C79" s="903"/>
      <c r="D79" s="903"/>
      <c r="E79" s="903"/>
      <c r="F79" s="3938"/>
      <c r="G79" s="903"/>
      <c r="H79" s="3938"/>
    </row>
    <row r="80" spans="1:8" s="3933" customFormat="1" ht="12.75" customHeight="1">
      <c r="A80" s="910" t="s">
        <v>3527</v>
      </c>
      <c r="B80" s="909">
        <f>'Part IV-A-Uses of Funds'!$G$129</f>
        <v>0</v>
      </c>
      <c r="C80" s="910" t="s">
        <v>1746</v>
      </c>
      <c r="D80" s="909">
        <f>'Part IV-A-Uses of Funds'!$J$129+'Part IV-A-Uses of Funds'!$M$129+'Part IV-A-Uses of Funds'!$P$129</f>
        <v>0</v>
      </c>
      <c r="E80" s="908"/>
      <c r="F80" s="3938"/>
      <c r="G80" s="903"/>
      <c r="H80" s="3938"/>
    </row>
    <row r="81" spans="4:8" s="3933" customFormat="1" ht="6" customHeight="1">
      <c r="D81" s="3940"/>
      <c r="E81" s="3941"/>
      <c r="F81" s="3939"/>
      <c r="G81" s="905"/>
      <c r="H81" s="3939"/>
    </row>
    <row r="82" spans="4:8" s="3933" customFormat="1" ht="10.199999999999999"/>
    <row r="83" spans="4:8" s="3933" customFormat="1" ht="10.199999999999999"/>
    <row r="84" spans="4:8" s="3933" customFormat="1" ht="10.199999999999999"/>
    <row r="85" spans="4:8" s="3933" customFormat="1" ht="10.199999999999999"/>
    <row r="86" spans="4:8" s="3933" customFormat="1" ht="10.199999999999999"/>
    <row r="87" spans="4:8" s="3933" customFormat="1" ht="10.199999999999999"/>
    <row r="88" spans="4:8" s="3933" customFormat="1" ht="10.199999999999999"/>
    <row r="89" spans="4:8" s="3933" customFormat="1" ht="10.199999999999999"/>
    <row r="90" spans="4:8" s="3933" customFormat="1" ht="10.199999999999999"/>
    <row r="91" spans="4:8" s="3933" customFormat="1" ht="10.199999999999999"/>
    <row r="92" spans="4:8" s="3933" customFormat="1" ht="10.199999999999999"/>
  </sheetData>
  <sheetProtection algorithmName="SHA-512" hashValue="QSqPokEYCUsbppSJOaavHaA8Cm+gBnzVG8Dk7UgwkkFv7/k1N1WYTfICj603/I1Eho/Bw3ahp6QSZE4mLWBIvw==" saltValue="dR9iobjEtL9IjBpNybqc2g==" spinCount="100000" sheet="1" objects="1" scenarios="1" selectLockedCells="1" selectUnlockedCells="1"/>
  <mergeCells count="38">
    <mergeCell ref="A1:H1"/>
    <mergeCell ref="A3:H3"/>
    <mergeCell ref="A5:D5"/>
    <mergeCell ref="A9:D10"/>
    <mergeCell ref="F9:F13"/>
    <mergeCell ref="H9:H13"/>
    <mergeCell ref="A14:D15"/>
    <mergeCell ref="F14:F18"/>
    <mergeCell ref="H14:H18"/>
    <mergeCell ref="A19:D20"/>
    <mergeCell ref="F19:F23"/>
    <mergeCell ref="H19:H23"/>
    <mergeCell ref="A25:D26"/>
    <mergeCell ref="F25:F29"/>
    <mergeCell ref="H25:H29"/>
    <mergeCell ref="A31:D32"/>
    <mergeCell ref="F31:F35"/>
    <mergeCell ref="H31:H35"/>
    <mergeCell ref="A36:D37"/>
    <mergeCell ref="F36:F40"/>
    <mergeCell ref="H36:H40"/>
    <mergeCell ref="A42:D43"/>
    <mergeCell ref="F42:F46"/>
    <mergeCell ref="H42:H46"/>
    <mergeCell ref="A77:D78"/>
    <mergeCell ref="F77:F81"/>
    <mergeCell ref="H77:H81"/>
    <mergeCell ref="A48:D49"/>
    <mergeCell ref="F48:F52"/>
    <mergeCell ref="A54:D55"/>
    <mergeCell ref="F54:F58"/>
    <mergeCell ref="A59:D60"/>
    <mergeCell ref="F59:F63"/>
    <mergeCell ref="A65:D66"/>
    <mergeCell ref="F65:F69"/>
    <mergeCell ref="A71:D72"/>
    <mergeCell ref="F71:F75"/>
    <mergeCell ref="H71:H75"/>
  </mergeCells>
  <printOptions horizontalCentered="1"/>
  <pageMargins left="0.25" right="0.25" top="0.65" bottom="0.5" header="0.3" footer="0.3"/>
  <pageSetup scale="10"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rowBreaks count="3" manualBreakCount="3">
    <brk id="23" max="16383" man="1"/>
    <brk id="46" max="16383" man="1"/>
    <brk id="69" max="16383" man="1"/>
  </rowBreaks>
  <legacyDrawingHF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33">
    <pageSetUpPr fitToPage="1"/>
  </sheetPr>
  <dimension ref="A1:T46"/>
  <sheetViews>
    <sheetView showGridLines="0" zoomScaleNormal="100" workbookViewId="0">
      <selection sqref="A1:XFD1048576"/>
    </sheetView>
  </sheetViews>
  <sheetFormatPr defaultColWidth="8.88671875" defaultRowHeight="13.2"/>
  <cols>
    <col min="1" max="1" width="2.109375" style="27" customWidth="1"/>
    <col min="2" max="3" width="8.88671875" style="27"/>
    <col min="4" max="4" width="12.88671875" style="27" customWidth="1"/>
    <col min="5" max="5" width="9.44140625" style="27" customWidth="1"/>
    <col min="6" max="7" width="9.88671875" style="27" customWidth="1"/>
    <col min="8" max="8" width="8.109375" style="27" customWidth="1"/>
    <col min="9" max="13" width="10.88671875" style="27" customWidth="1"/>
    <col min="14" max="14" width="3" style="27" customWidth="1"/>
    <col min="15" max="17" width="8.88671875" style="27"/>
    <col min="18" max="18" width="8.88671875" style="27" customWidth="1"/>
    <col min="19" max="16384" width="8.88671875" style="27"/>
  </cols>
  <sheetData>
    <row r="1" spans="1:20" s="8" customFormat="1" ht="14.1" customHeight="1">
      <c r="A1" s="2637" t="str">
        <f>CONCATENATE("PART FIVE - UTILITY ALLOWANCES","  -  ",'Part I-Project Information'!$O$6," ",'Part I-Project Information'!$F$34,", ",'Part I-Project Information'!F38,", ",'Part I-Project Information'!J39," County")</f>
        <v>PART FIVE - UTILITY ALLOWANCES  -  2020-074 Harper Woods II, Columbus, Muscogee County</v>
      </c>
      <c r="B1" s="2638"/>
      <c r="C1" s="2638"/>
      <c r="D1" s="2638"/>
      <c r="E1" s="2638"/>
      <c r="F1" s="2638"/>
      <c r="G1" s="2638"/>
      <c r="H1" s="2638"/>
      <c r="I1" s="2638"/>
      <c r="J1" s="2638"/>
      <c r="K1" s="2638"/>
      <c r="L1" s="2638"/>
      <c r="M1" s="2638"/>
      <c r="N1" s="10"/>
      <c r="O1" s="10"/>
      <c r="P1" s="10"/>
      <c r="Q1" s="10"/>
      <c r="R1" s="16"/>
      <c r="S1" s="16"/>
      <c r="T1" s="16"/>
    </row>
    <row r="2" spans="1:20" s="8" customFormat="1" ht="7.5" customHeight="1"/>
    <row r="3" spans="1:20" s="8" customFormat="1" ht="12.75" customHeight="1">
      <c r="B3" s="2639" t="str">
        <f>'Part I-Project Information'!$B$6</f>
        <v>May 26, 2020 Version</v>
      </c>
      <c r="C3" s="2639"/>
      <c r="D3" s="2639"/>
      <c r="E3" s="2639"/>
      <c r="F3" s="4" t="s">
        <v>4116</v>
      </c>
      <c r="I3" s="2372" t="str">
        <f>VLOOKUP('Part I-Project Information'!$J$39,'DCA Underwriting Assumptions'!$G$173:$H$332,2)</f>
        <v>Local PHA</v>
      </c>
    </row>
    <row r="4" spans="1:20" s="8" customFormat="1" ht="6" customHeight="1"/>
    <row r="5" spans="1:20">
      <c r="A5" s="251" t="s">
        <v>3610</v>
      </c>
    </row>
    <row r="6" spans="1:20" ht="6" customHeight="1">
      <c r="A6" s="8"/>
    </row>
    <row r="7" spans="1:20" s="8" customFormat="1">
      <c r="A7" s="13" t="s">
        <v>598</v>
      </c>
      <c r="B7" s="13" t="s">
        <v>2171</v>
      </c>
      <c r="F7" s="1" t="s">
        <v>2453</v>
      </c>
      <c r="G7" s="1"/>
      <c r="H7" s="1"/>
      <c r="I7" s="3942" t="s">
        <v>7080</v>
      </c>
      <c r="J7" s="3943"/>
      <c r="K7" s="3943"/>
      <c r="L7" s="3943"/>
      <c r="M7" s="3944"/>
    </row>
    <row r="8" spans="1:20" s="8" customFormat="1" ht="13.35" customHeight="1">
      <c r="A8" s="13"/>
      <c r="F8" s="1" t="s">
        <v>618</v>
      </c>
      <c r="G8" s="1"/>
      <c r="H8" s="33"/>
      <c r="I8" s="3945">
        <v>43658</v>
      </c>
      <c r="J8" s="3946"/>
      <c r="K8" s="6" t="s">
        <v>525</v>
      </c>
      <c r="L8" s="3947" t="s">
        <v>7081</v>
      </c>
      <c r="M8" s="3948"/>
    </row>
    <row r="9" spans="1:20" s="8" customFormat="1" ht="4.5" customHeight="1">
      <c r="A9" s="13"/>
    </row>
    <row r="10" spans="1:20" s="13" customFormat="1">
      <c r="B10" s="245"/>
      <c r="C10" s="245"/>
      <c r="D10" s="245"/>
      <c r="E10" s="245"/>
      <c r="F10" s="2635" t="s">
        <v>592</v>
      </c>
      <c r="G10" s="2635"/>
      <c r="I10" s="2636" t="s">
        <v>196</v>
      </c>
      <c r="J10" s="2636"/>
      <c r="K10" s="2636"/>
      <c r="L10" s="2636"/>
      <c r="M10" s="2636"/>
    </row>
    <row r="11" spans="1:20" s="13" customFormat="1">
      <c r="B11" s="245" t="s">
        <v>778</v>
      </c>
      <c r="D11" s="245" t="s">
        <v>1566</v>
      </c>
      <c r="F11" s="2370" t="s">
        <v>624</v>
      </c>
      <c r="G11" s="2370" t="s">
        <v>1804</v>
      </c>
      <c r="I11" s="246" t="s">
        <v>551</v>
      </c>
      <c r="J11" s="247">
        <v>1</v>
      </c>
      <c r="K11" s="247">
        <v>2</v>
      </c>
      <c r="L11" s="247">
        <v>3</v>
      </c>
      <c r="M11" s="247">
        <v>4</v>
      </c>
    </row>
    <row r="12" spans="1:20" s="8" customFormat="1" ht="12" customHeight="1">
      <c r="B12" s="1539" t="s">
        <v>1806</v>
      </c>
      <c r="C12" s="1540"/>
      <c r="D12" s="3949" t="s">
        <v>7082</v>
      </c>
      <c r="E12" s="3950"/>
      <c r="F12" s="3951" t="s">
        <v>433</v>
      </c>
      <c r="G12" s="3951"/>
      <c r="H12" s="993"/>
      <c r="I12" s="3952"/>
      <c r="J12" s="3952">
        <v>12</v>
      </c>
      <c r="K12" s="3952">
        <v>15</v>
      </c>
      <c r="L12" s="3952"/>
      <c r="M12" s="3952"/>
      <c r="O12" s="2634" t="s">
        <v>3622</v>
      </c>
      <c r="P12" s="2634"/>
    </row>
    <row r="13" spans="1:20" s="8" customFormat="1" ht="12" customHeight="1">
      <c r="B13" s="1541" t="s">
        <v>1564</v>
      </c>
      <c r="C13" s="1542"/>
      <c r="D13" s="3953" t="s">
        <v>1563</v>
      </c>
      <c r="E13" s="3954"/>
      <c r="F13" s="3955" t="s">
        <v>433</v>
      </c>
      <c r="G13" s="3955"/>
      <c r="H13" s="992"/>
      <c r="I13" s="3956"/>
      <c r="J13" s="3956">
        <v>10</v>
      </c>
      <c r="K13" s="3956">
        <v>12</v>
      </c>
      <c r="L13" s="3957"/>
      <c r="M13" s="3957"/>
      <c r="O13" s="2634"/>
      <c r="P13" s="2634"/>
    </row>
    <row r="14" spans="1:20" s="8" customFormat="1" ht="12" customHeight="1">
      <c r="B14" s="1543" t="s">
        <v>1565</v>
      </c>
      <c r="C14" s="1544"/>
      <c r="D14" s="3953" t="s">
        <v>1563</v>
      </c>
      <c r="E14" s="3954"/>
      <c r="F14" s="3955"/>
      <c r="G14" s="3955"/>
      <c r="H14" s="248"/>
      <c r="I14" s="3956"/>
      <c r="J14" s="3956">
        <v>17</v>
      </c>
      <c r="K14" s="3956">
        <v>24</v>
      </c>
      <c r="L14" s="3957"/>
      <c r="M14" s="3957"/>
      <c r="O14" s="2634"/>
      <c r="P14" s="2634"/>
    </row>
    <row r="15" spans="1:20" s="8" customFormat="1" ht="12" customHeight="1">
      <c r="B15" s="1545" t="s">
        <v>458</v>
      </c>
      <c r="C15" s="1546"/>
      <c r="D15" s="1545" t="s">
        <v>1563</v>
      </c>
      <c r="E15" s="249"/>
      <c r="F15" s="3955" t="s">
        <v>433</v>
      </c>
      <c r="G15" s="3955"/>
      <c r="H15" s="991"/>
      <c r="I15" s="3956"/>
      <c r="J15" s="3956">
        <v>19</v>
      </c>
      <c r="K15" s="3956">
        <v>24</v>
      </c>
      <c r="L15" s="3957"/>
      <c r="M15" s="3957"/>
      <c r="O15" s="2634"/>
      <c r="P15" s="2634"/>
    </row>
    <row r="16" spans="1:20" s="8" customFormat="1" ht="12" customHeight="1">
      <c r="B16" s="1547" t="s">
        <v>3607</v>
      </c>
      <c r="C16" s="1542"/>
      <c r="D16" s="1541" t="s">
        <v>1563</v>
      </c>
      <c r="E16" s="990"/>
      <c r="F16" s="3955"/>
      <c r="G16" s="3955"/>
      <c r="H16" s="992"/>
      <c r="I16" s="3956"/>
      <c r="J16" s="3956"/>
      <c r="K16" s="3956"/>
      <c r="L16" s="3957"/>
      <c r="M16" s="3957"/>
      <c r="O16" s="2634"/>
      <c r="P16" s="2634"/>
    </row>
    <row r="17" spans="1:19" s="8" customFormat="1" ht="12" customHeight="1">
      <c r="B17" s="1547" t="s">
        <v>3608</v>
      </c>
      <c r="C17" s="1542"/>
      <c r="D17" s="1541" t="s">
        <v>1563</v>
      </c>
      <c r="E17" s="990"/>
      <c r="F17" s="3955"/>
      <c r="G17" s="3955"/>
      <c r="H17" s="992"/>
      <c r="I17" s="3956"/>
      <c r="J17" s="3956"/>
      <c r="K17" s="3956"/>
      <c r="L17" s="3957"/>
      <c r="M17" s="3957"/>
      <c r="O17" s="2634"/>
      <c r="P17" s="2634"/>
    </row>
    <row r="18" spans="1:19" s="8" customFormat="1" ht="12" customHeight="1">
      <c r="B18" s="1548" t="s">
        <v>3609</v>
      </c>
      <c r="C18" s="1544"/>
      <c r="D18" s="1543" t="s">
        <v>1563</v>
      </c>
      <c r="E18" s="990"/>
      <c r="F18" s="3955" t="s">
        <v>433</v>
      </c>
      <c r="G18" s="3955"/>
      <c r="H18" s="248"/>
      <c r="I18" s="3956"/>
      <c r="J18" s="3956">
        <v>32</v>
      </c>
      <c r="K18" s="3956">
        <v>36</v>
      </c>
      <c r="L18" s="3957"/>
      <c r="M18" s="3957"/>
      <c r="O18" s="2634"/>
      <c r="P18" s="2634"/>
    </row>
    <row r="19" spans="1:19" s="8" customFormat="1" ht="12" customHeight="1">
      <c r="B19" s="1545" t="s">
        <v>1343</v>
      </c>
      <c r="C19" s="1546"/>
      <c r="D19" s="1551" t="s">
        <v>3350</v>
      </c>
      <c r="E19" s="3958" t="s">
        <v>2886</v>
      </c>
      <c r="F19" s="3955" t="s">
        <v>433</v>
      </c>
      <c r="G19" s="3955"/>
      <c r="H19" s="991"/>
      <c r="I19" s="3956"/>
      <c r="J19" s="3956">
        <v>31</v>
      </c>
      <c r="K19" s="3956">
        <v>40</v>
      </c>
      <c r="L19" s="3957"/>
      <c r="M19" s="3957"/>
      <c r="O19" s="2634"/>
      <c r="P19" s="2634"/>
    </row>
    <row r="20" spans="1:19" s="8" customFormat="1" ht="12" customHeight="1">
      <c r="B20" s="1549" t="s">
        <v>1805</v>
      </c>
      <c r="C20" s="1550"/>
      <c r="D20" s="250"/>
      <c r="E20" s="222"/>
      <c r="F20" s="3955"/>
      <c r="G20" s="3955" t="s">
        <v>433</v>
      </c>
      <c r="H20" s="992"/>
      <c r="I20" s="3956"/>
      <c r="J20" s="3956"/>
      <c r="K20" s="3956"/>
      <c r="L20" s="3957"/>
      <c r="M20" s="3957"/>
      <c r="O20" s="2634"/>
      <c r="P20" s="2634"/>
    </row>
    <row r="21" spans="1:19" s="8" customFormat="1" ht="12" customHeight="1">
      <c r="B21" s="1549" t="s">
        <v>723</v>
      </c>
      <c r="C21" s="3044"/>
      <c r="D21" s="3045"/>
      <c r="E21" s="3046"/>
      <c r="F21" s="3959"/>
      <c r="G21" s="3959"/>
      <c r="H21" s="994"/>
      <c r="I21" s="3960"/>
      <c r="J21" s="3960"/>
      <c r="K21" s="3960"/>
      <c r="L21" s="3961"/>
      <c r="M21" s="3961"/>
      <c r="O21" s="2634"/>
      <c r="P21" s="2634"/>
    </row>
    <row r="22" spans="1:19" s="8" customFormat="1">
      <c r="B22" s="245" t="s">
        <v>998</v>
      </c>
      <c r="D22" s="27"/>
      <c r="E22" s="27"/>
      <c r="F22" s="80"/>
      <c r="G22" s="80"/>
      <c r="I22" s="150">
        <f>IF(SUM(I12:I21)=0,0,IF(OR($D12="&lt;&lt;Select Fuel &gt;&gt;",$D13="&lt;&lt;Select Fuel &gt;&gt;",$D14="&lt;&lt;Select Fuel &gt;&gt;"),"Select Fuel",IF($E19="&lt;Select&gt;","Submeter?",SUM(I12:I21))))</f>
        <v>0</v>
      </c>
      <c r="J22" s="150">
        <f>IF(SUM(J12:J21)=0,0,IF(OR($D12="&lt;&lt;Select Fuel &gt;&gt;",$D13="&lt;&lt;Select Fuel &gt;&gt;",$D14="&lt;&lt;Select Fuel &gt;&gt;"),"Select Fuel",IF($E19="&lt;Select&gt;","Submeter?",SUM(J12:J21))))</f>
        <v>121</v>
      </c>
      <c r="K22" s="150">
        <f>IF(SUM(K12:K21)=0,0,IF(OR($D12="&lt;&lt;Select Fuel &gt;&gt;",$D13="&lt;&lt;Select Fuel &gt;&gt;",$D14="&lt;&lt;Select Fuel &gt;&gt;"),"Select Fuel",IF($E19="&lt;Select&gt;","Submeter?",SUM(K12:K21))))</f>
        <v>151</v>
      </c>
      <c r="L22" s="150">
        <f>IF(SUM(L12:L21)=0,0,IF(OR($D12="&lt;&lt;Select Fuel &gt;&gt;",$D13="&lt;&lt;Select Fuel &gt;&gt;",$D14="&lt;&lt;Select Fuel &gt;&gt;"),"Select Fuel",IF($E19="&lt;Select&gt;","Submeter?",SUM(L12:L21))))</f>
        <v>0</v>
      </c>
      <c r="M22" s="150">
        <f>IF(SUM(M12:M21)=0,0,IF(OR($D12="&lt;&lt;Select Fuel &gt;&gt;",$D13="&lt;&lt;Select Fuel &gt;&gt;",$D14="&lt;&lt;Select Fuel &gt;&gt;"),"Select Fuel",IF($E19="&lt;Select&gt;","Submeter?",SUM(M12:M21))))</f>
        <v>0</v>
      </c>
    </row>
    <row r="23" spans="1:19" s="8" customFormat="1" ht="7.5" customHeight="1">
      <c r="M23" s="27"/>
      <c r="N23" s="27"/>
      <c r="O23" s="27"/>
      <c r="P23" s="27"/>
      <c r="Q23" s="27"/>
      <c r="R23" s="27"/>
      <c r="S23" s="27"/>
    </row>
    <row r="24" spans="1:19" s="8" customFormat="1">
      <c r="A24" s="13" t="s">
        <v>722</v>
      </c>
      <c r="B24" s="13" t="s">
        <v>2172</v>
      </c>
      <c r="F24" s="1" t="s">
        <v>2453</v>
      </c>
      <c r="G24" s="1"/>
      <c r="H24" s="1"/>
      <c r="I24" s="3962"/>
      <c r="J24" s="3943"/>
      <c r="K24" s="3943"/>
      <c r="L24" s="3943"/>
      <c r="M24" s="3944"/>
    </row>
    <row r="25" spans="1:19" s="8" customFormat="1" ht="13.35" customHeight="1">
      <c r="A25" s="13"/>
      <c r="B25" s="13"/>
      <c r="F25" s="1" t="s">
        <v>618</v>
      </c>
      <c r="G25" s="1"/>
      <c r="H25" s="33"/>
      <c r="I25" s="3945"/>
      <c r="J25" s="3946"/>
      <c r="K25" s="6" t="s">
        <v>525</v>
      </c>
      <c r="L25" s="3947"/>
      <c r="M25" s="3948"/>
    </row>
    <row r="26" spans="1:19" s="8" customFormat="1" ht="4.5" customHeight="1">
      <c r="A26" s="13"/>
    </row>
    <row r="27" spans="1:19" s="13" customFormat="1">
      <c r="B27" s="245"/>
      <c r="C27" s="245"/>
      <c r="D27" s="245"/>
      <c r="E27" s="245"/>
      <c r="F27" s="2635" t="s">
        <v>592</v>
      </c>
      <c r="G27" s="2635"/>
      <c r="I27" s="2636" t="s">
        <v>196</v>
      </c>
      <c r="J27" s="2636"/>
      <c r="K27" s="2636"/>
      <c r="L27" s="2636"/>
      <c r="M27" s="2636"/>
    </row>
    <row r="28" spans="1:19" s="13" customFormat="1">
      <c r="B28" s="245" t="s">
        <v>778</v>
      </c>
      <c r="D28" s="245" t="s">
        <v>1566</v>
      </c>
      <c r="F28" s="2370" t="s">
        <v>624</v>
      </c>
      <c r="G28" s="2370" t="s">
        <v>1804</v>
      </c>
      <c r="I28" s="246" t="s">
        <v>551</v>
      </c>
      <c r="J28" s="247">
        <v>1</v>
      </c>
      <c r="K28" s="247">
        <v>2</v>
      </c>
      <c r="L28" s="247">
        <v>3</v>
      </c>
      <c r="M28" s="247">
        <v>4</v>
      </c>
    </row>
    <row r="29" spans="1:19" s="8" customFormat="1" ht="12" customHeight="1">
      <c r="B29" s="1539" t="s">
        <v>1806</v>
      </c>
      <c r="C29" s="1540"/>
      <c r="D29" s="3949" t="s">
        <v>1774</v>
      </c>
      <c r="E29" s="3950"/>
      <c r="F29" s="3951"/>
      <c r="G29" s="3951"/>
      <c r="H29" s="993"/>
      <c r="I29" s="3952"/>
      <c r="J29" s="3952"/>
      <c r="K29" s="3952"/>
      <c r="L29" s="3952"/>
      <c r="M29" s="3952"/>
      <c r="O29" s="2634" t="s">
        <v>3622</v>
      </c>
      <c r="P29" s="2634"/>
    </row>
    <row r="30" spans="1:19" s="8" customFormat="1" ht="12" customHeight="1">
      <c r="B30" s="1541" t="s">
        <v>1564</v>
      </c>
      <c r="C30" s="1542"/>
      <c r="D30" s="3953" t="s">
        <v>1774</v>
      </c>
      <c r="E30" s="3954"/>
      <c r="F30" s="3955"/>
      <c r="G30" s="3955"/>
      <c r="H30" s="992"/>
      <c r="I30" s="3956"/>
      <c r="J30" s="3956"/>
      <c r="K30" s="3956"/>
      <c r="L30" s="3957"/>
      <c r="M30" s="3957"/>
      <c r="O30" s="2634"/>
      <c r="P30" s="2634"/>
    </row>
    <row r="31" spans="1:19" s="8" customFormat="1" ht="12" customHeight="1">
      <c r="B31" s="1543" t="s">
        <v>1565</v>
      </c>
      <c r="C31" s="1544"/>
      <c r="D31" s="3953" t="s">
        <v>1774</v>
      </c>
      <c r="E31" s="3954"/>
      <c r="F31" s="3955"/>
      <c r="G31" s="3955"/>
      <c r="H31" s="248"/>
      <c r="I31" s="3956"/>
      <c r="J31" s="3956"/>
      <c r="K31" s="3956"/>
      <c r="L31" s="3957"/>
      <c r="M31" s="3957"/>
      <c r="O31" s="2634"/>
      <c r="P31" s="2634"/>
    </row>
    <row r="32" spans="1:19" s="8" customFormat="1" ht="12" customHeight="1">
      <c r="B32" s="1545" t="s">
        <v>458</v>
      </c>
      <c r="C32" s="1546"/>
      <c r="D32" s="1545" t="s">
        <v>1563</v>
      </c>
      <c r="E32" s="249"/>
      <c r="F32" s="3955"/>
      <c r="G32" s="3955"/>
      <c r="H32" s="991"/>
      <c r="I32" s="3956"/>
      <c r="J32" s="3956"/>
      <c r="K32" s="3956"/>
      <c r="L32" s="3957"/>
      <c r="M32" s="3957"/>
      <c r="O32" s="2634"/>
      <c r="P32" s="2634"/>
    </row>
    <row r="33" spans="1:19" s="8" customFormat="1" ht="12" customHeight="1">
      <c r="B33" s="1547" t="s">
        <v>3607</v>
      </c>
      <c r="C33" s="1542"/>
      <c r="D33" s="1541" t="s">
        <v>1563</v>
      </c>
      <c r="E33" s="990"/>
      <c r="F33" s="3955"/>
      <c r="G33" s="3955"/>
      <c r="H33" s="992"/>
      <c r="I33" s="3956"/>
      <c r="J33" s="3956"/>
      <c r="K33" s="3956"/>
      <c r="L33" s="3957"/>
      <c r="M33" s="3957"/>
      <c r="O33" s="2634"/>
      <c r="P33" s="2634"/>
    </row>
    <row r="34" spans="1:19" s="8" customFormat="1" ht="12" customHeight="1">
      <c r="B34" s="1547" t="s">
        <v>3608</v>
      </c>
      <c r="C34" s="1542"/>
      <c r="D34" s="1541" t="s">
        <v>1563</v>
      </c>
      <c r="E34" s="990"/>
      <c r="F34" s="3955"/>
      <c r="G34" s="3955"/>
      <c r="H34" s="992"/>
      <c r="I34" s="3956"/>
      <c r="J34" s="3956"/>
      <c r="K34" s="3956"/>
      <c r="L34" s="3957"/>
      <c r="M34" s="3957"/>
      <c r="O34" s="2634"/>
      <c r="P34" s="2634"/>
    </row>
    <row r="35" spans="1:19" s="8" customFormat="1" ht="12" customHeight="1">
      <c r="B35" s="1548" t="s">
        <v>3609</v>
      </c>
      <c r="C35" s="1544"/>
      <c r="D35" s="1543" t="s">
        <v>1563</v>
      </c>
      <c r="E35" s="990"/>
      <c r="F35" s="3955"/>
      <c r="G35" s="3955"/>
      <c r="H35" s="248"/>
      <c r="I35" s="3956"/>
      <c r="J35" s="3956"/>
      <c r="K35" s="3956"/>
      <c r="L35" s="3957"/>
      <c r="M35" s="3957"/>
      <c r="O35" s="2634"/>
      <c r="P35" s="2634"/>
    </row>
    <row r="36" spans="1:19" s="8" customFormat="1" ht="12" customHeight="1">
      <c r="B36" s="1545" t="s">
        <v>1343</v>
      </c>
      <c r="C36" s="1546"/>
      <c r="D36" s="1551" t="s">
        <v>3350</v>
      </c>
      <c r="E36" s="3958" t="s">
        <v>197</v>
      </c>
      <c r="F36" s="3955"/>
      <c r="G36" s="3955"/>
      <c r="H36" s="991"/>
      <c r="I36" s="3956"/>
      <c r="J36" s="3956"/>
      <c r="K36" s="3956"/>
      <c r="L36" s="3957"/>
      <c r="M36" s="3957"/>
      <c r="O36" s="2634"/>
      <c r="P36" s="2634"/>
    </row>
    <row r="37" spans="1:19" s="8" customFormat="1" ht="12" customHeight="1">
      <c r="B37" s="1549" t="s">
        <v>1805</v>
      </c>
      <c r="C37" s="1550"/>
      <c r="D37" s="250"/>
      <c r="E37" s="222"/>
      <c r="F37" s="3955"/>
      <c r="G37" s="3955"/>
      <c r="H37" s="992"/>
      <c r="I37" s="3956"/>
      <c r="J37" s="3956"/>
      <c r="K37" s="3956"/>
      <c r="L37" s="3957"/>
      <c r="M37" s="3957"/>
      <c r="O37" s="2634"/>
      <c r="P37" s="2634"/>
    </row>
    <row r="38" spans="1:19" s="8" customFormat="1" ht="12" customHeight="1">
      <c r="B38" s="1549" t="s">
        <v>723</v>
      </c>
      <c r="C38" s="3044"/>
      <c r="D38" s="3045"/>
      <c r="E38" s="3046"/>
      <c r="F38" s="3959"/>
      <c r="G38" s="3959"/>
      <c r="H38" s="994"/>
      <c r="I38" s="3960"/>
      <c r="J38" s="3960"/>
      <c r="K38" s="3960"/>
      <c r="L38" s="3961"/>
      <c r="M38" s="3961"/>
      <c r="O38" s="2634"/>
      <c r="P38" s="2634"/>
    </row>
    <row r="39" spans="1:19" s="8" customFormat="1">
      <c r="B39" s="245" t="s">
        <v>998</v>
      </c>
      <c r="D39" s="27"/>
      <c r="E39" s="27"/>
      <c r="F39" s="80"/>
      <c r="G39" s="80"/>
      <c r="I39" s="150">
        <f>IF(SUM(I29:I38)=0,0,IF(OR($D29="&lt;&lt;Select Fuel &gt;&gt;",$D31="&lt;&lt;Select Fuel &gt;&gt;",$D32="&lt;&lt;Select Fuel &gt;&gt;"),"Select Fuel",IF($E36="&lt;Select&gt;","Submeter?",SUM(I29:I38))))</f>
        <v>0</v>
      </c>
      <c r="J39" s="150">
        <f>IF(SUM(J29:J38)=0,0,IF(OR($D29="&lt;&lt;Select Fuel &gt;&gt;",$D31="&lt;&lt;Select Fuel &gt;&gt;",$D32="&lt;&lt;Select Fuel &gt;&gt;"),"Select Fuel",IF($E36="&lt;Select&gt;","Submeter?",SUM(J29:J38))))</f>
        <v>0</v>
      </c>
      <c r="K39" s="150">
        <f>IF(SUM(K29:K38)=0,0,IF(OR($D29="&lt;&lt;Select Fuel &gt;&gt;",$D31="&lt;&lt;Select Fuel &gt;&gt;",$D32="&lt;&lt;Select Fuel &gt;&gt;"),"Select Fuel",IF($E36="&lt;Select&gt;","Submeter?",SUM(K29:K38))))</f>
        <v>0</v>
      </c>
      <c r="L39" s="150">
        <f>IF(SUM(L29:L38)=0,0,IF(OR($D29="&lt;&lt;Select Fuel &gt;&gt;",$D31="&lt;&lt;Select Fuel &gt;&gt;",$D32="&lt;&lt;Select Fuel &gt;&gt;"),"Select Fuel",IF($E36="&lt;Select&gt;","Submeter?",SUM(L29:L38))))</f>
        <v>0</v>
      </c>
      <c r="M39" s="150">
        <f>IF(SUM(M29:M38)=0,0,IF(OR($D29="&lt;&lt;Select Fuel &gt;&gt;",$D31="&lt;&lt;Select Fuel &gt;&gt;",$D32="&lt;&lt;Select Fuel &gt;&gt;"),"Select Fuel",IF($E36="&lt;Select&gt;","Submeter?",SUM(M29:M38))))</f>
        <v>0</v>
      </c>
    </row>
    <row r="40" spans="1:19" ht="6" customHeight="1">
      <c r="A40" s="8"/>
    </row>
    <row r="41" spans="1:19" s="8" customFormat="1">
      <c r="B41" s="427" t="s">
        <v>3351</v>
      </c>
      <c r="D41" s="27"/>
      <c r="E41" s="27"/>
      <c r="F41" s="80"/>
      <c r="G41" s="80"/>
      <c r="I41" s="2370"/>
      <c r="J41" s="2370"/>
      <c r="K41" s="2370"/>
      <c r="L41" s="2370"/>
      <c r="M41" s="2370"/>
    </row>
    <row r="42" spans="1:19" s="8" customFormat="1" ht="12" customHeight="1">
      <c r="A42" s="13"/>
      <c r="B42" s="13" t="s">
        <v>555</v>
      </c>
      <c r="M42" s="27"/>
      <c r="N42" s="27"/>
      <c r="O42" s="27"/>
      <c r="P42" s="27"/>
      <c r="Q42" s="27"/>
      <c r="R42" s="27"/>
      <c r="S42" s="27"/>
    </row>
    <row r="43" spans="1:19" s="8" customFormat="1" ht="48.75" customHeight="1">
      <c r="B43" s="3963" t="s">
        <v>7178</v>
      </c>
      <c r="C43" s="3964"/>
      <c r="D43" s="3964"/>
      <c r="E43" s="3964"/>
      <c r="F43" s="3964"/>
      <c r="G43" s="3964"/>
      <c r="H43" s="3964"/>
      <c r="I43" s="3964"/>
      <c r="J43" s="3964"/>
      <c r="K43" s="3964"/>
      <c r="L43" s="3964"/>
      <c r="M43" s="3965"/>
      <c r="N43" s="27"/>
      <c r="O43" s="2401" t="s">
        <v>2614</v>
      </c>
      <c r="P43" s="2401"/>
      <c r="Q43" s="2401"/>
      <c r="R43" s="2401"/>
      <c r="S43" s="2401"/>
    </row>
    <row r="44" spans="1:19" s="8" customFormat="1" ht="3" customHeight="1">
      <c r="M44" s="27"/>
      <c r="N44" s="27"/>
      <c r="O44" s="2401"/>
      <c r="P44" s="2401"/>
      <c r="Q44" s="2401"/>
      <c r="R44" s="2401"/>
      <c r="S44" s="2401"/>
    </row>
    <row r="45" spans="1:19" s="8" customFormat="1" ht="12" customHeight="1">
      <c r="A45" s="13"/>
      <c r="B45" s="13" t="s">
        <v>1799</v>
      </c>
      <c r="M45" s="27"/>
      <c r="N45" s="27"/>
      <c r="O45" s="2401"/>
      <c r="P45" s="2401"/>
      <c r="Q45" s="2401"/>
      <c r="R45" s="2401"/>
      <c r="S45" s="2401"/>
    </row>
    <row r="46" spans="1:19" s="8" customFormat="1" ht="24.75" customHeight="1">
      <c r="B46" s="3966"/>
      <c r="C46" s="3967"/>
      <c r="D46" s="3967"/>
      <c r="E46" s="3967"/>
      <c r="F46" s="3967"/>
      <c r="G46" s="3967"/>
      <c r="H46" s="3967"/>
      <c r="I46" s="3967"/>
      <c r="J46" s="3967"/>
      <c r="K46" s="3967"/>
      <c r="L46" s="3967"/>
      <c r="M46" s="3968"/>
      <c r="N46" s="27"/>
      <c r="O46" s="2401"/>
      <c r="P46" s="2401"/>
      <c r="Q46" s="2401"/>
      <c r="R46" s="2401"/>
      <c r="S46" s="2401"/>
    </row>
  </sheetData>
  <sheetProtection algorithmName="SHA-512" hashValue="54ixtNh5AfMXkh1CoAUQj4EL/yPzzzUnDgIMeqdDvwy+Hk4t7S6iJcZQgnp5ZXNZ+gkJUEY7K3uCsxISKLvd+Q==" saltValue="pJDHTx5dH3fq4y3C2oUgiA==" spinCount="100000" sheet="1" objects="1" scenarios="1" selectLockedCells="1" selectUnlockedCells="1"/>
  <mergeCells count="25">
    <mergeCell ref="C21:E21"/>
    <mergeCell ref="C38:E38"/>
    <mergeCell ref="A1:M1"/>
    <mergeCell ref="I7:M7"/>
    <mergeCell ref="I8:J8"/>
    <mergeCell ref="L8:M8"/>
    <mergeCell ref="F10:G10"/>
    <mergeCell ref="I10:M10"/>
    <mergeCell ref="B3:E3"/>
    <mergeCell ref="O12:P21"/>
    <mergeCell ref="D13:E13"/>
    <mergeCell ref="D14:E14"/>
    <mergeCell ref="I24:M24"/>
    <mergeCell ref="B43:M43"/>
    <mergeCell ref="O43:S46"/>
    <mergeCell ref="B46:M46"/>
    <mergeCell ref="F27:G27"/>
    <mergeCell ref="I27:M27"/>
    <mergeCell ref="D29:E29"/>
    <mergeCell ref="O29:P38"/>
    <mergeCell ref="D30:E30"/>
    <mergeCell ref="D31:E31"/>
    <mergeCell ref="I25:J25"/>
    <mergeCell ref="L25:M25"/>
    <mergeCell ref="D12:E12"/>
  </mergeCells>
  <conditionalFormatting sqref="I22:M22">
    <cfRule type="cellIs" dxfId="171" priority="8" operator="equal">
      <formula>"""&lt;&lt;Select Fuel &gt;&gt;"""</formula>
    </cfRule>
  </conditionalFormatting>
  <conditionalFormatting sqref="I22:M22">
    <cfRule type="cellIs" dxfId="170" priority="6" operator="equal">
      <formula>"Select Fuel"</formula>
    </cfRule>
    <cfRule type="cellIs" dxfId="169" priority="7" operator="equal">
      <formula>"&lt;&lt;Select Fuel &gt;&gt;"</formula>
    </cfRule>
  </conditionalFormatting>
  <conditionalFormatting sqref="J22:M22">
    <cfRule type="cellIs" dxfId="168" priority="5" operator="equal">
      <formula>"Select Fuel"</formula>
    </cfRule>
  </conditionalFormatting>
  <conditionalFormatting sqref="I39:M39">
    <cfRule type="cellIs" dxfId="167" priority="4" operator="equal">
      <formula>"""&lt;&lt;Select Fuel &gt;&gt;"""</formula>
    </cfRule>
  </conditionalFormatting>
  <conditionalFormatting sqref="I39:M39">
    <cfRule type="cellIs" dxfId="166" priority="2" operator="equal">
      <formula>"Select Fuel"</formula>
    </cfRule>
    <cfRule type="cellIs" dxfId="165" priority="3" operator="equal">
      <formula>"&lt;&lt;Select Fuel &gt;&gt;"</formula>
    </cfRule>
  </conditionalFormatting>
  <conditionalFormatting sqref="J39:M39">
    <cfRule type="cellIs" dxfId="164" priority="1" operator="equal">
      <formula>"Select Fuel"</formula>
    </cfRule>
  </conditionalFormatting>
  <dataValidations count="5">
    <dataValidation type="list" allowBlank="1" showInputMessage="1" showErrorMessage="1" sqref="D12:E12 D29:E29" xr:uid="{00000000-0002-0000-0800-000000000000}">
      <formula1>"&lt;&lt;Select Fuel &gt;&gt;,Natural Gas, Electric, Propane, Electric Heat Pump"</formula1>
    </dataValidation>
    <dataValidation type="list" allowBlank="1" showInputMessage="1" showErrorMessage="1" sqref="E19 E36" xr:uid="{00000000-0002-0000-0800-000001000000}">
      <formula1>"&lt;Select&gt;,Yes, No"</formula1>
    </dataValidation>
    <dataValidation type="list" allowBlank="1" showInputMessage="1" showErrorMessage="1" sqref="D13:E14 D30:E31" xr:uid="{00000000-0002-0000-0800-000002000000}">
      <formula1>"&lt;&lt;Select Fuel &gt;&gt;,Natural Gas, Electric, Propane"</formula1>
    </dataValidation>
    <dataValidation type="list" allowBlank="1" showInputMessage="1" showErrorMessage="1" sqref="F12:G21 F29:G38" xr:uid="{00000000-0002-0000-0800-000003000000}">
      <formula1>"X"</formula1>
    </dataValidation>
    <dataValidation type="list" allowBlank="1" showInputMessage="1" showErrorMessage="1" sqref="L8:M8 L25:M25" xr:uid="{00000000-0002-0000-0800-000004000000}">
      <formula1>"MF, SF Detached, Mfd Home, Duplex, Townhome, 1-Story, 2-Story, 2-Story Walkup, 3+ Story, 3+ Story Elevator"</formula1>
    </dataValidation>
  </dataValidations>
  <printOptions horizontalCentered="1"/>
  <pageMargins left="0.25" right="0.25" top="0.75" bottom="0.5" header="0.5" footer="0.25"/>
  <pageSetup scale="10" fitToHeight="0" orientation="landscape" r:id="rId1"/>
  <headerFooter alignWithMargins="0">
    <oddHeader>&amp;LGeorgia Department of Community Affairs&amp;C&amp;11 2020 Funding Application&amp;RHousing Finance and Development Division</oddHeader>
    <oddFooter>&amp;L&amp;G &amp;9&amp;F&amp;C&amp;9&amp;A&amp;R&amp;9&amp;P of &amp;N</oddFooter>
  </headerFooter>
  <legacyDrawingHF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29</vt:i4>
      </vt:variant>
      <vt:variant>
        <vt:lpstr>Named Ranges</vt:lpstr>
      </vt:variant>
      <vt:variant>
        <vt:i4>33</vt:i4>
      </vt:variant>
    </vt:vector>
  </HeadingPairs>
  <TitlesOfParts>
    <vt:vector size="62" baseType="lpstr">
      <vt:lpstr>Project Narrative</vt:lpstr>
      <vt:lpstr>Part I-Project Information</vt:lpstr>
      <vt:lpstr>Part II-Development Team</vt:lpstr>
      <vt:lpstr>Part III-Sources of Funds</vt:lpstr>
      <vt:lpstr>Part III B-USDA 538 Loan</vt:lpstr>
      <vt:lpstr>Part III C-HUD Insured Loan</vt:lpstr>
      <vt:lpstr>Part IV-A-Uses of Funds</vt:lpstr>
      <vt:lpstr>Part IV-B-Other Items</vt:lpstr>
      <vt:lpstr>Part V-Utility Allowances</vt:lpstr>
      <vt:lpstr>Part VI-Revenues &amp; Expenses</vt:lpstr>
      <vt:lpstr>Part VII-Pro Forma</vt:lpstr>
      <vt:lpstr>Part VIII-Threshold Criteria</vt:lpstr>
      <vt:lpstr>Part IX Scoring Criteria</vt:lpstr>
      <vt:lpstr>Executive Summary</vt:lpstr>
      <vt:lpstr>Subsidy Layering Memo</vt:lpstr>
      <vt:lpstr>Sensitivity Analysis</vt:lpstr>
      <vt:lpstr>D&amp;E Sensitivity Analysis</vt:lpstr>
      <vt:lpstr>After-Tax Analysis</vt:lpstr>
      <vt:lpstr>Payments-Ex B</vt:lpstr>
      <vt:lpstr>HOME Allocation Limit WS</vt:lpstr>
      <vt:lpstr>Preview term</vt:lpstr>
      <vt:lpstr>Closing term sheet</vt:lpstr>
      <vt:lpstr>Proration Method Cost Allocatn</vt:lpstr>
      <vt:lpstr>Closing ExhA</vt:lpstr>
      <vt:lpstr>Closing ExhA New</vt:lpstr>
      <vt:lpstr>IDIS Setup</vt:lpstr>
      <vt:lpstr>Part X - Applicant Cert Ltr</vt:lpstr>
      <vt:lpstr>DCA Underwriting Assumptions</vt:lpstr>
      <vt:lpstr>StephenBarrettOnly</vt:lpstr>
      <vt:lpstr>'Closing term sheet'!Print_Area</vt:lpstr>
      <vt:lpstr>'D&amp;E Sensitivity Analysis'!Print_Area</vt:lpstr>
      <vt:lpstr>'DCA Underwriting Assumptions'!Print_Area</vt:lpstr>
      <vt:lpstr>'Executive Summary'!Print_Area</vt:lpstr>
      <vt:lpstr>'Part II-Development Team'!Print_Area</vt:lpstr>
      <vt:lpstr>'Part III B-USDA 538 Loan'!Print_Area</vt:lpstr>
      <vt:lpstr>'Part III C-HUD Insured Loan'!Print_Area</vt:lpstr>
      <vt:lpstr>'Part III-Sources of Funds'!Print_Area</vt:lpstr>
      <vt:lpstr>'Part I-Project Information'!Print_Area</vt:lpstr>
      <vt:lpstr>'Part IV-A-Uses of Funds'!Print_Area</vt:lpstr>
      <vt:lpstr>'Part IV-B-Other Items'!Print_Area</vt:lpstr>
      <vt:lpstr>'Part IX Scoring Criteria'!Print_Area</vt:lpstr>
      <vt:lpstr>'Part VIII-Threshold Criteria'!Print_Area</vt:lpstr>
      <vt:lpstr>'Part VII-Pro Forma'!Print_Area</vt:lpstr>
      <vt:lpstr>'Part VI-Revenues &amp; Expenses'!Print_Area</vt:lpstr>
      <vt:lpstr>'Part V-Utility Allowances'!Print_Area</vt:lpstr>
      <vt:lpstr>'Part X - Applicant Cert Ltr'!Print_Area</vt:lpstr>
      <vt:lpstr>'Preview term'!Print_Area</vt:lpstr>
      <vt:lpstr>'Project Narrative'!Print_Area</vt:lpstr>
      <vt:lpstr>'Proration Method Cost Allocatn'!Print_Area</vt:lpstr>
      <vt:lpstr>'Sensitivity Analysis'!Print_Area</vt:lpstr>
      <vt:lpstr>'Subsidy Layering Memo'!Print_Area</vt:lpstr>
      <vt:lpstr>'Part II-Development Team'!Print_Titles</vt:lpstr>
      <vt:lpstr>'Part III B-USDA 538 Loan'!Print_Titles</vt:lpstr>
      <vt:lpstr>'Part III C-HUD Insured Loan'!Print_Titles</vt:lpstr>
      <vt:lpstr>'Part III-Sources of Funds'!Print_Titles</vt:lpstr>
      <vt:lpstr>'Part I-Project Information'!Print_Titles</vt:lpstr>
      <vt:lpstr>'Part IV-B-Other Items'!Print_Titles</vt:lpstr>
      <vt:lpstr>'Part IX Scoring Criteria'!Print_Titles</vt:lpstr>
      <vt:lpstr>'Part VIII-Threshold Criteria'!Print_Titles</vt:lpstr>
      <vt:lpstr>'Part VII-Pro Forma'!Print_Titles</vt:lpstr>
      <vt:lpstr>'Part VI-Revenues &amp; Expenses'!Print_Titles</vt:lpstr>
      <vt:lpstr>'Proration Method Cost Allocatn'!Print_Titles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sbarrett</dc:creator>
  <cp:lastModifiedBy>Stephen Barrett</cp:lastModifiedBy>
  <cp:lastPrinted>2020-06-17T18:50:02Z</cp:lastPrinted>
  <dcterms:created xsi:type="dcterms:W3CDTF">2005-09-15T20:51:37Z</dcterms:created>
  <dcterms:modified xsi:type="dcterms:W3CDTF">2020-10-01T22:29:11Z</dcterms:modified>
</cp:coreProperties>
</file>